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hamza/Documents/SideQuests/K_means_linkedinReport/"/>
    </mc:Choice>
  </mc:AlternateContent>
  <xr:revisionPtr revIDLastSave="0" documentId="8_{28E37872-A703-D14C-A1DF-E200C6D7D67D}" xr6:coauthVersionLast="47" xr6:coauthVersionMax="47" xr10:uidLastSave="{00000000-0000-0000-0000-000000000000}"/>
  <bookViews>
    <workbookView xWindow="0" yWindow="820" windowWidth="30240" windowHeight="18820" activeTab="3" xr2:uid="{98A36DF5-D8AB-9C4A-A856-B8D412A1DEBC}"/>
  </bookViews>
  <sheets>
    <sheet name="Returns_and_Sectors " sheetId="15" r:id="rId1"/>
    <sheet name="Sheet21" sheetId="30" r:id="rId2"/>
    <sheet name="cluster_average_return_Cluster" sheetId="24" r:id="rId3"/>
    <sheet name="Sheet20" sheetId="28" r:id="rId4"/>
    <sheet name="cluster_average_return_Sector" sheetId="25" r:id="rId5"/>
    <sheet name="Sheet19" sheetId="27" r:id="rId6"/>
    <sheet name="Sheet17" sheetId="23" r:id="rId7"/>
  </sheets>
  <definedNames>
    <definedName name="ExternalData_1" localSheetId="2" hidden="1">'cluster_average_return_Cluster'!$A$1:$ACV$11</definedName>
    <definedName name="ExternalData_1" localSheetId="4" hidden="1">'cluster_average_return_Sector'!$A$1:$ACV$10</definedName>
    <definedName name="ExternalData_1" localSheetId="0" hidden="1">'Returns_and_Sectors '!$A$1:$ACX$91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" i="30" l="1"/>
  <c r="H11" i="30"/>
  <c r="G11" i="30"/>
  <c r="F11" i="30"/>
  <c r="E11" i="30"/>
  <c r="D11" i="30"/>
  <c r="C11" i="30"/>
  <c r="B11" i="30"/>
  <c r="ACV11" i="24"/>
  <c r="ACU11" i="24"/>
  <c r="ACT11" i="24"/>
  <c r="ACS11" i="24"/>
  <c r="ACR11" i="24"/>
  <c r="ACQ11" i="24"/>
  <c r="ACP11" i="24"/>
  <c r="ACO11" i="24"/>
  <c r="ACN11" i="24"/>
  <c r="ACM11" i="24"/>
  <c r="ACL11" i="24"/>
  <c r="ACK11" i="24"/>
  <c r="ACJ11" i="24"/>
  <c r="ACI11" i="24"/>
  <c r="ACH11" i="24"/>
  <c r="ACG11" i="24"/>
  <c r="ACF11" i="24"/>
  <c r="ACE11" i="24"/>
  <c r="ACD11" i="24"/>
  <c r="ACC11" i="24"/>
  <c r="ACB11" i="24"/>
  <c r="ACA11" i="24"/>
  <c r="ABZ11" i="24"/>
  <c r="ABY11" i="24"/>
  <c r="ABX11" i="24"/>
  <c r="ABW11" i="24"/>
  <c r="ABV11" i="24"/>
  <c r="ABU11" i="24"/>
  <c r="ABT11" i="24"/>
  <c r="ABS11" i="24"/>
  <c r="ABR11" i="24"/>
  <c r="ABQ11" i="24"/>
  <c r="ABP11" i="24"/>
  <c r="ABO11" i="24"/>
  <c r="ABN11" i="24"/>
  <c r="ABM11" i="24"/>
  <c r="ABL11" i="24"/>
  <c r="ABK11" i="24"/>
  <c r="ABJ11" i="24"/>
  <c r="ABI11" i="24"/>
  <c r="ABH11" i="24"/>
  <c r="ABG11" i="24"/>
  <c r="ABF11" i="24"/>
  <c r="ABE11" i="24"/>
  <c r="ABD11" i="24"/>
  <c r="ABC11" i="24"/>
  <c r="ABB11" i="24"/>
  <c r="ABA11" i="24"/>
  <c r="AAZ11" i="24"/>
  <c r="AAY11" i="24"/>
  <c r="AAX11" i="24"/>
  <c r="AAW11" i="24"/>
  <c r="AAV11" i="24"/>
  <c r="AAU11" i="24"/>
  <c r="AAT11" i="24"/>
  <c r="AAS11" i="24"/>
  <c r="AAR11" i="24"/>
  <c r="AAQ11" i="24"/>
  <c r="AAP11" i="24"/>
  <c r="AAO11" i="24"/>
  <c r="AAN11" i="24"/>
  <c r="AAM11" i="24"/>
  <c r="AAL11" i="24"/>
  <c r="AAK11" i="24"/>
  <c r="AAJ11" i="24"/>
  <c r="AAI11" i="24"/>
  <c r="AAH11" i="24"/>
  <c r="AAG11" i="24"/>
  <c r="AAF11" i="24"/>
  <c r="AAE11" i="24"/>
  <c r="AAD11" i="24"/>
  <c r="AAC11" i="24"/>
  <c r="AAB11" i="24"/>
  <c r="AAA11" i="24"/>
  <c r="ZZ11" i="24"/>
  <c r="ZY11" i="24"/>
  <c r="ZX11" i="24"/>
  <c r="ZW11" i="24"/>
  <c r="ZV11" i="24"/>
  <c r="ZU11" i="24"/>
  <c r="ZT11" i="24"/>
  <c r="ZS11" i="24"/>
  <c r="ZR11" i="24"/>
  <c r="ZQ11" i="24"/>
  <c r="ZP11" i="24"/>
  <c r="ZO11" i="24"/>
  <c r="ZN11" i="24"/>
  <c r="ZM11" i="24"/>
  <c r="ZL11" i="24"/>
  <c r="ZK11" i="24"/>
  <c r="ZJ11" i="24"/>
  <c r="ZI11" i="24"/>
  <c r="ZH11" i="24"/>
  <c r="ZG11" i="24"/>
  <c r="ZF11" i="24"/>
  <c r="ZE11" i="24"/>
  <c r="ZD11" i="24"/>
  <c r="ZC11" i="24"/>
  <c r="ZB11" i="24"/>
  <c r="ZA11" i="24"/>
  <c r="YZ11" i="24"/>
  <c r="YY11" i="24"/>
  <c r="YX11" i="24"/>
  <c r="YW11" i="24"/>
  <c r="YV11" i="24"/>
  <c r="YU11" i="24"/>
  <c r="YT11" i="24"/>
  <c r="YS11" i="24"/>
  <c r="YR11" i="24"/>
  <c r="YQ11" i="24"/>
  <c r="YP11" i="24"/>
  <c r="YO11" i="24"/>
  <c r="YN11" i="24"/>
  <c r="YM11" i="24"/>
  <c r="YL11" i="24"/>
  <c r="YK11" i="24"/>
  <c r="YJ11" i="24"/>
  <c r="YI11" i="24"/>
  <c r="YH11" i="24"/>
  <c r="YG11" i="24"/>
  <c r="YF11" i="24"/>
  <c r="YE11" i="24"/>
  <c r="YD11" i="24"/>
  <c r="YC11" i="24"/>
  <c r="YB11" i="24"/>
  <c r="YA11" i="24"/>
  <c r="XZ11" i="24"/>
  <c r="XY11" i="24"/>
  <c r="XX11" i="24"/>
  <c r="XW11" i="24"/>
  <c r="XV11" i="24"/>
  <c r="XU11" i="24"/>
  <c r="XT11" i="24"/>
  <c r="XS11" i="24"/>
  <c r="XR11" i="24"/>
  <c r="XQ11" i="24"/>
  <c r="XP11" i="24"/>
  <c r="XO11" i="24"/>
  <c r="XN11" i="24"/>
  <c r="XM11" i="24"/>
  <c r="XL11" i="24"/>
  <c r="XK11" i="24"/>
  <c r="XJ11" i="24"/>
  <c r="XI11" i="24"/>
  <c r="XH11" i="24"/>
  <c r="XG11" i="24"/>
  <c r="XF11" i="24"/>
  <c r="XE11" i="24"/>
  <c r="XD11" i="24"/>
  <c r="XC11" i="24"/>
  <c r="XB11" i="24"/>
  <c r="XA11" i="24"/>
  <c r="WZ11" i="24"/>
  <c r="WY11" i="24"/>
  <c r="WX11" i="24"/>
  <c r="WW11" i="24"/>
  <c r="WV11" i="24"/>
  <c r="WU11" i="24"/>
  <c r="WT11" i="24"/>
  <c r="WS11" i="24"/>
  <c r="WR11" i="24"/>
  <c r="WQ11" i="24"/>
  <c r="WP11" i="24"/>
  <c r="WO11" i="24"/>
  <c r="WN11" i="24"/>
  <c r="WM11" i="24"/>
  <c r="WL11" i="24"/>
  <c r="WK11" i="24"/>
  <c r="WJ11" i="24"/>
  <c r="WI11" i="24"/>
  <c r="WH11" i="24"/>
  <c r="WG11" i="24"/>
  <c r="WF11" i="24"/>
  <c r="WE11" i="24"/>
  <c r="WD11" i="24"/>
  <c r="WC11" i="24"/>
  <c r="WB11" i="24"/>
  <c r="WA11" i="24"/>
  <c r="VZ11" i="24"/>
  <c r="VY11" i="24"/>
  <c r="VX11" i="24"/>
  <c r="VW11" i="24"/>
  <c r="VV11" i="24"/>
  <c r="VU11" i="24"/>
  <c r="VT11" i="24"/>
  <c r="VS11" i="24"/>
  <c r="VR11" i="24"/>
  <c r="VQ11" i="24"/>
  <c r="VP11" i="24"/>
  <c r="VO11" i="24"/>
  <c r="VN11" i="24"/>
  <c r="VM11" i="24"/>
  <c r="VL11" i="24"/>
  <c r="VK11" i="24"/>
  <c r="VJ11" i="24"/>
  <c r="VI11" i="24"/>
  <c r="VH11" i="24"/>
  <c r="VG11" i="24"/>
  <c r="VF11" i="24"/>
  <c r="VE11" i="24"/>
  <c r="VD11" i="24"/>
  <c r="VC11" i="24"/>
  <c r="VB11" i="24"/>
  <c r="VA11" i="24"/>
  <c r="UZ11" i="24"/>
  <c r="UY11" i="24"/>
  <c r="UX11" i="24"/>
  <c r="UW11" i="24"/>
  <c r="UV11" i="24"/>
  <c r="UU11" i="24"/>
  <c r="UT11" i="24"/>
  <c r="US11" i="24"/>
  <c r="UR11" i="24"/>
  <c r="UQ11" i="24"/>
  <c r="UP11" i="24"/>
  <c r="UO11" i="24"/>
  <c r="UN11" i="24"/>
  <c r="UM11" i="24"/>
  <c r="UL11" i="24"/>
  <c r="UK11" i="24"/>
  <c r="UJ11" i="24"/>
  <c r="UI11" i="24"/>
  <c r="UH11" i="24"/>
  <c r="UG11" i="24"/>
  <c r="UF11" i="24"/>
  <c r="UE11" i="24"/>
  <c r="UD11" i="24"/>
  <c r="UC11" i="24"/>
  <c r="UB11" i="24"/>
  <c r="UA11" i="24"/>
  <c r="TZ11" i="24"/>
  <c r="TY11" i="24"/>
  <c r="TX11" i="24"/>
  <c r="TW11" i="24"/>
  <c r="TV11" i="24"/>
  <c r="TU11" i="24"/>
  <c r="TT11" i="24"/>
  <c r="TS11" i="24"/>
  <c r="TR11" i="24"/>
  <c r="TQ11" i="24"/>
  <c r="TP11" i="24"/>
  <c r="TO11" i="24"/>
  <c r="TN11" i="24"/>
  <c r="TM11" i="24"/>
  <c r="TL11" i="24"/>
  <c r="TK11" i="24"/>
  <c r="TJ11" i="24"/>
  <c r="TI11" i="24"/>
  <c r="TH11" i="24"/>
  <c r="TG11" i="24"/>
  <c r="TF11" i="24"/>
  <c r="TE11" i="24"/>
  <c r="TD11" i="24"/>
  <c r="TC11" i="24"/>
  <c r="TB11" i="24"/>
  <c r="TA11" i="24"/>
  <c r="SZ11" i="24"/>
  <c r="SY11" i="24"/>
  <c r="SX11" i="24"/>
  <c r="SW11" i="24"/>
  <c r="SV11" i="24"/>
  <c r="SU11" i="24"/>
  <c r="ST11" i="24"/>
  <c r="SS11" i="24"/>
  <c r="SR11" i="24"/>
  <c r="SQ11" i="24"/>
  <c r="SP11" i="24"/>
  <c r="SO11" i="24"/>
  <c r="SN11" i="24"/>
  <c r="SM11" i="24"/>
  <c r="SL11" i="24"/>
  <c r="SK11" i="24"/>
  <c r="SJ11" i="24"/>
  <c r="SI11" i="24"/>
  <c r="SH11" i="24"/>
  <c r="SG11" i="24"/>
  <c r="SF11" i="24"/>
  <c r="SE11" i="24"/>
  <c r="SD11" i="24"/>
  <c r="SC11" i="24"/>
  <c r="SB11" i="24"/>
  <c r="SA11" i="24"/>
  <c r="RZ11" i="24"/>
  <c r="RY11" i="24"/>
  <c r="RX11" i="24"/>
  <c r="RW11" i="24"/>
  <c r="RV11" i="24"/>
  <c r="RU11" i="24"/>
  <c r="RT11" i="24"/>
  <c r="RS11" i="24"/>
  <c r="RR11" i="24"/>
  <c r="RQ11" i="24"/>
  <c r="RP11" i="24"/>
  <c r="RO11" i="24"/>
  <c r="RN11" i="24"/>
  <c r="RM11" i="24"/>
  <c r="RL11" i="24"/>
  <c r="RK11" i="24"/>
  <c r="RJ11" i="24"/>
  <c r="RI11" i="24"/>
  <c r="RH11" i="24"/>
  <c r="RG11" i="24"/>
  <c r="RF11" i="24"/>
  <c r="RE11" i="24"/>
  <c r="RD11" i="24"/>
  <c r="RC11" i="24"/>
  <c r="RB11" i="24"/>
  <c r="RA11" i="24"/>
  <c r="QZ11" i="24"/>
  <c r="QY11" i="24"/>
  <c r="QX11" i="24"/>
  <c r="QW11" i="24"/>
  <c r="QV11" i="24"/>
  <c r="QU11" i="24"/>
  <c r="QT11" i="24"/>
  <c r="QS11" i="24"/>
  <c r="QR11" i="24"/>
  <c r="QQ11" i="24"/>
  <c r="QP11" i="24"/>
  <c r="QO11" i="24"/>
  <c r="QN11" i="24"/>
  <c r="QM11" i="24"/>
  <c r="QL11" i="24"/>
  <c r="QK11" i="24"/>
  <c r="QJ11" i="24"/>
  <c r="QI11" i="24"/>
  <c r="QH11" i="24"/>
  <c r="QG11" i="24"/>
  <c r="QF11" i="24"/>
  <c r="QE11" i="24"/>
  <c r="QD11" i="24"/>
  <c r="QC11" i="24"/>
  <c r="QB11" i="24"/>
  <c r="QA11" i="24"/>
  <c r="PZ11" i="24"/>
  <c r="PY11" i="24"/>
  <c r="PX11" i="24"/>
  <c r="PW11" i="24"/>
  <c r="PV11" i="24"/>
  <c r="PU11" i="24"/>
  <c r="PT11" i="24"/>
  <c r="PS11" i="24"/>
  <c r="PR11" i="24"/>
  <c r="PQ11" i="24"/>
  <c r="PP11" i="24"/>
  <c r="PO11" i="24"/>
  <c r="PN11" i="24"/>
  <c r="PM11" i="24"/>
  <c r="PL11" i="24"/>
  <c r="PK11" i="24"/>
  <c r="PJ11" i="24"/>
  <c r="PI11" i="24"/>
  <c r="PH11" i="24"/>
  <c r="PG11" i="24"/>
  <c r="PF11" i="24"/>
  <c r="PE11" i="24"/>
  <c r="PD11" i="24"/>
  <c r="PC11" i="24"/>
  <c r="PB11" i="24"/>
  <c r="PA11" i="24"/>
  <c r="OZ11" i="24"/>
  <c r="OY11" i="24"/>
  <c r="OX11" i="24"/>
  <c r="OW11" i="24"/>
  <c r="OV11" i="24"/>
  <c r="OU11" i="24"/>
  <c r="OT11" i="24"/>
  <c r="OS11" i="24"/>
  <c r="OR11" i="24"/>
  <c r="OQ11" i="24"/>
  <c r="OP11" i="24"/>
  <c r="OO11" i="24"/>
  <c r="ON11" i="24"/>
  <c r="OM11" i="24"/>
  <c r="OL11" i="24"/>
  <c r="OK11" i="24"/>
  <c r="OJ11" i="24"/>
  <c r="OI11" i="24"/>
  <c r="OH11" i="24"/>
  <c r="OG11" i="24"/>
  <c r="OF11" i="24"/>
  <c r="OE11" i="24"/>
  <c r="OD11" i="24"/>
  <c r="OC11" i="24"/>
  <c r="OB11" i="24"/>
  <c r="OA11" i="24"/>
  <c r="NZ11" i="24"/>
  <c r="NY11" i="24"/>
  <c r="NX11" i="24"/>
  <c r="NW11" i="24"/>
  <c r="NV11" i="24"/>
  <c r="NU11" i="24"/>
  <c r="NT11" i="24"/>
  <c r="NS11" i="24"/>
  <c r="NR11" i="24"/>
  <c r="NQ11" i="24"/>
  <c r="NP11" i="24"/>
  <c r="NO11" i="24"/>
  <c r="NN11" i="24"/>
  <c r="NM11" i="24"/>
  <c r="NL11" i="24"/>
  <c r="NK11" i="24"/>
  <c r="NJ11" i="24"/>
  <c r="NI11" i="24"/>
  <c r="NH11" i="24"/>
  <c r="NG11" i="24"/>
  <c r="NF11" i="24"/>
  <c r="NE11" i="24"/>
  <c r="ND11" i="24"/>
  <c r="NC11" i="24"/>
  <c r="NB11" i="24"/>
  <c r="NA11" i="24"/>
  <c r="MZ11" i="24"/>
  <c r="MY11" i="24"/>
  <c r="MX11" i="24"/>
  <c r="MW11" i="24"/>
  <c r="MV11" i="24"/>
  <c r="MU11" i="24"/>
  <c r="MT11" i="24"/>
  <c r="MS11" i="24"/>
  <c r="MR11" i="24"/>
  <c r="MQ11" i="24"/>
  <c r="MP11" i="24"/>
  <c r="MO11" i="24"/>
  <c r="MN11" i="24"/>
  <c r="MM11" i="24"/>
  <c r="ML11" i="24"/>
  <c r="MK11" i="24"/>
  <c r="MJ11" i="24"/>
  <c r="MI11" i="24"/>
  <c r="MH11" i="24"/>
  <c r="MG11" i="24"/>
  <c r="MF11" i="24"/>
  <c r="ME11" i="24"/>
  <c r="MD11" i="24"/>
  <c r="MC11" i="24"/>
  <c r="MB11" i="24"/>
  <c r="MA11" i="24"/>
  <c r="LZ11" i="24"/>
  <c r="LY11" i="24"/>
  <c r="LX11" i="24"/>
  <c r="LW11" i="24"/>
  <c r="LV11" i="24"/>
  <c r="LU11" i="24"/>
  <c r="LT11" i="24"/>
  <c r="LS11" i="24"/>
  <c r="LR11" i="24"/>
  <c r="LQ11" i="24"/>
  <c r="LP11" i="24"/>
  <c r="LO11" i="24"/>
  <c r="LN11" i="24"/>
  <c r="LM11" i="24"/>
  <c r="LL11" i="24"/>
  <c r="LK11" i="24"/>
  <c r="LJ11" i="24"/>
  <c r="LI11" i="24"/>
  <c r="LH11" i="24"/>
  <c r="LG11" i="24"/>
  <c r="LF11" i="24"/>
  <c r="LE11" i="24"/>
  <c r="LD11" i="24"/>
  <c r="LC11" i="24"/>
  <c r="LB11" i="24"/>
  <c r="LA11" i="24"/>
  <c r="KZ11" i="24"/>
  <c r="KY11" i="24"/>
  <c r="KX11" i="24"/>
  <c r="KW11" i="24"/>
  <c r="KV11" i="24"/>
  <c r="KU11" i="24"/>
  <c r="KT11" i="24"/>
  <c r="KS11" i="24"/>
  <c r="KR11" i="24"/>
  <c r="KQ11" i="24"/>
  <c r="KP11" i="24"/>
  <c r="KO11" i="24"/>
  <c r="KN11" i="24"/>
  <c r="KM11" i="24"/>
  <c r="KL11" i="24"/>
  <c r="KK11" i="24"/>
  <c r="KJ11" i="24"/>
  <c r="KI11" i="24"/>
  <c r="KH11" i="24"/>
  <c r="KG11" i="24"/>
  <c r="KF11" i="24"/>
  <c r="KE11" i="24"/>
  <c r="KD11" i="24"/>
  <c r="KC11" i="24"/>
  <c r="KB11" i="24"/>
  <c r="KA11" i="24"/>
  <c r="JZ11" i="24"/>
  <c r="JY11" i="24"/>
  <c r="JX11" i="24"/>
  <c r="JW11" i="24"/>
  <c r="JV11" i="24"/>
  <c r="JU11" i="24"/>
  <c r="JT11" i="24"/>
  <c r="JS11" i="24"/>
  <c r="JR11" i="24"/>
  <c r="JQ11" i="24"/>
  <c r="JP11" i="24"/>
  <c r="JO11" i="24"/>
  <c r="JN11" i="24"/>
  <c r="JM11" i="24"/>
  <c r="JL11" i="24"/>
  <c r="JK11" i="24"/>
  <c r="JJ11" i="24"/>
  <c r="JI11" i="24"/>
  <c r="JH11" i="24"/>
  <c r="JG11" i="24"/>
  <c r="JF11" i="24"/>
  <c r="JE11" i="24"/>
  <c r="JD11" i="24"/>
  <c r="JC11" i="24"/>
  <c r="JB11" i="24"/>
  <c r="JA11" i="24"/>
  <c r="IZ11" i="24"/>
  <c r="IY11" i="24"/>
  <c r="IX11" i="24"/>
  <c r="IW11" i="24"/>
  <c r="IV11" i="24"/>
  <c r="IU11" i="24"/>
  <c r="IT11" i="24"/>
  <c r="IS11" i="24"/>
  <c r="IR11" i="24"/>
  <c r="IQ11" i="24"/>
  <c r="IP11" i="24"/>
  <c r="IO11" i="24"/>
  <c r="IN11" i="24"/>
  <c r="IM11" i="24"/>
  <c r="IL11" i="24"/>
  <c r="IK11" i="24"/>
  <c r="IJ11" i="24"/>
  <c r="II11" i="24"/>
  <c r="IH11" i="24"/>
  <c r="IG11" i="24"/>
  <c r="IF11" i="24"/>
  <c r="IE11" i="24"/>
  <c r="ID11" i="24"/>
  <c r="IC11" i="24"/>
  <c r="IB11" i="24"/>
  <c r="IA11" i="24"/>
  <c r="HZ11" i="24"/>
  <c r="HY11" i="24"/>
  <c r="HX11" i="24"/>
  <c r="HW11" i="24"/>
  <c r="HV11" i="24"/>
  <c r="HU11" i="24"/>
  <c r="HT11" i="24"/>
  <c r="HS11" i="24"/>
  <c r="HR11" i="24"/>
  <c r="HQ11" i="24"/>
  <c r="HP11" i="24"/>
  <c r="HO11" i="24"/>
  <c r="HN11" i="24"/>
  <c r="HM11" i="24"/>
  <c r="HL11" i="24"/>
  <c r="HK11" i="24"/>
  <c r="HJ11" i="24"/>
  <c r="HI11" i="24"/>
  <c r="HH11" i="24"/>
  <c r="HG11" i="24"/>
  <c r="HF11" i="24"/>
  <c r="HE11" i="24"/>
  <c r="HD11" i="24"/>
  <c r="HC11" i="24"/>
  <c r="HB11" i="24"/>
  <c r="HA11" i="24"/>
  <c r="GZ11" i="24"/>
  <c r="GY11" i="24"/>
  <c r="GX11" i="24"/>
  <c r="GW11" i="24"/>
  <c r="GV11" i="24"/>
  <c r="GU11" i="24"/>
  <c r="GT11" i="24"/>
  <c r="GS11" i="24"/>
  <c r="GR11" i="24"/>
  <c r="GQ11" i="24"/>
  <c r="GP11" i="24"/>
  <c r="GO11" i="24"/>
  <c r="GN11" i="24"/>
  <c r="GM11" i="24"/>
  <c r="GL11" i="24"/>
  <c r="GK11" i="24"/>
  <c r="GJ11" i="24"/>
  <c r="GI11" i="24"/>
  <c r="GH11" i="24"/>
  <c r="GG11" i="24"/>
  <c r="GF11" i="24"/>
  <c r="GE11" i="24"/>
  <c r="GD11" i="24"/>
  <c r="GC11" i="24"/>
  <c r="GB11" i="24"/>
  <c r="GA11" i="24"/>
  <c r="FZ11" i="24"/>
  <c r="FY11" i="24"/>
  <c r="FX11" i="24"/>
  <c r="FW11" i="24"/>
  <c r="FV11" i="24"/>
  <c r="FU11" i="24"/>
  <c r="FT11" i="24"/>
  <c r="FS11" i="24"/>
  <c r="FR11" i="24"/>
  <c r="FQ11" i="24"/>
  <c r="FP11" i="24"/>
  <c r="FO11" i="24"/>
  <c r="FN11" i="24"/>
  <c r="FM11" i="24"/>
  <c r="FL11" i="24"/>
  <c r="FK11" i="24"/>
  <c r="FJ11" i="24"/>
  <c r="FI11" i="24"/>
  <c r="FH11" i="24"/>
  <c r="FG11" i="24"/>
  <c r="FF11" i="24"/>
  <c r="FE11" i="24"/>
  <c r="FD11" i="24"/>
  <c r="FC11" i="24"/>
  <c r="FB11" i="24"/>
  <c r="FA11" i="24"/>
  <c r="EZ11" i="24"/>
  <c r="EY11" i="24"/>
  <c r="EX11" i="24"/>
  <c r="EW11" i="24"/>
  <c r="EV11" i="24"/>
  <c r="EU11" i="24"/>
  <c r="ET11" i="24"/>
  <c r="ES11" i="24"/>
  <c r="ER11" i="24"/>
  <c r="EQ11" i="24"/>
  <c r="EP11" i="24"/>
  <c r="EO11" i="24"/>
  <c r="EN11" i="24"/>
  <c r="EM11" i="24"/>
  <c r="EL11" i="24"/>
  <c r="EK11" i="24"/>
  <c r="EJ11" i="24"/>
  <c r="EI11" i="24"/>
  <c r="EH11" i="24"/>
  <c r="EG11" i="24"/>
  <c r="EF11" i="24"/>
  <c r="EE11" i="24"/>
  <c r="ED11" i="24"/>
  <c r="EC11" i="24"/>
  <c r="EB11" i="24"/>
  <c r="EA11" i="24"/>
  <c r="DZ11" i="24"/>
  <c r="DY11" i="24"/>
  <c r="DX11" i="24"/>
  <c r="DW11" i="24"/>
  <c r="DV11" i="24"/>
  <c r="DU11" i="24"/>
  <c r="DT11" i="24"/>
  <c r="DS11" i="24"/>
  <c r="DR11" i="24"/>
  <c r="DQ11" i="24"/>
  <c r="DP11" i="24"/>
  <c r="DO11" i="24"/>
  <c r="DN11" i="24"/>
  <c r="DM11" i="24"/>
  <c r="DL11" i="24"/>
  <c r="DK11" i="24"/>
  <c r="DJ11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BP11" i="24"/>
  <c r="BO11" i="24"/>
  <c r="BN11" i="24"/>
  <c r="BM11" i="24"/>
  <c r="BL11" i="24"/>
  <c r="BK11" i="24"/>
  <c r="BJ11" i="24"/>
  <c r="BI11" i="24"/>
  <c r="BH11" i="24"/>
  <c r="BG11" i="24"/>
  <c r="BF11" i="24"/>
  <c r="BE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B22" i="24" s="1"/>
  <c r="ACV10" i="24"/>
  <c r="ACU10" i="24"/>
  <c r="ACT10" i="24"/>
  <c r="ACS10" i="24"/>
  <c r="ACR10" i="24"/>
  <c r="ACQ10" i="24"/>
  <c r="ACP10" i="24"/>
  <c r="ACO10" i="24"/>
  <c r="ACN10" i="24"/>
  <c r="ACM10" i="24"/>
  <c r="ACL10" i="24"/>
  <c r="ACK10" i="24"/>
  <c r="ACJ10" i="24"/>
  <c r="ACI10" i="24"/>
  <c r="ACH10" i="24"/>
  <c r="ACG10" i="24"/>
  <c r="ACF10" i="24"/>
  <c r="ACE10" i="24"/>
  <c r="ACD10" i="24"/>
  <c r="ACC10" i="24"/>
  <c r="ACB10" i="24"/>
  <c r="ACA10" i="24"/>
  <c r="ABZ10" i="24"/>
  <c r="ABY10" i="24"/>
  <c r="ABX10" i="24"/>
  <c r="ABW10" i="24"/>
  <c r="ABV10" i="24"/>
  <c r="ABU10" i="24"/>
  <c r="ABT10" i="24"/>
  <c r="ABS10" i="24"/>
  <c r="ABR10" i="24"/>
  <c r="ABQ10" i="24"/>
  <c r="ABP10" i="24"/>
  <c r="ABO10" i="24"/>
  <c r="ABN10" i="24"/>
  <c r="ABM10" i="24"/>
  <c r="ABL10" i="24"/>
  <c r="ABK10" i="24"/>
  <c r="ABJ10" i="24"/>
  <c r="ABI10" i="24"/>
  <c r="ABH10" i="24"/>
  <c r="ABG10" i="24"/>
  <c r="ABF10" i="24"/>
  <c r="ABE10" i="24"/>
  <c r="ABD10" i="24"/>
  <c r="ABC10" i="24"/>
  <c r="ABB10" i="24"/>
  <c r="ABA10" i="24"/>
  <c r="AAZ10" i="24"/>
  <c r="AAY10" i="24"/>
  <c r="AAX10" i="24"/>
  <c r="AAW10" i="24"/>
  <c r="AAV10" i="24"/>
  <c r="AAU10" i="24"/>
  <c r="AAT10" i="24"/>
  <c r="AAS10" i="24"/>
  <c r="AAR10" i="24"/>
  <c r="AAQ10" i="24"/>
  <c r="AAP10" i="24"/>
  <c r="AAO10" i="24"/>
  <c r="AAN10" i="24"/>
  <c r="AAM10" i="24"/>
  <c r="AAL10" i="24"/>
  <c r="AAK10" i="24"/>
  <c r="AAJ10" i="24"/>
  <c r="AAI10" i="24"/>
  <c r="AAH10" i="24"/>
  <c r="AAG10" i="24"/>
  <c r="AAF10" i="24"/>
  <c r="AAE10" i="24"/>
  <c r="AAD10" i="24"/>
  <c r="AAC10" i="24"/>
  <c r="AAB10" i="24"/>
  <c r="AAA10" i="24"/>
  <c r="ZZ10" i="24"/>
  <c r="ZY10" i="24"/>
  <c r="ZX10" i="24"/>
  <c r="ZW10" i="24"/>
  <c r="ZV10" i="24"/>
  <c r="ZU10" i="24"/>
  <c r="ZT10" i="24"/>
  <c r="ZS10" i="24"/>
  <c r="ZR10" i="24"/>
  <c r="ZQ10" i="24"/>
  <c r="ZP10" i="24"/>
  <c r="ZO10" i="24"/>
  <c r="ZN10" i="24"/>
  <c r="ZM10" i="24"/>
  <c r="ZL10" i="24"/>
  <c r="ZK10" i="24"/>
  <c r="ZJ10" i="24"/>
  <c r="ZI10" i="24"/>
  <c r="ZH10" i="24"/>
  <c r="ZG10" i="24"/>
  <c r="ZF10" i="24"/>
  <c r="ZE10" i="24"/>
  <c r="ZD10" i="24"/>
  <c r="ZC10" i="24"/>
  <c r="ZB10" i="24"/>
  <c r="ZA10" i="24"/>
  <c r="YZ10" i="24"/>
  <c r="YY10" i="24"/>
  <c r="YX10" i="24"/>
  <c r="YW10" i="24"/>
  <c r="YV10" i="24"/>
  <c r="YU10" i="24"/>
  <c r="YT10" i="24"/>
  <c r="YS10" i="24"/>
  <c r="YR10" i="24"/>
  <c r="YQ10" i="24"/>
  <c r="YP10" i="24"/>
  <c r="YO10" i="24"/>
  <c r="YN10" i="24"/>
  <c r="YM10" i="24"/>
  <c r="YL10" i="24"/>
  <c r="YK10" i="24"/>
  <c r="YJ10" i="24"/>
  <c r="YI10" i="24"/>
  <c r="YH10" i="24"/>
  <c r="YG10" i="24"/>
  <c r="YF10" i="24"/>
  <c r="YE10" i="24"/>
  <c r="YD10" i="24"/>
  <c r="YC10" i="24"/>
  <c r="YB10" i="24"/>
  <c r="YA10" i="24"/>
  <c r="XZ10" i="24"/>
  <c r="XY10" i="24"/>
  <c r="XX10" i="24"/>
  <c r="XW10" i="24"/>
  <c r="XV10" i="24"/>
  <c r="XU10" i="24"/>
  <c r="XT10" i="24"/>
  <c r="XS10" i="24"/>
  <c r="XR10" i="24"/>
  <c r="XQ10" i="24"/>
  <c r="XP10" i="24"/>
  <c r="XO10" i="24"/>
  <c r="XN10" i="24"/>
  <c r="XM10" i="24"/>
  <c r="XL10" i="24"/>
  <c r="XK10" i="24"/>
  <c r="XJ10" i="24"/>
  <c r="XI10" i="24"/>
  <c r="XH10" i="24"/>
  <c r="XG10" i="24"/>
  <c r="XF10" i="24"/>
  <c r="XE10" i="24"/>
  <c r="XD10" i="24"/>
  <c r="XC10" i="24"/>
  <c r="XB10" i="24"/>
  <c r="XA10" i="24"/>
  <c r="WZ10" i="24"/>
  <c r="WY10" i="24"/>
  <c r="WX10" i="24"/>
  <c r="WW10" i="24"/>
  <c r="WV10" i="24"/>
  <c r="WU10" i="24"/>
  <c r="WT10" i="24"/>
  <c r="WS10" i="24"/>
  <c r="WR10" i="24"/>
  <c r="WQ10" i="24"/>
  <c r="WP10" i="24"/>
  <c r="WO10" i="24"/>
  <c r="WN10" i="24"/>
  <c r="WM10" i="24"/>
  <c r="WL10" i="24"/>
  <c r="WK10" i="24"/>
  <c r="WJ10" i="24"/>
  <c r="WI10" i="24"/>
  <c r="WH10" i="24"/>
  <c r="WG10" i="24"/>
  <c r="WF10" i="24"/>
  <c r="WE10" i="24"/>
  <c r="WD10" i="24"/>
  <c r="WC10" i="24"/>
  <c r="WB10" i="24"/>
  <c r="WA10" i="24"/>
  <c r="VZ10" i="24"/>
  <c r="VY10" i="24"/>
  <c r="VX10" i="24"/>
  <c r="VW10" i="24"/>
  <c r="VV10" i="24"/>
  <c r="VU10" i="24"/>
  <c r="VT10" i="24"/>
  <c r="VS10" i="24"/>
  <c r="VR10" i="24"/>
  <c r="VQ10" i="24"/>
  <c r="VP10" i="24"/>
  <c r="VO10" i="24"/>
  <c r="VN10" i="24"/>
  <c r="VM10" i="24"/>
  <c r="VL10" i="24"/>
  <c r="VK10" i="24"/>
  <c r="VJ10" i="24"/>
  <c r="VI10" i="24"/>
  <c r="VH10" i="24"/>
  <c r="VG10" i="24"/>
  <c r="VF10" i="24"/>
  <c r="VE10" i="24"/>
  <c r="VD10" i="24"/>
  <c r="VC10" i="24"/>
  <c r="VB10" i="24"/>
  <c r="VA10" i="24"/>
  <c r="UZ10" i="24"/>
  <c r="UY10" i="24"/>
  <c r="UX10" i="24"/>
  <c r="UW10" i="24"/>
  <c r="UV10" i="24"/>
  <c r="UU10" i="24"/>
  <c r="UT10" i="24"/>
  <c r="US10" i="24"/>
  <c r="UR10" i="24"/>
  <c r="UQ10" i="24"/>
  <c r="UP10" i="24"/>
  <c r="UO10" i="24"/>
  <c r="UN10" i="24"/>
  <c r="UM10" i="24"/>
  <c r="UL10" i="24"/>
  <c r="UK10" i="24"/>
  <c r="UJ10" i="24"/>
  <c r="UI10" i="24"/>
  <c r="UH10" i="24"/>
  <c r="UG10" i="24"/>
  <c r="UF10" i="24"/>
  <c r="UE10" i="24"/>
  <c r="UD10" i="24"/>
  <c r="UC10" i="24"/>
  <c r="UB10" i="24"/>
  <c r="UA10" i="24"/>
  <c r="TZ10" i="24"/>
  <c r="TY10" i="24"/>
  <c r="TX10" i="24"/>
  <c r="TW10" i="24"/>
  <c r="TV10" i="24"/>
  <c r="TU10" i="24"/>
  <c r="TT10" i="24"/>
  <c r="TS10" i="24"/>
  <c r="TR10" i="24"/>
  <c r="TQ10" i="24"/>
  <c r="TP10" i="24"/>
  <c r="TO10" i="24"/>
  <c r="TN10" i="24"/>
  <c r="TM10" i="24"/>
  <c r="TL10" i="24"/>
  <c r="TK10" i="24"/>
  <c r="TJ10" i="24"/>
  <c r="TI10" i="24"/>
  <c r="TH10" i="24"/>
  <c r="TG10" i="24"/>
  <c r="TF10" i="24"/>
  <c r="TE10" i="24"/>
  <c r="TD10" i="24"/>
  <c r="TC10" i="24"/>
  <c r="TB10" i="24"/>
  <c r="TA10" i="24"/>
  <c r="SZ10" i="24"/>
  <c r="SY10" i="24"/>
  <c r="SX10" i="24"/>
  <c r="SW10" i="24"/>
  <c r="SV10" i="24"/>
  <c r="SU10" i="24"/>
  <c r="ST10" i="24"/>
  <c r="SS10" i="24"/>
  <c r="SR10" i="24"/>
  <c r="SQ10" i="24"/>
  <c r="SP10" i="24"/>
  <c r="SO10" i="24"/>
  <c r="SN10" i="24"/>
  <c r="SM10" i="24"/>
  <c r="SL10" i="24"/>
  <c r="SK10" i="24"/>
  <c r="SJ10" i="24"/>
  <c r="SI10" i="24"/>
  <c r="SH10" i="24"/>
  <c r="SG10" i="24"/>
  <c r="SF10" i="24"/>
  <c r="SE10" i="24"/>
  <c r="SD10" i="24"/>
  <c r="SC10" i="24"/>
  <c r="SB10" i="24"/>
  <c r="SA10" i="24"/>
  <c r="RZ10" i="24"/>
  <c r="RY10" i="24"/>
  <c r="RX10" i="24"/>
  <c r="RW10" i="24"/>
  <c r="RV10" i="24"/>
  <c r="RU10" i="24"/>
  <c r="RT10" i="24"/>
  <c r="RS10" i="24"/>
  <c r="RR10" i="24"/>
  <c r="RQ10" i="24"/>
  <c r="RP10" i="24"/>
  <c r="RO10" i="24"/>
  <c r="RN10" i="24"/>
  <c r="RM10" i="24"/>
  <c r="RL10" i="24"/>
  <c r="RK10" i="24"/>
  <c r="RJ10" i="24"/>
  <c r="RI10" i="24"/>
  <c r="RH10" i="24"/>
  <c r="RG10" i="24"/>
  <c r="RF10" i="24"/>
  <c r="RE10" i="24"/>
  <c r="RD10" i="24"/>
  <c r="RC10" i="24"/>
  <c r="RB10" i="24"/>
  <c r="RA10" i="24"/>
  <c r="QZ10" i="24"/>
  <c r="QY10" i="24"/>
  <c r="QX10" i="24"/>
  <c r="QW10" i="24"/>
  <c r="QV10" i="24"/>
  <c r="QU10" i="24"/>
  <c r="QT10" i="24"/>
  <c r="QS10" i="24"/>
  <c r="QR10" i="24"/>
  <c r="QQ10" i="24"/>
  <c r="QP10" i="24"/>
  <c r="QO10" i="24"/>
  <c r="QN10" i="24"/>
  <c r="QM10" i="24"/>
  <c r="QL10" i="24"/>
  <c r="QK10" i="24"/>
  <c r="QJ10" i="24"/>
  <c r="QI10" i="24"/>
  <c r="QH10" i="24"/>
  <c r="QG10" i="24"/>
  <c r="QF10" i="24"/>
  <c r="QE10" i="24"/>
  <c r="QD10" i="24"/>
  <c r="QC10" i="24"/>
  <c r="QB10" i="24"/>
  <c r="QA10" i="24"/>
  <c r="PZ10" i="24"/>
  <c r="PY10" i="24"/>
  <c r="PX10" i="24"/>
  <c r="PW10" i="24"/>
  <c r="PV10" i="24"/>
  <c r="PU10" i="24"/>
  <c r="PT10" i="24"/>
  <c r="PS10" i="24"/>
  <c r="PR10" i="24"/>
  <c r="PQ10" i="24"/>
  <c r="PP10" i="24"/>
  <c r="PO10" i="24"/>
  <c r="PN10" i="24"/>
  <c r="PM10" i="24"/>
  <c r="PL10" i="24"/>
  <c r="PK10" i="24"/>
  <c r="PJ10" i="24"/>
  <c r="PI10" i="24"/>
  <c r="PH10" i="24"/>
  <c r="PG10" i="24"/>
  <c r="PF10" i="24"/>
  <c r="PE10" i="24"/>
  <c r="PD10" i="24"/>
  <c r="PC10" i="24"/>
  <c r="PB10" i="24"/>
  <c r="PA10" i="24"/>
  <c r="OZ10" i="24"/>
  <c r="OY10" i="24"/>
  <c r="OX10" i="24"/>
  <c r="OW10" i="24"/>
  <c r="OV10" i="24"/>
  <c r="OU10" i="24"/>
  <c r="OT10" i="24"/>
  <c r="OS10" i="24"/>
  <c r="OR10" i="24"/>
  <c r="OQ10" i="24"/>
  <c r="OP10" i="24"/>
  <c r="OO10" i="24"/>
  <c r="ON10" i="24"/>
  <c r="OM10" i="24"/>
  <c r="OL10" i="24"/>
  <c r="OK10" i="24"/>
  <c r="OJ10" i="24"/>
  <c r="OI10" i="24"/>
  <c r="OH10" i="24"/>
  <c r="OG10" i="24"/>
  <c r="OF10" i="24"/>
  <c r="OE10" i="24"/>
  <c r="OD10" i="24"/>
  <c r="OC10" i="24"/>
  <c r="OB10" i="24"/>
  <c r="OA10" i="24"/>
  <c r="NZ10" i="24"/>
  <c r="NY10" i="24"/>
  <c r="NX10" i="24"/>
  <c r="NW10" i="24"/>
  <c r="NV10" i="24"/>
  <c r="NU10" i="24"/>
  <c r="NT10" i="24"/>
  <c r="NS10" i="24"/>
  <c r="NR10" i="24"/>
  <c r="NQ10" i="24"/>
  <c r="NP10" i="24"/>
  <c r="NO10" i="24"/>
  <c r="NN10" i="24"/>
  <c r="NM10" i="24"/>
  <c r="NL10" i="24"/>
  <c r="NK10" i="24"/>
  <c r="NJ10" i="24"/>
  <c r="NI10" i="24"/>
  <c r="NH10" i="24"/>
  <c r="NG10" i="24"/>
  <c r="NF10" i="24"/>
  <c r="NE10" i="24"/>
  <c r="ND10" i="24"/>
  <c r="NC10" i="24"/>
  <c r="NB10" i="24"/>
  <c r="NA10" i="24"/>
  <c r="MZ10" i="24"/>
  <c r="MY10" i="24"/>
  <c r="MX10" i="24"/>
  <c r="MW10" i="24"/>
  <c r="MV10" i="24"/>
  <c r="MU10" i="24"/>
  <c r="MT10" i="24"/>
  <c r="MS10" i="24"/>
  <c r="MR10" i="24"/>
  <c r="MQ10" i="24"/>
  <c r="MP10" i="24"/>
  <c r="MO10" i="24"/>
  <c r="MN10" i="24"/>
  <c r="MM10" i="24"/>
  <c r="ML10" i="24"/>
  <c r="MK10" i="24"/>
  <c r="MJ10" i="24"/>
  <c r="MI10" i="24"/>
  <c r="MH10" i="24"/>
  <c r="MG10" i="24"/>
  <c r="MF10" i="24"/>
  <c r="ME10" i="24"/>
  <c r="MD10" i="24"/>
  <c r="MC10" i="24"/>
  <c r="MB10" i="24"/>
  <c r="MA10" i="24"/>
  <c r="LZ10" i="24"/>
  <c r="LY10" i="24"/>
  <c r="LX10" i="24"/>
  <c r="LW10" i="24"/>
  <c r="LV10" i="24"/>
  <c r="LU10" i="24"/>
  <c r="LT10" i="24"/>
  <c r="LS10" i="24"/>
  <c r="LR10" i="24"/>
  <c r="LQ10" i="24"/>
  <c r="LP10" i="24"/>
  <c r="LO10" i="24"/>
  <c r="LN10" i="24"/>
  <c r="LM10" i="24"/>
  <c r="LL10" i="24"/>
  <c r="LK10" i="24"/>
  <c r="LJ10" i="24"/>
  <c r="LI10" i="24"/>
  <c r="LH10" i="24"/>
  <c r="LG10" i="24"/>
  <c r="LF10" i="24"/>
  <c r="LE10" i="24"/>
  <c r="LD10" i="24"/>
  <c r="LC10" i="24"/>
  <c r="LB10" i="24"/>
  <c r="LA10" i="24"/>
  <c r="KZ10" i="24"/>
  <c r="KY10" i="24"/>
  <c r="KX10" i="24"/>
  <c r="KW10" i="24"/>
  <c r="KV10" i="24"/>
  <c r="KU10" i="24"/>
  <c r="KT10" i="24"/>
  <c r="KS10" i="24"/>
  <c r="KR10" i="24"/>
  <c r="KQ10" i="24"/>
  <c r="KP10" i="24"/>
  <c r="KO10" i="24"/>
  <c r="KN10" i="24"/>
  <c r="KM10" i="24"/>
  <c r="KL10" i="24"/>
  <c r="KK10" i="24"/>
  <c r="KJ10" i="24"/>
  <c r="KI10" i="24"/>
  <c r="KH10" i="24"/>
  <c r="KG10" i="24"/>
  <c r="KF10" i="24"/>
  <c r="KE10" i="24"/>
  <c r="KD10" i="24"/>
  <c r="KC10" i="24"/>
  <c r="KB10" i="24"/>
  <c r="KA10" i="24"/>
  <c r="JZ10" i="24"/>
  <c r="JY10" i="24"/>
  <c r="JX10" i="24"/>
  <c r="JW10" i="24"/>
  <c r="JV10" i="24"/>
  <c r="JU10" i="24"/>
  <c r="JT10" i="24"/>
  <c r="JS10" i="24"/>
  <c r="JR10" i="24"/>
  <c r="JQ10" i="24"/>
  <c r="JP10" i="24"/>
  <c r="JO10" i="24"/>
  <c r="JN10" i="24"/>
  <c r="JM10" i="24"/>
  <c r="JL10" i="24"/>
  <c r="JK10" i="24"/>
  <c r="JJ10" i="24"/>
  <c r="JI10" i="24"/>
  <c r="JH10" i="24"/>
  <c r="JG10" i="24"/>
  <c r="JF10" i="24"/>
  <c r="JE10" i="24"/>
  <c r="JD10" i="24"/>
  <c r="JC10" i="24"/>
  <c r="JB10" i="24"/>
  <c r="JA10" i="24"/>
  <c r="IZ10" i="24"/>
  <c r="IY10" i="24"/>
  <c r="IX10" i="24"/>
  <c r="IW10" i="24"/>
  <c r="IV10" i="24"/>
  <c r="IU10" i="24"/>
  <c r="IT10" i="24"/>
  <c r="IS10" i="24"/>
  <c r="IR10" i="24"/>
  <c r="IQ10" i="24"/>
  <c r="IP10" i="24"/>
  <c r="IO10" i="24"/>
  <c r="IN10" i="24"/>
  <c r="IM10" i="24"/>
  <c r="IL10" i="24"/>
  <c r="IK10" i="24"/>
  <c r="IJ10" i="24"/>
  <c r="II10" i="24"/>
  <c r="IH10" i="24"/>
  <c r="IG10" i="24"/>
  <c r="IF10" i="24"/>
  <c r="IE10" i="24"/>
  <c r="ID10" i="24"/>
  <c r="IC10" i="24"/>
  <c r="IB10" i="24"/>
  <c r="IA10" i="24"/>
  <c r="HZ10" i="24"/>
  <c r="HY10" i="24"/>
  <c r="HX10" i="24"/>
  <c r="HW10" i="24"/>
  <c r="HV10" i="24"/>
  <c r="HU10" i="24"/>
  <c r="HT10" i="24"/>
  <c r="HS10" i="24"/>
  <c r="HR10" i="24"/>
  <c r="HQ10" i="24"/>
  <c r="HP10" i="24"/>
  <c r="HO10" i="24"/>
  <c r="HN10" i="24"/>
  <c r="HM10" i="24"/>
  <c r="HL10" i="24"/>
  <c r="HK10" i="24"/>
  <c r="HJ10" i="24"/>
  <c r="HI10" i="24"/>
  <c r="HH10" i="24"/>
  <c r="HG10" i="24"/>
  <c r="HF10" i="24"/>
  <c r="HE10" i="24"/>
  <c r="HD10" i="24"/>
  <c r="HC10" i="24"/>
  <c r="HB10" i="24"/>
  <c r="HA10" i="24"/>
  <c r="GZ10" i="24"/>
  <c r="GY10" i="24"/>
  <c r="GX10" i="24"/>
  <c r="GW10" i="24"/>
  <c r="GV10" i="24"/>
  <c r="GU10" i="24"/>
  <c r="GT10" i="24"/>
  <c r="GS10" i="24"/>
  <c r="GR10" i="24"/>
  <c r="GQ10" i="24"/>
  <c r="GP10" i="24"/>
  <c r="GO10" i="24"/>
  <c r="GN10" i="24"/>
  <c r="GM10" i="24"/>
  <c r="GL10" i="24"/>
  <c r="GK10" i="24"/>
  <c r="GJ10" i="24"/>
  <c r="GI10" i="24"/>
  <c r="GH10" i="24"/>
  <c r="GG10" i="24"/>
  <c r="GF10" i="24"/>
  <c r="GE10" i="24"/>
  <c r="GD10" i="24"/>
  <c r="GC10" i="24"/>
  <c r="GB10" i="24"/>
  <c r="GA10" i="24"/>
  <c r="FZ10" i="24"/>
  <c r="FY10" i="24"/>
  <c r="FX10" i="24"/>
  <c r="FW10" i="24"/>
  <c r="FV10" i="24"/>
  <c r="FU10" i="24"/>
  <c r="FT10" i="24"/>
  <c r="FS10" i="24"/>
  <c r="FR10" i="24"/>
  <c r="FQ10" i="24"/>
  <c r="FP10" i="24"/>
  <c r="FO10" i="24"/>
  <c r="FN10" i="24"/>
  <c r="FM10" i="24"/>
  <c r="FL10" i="24"/>
  <c r="FK10" i="24"/>
  <c r="FJ10" i="24"/>
  <c r="FI10" i="24"/>
  <c r="FH10" i="24"/>
  <c r="FG10" i="24"/>
  <c r="FF10" i="24"/>
  <c r="FE10" i="24"/>
  <c r="FD10" i="24"/>
  <c r="FC10" i="24"/>
  <c r="FB10" i="24"/>
  <c r="FA10" i="24"/>
  <c r="EZ10" i="24"/>
  <c r="EY10" i="24"/>
  <c r="EX10" i="24"/>
  <c r="EW10" i="24"/>
  <c r="EV10" i="24"/>
  <c r="EU10" i="24"/>
  <c r="ET10" i="24"/>
  <c r="ES10" i="24"/>
  <c r="ER10" i="24"/>
  <c r="EQ10" i="24"/>
  <c r="EP10" i="24"/>
  <c r="EO10" i="24"/>
  <c r="EN10" i="24"/>
  <c r="EM10" i="24"/>
  <c r="EL10" i="24"/>
  <c r="EK10" i="24"/>
  <c r="EJ10" i="24"/>
  <c r="EI10" i="24"/>
  <c r="EH10" i="24"/>
  <c r="EG10" i="24"/>
  <c r="EF10" i="24"/>
  <c r="EE10" i="24"/>
  <c r="ED10" i="24"/>
  <c r="EC10" i="24"/>
  <c r="EB10" i="24"/>
  <c r="EA10" i="24"/>
  <c r="DZ10" i="24"/>
  <c r="DY10" i="24"/>
  <c r="DX10" i="24"/>
  <c r="DW10" i="24"/>
  <c r="DV10" i="24"/>
  <c r="DU10" i="24"/>
  <c r="DT10" i="24"/>
  <c r="DS10" i="24"/>
  <c r="DR10" i="24"/>
  <c r="DQ10" i="24"/>
  <c r="DP10" i="24"/>
  <c r="DO10" i="24"/>
  <c r="DN10" i="24"/>
  <c r="DM10" i="24"/>
  <c r="DL10" i="24"/>
  <c r="DK10" i="24"/>
  <c r="DJ10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BP10" i="24"/>
  <c r="BO10" i="24"/>
  <c r="BN10" i="24"/>
  <c r="BM10" i="24"/>
  <c r="BL10" i="24"/>
  <c r="BK10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B21" i="24" s="1"/>
  <c r="ACV9" i="24"/>
  <c r="ACU9" i="24"/>
  <c r="ACT9" i="24"/>
  <c r="ACS9" i="24"/>
  <c r="ACR9" i="24"/>
  <c r="ACQ9" i="24"/>
  <c r="ACP9" i="24"/>
  <c r="ACO9" i="24"/>
  <c r="ACN9" i="24"/>
  <c r="ACM9" i="24"/>
  <c r="ACL9" i="24"/>
  <c r="ACK9" i="24"/>
  <c r="ACJ9" i="24"/>
  <c r="ACI9" i="24"/>
  <c r="ACH9" i="24"/>
  <c r="ACG9" i="24"/>
  <c r="ACF9" i="24"/>
  <c r="ACE9" i="24"/>
  <c r="ACD9" i="24"/>
  <c r="ACC9" i="24"/>
  <c r="ACB9" i="24"/>
  <c r="ACA9" i="24"/>
  <c r="ABZ9" i="24"/>
  <c r="ABY9" i="24"/>
  <c r="ABX9" i="24"/>
  <c r="ABW9" i="24"/>
  <c r="ABV9" i="24"/>
  <c r="ABU9" i="24"/>
  <c r="ABT9" i="24"/>
  <c r="ABS9" i="24"/>
  <c r="ABR9" i="24"/>
  <c r="ABQ9" i="24"/>
  <c r="ABP9" i="24"/>
  <c r="ABO9" i="24"/>
  <c r="ABN9" i="24"/>
  <c r="ABM9" i="24"/>
  <c r="ABL9" i="24"/>
  <c r="ABK9" i="24"/>
  <c r="ABJ9" i="24"/>
  <c r="ABI9" i="24"/>
  <c r="ABH9" i="24"/>
  <c r="ABG9" i="24"/>
  <c r="ABF9" i="24"/>
  <c r="ABE9" i="24"/>
  <c r="ABD9" i="24"/>
  <c r="ABC9" i="24"/>
  <c r="ABB9" i="24"/>
  <c r="ABA9" i="24"/>
  <c r="AAZ9" i="24"/>
  <c r="AAY9" i="24"/>
  <c r="AAX9" i="24"/>
  <c r="AAW9" i="24"/>
  <c r="AAV9" i="24"/>
  <c r="AAU9" i="24"/>
  <c r="AAT9" i="24"/>
  <c r="AAS9" i="24"/>
  <c r="AAR9" i="24"/>
  <c r="AAQ9" i="24"/>
  <c r="AAP9" i="24"/>
  <c r="AAO9" i="24"/>
  <c r="AAN9" i="24"/>
  <c r="AAM9" i="24"/>
  <c r="AAL9" i="24"/>
  <c r="AAK9" i="24"/>
  <c r="AAJ9" i="24"/>
  <c r="AAI9" i="24"/>
  <c r="AAH9" i="24"/>
  <c r="AAG9" i="24"/>
  <c r="AAF9" i="24"/>
  <c r="AAE9" i="24"/>
  <c r="AAD9" i="24"/>
  <c r="AAC9" i="24"/>
  <c r="AAB9" i="24"/>
  <c r="AAA9" i="24"/>
  <c r="ZZ9" i="24"/>
  <c r="ZY9" i="24"/>
  <c r="ZX9" i="24"/>
  <c r="ZW9" i="24"/>
  <c r="ZV9" i="24"/>
  <c r="ZU9" i="24"/>
  <c r="ZT9" i="24"/>
  <c r="ZS9" i="24"/>
  <c r="ZR9" i="24"/>
  <c r="ZQ9" i="24"/>
  <c r="ZP9" i="24"/>
  <c r="ZO9" i="24"/>
  <c r="ZN9" i="24"/>
  <c r="ZM9" i="24"/>
  <c r="ZL9" i="24"/>
  <c r="ZK9" i="24"/>
  <c r="ZJ9" i="24"/>
  <c r="ZI9" i="24"/>
  <c r="ZH9" i="24"/>
  <c r="ZG9" i="24"/>
  <c r="ZF9" i="24"/>
  <c r="ZE9" i="24"/>
  <c r="ZD9" i="24"/>
  <c r="ZC9" i="24"/>
  <c r="ZB9" i="24"/>
  <c r="ZA9" i="24"/>
  <c r="YZ9" i="24"/>
  <c r="YY9" i="24"/>
  <c r="YX9" i="24"/>
  <c r="YW9" i="24"/>
  <c r="YV9" i="24"/>
  <c r="YU9" i="24"/>
  <c r="YT9" i="24"/>
  <c r="YS9" i="24"/>
  <c r="YR9" i="24"/>
  <c r="YQ9" i="24"/>
  <c r="YP9" i="24"/>
  <c r="YO9" i="24"/>
  <c r="YN9" i="24"/>
  <c r="YM9" i="24"/>
  <c r="YL9" i="24"/>
  <c r="YK9" i="24"/>
  <c r="YJ9" i="24"/>
  <c r="YI9" i="24"/>
  <c r="YH9" i="24"/>
  <c r="YG9" i="24"/>
  <c r="YF9" i="24"/>
  <c r="YE9" i="24"/>
  <c r="YD9" i="24"/>
  <c r="YC9" i="24"/>
  <c r="YB9" i="24"/>
  <c r="YA9" i="24"/>
  <c r="XZ9" i="24"/>
  <c r="XY9" i="24"/>
  <c r="XX9" i="24"/>
  <c r="XW9" i="24"/>
  <c r="XV9" i="24"/>
  <c r="XU9" i="24"/>
  <c r="XT9" i="24"/>
  <c r="XS9" i="24"/>
  <c r="XR9" i="24"/>
  <c r="XQ9" i="24"/>
  <c r="XP9" i="24"/>
  <c r="XO9" i="24"/>
  <c r="XN9" i="24"/>
  <c r="XM9" i="24"/>
  <c r="XL9" i="24"/>
  <c r="XK9" i="24"/>
  <c r="XJ9" i="24"/>
  <c r="XI9" i="24"/>
  <c r="XH9" i="24"/>
  <c r="XG9" i="24"/>
  <c r="XF9" i="24"/>
  <c r="XE9" i="24"/>
  <c r="XD9" i="24"/>
  <c r="XC9" i="24"/>
  <c r="XB9" i="24"/>
  <c r="XA9" i="24"/>
  <c r="WZ9" i="24"/>
  <c r="WY9" i="24"/>
  <c r="WX9" i="24"/>
  <c r="WW9" i="24"/>
  <c r="WV9" i="24"/>
  <c r="WU9" i="24"/>
  <c r="WT9" i="24"/>
  <c r="WS9" i="24"/>
  <c r="WR9" i="24"/>
  <c r="WQ9" i="24"/>
  <c r="WP9" i="24"/>
  <c r="WO9" i="24"/>
  <c r="WN9" i="24"/>
  <c r="WM9" i="24"/>
  <c r="WL9" i="24"/>
  <c r="WK9" i="24"/>
  <c r="WJ9" i="24"/>
  <c r="WI9" i="24"/>
  <c r="WH9" i="24"/>
  <c r="WG9" i="24"/>
  <c r="WF9" i="24"/>
  <c r="WE9" i="24"/>
  <c r="WD9" i="24"/>
  <c r="WC9" i="24"/>
  <c r="WB9" i="24"/>
  <c r="WA9" i="24"/>
  <c r="VZ9" i="24"/>
  <c r="VY9" i="24"/>
  <c r="VX9" i="24"/>
  <c r="VW9" i="24"/>
  <c r="VV9" i="24"/>
  <c r="VU9" i="24"/>
  <c r="VT9" i="24"/>
  <c r="VS9" i="24"/>
  <c r="VR9" i="24"/>
  <c r="VQ9" i="24"/>
  <c r="VP9" i="24"/>
  <c r="VO9" i="24"/>
  <c r="VN9" i="24"/>
  <c r="VM9" i="24"/>
  <c r="VL9" i="24"/>
  <c r="VK9" i="24"/>
  <c r="VJ9" i="24"/>
  <c r="VI9" i="24"/>
  <c r="VH9" i="24"/>
  <c r="VG9" i="24"/>
  <c r="VF9" i="24"/>
  <c r="VE9" i="24"/>
  <c r="VD9" i="24"/>
  <c r="VC9" i="24"/>
  <c r="VB9" i="24"/>
  <c r="VA9" i="24"/>
  <c r="UZ9" i="24"/>
  <c r="UY9" i="24"/>
  <c r="UX9" i="24"/>
  <c r="UW9" i="24"/>
  <c r="UV9" i="24"/>
  <c r="UU9" i="24"/>
  <c r="UT9" i="24"/>
  <c r="US9" i="24"/>
  <c r="UR9" i="24"/>
  <c r="UQ9" i="24"/>
  <c r="UP9" i="24"/>
  <c r="UO9" i="24"/>
  <c r="UN9" i="24"/>
  <c r="UM9" i="24"/>
  <c r="UL9" i="24"/>
  <c r="UK9" i="24"/>
  <c r="UJ9" i="24"/>
  <c r="UI9" i="24"/>
  <c r="UH9" i="24"/>
  <c r="UG9" i="24"/>
  <c r="UF9" i="24"/>
  <c r="UE9" i="24"/>
  <c r="UD9" i="24"/>
  <c r="UC9" i="24"/>
  <c r="UB9" i="24"/>
  <c r="UA9" i="24"/>
  <c r="TZ9" i="24"/>
  <c r="TY9" i="24"/>
  <c r="TX9" i="24"/>
  <c r="TW9" i="24"/>
  <c r="TV9" i="24"/>
  <c r="TU9" i="24"/>
  <c r="TT9" i="24"/>
  <c r="TS9" i="24"/>
  <c r="TR9" i="24"/>
  <c r="TQ9" i="24"/>
  <c r="TP9" i="24"/>
  <c r="TO9" i="24"/>
  <c r="TN9" i="24"/>
  <c r="TM9" i="24"/>
  <c r="TL9" i="24"/>
  <c r="TK9" i="24"/>
  <c r="TJ9" i="24"/>
  <c r="TI9" i="24"/>
  <c r="TH9" i="24"/>
  <c r="TG9" i="24"/>
  <c r="TF9" i="24"/>
  <c r="TE9" i="24"/>
  <c r="TD9" i="24"/>
  <c r="TC9" i="24"/>
  <c r="TB9" i="24"/>
  <c r="TA9" i="24"/>
  <c r="SZ9" i="24"/>
  <c r="SY9" i="24"/>
  <c r="SX9" i="24"/>
  <c r="SW9" i="24"/>
  <c r="SV9" i="24"/>
  <c r="SU9" i="24"/>
  <c r="ST9" i="24"/>
  <c r="SS9" i="24"/>
  <c r="SR9" i="24"/>
  <c r="SQ9" i="24"/>
  <c r="SP9" i="24"/>
  <c r="SO9" i="24"/>
  <c r="SN9" i="24"/>
  <c r="SM9" i="24"/>
  <c r="SL9" i="24"/>
  <c r="SK9" i="24"/>
  <c r="SJ9" i="24"/>
  <c r="SI9" i="24"/>
  <c r="SH9" i="24"/>
  <c r="SG9" i="24"/>
  <c r="SF9" i="24"/>
  <c r="SE9" i="24"/>
  <c r="SD9" i="24"/>
  <c r="SC9" i="24"/>
  <c r="SB9" i="24"/>
  <c r="SA9" i="24"/>
  <c r="RZ9" i="24"/>
  <c r="RY9" i="24"/>
  <c r="RX9" i="24"/>
  <c r="RW9" i="24"/>
  <c r="RV9" i="24"/>
  <c r="RU9" i="24"/>
  <c r="RT9" i="24"/>
  <c r="RS9" i="24"/>
  <c r="RR9" i="24"/>
  <c r="RQ9" i="24"/>
  <c r="RP9" i="24"/>
  <c r="RO9" i="24"/>
  <c r="RN9" i="24"/>
  <c r="RM9" i="24"/>
  <c r="RL9" i="24"/>
  <c r="RK9" i="24"/>
  <c r="RJ9" i="24"/>
  <c r="RI9" i="24"/>
  <c r="RH9" i="24"/>
  <c r="RG9" i="24"/>
  <c r="RF9" i="24"/>
  <c r="RE9" i="24"/>
  <c r="RD9" i="24"/>
  <c r="RC9" i="24"/>
  <c r="RB9" i="24"/>
  <c r="RA9" i="24"/>
  <c r="QZ9" i="24"/>
  <c r="QY9" i="24"/>
  <c r="QX9" i="24"/>
  <c r="QW9" i="24"/>
  <c r="QV9" i="24"/>
  <c r="QU9" i="24"/>
  <c r="QT9" i="24"/>
  <c r="QS9" i="24"/>
  <c r="QR9" i="24"/>
  <c r="QQ9" i="24"/>
  <c r="QP9" i="24"/>
  <c r="QO9" i="24"/>
  <c r="QN9" i="24"/>
  <c r="QM9" i="24"/>
  <c r="QL9" i="24"/>
  <c r="QK9" i="24"/>
  <c r="QJ9" i="24"/>
  <c r="QI9" i="24"/>
  <c r="QH9" i="24"/>
  <c r="QG9" i="24"/>
  <c r="QF9" i="24"/>
  <c r="QE9" i="24"/>
  <c r="QD9" i="24"/>
  <c r="QC9" i="24"/>
  <c r="QB9" i="24"/>
  <c r="QA9" i="24"/>
  <c r="PZ9" i="24"/>
  <c r="PY9" i="24"/>
  <c r="PX9" i="24"/>
  <c r="PW9" i="24"/>
  <c r="PV9" i="24"/>
  <c r="PU9" i="24"/>
  <c r="PT9" i="24"/>
  <c r="PS9" i="24"/>
  <c r="PR9" i="24"/>
  <c r="PQ9" i="24"/>
  <c r="PP9" i="24"/>
  <c r="PO9" i="24"/>
  <c r="PN9" i="24"/>
  <c r="PM9" i="24"/>
  <c r="PL9" i="24"/>
  <c r="PK9" i="24"/>
  <c r="PJ9" i="24"/>
  <c r="PI9" i="24"/>
  <c r="PH9" i="24"/>
  <c r="PG9" i="24"/>
  <c r="PF9" i="24"/>
  <c r="PE9" i="24"/>
  <c r="PD9" i="24"/>
  <c r="PC9" i="24"/>
  <c r="PB9" i="24"/>
  <c r="PA9" i="24"/>
  <c r="OZ9" i="24"/>
  <c r="OY9" i="24"/>
  <c r="OX9" i="24"/>
  <c r="OW9" i="24"/>
  <c r="OV9" i="24"/>
  <c r="OU9" i="24"/>
  <c r="OT9" i="24"/>
  <c r="OS9" i="24"/>
  <c r="OR9" i="24"/>
  <c r="OQ9" i="24"/>
  <c r="OP9" i="24"/>
  <c r="OO9" i="24"/>
  <c r="ON9" i="24"/>
  <c r="OM9" i="24"/>
  <c r="OL9" i="24"/>
  <c r="OK9" i="24"/>
  <c r="OJ9" i="24"/>
  <c r="OI9" i="24"/>
  <c r="OH9" i="24"/>
  <c r="OG9" i="24"/>
  <c r="OF9" i="24"/>
  <c r="OE9" i="24"/>
  <c r="OD9" i="24"/>
  <c r="OC9" i="24"/>
  <c r="OB9" i="24"/>
  <c r="OA9" i="24"/>
  <c r="NZ9" i="24"/>
  <c r="NY9" i="24"/>
  <c r="NX9" i="24"/>
  <c r="NW9" i="24"/>
  <c r="NV9" i="24"/>
  <c r="NU9" i="24"/>
  <c r="NT9" i="24"/>
  <c r="NS9" i="24"/>
  <c r="NR9" i="24"/>
  <c r="NQ9" i="24"/>
  <c r="NP9" i="24"/>
  <c r="NO9" i="24"/>
  <c r="NN9" i="24"/>
  <c r="NM9" i="24"/>
  <c r="NL9" i="24"/>
  <c r="NK9" i="24"/>
  <c r="NJ9" i="24"/>
  <c r="NI9" i="24"/>
  <c r="NH9" i="24"/>
  <c r="NG9" i="24"/>
  <c r="NF9" i="24"/>
  <c r="NE9" i="24"/>
  <c r="ND9" i="24"/>
  <c r="NC9" i="24"/>
  <c r="NB9" i="24"/>
  <c r="NA9" i="24"/>
  <c r="MZ9" i="24"/>
  <c r="MY9" i="24"/>
  <c r="MX9" i="24"/>
  <c r="MW9" i="24"/>
  <c r="MV9" i="24"/>
  <c r="MU9" i="24"/>
  <c r="MT9" i="24"/>
  <c r="MS9" i="24"/>
  <c r="MR9" i="24"/>
  <c r="MQ9" i="24"/>
  <c r="MP9" i="24"/>
  <c r="MO9" i="24"/>
  <c r="MN9" i="24"/>
  <c r="MM9" i="24"/>
  <c r="ML9" i="24"/>
  <c r="MK9" i="24"/>
  <c r="MJ9" i="24"/>
  <c r="MI9" i="24"/>
  <c r="MH9" i="24"/>
  <c r="MG9" i="24"/>
  <c r="MF9" i="24"/>
  <c r="ME9" i="24"/>
  <c r="MD9" i="24"/>
  <c r="MC9" i="24"/>
  <c r="MB9" i="24"/>
  <c r="MA9" i="24"/>
  <c r="LZ9" i="24"/>
  <c r="LY9" i="24"/>
  <c r="LX9" i="24"/>
  <c r="LW9" i="24"/>
  <c r="LV9" i="24"/>
  <c r="LU9" i="24"/>
  <c r="LT9" i="24"/>
  <c r="LS9" i="24"/>
  <c r="LR9" i="24"/>
  <c r="LQ9" i="24"/>
  <c r="LP9" i="24"/>
  <c r="LO9" i="24"/>
  <c r="LN9" i="24"/>
  <c r="LM9" i="24"/>
  <c r="LL9" i="24"/>
  <c r="LK9" i="24"/>
  <c r="LJ9" i="24"/>
  <c r="LI9" i="24"/>
  <c r="LH9" i="24"/>
  <c r="LG9" i="24"/>
  <c r="LF9" i="24"/>
  <c r="LE9" i="24"/>
  <c r="LD9" i="24"/>
  <c r="LC9" i="24"/>
  <c r="LB9" i="24"/>
  <c r="LA9" i="24"/>
  <c r="KZ9" i="24"/>
  <c r="KY9" i="24"/>
  <c r="KX9" i="24"/>
  <c r="KW9" i="24"/>
  <c r="KV9" i="24"/>
  <c r="KU9" i="24"/>
  <c r="KT9" i="24"/>
  <c r="KS9" i="24"/>
  <c r="KR9" i="24"/>
  <c r="KQ9" i="24"/>
  <c r="KP9" i="24"/>
  <c r="KO9" i="24"/>
  <c r="KN9" i="24"/>
  <c r="KM9" i="24"/>
  <c r="KL9" i="24"/>
  <c r="KK9" i="24"/>
  <c r="KJ9" i="24"/>
  <c r="KI9" i="24"/>
  <c r="KH9" i="24"/>
  <c r="KG9" i="24"/>
  <c r="KF9" i="24"/>
  <c r="KE9" i="24"/>
  <c r="KD9" i="24"/>
  <c r="KC9" i="24"/>
  <c r="KB9" i="24"/>
  <c r="KA9" i="24"/>
  <c r="JZ9" i="24"/>
  <c r="JY9" i="24"/>
  <c r="JX9" i="24"/>
  <c r="JW9" i="24"/>
  <c r="JV9" i="24"/>
  <c r="JU9" i="24"/>
  <c r="JT9" i="24"/>
  <c r="JS9" i="24"/>
  <c r="JR9" i="24"/>
  <c r="JQ9" i="24"/>
  <c r="JP9" i="24"/>
  <c r="JO9" i="24"/>
  <c r="JN9" i="24"/>
  <c r="JM9" i="24"/>
  <c r="JL9" i="24"/>
  <c r="JK9" i="24"/>
  <c r="JJ9" i="24"/>
  <c r="JI9" i="24"/>
  <c r="JH9" i="24"/>
  <c r="JG9" i="24"/>
  <c r="JF9" i="24"/>
  <c r="JE9" i="24"/>
  <c r="JD9" i="24"/>
  <c r="JC9" i="24"/>
  <c r="JB9" i="24"/>
  <c r="JA9" i="24"/>
  <c r="IZ9" i="24"/>
  <c r="IY9" i="24"/>
  <c r="IX9" i="24"/>
  <c r="IW9" i="24"/>
  <c r="IV9" i="24"/>
  <c r="IU9" i="24"/>
  <c r="IT9" i="24"/>
  <c r="IS9" i="24"/>
  <c r="IR9" i="24"/>
  <c r="IQ9" i="24"/>
  <c r="IP9" i="24"/>
  <c r="IO9" i="24"/>
  <c r="IN9" i="24"/>
  <c r="IM9" i="24"/>
  <c r="IL9" i="24"/>
  <c r="IK9" i="24"/>
  <c r="IJ9" i="24"/>
  <c r="II9" i="24"/>
  <c r="IH9" i="24"/>
  <c r="IG9" i="24"/>
  <c r="IF9" i="24"/>
  <c r="IE9" i="24"/>
  <c r="ID9" i="24"/>
  <c r="IC9" i="24"/>
  <c r="IB9" i="24"/>
  <c r="IA9" i="24"/>
  <c r="HZ9" i="24"/>
  <c r="HY9" i="24"/>
  <c r="HX9" i="24"/>
  <c r="HW9" i="24"/>
  <c r="HV9" i="24"/>
  <c r="HU9" i="24"/>
  <c r="HT9" i="24"/>
  <c r="HS9" i="24"/>
  <c r="HR9" i="24"/>
  <c r="HQ9" i="24"/>
  <c r="HP9" i="24"/>
  <c r="HO9" i="24"/>
  <c r="HN9" i="24"/>
  <c r="HM9" i="24"/>
  <c r="HL9" i="24"/>
  <c r="HK9" i="24"/>
  <c r="HJ9" i="24"/>
  <c r="HI9" i="24"/>
  <c r="HH9" i="24"/>
  <c r="HG9" i="24"/>
  <c r="HF9" i="24"/>
  <c r="HE9" i="24"/>
  <c r="HD9" i="24"/>
  <c r="HC9" i="24"/>
  <c r="HB9" i="24"/>
  <c r="HA9" i="24"/>
  <c r="GZ9" i="24"/>
  <c r="GY9" i="24"/>
  <c r="GX9" i="24"/>
  <c r="GW9" i="24"/>
  <c r="GV9" i="24"/>
  <c r="GU9" i="24"/>
  <c r="GT9" i="24"/>
  <c r="GS9" i="24"/>
  <c r="GR9" i="24"/>
  <c r="GQ9" i="24"/>
  <c r="GP9" i="24"/>
  <c r="GO9" i="24"/>
  <c r="GN9" i="24"/>
  <c r="GM9" i="24"/>
  <c r="GL9" i="24"/>
  <c r="GK9" i="24"/>
  <c r="GJ9" i="24"/>
  <c r="GI9" i="24"/>
  <c r="GH9" i="24"/>
  <c r="GG9" i="24"/>
  <c r="GF9" i="24"/>
  <c r="GE9" i="24"/>
  <c r="GD9" i="24"/>
  <c r="GC9" i="24"/>
  <c r="GB9" i="24"/>
  <c r="GA9" i="24"/>
  <c r="FZ9" i="24"/>
  <c r="FY9" i="24"/>
  <c r="FX9" i="24"/>
  <c r="FW9" i="24"/>
  <c r="FV9" i="24"/>
  <c r="FU9" i="24"/>
  <c r="FT9" i="24"/>
  <c r="FS9" i="24"/>
  <c r="FR9" i="24"/>
  <c r="FQ9" i="24"/>
  <c r="FP9" i="24"/>
  <c r="FO9" i="24"/>
  <c r="FN9" i="24"/>
  <c r="FM9" i="24"/>
  <c r="FL9" i="24"/>
  <c r="FK9" i="24"/>
  <c r="FJ9" i="24"/>
  <c r="FI9" i="24"/>
  <c r="FH9" i="24"/>
  <c r="FG9" i="24"/>
  <c r="FF9" i="24"/>
  <c r="FE9" i="24"/>
  <c r="FD9" i="24"/>
  <c r="FC9" i="24"/>
  <c r="FB9" i="24"/>
  <c r="FA9" i="24"/>
  <c r="EZ9" i="24"/>
  <c r="EY9" i="24"/>
  <c r="EX9" i="24"/>
  <c r="EW9" i="24"/>
  <c r="EV9" i="24"/>
  <c r="EU9" i="24"/>
  <c r="ET9" i="24"/>
  <c r="ES9" i="24"/>
  <c r="ER9" i="24"/>
  <c r="EQ9" i="24"/>
  <c r="EP9" i="24"/>
  <c r="EO9" i="24"/>
  <c r="EN9" i="24"/>
  <c r="EM9" i="24"/>
  <c r="EL9" i="24"/>
  <c r="EK9" i="24"/>
  <c r="EJ9" i="24"/>
  <c r="EI9" i="24"/>
  <c r="EH9" i="24"/>
  <c r="EG9" i="24"/>
  <c r="EF9" i="24"/>
  <c r="EE9" i="24"/>
  <c r="ED9" i="24"/>
  <c r="EC9" i="24"/>
  <c r="EB9" i="24"/>
  <c r="EA9" i="24"/>
  <c r="DZ9" i="24"/>
  <c r="DY9" i="24"/>
  <c r="DX9" i="24"/>
  <c r="DW9" i="24"/>
  <c r="DV9" i="24"/>
  <c r="DU9" i="24"/>
  <c r="DT9" i="24"/>
  <c r="DS9" i="24"/>
  <c r="DR9" i="24"/>
  <c r="DQ9" i="24"/>
  <c r="DP9" i="24"/>
  <c r="DO9" i="24"/>
  <c r="DN9" i="24"/>
  <c r="DM9" i="24"/>
  <c r="DL9" i="24"/>
  <c r="DK9" i="24"/>
  <c r="DJ9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BP9" i="24"/>
  <c r="BO9" i="24"/>
  <c r="BN9" i="24"/>
  <c r="BM9" i="24"/>
  <c r="BL9" i="24"/>
  <c r="BK9" i="24"/>
  <c r="BJ9" i="24"/>
  <c r="BI9" i="24"/>
  <c r="BH9" i="24"/>
  <c r="BG9" i="24"/>
  <c r="BF9" i="24"/>
  <c r="BE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B20" i="24" s="1"/>
  <c r="ACV8" i="24"/>
  <c r="ACU8" i="24"/>
  <c r="ACT8" i="24"/>
  <c r="ACS8" i="24"/>
  <c r="ACR8" i="24"/>
  <c r="ACQ8" i="24"/>
  <c r="ACP8" i="24"/>
  <c r="ACO8" i="24"/>
  <c r="ACN8" i="24"/>
  <c r="ACM8" i="24"/>
  <c r="ACL8" i="24"/>
  <c r="ACK8" i="24"/>
  <c r="ACJ8" i="24"/>
  <c r="ACI8" i="24"/>
  <c r="ACH8" i="24"/>
  <c r="ACG8" i="24"/>
  <c r="ACF8" i="24"/>
  <c r="ACE8" i="24"/>
  <c r="ACD8" i="24"/>
  <c r="ACC8" i="24"/>
  <c r="ACB8" i="24"/>
  <c r="ACA8" i="24"/>
  <c r="ABZ8" i="24"/>
  <c r="ABY8" i="24"/>
  <c r="ABX8" i="24"/>
  <c r="ABW8" i="24"/>
  <c r="ABV8" i="24"/>
  <c r="ABU8" i="24"/>
  <c r="ABT8" i="24"/>
  <c r="ABS8" i="24"/>
  <c r="ABR8" i="24"/>
  <c r="ABQ8" i="24"/>
  <c r="ABP8" i="24"/>
  <c r="ABO8" i="24"/>
  <c r="ABN8" i="24"/>
  <c r="ABM8" i="24"/>
  <c r="ABL8" i="24"/>
  <c r="ABK8" i="24"/>
  <c r="ABJ8" i="24"/>
  <c r="ABI8" i="24"/>
  <c r="ABH8" i="24"/>
  <c r="ABG8" i="24"/>
  <c r="ABF8" i="24"/>
  <c r="ABE8" i="24"/>
  <c r="ABD8" i="24"/>
  <c r="ABC8" i="24"/>
  <c r="ABB8" i="24"/>
  <c r="ABA8" i="24"/>
  <c r="AAZ8" i="24"/>
  <c r="AAY8" i="24"/>
  <c r="AAX8" i="24"/>
  <c r="AAW8" i="24"/>
  <c r="AAV8" i="24"/>
  <c r="AAU8" i="24"/>
  <c r="AAT8" i="24"/>
  <c r="AAS8" i="24"/>
  <c r="AAR8" i="24"/>
  <c r="AAQ8" i="24"/>
  <c r="AAP8" i="24"/>
  <c r="AAO8" i="24"/>
  <c r="AAN8" i="24"/>
  <c r="AAM8" i="24"/>
  <c r="AAL8" i="24"/>
  <c r="AAK8" i="24"/>
  <c r="AAJ8" i="24"/>
  <c r="AAI8" i="24"/>
  <c r="AAH8" i="24"/>
  <c r="AAG8" i="24"/>
  <c r="AAF8" i="24"/>
  <c r="AAE8" i="24"/>
  <c r="AAD8" i="24"/>
  <c r="AAC8" i="24"/>
  <c r="AAB8" i="24"/>
  <c r="AAA8" i="24"/>
  <c r="ZZ8" i="24"/>
  <c r="ZY8" i="24"/>
  <c r="ZX8" i="24"/>
  <c r="ZW8" i="24"/>
  <c r="ZV8" i="24"/>
  <c r="ZU8" i="24"/>
  <c r="ZT8" i="24"/>
  <c r="ZS8" i="24"/>
  <c r="ZR8" i="24"/>
  <c r="ZQ8" i="24"/>
  <c r="ZP8" i="24"/>
  <c r="ZO8" i="24"/>
  <c r="ZN8" i="24"/>
  <c r="ZM8" i="24"/>
  <c r="ZL8" i="24"/>
  <c r="ZK8" i="24"/>
  <c r="ZJ8" i="24"/>
  <c r="ZI8" i="24"/>
  <c r="ZH8" i="24"/>
  <c r="ZG8" i="24"/>
  <c r="ZF8" i="24"/>
  <c r="ZE8" i="24"/>
  <c r="ZD8" i="24"/>
  <c r="ZC8" i="24"/>
  <c r="ZB8" i="24"/>
  <c r="ZA8" i="24"/>
  <c r="YZ8" i="24"/>
  <c r="YY8" i="24"/>
  <c r="YX8" i="24"/>
  <c r="YW8" i="24"/>
  <c r="YV8" i="24"/>
  <c r="YU8" i="24"/>
  <c r="YT8" i="24"/>
  <c r="YS8" i="24"/>
  <c r="YR8" i="24"/>
  <c r="YQ8" i="24"/>
  <c r="YP8" i="24"/>
  <c r="YO8" i="24"/>
  <c r="YN8" i="24"/>
  <c r="YM8" i="24"/>
  <c r="YL8" i="24"/>
  <c r="YK8" i="24"/>
  <c r="YJ8" i="24"/>
  <c r="YI8" i="24"/>
  <c r="YH8" i="24"/>
  <c r="YG8" i="24"/>
  <c r="YF8" i="24"/>
  <c r="YE8" i="24"/>
  <c r="YD8" i="24"/>
  <c r="YC8" i="24"/>
  <c r="YB8" i="24"/>
  <c r="YA8" i="24"/>
  <c r="XZ8" i="24"/>
  <c r="XY8" i="24"/>
  <c r="XX8" i="24"/>
  <c r="XW8" i="24"/>
  <c r="XV8" i="24"/>
  <c r="XU8" i="24"/>
  <c r="XT8" i="24"/>
  <c r="XS8" i="24"/>
  <c r="XR8" i="24"/>
  <c r="XQ8" i="24"/>
  <c r="XP8" i="24"/>
  <c r="XO8" i="24"/>
  <c r="XN8" i="24"/>
  <c r="XM8" i="24"/>
  <c r="XL8" i="24"/>
  <c r="XK8" i="24"/>
  <c r="XJ8" i="24"/>
  <c r="XI8" i="24"/>
  <c r="XH8" i="24"/>
  <c r="XG8" i="24"/>
  <c r="XF8" i="24"/>
  <c r="XE8" i="24"/>
  <c r="XD8" i="24"/>
  <c r="XC8" i="24"/>
  <c r="XB8" i="24"/>
  <c r="XA8" i="24"/>
  <c r="WZ8" i="24"/>
  <c r="WY8" i="24"/>
  <c r="WX8" i="24"/>
  <c r="WW8" i="24"/>
  <c r="WV8" i="24"/>
  <c r="WU8" i="24"/>
  <c r="WT8" i="24"/>
  <c r="WS8" i="24"/>
  <c r="WR8" i="24"/>
  <c r="WQ8" i="24"/>
  <c r="WP8" i="24"/>
  <c r="WO8" i="24"/>
  <c r="WN8" i="24"/>
  <c r="WM8" i="24"/>
  <c r="WL8" i="24"/>
  <c r="WK8" i="24"/>
  <c r="WJ8" i="24"/>
  <c r="WI8" i="24"/>
  <c r="WH8" i="24"/>
  <c r="WG8" i="24"/>
  <c r="WF8" i="24"/>
  <c r="WE8" i="24"/>
  <c r="WD8" i="24"/>
  <c r="WC8" i="24"/>
  <c r="WB8" i="24"/>
  <c r="WA8" i="24"/>
  <c r="VZ8" i="24"/>
  <c r="VY8" i="24"/>
  <c r="VX8" i="24"/>
  <c r="VW8" i="24"/>
  <c r="VV8" i="24"/>
  <c r="VU8" i="24"/>
  <c r="VT8" i="24"/>
  <c r="VS8" i="24"/>
  <c r="VR8" i="24"/>
  <c r="VQ8" i="24"/>
  <c r="VP8" i="24"/>
  <c r="VO8" i="24"/>
  <c r="VN8" i="24"/>
  <c r="VM8" i="24"/>
  <c r="VL8" i="24"/>
  <c r="VK8" i="24"/>
  <c r="VJ8" i="24"/>
  <c r="VI8" i="24"/>
  <c r="VH8" i="24"/>
  <c r="VG8" i="24"/>
  <c r="VF8" i="24"/>
  <c r="VE8" i="24"/>
  <c r="VD8" i="24"/>
  <c r="VC8" i="24"/>
  <c r="VB8" i="24"/>
  <c r="VA8" i="24"/>
  <c r="UZ8" i="24"/>
  <c r="UY8" i="24"/>
  <c r="UX8" i="24"/>
  <c r="UW8" i="24"/>
  <c r="UV8" i="24"/>
  <c r="UU8" i="24"/>
  <c r="UT8" i="24"/>
  <c r="US8" i="24"/>
  <c r="UR8" i="24"/>
  <c r="UQ8" i="24"/>
  <c r="UP8" i="24"/>
  <c r="UO8" i="24"/>
  <c r="UN8" i="24"/>
  <c r="UM8" i="24"/>
  <c r="UL8" i="24"/>
  <c r="UK8" i="24"/>
  <c r="UJ8" i="24"/>
  <c r="UI8" i="24"/>
  <c r="UH8" i="24"/>
  <c r="UG8" i="24"/>
  <c r="UF8" i="24"/>
  <c r="UE8" i="24"/>
  <c r="UD8" i="24"/>
  <c r="UC8" i="24"/>
  <c r="UB8" i="24"/>
  <c r="UA8" i="24"/>
  <c r="TZ8" i="24"/>
  <c r="TY8" i="24"/>
  <c r="TX8" i="24"/>
  <c r="TW8" i="24"/>
  <c r="TV8" i="24"/>
  <c r="TU8" i="24"/>
  <c r="TT8" i="24"/>
  <c r="TS8" i="24"/>
  <c r="TR8" i="24"/>
  <c r="TQ8" i="24"/>
  <c r="TP8" i="24"/>
  <c r="TO8" i="24"/>
  <c r="TN8" i="24"/>
  <c r="TM8" i="24"/>
  <c r="TL8" i="24"/>
  <c r="TK8" i="24"/>
  <c r="TJ8" i="24"/>
  <c r="TI8" i="24"/>
  <c r="TH8" i="24"/>
  <c r="TG8" i="24"/>
  <c r="TF8" i="24"/>
  <c r="TE8" i="24"/>
  <c r="TD8" i="24"/>
  <c r="TC8" i="24"/>
  <c r="TB8" i="24"/>
  <c r="TA8" i="24"/>
  <c r="SZ8" i="24"/>
  <c r="SY8" i="24"/>
  <c r="SX8" i="24"/>
  <c r="SW8" i="24"/>
  <c r="SV8" i="24"/>
  <c r="SU8" i="24"/>
  <c r="ST8" i="24"/>
  <c r="SS8" i="24"/>
  <c r="SR8" i="24"/>
  <c r="SQ8" i="24"/>
  <c r="SP8" i="24"/>
  <c r="SO8" i="24"/>
  <c r="SN8" i="24"/>
  <c r="SM8" i="24"/>
  <c r="SL8" i="24"/>
  <c r="SK8" i="24"/>
  <c r="SJ8" i="24"/>
  <c r="SI8" i="24"/>
  <c r="SH8" i="24"/>
  <c r="SG8" i="24"/>
  <c r="SF8" i="24"/>
  <c r="SE8" i="24"/>
  <c r="SD8" i="24"/>
  <c r="SC8" i="24"/>
  <c r="SB8" i="24"/>
  <c r="SA8" i="24"/>
  <c r="RZ8" i="24"/>
  <c r="RY8" i="24"/>
  <c r="RX8" i="24"/>
  <c r="RW8" i="24"/>
  <c r="RV8" i="24"/>
  <c r="RU8" i="24"/>
  <c r="RT8" i="24"/>
  <c r="RS8" i="24"/>
  <c r="RR8" i="24"/>
  <c r="RQ8" i="24"/>
  <c r="RP8" i="24"/>
  <c r="RO8" i="24"/>
  <c r="RN8" i="24"/>
  <c r="RM8" i="24"/>
  <c r="RL8" i="24"/>
  <c r="RK8" i="24"/>
  <c r="RJ8" i="24"/>
  <c r="RI8" i="24"/>
  <c r="RH8" i="24"/>
  <c r="RG8" i="24"/>
  <c r="RF8" i="24"/>
  <c r="RE8" i="24"/>
  <c r="RD8" i="24"/>
  <c r="RC8" i="24"/>
  <c r="RB8" i="24"/>
  <c r="RA8" i="24"/>
  <c r="QZ8" i="24"/>
  <c r="QY8" i="24"/>
  <c r="QX8" i="24"/>
  <c r="QW8" i="24"/>
  <c r="QV8" i="24"/>
  <c r="QU8" i="24"/>
  <c r="QT8" i="24"/>
  <c r="QS8" i="24"/>
  <c r="QR8" i="24"/>
  <c r="QQ8" i="24"/>
  <c r="QP8" i="24"/>
  <c r="QO8" i="24"/>
  <c r="QN8" i="24"/>
  <c r="QM8" i="24"/>
  <c r="QL8" i="24"/>
  <c r="QK8" i="24"/>
  <c r="QJ8" i="24"/>
  <c r="QI8" i="24"/>
  <c r="QH8" i="24"/>
  <c r="QG8" i="24"/>
  <c r="QF8" i="24"/>
  <c r="QE8" i="24"/>
  <c r="QD8" i="24"/>
  <c r="QC8" i="24"/>
  <c r="QB8" i="24"/>
  <c r="QA8" i="24"/>
  <c r="PZ8" i="24"/>
  <c r="PY8" i="24"/>
  <c r="PX8" i="24"/>
  <c r="PW8" i="24"/>
  <c r="PV8" i="24"/>
  <c r="PU8" i="24"/>
  <c r="PT8" i="24"/>
  <c r="PS8" i="24"/>
  <c r="PR8" i="24"/>
  <c r="PQ8" i="24"/>
  <c r="PP8" i="24"/>
  <c r="PO8" i="24"/>
  <c r="PN8" i="24"/>
  <c r="PM8" i="24"/>
  <c r="PL8" i="24"/>
  <c r="PK8" i="24"/>
  <c r="PJ8" i="24"/>
  <c r="PI8" i="24"/>
  <c r="PH8" i="24"/>
  <c r="PG8" i="24"/>
  <c r="PF8" i="24"/>
  <c r="PE8" i="24"/>
  <c r="PD8" i="24"/>
  <c r="PC8" i="24"/>
  <c r="PB8" i="24"/>
  <c r="PA8" i="24"/>
  <c r="OZ8" i="24"/>
  <c r="OY8" i="24"/>
  <c r="OX8" i="24"/>
  <c r="OW8" i="24"/>
  <c r="OV8" i="24"/>
  <c r="OU8" i="24"/>
  <c r="OT8" i="24"/>
  <c r="OS8" i="24"/>
  <c r="OR8" i="24"/>
  <c r="OQ8" i="24"/>
  <c r="OP8" i="24"/>
  <c r="OO8" i="24"/>
  <c r="ON8" i="24"/>
  <c r="OM8" i="24"/>
  <c r="OL8" i="24"/>
  <c r="OK8" i="24"/>
  <c r="OJ8" i="24"/>
  <c r="OI8" i="24"/>
  <c r="OH8" i="24"/>
  <c r="OG8" i="24"/>
  <c r="OF8" i="24"/>
  <c r="OE8" i="24"/>
  <c r="OD8" i="24"/>
  <c r="OC8" i="24"/>
  <c r="OB8" i="24"/>
  <c r="OA8" i="24"/>
  <c r="NZ8" i="24"/>
  <c r="NY8" i="24"/>
  <c r="NX8" i="24"/>
  <c r="NW8" i="24"/>
  <c r="NV8" i="24"/>
  <c r="NU8" i="24"/>
  <c r="NT8" i="24"/>
  <c r="NS8" i="24"/>
  <c r="NR8" i="24"/>
  <c r="NQ8" i="24"/>
  <c r="NP8" i="24"/>
  <c r="NO8" i="24"/>
  <c r="NN8" i="24"/>
  <c r="NM8" i="24"/>
  <c r="NL8" i="24"/>
  <c r="NK8" i="24"/>
  <c r="NJ8" i="24"/>
  <c r="NI8" i="24"/>
  <c r="NH8" i="24"/>
  <c r="NG8" i="24"/>
  <c r="NF8" i="24"/>
  <c r="NE8" i="24"/>
  <c r="ND8" i="24"/>
  <c r="NC8" i="24"/>
  <c r="NB8" i="24"/>
  <c r="NA8" i="24"/>
  <c r="MZ8" i="24"/>
  <c r="MY8" i="24"/>
  <c r="MX8" i="24"/>
  <c r="MW8" i="24"/>
  <c r="MV8" i="24"/>
  <c r="MU8" i="24"/>
  <c r="MT8" i="24"/>
  <c r="MS8" i="24"/>
  <c r="MR8" i="24"/>
  <c r="MQ8" i="24"/>
  <c r="MP8" i="24"/>
  <c r="MO8" i="24"/>
  <c r="MN8" i="24"/>
  <c r="MM8" i="24"/>
  <c r="ML8" i="24"/>
  <c r="MK8" i="24"/>
  <c r="MJ8" i="24"/>
  <c r="MI8" i="24"/>
  <c r="MH8" i="24"/>
  <c r="MG8" i="24"/>
  <c r="MF8" i="24"/>
  <c r="ME8" i="24"/>
  <c r="MD8" i="24"/>
  <c r="MC8" i="24"/>
  <c r="MB8" i="24"/>
  <c r="MA8" i="24"/>
  <c r="LZ8" i="24"/>
  <c r="LY8" i="24"/>
  <c r="LX8" i="24"/>
  <c r="LW8" i="24"/>
  <c r="LV8" i="24"/>
  <c r="LU8" i="24"/>
  <c r="LT8" i="24"/>
  <c r="LS8" i="24"/>
  <c r="LR8" i="24"/>
  <c r="LQ8" i="24"/>
  <c r="LP8" i="24"/>
  <c r="LO8" i="24"/>
  <c r="LN8" i="24"/>
  <c r="LM8" i="24"/>
  <c r="LL8" i="24"/>
  <c r="LK8" i="24"/>
  <c r="LJ8" i="24"/>
  <c r="LI8" i="24"/>
  <c r="LH8" i="24"/>
  <c r="LG8" i="24"/>
  <c r="LF8" i="24"/>
  <c r="LE8" i="24"/>
  <c r="LD8" i="24"/>
  <c r="LC8" i="24"/>
  <c r="LB8" i="24"/>
  <c r="LA8" i="24"/>
  <c r="KZ8" i="24"/>
  <c r="KY8" i="24"/>
  <c r="KX8" i="24"/>
  <c r="KW8" i="24"/>
  <c r="KV8" i="24"/>
  <c r="KU8" i="24"/>
  <c r="KT8" i="24"/>
  <c r="KS8" i="24"/>
  <c r="KR8" i="24"/>
  <c r="KQ8" i="24"/>
  <c r="KP8" i="24"/>
  <c r="KO8" i="24"/>
  <c r="KN8" i="24"/>
  <c r="KM8" i="24"/>
  <c r="KL8" i="24"/>
  <c r="KK8" i="24"/>
  <c r="KJ8" i="24"/>
  <c r="KI8" i="24"/>
  <c r="KH8" i="24"/>
  <c r="KG8" i="24"/>
  <c r="KF8" i="24"/>
  <c r="KE8" i="24"/>
  <c r="KD8" i="24"/>
  <c r="KC8" i="24"/>
  <c r="KB8" i="24"/>
  <c r="KA8" i="24"/>
  <c r="JZ8" i="24"/>
  <c r="JY8" i="24"/>
  <c r="JX8" i="24"/>
  <c r="JW8" i="24"/>
  <c r="JV8" i="24"/>
  <c r="JU8" i="24"/>
  <c r="JT8" i="24"/>
  <c r="JS8" i="24"/>
  <c r="JR8" i="24"/>
  <c r="JQ8" i="24"/>
  <c r="JP8" i="24"/>
  <c r="JO8" i="24"/>
  <c r="JN8" i="24"/>
  <c r="JM8" i="24"/>
  <c r="JL8" i="24"/>
  <c r="JK8" i="24"/>
  <c r="JJ8" i="24"/>
  <c r="JI8" i="24"/>
  <c r="JH8" i="24"/>
  <c r="JG8" i="24"/>
  <c r="JF8" i="24"/>
  <c r="JE8" i="24"/>
  <c r="JD8" i="24"/>
  <c r="JC8" i="24"/>
  <c r="JB8" i="24"/>
  <c r="JA8" i="24"/>
  <c r="IZ8" i="24"/>
  <c r="IY8" i="24"/>
  <c r="IX8" i="24"/>
  <c r="IW8" i="24"/>
  <c r="IV8" i="24"/>
  <c r="IU8" i="24"/>
  <c r="IT8" i="24"/>
  <c r="IS8" i="24"/>
  <c r="IR8" i="24"/>
  <c r="IQ8" i="24"/>
  <c r="IP8" i="24"/>
  <c r="IO8" i="24"/>
  <c r="IN8" i="24"/>
  <c r="IM8" i="24"/>
  <c r="IL8" i="24"/>
  <c r="IK8" i="24"/>
  <c r="IJ8" i="24"/>
  <c r="II8" i="24"/>
  <c r="IH8" i="24"/>
  <c r="IG8" i="24"/>
  <c r="IF8" i="24"/>
  <c r="IE8" i="24"/>
  <c r="ID8" i="24"/>
  <c r="IC8" i="24"/>
  <c r="IB8" i="24"/>
  <c r="IA8" i="24"/>
  <c r="HZ8" i="24"/>
  <c r="HY8" i="24"/>
  <c r="HX8" i="24"/>
  <c r="HW8" i="24"/>
  <c r="HV8" i="24"/>
  <c r="HU8" i="24"/>
  <c r="HT8" i="24"/>
  <c r="HS8" i="24"/>
  <c r="HR8" i="24"/>
  <c r="HQ8" i="24"/>
  <c r="HP8" i="24"/>
  <c r="HO8" i="24"/>
  <c r="HN8" i="24"/>
  <c r="HM8" i="24"/>
  <c r="HL8" i="24"/>
  <c r="HK8" i="24"/>
  <c r="HJ8" i="24"/>
  <c r="HI8" i="24"/>
  <c r="HH8" i="24"/>
  <c r="HG8" i="24"/>
  <c r="HF8" i="24"/>
  <c r="HE8" i="24"/>
  <c r="HD8" i="24"/>
  <c r="HC8" i="24"/>
  <c r="HB8" i="24"/>
  <c r="HA8" i="24"/>
  <c r="GZ8" i="24"/>
  <c r="GY8" i="24"/>
  <c r="GX8" i="24"/>
  <c r="GW8" i="24"/>
  <c r="GV8" i="24"/>
  <c r="GU8" i="24"/>
  <c r="GT8" i="24"/>
  <c r="GS8" i="24"/>
  <c r="GR8" i="24"/>
  <c r="GQ8" i="24"/>
  <c r="GP8" i="24"/>
  <c r="GO8" i="24"/>
  <c r="GN8" i="24"/>
  <c r="GM8" i="24"/>
  <c r="GL8" i="24"/>
  <c r="GK8" i="24"/>
  <c r="GJ8" i="24"/>
  <c r="GI8" i="24"/>
  <c r="GH8" i="24"/>
  <c r="GG8" i="24"/>
  <c r="GF8" i="24"/>
  <c r="GE8" i="24"/>
  <c r="GD8" i="24"/>
  <c r="GC8" i="24"/>
  <c r="GB8" i="24"/>
  <c r="GA8" i="24"/>
  <c r="FZ8" i="24"/>
  <c r="FY8" i="24"/>
  <c r="FX8" i="24"/>
  <c r="FW8" i="24"/>
  <c r="FV8" i="24"/>
  <c r="FU8" i="24"/>
  <c r="FT8" i="24"/>
  <c r="FS8" i="24"/>
  <c r="FR8" i="24"/>
  <c r="FQ8" i="24"/>
  <c r="FP8" i="24"/>
  <c r="FO8" i="24"/>
  <c r="FN8" i="24"/>
  <c r="FM8" i="24"/>
  <c r="FL8" i="24"/>
  <c r="FK8" i="24"/>
  <c r="FJ8" i="24"/>
  <c r="FI8" i="24"/>
  <c r="FH8" i="24"/>
  <c r="FG8" i="24"/>
  <c r="FF8" i="24"/>
  <c r="FE8" i="24"/>
  <c r="FD8" i="24"/>
  <c r="FC8" i="24"/>
  <c r="FB8" i="24"/>
  <c r="FA8" i="24"/>
  <c r="EZ8" i="24"/>
  <c r="EY8" i="24"/>
  <c r="EX8" i="24"/>
  <c r="EW8" i="24"/>
  <c r="EV8" i="24"/>
  <c r="EU8" i="24"/>
  <c r="ET8" i="24"/>
  <c r="ES8" i="24"/>
  <c r="ER8" i="24"/>
  <c r="EQ8" i="24"/>
  <c r="EP8" i="24"/>
  <c r="EO8" i="24"/>
  <c r="EN8" i="24"/>
  <c r="EM8" i="24"/>
  <c r="EL8" i="24"/>
  <c r="EK8" i="24"/>
  <c r="EJ8" i="24"/>
  <c r="EI8" i="24"/>
  <c r="EH8" i="24"/>
  <c r="EG8" i="24"/>
  <c r="EF8" i="24"/>
  <c r="EE8" i="24"/>
  <c r="ED8" i="24"/>
  <c r="EC8" i="24"/>
  <c r="EB8" i="24"/>
  <c r="EA8" i="24"/>
  <c r="DZ8" i="24"/>
  <c r="DY8" i="24"/>
  <c r="DX8" i="24"/>
  <c r="DW8" i="24"/>
  <c r="DV8" i="24"/>
  <c r="DU8" i="24"/>
  <c r="DT8" i="24"/>
  <c r="DS8" i="24"/>
  <c r="DR8" i="24"/>
  <c r="DQ8" i="24"/>
  <c r="DP8" i="24"/>
  <c r="DO8" i="24"/>
  <c r="DN8" i="24"/>
  <c r="DM8" i="24"/>
  <c r="DL8" i="24"/>
  <c r="DK8" i="24"/>
  <c r="DJ8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M8" i="24"/>
  <c r="BL8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B19" i="24" s="1"/>
  <c r="ACV7" i="24"/>
  <c r="ACU7" i="24"/>
  <c r="ACT7" i="24"/>
  <c r="ACS7" i="24"/>
  <c r="ACR7" i="24"/>
  <c r="ACQ7" i="24"/>
  <c r="ACP7" i="24"/>
  <c r="ACO7" i="24"/>
  <c r="ACN7" i="24"/>
  <c r="ACM7" i="24"/>
  <c r="ACL7" i="24"/>
  <c r="ACK7" i="24"/>
  <c r="ACJ7" i="24"/>
  <c r="ACI7" i="24"/>
  <c r="ACH7" i="24"/>
  <c r="ACG7" i="24"/>
  <c r="ACF7" i="24"/>
  <c r="ACE7" i="24"/>
  <c r="ACD7" i="24"/>
  <c r="ACC7" i="24"/>
  <c r="ACB7" i="24"/>
  <c r="ACA7" i="24"/>
  <c r="ABZ7" i="24"/>
  <c r="ABY7" i="24"/>
  <c r="ABX7" i="24"/>
  <c r="ABW7" i="24"/>
  <c r="ABV7" i="24"/>
  <c r="ABU7" i="24"/>
  <c r="ABT7" i="24"/>
  <c r="ABS7" i="24"/>
  <c r="ABR7" i="24"/>
  <c r="ABQ7" i="24"/>
  <c r="ABP7" i="24"/>
  <c r="ABO7" i="24"/>
  <c r="ABN7" i="24"/>
  <c r="ABM7" i="24"/>
  <c r="ABL7" i="24"/>
  <c r="ABK7" i="24"/>
  <c r="ABJ7" i="24"/>
  <c r="ABI7" i="24"/>
  <c r="ABH7" i="24"/>
  <c r="ABG7" i="24"/>
  <c r="ABF7" i="24"/>
  <c r="ABE7" i="24"/>
  <c r="ABD7" i="24"/>
  <c r="ABC7" i="24"/>
  <c r="ABB7" i="24"/>
  <c r="ABA7" i="24"/>
  <c r="AAZ7" i="24"/>
  <c r="AAY7" i="24"/>
  <c r="AAX7" i="24"/>
  <c r="AAW7" i="24"/>
  <c r="AAV7" i="24"/>
  <c r="AAU7" i="24"/>
  <c r="AAT7" i="24"/>
  <c r="AAS7" i="24"/>
  <c r="AAR7" i="24"/>
  <c r="AAQ7" i="24"/>
  <c r="AAP7" i="24"/>
  <c r="AAO7" i="24"/>
  <c r="AAN7" i="24"/>
  <c r="AAM7" i="24"/>
  <c r="AAL7" i="24"/>
  <c r="AAK7" i="24"/>
  <c r="AAJ7" i="24"/>
  <c r="AAI7" i="24"/>
  <c r="AAH7" i="24"/>
  <c r="AAG7" i="24"/>
  <c r="AAF7" i="24"/>
  <c r="AAE7" i="24"/>
  <c r="AAD7" i="24"/>
  <c r="AAC7" i="24"/>
  <c r="AAB7" i="24"/>
  <c r="AAA7" i="24"/>
  <c r="ZZ7" i="24"/>
  <c r="ZY7" i="24"/>
  <c r="ZX7" i="24"/>
  <c r="ZW7" i="24"/>
  <c r="ZV7" i="24"/>
  <c r="ZU7" i="24"/>
  <c r="ZT7" i="24"/>
  <c r="ZS7" i="24"/>
  <c r="ZR7" i="24"/>
  <c r="ZQ7" i="24"/>
  <c r="ZP7" i="24"/>
  <c r="ZO7" i="24"/>
  <c r="ZN7" i="24"/>
  <c r="ZM7" i="24"/>
  <c r="ZL7" i="24"/>
  <c r="ZK7" i="24"/>
  <c r="ZJ7" i="24"/>
  <c r="ZI7" i="24"/>
  <c r="ZH7" i="24"/>
  <c r="ZG7" i="24"/>
  <c r="ZF7" i="24"/>
  <c r="ZE7" i="24"/>
  <c r="ZD7" i="24"/>
  <c r="ZC7" i="24"/>
  <c r="ZB7" i="24"/>
  <c r="ZA7" i="24"/>
  <c r="YZ7" i="24"/>
  <c r="YY7" i="24"/>
  <c r="YX7" i="24"/>
  <c r="YW7" i="24"/>
  <c r="YV7" i="24"/>
  <c r="YU7" i="24"/>
  <c r="YT7" i="24"/>
  <c r="YS7" i="24"/>
  <c r="YR7" i="24"/>
  <c r="YQ7" i="24"/>
  <c r="YP7" i="24"/>
  <c r="YO7" i="24"/>
  <c r="YN7" i="24"/>
  <c r="YM7" i="24"/>
  <c r="YL7" i="24"/>
  <c r="YK7" i="24"/>
  <c r="YJ7" i="24"/>
  <c r="YI7" i="24"/>
  <c r="YH7" i="24"/>
  <c r="YG7" i="24"/>
  <c r="YF7" i="24"/>
  <c r="YE7" i="24"/>
  <c r="YD7" i="24"/>
  <c r="YC7" i="24"/>
  <c r="YB7" i="24"/>
  <c r="YA7" i="24"/>
  <c r="XZ7" i="24"/>
  <c r="XY7" i="24"/>
  <c r="XX7" i="24"/>
  <c r="XW7" i="24"/>
  <c r="XV7" i="24"/>
  <c r="XU7" i="24"/>
  <c r="XT7" i="24"/>
  <c r="XS7" i="24"/>
  <c r="XR7" i="24"/>
  <c r="XQ7" i="24"/>
  <c r="XP7" i="24"/>
  <c r="XO7" i="24"/>
  <c r="XN7" i="24"/>
  <c r="XM7" i="24"/>
  <c r="XL7" i="24"/>
  <c r="XK7" i="24"/>
  <c r="XJ7" i="24"/>
  <c r="XI7" i="24"/>
  <c r="XH7" i="24"/>
  <c r="XG7" i="24"/>
  <c r="XF7" i="24"/>
  <c r="XE7" i="24"/>
  <c r="XD7" i="24"/>
  <c r="XC7" i="24"/>
  <c r="XB7" i="24"/>
  <c r="XA7" i="24"/>
  <c r="WZ7" i="24"/>
  <c r="WY7" i="24"/>
  <c r="WX7" i="24"/>
  <c r="WW7" i="24"/>
  <c r="WV7" i="24"/>
  <c r="WU7" i="24"/>
  <c r="WT7" i="24"/>
  <c r="WS7" i="24"/>
  <c r="WR7" i="24"/>
  <c r="WQ7" i="24"/>
  <c r="WP7" i="24"/>
  <c r="WO7" i="24"/>
  <c r="WN7" i="24"/>
  <c r="WM7" i="24"/>
  <c r="WL7" i="24"/>
  <c r="WK7" i="24"/>
  <c r="WJ7" i="24"/>
  <c r="WI7" i="24"/>
  <c r="WH7" i="24"/>
  <c r="WG7" i="24"/>
  <c r="WF7" i="24"/>
  <c r="WE7" i="24"/>
  <c r="WD7" i="24"/>
  <c r="WC7" i="24"/>
  <c r="WB7" i="24"/>
  <c r="WA7" i="24"/>
  <c r="VZ7" i="24"/>
  <c r="VY7" i="24"/>
  <c r="VX7" i="24"/>
  <c r="VW7" i="24"/>
  <c r="VV7" i="24"/>
  <c r="VU7" i="24"/>
  <c r="VT7" i="24"/>
  <c r="VS7" i="24"/>
  <c r="VR7" i="24"/>
  <c r="VQ7" i="24"/>
  <c r="VP7" i="24"/>
  <c r="VO7" i="24"/>
  <c r="VN7" i="24"/>
  <c r="VM7" i="24"/>
  <c r="VL7" i="24"/>
  <c r="VK7" i="24"/>
  <c r="VJ7" i="24"/>
  <c r="VI7" i="24"/>
  <c r="VH7" i="24"/>
  <c r="VG7" i="24"/>
  <c r="VF7" i="24"/>
  <c r="VE7" i="24"/>
  <c r="VD7" i="24"/>
  <c r="VC7" i="24"/>
  <c r="VB7" i="24"/>
  <c r="VA7" i="24"/>
  <c r="UZ7" i="24"/>
  <c r="UY7" i="24"/>
  <c r="UX7" i="24"/>
  <c r="UW7" i="24"/>
  <c r="UV7" i="24"/>
  <c r="UU7" i="24"/>
  <c r="UT7" i="24"/>
  <c r="US7" i="24"/>
  <c r="UR7" i="24"/>
  <c r="UQ7" i="24"/>
  <c r="UP7" i="24"/>
  <c r="UO7" i="24"/>
  <c r="UN7" i="24"/>
  <c r="UM7" i="24"/>
  <c r="UL7" i="24"/>
  <c r="UK7" i="24"/>
  <c r="UJ7" i="24"/>
  <c r="UI7" i="24"/>
  <c r="UH7" i="24"/>
  <c r="UG7" i="24"/>
  <c r="UF7" i="24"/>
  <c r="UE7" i="24"/>
  <c r="UD7" i="24"/>
  <c r="UC7" i="24"/>
  <c r="UB7" i="24"/>
  <c r="UA7" i="24"/>
  <c r="TZ7" i="24"/>
  <c r="TY7" i="24"/>
  <c r="TX7" i="24"/>
  <c r="TW7" i="24"/>
  <c r="TV7" i="24"/>
  <c r="TU7" i="24"/>
  <c r="TT7" i="24"/>
  <c r="TS7" i="24"/>
  <c r="TR7" i="24"/>
  <c r="TQ7" i="24"/>
  <c r="TP7" i="24"/>
  <c r="TO7" i="24"/>
  <c r="TN7" i="24"/>
  <c r="TM7" i="24"/>
  <c r="TL7" i="24"/>
  <c r="TK7" i="24"/>
  <c r="TJ7" i="24"/>
  <c r="TI7" i="24"/>
  <c r="TH7" i="24"/>
  <c r="TG7" i="24"/>
  <c r="TF7" i="24"/>
  <c r="TE7" i="24"/>
  <c r="TD7" i="24"/>
  <c r="TC7" i="24"/>
  <c r="TB7" i="24"/>
  <c r="TA7" i="24"/>
  <c r="SZ7" i="24"/>
  <c r="SY7" i="24"/>
  <c r="SX7" i="24"/>
  <c r="SW7" i="24"/>
  <c r="SV7" i="24"/>
  <c r="SU7" i="24"/>
  <c r="ST7" i="24"/>
  <c r="SS7" i="24"/>
  <c r="SR7" i="24"/>
  <c r="SQ7" i="24"/>
  <c r="SP7" i="24"/>
  <c r="SO7" i="24"/>
  <c r="SN7" i="24"/>
  <c r="SM7" i="24"/>
  <c r="SL7" i="24"/>
  <c r="SK7" i="24"/>
  <c r="SJ7" i="24"/>
  <c r="SI7" i="24"/>
  <c r="SH7" i="24"/>
  <c r="SG7" i="24"/>
  <c r="SF7" i="24"/>
  <c r="SE7" i="24"/>
  <c r="SD7" i="24"/>
  <c r="SC7" i="24"/>
  <c r="SB7" i="24"/>
  <c r="SA7" i="24"/>
  <c r="RZ7" i="24"/>
  <c r="RY7" i="24"/>
  <c r="RX7" i="24"/>
  <c r="RW7" i="24"/>
  <c r="RV7" i="24"/>
  <c r="RU7" i="24"/>
  <c r="RT7" i="24"/>
  <c r="RS7" i="24"/>
  <c r="RR7" i="24"/>
  <c r="RQ7" i="24"/>
  <c r="RP7" i="24"/>
  <c r="RO7" i="24"/>
  <c r="RN7" i="24"/>
  <c r="RM7" i="24"/>
  <c r="RL7" i="24"/>
  <c r="RK7" i="24"/>
  <c r="RJ7" i="24"/>
  <c r="RI7" i="24"/>
  <c r="RH7" i="24"/>
  <c r="RG7" i="24"/>
  <c r="RF7" i="24"/>
  <c r="RE7" i="24"/>
  <c r="RD7" i="24"/>
  <c r="RC7" i="24"/>
  <c r="RB7" i="24"/>
  <c r="RA7" i="24"/>
  <c r="QZ7" i="24"/>
  <c r="QY7" i="24"/>
  <c r="QX7" i="24"/>
  <c r="QW7" i="24"/>
  <c r="QV7" i="24"/>
  <c r="QU7" i="24"/>
  <c r="QT7" i="24"/>
  <c r="QS7" i="24"/>
  <c r="QR7" i="24"/>
  <c r="QQ7" i="24"/>
  <c r="QP7" i="24"/>
  <c r="QO7" i="24"/>
  <c r="QN7" i="24"/>
  <c r="QM7" i="24"/>
  <c r="QL7" i="24"/>
  <c r="QK7" i="24"/>
  <c r="QJ7" i="24"/>
  <c r="QI7" i="24"/>
  <c r="QH7" i="24"/>
  <c r="QG7" i="24"/>
  <c r="QF7" i="24"/>
  <c r="QE7" i="24"/>
  <c r="QD7" i="24"/>
  <c r="QC7" i="24"/>
  <c r="QB7" i="24"/>
  <c r="QA7" i="24"/>
  <c r="PZ7" i="24"/>
  <c r="PY7" i="24"/>
  <c r="PX7" i="24"/>
  <c r="PW7" i="24"/>
  <c r="PV7" i="24"/>
  <c r="PU7" i="24"/>
  <c r="PT7" i="24"/>
  <c r="PS7" i="24"/>
  <c r="PR7" i="24"/>
  <c r="PQ7" i="24"/>
  <c r="PP7" i="24"/>
  <c r="PO7" i="24"/>
  <c r="PN7" i="24"/>
  <c r="PM7" i="24"/>
  <c r="PL7" i="24"/>
  <c r="PK7" i="24"/>
  <c r="PJ7" i="24"/>
  <c r="PI7" i="24"/>
  <c r="PH7" i="24"/>
  <c r="PG7" i="24"/>
  <c r="PF7" i="24"/>
  <c r="PE7" i="24"/>
  <c r="PD7" i="24"/>
  <c r="PC7" i="24"/>
  <c r="PB7" i="24"/>
  <c r="PA7" i="24"/>
  <c r="OZ7" i="24"/>
  <c r="OY7" i="24"/>
  <c r="OX7" i="24"/>
  <c r="OW7" i="24"/>
  <c r="OV7" i="24"/>
  <c r="OU7" i="24"/>
  <c r="OT7" i="24"/>
  <c r="OS7" i="24"/>
  <c r="OR7" i="24"/>
  <c r="OQ7" i="24"/>
  <c r="OP7" i="24"/>
  <c r="OO7" i="24"/>
  <c r="ON7" i="24"/>
  <c r="OM7" i="24"/>
  <c r="OL7" i="24"/>
  <c r="OK7" i="24"/>
  <c r="OJ7" i="24"/>
  <c r="OI7" i="24"/>
  <c r="OH7" i="24"/>
  <c r="OG7" i="24"/>
  <c r="OF7" i="24"/>
  <c r="OE7" i="24"/>
  <c r="OD7" i="24"/>
  <c r="OC7" i="24"/>
  <c r="OB7" i="24"/>
  <c r="OA7" i="24"/>
  <c r="NZ7" i="24"/>
  <c r="NY7" i="24"/>
  <c r="NX7" i="24"/>
  <c r="NW7" i="24"/>
  <c r="NV7" i="24"/>
  <c r="NU7" i="24"/>
  <c r="NT7" i="24"/>
  <c r="NS7" i="24"/>
  <c r="NR7" i="24"/>
  <c r="NQ7" i="24"/>
  <c r="NP7" i="24"/>
  <c r="NO7" i="24"/>
  <c r="NN7" i="24"/>
  <c r="NM7" i="24"/>
  <c r="NL7" i="24"/>
  <c r="NK7" i="24"/>
  <c r="NJ7" i="24"/>
  <c r="NI7" i="24"/>
  <c r="NH7" i="24"/>
  <c r="NG7" i="24"/>
  <c r="NF7" i="24"/>
  <c r="NE7" i="24"/>
  <c r="ND7" i="24"/>
  <c r="NC7" i="24"/>
  <c r="NB7" i="24"/>
  <c r="NA7" i="24"/>
  <c r="MZ7" i="24"/>
  <c r="MY7" i="24"/>
  <c r="MX7" i="24"/>
  <c r="MW7" i="24"/>
  <c r="MV7" i="24"/>
  <c r="MU7" i="24"/>
  <c r="MT7" i="24"/>
  <c r="MS7" i="24"/>
  <c r="MR7" i="24"/>
  <c r="MQ7" i="24"/>
  <c r="MP7" i="24"/>
  <c r="MO7" i="24"/>
  <c r="MN7" i="24"/>
  <c r="MM7" i="24"/>
  <c r="ML7" i="24"/>
  <c r="MK7" i="24"/>
  <c r="MJ7" i="24"/>
  <c r="MI7" i="24"/>
  <c r="MH7" i="24"/>
  <c r="MG7" i="24"/>
  <c r="MF7" i="24"/>
  <c r="ME7" i="24"/>
  <c r="MD7" i="24"/>
  <c r="MC7" i="24"/>
  <c r="MB7" i="24"/>
  <c r="MA7" i="24"/>
  <c r="LZ7" i="24"/>
  <c r="LY7" i="24"/>
  <c r="LX7" i="24"/>
  <c r="LW7" i="24"/>
  <c r="LV7" i="24"/>
  <c r="LU7" i="24"/>
  <c r="LT7" i="24"/>
  <c r="LS7" i="24"/>
  <c r="LR7" i="24"/>
  <c r="LQ7" i="24"/>
  <c r="LP7" i="24"/>
  <c r="LO7" i="24"/>
  <c r="LN7" i="24"/>
  <c r="LM7" i="24"/>
  <c r="LL7" i="24"/>
  <c r="LK7" i="24"/>
  <c r="LJ7" i="24"/>
  <c r="LI7" i="24"/>
  <c r="LH7" i="24"/>
  <c r="LG7" i="24"/>
  <c r="LF7" i="24"/>
  <c r="LE7" i="24"/>
  <c r="LD7" i="24"/>
  <c r="LC7" i="24"/>
  <c r="LB7" i="24"/>
  <c r="LA7" i="24"/>
  <c r="KZ7" i="24"/>
  <c r="KY7" i="24"/>
  <c r="KX7" i="24"/>
  <c r="KW7" i="24"/>
  <c r="KV7" i="24"/>
  <c r="KU7" i="24"/>
  <c r="KT7" i="24"/>
  <c r="KS7" i="24"/>
  <c r="KR7" i="24"/>
  <c r="KQ7" i="24"/>
  <c r="KP7" i="24"/>
  <c r="KO7" i="24"/>
  <c r="KN7" i="24"/>
  <c r="KM7" i="24"/>
  <c r="KL7" i="24"/>
  <c r="KK7" i="24"/>
  <c r="KJ7" i="24"/>
  <c r="KI7" i="24"/>
  <c r="KH7" i="24"/>
  <c r="KG7" i="24"/>
  <c r="KF7" i="24"/>
  <c r="KE7" i="24"/>
  <c r="KD7" i="24"/>
  <c r="KC7" i="24"/>
  <c r="KB7" i="24"/>
  <c r="KA7" i="24"/>
  <c r="JZ7" i="24"/>
  <c r="JY7" i="24"/>
  <c r="JX7" i="24"/>
  <c r="JW7" i="24"/>
  <c r="JV7" i="24"/>
  <c r="JU7" i="24"/>
  <c r="JT7" i="24"/>
  <c r="JS7" i="24"/>
  <c r="JR7" i="24"/>
  <c r="JQ7" i="24"/>
  <c r="JP7" i="24"/>
  <c r="JO7" i="24"/>
  <c r="JN7" i="24"/>
  <c r="JM7" i="24"/>
  <c r="JL7" i="24"/>
  <c r="JK7" i="24"/>
  <c r="JJ7" i="24"/>
  <c r="JI7" i="24"/>
  <c r="JH7" i="24"/>
  <c r="JG7" i="24"/>
  <c r="JF7" i="24"/>
  <c r="JE7" i="24"/>
  <c r="JD7" i="24"/>
  <c r="JC7" i="24"/>
  <c r="JB7" i="24"/>
  <c r="JA7" i="24"/>
  <c r="IZ7" i="24"/>
  <c r="IY7" i="24"/>
  <c r="IX7" i="24"/>
  <c r="IW7" i="24"/>
  <c r="IV7" i="24"/>
  <c r="IU7" i="24"/>
  <c r="IT7" i="24"/>
  <c r="IS7" i="24"/>
  <c r="IR7" i="24"/>
  <c r="IQ7" i="24"/>
  <c r="IP7" i="24"/>
  <c r="IO7" i="24"/>
  <c r="IN7" i="24"/>
  <c r="IM7" i="24"/>
  <c r="IL7" i="24"/>
  <c r="IK7" i="24"/>
  <c r="IJ7" i="24"/>
  <c r="II7" i="24"/>
  <c r="IH7" i="24"/>
  <c r="IG7" i="24"/>
  <c r="IF7" i="24"/>
  <c r="IE7" i="24"/>
  <c r="ID7" i="24"/>
  <c r="IC7" i="24"/>
  <c r="IB7" i="24"/>
  <c r="IA7" i="24"/>
  <c r="HZ7" i="24"/>
  <c r="HY7" i="24"/>
  <c r="HX7" i="24"/>
  <c r="HW7" i="24"/>
  <c r="HV7" i="24"/>
  <c r="HU7" i="24"/>
  <c r="HT7" i="24"/>
  <c r="HS7" i="24"/>
  <c r="HR7" i="24"/>
  <c r="HQ7" i="24"/>
  <c r="HP7" i="24"/>
  <c r="HO7" i="24"/>
  <c r="HN7" i="24"/>
  <c r="HM7" i="24"/>
  <c r="HL7" i="24"/>
  <c r="HK7" i="24"/>
  <c r="HJ7" i="24"/>
  <c r="HI7" i="24"/>
  <c r="HH7" i="24"/>
  <c r="HG7" i="24"/>
  <c r="HF7" i="24"/>
  <c r="HE7" i="24"/>
  <c r="HD7" i="24"/>
  <c r="HC7" i="24"/>
  <c r="HB7" i="24"/>
  <c r="HA7" i="24"/>
  <c r="GZ7" i="24"/>
  <c r="GY7" i="24"/>
  <c r="GX7" i="24"/>
  <c r="GW7" i="24"/>
  <c r="GV7" i="24"/>
  <c r="GU7" i="24"/>
  <c r="GT7" i="24"/>
  <c r="GS7" i="24"/>
  <c r="GR7" i="24"/>
  <c r="GQ7" i="24"/>
  <c r="GP7" i="24"/>
  <c r="GO7" i="24"/>
  <c r="GN7" i="24"/>
  <c r="GM7" i="24"/>
  <c r="GL7" i="24"/>
  <c r="GK7" i="24"/>
  <c r="GJ7" i="24"/>
  <c r="GI7" i="24"/>
  <c r="GH7" i="24"/>
  <c r="GG7" i="24"/>
  <c r="GF7" i="24"/>
  <c r="GE7" i="24"/>
  <c r="GD7" i="24"/>
  <c r="GC7" i="24"/>
  <c r="GB7" i="24"/>
  <c r="GA7" i="24"/>
  <c r="FZ7" i="24"/>
  <c r="FY7" i="24"/>
  <c r="FX7" i="24"/>
  <c r="FW7" i="24"/>
  <c r="FV7" i="24"/>
  <c r="FU7" i="24"/>
  <c r="FT7" i="24"/>
  <c r="FS7" i="24"/>
  <c r="FR7" i="24"/>
  <c r="FQ7" i="24"/>
  <c r="FP7" i="24"/>
  <c r="FO7" i="24"/>
  <c r="FN7" i="24"/>
  <c r="FM7" i="24"/>
  <c r="FL7" i="24"/>
  <c r="FK7" i="24"/>
  <c r="FJ7" i="24"/>
  <c r="FI7" i="24"/>
  <c r="FH7" i="24"/>
  <c r="FG7" i="24"/>
  <c r="FF7" i="24"/>
  <c r="FE7" i="24"/>
  <c r="FD7" i="24"/>
  <c r="FC7" i="24"/>
  <c r="FB7" i="24"/>
  <c r="FA7" i="24"/>
  <c r="EZ7" i="24"/>
  <c r="EY7" i="24"/>
  <c r="EX7" i="24"/>
  <c r="EW7" i="24"/>
  <c r="EV7" i="24"/>
  <c r="EU7" i="24"/>
  <c r="ET7" i="24"/>
  <c r="ES7" i="24"/>
  <c r="ER7" i="24"/>
  <c r="EQ7" i="24"/>
  <c r="EP7" i="24"/>
  <c r="EO7" i="24"/>
  <c r="EN7" i="24"/>
  <c r="EM7" i="24"/>
  <c r="EL7" i="24"/>
  <c r="EK7" i="24"/>
  <c r="EJ7" i="24"/>
  <c r="EI7" i="24"/>
  <c r="EH7" i="24"/>
  <c r="EG7" i="24"/>
  <c r="EF7" i="24"/>
  <c r="EE7" i="24"/>
  <c r="ED7" i="24"/>
  <c r="EC7" i="24"/>
  <c r="EB7" i="24"/>
  <c r="EA7" i="24"/>
  <c r="DZ7" i="24"/>
  <c r="DY7" i="24"/>
  <c r="DX7" i="24"/>
  <c r="DW7" i="24"/>
  <c r="DV7" i="24"/>
  <c r="DU7" i="24"/>
  <c r="DT7" i="24"/>
  <c r="DS7" i="24"/>
  <c r="DR7" i="24"/>
  <c r="DQ7" i="24"/>
  <c r="DP7" i="24"/>
  <c r="DO7" i="24"/>
  <c r="DN7" i="24"/>
  <c r="DM7" i="24"/>
  <c r="DL7" i="24"/>
  <c r="DK7" i="24"/>
  <c r="DJ7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X7" i="24"/>
  <c r="BW7" i="24"/>
  <c r="BV7" i="24"/>
  <c r="BU7" i="24"/>
  <c r="BT7" i="24"/>
  <c r="BS7" i="24"/>
  <c r="BR7" i="24"/>
  <c r="BQ7" i="24"/>
  <c r="BP7" i="24"/>
  <c r="BO7" i="24"/>
  <c r="BN7" i="24"/>
  <c r="BM7" i="24"/>
  <c r="BL7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B18" i="24" s="1"/>
  <c r="ACV6" i="24"/>
  <c r="ACU6" i="24"/>
  <c r="ACT6" i="24"/>
  <c r="ACS6" i="24"/>
  <c r="ACR6" i="24"/>
  <c r="ACQ6" i="24"/>
  <c r="ACP6" i="24"/>
  <c r="ACO6" i="24"/>
  <c r="ACN6" i="24"/>
  <c r="ACM6" i="24"/>
  <c r="ACL6" i="24"/>
  <c r="ACK6" i="24"/>
  <c r="ACJ6" i="24"/>
  <c r="ACI6" i="24"/>
  <c r="ACH6" i="24"/>
  <c r="ACG6" i="24"/>
  <c r="ACF6" i="24"/>
  <c r="ACE6" i="24"/>
  <c r="ACD6" i="24"/>
  <c r="ACC6" i="24"/>
  <c r="ACB6" i="24"/>
  <c r="ACA6" i="24"/>
  <c r="ABZ6" i="24"/>
  <c r="ABY6" i="24"/>
  <c r="ABX6" i="24"/>
  <c r="ABW6" i="24"/>
  <c r="ABV6" i="24"/>
  <c r="ABU6" i="24"/>
  <c r="ABT6" i="24"/>
  <c r="ABS6" i="24"/>
  <c r="ABR6" i="24"/>
  <c r="ABQ6" i="24"/>
  <c r="ABP6" i="24"/>
  <c r="ABO6" i="24"/>
  <c r="ABN6" i="24"/>
  <c r="ABM6" i="24"/>
  <c r="ABL6" i="24"/>
  <c r="ABK6" i="24"/>
  <c r="ABJ6" i="24"/>
  <c r="ABI6" i="24"/>
  <c r="ABH6" i="24"/>
  <c r="ABG6" i="24"/>
  <c r="ABF6" i="24"/>
  <c r="ABE6" i="24"/>
  <c r="ABD6" i="24"/>
  <c r="ABC6" i="24"/>
  <c r="ABB6" i="24"/>
  <c r="ABA6" i="24"/>
  <c r="AAZ6" i="24"/>
  <c r="AAY6" i="24"/>
  <c r="AAX6" i="24"/>
  <c r="AAW6" i="24"/>
  <c r="AAV6" i="24"/>
  <c r="AAU6" i="24"/>
  <c r="AAT6" i="24"/>
  <c r="AAS6" i="24"/>
  <c r="AAR6" i="24"/>
  <c r="AAQ6" i="24"/>
  <c r="AAP6" i="24"/>
  <c r="AAO6" i="24"/>
  <c r="AAN6" i="24"/>
  <c r="AAM6" i="24"/>
  <c r="AAL6" i="24"/>
  <c r="AAK6" i="24"/>
  <c r="AAJ6" i="24"/>
  <c r="AAI6" i="24"/>
  <c r="AAH6" i="24"/>
  <c r="AAG6" i="24"/>
  <c r="AAF6" i="24"/>
  <c r="AAE6" i="24"/>
  <c r="AAD6" i="24"/>
  <c r="AAC6" i="24"/>
  <c r="AAB6" i="24"/>
  <c r="AAA6" i="24"/>
  <c r="ZZ6" i="24"/>
  <c r="ZY6" i="24"/>
  <c r="ZX6" i="24"/>
  <c r="ZW6" i="24"/>
  <c r="ZV6" i="24"/>
  <c r="ZU6" i="24"/>
  <c r="ZT6" i="24"/>
  <c r="ZS6" i="24"/>
  <c r="ZR6" i="24"/>
  <c r="ZQ6" i="24"/>
  <c r="ZP6" i="24"/>
  <c r="ZO6" i="24"/>
  <c r="ZN6" i="24"/>
  <c r="ZM6" i="24"/>
  <c r="ZL6" i="24"/>
  <c r="ZK6" i="24"/>
  <c r="ZJ6" i="24"/>
  <c r="ZI6" i="24"/>
  <c r="ZH6" i="24"/>
  <c r="ZG6" i="24"/>
  <c r="ZF6" i="24"/>
  <c r="ZE6" i="24"/>
  <c r="ZD6" i="24"/>
  <c r="ZC6" i="24"/>
  <c r="ZB6" i="24"/>
  <c r="ZA6" i="24"/>
  <c r="YZ6" i="24"/>
  <c r="YY6" i="24"/>
  <c r="YX6" i="24"/>
  <c r="YW6" i="24"/>
  <c r="YV6" i="24"/>
  <c r="YU6" i="24"/>
  <c r="YT6" i="24"/>
  <c r="YS6" i="24"/>
  <c r="YR6" i="24"/>
  <c r="YQ6" i="24"/>
  <c r="YP6" i="24"/>
  <c r="YO6" i="24"/>
  <c r="YN6" i="24"/>
  <c r="YM6" i="24"/>
  <c r="YL6" i="24"/>
  <c r="YK6" i="24"/>
  <c r="YJ6" i="24"/>
  <c r="YI6" i="24"/>
  <c r="YH6" i="24"/>
  <c r="YG6" i="24"/>
  <c r="YF6" i="24"/>
  <c r="YE6" i="24"/>
  <c r="YD6" i="24"/>
  <c r="YC6" i="24"/>
  <c r="YB6" i="24"/>
  <c r="YA6" i="24"/>
  <c r="XZ6" i="24"/>
  <c r="XY6" i="24"/>
  <c r="XX6" i="24"/>
  <c r="XW6" i="24"/>
  <c r="XV6" i="24"/>
  <c r="XU6" i="24"/>
  <c r="XT6" i="24"/>
  <c r="XS6" i="24"/>
  <c r="XR6" i="24"/>
  <c r="XQ6" i="24"/>
  <c r="XP6" i="24"/>
  <c r="XO6" i="24"/>
  <c r="XN6" i="24"/>
  <c r="XM6" i="24"/>
  <c r="XL6" i="24"/>
  <c r="XK6" i="24"/>
  <c r="XJ6" i="24"/>
  <c r="XI6" i="24"/>
  <c r="XH6" i="24"/>
  <c r="XG6" i="24"/>
  <c r="XF6" i="24"/>
  <c r="XE6" i="24"/>
  <c r="XD6" i="24"/>
  <c r="XC6" i="24"/>
  <c r="XB6" i="24"/>
  <c r="XA6" i="24"/>
  <c r="WZ6" i="24"/>
  <c r="WY6" i="24"/>
  <c r="WX6" i="24"/>
  <c r="WW6" i="24"/>
  <c r="WV6" i="24"/>
  <c r="WU6" i="24"/>
  <c r="WT6" i="24"/>
  <c r="WS6" i="24"/>
  <c r="WR6" i="24"/>
  <c r="WQ6" i="24"/>
  <c r="WP6" i="24"/>
  <c r="WO6" i="24"/>
  <c r="WN6" i="24"/>
  <c r="WM6" i="24"/>
  <c r="WL6" i="24"/>
  <c r="WK6" i="24"/>
  <c r="WJ6" i="24"/>
  <c r="WI6" i="24"/>
  <c r="WH6" i="24"/>
  <c r="WG6" i="24"/>
  <c r="WF6" i="24"/>
  <c r="WE6" i="24"/>
  <c r="WD6" i="24"/>
  <c r="WC6" i="24"/>
  <c r="WB6" i="24"/>
  <c r="WA6" i="24"/>
  <c r="VZ6" i="24"/>
  <c r="VY6" i="24"/>
  <c r="VX6" i="24"/>
  <c r="VW6" i="24"/>
  <c r="VV6" i="24"/>
  <c r="VU6" i="24"/>
  <c r="VT6" i="24"/>
  <c r="VS6" i="24"/>
  <c r="VR6" i="24"/>
  <c r="VQ6" i="24"/>
  <c r="VP6" i="24"/>
  <c r="VO6" i="24"/>
  <c r="VN6" i="24"/>
  <c r="VM6" i="24"/>
  <c r="VL6" i="24"/>
  <c r="VK6" i="24"/>
  <c r="VJ6" i="24"/>
  <c r="VI6" i="24"/>
  <c r="VH6" i="24"/>
  <c r="VG6" i="24"/>
  <c r="VF6" i="24"/>
  <c r="VE6" i="24"/>
  <c r="VD6" i="24"/>
  <c r="VC6" i="24"/>
  <c r="VB6" i="24"/>
  <c r="VA6" i="24"/>
  <c r="UZ6" i="24"/>
  <c r="UY6" i="24"/>
  <c r="UX6" i="24"/>
  <c r="UW6" i="24"/>
  <c r="UV6" i="24"/>
  <c r="UU6" i="24"/>
  <c r="UT6" i="24"/>
  <c r="US6" i="24"/>
  <c r="UR6" i="24"/>
  <c r="UQ6" i="24"/>
  <c r="UP6" i="24"/>
  <c r="UO6" i="24"/>
  <c r="UN6" i="24"/>
  <c r="UM6" i="24"/>
  <c r="UL6" i="24"/>
  <c r="UK6" i="24"/>
  <c r="UJ6" i="24"/>
  <c r="UI6" i="24"/>
  <c r="UH6" i="24"/>
  <c r="UG6" i="24"/>
  <c r="UF6" i="24"/>
  <c r="UE6" i="24"/>
  <c r="UD6" i="24"/>
  <c r="UC6" i="24"/>
  <c r="UB6" i="24"/>
  <c r="UA6" i="24"/>
  <c r="TZ6" i="24"/>
  <c r="TY6" i="24"/>
  <c r="TX6" i="24"/>
  <c r="TW6" i="24"/>
  <c r="TV6" i="24"/>
  <c r="TU6" i="24"/>
  <c r="TT6" i="24"/>
  <c r="TS6" i="24"/>
  <c r="TR6" i="24"/>
  <c r="TQ6" i="24"/>
  <c r="TP6" i="24"/>
  <c r="TO6" i="24"/>
  <c r="TN6" i="24"/>
  <c r="TM6" i="24"/>
  <c r="TL6" i="24"/>
  <c r="TK6" i="24"/>
  <c r="TJ6" i="24"/>
  <c r="TI6" i="24"/>
  <c r="TH6" i="24"/>
  <c r="TG6" i="24"/>
  <c r="TF6" i="24"/>
  <c r="TE6" i="24"/>
  <c r="TD6" i="24"/>
  <c r="TC6" i="24"/>
  <c r="TB6" i="24"/>
  <c r="TA6" i="24"/>
  <c r="SZ6" i="24"/>
  <c r="SY6" i="24"/>
  <c r="SX6" i="24"/>
  <c r="SW6" i="24"/>
  <c r="SV6" i="24"/>
  <c r="SU6" i="24"/>
  <c r="ST6" i="24"/>
  <c r="SS6" i="24"/>
  <c r="SR6" i="24"/>
  <c r="SQ6" i="24"/>
  <c r="SP6" i="24"/>
  <c r="SO6" i="24"/>
  <c r="SN6" i="24"/>
  <c r="SM6" i="24"/>
  <c r="SL6" i="24"/>
  <c r="SK6" i="24"/>
  <c r="SJ6" i="24"/>
  <c r="SI6" i="24"/>
  <c r="SH6" i="24"/>
  <c r="SG6" i="24"/>
  <c r="SF6" i="24"/>
  <c r="SE6" i="24"/>
  <c r="SD6" i="24"/>
  <c r="SC6" i="24"/>
  <c r="SB6" i="24"/>
  <c r="SA6" i="24"/>
  <c r="RZ6" i="24"/>
  <c r="RY6" i="24"/>
  <c r="RX6" i="24"/>
  <c r="RW6" i="24"/>
  <c r="RV6" i="24"/>
  <c r="RU6" i="24"/>
  <c r="RT6" i="24"/>
  <c r="RS6" i="24"/>
  <c r="RR6" i="24"/>
  <c r="RQ6" i="24"/>
  <c r="RP6" i="24"/>
  <c r="RO6" i="24"/>
  <c r="RN6" i="24"/>
  <c r="RM6" i="24"/>
  <c r="RL6" i="24"/>
  <c r="RK6" i="24"/>
  <c r="RJ6" i="24"/>
  <c r="RI6" i="24"/>
  <c r="RH6" i="24"/>
  <c r="RG6" i="24"/>
  <c r="RF6" i="24"/>
  <c r="RE6" i="24"/>
  <c r="RD6" i="24"/>
  <c r="RC6" i="24"/>
  <c r="RB6" i="24"/>
  <c r="RA6" i="24"/>
  <c r="QZ6" i="24"/>
  <c r="QY6" i="24"/>
  <c r="QX6" i="24"/>
  <c r="QW6" i="24"/>
  <c r="QV6" i="24"/>
  <c r="QU6" i="24"/>
  <c r="QT6" i="24"/>
  <c r="QS6" i="24"/>
  <c r="QR6" i="24"/>
  <c r="QQ6" i="24"/>
  <c r="QP6" i="24"/>
  <c r="QO6" i="24"/>
  <c r="QN6" i="24"/>
  <c r="QM6" i="24"/>
  <c r="QL6" i="24"/>
  <c r="QK6" i="24"/>
  <c r="QJ6" i="24"/>
  <c r="QI6" i="24"/>
  <c r="QH6" i="24"/>
  <c r="QG6" i="24"/>
  <c r="QF6" i="24"/>
  <c r="QE6" i="24"/>
  <c r="QD6" i="24"/>
  <c r="QC6" i="24"/>
  <c r="QB6" i="24"/>
  <c r="QA6" i="24"/>
  <c r="PZ6" i="24"/>
  <c r="PY6" i="24"/>
  <c r="PX6" i="24"/>
  <c r="PW6" i="24"/>
  <c r="PV6" i="24"/>
  <c r="PU6" i="24"/>
  <c r="PT6" i="24"/>
  <c r="PS6" i="24"/>
  <c r="PR6" i="24"/>
  <c r="PQ6" i="24"/>
  <c r="PP6" i="24"/>
  <c r="PO6" i="24"/>
  <c r="PN6" i="24"/>
  <c r="PM6" i="24"/>
  <c r="PL6" i="24"/>
  <c r="PK6" i="24"/>
  <c r="PJ6" i="24"/>
  <c r="PI6" i="24"/>
  <c r="PH6" i="24"/>
  <c r="PG6" i="24"/>
  <c r="PF6" i="24"/>
  <c r="PE6" i="24"/>
  <c r="PD6" i="24"/>
  <c r="PC6" i="24"/>
  <c r="PB6" i="24"/>
  <c r="PA6" i="24"/>
  <c r="OZ6" i="24"/>
  <c r="OY6" i="24"/>
  <c r="OX6" i="24"/>
  <c r="OW6" i="24"/>
  <c r="OV6" i="24"/>
  <c r="OU6" i="24"/>
  <c r="OT6" i="24"/>
  <c r="OS6" i="24"/>
  <c r="OR6" i="24"/>
  <c r="OQ6" i="24"/>
  <c r="OP6" i="24"/>
  <c r="OO6" i="24"/>
  <c r="ON6" i="24"/>
  <c r="OM6" i="24"/>
  <c r="OL6" i="24"/>
  <c r="OK6" i="24"/>
  <c r="OJ6" i="24"/>
  <c r="OI6" i="24"/>
  <c r="OH6" i="24"/>
  <c r="OG6" i="24"/>
  <c r="OF6" i="24"/>
  <c r="OE6" i="24"/>
  <c r="OD6" i="24"/>
  <c r="OC6" i="24"/>
  <c r="OB6" i="24"/>
  <c r="OA6" i="24"/>
  <c r="NZ6" i="24"/>
  <c r="NY6" i="24"/>
  <c r="NX6" i="24"/>
  <c r="NW6" i="24"/>
  <c r="NV6" i="24"/>
  <c r="NU6" i="24"/>
  <c r="NT6" i="24"/>
  <c r="NS6" i="24"/>
  <c r="NR6" i="24"/>
  <c r="NQ6" i="24"/>
  <c r="NP6" i="24"/>
  <c r="NO6" i="24"/>
  <c r="NN6" i="24"/>
  <c r="NM6" i="24"/>
  <c r="NL6" i="24"/>
  <c r="NK6" i="24"/>
  <c r="NJ6" i="24"/>
  <c r="NI6" i="24"/>
  <c r="NH6" i="24"/>
  <c r="NG6" i="24"/>
  <c r="NF6" i="24"/>
  <c r="NE6" i="24"/>
  <c r="ND6" i="24"/>
  <c r="NC6" i="24"/>
  <c r="NB6" i="24"/>
  <c r="NA6" i="24"/>
  <c r="MZ6" i="24"/>
  <c r="MY6" i="24"/>
  <c r="MX6" i="24"/>
  <c r="MW6" i="24"/>
  <c r="MV6" i="24"/>
  <c r="MU6" i="24"/>
  <c r="MT6" i="24"/>
  <c r="MS6" i="24"/>
  <c r="MR6" i="24"/>
  <c r="MQ6" i="24"/>
  <c r="MP6" i="24"/>
  <c r="MO6" i="24"/>
  <c r="MN6" i="24"/>
  <c r="MM6" i="24"/>
  <c r="ML6" i="24"/>
  <c r="MK6" i="24"/>
  <c r="MJ6" i="24"/>
  <c r="MI6" i="24"/>
  <c r="MH6" i="24"/>
  <c r="MG6" i="24"/>
  <c r="MF6" i="24"/>
  <c r="ME6" i="24"/>
  <c r="MD6" i="24"/>
  <c r="MC6" i="24"/>
  <c r="MB6" i="24"/>
  <c r="MA6" i="24"/>
  <c r="LZ6" i="24"/>
  <c r="LY6" i="24"/>
  <c r="LX6" i="24"/>
  <c r="LW6" i="24"/>
  <c r="LV6" i="24"/>
  <c r="LU6" i="24"/>
  <c r="LT6" i="24"/>
  <c r="LS6" i="24"/>
  <c r="LR6" i="24"/>
  <c r="LQ6" i="24"/>
  <c r="LP6" i="24"/>
  <c r="LO6" i="24"/>
  <c r="LN6" i="24"/>
  <c r="LM6" i="24"/>
  <c r="LL6" i="24"/>
  <c r="LK6" i="24"/>
  <c r="LJ6" i="24"/>
  <c r="LI6" i="24"/>
  <c r="LH6" i="24"/>
  <c r="LG6" i="24"/>
  <c r="LF6" i="24"/>
  <c r="LE6" i="24"/>
  <c r="LD6" i="24"/>
  <c r="LC6" i="24"/>
  <c r="LB6" i="24"/>
  <c r="LA6" i="24"/>
  <c r="KZ6" i="24"/>
  <c r="KY6" i="24"/>
  <c r="KX6" i="24"/>
  <c r="KW6" i="24"/>
  <c r="KV6" i="24"/>
  <c r="KU6" i="24"/>
  <c r="KT6" i="24"/>
  <c r="KS6" i="24"/>
  <c r="KR6" i="24"/>
  <c r="KQ6" i="24"/>
  <c r="KP6" i="24"/>
  <c r="KO6" i="24"/>
  <c r="KN6" i="24"/>
  <c r="KM6" i="24"/>
  <c r="KL6" i="24"/>
  <c r="KK6" i="24"/>
  <c r="KJ6" i="24"/>
  <c r="KI6" i="24"/>
  <c r="KH6" i="24"/>
  <c r="KG6" i="24"/>
  <c r="KF6" i="24"/>
  <c r="KE6" i="24"/>
  <c r="KD6" i="24"/>
  <c r="KC6" i="24"/>
  <c r="KB6" i="24"/>
  <c r="KA6" i="24"/>
  <c r="JZ6" i="24"/>
  <c r="JY6" i="24"/>
  <c r="JX6" i="24"/>
  <c r="JW6" i="24"/>
  <c r="JV6" i="24"/>
  <c r="JU6" i="24"/>
  <c r="JT6" i="24"/>
  <c r="JS6" i="24"/>
  <c r="JR6" i="24"/>
  <c r="JQ6" i="24"/>
  <c r="JP6" i="24"/>
  <c r="JO6" i="24"/>
  <c r="JN6" i="24"/>
  <c r="JM6" i="24"/>
  <c r="JL6" i="24"/>
  <c r="JK6" i="24"/>
  <c r="JJ6" i="24"/>
  <c r="JI6" i="24"/>
  <c r="JH6" i="24"/>
  <c r="JG6" i="24"/>
  <c r="JF6" i="24"/>
  <c r="JE6" i="24"/>
  <c r="JD6" i="24"/>
  <c r="JC6" i="24"/>
  <c r="JB6" i="24"/>
  <c r="JA6" i="24"/>
  <c r="IZ6" i="24"/>
  <c r="IY6" i="24"/>
  <c r="IX6" i="24"/>
  <c r="IW6" i="24"/>
  <c r="IV6" i="24"/>
  <c r="IU6" i="24"/>
  <c r="IT6" i="24"/>
  <c r="IS6" i="24"/>
  <c r="IR6" i="24"/>
  <c r="IQ6" i="24"/>
  <c r="IP6" i="24"/>
  <c r="IO6" i="24"/>
  <c r="IN6" i="24"/>
  <c r="IM6" i="24"/>
  <c r="IL6" i="24"/>
  <c r="IK6" i="24"/>
  <c r="IJ6" i="24"/>
  <c r="II6" i="24"/>
  <c r="IH6" i="24"/>
  <c r="IG6" i="24"/>
  <c r="IF6" i="24"/>
  <c r="IE6" i="24"/>
  <c r="ID6" i="24"/>
  <c r="IC6" i="24"/>
  <c r="IB6" i="24"/>
  <c r="IA6" i="24"/>
  <c r="HZ6" i="24"/>
  <c r="HY6" i="24"/>
  <c r="HX6" i="24"/>
  <c r="HW6" i="24"/>
  <c r="HV6" i="24"/>
  <c r="HU6" i="24"/>
  <c r="HT6" i="24"/>
  <c r="HS6" i="24"/>
  <c r="HR6" i="24"/>
  <c r="HQ6" i="24"/>
  <c r="HP6" i="24"/>
  <c r="HO6" i="24"/>
  <c r="HN6" i="24"/>
  <c r="HM6" i="24"/>
  <c r="HL6" i="24"/>
  <c r="HK6" i="24"/>
  <c r="HJ6" i="24"/>
  <c r="HI6" i="24"/>
  <c r="HH6" i="24"/>
  <c r="HG6" i="24"/>
  <c r="HF6" i="24"/>
  <c r="HE6" i="24"/>
  <c r="HD6" i="24"/>
  <c r="HC6" i="24"/>
  <c r="HB6" i="24"/>
  <c r="HA6" i="24"/>
  <c r="GZ6" i="24"/>
  <c r="GY6" i="24"/>
  <c r="GX6" i="24"/>
  <c r="GW6" i="24"/>
  <c r="GV6" i="24"/>
  <c r="GU6" i="24"/>
  <c r="GT6" i="24"/>
  <c r="GS6" i="24"/>
  <c r="GR6" i="24"/>
  <c r="GQ6" i="24"/>
  <c r="GP6" i="24"/>
  <c r="GO6" i="24"/>
  <c r="GN6" i="24"/>
  <c r="GM6" i="24"/>
  <c r="GL6" i="24"/>
  <c r="GK6" i="24"/>
  <c r="GJ6" i="24"/>
  <c r="GI6" i="24"/>
  <c r="GH6" i="24"/>
  <c r="GG6" i="24"/>
  <c r="GF6" i="24"/>
  <c r="GE6" i="24"/>
  <c r="GD6" i="24"/>
  <c r="GC6" i="24"/>
  <c r="GB6" i="24"/>
  <c r="GA6" i="24"/>
  <c r="FZ6" i="24"/>
  <c r="FY6" i="24"/>
  <c r="FX6" i="24"/>
  <c r="FW6" i="24"/>
  <c r="FV6" i="24"/>
  <c r="FU6" i="24"/>
  <c r="FT6" i="24"/>
  <c r="FS6" i="24"/>
  <c r="FR6" i="24"/>
  <c r="FQ6" i="24"/>
  <c r="FP6" i="24"/>
  <c r="FO6" i="24"/>
  <c r="FN6" i="24"/>
  <c r="FM6" i="24"/>
  <c r="FL6" i="24"/>
  <c r="FK6" i="24"/>
  <c r="FJ6" i="24"/>
  <c r="FI6" i="24"/>
  <c r="FH6" i="24"/>
  <c r="FG6" i="24"/>
  <c r="FF6" i="24"/>
  <c r="FE6" i="24"/>
  <c r="FD6" i="24"/>
  <c r="FC6" i="24"/>
  <c r="FB6" i="24"/>
  <c r="FA6" i="24"/>
  <c r="EZ6" i="24"/>
  <c r="EY6" i="24"/>
  <c r="EX6" i="24"/>
  <c r="EW6" i="24"/>
  <c r="EV6" i="24"/>
  <c r="EU6" i="24"/>
  <c r="ET6" i="24"/>
  <c r="ES6" i="24"/>
  <c r="ER6" i="24"/>
  <c r="EQ6" i="24"/>
  <c r="EP6" i="24"/>
  <c r="EO6" i="24"/>
  <c r="EN6" i="24"/>
  <c r="EM6" i="24"/>
  <c r="EL6" i="24"/>
  <c r="EK6" i="24"/>
  <c r="EJ6" i="24"/>
  <c r="EI6" i="24"/>
  <c r="EH6" i="24"/>
  <c r="EG6" i="24"/>
  <c r="EF6" i="24"/>
  <c r="EE6" i="24"/>
  <c r="ED6" i="24"/>
  <c r="EC6" i="24"/>
  <c r="EB6" i="24"/>
  <c r="EA6" i="24"/>
  <c r="DZ6" i="24"/>
  <c r="DY6" i="24"/>
  <c r="DX6" i="24"/>
  <c r="DW6" i="24"/>
  <c r="DV6" i="24"/>
  <c r="DU6" i="24"/>
  <c r="DT6" i="24"/>
  <c r="DS6" i="24"/>
  <c r="DR6" i="24"/>
  <c r="DQ6" i="24"/>
  <c r="DP6" i="24"/>
  <c r="DO6" i="24"/>
  <c r="DN6" i="24"/>
  <c r="DM6" i="24"/>
  <c r="DL6" i="24"/>
  <c r="DK6" i="24"/>
  <c r="DJ6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BP6" i="24"/>
  <c r="BO6" i="24"/>
  <c r="BN6" i="24"/>
  <c r="BM6" i="24"/>
  <c r="BL6" i="24"/>
  <c r="BK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B17" i="24" s="1"/>
  <c r="ACV5" i="24"/>
  <c r="ACU5" i="24"/>
  <c r="ACT5" i="24"/>
  <c r="ACS5" i="24"/>
  <c r="ACR5" i="24"/>
  <c r="ACQ5" i="24"/>
  <c r="ACP5" i="24"/>
  <c r="ACO5" i="24"/>
  <c r="ACN5" i="24"/>
  <c r="ACM5" i="24"/>
  <c r="ACL5" i="24"/>
  <c r="ACK5" i="24"/>
  <c r="ACJ5" i="24"/>
  <c r="ACI5" i="24"/>
  <c r="ACH5" i="24"/>
  <c r="ACG5" i="24"/>
  <c r="ACF5" i="24"/>
  <c r="ACE5" i="24"/>
  <c r="ACD5" i="24"/>
  <c r="ACC5" i="24"/>
  <c r="ACB5" i="24"/>
  <c r="ACA5" i="24"/>
  <c r="ABZ5" i="24"/>
  <c r="ABY5" i="24"/>
  <c r="ABX5" i="24"/>
  <c r="ABW5" i="24"/>
  <c r="ABV5" i="24"/>
  <c r="ABU5" i="24"/>
  <c r="ABT5" i="24"/>
  <c r="ABS5" i="24"/>
  <c r="ABR5" i="24"/>
  <c r="ABQ5" i="24"/>
  <c r="ABP5" i="24"/>
  <c r="ABO5" i="24"/>
  <c r="ABN5" i="24"/>
  <c r="ABM5" i="24"/>
  <c r="ABL5" i="24"/>
  <c r="ABK5" i="24"/>
  <c r="ABJ5" i="24"/>
  <c r="ABI5" i="24"/>
  <c r="ABH5" i="24"/>
  <c r="ABG5" i="24"/>
  <c r="ABF5" i="24"/>
  <c r="ABE5" i="24"/>
  <c r="ABD5" i="24"/>
  <c r="ABC5" i="24"/>
  <c r="ABB5" i="24"/>
  <c r="ABA5" i="24"/>
  <c r="AAZ5" i="24"/>
  <c r="AAY5" i="24"/>
  <c r="AAX5" i="24"/>
  <c r="AAW5" i="24"/>
  <c r="AAV5" i="24"/>
  <c r="AAU5" i="24"/>
  <c r="AAT5" i="24"/>
  <c r="AAS5" i="24"/>
  <c r="AAR5" i="24"/>
  <c r="AAQ5" i="24"/>
  <c r="AAP5" i="24"/>
  <c r="AAO5" i="24"/>
  <c r="AAN5" i="24"/>
  <c r="AAM5" i="24"/>
  <c r="AAL5" i="24"/>
  <c r="AAK5" i="24"/>
  <c r="AAJ5" i="24"/>
  <c r="AAI5" i="24"/>
  <c r="AAH5" i="24"/>
  <c r="AAG5" i="24"/>
  <c r="AAF5" i="24"/>
  <c r="AAE5" i="24"/>
  <c r="AAD5" i="24"/>
  <c r="AAC5" i="24"/>
  <c r="AAB5" i="24"/>
  <c r="AAA5" i="24"/>
  <c r="ZZ5" i="24"/>
  <c r="ZY5" i="24"/>
  <c r="ZX5" i="24"/>
  <c r="ZW5" i="24"/>
  <c r="ZV5" i="24"/>
  <c r="ZU5" i="24"/>
  <c r="ZT5" i="24"/>
  <c r="ZS5" i="24"/>
  <c r="ZR5" i="24"/>
  <c r="ZQ5" i="24"/>
  <c r="ZP5" i="24"/>
  <c r="ZO5" i="24"/>
  <c r="ZN5" i="24"/>
  <c r="ZM5" i="24"/>
  <c r="ZL5" i="24"/>
  <c r="ZK5" i="24"/>
  <c r="ZJ5" i="24"/>
  <c r="ZI5" i="24"/>
  <c r="ZH5" i="24"/>
  <c r="ZG5" i="24"/>
  <c r="ZF5" i="24"/>
  <c r="ZE5" i="24"/>
  <c r="ZD5" i="24"/>
  <c r="ZC5" i="24"/>
  <c r="ZB5" i="24"/>
  <c r="ZA5" i="24"/>
  <c r="YZ5" i="24"/>
  <c r="YY5" i="24"/>
  <c r="YX5" i="24"/>
  <c r="YW5" i="24"/>
  <c r="YV5" i="24"/>
  <c r="YU5" i="24"/>
  <c r="YT5" i="24"/>
  <c r="YS5" i="24"/>
  <c r="YR5" i="24"/>
  <c r="YQ5" i="24"/>
  <c r="YP5" i="24"/>
  <c r="YO5" i="24"/>
  <c r="YN5" i="24"/>
  <c r="YM5" i="24"/>
  <c r="YL5" i="24"/>
  <c r="YK5" i="24"/>
  <c r="YJ5" i="24"/>
  <c r="YI5" i="24"/>
  <c r="YH5" i="24"/>
  <c r="YG5" i="24"/>
  <c r="YF5" i="24"/>
  <c r="YE5" i="24"/>
  <c r="YD5" i="24"/>
  <c r="YC5" i="24"/>
  <c r="YB5" i="24"/>
  <c r="YA5" i="24"/>
  <c r="XZ5" i="24"/>
  <c r="XY5" i="24"/>
  <c r="XX5" i="24"/>
  <c r="XW5" i="24"/>
  <c r="XV5" i="24"/>
  <c r="XU5" i="24"/>
  <c r="XT5" i="24"/>
  <c r="XS5" i="24"/>
  <c r="XR5" i="24"/>
  <c r="XQ5" i="24"/>
  <c r="XP5" i="24"/>
  <c r="XO5" i="24"/>
  <c r="XN5" i="24"/>
  <c r="XM5" i="24"/>
  <c r="XL5" i="24"/>
  <c r="XK5" i="24"/>
  <c r="XJ5" i="24"/>
  <c r="XI5" i="24"/>
  <c r="XH5" i="24"/>
  <c r="XG5" i="24"/>
  <c r="XF5" i="24"/>
  <c r="XE5" i="24"/>
  <c r="XD5" i="24"/>
  <c r="XC5" i="24"/>
  <c r="XB5" i="24"/>
  <c r="XA5" i="24"/>
  <c r="WZ5" i="24"/>
  <c r="WY5" i="24"/>
  <c r="WX5" i="24"/>
  <c r="WW5" i="24"/>
  <c r="WV5" i="24"/>
  <c r="WU5" i="24"/>
  <c r="WT5" i="24"/>
  <c r="WS5" i="24"/>
  <c r="WR5" i="24"/>
  <c r="WQ5" i="24"/>
  <c r="WP5" i="24"/>
  <c r="WO5" i="24"/>
  <c r="WN5" i="24"/>
  <c r="WM5" i="24"/>
  <c r="WL5" i="24"/>
  <c r="WK5" i="24"/>
  <c r="WJ5" i="24"/>
  <c r="WI5" i="24"/>
  <c r="WH5" i="24"/>
  <c r="WG5" i="24"/>
  <c r="WF5" i="24"/>
  <c r="WE5" i="24"/>
  <c r="WD5" i="24"/>
  <c r="WC5" i="24"/>
  <c r="WB5" i="24"/>
  <c r="WA5" i="24"/>
  <c r="VZ5" i="24"/>
  <c r="VY5" i="24"/>
  <c r="VX5" i="24"/>
  <c r="VW5" i="24"/>
  <c r="VV5" i="24"/>
  <c r="VU5" i="24"/>
  <c r="VT5" i="24"/>
  <c r="VS5" i="24"/>
  <c r="VR5" i="24"/>
  <c r="VQ5" i="24"/>
  <c r="VP5" i="24"/>
  <c r="VO5" i="24"/>
  <c r="VN5" i="24"/>
  <c r="VM5" i="24"/>
  <c r="VL5" i="24"/>
  <c r="VK5" i="24"/>
  <c r="VJ5" i="24"/>
  <c r="VI5" i="24"/>
  <c r="VH5" i="24"/>
  <c r="VG5" i="24"/>
  <c r="VF5" i="24"/>
  <c r="VE5" i="24"/>
  <c r="VD5" i="24"/>
  <c r="VC5" i="24"/>
  <c r="VB5" i="24"/>
  <c r="VA5" i="24"/>
  <c r="UZ5" i="24"/>
  <c r="UY5" i="24"/>
  <c r="UX5" i="24"/>
  <c r="UW5" i="24"/>
  <c r="UV5" i="24"/>
  <c r="UU5" i="24"/>
  <c r="UT5" i="24"/>
  <c r="US5" i="24"/>
  <c r="UR5" i="24"/>
  <c r="UQ5" i="24"/>
  <c r="UP5" i="24"/>
  <c r="UO5" i="24"/>
  <c r="UN5" i="24"/>
  <c r="UM5" i="24"/>
  <c r="UL5" i="24"/>
  <c r="UK5" i="24"/>
  <c r="UJ5" i="24"/>
  <c r="UI5" i="24"/>
  <c r="UH5" i="24"/>
  <c r="UG5" i="24"/>
  <c r="UF5" i="24"/>
  <c r="UE5" i="24"/>
  <c r="UD5" i="24"/>
  <c r="UC5" i="24"/>
  <c r="UB5" i="24"/>
  <c r="UA5" i="24"/>
  <c r="TZ5" i="24"/>
  <c r="TY5" i="24"/>
  <c r="TX5" i="24"/>
  <c r="TW5" i="24"/>
  <c r="TV5" i="24"/>
  <c r="TU5" i="24"/>
  <c r="TT5" i="24"/>
  <c r="TS5" i="24"/>
  <c r="TR5" i="24"/>
  <c r="TQ5" i="24"/>
  <c r="TP5" i="24"/>
  <c r="TO5" i="24"/>
  <c r="TN5" i="24"/>
  <c r="TM5" i="24"/>
  <c r="TL5" i="24"/>
  <c r="TK5" i="24"/>
  <c r="TJ5" i="24"/>
  <c r="TI5" i="24"/>
  <c r="TH5" i="24"/>
  <c r="TG5" i="24"/>
  <c r="TF5" i="24"/>
  <c r="TE5" i="24"/>
  <c r="TD5" i="24"/>
  <c r="TC5" i="24"/>
  <c r="TB5" i="24"/>
  <c r="TA5" i="24"/>
  <c r="SZ5" i="24"/>
  <c r="SY5" i="24"/>
  <c r="SX5" i="24"/>
  <c r="SW5" i="24"/>
  <c r="SV5" i="24"/>
  <c r="SU5" i="24"/>
  <c r="ST5" i="24"/>
  <c r="SS5" i="24"/>
  <c r="SR5" i="24"/>
  <c r="SQ5" i="24"/>
  <c r="SP5" i="24"/>
  <c r="SO5" i="24"/>
  <c r="SN5" i="24"/>
  <c r="SM5" i="24"/>
  <c r="SL5" i="24"/>
  <c r="SK5" i="24"/>
  <c r="SJ5" i="24"/>
  <c r="SI5" i="24"/>
  <c r="SH5" i="24"/>
  <c r="SG5" i="24"/>
  <c r="SF5" i="24"/>
  <c r="SE5" i="24"/>
  <c r="SD5" i="24"/>
  <c r="SC5" i="24"/>
  <c r="SB5" i="24"/>
  <c r="SA5" i="24"/>
  <c r="RZ5" i="24"/>
  <c r="RY5" i="24"/>
  <c r="RX5" i="24"/>
  <c r="RW5" i="24"/>
  <c r="RV5" i="24"/>
  <c r="RU5" i="24"/>
  <c r="RT5" i="24"/>
  <c r="RS5" i="24"/>
  <c r="RR5" i="24"/>
  <c r="RQ5" i="24"/>
  <c r="RP5" i="24"/>
  <c r="RO5" i="24"/>
  <c r="RN5" i="24"/>
  <c r="RM5" i="24"/>
  <c r="RL5" i="24"/>
  <c r="RK5" i="24"/>
  <c r="RJ5" i="24"/>
  <c r="RI5" i="24"/>
  <c r="RH5" i="24"/>
  <c r="RG5" i="24"/>
  <c r="RF5" i="24"/>
  <c r="RE5" i="24"/>
  <c r="RD5" i="24"/>
  <c r="RC5" i="24"/>
  <c r="RB5" i="24"/>
  <c r="RA5" i="24"/>
  <c r="QZ5" i="24"/>
  <c r="QY5" i="24"/>
  <c r="QX5" i="24"/>
  <c r="QW5" i="24"/>
  <c r="QV5" i="24"/>
  <c r="QU5" i="24"/>
  <c r="QT5" i="24"/>
  <c r="QS5" i="24"/>
  <c r="QR5" i="24"/>
  <c r="QQ5" i="24"/>
  <c r="QP5" i="24"/>
  <c r="QO5" i="24"/>
  <c r="QN5" i="24"/>
  <c r="QM5" i="24"/>
  <c r="QL5" i="24"/>
  <c r="QK5" i="24"/>
  <c r="QJ5" i="24"/>
  <c r="QI5" i="24"/>
  <c r="QH5" i="24"/>
  <c r="QG5" i="24"/>
  <c r="QF5" i="24"/>
  <c r="QE5" i="24"/>
  <c r="QD5" i="24"/>
  <c r="QC5" i="24"/>
  <c r="QB5" i="24"/>
  <c r="QA5" i="24"/>
  <c r="PZ5" i="24"/>
  <c r="PY5" i="24"/>
  <c r="PX5" i="24"/>
  <c r="PW5" i="24"/>
  <c r="PV5" i="24"/>
  <c r="PU5" i="24"/>
  <c r="PT5" i="24"/>
  <c r="PS5" i="24"/>
  <c r="PR5" i="24"/>
  <c r="PQ5" i="24"/>
  <c r="PP5" i="24"/>
  <c r="PO5" i="24"/>
  <c r="PN5" i="24"/>
  <c r="PM5" i="24"/>
  <c r="PL5" i="24"/>
  <c r="PK5" i="24"/>
  <c r="PJ5" i="24"/>
  <c r="PI5" i="24"/>
  <c r="PH5" i="24"/>
  <c r="PG5" i="24"/>
  <c r="PF5" i="24"/>
  <c r="PE5" i="24"/>
  <c r="PD5" i="24"/>
  <c r="PC5" i="24"/>
  <c r="PB5" i="24"/>
  <c r="PA5" i="24"/>
  <c r="OZ5" i="24"/>
  <c r="OY5" i="24"/>
  <c r="OX5" i="24"/>
  <c r="OW5" i="24"/>
  <c r="OV5" i="24"/>
  <c r="OU5" i="24"/>
  <c r="OT5" i="24"/>
  <c r="OS5" i="24"/>
  <c r="OR5" i="24"/>
  <c r="OQ5" i="24"/>
  <c r="OP5" i="24"/>
  <c r="OO5" i="24"/>
  <c r="ON5" i="24"/>
  <c r="OM5" i="24"/>
  <c r="OL5" i="24"/>
  <c r="OK5" i="24"/>
  <c r="OJ5" i="24"/>
  <c r="OI5" i="24"/>
  <c r="OH5" i="24"/>
  <c r="OG5" i="24"/>
  <c r="OF5" i="24"/>
  <c r="OE5" i="24"/>
  <c r="OD5" i="24"/>
  <c r="OC5" i="24"/>
  <c r="OB5" i="24"/>
  <c r="OA5" i="24"/>
  <c r="NZ5" i="24"/>
  <c r="NY5" i="24"/>
  <c r="NX5" i="24"/>
  <c r="NW5" i="24"/>
  <c r="NV5" i="24"/>
  <c r="NU5" i="24"/>
  <c r="NT5" i="24"/>
  <c r="NS5" i="24"/>
  <c r="NR5" i="24"/>
  <c r="NQ5" i="24"/>
  <c r="NP5" i="24"/>
  <c r="NO5" i="24"/>
  <c r="NN5" i="24"/>
  <c r="NM5" i="24"/>
  <c r="NL5" i="24"/>
  <c r="NK5" i="24"/>
  <c r="NJ5" i="24"/>
  <c r="NI5" i="24"/>
  <c r="NH5" i="24"/>
  <c r="NG5" i="24"/>
  <c r="NF5" i="24"/>
  <c r="NE5" i="24"/>
  <c r="ND5" i="24"/>
  <c r="NC5" i="24"/>
  <c r="NB5" i="24"/>
  <c r="NA5" i="24"/>
  <c r="MZ5" i="24"/>
  <c r="MY5" i="24"/>
  <c r="MX5" i="24"/>
  <c r="MW5" i="24"/>
  <c r="MV5" i="24"/>
  <c r="MU5" i="24"/>
  <c r="MT5" i="24"/>
  <c r="MS5" i="24"/>
  <c r="MR5" i="24"/>
  <c r="MQ5" i="24"/>
  <c r="MP5" i="24"/>
  <c r="MO5" i="24"/>
  <c r="MN5" i="24"/>
  <c r="MM5" i="24"/>
  <c r="ML5" i="24"/>
  <c r="MK5" i="24"/>
  <c r="MJ5" i="24"/>
  <c r="MI5" i="24"/>
  <c r="MH5" i="24"/>
  <c r="MG5" i="24"/>
  <c r="MF5" i="24"/>
  <c r="ME5" i="24"/>
  <c r="MD5" i="24"/>
  <c r="MC5" i="24"/>
  <c r="MB5" i="24"/>
  <c r="MA5" i="24"/>
  <c r="LZ5" i="24"/>
  <c r="LY5" i="24"/>
  <c r="LX5" i="24"/>
  <c r="LW5" i="24"/>
  <c r="LV5" i="24"/>
  <c r="LU5" i="24"/>
  <c r="LT5" i="24"/>
  <c r="LS5" i="24"/>
  <c r="LR5" i="24"/>
  <c r="LQ5" i="24"/>
  <c r="LP5" i="24"/>
  <c r="LO5" i="24"/>
  <c r="LN5" i="24"/>
  <c r="LM5" i="24"/>
  <c r="LL5" i="24"/>
  <c r="LK5" i="24"/>
  <c r="LJ5" i="24"/>
  <c r="LI5" i="24"/>
  <c r="LH5" i="24"/>
  <c r="LG5" i="24"/>
  <c r="LF5" i="24"/>
  <c r="LE5" i="24"/>
  <c r="LD5" i="24"/>
  <c r="LC5" i="24"/>
  <c r="LB5" i="24"/>
  <c r="LA5" i="24"/>
  <c r="KZ5" i="24"/>
  <c r="KY5" i="24"/>
  <c r="KX5" i="24"/>
  <c r="KW5" i="24"/>
  <c r="KV5" i="24"/>
  <c r="KU5" i="24"/>
  <c r="KT5" i="24"/>
  <c r="KS5" i="24"/>
  <c r="KR5" i="24"/>
  <c r="KQ5" i="24"/>
  <c r="KP5" i="24"/>
  <c r="KO5" i="24"/>
  <c r="KN5" i="24"/>
  <c r="KM5" i="24"/>
  <c r="KL5" i="24"/>
  <c r="KK5" i="24"/>
  <c r="KJ5" i="24"/>
  <c r="KI5" i="24"/>
  <c r="KH5" i="24"/>
  <c r="KG5" i="24"/>
  <c r="KF5" i="24"/>
  <c r="KE5" i="24"/>
  <c r="KD5" i="24"/>
  <c r="KC5" i="24"/>
  <c r="KB5" i="24"/>
  <c r="KA5" i="24"/>
  <c r="JZ5" i="24"/>
  <c r="JY5" i="24"/>
  <c r="JX5" i="24"/>
  <c r="JW5" i="24"/>
  <c r="JV5" i="24"/>
  <c r="JU5" i="24"/>
  <c r="JT5" i="24"/>
  <c r="JS5" i="24"/>
  <c r="JR5" i="24"/>
  <c r="JQ5" i="24"/>
  <c r="JP5" i="24"/>
  <c r="JO5" i="24"/>
  <c r="JN5" i="24"/>
  <c r="JM5" i="24"/>
  <c r="JL5" i="24"/>
  <c r="JK5" i="24"/>
  <c r="JJ5" i="24"/>
  <c r="JI5" i="24"/>
  <c r="JH5" i="24"/>
  <c r="JG5" i="24"/>
  <c r="JF5" i="24"/>
  <c r="JE5" i="24"/>
  <c r="JD5" i="24"/>
  <c r="JC5" i="24"/>
  <c r="JB5" i="24"/>
  <c r="JA5" i="24"/>
  <c r="IZ5" i="24"/>
  <c r="IY5" i="24"/>
  <c r="IX5" i="24"/>
  <c r="IW5" i="24"/>
  <c r="IV5" i="24"/>
  <c r="IU5" i="24"/>
  <c r="IT5" i="24"/>
  <c r="IS5" i="24"/>
  <c r="IR5" i="24"/>
  <c r="IQ5" i="24"/>
  <c r="IP5" i="24"/>
  <c r="IO5" i="24"/>
  <c r="IN5" i="24"/>
  <c r="IM5" i="24"/>
  <c r="IL5" i="24"/>
  <c r="IK5" i="24"/>
  <c r="IJ5" i="24"/>
  <c r="II5" i="24"/>
  <c r="IH5" i="24"/>
  <c r="IG5" i="24"/>
  <c r="IF5" i="24"/>
  <c r="IE5" i="24"/>
  <c r="ID5" i="24"/>
  <c r="IC5" i="24"/>
  <c r="IB5" i="24"/>
  <c r="IA5" i="24"/>
  <c r="HZ5" i="24"/>
  <c r="HY5" i="24"/>
  <c r="HX5" i="24"/>
  <c r="HW5" i="24"/>
  <c r="HV5" i="24"/>
  <c r="HU5" i="24"/>
  <c r="HT5" i="24"/>
  <c r="HS5" i="24"/>
  <c r="HR5" i="24"/>
  <c r="HQ5" i="24"/>
  <c r="HP5" i="24"/>
  <c r="HO5" i="24"/>
  <c r="HN5" i="24"/>
  <c r="HM5" i="24"/>
  <c r="HL5" i="24"/>
  <c r="HK5" i="24"/>
  <c r="HJ5" i="24"/>
  <c r="HI5" i="24"/>
  <c r="HH5" i="24"/>
  <c r="HG5" i="24"/>
  <c r="HF5" i="24"/>
  <c r="HE5" i="24"/>
  <c r="HD5" i="24"/>
  <c r="HC5" i="24"/>
  <c r="HB5" i="24"/>
  <c r="HA5" i="24"/>
  <c r="GZ5" i="24"/>
  <c r="GY5" i="24"/>
  <c r="GX5" i="24"/>
  <c r="GW5" i="24"/>
  <c r="GV5" i="24"/>
  <c r="GU5" i="24"/>
  <c r="GT5" i="24"/>
  <c r="GS5" i="24"/>
  <c r="GR5" i="24"/>
  <c r="GQ5" i="24"/>
  <c r="GP5" i="24"/>
  <c r="GO5" i="24"/>
  <c r="GN5" i="24"/>
  <c r="GM5" i="24"/>
  <c r="GL5" i="24"/>
  <c r="GK5" i="24"/>
  <c r="GJ5" i="24"/>
  <c r="GI5" i="24"/>
  <c r="GH5" i="24"/>
  <c r="GG5" i="24"/>
  <c r="GF5" i="24"/>
  <c r="GE5" i="24"/>
  <c r="GD5" i="24"/>
  <c r="GC5" i="24"/>
  <c r="GB5" i="24"/>
  <c r="GA5" i="24"/>
  <c r="FZ5" i="24"/>
  <c r="FY5" i="24"/>
  <c r="FX5" i="24"/>
  <c r="FW5" i="24"/>
  <c r="FV5" i="24"/>
  <c r="FU5" i="24"/>
  <c r="FT5" i="24"/>
  <c r="FS5" i="24"/>
  <c r="FR5" i="24"/>
  <c r="FQ5" i="24"/>
  <c r="FP5" i="24"/>
  <c r="FO5" i="24"/>
  <c r="FN5" i="24"/>
  <c r="FM5" i="24"/>
  <c r="FL5" i="24"/>
  <c r="FK5" i="24"/>
  <c r="FJ5" i="24"/>
  <c r="FI5" i="24"/>
  <c r="FH5" i="24"/>
  <c r="FG5" i="24"/>
  <c r="FF5" i="24"/>
  <c r="FE5" i="24"/>
  <c r="FD5" i="24"/>
  <c r="FC5" i="24"/>
  <c r="FB5" i="24"/>
  <c r="FA5" i="24"/>
  <c r="EZ5" i="24"/>
  <c r="EY5" i="24"/>
  <c r="EX5" i="24"/>
  <c r="EW5" i="24"/>
  <c r="EV5" i="24"/>
  <c r="EU5" i="24"/>
  <c r="ET5" i="24"/>
  <c r="ES5" i="24"/>
  <c r="ER5" i="24"/>
  <c r="EQ5" i="24"/>
  <c r="EP5" i="24"/>
  <c r="EO5" i="24"/>
  <c r="EN5" i="24"/>
  <c r="EM5" i="24"/>
  <c r="EL5" i="24"/>
  <c r="EK5" i="24"/>
  <c r="EJ5" i="24"/>
  <c r="EI5" i="24"/>
  <c r="EH5" i="24"/>
  <c r="EG5" i="24"/>
  <c r="EF5" i="24"/>
  <c r="EE5" i="24"/>
  <c r="ED5" i="24"/>
  <c r="EC5" i="24"/>
  <c r="EB5" i="24"/>
  <c r="EA5" i="24"/>
  <c r="DZ5" i="24"/>
  <c r="DY5" i="24"/>
  <c r="DX5" i="24"/>
  <c r="DW5" i="24"/>
  <c r="DV5" i="24"/>
  <c r="DU5" i="24"/>
  <c r="DT5" i="24"/>
  <c r="DS5" i="24"/>
  <c r="DR5" i="24"/>
  <c r="DQ5" i="24"/>
  <c r="DP5" i="24"/>
  <c r="DO5" i="24"/>
  <c r="DN5" i="24"/>
  <c r="DM5" i="24"/>
  <c r="DL5" i="24"/>
  <c r="DK5" i="24"/>
  <c r="DJ5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M5" i="24"/>
  <c r="BL5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B16" i="24" s="1"/>
  <c r="ACV4" i="24"/>
  <c r="ACU4" i="24"/>
  <c r="ACT4" i="24"/>
  <c r="ACS4" i="24"/>
  <c r="ACR4" i="24"/>
  <c r="ACQ4" i="24"/>
  <c r="ACP4" i="24"/>
  <c r="ACO4" i="24"/>
  <c r="ACN4" i="24"/>
  <c r="ACM4" i="24"/>
  <c r="ACL4" i="24"/>
  <c r="ACK4" i="24"/>
  <c r="ACJ4" i="24"/>
  <c r="ACI4" i="24"/>
  <c r="ACH4" i="24"/>
  <c r="ACG4" i="24"/>
  <c r="ACF4" i="24"/>
  <c r="ACE4" i="24"/>
  <c r="ACD4" i="24"/>
  <c r="ACC4" i="24"/>
  <c r="ACB4" i="24"/>
  <c r="ACA4" i="24"/>
  <c r="ABZ4" i="24"/>
  <c r="ABY4" i="24"/>
  <c r="ABX4" i="24"/>
  <c r="ABW4" i="24"/>
  <c r="ABV4" i="24"/>
  <c r="ABU4" i="24"/>
  <c r="ABT4" i="24"/>
  <c r="ABS4" i="24"/>
  <c r="ABR4" i="24"/>
  <c r="ABQ4" i="24"/>
  <c r="ABP4" i="24"/>
  <c r="ABO4" i="24"/>
  <c r="ABN4" i="24"/>
  <c r="ABM4" i="24"/>
  <c r="ABL4" i="24"/>
  <c r="ABK4" i="24"/>
  <c r="ABJ4" i="24"/>
  <c r="ABI4" i="24"/>
  <c r="ABH4" i="24"/>
  <c r="ABG4" i="24"/>
  <c r="ABF4" i="24"/>
  <c r="ABE4" i="24"/>
  <c r="ABD4" i="24"/>
  <c r="ABC4" i="24"/>
  <c r="ABB4" i="24"/>
  <c r="ABA4" i="24"/>
  <c r="AAZ4" i="24"/>
  <c r="AAY4" i="24"/>
  <c r="AAX4" i="24"/>
  <c r="AAW4" i="24"/>
  <c r="AAV4" i="24"/>
  <c r="AAU4" i="24"/>
  <c r="AAT4" i="24"/>
  <c r="AAS4" i="24"/>
  <c r="AAR4" i="24"/>
  <c r="AAQ4" i="24"/>
  <c r="AAP4" i="24"/>
  <c r="AAO4" i="24"/>
  <c r="AAN4" i="24"/>
  <c r="AAM4" i="24"/>
  <c r="AAL4" i="24"/>
  <c r="AAK4" i="24"/>
  <c r="AAJ4" i="24"/>
  <c r="AAI4" i="24"/>
  <c r="AAH4" i="24"/>
  <c r="AAG4" i="24"/>
  <c r="AAF4" i="24"/>
  <c r="AAE4" i="24"/>
  <c r="AAD4" i="24"/>
  <c r="AAC4" i="24"/>
  <c r="AAB4" i="24"/>
  <c r="AAA4" i="24"/>
  <c r="ZZ4" i="24"/>
  <c r="ZY4" i="24"/>
  <c r="ZX4" i="24"/>
  <c r="ZW4" i="24"/>
  <c r="ZV4" i="24"/>
  <c r="ZU4" i="24"/>
  <c r="ZT4" i="24"/>
  <c r="ZS4" i="24"/>
  <c r="ZR4" i="24"/>
  <c r="ZQ4" i="24"/>
  <c r="ZP4" i="24"/>
  <c r="ZO4" i="24"/>
  <c r="ZN4" i="24"/>
  <c r="ZM4" i="24"/>
  <c r="ZL4" i="24"/>
  <c r="ZK4" i="24"/>
  <c r="ZJ4" i="24"/>
  <c r="ZI4" i="24"/>
  <c r="ZH4" i="24"/>
  <c r="ZG4" i="24"/>
  <c r="ZF4" i="24"/>
  <c r="ZE4" i="24"/>
  <c r="ZD4" i="24"/>
  <c r="ZC4" i="24"/>
  <c r="ZB4" i="24"/>
  <c r="ZA4" i="24"/>
  <c r="YZ4" i="24"/>
  <c r="YY4" i="24"/>
  <c r="YX4" i="24"/>
  <c r="YW4" i="24"/>
  <c r="YV4" i="24"/>
  <c r="YU4" i="24"/>
  <c r="YT4" i="24"/>
  <c r="YS4" i="24"/>
  <c r="YR4" i="24"/>
  <c r="YQ4" i="24"/>
  <c r="YP4" i="24"/>
  <c r="YO4" i="24"/>
  <c r="YN4" i="24"/>
  <c r="YM4" i="24"/>
  <c r="YL4" i="24"/>
  <c r="YK4" i="24"/>
  <c r="YJ4" i="24"/>
  <c r="YI4" i="24"/>
  <c r="YH4" i="24"/>
  <c r="YG4" i="24"/>
  <c r="YF4" i="24"/>
  <c r="YE4" i="24"/>
  <c r="YD4" i="24"/>
  <c r="YC4" i="24"/>
  <c r="YB4" i="24"/>
  <c r="YA4" i="24"/>
  <c r="XZ4" i="24"/>
  <c r="XY4" i="24"/>
  <c r="XX4" i="24"/>
  <c r="XW4" i="24"/>
  <c r="XV4" i="24"/>
  <c r="XU4" i="24"/>
  <c r="XT4" i="24"/>
  <c r="XS4" i="24"/>
  <c r="XR4" i="24"/>
  <c r="XQ4" i="24"/>
  <c r="XP4" i="24"/>
  <c r="XO4" i="24"/>
  <c r="XN4" i="24"/>
  <c r="XM4" i="24"/>
  <c r="XL4" i="24"/>
  <c r="XK4" i="24"/>
  <c r="XJ4" i="24"/>
  <c r="XI4" i="24"/>
  <c r="XH4" i="24"/>
  <c r="XG4" i="24"/>
  <c r="XF4" i="24"/>
  <c r="XE4" i="24"/>
  <c r="XD4" i="24"/>
  <c r="XC4" i="24"/>
  <c r="XB4" i="24"/>
  <c r="XA4" i="24"/>
  <c r="WZ4" i="24"/>
  <c r="WY4" i="24"/>
  <c r="WX4" i="24"/>
  <c r="WW4" i="24"/>
  <c r="WV4" i="24"/>
  <c r="WU4" i="24"/>
  <c r="WT4" i="24"/>
  <c r="WS4" i="24"/>
  <c r="WR4" i="24"/>
  <c r="WQ4" i="24"/>
  <c r="WP4" i="24"/>
  <c r="WO4" i="24"/>
  <c r="WN4" i="24"/>
  <c r="WM4" i="24"/>
  <c r="WL4" i="24"/>
  <c r="WK4" i="24"/>
  <c r="WJ4" i="24"/>
  <c r="WI4" i="24"/>
  <c r="WH4" i="24"/>
  <c r="WG4" i="24"/>
  <c r="WF4" i="24"/>
  <c r="WE4" i="24"/>
  <c r="WD4" i="24"/>
  <c r="WC4" i="24"/>
  <c r="WB4" i="24"/>
  <c r="WA4" i="24"/>
  <c r="VZ4" i="24"/>
  <c r="VY4" i="24"/>
  <c r="VX4" i="24"/>
  <c r="VW4" i="24"/>
  <c r="VV4" i="24"/>
  <c r="VU4" i="24"/>
  <c r="VT4" i="24"/>
  <c r="VS4" i="24"/>
  <c r="VR4" i="24"/>
  <c r="VQ4" i="24"/>
  <c r="VP4" i="24"/>
  <c r="VO4" i="24"/>
  <c r="VN4" i="24"/>
  <c r="VM4" i="24"/>
  <c r="VL4" i="24"/>
  <c r="VK4" i="24"/>
  <c r="VJ4" i="24"/>
  <c r="VI4" i="24"/>
  <c r="VH4" i="24"/>
  <c r="VG4" i="24"/>
  <c r="VF4" i="24"/>
  <c r="VE4" i="24"/>
  <c r="VD4" i="24"/>
  <c r="VC4" i="24"/>
  <c r="VB4" i="24"/>
  <c r="VA4" i="24"/>
  <c r="UZ4" i="24"/>
  <c r="UY4" i="24"/>
  <c r="UX4" i="24"/>
  <c r="UW4" i="24"/>
  <c r="UV4" i="24"/>
  <c r="UU4" i="24"/>
  <c r="UT4" i="24"/>
  <c r="US4" i="24"/>
  <c r="UR4" i="24"/>
  <c r="UQ4" i="24"/>
  <c r="UP4" i="24"/>
  <c r="UO4" i="24"/>
  <c r="UN4" i="24"/>
  <c r="UM4" i="24"/>
  <c r="UL4" i="24"/>
  <c r="UK4" i="24"/>
  <c r="UJ4" i="24"/>
  <c r="UI4" i="24"/>
  <c r="UH4" i="24"/>
  <c r="UG4" i="24"/>
  <c r="UF4" i="24"/>
  <c r="UE4" i="24"/>
  <c r="UD4" i="24"/>
  <c r="UC4" i="24"/>
  <c r="UB4" i="24"/>
  <c r="UA4" i="24"/>
  <c r="TZ4" i="24"/>
  <c r="TY4" i="24"/>
  <c r="TX4" i="24"/>
  <c r="TW4" i="24"/>
  <c r="TV4" i="24"/>
  <c r="TU4" i="24"/>
  <c r="TT4" i="24"/>
  <c r="TS4" i="24"/>
  <c r="TR4" i="24"/>
  <c r="TQ4" i="24"/>
  <c r="TP4" i="24"/>
  <c r="TO4" i="24"/>
  <c r="TN4" i="24"/>
  <c r="TM4" i="24"/>
  <c r="TL4" i="24"/>
  <c r="TK4" i="24"/>
  <c r="TJ4" i="24"/>
  <c r="TI4" i="24"/>
  <c r="TH4" i="24"/>
  <c r="TG4" i="24"/>
  <c r="TF4" i="24"/>
  <c r="TE4" i="24"/>
  <c r="TD4" i="24"/>
  <c r="TC4" i="24"/>
  <c r="TB4" i="24"/>
  <c r="TA4" i="24"/>
  <c r="SZ4" i="24"/>
  <c r="SY4" i="24"/>
  <c r="SX4" i="24"/>
  <c r="SW4" i="24"/>
  <c r="SV4" i="24"/>
  <c r="SU4" i="24"/>
  <c r="ST4" i="24"/>
  <c r="SS4" i="24"/>
  <c r="SR4" i="24"/>
  <c r="SQ4" i="24"/>
  <c r="SP4" i="24"/>
  <c r="SO4" i="24"/>
  <c r="SN4" i="24"/>
  <c r="SM4" i="24"/>
  <c r="SL4" i="24"/>
  <c r="SK4" i="24"/>
  <c r="SJ4" i="24"/>
  <c r="SI4" i="24"/>
  <c r="SH4" i="24"/>
  <c r="SG4" i="24"/>
  <c r="SF4" i="24"/>
  <c r="SE4" i="24"/>
  <c r="SD4" i="24"/>
  <c r="SC4" i="24"/>
  <c r="SB4" i="24"/>
  <c r="SA4" i="24"/>
  <c r="RZ4" i="24"/>
  <c r="RY4" i="24"/>
  <c r="RX4" i="24"/>
  <c r="RW4" i="24"/>
  <c r="RV4" i="24"/>
  <c r="RU4" i="24"/>
  <c r="RT4" i="24"/>
  <c r="RS4" i="24"/>
  <c r="RR4" i="24"/>
  <c r="RQ4" i="24"/>
  <c r="RP4" i="24"/>
  <c r="RO4" i="24"/>
  <c r="RN4" i="24"/>
  <c r="RM4" i="24"/>
  <c r="RL4" i="24"/>
  <c r="RK4" i="24"/>
  <c r="RJ4" i="24"/>
  <c r="RI4" i="24"/>
  <c r="RH4" i="24"/>
  <c r="RG4" i="24"/>
  <c r="RF4" i="24"/>
  <c r="RE4" i="24"/>
  <c r="RD4" i="24"/>
  <c r="RC4" i="24"/>
  <c r="RB4" i="24"/>
  <c r="RA4" i="24"/>
  <c r="QZ4" i="24"/>
  <c r="QY4" i="24"/>
  <c r="QX4" i="24"/>
  <c r="QW4" i="24"/>
  <c r="QV4" i="24"/>
  <c r="QU4" i="24"/>
  <c r="QT4" i="24"/>
  <c r="QS4" i="24"/>
  <c r="QR4" i="24"/>
  <c r="QQ4" i="24"/>
  <c r="QP4" i="24"/>
  <c r="QO4" i="24"/>
  <c r="QN4" i="24"/>
  <c r="QM4" i="24"/>
  <c r="QL4" i="24"/>
  <c r="QK4" i="24"/>
  <c r="QJ4" i="24"/>
  <c r="QI4" i="24"/>
  <c r="QH4" i="24"/>
  <c r="QG4" i="24"/>
  <c r="QF4" i="24"/>
  <c r="QE4" i="24"/>
  <c r="QD4" i="24"/>
  <c r="QC4" i="24"/>
  <c r="QB4" i="24"/>
  <c r="QA4" i="24"/>
  <c r="PZ4" i="24"/>
  <c r="PY4" i="24"/>
  <c r="PX4" i="24"/>
  <c r="PW4" i="24"/>
  <c r="PV4" i="24"/>
  <c r="PU4" i="24"/>
  <c r="PT4" i="24"/>
  <c r="PS4" i="24"/>
  <c r="PR4" i="24"/>
  <c r="PQ4" i="24"/>
  <c r="PP4" i="24"/>
  <c r="PO4" i="24"/>
  <c r="PN4" i="24"/>
  <c r="PM4" i="24"/>
  <c r="PL4" i="24"/>
  <c r="PK4" i="24"/>
  <c r="PJ4" i="24"/>
  <c r="PI4" i="24"/>
  <c r="PH4" i="24"/>
  <c r="PG4" i="24"/>
  <c r="PF4" i="24"/>
  <c r="PE4" i="24"/>
  <c r="PD4" i="24"/>
  <c r="PC4" i="24"/>
  <c r="PB4" i="24"/>
  <c r="PA4" i="24"/>
  <c r="OZ4" i="24"/>
  <c r="OY4" i="24"/>
  <c r="OX4" i="24"/>
  <c r="OW4" i="24"/>
  <c r="OV4" i="24"/>
  <c r="OU4" i="24"/>
  <c r="OT4" i="24"/>
  <c r="OS4" i="24"/>
  <c r="OR4" i="24"/>
  <c r="OQ4" i="24"/>
  <c r="OP4" i="24"/>
  <c r="OO4" i="24"/>
  <c r="ON4" i="24"/>
  <c r="OM4" i="24"/>
  <c r="OL4" i="24"/>
  <c r="OK4" i="24"/>
  <c r="OJ4" i="24"/>
  <c r="OI4" i="24"/>
  <c r="OH4" i="24"/>
  <c r="OG4" i="24"/>
  <c r="OF4" i="24"/>
  <c r="OE4" i="24"/>
  <c r="OD4" i="24"/>
  <c r="OC4" i="24"/>
  <c r="OB4" i="24"/>
  <c r="OA4" i="24"/>
  <c r="NZ4" i="24"/>
  <c r="NY4" i="24"/>
  <c r="NX4" i="24"/>
  <c r="NW4" i="24"/>
  <c r="NV4" i="24"/>
  <c r="NU4" i="24"/>
  <c r="NT4" i="24"/>
  <c r="NS4" i="24"/>
  <c r="NR4" i="24"/>
  <c r="NQ4" i="24"/>
  <c r="NP4" i="24"/>
  <c r="NO4" i="24"/>
  <c r="NN4" i="24"/>
  <c r="NM4" i="24"/>
  <c r="NL4" i="24"/>
  <c r="NK4" i="24"/>
  <c r="NJ4" i="24"/>
  <c r="NI4" i="24"/>
  <c r="NH4" i="24"/>
  <c r="NG4" i="24"/>
  <c r="NF4" i="24"/>
  <c r="NE4" i="24"/>
  <c r="ND4" i="24"/>
  <c r="NC4" i="24"/>
  <c r="NB4" i="24"/>
  <c r="NA4" i="24"/>
  <c r="MZ4" i="24"/>
  <c r="MY4" i="24"/>
  <c r="MX4" i="24"/>
  <c r="MW4" i="24"/>
  <c r="MV4" i="24"/>
  <c r="MU4" i="24"/>
  <c r="MT4" i="24"/>
  <c r="MS4" i="24"/>
  <c r="MR4" i="24"/>
  <c r="MQ4" i="24"/>
  <c r="MP4" i="24"/>
  <c r="MO4" i="24"/>
  <c r="MN4" i="24"/>
  <c r="MM4" i="24"/>
  <c r="ML4" i="24"/>
  <c r="MK4" i="24"/>
  <c r="MJ4" i="24"/>
  <c r="MI4" i="24"/>
  <c r="MH4" i="24"/>
  <c r="MG4" i="24"/>
  <c r="MF4" i="24"/>
  <c r="ME4" i="24"/>
  <c r="MD4" i="24"/>
  <c r="MC4" i="24"/>
  <c r="MB4" i="24"/>
  <c r="MA4" i="24"/>
  <c r="LZ4" i="24"/>
  <c r="LY4" i="24"/>
  <c r="LX4" i="24"/>
  <c r="LW4" i="24"/>
  <c r="LV4" i="24"/>
  <c r="LU4" i="24"/>
  <c r="LT4" i="24"/>
  <c r="LS4" i="24"/>
  <c r="LR4" i="24"/>
  <c r="LQ4" i="24"/>
  <c r="LP4" i="24"/>
  <c r="LO4" i="24"/>
  <c r="LN4" i="24"/>
  <c r="LM4" i="24"/>
  <c r="LL4" i="24"/>
  <c r="LK4" i="24"/>
  <c r="LJ4" i="24"/>
  <c r="LI4" i="24"/>
  <c r="LH4" i="24"/>
  <c r="LG4" i="24"/>
  <c r="LF4" i="24"/>
  <c r="LE4" i="24"/>
  <c r="LD4" i="24"/>
  <c r="LC4" i="24"/>
  <c r="LB4" i="24"/>
  <c r="LA4" i="24"/>
  <c r="KZ4" i="24"/>
  <c r="KY4" i="24"/>
  <c r="KX4" i="24"/>
  <c r="KW4" i="24"/>
  <c r="KV4" i="24"/>
  <c r="KU4" i="24"/>
  <c r="KT4" i="24"/>
  <c r="KS4" i="24"/>
  <c r="KR4" i="24"/>
  <c r="KQ4" i="24"/>
  <c r="KP4" i="24"/>
  <c r="KO4" i="24"/>
  <c r="KN4" i="24"/>
  <c r="KM4" i="24"/>
  <c r="KL4" i="24"/>
  <c r="KK4" i="24"/>
  <c r="KJ4" i="24"/>
  <c r="KI4" i="24"/>
  <c r="KH4" i="24"/>
  <c r="KG4" i="24"/>
  <c r="KF4" i="24"/>
  <c r="KE4" i="24"/>
  <c r="KD4" i="24"/>
  <c r="KC4" i="24"/>
  <c r="KB4" i="24"/>
  <c r="KA4" i="24"/>
  <c r="JZ4" i="24"/>
  <c r="JY4" i="24"/>
  <c r="JX4" i="24"/>
  <c r="JW4" i="24"/>
  <c r="JV4" i="24"/>
  <c r="JU4" i="24"/>
  <c r="JT4" i="24"/>
  <c r="JS4" i="24"/>
  <c r="JR4" i="24"/>
  <c r="JQ4" i="24"/>
  <c r="JP4" i="24"/>
  <c r="JO4" i="24"/>
  <c r="JN4" i="24"/>
  <c r="JM4" i="24"/>
  <c r="JL4" i="24"/>
  <c r="JK4" i="24"/>
  <c r="JJ4" i="24"/>
  <c r="JI4" i="24"/>
  <c r="JH4" i="24"/>
  <c r="JG4" i="24"/>
  <c r="JF4" i="24"/>
  <c r="JE4" i="24"/>
  <c r="JD4" i="24"/>
  <c r="JC4" i="24"/>
  <c r="JB4" i="24"/>
  <c r="JA4" i="24"/>
  <c r="IZ4" i="24"/>
  <c r="IY4" i="24"/>
  <c r="IX4" i="24"/>
  <c r="IW4" i="24"/>
  <c r="IV4" i="24"/>
  <c r="IU4" i="24"/>
  <c r="IT4" i="24"/>
  <c r="IS4" i="24"/>
  <c r="IR4" i="24"/>
  <c r="IQ4" i="24"/>
  <c r="IP4" i="24"/>
  <c r="IO4" i="24"/>
  <c r="IN4" i="24"/>
  <c r="IM4" i="24"/>
  <c r="IL4" i="24"/>
  <c r="IK4" i="24"/>
  <c r="IJ4" i="24"/>
  <c r="II4" i="24"/>
  <c r="IH4" i="24"/>
  <c r="IG4" i="24"/>
  <c r="IF4" i="24"/>
  <c r="IE4" i="24"/>
  <c r="ID4" i="24"/>
  <c r="IC4" i="24"/>
  <c r="IB4" i="24"/>
  <c r="IA4" i="24"/>
  <c r="HZ4" i="24"/>
  <c r="HY4" i="24"/>
  <c r="HX4" i="24"/>
  <c r="HW4" i="24"/>
  <c r="HV4" i="24"/>
  <c r="HU4" i="24"/>
  <c r="HT4" i="24"/>
  <c r="HS4" i="24"/>
  <c r="HR4" i="24"/>
  <c r="HQ4" i="24"/>
  <c r="HP4" i="24"/>
  <c r="HO4" i="24"/>
  <c r="HN4" i="24"/>
  <c r="HM4" i="24"/>
  <c r="HL4" i="24"/>
  <c r="HK4" i="24"/>
  <c r="HJ4" i="24"/>
  <c r="HI4" i="24"/>
  <c r="HH4" i="24"/>
  <c r="HG4" i="24"/>
  <c r="HF4" i="24"/>
  <c r="HE4" i="24"/>
  <c r="HD4" i="24"/>
  <c r="HC4" i="24"/>
  <c r="HB4" i="24"/>
  <c r="HA4" i="24"/>
  <c r="GZ4" i="24"/>
  <c r="GY4" i="24"/>
  <c r="GX4" i="24"/>
  <c r="GW4" i="24"/>
  <c r="GV4" i="24"/>
  <c r="GU4" i="24"/>
  <c r="GT4" i="24"/>
  <c r="GS4" i="24"/>
  <c r="GR4" i="24"/>
  <c r="GQ4" i="24"/>
  <c r="GP4" i="24"/>
  <c r="GO4" i="24"/>
  <c r="GN4" i="24"/>
  <c r="GM4" i="24"/>
  <c r="GL4" i="24"/>
  <c r="GK4" i="24"/>
  <c r="GJ4" i="24"/>
  <c r="GI4" i="24"/>
  <c r="GH4" i="24"/>
  <c r="GG4" i="24"/>
  <c r="GF4" i="24"/>
  <c r="GE4" i="24"/>
  <c r="GD4" i="24"/>
  <c r="GC4" i="24"/>
  <c r="GB4" i="24"/>
  <c r="GA4" i="24"/>
  <c r="FZ4" i="24"/>
  <c r="FY4" i="24"/>
  <c r="FX4" i="24"/>
  <c r="FW4" i="24"/>
  <c r="FV4" i="24"/>
  <c r="FU4" i="24"/>
  <c r="FT4" i="24"/>
  <c r="FS4" i="24"/>
  <c r="FR4" i="24"/>
  <c r="FQ4" i="24"/>
  <c r="FP4" i="24"/>
  <c r="FO4" i="24"/>
  <c r="FN4" i="24"/>
  <c r="FM4" i="24"/>
  <c r="FL4" i="24"/>
  <c r="FK4" i="24"/>
  <c r="FJ4" i="24"/>
  <c r="FI4" i="24"/>
  <c r="FH4" i="24"/>
  <c r="FG4" i="24"/>
  <c r="FF4" i="24"/>
  <c r="FE4" i="24"/>
  <c r="FD4" i="24"/>
  <c r="FC4" i="24"/>
  <c r="FB4" i="24"/>
  <c r="FA4" i="24"/>
  <c r="EZ4" i="24"/>
  <c r="EY4" i="24"/>
  <c r="EX4" i="24"/>
  <c r="EW4" i="24"/>
  <c r="EV4" i="24"/>
  <c r="EU4" i="24"/>
  <c r="ET4" i="24"/>
  <c r="ES4" i="24"/>
  <c r="ER4" i="24"/>
  <c r="EQ4" i="24"/>
  <c r="EP4" i="24"/>
  <c r="EO4" i="24"/>
  <c r="EN4" i="24"/>
  <c r="EM4" i="24"/>
  <c r="EL4" i="24"/>
  <c r="EK4" i="24"/>
  <c r="EJ4" i="24"/>
  <c r="EI4" i="24"/>
  <c r="EH4" i="24"/>
  <c r="EG4" i="24"/>
  <c r="EF4" i="24"/>
  <c r="EE4" i="24"/>
  <c r="ED4" i="24"/>
  <c r="EC4" i="24"/>
  <c r="EB4" i="24"/>
  <c r="EA4" i="24"/>
  <c r="DZ4" i="24"/>
  <c r="DY4" i="24"/>
  <c r="DX4" i="24"/>
  <c r="DW4" i="24"/>
  <c r="DV4" i="24"/>
  <c r="DU4" i="24"/>
  <c r="DT4" i="24"/>
  <c r="DS4" i="24"/>
  <c r="DR4" i="24"/>
  <c r="DQ4" i="24"/>
  <c r="DP4" i="24"/>
  <c r="DO4" i="24"/>
  <c r="DN4" i="24"/>
  <c r="DM4" i="24"/>
  <c r="DL4" i="24"/>
  <c r="DK4" i="24"/>
  <c r="DJ4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M4" i="24"/>
  <c r="BL4" i="24"/>
  <c r="BK4" i="24"/>
  <c r="BJ4" i="24"/>
  <c r="BI4" i="24"/>
  <c r="BH4" i="24"/>
  <c r="BG4" i="24"/>
  <c r="BF4" i="24"/>
  <c r="BE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R4" i="24"/>
  <c r="AQ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B15" i="24" s="1"/>
  <c r="ACV3" i="24"/>
  <c r="ACU3" i="24"/>
  <c r="ACT3" i="24"/>
  <c r="ACS3" i="24"/>
  <c r="ACR3" i="24"/>
  <c r="ACQ3" i="24"/>
  <c r="ACP3" i="24"/>
  <c r="ACO3" i="24"/>
  <c r="ACN3" i="24"/>
  <c r="ACM3" i="24"/>
  <c r="ACL3" i="24"/>
  <c r="ACK3" i="24"/>
  <c r="ACJ3" i="24"/>
  <c r="ACI3" i="24"/>
  <c r="ACH3" i="24"/>
  <c r="ACG3" i="24"/>
  <c r="ACF3" i="24"/>
  <c r="ACE3" i="24"/>
  <c r="ACD3" i="24"/>
  <c r="ACC3" i="24"/>
  <c r="ACB3" i="24"/>
  <c r="ACA3" i="24"/>
  <c r="ABZ3" i="24"/>
  <c r="ABY3" i="24"/>
  <c r="ABX3" i="24"/>
  <c r="ABW3" i="24"/>
  <c r="ABV3" i="24"/>
  <c r="ABU3" i="24"/>
  <c r="ABT3" i="24"/>
  <c r="ABS3" i="24"/>
  <c r="ABR3" i="24"/>
  <c r="ABQ3" i="24"/>
  <c r="ABP3" i="24"/>
  <c r="ABO3" i="24"/>
  <c r="ABN3" i="24"/>
  <c r="ABM3" i="24"/>
  <c r="ABL3" i="24"/>
  <c r="ABK3" i="24"/>
  <c r="ABJ3" i="24"/>
  <c r="ABI3" i="24"/>
  <c r="ABH3" i="24"/>
  <c r="ABG3" i="24"/>
  <c r="ABF3" i="24"/>
  <c r="ABE3" i="24"/>
  <c r="ABD3" i="24"/>
  <c r="ABC3" i="24"/>
  <c r="ABB3" i="24"/>
  <c r="ABA3" i="24"/>
  <c r="AAZ3" i="24"/>
  <c r="AAY3" i="24"/>
  <c r="AAX3" i="24"/>
  <c r="AAW3" i="24"/>
  <c r="AAV3" i="24"/>
  <c r="AAU3" i="24"/>
  <c r="AAT3" i="24"/>
  <c r="AAS3" i="24"/>
  <c r="AAR3" i="24"/>
  <c r="AAQ3" i="24"/>
  <c r="AAP3" i="24"/>
  <c r="AAO3" i="24"/>
  <c r="AAN3" i="24"/>
  <c r="AAM3" i="24"/>
  <c r="AAL3" i="24"/>
  <c r="AAK3" i="24"/>
  <c r="AAJ3" i="24"/>
  <c r="AAI3" i="24"/>
  <c r="AAH3" i="24"/>
  <c r="AAG3" i="24"/>
  <c r="AAF3" i="24"/>
  <c r="AAE3" i="24"/>
  <c r="AAD3" i="24"/>
  <c r="AAC3" i="24"/>
  <c r="AAB3" i="24"/>
  <c r="AAA3" i="24"/>
  <c r="ZZ3" i="24"/>
  <c r="ZY3" i="24"/>
  <c r="ZX3" i="24"/>
  <c r="ZW3" i="24"/>
  <c r="ZV3" i="24"/>
  <c r="ZU3" i="24"/>
  <c r="ZT3" i="24"/>
  <c r="ZS3" i="24"/>
  <c r="ZR3" i="24"/>
  <c r="ZQ3" i="24"/>
  <c r="ZP3" i="24"/>
  <c r="ZO3" i="24"/>
  <c r="ZN3" i="24"/>
  <c r="ZM3" i="24"/>
  <c r="ZL3" i="24"/>
  <c r="ZK3" i="24"/>
  <c r="ZJ3" i="24"/>
  <c r="ZI3" i="24"/>
  <c r="ZH3" i="24"/>
  <c r="ZG3" i="24"/>
  <c r="ZF3" i="24"/>
  <c r="ZE3" i="24"/>
  <c r="ZD3" i="24"/>
  <c r="ZC3" i="24"/>
  <c r="ZB3" i="24"/>
  <c r="ZA3" i="24"/>
  <c r="YZ3" i="24"/>
  <c r="YY3" i="24"/>
  <c r="YX3" i="24"/>
  <c r="YW3" i="24"/>
  <c r="YV3" i="24"/>
  <c r="YU3" i="24"/>
  <c r="YT3" i="24"/>
  <c r="YS3" i="24"/>
  <c r="YR3" i="24"/>
  <c r="YQ3" i="24"/>
  <c r="YP3" i="24"/>
  <c r="YO3" i="24"/>
  <c r="YN3" i="24"/>
  <c r="YM3" i="24"/>
  <c r="YL3" i="24"/>
  <c r="YK3" i="24"/>
  <c r="YJ3" i="24"/>
  <c r="YI3" i="24"/>
  <c r="YH3" i="24"/>
  <c r="YG3" i="24"/>
  <c r="YF3" i="24"/>
  <c r="YE3" i="24"/>
  <c r="YD3" i="24"/>
  <c r="YC3" i="24"/>
  <c r="YB3" i="24"/>
  <c r="YA3" i="24"/>
  <c r="XZ3" i="24"/>
  <c r="XY3" i="24"/>
  <c r="XX3" i="24"/>
  <c r="XW3" i="24"/>
  <c r="XV3" i="24"/>
  <c r="XU3" i="24"/>
  <c r="XT3" i="24"/>
  <c r="XS3" i="24"/>
  <c r="XR3" i="24"/>
  <c r="XQ3" i="24"/>
  <c r="XP3" i="24"/>
  <c r="XO3" i="24"/>
  <c r="XN3" i="24"/>
  <c r="XM3" i="24"/>
  <c r="XL3" i="24"/>
  <c r="XK3" i="24"/>
  <c r="XJ3" i="24"/>
  <c r="XI3" i="24"/>
  <c r="XH3" i="24"/>
  <c r="XG3" i="24"/>
  <c r="XF3" i="24"/>
  <c r="XE3" i="24"/>
  <c r="XD3" i="24"/>
  <c r="XC3" i="24"/>
  <c r="XB3" i="24"/>
  <c r="XA3" i="24"/>
  <c r="WZ3" i="24"/>
  <c r="WY3" i="24"/>
  <c r="WX3" i="24"/>
  <c r="WW3" i="24"/>
  <c r="WV3" i="24"/>
  <c r="WU3" i="24"/>
  <c r="WT3" i="24"/>
  <c r="WS3" i="24"/>
  <c r="WR3" i="24"/>
  <c r="WQ3" i="24"/>
  <c r="WP3" i="24"/>
  <c r="WO3" i="24"/>
  <c r="WN3" i="24"/>
  <c r="WM3" i="24"/>
  <c r="WL3" i="24"/>
  <c r="WK3" i="24"/>
  <c r="WJ3" i="24"/>
  <c r="WI3" i="24"/>
  <c r="WH3" i="24"/>
  <c r="WG3" i="24"/>
  <c r="WF3" i="24"/>
  <c r="WE3" i="24"/>
  <c r="WD3" i="24"/>
  <c r="WC3" i="24"/>
  <c r="WB3" i="24"/>
  <c r="WA3" i="24"/>
  <c r="VZ3" i="24"/>
  <c r="VY3" i="24"/>
  <c r="VX3" i="24"/>
  <c r="VW3" i="24"/>
  <c r="VV3" i="24"/>
  <c r="VU3" i="24"/>
  <c r="VT3" i="24"/>
  <c r="VS3" i="24"/>
  <c r="VR3" i="24"/>
  <c r="VQ3" i="24"/>
  <c r="VP3" i="24"/>
  <c r="VO3" i="24"/>
  <c r="VN3" i="24"/>
  <c r="VM3" i="24"/>
  <c r="VL3" i="24"/>
  <c r="VK3" i="24"/>
  <c r="VJ3" i="24"/>
  <c r="VI3" i="24"/>
  <c r="VH3" i="24"/>
  <c r="VG3" i="24"/>
  <c r="VF3" i="24"/>
  <c r="VE3" i="24"/>
  <c r="VD3" i="24"/>
  <c r="VC3" i="24"/>
  <c r="VB3" i="24"/>
  <c r="VA3" i="24"/>
  <c r="UZ3" i="24"/>
  <c r="UY3" i="24"/>
  <c r="UX3" i="24"/>
  <c r="UW3" i="24"/>
  <c r="UV3" i="24"/>
  <c r="UU3" i="24"/>
  <c r="UT3" i="24"/>
  <c r="US3" i="24"/>
  <c r="UR3" i="24"/>
  <c r="UQ3" i="24"/>
  <c r="UP3" i="24"/>
  <c r="UO3" i="24"/>
  <c r="UN3" i="24"/>
  <c r="UM3" i="24"/>
  <c r="UL3" i="24"/>
  <c r="UK3" i="24"/>
  <c r="UJ3" i="24"/>
  <c r="UI3" i="24"/>
  <c r="UH3" i="24"/>
  <c r="UG3" i="24"/>
  <c r="UF3" i="24"/>
  <c r="UE3" i="24"/>
  <c r="UD3" i="24"/>
  <c r="UC3" i="24"/>
  <c r="UB3" i="24"/>
  <c r="UA3" i="24"/>
  <c r="TZ3" i="24"/>
  <c r="TY3" i="24"/>
  <c r="TX3" i="24"/>
  <c r="TW3" i="24"/>
  <c r="TV3" i="24"/>
  <c r="TU3" i="24"/>
  <c r="TT3" i="24"/>
  <c r="TS3" i="24"/>
  <c r="TR3" i="24"/>
  <c r="TQ3" i="24"/>
  <c r="TP3" i="24"/>
  <c r="TO3" i="24"/>
  <c r="TN3" i="24"/>
  <c r="TM3" i="24"/>
  <c r="TL3" i="24"/>
  <c r="TK3" i="24"/>
  <c r="TJ3" i="24"/>
  <c r="TI3" i="24"/>
  <c r="TH3" i="24"/>
  <c r="TG3" i="24"/>
  <c r="TF3" i="24"/>
  <c r="TE3" i="24"/>
  <c r="TD3" i="24"/>
  <c r="TC3" i="24"/>
  <c r="TB3" i="24"/>
  <c r="TA3" i="24"/>
  <c r="SZ3" i="24"/>
  <c r="SY3" i="24"/>
  <c r="SX3" i="24"/>
  <c r="SW3" i="24"/>
  <c r="SV3" i="24"/>
  <c r="SU3" i="24"/>
  <c r="ST3" i="24"/>
  <c r="SS3" i="24"/>
  <c r="SR3" i="24"/>
  <c r="SQ3" i="24"/>
  <c r="SP3" i="24"/>
  <c r="SO3" i="24"/>
  <c r="SN3" i="24"/>
  <c r="SM3" i="24"/>
  <c r="SL3" i="24"/>
  <c r="SK3" i="24"/>
  <c r="SJ3" i="24"/>
  <c r="SI3" i="24"/>
  <c r="SH3" i="24"/>
  <c r="SG3" i="24"/>
  <c r="SF3" i="24"/>
  <c r="SE3" i="24"/>
  <c r="SD3" i="24"/>
  <c r="SC3" i="24"/>
  <c r="SB3" i="24"/>
  <c r="SA3" i="24"/>
  <c r="RZ3" i="24"/>
  <c r="RY3" i="24"/>
  <c r="RX3" i="24"/>
  <c r="RW3" i="24"/>
  <c r="RV3" i="24"/>
  <c r="RU3" i="24"/>
  <c r="RT3" i="24"/>
  <c r="RS3" i="24"/>
  <c r="RR3" i="24"/>
  <c r="RQ3" i="24"/>
  <c r="RP3" i="24"/>
  <c r="RO3" i="24"/>
  <c r="RN3" i="24"/>
  <c r="RM3" i="24"/>
  <c r="RL3" i="24"/>
  <c r="RK3" i="24"/>
  <c r="RJ3" i="24"/>
  <c r="RI3" i="24"/>
  <c r="RH3" i="24"/>
  <c r="RG3" i="24"/>
  <c r="RF3" i="24"/>
  <c r="RE3" i="24"/>
  <c r="RD3" i="24"/>
  <c r="RC3" i="24"/>
  <c r="RB3" i="24"/>
  <c r="RA3" i="24"/>
  <c r="QZ3" i="24"/>
  <c r="QY3" i="24"/>
  <c r="QX3" i="24"/>
  <c r="QW3" i="24"/>
  <c r="QV3" i="24"/>
  <c r="QU3" i="24"/>
  <c r="QT3" i="24"/>
  <c r="QS3" i="24"/>
  <c r="QR3" i="24"/>
  <c r="QQ3" i="24"/>
  <c r="QP3" i="24"/>
  <c r="QO3" i="24"/>
  <c r="QN3" i="24"/>
  <c r="QM3" i="24"/>
  <c r="QL3" i="24"/>
  <c r="QK3" i="24"/>
  <c r="QJ3" i="24"/>
  <c r="QI3" i="24"/>
  <c r="QH3" i="24"/>
  <c r="QG3" i="24"/>
  <c r="QF3" i="24"/>
  <c r="QE3" i="24"/>
  <c r="QD3" i="24"/>
  <c r="QC3" i="24"/>
  <c r="QB3" i="24"/>
  <c r="QA3" i="24"/>
  <c r="PZ3" i="24"/>
  <c r="PY3" i="24"/>
  <c r="PX3" i="24"/>
  <c r="PW3" i="24"/>
  <c r="PV3" i="24"/>
  <c r="PU3" i="24"/>
  <c r="PT3" i="24"/>
  <c r="PS3" i="24"/>
  <c r="PR3" i="24"/>
  <c r="PQ3" i="24"/>
  <c r="PP3" i="24"/>
  <c r="PO3" i="24"/>
  <c r="PN3" i="24"/>
  <c r="PM3" i="24"/>
  <c r="PL3" i="24"/>
  <c r="PK3" i="24"/>
  <c r="PJ3" i="24"/>
  <c r="PI3" i="24"/>
  <c r="PH3" i="24"/>
  <c r="PG3" i="24"/>
  <c r="PF3" i="24"/>
  <c r="PE3" i="24"/>
  <c r="PD3" i="24"/>
  <c r="PC3" i="24"/>
  <c r="PB3" i="24"/>
  <c r="PA3" i="24"/>
  <c r="OZ3" i="24"/>
  <c r="OY3" i="24"/>
  <c r="OX3" i="24"/>
  <c r="OW3" i="24"/>
  <c r="OV3" i="24"/>
  <c r="OU3" i="24"/>
  <c r="OT3" i="24"/>
  <c r="OS3" i="24"/>
  <c r="OR3" i="24"/>
  <c r="OQ3" i="24"/>
  <c r="OP3" i="24"/>
  <c r="OO3" i="24"/>
  <c r="ON3" i="24"/>
  <c r="OM3" i="24"/>
  <c r="OL3" i="24"/>
  <c r="OK3" i="24"/>
  <c r="OJ3" i="24"/>
  <c r="OI3" i="24"/>
  <c r="OH3" i="24"/>
  <c r="OG3" i="24"/>
  <c r="OF3" i="24"/>
  <c r="OE3" i="24"/>
  <c r="OD3" i="24"/>
  <c r="OC3" i="24"/>
  <c r="OB3" i="24"/>
  <c r="OA3" i="24"/>
  <c r="NZ3" i="24"/>
  <c r="NY3" i="24"/>
  <c r="NX3" i="24"/>
  <c r="NW3" i="24"/>
  <c r="NV3" i="24"/>
  <c r="NU3" i="24"/>
  <c r="NT3" i="24"/>
  <c r="NS3" i="24"/>
  <c r="NR3" i="24"/>
  <c r="NQ3" i="24"/>
  <c r="NP3" i="24"/>
  <c r="NO3" i="24"/>
  <c r="NN3" i="24"/>
  <c r="NM3" i="24"/>
  <c r="NL3" i="24"/>
  <c r="NK3" i="24"/>
  <c r="NJ3" i="24"/>
  <c r="NI3" i="24"/>
  <c r="NH3" i="24"/>
  <c r="NG3" i="24"/>
  <c r="NF3" i="24"/>
  <c r="NE3" i="24"/>
  <c r="ND3" i="24"/>
  <c r="NC3" i="24"/>
  <c r="NB3" i="24"/>
  <c r="NA3" i="24"/>
  <c r="MZ3" i="24"/>
  <c r="MY3" i="24"/>
  <c r="MX3" i="24"/>
  <c r="MW3" i="24"/>
  <c r="MV3" i="24"/>
  <c r="MU3" i="24"/>
  <c r="MT3" i="24"/>
  <c r="MS3" i="24"/>
  <c r="MR3" i="24"/>
  <c r="MQ3" i="24"/>
  <c r="MP3" i="24"/>
  <c r="MO3" i="24"/>
  <c r="MN3" i="24"/>
  <c r="MM3" i="24"/>
  <c r="ML3" i="24"/>
  <c r="MK3" i="24"/>
  <c r="MJ3" i="24"/>
  <c r="MI3" i="24"/>
  <c r="MH3" i="24"/>
  <c r="MG3" i="24"/>
  <c r="MF3" i="24"/>
  <c r="ME3" i="24"/>
  <c r="MD3" i="24"/>
  <c r="MC3" i="24"/>
  <c r="MB3" i="24"/>
  <c r="MA3" i="24"/>
  <c r="LZ3" i="24"/>
  <c r="LY3" i="24"/>
  <c r="LX3" i="24"/>
  <c r="LW3" i="24"/>
  <c r="LV3" i="24"/>
  <c r="LU3" i="24"/>
  <c r="LT3" i="24"/>
  <c r="LS3" i="24"/>
  <c r="LR3" i="24"/>
  <c r="LQ3" i="24"/>
  <c r="LP3" i="24"/>
  <c r="LO3" i="24"/>
  <c r="LN3" i="24"/>
  <c r="LM3" i="24"/>
  <c r="LL3" i="24"/>
  <c r="LK3" i="24"/>
  <c r="LJ3" i="24"/>
  <c r="LI3" i="24"/>
  <c r="LH3" i="24"/>
  <c r="LG3" i="24"/>
  <c r="LF3" i="24"/>
  <c r="LE3" i="24"/>
  <c r="LD3" i="24"/>
  <c r="LC3" i="24"/>
  <c r="LB3" i="24"/>
  <c r="LA3" i="24"/>
  <c r="KZ3" i="24"/>
  <c r="KY3" i="24"/>
  <c r="KX3" i="24"/>
  <c r="KW3" i="24"/>
  <c r="KV3" i="24"/>
  <c r="KU3" i="24"/>
  <c r="KT3" i="24"/>
  <c r="KS3" i="24"/>
  <c r="KR3" i="24"/>
  <c r="KQ3" i="24"/>
  <c r="KP3" i="24"/>
  <c r="KO3" i="24"/>
  <c r="KN3" i="24"/>
  <c r="KM3" i="24"/>
  <c r="KL3" i="24"/>
  <c r="KK3" i="24"/>
  <c r="KJ3" i="24"/>
  <c r="KI3" i="24"/>
  <c r="KH3" i="24"/>
  <c r="KG3" i="24"/>
  <c r="KF3" i="24"/>
  <c r="KE3" i="24"/>
  <c r="KD3" i="24"/>
  <c r="KC3" i="24"/>
  <c r="KB3" i="24"/>
  <c r="KA3" i="24"/>
  <c r="JZ3" i="24"/>
  <c r="JY3" i="24"/>
  <c r="JX3" i="24"/>
  <c r="JW3" i="24"/>
  <c r="JV3" i="24"/>
  <c r="JU3" i="24"/>
  <c r="JT3" i="24"/>
  <c r="JS3" i="24"/>
  <c r="JR3" i="24"/>
  <c r="JQ3" i="24"/>
  <c r="JP3" i="24"/>
  <c r="JO3" i="24"/>
  <c r="JN3" i="24"/>
  <c r="JM3" i="24"/>
  <c r="JL3" i="24"/>
  <c r="JK3" i="24"/>
  <c r="JJ3" i="24"/>
  <c r="JI3" i="24"/>
  <c r="JH3" i="24"/>
  <c r="JG3" i="24"/>
  <c r="JF3" i="24"/>
  <c r="JE3" i="24"/>
  <c r="JD3" i="24"/>
  <c r="JC3" i="24"/>
  <c r="JB3" i="24"/>
  <c r="JA3" i="24"/>
  <c r="IZ3" i="24"/>
  <c r="IY3" i="24"/>
  <c r="IX3" i="24"/>
  <c r="IW3" i="24"/>
  <c r="IV3" i="24"/>
  <c r="IU3" i="24"/>
  <c r="IT3" i="24"/>
  <c r="IS3" i="24"/>
  <c r="IR3" i="24"/>
  <c r="IQ3" i="24"/>
  <c r="IP3" i="24"/>
  <c r="IO3" i="24"/>
  <c r="IN3" i="24"/>
  <c r="IM3" i="24"/>
  <c r="IL3" i="24"/>
  <c r="IK3" i="24"/>
  <c r="IJ3" i="24"/>
  <c r="II3" i="24"/>
  <c r="IH3" i="24"/>
  <c r="IG3" i="24"/>
  <c r="IF3" i="24"/>
  <c r="IE3" i="24"/>
  <c r="ID3" i="24"/>
  <c r="IC3" i="24"/>
  <c r="IB3" i="24"/>
  <c r="IA3" i="24"/>
  <c r="HZ3" i="24"/>
  <c r="HY3" i="24"/>
  <c r="HX3" i="24"/>
  <c r="HW3" i="24"/>
  <c r="HV3" i="24"/>
  <c r="HU3" i="24"/>
  <c r="HT3" i="24"/>
  <c r="HS3" i="24"/>
  <c r="HR3" i="24"/>
  <c r="HQ3" i="24"/>
  <c r="HP3" i="24"/>
  <c r="HO3" i="24"/>
  <c r="HN3" i="24"/>
  <c r="HM3" i="24"/>
  <c r="HL3" i="24"/>
  <c r="HK3" i="24"/>
  <c r="HJ3" i="24"/>
  <c r="HI3" i="24"/>
  <c r="HH3" i="24"/>
  <c r="HG3" i="24"/>
  <c r="HF3" i="24"/>
  <c r="HE3" i="24"/>
  <c r="HD3" i="24"/>
  <c r="HC3" i="24"/>
  <c r="HB3" i="24"/>
  <c r="HA3" i="24"/>
  <c r="GZ3" i="24"/>
  <c r="GY3" i="24"/>
  <c r="GX3" i="24"/>
  <c r="GW3" i="24"/>
  <c r="GV3" i="24"/>
  <c r="GU3" i="24"/>
  <c r="GT3" i="24"/>
  <c r="GS3" i="24"/>
  <c r="GR3" i="24"/>
  <c r="GQ3" i="24"/>
  <c r="GP3" i="24"/>
  <c r="GO3" i="24"/>
  <c r="GN3" i="24"/>
  <c r="GM3" i="24"/>
  <c r="GL3" i="24"/>
  <c r="GK3" i="24"/>
  <c r="GJ3" i="24"/>
  <c r="GI3" i="24"/>
  <c r="GH3" i="24"/>
  <c r="GG3" i="24"/>
  <c r="GF3" i="24"/>
  <c r="GE3" i="24"/>
  <c r="GD3" i="24"/>
  <c r="GC3" i="24"/>
  <c r="GB3" i="24"/>
  <c r="GA3" i="24"/>
  <c r="FZ3" i="24"/>
  <c r="FY3" i="24"/>
  <c r="FX3" i="24"/>
  <c r="FW3" i="24"/>
  <c r="FV3" i="24"/>
  <c r="FU3" i="24"/>
  <c r="FT3" i="24"/>
  <c r="FS3" i="24"/>
  <c r="FR3" i="24"/>
  <c r="FQ3" i="24"/>
  <c r="FP3" i="24"/>
  <c r="FO3" i="24"/>
  <c r="FN3" i="24"/>
  <c r="FM3" i="24"/>
  <c r="FL3" i="24"/>
  <c r="FK3" i="24"/>
  <c r="FJ3" i="24"/>
  <c r="FI3" i="24"/>
  <c r="FH3" i="24"/>
  <c r="FG3" i="24"/>
  <c r="FF3" i="24"/>
  <c r="FE3" i="24"/>
  <c r="FD3" i="24"/>
  <c r="FC3" i="24"/>
  <c r="FB3" i="24"/>
  <c r="FA3" i="24"/>
  <c r="EZ3" i="24"/>
  <c r="EY3" i="24"/>
  <c r="EX3" i="24"/>
  <c r="EW3" i="24"/>
  <c r="EV3" i="24"/>
  <c r="EU3" i="24"/>
  <c r="ET3" i="24"/>
  <c r="ES3" i="24"/>
  <c r="ER3" i="24"/>
  <c r="EQ3" i="24"/>
  <c r="EP3" i="24"/>
  <c r="EO3" i="24"/>
  <c r="EN3" i="24"/>
  <c r="EM3" i="24"/>
  <c r="EL3" i="24"/>
  <c r="EK3" i="24"/>
  <c r="EJ3" i="24"/>
  <c r="EI3" i="24"/>
  <c r="EH3" i="24"/>
  <c r="EG3" i="24"/>
  <c r="EF3" i="24"/>
  <c r="EE3" i="24"/>
  <c r="ED3" i="24"/>
  <c r="EC3" i="24"/>
  <c r="EB3" i="24"/>
  <c r="EA3" i="24"/>
  <c r="DZ3" i="24"/>
  <c r="DY3" i="24"/>
  <c r="DX3" i="24"/>
  <c r="DW3" i="24"/>
  <c r="DV3" i="24"/>
  <c r="DU3" i="24"/>
  <c r="DT3" i="24"/>
  <c r="DS3" i="24"/>
  <c r="DR3" i="24"/>
  <c r="DQ3" i="24"/>
  <c r="DP3" i="24"/>
  <c r="DO3" i="24"/>
  <c r="DN3" i="24"/>
  <c r="DM3" i="24"/>
  <c r="DL3" i="24"/>
  <c r="DK3" i="24"/>
  <c r="DJ3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BP3" i="24"/>
  <c r="BO3" i="24"/>
  <c r="BN3" i="24"/>
  <c r="BM3" i="24"/>
  <c r="BL3" i="24"/>
  <c r="BK3" i="24"/>
  <c r="BJ3" i="24"/>
  <c r="BI3" i="24"/>
  <c r="BH3" i="24"/>
  <c r="BG3" i="24"/>
  <c r="BF3" i="24"/>
  <c r="BE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B14" i="24" s="1"/>
  <c r="ACV10" i="25"/>
  <c r="ACU10" i="25"/>
  <c r="ACT10" i="25"/>
  <c r="ACS10" i="25"/>
  <c r="ACR10" i="25"/>
  <c r="ACQ10" i="25"/>
  <c r="ACP10" i="25"/>
  <c r="ACO10" i="25"/>
  <c r="ACN10" i="25"/>
  <c r="ACM10" i="25"/>
  <c r="ACL10" i="25"/>
  <c r="ACK10" i="25"/>
  <c r="ACJ10" i="25"/>
  <c r="ACI10" i="25"/>
  <c r="ACH10" i="25"/>
  <c r="ACG10" i="25"/>
  <c r="ACF10" i="25"/>
  <c r="ACE10" i="25"/>
  <c r="ACD10" i="25"/>
  <c r="ACC10" i="25"/>
  <c r="ACB10" i="25"/>
  <c r="ACA10" i="25"/>
  <c r="ABZ10" i="25"/>
  <c r="ABY10" i="25"/>
  <c r="ABX10" i="25"/>
  <c r="ABW10" i="25"/>
  <c r="ABV10" i="25"/>
  <c r="ABU10" i="25"/>
  <c r="ABT10" i="25"/>
  <c r="ABS10" i="25"/>
  <c r="ABR10" i="25"/>
  <c r="ABQ10" i="25"/>
  <c r="ABP10" i="25"/>
  <c r="ABO10" i="25"/>
  <c r="ABN10" i="25"/>
  <c r="ABM10" i="25"/>
  <c r="ABL10" i="25"/>
  <c r="ABK10" i="25"/>
  <c r="ABJ10" i="25"/>
  <c r="ABI10" i="25"/>
  <c r="ABH10" i="25"/>
  <c r="ABG10" i="25"/>
  <c r="ABF10" i="25"/>
  <c r="ABE10" i="25"/>
  <c r="ABD10" i="25"/>
  <c r="ABC10" i="25"/>
  <c r="ABB10" i="25"/>
  <c r="ABA10" i="25"/>
  <c r="AAZ10" i="25"/>
  <c r="AAY10" i="25"/>
  <c r="AAX10" i="25"/>
  <c r="AAW10" i="25"/>
  <c r="AAV10" i="25"/>
  <c r="AAU10" i="25"/>
  <c r="AAT10" i="25"/>
  <c r="AAS10" i="25"/>
  <c r="AAR10" i="25"/>
  <c r="AAQ10" i="25"/>
  <c r="AAP10" i="25"/>
  <c r="AAO10" i="25"/>
  <c r="AAN10" i="25"/>
  <c r="AAM10" i="25"/>
  <c r="AAL10" i="25"/>
  <c r="AAK10" i="25"/>
  <c r="AAJ10" i="25"/>
  <c r="AAI10" i="25"/>
  <c r="AAH10" i="25"/>
  <c r="AAG10" i="25"/>
  <c r="AAF10" i="25"/>
  <c r="AAE10" i="25"/>
  <c r="AAD10" i="25"/>
  <c r="AAC10" i="25"/>
  <c r="AAB10" i="25"/>
  <c r="AAA10" i="25"/>
  <c r="ZZ10" i="25"/>
  <c r="ZY10" i="25"/>
  <c r="ZX10" i="25"/>
  <c r="ZW10" i="25"/>
  <c r="ZV10" i="25"/>
  <c r="ZU10" i="25"/>
  <c r="ZT10" i="25"/>
  <c r="ZS10" i="25"/>
  <c r="ZR10" i="25"/>
  <c r="ZQ10" i="25"/>
  <c r="ZP10" i="25"/>
  <c r="ZO10" i="25"/>
  <c r="ZN10" i="25"/>
  <c r="ZM10" i="25"/>
  <c r="ZL10" i="25"/>
  <c r="ZK10" i="25"/>
  <c r="ZJ10" i="25"/>
  <c r="ZI10" i="25"/>
  <c r="ZH10" i="25"/>
  <c r="ZG10" i="25"/>
  <c r="ZF10" i="25"/>
  <c r="ZE10" i="25"/>
  <c r="ZD10" i="25"/>
  <c r="ZC10" i="25"/>
  <c r="ZB10" i="25"/>
  <c r="ZA10" i="25"/>
  <c r="YZ10" i="25"/>
  <c r="YY10" i="25"/>
  <c r="YX10" i="25"/>
  <c r="YW10" i="25"/>
  <c r="YV10" i="25"/>
  <c r="YU10" i="25"/>
  <c r="YT10" i="25"/>
  <c r="YS10" i="25"/>
  <c r="YR10" i="25"/>
  <c r="YQ10" i="25"/>
  <c r="YP10" i="25"/>
  <c r="YO10" i="25"/>
  <c r="YN10" i="25"/>
  <c r="YM10" i="25"/>
  <c r="YL10" i="25"/>
  <c r="YK10" i="25"/>
  <c r="YJ10" i="25"/>
  <c r="YI10" i="25"/>
  <c r="YH10" i="25"/>
  <c r="YG10" i="25"/>
  <c r="YF10" i="25"/>
  <c r="YE10" i="25"/>
  <c r="YD10" i="25"/>
  <c r="YC10" i="25"/>
  <c r="YB10" i="25"/>
  <c r="YA10" i="25"/>
  <c r="XZ10" i="25"/>
  <c r="XY10" i="25"/>
  <c r="XX10" i="25"/>
  <c r="XW10" i="25"/>
  <c r="XV10" i="25"/>
  <c r="XU10" i="25"/>
  <c r="XT10" i="25"/>
  <c r="XS10" i="25"/>
  <c r="XR10" i="25"/>
  <c r="XQ10" i="25"/>
  <c r="XP10" i="25"/>
  <c r="XO10" i="25"/>
  <c r="XN10" i="25"/>
  <c r="XM10" i="25"/>
  <c r="XL10" i="25"/>
  <c r="XK10" i="25"/>
  <c r="XJ10" i="25"/>
  <c r="XI10" i="25"/>
  <c r="XH10" i="25"/>
  <c r="XG10" i="25"/>
  <c r="XF10" i="25"/>
  <c r="XE10" i="25"/>
  <c r="XD10" i="25"/>
  <c r="XC10" i="25"/>
  <c r="XB10" i="25"/>
  <c r="XA10" i="25"/>
  <c r="WZ10" i="25"/>
  <c r="WY10" i="25"/>
  <c r="WX10" i="25"/>
  <c r="WW10" i="25"/>
  <c r="WV10" i="25"/>
  <c r="WU10" i="25"/>
  <c r="WT10" i="25"/>
  <c r="WS10" i="25"/>
  <c r="WR10" i="25"/>
  <c r="WQ10" i="25"/>
  <c r="WP10" i="25"/>
  <c r="WO10" i="25"/>
  <c r="WN10" i="25"/>
  <c r="WM10" i="25"/>
  <c r="WL10" i="25"/>
  <c r="WK10" i="25"/>
  <c r="WJ10" i="25"/>
  <c r="WI10" i="25"/>
  <c r="WH10" i="25"/>
  <c r="WG10" i="25"/>
  <c r="WF10" i="25"/>
  <c r="WE10" i="25"/>
  <c r="WD10" i="25"/>
  <c r="WC10" i="25"/>
  <c r="WB10" i="25"/>
  <c r="WA10" i="25"/>
  <c r="VZ10" i="25"/>
  <c r="VY10" i="25"/>
  <c r="VX10" i="25"/>
  <c r="VW10" i="25"/>
  <c r="VV10" i="25"/>
  <c r="VU10" i="25"/>
  <c r="VT10" i="25"/>
  <c r="VS10" i="25"/>
  <c r="VR10" i="25"/>
  <c r="VQ10" i="25"/>
  <c r="VP10" i="25"/>
  <c r="VO10" i="25"/>
  <c r="VN10" i="25"/>
  <c r="VM10" i="25"/>
  <c r="VL10" i="25"/>
  <c r="VK10" i="25"/>
  <c r="VJ10" i="25"/>
  <c r="VI10" i="25"/>
  <c r="VH10" i="25"/>
  <c r="VG10" i="25"/>
  <c r="VF10" i="25"/>
  <c r="VE10" i="25"/>
  <c r="VD10" i="25"/>
  <c r="VC10" i="25"/>
  <c r="VB10" i="25"/>
  <c r="VA10" i="25"/>
  <c r="UZ10" i="25"/>
  <c r="UY10" i="25"/>
  <c r="UX10" i="25"/>
  <c r="UW10" i="25"/>
  <c r="UV10" i="25"/>
  <c r="UU10" i="25"/>
  <c r="UT10" i="25"/>
  <c r="US10" i="25"/>
  <c r="UR10" i="25"/>
  <c r="UQ10" i="25"/>
  <c r="UP10" i="25"/>
  <c r="UO10" i="25"/>
  <c r="UN10" i="25"/>
  <c r="UM10" i="25"/>
  <c r="UL10" i="25"/>
  <c r="UK10" i="25"/>
  <c r="UJ10" i="25"/>
  <c r="UI10" i="25"/>
  <c r="UH10" i="25"/>
  <c r="UG10" i="25"/>
  <c r="UF10" i="25"/>
  <c r="UE10" i="25"/>
  <c r="UD10" i="25"/>
  <c r="UC10" i="25"/>
  <c r="UB10" i="25"/>
  <c r="UA10" i="25"/>
  <c r="TZ10" i="25"/>
  <c r="TY10" i="25"/>
  <c r="TX10" i="25"/>
  <c r="TW10" i="25"/>
  <c r="TV10" i="25"/>
  <c r="TU10" i="25"/>
  <c r="TT10" i="25"/>
  <c r="TS10" i="25"/>
  <c r="TR10" i="25"/>
  <c r="TQ10" i="25"/>
  <c r="TP10" i="25"/>
  <c r="TO10" i="25"/>
  <c r="TN10" i="25"/>
  <c r="TM10" i="25"/>
  <c r="TL10" i="25"/>
  <c r="TK10" i="25"/>
  <c r="TJ10" i="25"/>
  <c r="TI10" i="25"/>
  <c r="TH10" i="25"/>
  <c r="TG10" i="25"/>
  <c r="TF10" i="25"/>
  <c r="TE10" i="25"/>
  <c r="TD10" i="25"/>
  <c r="TC10" i="25"/>
  <c r="TB10" i="25"/>
  <c r="TA10" i="25"/>
  <c r="SZ10" i="25"/>
  <c r="SY10" i="25"/>
  <c r="SX10" i="25"/>
  <c r="SW10" i="25"/>
  <c r="SV10" i="25"/>
  <c r="SU10" i="25"/>
  <c r="ST10" i="25"/>
  <c r="SS10" i="25"/>
  <c r="SR10" i="25"/>
  <c r="SQ10" i="25"/>
  <c r="SP10" i="25"/>
  <c r="SO10" i="25"/>
  <c r="SN10" i="25"/>
  <c r="SM10" i="25"/>
  <c r="SL10" i="25"/>
  <c r="SK10" i="25"/>
  <c r="SJ10" i="25"/>
  <c r="SI10" i="25"/>
  <c r="SH10" i="25"/>
  <c r="SG10" i="25"/>
  <c r="SF10" i="25"/>
  <c r="SE10" i="25"/>
  <c r="SD10" i="25"/>
  <c r="SC10" i="25"/>
  <c r="SB10" i="25"/>
  <c r="SA10" i="25"/>
  <c r="RZ10" i="25"/>
  <c r="RY10" i="25"/>
  <c r="RX10" i="25"/>
  <c r="RW10" i="25"/>
  <c r="RV10" i="25"/>
  <c r="RU10" i="25"/>
  <c r="RT10" i="25"/>
  <c r="RS10" i="25"/>
  <c r="RR10" i="25"/>
  <c r="RQ10" i="25"/>
  <c r="RP10" i="25"/>
  <c r="RO10" i="25"/>
  <c r="RN10" i="25"/>
  <c r="RM10" i="25"/>
  <c r="RL10" i="25"/>
  <c r="RK10" i="25"/>
  <c r="RJ10" i="25"/>
  <c r="RI10" i="25"/>
  <c r="RH10" i="25"/>
  <c r="RG10" i="25"/>
  <c r="RF10" i="25"/>
  <c r="RE10" i="25"/>
  <c r="RD10" i="25"/>
  <c r="RC10" i="25"/>
  <c r="RB10" i="25"/>
  <c r="RA10" i="25"/>
  <c r="QZ10" i="25"/>
  <c r="QY10" i="25"/>
  <c r="QX10" i="25"/>
  <c r="QW10" i="25"/>
  <c r="QV10" i="25"/>
  <c r="QU10" i="25"/>
  <c r="QT10" i="25"/>
  <c r="QS10" i="25"/>
  <c r="QR10" i="25"/>
  <c r="QQ10" i="25"/>
  <c r="QP10" i="25"/>
  <c r="QO10" i="25"/>
  <c r="QN10" i="25"/>
  <c r="QM10" i="25"/>
  <c r="QL10" i="25"/>
  <c r="QK10" i="25"/>
  <c r="QJ10" i="25"/>
  <c r="QI10" i="25"/>
  <c r="QH10" i="25"/>
  <c r="QG10" i="25"/>
  <c r="QF10" i="25"/>
  <c r="QE10" i="25"/>
  <c r="QD10" i="25"/>
  <c r="QC10" i="25"/>
  <c r="QB10" i="25"/>
  <c r="QA10" i="25"/>
  <c r="PZ10" i="25"/>
  <c r="PY10" i="25"/>
  <c r="PX10" i="25"/>
  <c r="PW10" i="25"/>
  <c r="PV10" i="25"/>
  <c r="PU10" i="25"/>
  <c r="PT10" i="25"/>
  <c r="PS10" i="25"/>
  <c r="PR10" i="25"/>
  <c r="PQ10" i="25"/>
  <c r="PP10" i="25"/>
  <c r="PO10" i="25"/>
  <c r="PN10" i="25"/>
  <c r="PM10" i="25"/>
  <c r="PL10" i="25"/>
  <c r="PK10" i="25"/>
  <c r="PJ10" i="25"/>
  <c r="PI10" i="25"/>
  <c r="PH10" i="25"/>
  <c r="PG10" i="25"/>
  <c r="PF10" i="25"/>
  <c r="PE10" i="25"/>
  <c r="PD10" i="25"/>
  <c r="PC10" i="25"/>
  <c r="PB10" i="25"/>
  <c r="PA10" i="25"/>
  <c r="OZ10" i="25"/>
  <c r="OY10" i="25"/>
  <c r="OX10" i="25"/>
  <c r="OW10" i="25"/>
  <c r="OV10" i="25"/>
  <c r="OU10" i="25"/>
  <c r="OT10" i="25"/>
  <c r="OS10" i="25"/>
  <c r="OR10" i="25"/>
  <c r="OQ10" i="25"/>
  <c r="OP10" i="25"/>
  <c r="OO10" i="25"/>
  <c r="ON10" i="25"/>
  <c r="OM10" i="25"/>
  <c r="OL10" i="25"/>
  <c r="OK10" i="25"/>
  <c r="OJ10" i="25"/>
  <c r="OI10" i="25"/>
  <c r="OH10" i="25"/>
  <c r="OG10" i="25"/>
  <c r="OF10" i="25"/>
  <c r="OE10" i="25"/>
  <c r="OD10" i="25"/>
  <c r="OC10" i="25"/>
  <c r="OB10" i="25"/>
  <c r="OA10" i="25"/>
  <c r="NZ10" i="25"/>
  <c r="NY10" i="25"/>
  <c r="NX10" i="25"/>
  <c r="NW10" i="25"/>
  <c r="NV10" i="25"/>
  <c r="NU10" i="25"/>
  <c r="NT10" i="25"/>
  <c r="NS10" i="25"/>
  <c r="NR10" i="25"/>
  <c r="NQ10" i="25"/>
  <c r="NP10" i="25"/>
  <c r="NO10" i="25"/>
  <c r="NN10" i="25"/>
  <c r="NM10" i="25"/>
  <c r="NL10" i="25"/>
  <c r="NK10" i="25"/>
  <c r="NJ10" i="25"/>
  <c r="NI10" i="25"/>
  <c r="NH10" i="25"/>
  <c r="NG10" i="25"/>
  <c r="NF10" i="25"/>
  <c r="NE10" i="25"/>
  <c r="ND10" i="25"/>
  <c r="NC10" i="25"/>
  <c r="NB10" i="25"/>
  <c r="NA10" i="25"/>
  <c r="MZ10" i="25"/>
  <c r="MY10" i="25"/>
  <c r="MX10" i="25"/>
  <c r="MW10" i="25"/>
  <c r="MV10" i="25"/>
  <c r="MU10" i="25"/>
  <c r="MT10" i="25"/>
  <c r="MS10" i="25"/>
  <c r="MR10" i="25"/>
  <c r="MQ10" i="25"/>
  <c r="MP10" i="25"/>
  <c r="MO10" i="25"/>
  <c r="MN10" i="25"/>
  <c r="MM10" i="25"/>
  <c r="ML10" i="25"/>
  <c r="MK10" i="25"/>
  <c r="MJ10" i="25"/>
  <c r="MI10" i="25"/>
  <c r="MH10" i="25"/>
  <c r="MG10" i="25"/>
  <c r="MF10" i="25"/>
  <c r="ME10" i="25"/>
  <c r="MD10" i="25"/>
  <c r="MC10" i="25"/>
  <c r="MB10" i="25"/>
  <c r="MA10" i="25"/>
  <c r="LZ10" i="25"/>
  <c r="LY10" i="25"/>
  <c r="LX10" i="25"/>
  <c r="LW10" i="25"/>
  <c r="LV10" i="25"/>
  <c r="LU10" i="25"/>
  <c r="LT10" i="25"/>
  <c r="LS10" i="25"/>
  <c r="LR10" i="25"/>
  <c r="LQ10" i="25"/>
  <c r="LP10" i="25"/>
  <c r="LO10" i="25"/>
  <c r="LN10" i="25"/>
  <c r="LM10" i="25"/>
  <c r="LL10" i="25"/>
  <c r="LK10" i="25"/>
  <c r="LJ10" i="25"/>
  <c r="LI10" i="25"/>
  <c r="LH10" i="25"/>
  <c r="LG10" i="25"/>
  <c r="LF10" i="25"/>
  <c r="LE10" i="25"/>
  <c r="LD10" i="25"/>
  <c r="LC10" i="25"/>
  <c r="LB10" i="25"/>
  <c r="LA10" i="25"/>
  <c r="KZ10" i="25"/>
  <c r="KY10" i="25"/>
  <c r="KX10" i="25"/>
  <c r="KW10" i="25"/>
  <c r="KV10" i="25"/>
  <c r="KU10" i="25"/>
  <c r="KT10" i="25"/>
  <c r="KS10" i="25"/>
  <c r="KR10" i="25"/>
  <c r="KQ10" i="25"/>
  <c r="KP10" i="25"/>
  <c r="KO10" i="25"/>
  <c r="KN10" i="25"/>
  <c r="KM10" i="25"/>
  <c r="KL10" i="25"/>
  <c r="KK10" i="25"/>
  <c r="KJ10" i="25"/>
  <c r="KI10" i="25"/>
  <c r="KH10" i="25"/>
  <c r="KG10" i="25"/>
  <c r="KF10" i="25"/>
  <c r="KE10" i="25"/>
  <c r="KD10" i="25"/>
  <c r="KC10" i="25"/>
  <c r="KB10" i="25"/>
  <c r="KA10" i="25"/>
  <c r="JZ10" i="25"/>
  <c r="JY10" i="25"/>
  <c r="JX10" i="25"/>
  <c r="JW10" i="25"/>
  <c r="JV10" i="25"/>
  <c r="JU10" i="25"/>
  <c r="JT10" i="25"/>
  <c r="JS10" i="25"/>
  <c r="JR10" i="25"/>
  <c r="JQ10" i="25"/>
  <c r="JP10" i="25"/>
  <c r="JO10" i="25"/>
  <c r="JN10" i="25"/>
  <c r="JM10" i="25"/>
  <c r="JL10" i="25"/>
  <c r="JK10" i="25"/>
  <c r="JJ10" i="25"/>
  <c r="JI10" i="25"/>
  <c r="JH10" i="25"/>
  <c r="JG10" i="25"/>
  <c r="JF10" i="25"/>
  <c r="JE10" i="25"/>
  <c r="JD10" i="25"/>
  <c r="JC10" i="25"/>
  <c r="JB10" i="25"/>
  <c r="JA10" i="25"/>
  <c r="IZ10" i="25"/>
  <c r="IY10" i="25"/>
  <c r="IX10" i="25"/>
  <c r="IW10" i="25"/>
  <c r="IV10" i="25"/>
  <c r="IU10" i="25"/>
  <c r="IT10" i="25"/>
  <c r="IS10" i="25"/>
  <c r="IR10" i="25"/>
  <c r="IQ10" i="25"/>
  <c r="IP10" i="25"/>
  <c r="IO10" i="25"/>
  <c r="IN10" i="25"/>
  <c r="IM10" i="25"/>
  <c r="IL10" i="25"/>
  <c r="IK10" i="25"/>
  <c r="IJ10" i="25"/>
  <c r="II10" i="25"/>
  <c r="IH10" i="25"/>
  <c r="IG10" i="25"/>
  <c r="IF10" i="25"/>
  <c r="IE10" i="25"/>
  <c r="ID10" i="25"/>
  <c r="IC10" i="25"/>
  <c r="IB10" i="25"/>
  <c r="IA10" i="25"/>
  <c r="HZ10" i="25"/>
  <c r="HY10" i="25"/>
  <c r="HX10" i="25"/>
  <c r="HW10" i="25"/>
  <c r="HV10" i="25"/>
  <c r="HU10" i="25"/>
  <c r="HT10" i="25"/>
  <c r="HS10" i="25"/>
  <c r="HR10" i="25"/>
  <c r="HQ10" i="25"/>
  <c r="HP10" i="25"/>
  <c r="HO10" i="25"/>
  <c r="HN10" i="25"/>
  <c r="HM10" i="25"/>
  <c r="HL10" i="25"/>
  <c r="HK10" i="25"/>
  <c r="HJ10" i="25"/>
  <c r="HI10" i="25"/>
  <c r="HH10" i="25"/>
  <c r="HG10" i="25"/>
  <c r="HF10" i="25"/>
  <c r="HE10" i="25"/>
  <c r="HD10" i="25"/>
  <c r="HC10" i="25"/>
  <c r="HB10" i="25"/>
  <c r="HA10" i="25"/>
  <c r="GZ10" i="25"/>
  <c r="GY10" i="25"/>
  <c r="GX10" i="25"/>
  <c r="GW10" i="25"/>
  <c r="GV10" i="25"/>
  <c r="GU10" i="25"/>
  <c r="GT10" i="25"/>
  <c r="GS10" i="25"/>
  <c r="GR10" i="25"/>
  <c r="GQ10" i="25"/>
  <c r="GP10" i="25"/>
  <c r="GO10" i="25"/>
  <c r="GN10" i="25"/>
  <c r="GM10" i="25"/>
  <c r="GL10" i="25"/>
  <c r="GK10" i="25"/>
  <c r="GJ10" i="25"/>
  <c r="GI10" i="25"/>
  <c r="GH10" i="25"/>
  <c r="GG10" i="25"/>
  <c r="GF10" i="25"/>
  <c r="GE10" i="25"/>
  <c r="GD10" i="25"/>
  <c r="GC10" i="25"/>
  <c r="GB10" i="25"/>
  <c r="GA10" i="25"/>
  <c r="FZ10" i="25"/>
  <c r="FY10" i="25"/>
  <c r="FX10" i="25"/>
  <c r="FW10" i="25"/>
  <c r="FV10" i="25"/>
  <c r="FU10" i="25"/>
  <c r="FT10" i="25"/>
  <c r="FS10" i="25"/>
  <c r="FR10" i="25"/>
  <c r="FQ10" i="25"/>
  <c r="FP10" i="25"/>
  <c r="FO10" i="25"/>
  <c r="FN10" i="25"/>
  <c r="FM10" i="25"/>
  <c r="FL10" i="25"/>
  <c r="FK10" i="25"/>
  <c r="FJ10" i="25"/>
  <c r="FI10" i="25"/>
  <c r="FH10" i="25"/>
  <c r="FG10" i="25"/>
  <c r="FF10" i="25"/>
  <c r="FE10" i="25"/>
  <c r="FD10" i="25"/>
  <c r="FC10" i="25"/>
  <c r="FB10" i="25"/>
  <c r="FA10" i="25"/>
  <c r="EZ10" i="25"/>
  <c r="EY10" i="25"/>
  <c r="EX10" i="25"/>
  <c r="EW10" i="25"/>
  <c r="EV10" i="25"/>
  <c r="EU10" i="25"/>
  <c r="ET10" i="25"/>
  <c r="ES10" i="25"/>
  <c r="ER10" i="25"/>
  <c r="EQ10" i="25"/>
  <c r="EP10" i="25"/>
  <c r="EO10" i="25"/>
  <c r="EN10" i="25"/>
  <c r="EM10" i="25"/>
  <c r="EL10" i="25"/>
  <c r="EK10" i="25"/>
  <c r="EJ10" i="25"/>
  <c r="EI10" i="25"/>
  <c r="EH10" i="25"/>
  <c r="EG10" i="25"/>
  <c r="EF10" i="25"/>
  <c r="EE10" i="25"/>
  <c r="ED10" i="25"/>
  <c r="EC10" i="25"/>
  <c r="EB10" i="25"/>
  <c r="EA10" i="25"/>
  <c r="DZ10" i="25"/>
  <c r="DY10" i="25"/>
  <c r="DX10" i="25"/>
  <c r="DW10" i="25"/>
  <c r="DV10" i="25"/>
  <c r="DU10" i="25"/>
  <c r="DT10" i="25"/>
  <c r="DS10" i="25"/>
  <c r="DR10" i="25"/>
  <c r="DQ10" i="25"/>
  <c r="DP10" i="25"/>
  <c r="DO10" i="25"/>
  <c r="DN10" i="25"/>
  <c r="DM10" i="25"/>
  <c r="DL10" i="25"/>
  <c r="DK10" i="25"/>
  <c r="DJ10" i="25"/>
  <c r="DI10" i="25"/>
  <c r="DH10" i="25"/>
  <c r="DG10" i="25"/>
  <c r="DF10" i="25"/>
  <c r="DE10" i="25"/>
  <c r="DD10" i="25"/>
  <c r="DC10" i="25"/>
  <c r="DB10" i="25"/>
  <c r="DA10" i="25"/>
  <c r="CZ10" i="25"/>
  <c r="CY10" i="25"/>
  <c r="CX10" i="25"/>
  <c r="CW10" i="25"/>
  <c r="CV10" i="25"/>
  <c r="CU10" i="25"/>
  <c r="CT10" i="25"/>
  <c r="CS10" i="25"/>
  <c r="CR10" i="25"/>
  <c r="CQ10" i="25"/>
  <c r="CP10" i="25"/>
  <c r="CO10" i="25"/>
  <c r="CN10" i="25"/>
  <c r="CM10" i="25"/>
  <c r="CL10" i="25"/>
  <c r="CK10" i="25"/>
  <c r="CJ10" i="25"/>
  <c r="CI10" i="25"/>
  <c r="CH10" i="25"/>
  <c r="CG10" i="25"/>
  <c r="CF10" i="25"/>
  <c r="CE10" i="25"/>
  <c r="CD10" i="25"/>
  <c r="CC10" i="25"/>
  <c r="CB10" i="25"/>
  <c r="CA10" i="25"/>
  <c r="BZ10" i="25"/>
  <c r="BY10" i="25"/>
  <c r="BX10" i="25"/>
  <c r="BW10" i="25"/>
  <c r="BV10" i="25"/>
  <c r="BU10" i="25"/>
  <c r="BT10" i="25"/>
  <c r="BS10" i="25"/>
  <c r="BR10" i="25"/>
  <c r="BQ10" i="25"/>
  <c r="BP10" i="25"/>
  <c r="BO10" i="25"/>
  <c r="BN10" i="25"/>
  <c r="BM10" i="25"/>
  <c r="BL10" i="25"/>
  <c r="BK10" i="25"/>
  <c r="BJ10" i="25"/>
  <c r="BI10" i="25"/>
  <c r="BH10" i="25"/>
  <c r="BG10" i="25"/>
  <c r="BF10" i="25"/>
  <c r="BE10" i="25"/>
  <c r="BD10" i="25"/>
  <c r="BC10" i="25"/>
  <c r="BB10" i="25"/>
  <c r="BA10" i="25"/>
  <c r="AZ10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B10" i="25"/>
  <c r="B20" i="25" s="1"/>
  <c r="ACV9" i="25"/>
  <c r="ACU9" i="25"/>
  <c r="ACT9" i="25"/>
  <c r="ACS9" i="25"/>
  <c r="ACR9" i="25"/>
  <c r="ACQ9" i="25"/>
  <c r="ACP9" i="25"/>
  <c r="ACO9" i="25"/>
  <c r="ACN9" i="25"/>
  <c r="ACM9" i="25"/>
  <c r="ACL9" i="25"/>
  <c r="ACK9" i="25"/>
  <c r="ACJ9" i="25"/>
  <c r="ACI9" i="25"/>
  <c r="ACH9" i="25"/>
  <c r="ACG9" i="25"/>
  <c r="ACF9" i="25"/>
  <c r="ACE9" i="25"/>
  <c r="ACD9" i="25"/>
  <c r="ACC9" i="25"/>
  <c r="ACB9" i="25"/>
  <c r="ACA9" i="25"/>
  <c r="ABZ9" i="25"/>
  <c r="ABY9" i="25"/>
  <c r="ABX9" i="25"/>
  <c r="ABW9" i="25"/>
  <c r="ABV9" i="25"/>
  <c r="ABU9" i="25"/>
  <c r="ABT9" i="25"/>
  <c r="ABS9" i="25"/>
  <c r="ABR9" i="25"/>
  <c r="ABQ9" i="25"/>
  <c r="ABP9" i="25"/>
  <c r="ABO9" i="25"/>
  <c r="ABN9" i="25"/>
  <c r="ABM9" i="25"/>
  <c r="ABL9" i="25"/>
  <c r="ABK9" i="25"/>
  <c r="ABJ9" i="25"/>
  <c r="ABI9" i="25"/>
  <c r="ABH9" i="25"/>
  <c r="ABG9" i="25"/>
  <c r="ABF9" i="25"/>
  <c r="ABE9" i="25"/>
  <c r="ABD9" i="25"/>
  <c r="ABC9" i="25"/>
  <c r="ABB9" i="25"/>
  <c r="ABA9" i="25"/>
  <c r="AAZ9" i="25"/>
  <c r="AAY9" i="25"/>
  <c r="AAX9" i="25"/>
  <c r="AAW9" i="25"/>
  <c r="AAV9" i="25"/>
  <c r="AAU9" i="25"/>
  <c r="AAT9" i="25"/>
  <c r="AAS9" i="25"/>
  <c r="AAR9" i="25"/>
  <c r="AAQ9" i="25"/>
  <c r="AAP9" i="25"/>
  <c r="AAO9" i="25"/>
  <c r="AAN9" i="25"/>
  <c r="AAM9" i="25"/>
  <c r="AAL9" i="25"/>
  <c r="AAK9" i="25"/>
  <c r="AAJ9" i="25"/>
  <c r="AAI9" i="25"/>
  <c r="AAH9" i="25"/>
  <c r="AAG9" i="25"/>
  <c r="AAF9" i="25"/>
  <c r="AAE9" i="25"/>
  <c r="AAD9" i="25"/>
  <c r="AAC9" i="25"/>
  <c r="AAB9" i="25"/>
  <c r="AAA9" i="25"/>
  <c r="ZZ9" i="25"/>
  <c r="ZY9" i="25"/>
  <c r="ZX9" i="25"/>
  <c r="ZW9" i="25"/>
  <c r="ZV9" i="25"/>
  <c r="ZU9" i="25"/>
  <c r="ZT9" i="25"/>
  <c r="ZS9" i="25"/>
  <c r="ZR9" i="25"/>
  <c r="ZQ9" i="25"/>
  <c r="ZP9" i="25"/>
  <c r="ZO9" i="25"/>
  <c r="ZN9" i="25"/>
  <c r="ZM9" i="25"/>
  <c r="ZL9" i="25"/>
  <c r="ZK9" i="25"/>
  <c r="ZJ9" i="25"/>
  <c r="ZI9" i="25"/>
  <c r="ZH9" i="25"/>
  <c r="ZG9" i="25"/>
  <c r="ZF9" i="25"/>
  <c r="ZE9" i="25"/>
  <c r="ZD9" i="25"/>
  <c r="ZC9" i="25"/>
  <c r="ZB9" i="25"/>
  <c r="ZA9" i="25"/>
  <c r="YZ9" i="25"/>
  <c r="YY9" i="25"/>
  <c r="YX9" i="25"/>
  <c r="YW9" i="25"/>
  <c r="YV9" i="25"/>
  <c r="YU9" i="25"/>
  <c r="YT9" i="25"/>
  <c r="YS9" i="25"/>
  <c r="YR9" i="25"/>
  <c r="YQ9" i="25"/>
  <c r="YP9" i="25"/>
  <c r="YO9" i="25"/>
  <c r="YN9" i="25"/>
  <c r="YM9" i="25"/>
  <c r="YL9" i="25"/>
  <c r="YK9" i="25"/>
  <c r="YJ9" i="25"/>
  <c r="YI9" i="25"/>
  <c r="YH9" i="25"/>
  <c r="YG9" i="25"/>
  <c r="YF9" i="25"/>
  <c r="YE9" i="25"/>
  <c r="YD9" i="25"/>
  <c r="YC9" i="25"/>
  <c r="YB9" i="25"/>
  <c r="YA9" i="25"/>
  <c r="XZ9" i="25"/>
  <c r="XY9" i="25"/>
  <c r="XX9" i="25"/>
  <c r="XW9" i="25"/>
  <c r="XV9" i="25"/>
  <c r="XU9" i="25"/>
  <c r="XT9" i="25"/>
  <c r="XS9" i="25"/>
  <c r="XR9" i="25"/>
  <c r="XQ9" i="25"/>
  <c r="XP9" i="25"/>
  <c r="XO9" i="25"/>
  <c r="XN9" i="25"/>
  <c r="XM9" i="25"/>
  <c r="XL9" i="25"/>
  <c r="XK9" i="25"/>
  <c r="XJ9" i="25"/>
  <c r="XI9" i="25"/>
  <c r="XH9" i="25"/>
  <c r="XG9" i="25"/>
  <c r="XF9" i="25"/>
  <c r="XE9" i="25"/>
  <c r="XD9" i="25"/>
  <c r="XC9" i="25"/>
  <c r="XB9" i="25"/>
  <c r="XA9" i="25"/>
  <c r="WZ9" i="25"/>
  <c r="WY9" i="25"/>
  <c r="WX9" i="25"/>
  <c r="WW9" i="25"/>
  <c r="WV9" i="25"/>
  <c r="WU9" i="25"/>
  <c r="WT9" i="25"/>
  <c r="WS9" i="25"/>
  <c r="WR9" i="25"/>
  <c r="WQ9" i="25"/>
  <c r="WP9" i="25"/>
  <c r="WO9" i="25"/>
  <c r="WN9" i="25"/>
  <c r="WM9" i="25"/>
  <c r="WL9" i="25"/>
  <c r="WK9" i="25"/>
  <c r="WJ9" i="25"/>
  <c r="WI9" i="25"/>
  <c r="WH9" i="25"/>
  <c r="WG9" i="25"/>
  <c r="WF9" i="25"/>
  <c r="WE9" i="25"/>
  <c r="WD9" i="25"/>
  <c r="WC9" i="25"/>
  <c r="WB9" i="25"/>
  <c r="WA9" i="25"/>
  <c r="VZ9" i="25"/>
  <c r="VY9" i="25"/>
  <c r="VX9" i="25"/>
  <c r="VW9" i="25"/>
  <c r="VV9" i="25"/>
  <c r="VU9" i="25"/>
  <c r="VT9" i="25"/>
  <c r="VS9" i="25"/>
  <c r="VR9" i="25"/>
  <c r="VQ9" i="25"/>
  <c r="VP9" i="25"/>
  <c r="VO9" i="25"/>
  <c r="VN9" i="25"/>
  <c r="VM9" i="25"/>
  <c r="VL9" i="25"/>
  <c r="VK9" i="25"/>
  <c r="VJ9" i="25"/>
  <c r="VI9" i="25"/>
  <c r="VH9" i="25"/>
  <c r="VG9" i="25"/>
  <c r="VF9" i="25"/>
  <c r="VE9" i="25"/>
  <c r="VD9" i="25"/>
  <c r="VC9" i="25"/>
  <c r="VB9" i="25"/>
  <c r="VA9" i="25"/>
  <c r="UZ9" i="25"/>
  <c r="UY9" i="25"/>
  <c r="UX9" i="25"/>
  <c r="UW9" i="25"/>
  <c r="UV9" i="25"/>
  <c r="UU9" i="25"/>
  <c r="UT9" i="25"/>
  <c r="US9" i="25"/>
  <c r="UR9" i="25"/>
  <c r="UQ9" i="25"/>
  <c r="UP9" i="25"/>
  <c r="UO9" i="25"/>
  <c r="UN9" i="25"/>
  <c r="UM9" i="25"/>
  <c r="UL9" i="25"/>
  <c r="UK9" i="25"/>
  <c r="UJ9" i="25"/>
  <c r="UI9" i="25"/>
  <c r="UH9" i="25"/>
  <c r="UG9" i="25"/>
  <c r="UF9" i="25"/>
  <c r="UE9" i="25"/>
  <c r="UD9" i="25"/>
  <c r="UC9" i="25"/>
  <c r="UB9" i="25"/>
  <c r="UA9" i="25"/>
  <c r="TZ9" i="25"/>
  <c r="TY9" i="25"/>
  <c r="TX9" i="25"/>
  <c r="TW9" i="25"/>
  <c r="TV9" i="25"/>
  <c r="TU9" i="25"/>
  <c r="TT9" i="25"/>
  <c r="TS9" i="25"/>
  <c r="TR9" i="25"/>
  <c r="TQ9" i="25"/>
  <c r="TP9" i="25"/>
  <c r="TO9" i="25"/>
  <c r="TN9" i="25"/>
  <c r="TM9" i="25"/>
  <c r="TL9" i="25"/>
  <c r="TK9" i="25"/>
  <c r="TJ9" i="25"/>
  <c r="TI9" i="25"/>
  <c r="TH9" i="25"/>
  <c r="TG9" i="25"/>
  <c r="TF9" i="25"/>
  <c r="TE9" i="25"/>
  <c r="TD9" i="25"/>
  <c r="TC9" i="25"/>
  <c r="TB9" i="25"/>
  <c r="TA9" i="25"/>
  <c r="SZ9" i="25"/>
  <c r="SY9" i="25"/>
  <c r="SX9" i="25"/>
  <c r="SW9" i="25"/>
  <c r="SV9" i="25"/>
  <c r="SU9" i="25"/>
  <c r="ST9" i="25"/>
  <c r="SS9" i="25"/>
  <c r="SR9" i="25"/>
  <c r="SQ9" i="25"/>
  <c r="SP9" i="25"/>
  <c r="SO9" i="25"/>
  <c r="SN9" i="25"/>
  <c r="SM9" i="25"/>
  <c r="SL9" i="25"/>
  <c r="SK9" i="25"/>
  <c r="SJ9" i="25"/>
  <c r="SI9" i="25"/>
  <c r="SH9" i="25"/>
  <c r="SG9" i="25"/>
  <c r="SF9" i="25"/>
  <c r="SE9" i="25"/>
  <c r="SD9" i="25"/>
  <c r="SC9" i="25"/>
  <c r="SB9" i="25"/>
  <c r="SA9" i="25"/>
  <c r="RZ9" i="25"/>
  <c r="RY9" i="25"/>
  <c r="RX9" i="25"/>
  <c r="RW9" i="25"/>
  <c r="RV9" i="25"/>
  <c r="RU9" i="25"/>
  <c r="RT9" i="25"/>
  <c r="RS9" i="25"/>
  <c r="RR9" i="25"/>
  <c r="RQ9" i="25"/>
  <c r="RP9" i="25"/>
  <c r="RO9" i="25"/>
  <c r="RN9" i="25"/>
  <c r="RM9" i="25"/>
  <c r="RL9" i="25"/>
  <c r="RK9" i="25"/>
  <c r="RJ9" i="25"/>
  <c r="RI9" i="25"/>
  <c r="RH9" i="25"/>
  <c r="RG9" i="25"/>
  <c r="RF9" i="25"/>
  <c r="RE9" i="25"/>
  <c r="RD9" i="25"/>
  <c r="RC9" i="25"/>
  <c r="RB9" i="25"/>
  <c r="RA9" i="25"/>
  <c r="QZ9" i="25"/>
  <c r="QY9" i="25"/>
  <c r="QX9" i="25"/>
  <c r="QW9" i="25"/>
  <c r="QV9" i="25"/>
  <c r="QU9" i="25"/>
  <c r="QT9" i="25"/>
  <c r="QS9" i="25"/>
  <c r="QR9" i="25"/>
  <c r="QQ9" i="25"/>
  <c r="QP9" i="25"/>
  <c r="QO9" i="25"/>
  <c r="QN9" i="25"/>
  <c r="QM9" i="25"/>
  <c r="QL9" i="25"/>
  <c r="QK9" i="25"/>
  <c r="QJ9" i="25"/>
  <c r="QI9" i="25"/>
  <c r="QH9" i="25"/>
  <c r="QG9" i="25"/>
  <c r="QF9" i="25"/>
  <c r="QE9" i="25"/>
  <c r="QD9" i="25"/>
  <c r="QC9" i="25"/>
  <c r="QB9" i="25"/>
  <c r="QA9" i="25"/>
  <c r="PZ9" i="25"/>
  <c r="PY9" i="25"/>
  <c r="PX9" i="25"/>
  <c r="PW9" i="25"/>
  <c r="PV9" i="25"/>
  <c r="PU9" i="25"/>
  <c r="PT9" i="25"/>
  <c r="PS9" i="25"/>
  <c r="PR9" i="25"/>
  <c r="PQ9" i="25"/>
  <c r="PP9" i="25"/>
  <c r="PO9" i="25"/>
  <c r="PN9" i="25"/>
  <c r="PM9" i="25"/>
  <c r="PL9" i="25"/>
  <c r="PK9" i="25"/>
  <c r="PJ9" i="25"/>
  <c r="PI9" i="25"/>
  <c r="PH9" i="25"/>
  <c r="PG9" i="25"/>
  <c r="PF9" i="25"/>
  <c r="PE9" i="25"/>
  <c r="PD9" i="25"/>
  <c r="PC9" i="25"/>
  <c r="PB9" i="25"/>
  <c r="PA9" i="25"/>
  <c r="OZ9" i="25"/>
  <c r="OY9" i="25"/>
  <c r="OX9" i="25"/>
  <c r="OW9" i="25"/>
  <c r="OV9" i="25"/>
  <c r="OU9" i="25"/>
  <c r="OT9" i="25"/>
  <c r="OS9" i="25"/>
  <c r="OR9" i="25"/>
  <c r="OQ9" i="25"/>
  <c r="OP9" i="25"/>
  <c r="OO9" i="25"/>
  <c r="ON9" i="25"/>
  <c r="OM9" i="25"/>
  <c r="OL9" i="25"/>
  <c r="OK9" i="25"/>
  <c r="OJ9" i="25"/>
  <c r="OI9" i="25"/>
  <c r="OH9" i="25"/>
  <c r="OG9" i="25"/>
  <c r="OF9" i="25"/>
  <c r="OE9" i="25"/>
  <c r="OD9" i="25"/>
  <c r="OC9" i="25"/>
  <c r="OB9" i="25"/>
  <c r="OA9" i="25"/>
  <c r="NZ9" i="25"/>
  <c r="NY9" i="25"/>
  <c r="NX9" i="25"/>
  <c r="NW9" i="25"/>
  <c r="NV9" i="25"/>
  <c r="NU9" i="25"/>
  <c r="NT9" i="25"/>
  <c r="NS9" i="25"/>
  <c r="NR9" i="25"/>
  <c r="NQ9" i="25"/>
  <c r="NP9" i="25"/>
  <c r="NO9" i="25"/>
  <c r="NN9" i="25"/>
  <c r="NM9" i="25"/>
  <c r="NL9" i="25"/>
  <c r="NK9" i="25"/>
  <c r="NJ9" i="25"/>
  <c r="NI9" i="25"/>
  <c r="NH9" i="25"/>
  <c r="NG9" i="25"/>
  <c r="NF9" i="25"/>
  <c r="NE9" i="25"/>
  <c r="ND9" i="25"/>
  <c r="NC9" i="25"/>
  <c r="NB9" i="25"/>
  <c r="NA9" i="25"/>
  <c r="MZ9" i="25"/>
  <c r="MY9" i="25"/>
  <c r="MX9" i="25"/>
  <c r="MW9" i="25"/>
  <c r="MV9" i="25"/>
  <c r="MU9" i="25"/>
  <c r="MT9" i="25"/>
  <c r="MS9" i="25"/>
  <c r="MR9" i="25"/>
  <c r="MQ9" i="25"/>
  <c r="MP9" i="25"/>
  <c r="MO9" i="25"/>
  <c r="MN9" i="25"/>
  <c r="MM9" i="25"/>
  <c r="ML9" i="25"/>
  <c r="MK9" i="25"/>
  <c r="MJ9" i="25"/>
  <c r="MI9" i="25"/>
  <c r="MH9" i="25"/>
  <c r="MG9" i="25"/>
  <c r="MF9" i="25"/>
  <c r="ME9" i="25"/>
  <c r="MD9" i="25"/>
  <c r="MC9" i="25"/>
  <c r="MB9" i="25"/>
  <c r="MA9" i="25"/>
  <c r="LZ9" i="25"/>
  <c r="LY9" i="25"/>
  <c r="LX9" i="25"/>
  <c r="LW9" i="25"/>
  <c r="LV9" i="25"/>
  <c r="LU9" i="25"/>
  <c r="LT9" i="25"/>
  <c r="LS9" i="25"/>
  <c r="LR9" i="25"/>
  <c r="LQ9" i="25"/>
  <c r="LP9" i="25"/>
  <c r="LO9" i="25"/>
  <c r="LN9" i="25"/>
  <c r="LM9" i="25"/>
  <c r="LL9" i="25"/>
  <c r="LK9" i="25"/>
  <c r="LJ9" i="25"/>
  <c r="LI9" i="25"/>
  <c r="LH9" i="25"/>
  <c r="LG9" i="25"/>
  <c r="LF9" i="25"/>
  <c r="LE9" i="25"/>
  <c r="LD9" i="25"/>
  <c r="LC9" i="25"/>
  <c r="LB9" i="25"/>
  <c r="LA9" i="25"/>
  <c r="KZ9" i="25"/>
  <c r="KY9" i="25"/>
  <c r="KX9" i="25"/>
  <c r="KW9" i="25"/>
  <c r="KV9" i="25"/>
  <c r="KU9" i="25"/>
  <c r="KT9" i="25"/>
  <c r="KS9" i="25"/>
  <c r="KR9" i="25"/>
  <c r="KQ9" i="25"/>
  <c r="KP9" i="25"/>
  <c r="KO9" i="25"/>
  <c r="KN9" i="25"/>
  <c r="KM9" i="25"/>
  <c r="KL9" i="25"/>
  <c r="KK9" i="25"/>
  <c r="KJ9" i="25"/>
  <c r="KI9" i="25"/>
  <c r="KH9" i="25"/>
  <c r="KG9" i="25"/>
  <c r="KF9" i="25"/>
  <c r="KE9" i="25"/>
  <c r="KD9" i="25"/>
  <c r="KC9" i="25"/>
  <c r="KB9" i="25"/>
  <c r="KA9" i="25"/>
  <c r="JZ9" i="25"/>
  <c r="JY9" i="25"/>
  <c r="JX9" i="25"/>
  <c r="JW9" i="25"/>
  <c r="JV9" i="25"/>
  <c r="JU9" i="25"/>
  <c r="JT9" i="25"/>
  <c r="JS9" i="25"/>
  <c r="JR9" i="25"/>
  <c r="JQ9" i="25"/>
  <c r="JP9" i="25"/>
  <c r="JO9" i="25"/>
  <c r="JN9" i="25"/>
  <c r="JM9" i="25"/>
  <c r="JL9" i="25"/>
  <c r="JK9" i="25"/>
  <c r="JJ9" i="25"/>
  <c r="JI9" i="25"/>
  <c r="JH9" i="25"/>
  <c r="JG9" i="25"/>
  <c r="JF9" i="25"/>
  <c r="JE9" i="25"/>
  <c r="JD9" i="25"/>
  <c r="JC9" i="25"/>
  <c r="JB9" i="25"/>
  <c r="JA9" i="25"/>
  <c r="IZ9" i="25"/>
  <c r="IY9" i="25"/>
  <c r="IX9" i="25"/>
  <c r="IW9" i="25"/>
  <c r="IV9" i="25"/>
  <c r="IU9" i="25"/>
  <c r="IT9" i="25"/>
  <c r="IS9" i="25"/>
  <c r="IR9" i="25"/>
  <c r="IQ9" i="25"/>
  <c r="IP9" i="25"/>
  <c r="IO9" i="25"/>
  <c r="IN9" i="25"/>
  <c r="IM9" i="25"/>
  <c r="IL9" i="25"/>
  <c r="IK9" i="25"/>
  <c r="IJ9" i="25"/>
  <c r="II9" i="25"/>
  <c r="IH9" i="25"/>
  <c r="IG9" i="25"/>
  <c r="IF9" i="25"/>
  <c r="IE9" i="25"/>
  <c r="ID9" i="25"/>
  <c r="IC9" i="25"/>
  <c r="IB9" i="25"/>
  <c r="IA9" i="25"/>
  <c r="HZ9" i="25"/>
  <c r="HY9" i="25"/>
  <c r="HX9" i="25"/>
  <c r="HW9" i="25"/>
  <c r="HV9" i="25"/>
  <c r="HU9" i="25"/>
  <c r="HT9" i="25"/>
  <c r="HS9" i="25"/>
  <c r="HR9" i="25"/>
  <c r="HQ9" i="25"/>
  <c r="HP9" i="25"/>
  <c r="HO9" i="25"/>
  <c r="HN9" i="25"/>
  <c r="HM9" i="25"/>
  <c r="HL9" i="25"/>
  <c r="HK9" i="25"/>
  <c r="HJ9" i="25"/>
  <c r="HI9" i="25"/>
  <c r="HH9" i="25"/>
  <c r="HG9" i="25"/>
  <c r="HF9" i="25"/>
  <c r="HE9" i="25"/>
  <c r="HD9" i="25"/>
  <c r="HC9" i="25"/>
  <c r="HB9" i="25"/>
  <c r="HA9" i="25"/>
  <c r="GZ9" i="25"/>
  <c r="GY9" i="25"/>
  <c r="GX9" i="25"/>
  <c r="GW9" i="25"/>
  <c r="GV9" i="25"/>
  <c r="GU9" i="25"/>
  <c r="GT9" i="25"/>
  <c r="GS9" i="25"/>
  <c r="GR9" i="25"/>
  <c r="GQ9" i="25"/>
  <c r="GP9" i="25"/>
  <c r="GO9" i="25"/>
  <c r="GN9" i="25"/>
  <c r="GM9" i="25"/>
  <c r="GL9" i="25"/>
  <c r="GK9" i="25"/>
  <c r="GJ9" i="25"/>
  <c r="GI9" i="25"/>
  <c r="GH9" i="25"/>
  <c r="GG9" i="25"/>
  <c r="GF9" i="25"/>
  <c r="GE9" i="25"/>
  <c r="GD9" i="25"/>
  <c r="GC9" i="25"/>
  <c r="GB9" i="25"/>
  <c r="GA9" i="25"/>
  <c r="FZ9" i="25"/>
  <c r="FY9" i="25"/>
  <c r="FX9" i="25"/>
  <c r="FW9" i="25"/>
  <c r="FV9" i="25"/>
  <c r="FU9" i="25"/>
  <c r="FT9" i="25"/>
  <c r="FS9" i="25"/>
  <c r="FR9" i="25"/>
  <c r="FQ9" i="25"/>
  <c r="FP9" i="25"/>
  <c r="FO9" i="25"/>
  <c r="FN9" i="25"/>
  <c r="FM9" i="25"/>
  <c r="FL9" i="25"/>
  <c r="FK9" i="25"/>
  <c r="FJ9" i="25"/>
  <c r="FI9" i="25"/>
  <c r="FH9" i="25"/>
  <c r="FG9" i="25"/>
  <c r="FF9" i="25"/>
  <c r="FE9" i="25"/>
  <c r="FD9" i="25"/>
  <c r="FC9" i="25"/>
  <c r="FB9" i="25"/>
  <c r="FA9" i="25"/>
  <c r="EZ9" i="25"/>
  <c r="EY9" i="25"/>
  <c r="EX9" i="25"/>
  <c r="EW9" i="25"/>
  <c r="EV9" i="25"/>
  <c r="EU9" i="25"/>
  <c r="ET9" i="25"/>
  <c r="ES9" i="25"/>
  <c r="ER9" i="25"/>
  <c r="EQ9" i="25"/>
  <c r="EP9" i="25"/>
  <c r="EO9" i="25"/>
  <c r="EN9" i="25"/>
  <c r="EM9" i="25"/>
  <c r="EL9" i="25"/>
  <c r="EK9" i="25"/>
  <c r="EJ9" i="25"/>
  <c r="EI9" i="25"/>
  <c r="EH9" i="25"/>
  <c r="EG9" i="25"/>
  <c r="EF9" i="25"/>
  <c r="EE9" i="25"/>
  <c r="ED9" i="25"/>
  <c r="EC9" i="25"/>
  <c r="EB9" i="25"/>
  <c r="EA9" i="25"/>
  <c r="DZ9" i="25"/>
  <c r="DY9" i="25"/>
  <c r="DX9" i="25"/>
  <c r="DW9" i="25"/>
  <c r="DV9" i="25"/>
  <c r="DU9" i="25"/>
  <c r="DT9" i="25"/>
  <c r="DS9" i="25"/>
  <c r="DR9" i="25"/>
  <c r="DQ9" i="25"/>
  <c r="DP9" i="25"/>
  <c r="DO9" i="25"/>
  <c r="DN9" i="25"/>
  <c r="DM9" i="25"/>
  <c r="DL9" i="25"/>
  <c r="DK9" i="25"/>
  <c r="DJ9" i="25"/>
  <c r="DI9" i="25"/>
  <c r="DH9" i="25"/>
  <c r="DG9" i="25"/>
  <c r="DF9" i="25"/>
  <c r="DE9" i="25"/>
  <c r="DD9" i="25"/>
  <c r="DC9" i="25"/>
  <c r="DB9" i="25"/>
  <c r="DA9" i="25"/>
  <c r="CZ9" i="25"/>
  <c r="CY9" i="25"/>
  <c r="CX9" i="25"/>
  <c r="CW9" i="25"/>
  <c r="CV9" i="25"/>
  <c r="CU9" i="25"/>
  <c r="CT9" i="25"/>
  <c r="CS9" i="25"/>
  <c r="CR9" i="25"/>
  <c r="CQ9" i="25"/>
  <c r="CP9" i="25"/>
  <c r="CO9" i="25"/>
  <c r="CN9" i="25"/>
  <c r="CM9" i="25"/>
  <c r="CL9" i="25"/>
  <c r="CK9" i="25"/>
  <c r="CJ9" i="25"/>
  <c r="CI9" i="25"/>
  <c r="CH9" i="25"/>
  <c r="CG9" i="25"/>
  <c r="CF9" i="25"/>
  <c r="CE9" i="25"/>
  <c r="CD9" i="25"/>
  <c r="CC9" i="25"/>
  <c r="CB9" i="25"/>
  <c r="CA9" i="25"/>
  <c r="BZ9" i="25"/>
  <c r="BY9" i="25"/>
  <c r="BX9" i="25"/>
  <c r="BW9" i="25"/>
  <c r="BV9" i="25"/>
  <c r="BU9" i="25"/>
  <c r="BT9" i="25"/>
  <c r="BS9" i="25"/>
  <c r="BR9" i="25"/>
  <c r="BQ9" i="25"/>
  <c r="BP9" i="25"/>
  <c r="BO9" i="25"/>
  <c r="BN9" i="25"/>
  <c r="BM9" i="25"/>
  <c r="BL9" i="25"/>
  <c r="BK9" i="25"/>
  <c r="BJ9" i="25"/>
  <c r="BI9" i="25"/>
  <c r="BH9" i="25"/>
  <c r="BG9" i="25"/>
  <c r="BF9" i="25"/>
  <c r="BE9" i="25"/>
  <c r="BD9" i="25"/>
  <c r="BC9" i="25"/>
  <c r="BB9" i="25"/>
  <c r="BA9" i="25"/>
  <c r="AZ9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B19" i="25" s="1"/>
  <c r="ACV8" i="25"/>
  <c r="ACU8" i="25"/>
  <c r="ACT8" i="25"/>
  <c r="ACS8" i="25"/>
  <c r="ACR8" i="25"/>
  <c r="ACQ8" i="25"/>
  <c r="ACP8" i="25"/>
  <c r="ACO8" i="25"/>
  <c r="ACN8" i="25"/>
  <c r="ACM8" i="25"/>
  <c r="ACL8" i="25"/>
  <c r="ACK8" i="25"/>
  <c r="ACJ8" i="25"/>
  <c r="ACI8" i="25"/>
  <c r="ACH8" i="25"/>
  <c r="ACG8" i="25"/>
  <c r="ACF8" i="25"/>
  <c r="ACE8" i="25"/>
  <c r="ACD8" i="25"/>
  <c r="ACC8" i="25"/>
  <c r="ACB8" i="25"/>
  <c r="ACA8" i="25"/>
  <c r="ABZ8" i="25"/>
  <c r="ABY8" i="25"/>
  <c r="ABX8" i="25"/>
  <c r="ABW8" i="25"/>
  <c r="ABV8" i="25"/>
  <c r="ABU8" i="25"/>
  <c r="ABT8" i="25"/>
  <c r="ABS8" i="25"/>
  <c r="ABR8" i="25"/>
  <c r="ABQ8" i="25"/>
  <c r="ABP8" i="25"/>
  <c r="ABO8" i="25"/>
  <c r="ABN8" i="25"/>
  <c r="ABM8" i="25"/>
  <c r="ABL8" i="25"/>
  <c r="ABK8" i="25"/>
  <c r="ABJ8" i="25"/>
  <c r="ABI8" i="25"/>
  <c r="ABH8" i="25"/>
  <c r="ABG8" i="25"/>
  <c r="ABF8" i="25"/>
  <c r="ABE8" i="25"/>
  <c r="ABD8" i="25"/>
  <c r="ABC8" i="25"/>
  <c r="ABB8" i="25"/>
  <c r="ABA8" i="25"/>
  <c r="AAZ8" i="25"/>
  <c r="AAY8" i="25"/>
  <c r="AAX8" i="25"/>
  <c r="AAW8" i="25"/>
  <c r="AAV8" i="25"/>
  <c r="AAU8" i="25"/>
  <c r="AAT8" i="25"/>
  <c r="AAS8" i="25"/>
  <c r="AAR8" i="25"/>
  <c r="AAQ8" i="25"/>
  <c r="AAP8" i="25"/>
  <c r="AAO8" i="25"/>
  <c r="AAN8" i="25"/>
  <c r="AAM8" i="25"/>
  <c r="AAL8" i="25"/>
  <c r="AAK8" i="25"/>
  <c r="AAJ8" i="25"/>
  <c r="AAI8" i="25"/>
  <c r="AAH8" i="25"/>
  <c r="AAG8" i="25"/>
  <c r="AAF8" i="25"/>
  <c r="AAE8" i="25"/>
  <c r="AAD8" i="25"/>
  <c r="AAC8" i="25"/>
  <c r="AAB8" i="25"/>
  <c r="AAA8" i="25"/>
  <c r="ZZ8" i="25"/>
  <c r="ZY8" i="25"/>
  <c r="ZX8" i="25"/>
  <c r="ZW8" i="25"/>
  <c r="ZV8" i="25"/>
  <c r="ZU8" i="25"/>
  <c r="ZT8" i="25"/>
  <c r="ZS8" i="25"/>
  <c r="ZR8" i="25"/>
  <c r="ZQ8" i="25"/>
  <c r="ZP8" i="25"/>
  <c r="ZO8" i="25"/>
  <c r="ZN8" i="25"/>
  <c r="ZM8" i="25"/>
  <c r="ZL8" i="25"/>
  <c r="ZK8" i="25"/>
  <c r="ZJ8" i="25"/>
  <c r="ZI8" i="25"/>
  <c r="ZH8" i="25"/>
  <c r="ZG8" i="25"/>
  <c r="ZF8" i="25"/>
  <c r="ZE8" i="25"/>
  <c r="ZD8" i="25"/>
  <c r="ZC8" i="25"/>
  <c r="ZB8" i="25"/>
  <c r="ZA8" i="25"/>
  <c r="YZ8" i="25"/>
  <c r="YY8" i="25"/>
  <c r="YX8" i="25"/>
  <c r="YW8" i="25"/>
  <c r="YV8" i="25"/>
  <c r="YU8" i="25"/>
  <c r="YT8" i="25"/>
  <c r="YS8" i="25"/>
  <c r="YR8" i="25"/>
  <c r="YQ8" i="25"/>
  <c r="YP8" i="25"/>
  <c r="YO8" i="25"/>
  <c r="YN8" i="25"/>
  <c r="YM8" i="25"/>
  <c r="YL8" i="25"/>
  <c r="YK8" i="25"/>
  <c r="YJ8" i="25"/>
  <c r="YI8" i="25"/>
  <c r="YH8" i="25"/>
  <c r="YG8" i="25"/>
  <c r="YF8" i="25"/>
  <c r="YE8" i="25"/>
  <c r="YD8" i="25"/>
  <c r="YC8" i="25"/>
  <c r="YB8" i="25"/>
  <c r="YA8" i="25"/>
  <c r="XZ8" i="25"/>
  <c r="XY8" i="25"/>
  <c r="XX8" i="25"/>
  <c r="XW8" i="25"/>
  <c r="XV8" i="25"/>
  <c r="XU8" i="25"/>
  <c r="XT8" i="25"/>
  <c r="XS8" i="25"/>
  <c r="XR8" i="25"/>
  <c r="XQ8" i="25"/>
  <c r="XP8" i="25"/>
  <c r="XO8" i="25"/>
  <c r="XN8" i="25"/>
  <c r="XM8" i="25"/>
  <c r="XL8" i="25"/>
  <c r="XK8" i="25"/>
  <c r="XJ8" i="25"/>
  <c r="XI8" i="25"/>
  <c r="XH8" i="25"/>
  <c r="XG8" i="25"/>
  <c r="XF8" i="25"/>
  <c r="XE8" i="25"/>
  <c r="XD8" i="25"/>
  <c r="XC8" i="25"/>
  <c r="XB8" i="25"/>
  <c r="XA8" i="25"/>
  <c r="WZ8" i="25"/>
  <c r="WY8" i="25"/>
  <c r="WX8" i="25"/>
  <c r="WW8" i="25"/>
  <c r="WV8" i="25"/>
  <c r="WU8" i="25"/>
  <c r="WT8" i="25"/>
  <c r="WS8" i="25"/>
  <c r="WR8" i="25"/>
  <c r="WQ8" i="25"/>
  <c r="WP8" i="25"/>
  <c r="WO8" i="25"/>
  <c r="WN8" i="25"/>
  <c r="WM8" i="25"/>
  <c r="WL8" i="25"/>
  <c r="WK8" i="25"/>
  <c r="WJ8" i="25"/>
  <c r="WI8" i="25"/>
  <c r="WH8" i="25"/>
  <c r="WG8" i="25"/>
  <c r="WF8" i="25"/>
  <c r="WE8" i="25"/>
  <c r="WD8" i="25"/>
  <c r="WC8" i="25"/>
  <c r="WB8" i="25"/>
  <c r="WA8" i="25"/>
  <c r="VZ8" i="25"/>
  <c r="VY8" i="25"/>
  <c r="VX8" i="25"/>
  <c r="VW8" i="25"/>
  <c r="VV8" i="25"/>
  <c r="VU8" i="25"/>
  <c r="VT8" i="25"/>
  <c r="VS8" i="25"/>
  <c r="VR8" i="25"/>
  <c r="VQ8" i="25"/>
  <c r="VP8" i="25"/>
  <c r="VO8" i="25"/>
  <c r="VN8" i="25"/>
  <c r="VM8" i="25"/>
  <c r="VL8" i="25"/>
  <c r="VK8" i="25"/>
  <c r="VJ8" i="25"/>
  <c r="VI8" i="25"/>
  <c r="VH8" i="25"/>
  <c r="VG8" i="25"/>
  <c r="VF8" i="25"/>
  <c r="VE8" i="25"/>
  <c r="VD8" i="25"/>
  <c r="VC8" i="25"/>
  <c r="VB8" i="25"/>
  <c r="VA8" i="25"/>
  <c r="UZ8" i="25"/>
  <c r="UY8" i="25"/>
  <c r="UX8" i="25"/>
  <c r="UW8" i="25"/>
  <c r="UV8" i="25"/>
  <c r="UU8" i="25"/>
  <c r="UT8" i="25"/>
  <c r="US8" i="25"/>
  <c r="UR8" i="25"/>
  <c r="UQ8" i="25"/>
  <c r="UP8" i="25"/>
  <c r="UO8" i="25"/>
  <c r="UN8" i="25"/>
  <c r="UM8" i="25"/>
  <c r="UL8" i="25"/>
  <c r="UK8" i="25"/>
  <c r="UJ8" i="25"/>
  <c r="UI8" i="25"/>
  <c r="UH8" i="25"/>
  <c r="UG8" i="25"/>
  <c r="UF8" i="25"/>
  <c r="UE8" i="25"/>
  <c r="UD8" i="25"/>
  <c r="UC8" i="25"/>
  <c r="UB8" i="25"/>
  <c r="UA8" i="25"/>
  <c r="TZ8" i="25"/>
  <c r="TY8" i="25"/>
  <c r="TX8" i="25"/>
  <c r="TW8" i="25"/>
  <c r="TV8" i="25"/>
  <c r="TU8" i="25"/>
  <c r="TT8" i="25"/>
  <c r="TS8" i="25"/>
  <c r="TR8" i="25"/>
  <c r="TQ8" i="25"/>
  <c r="TP8" i="25"/>
  <c r="TO8" i="25"/>
  <c r="TN8" i="25"/>
  <c r="TM8" i="25"/>
  <c r="TL8" i="25"/>
  <c r="TK8" i="25"/>
  <c r="TJ8" i="25"/>
  <c r="TI8" i="25"/>
  <c r="TH8" i="25"/>
  <c r="TG8" i="25"/>
  <c r="TF8" i="25"/>
  <c r="TE8" i="25"/>
  <c r="TD8" i="25"/>
  <c r="TC8" i="25"/>
  <c r="TB8" i="25"/>
  <c r="TA8" i="25"/>
  <c r="SZ8" i="25"/>
  <c r="SY8" i="25"/>
  <c r="SX8" i="25"/>
  <c r="SW8" i="25"/>
  <c r="SV8" i="25"/>
  <c r="SU8" i="25"/>
  <c r="ST8" i="25"/>
  <c r="SS8" i="25"/>
  <c r="SR8" i="25"/>
  <c r="SQ8" i="25"/>
  <c r="SP8" i="25"/>
  <c r="SO8" i="25"/>
  <c r="SN8" i="25"/>
  <c r="SM8" i="25"/>
  <c r="SL8" i="25"/>
  <c r="SK8" i="25"/>
  <c r="SJ8" i="25"/>
  <c r="SI8" i="25"/>
  <c r="SH8" i="25"/>
  <c r="SG8" i="25"/>
  <c r="SF8" i="25"/>
  <c r="SE8" i="25"/>
  <c r="SD8" i="25"/>
  <c r="SC8" i="25"/>
  <c r="SB8" i="25"/>
  <c r="SA8" i="25"/>
  <c r="RZ8" i="25"/>
  <c r="RY8" i="25"/>
  <c r="RX8" i="25"/>
  <c r="RW8" i="25"/>
  <c r="RV8" i="25"/>
  <c r="RU8" i="25"/>
  <c r="RT8" i="25"/>
  <c r="RS8" i="25"/>
  <c r="RR8" i="25"/>
  <c r="RQ8" i="25"/>
  <c r="RP8" i="25"/>
  <c r="RO8" i="25"/>
  <c r="RN8" i="25"/>
  <c r="RM8" i="25"/>
  <c r="RL8" i="25"/>
  <c r="RK8" i="25"/>
  <c r="RJ8" i="25"/>
  <c r="RI8" i="25"/>
  <c r="RH8" i="25"/>
  <c r="RG8" i="25"/>
  <c r="RF8" i="25"/>
  <c r="RE8" i="25"/>
  <c r="RD8" i="25"/>
  <c r="RC8" i="25"/>
  <c r="RB8" i="25"/>
  <c r="RA8" i="25"/>
  <c r="QZ8" i="25"/>
  <c r="QY8" i="25"/>
  <c r="QX8" i="25"/>
  <c r="QW8" i="25"/>
  <c r="QV8" i="25"/>
  <c r="QU8" i="25"/>
  <c r="QT8" i="25"/>
  <c r="QS8" i="25"/>
  <c r="QR8" i="25"/>
  <c r="QQ8" i="25"/>
  <c r="QP8" i="25"/>
  <c r="QO8" i="25"/>
  <c r="QN8" i="25"/>
  <c r="QM8" i="25"/>
  <c r="QL8" i="25"/>
  <c r="QK8" i="25"/>
  <c r="QJ8" i="25"/>
  <c r="QI8" i="25"/>
  <c r="QH8" i="25"/>
  <c r="QG8" i="25"/>
  <c r="QF8" i="25"/>
  <c r="QE8" i="25"/>
  <c r="QD8" i="25"/>
  <c r="QC8" i="25"/>
  <c r="QB8" i="25"/>
  <c r="QA8" i="25"/>
  <c r="PZ8" i="25"/>
  <c r="PY8" i="25"/>
  <c r="PX8" i="25"/>
  <c r="PW8" i="25"/>
  <c r="PV8" i="25"/>
  <c r="PU8" i="25"/>
  <c r="PT8" i="25"/>
  <c r="PS8" i="25"/>
  <c r="PR8" i="25"/>
  <c r="PQ8" i="25"/>
  <c r="PP8" i="25"/>
  <c r="PO8" i="25"/>
  <c r="PN8" i="25"/>
  <c r="PM8" i="25"/>
  <c r="PL8" i="25"/>
  <c r="PK8" i="25"/>
  <c r="PJ8" i="25"/>
  <c r="PI8" i="25"/>
  <c r="PH8" i="25"/>
  <c r="PG8" i="25"/>
  <c r="PF8" i="25"/>
  <c r="PE8" i="25"/>
  <c r="PD8" i="25"/>
  <c r="PC8" i="25"/>
  <c r="PB8" i="25"/>
  <c r="PA8" i="25"/>
  <c r="OZ8" i="25"/>
  <c r="OY8" i="25"/>
  <c r="OX8" i="25"/>
  <c r="OW8" i="25"/>
  <c r="OV8" i="25"/>
  <c r="OU8" i="25"/>
  <c r="OT8" i="25"/>
  <c r="OS8" i="25"/>
  <c r="OR8" i="25"/>
  <c r="OQ8" i="25"/>
  <c r="OP8" i="25"/>
  <c r="OO8" i="25"/>
  <c r="ON8" i="25"/>
  <c r="OM8" i="25"/>
  <c r="OL8" i="25"/>
  <c r="OK8" i="25"/>
  <c r="OJ8" i="25"/>
  <c r="OI8" i="25"/>
  <c r="OH8" i="25"/>
  <c r="OG8" i="25"/>
  <c r="OF8" i="25"/>
  <c r="OE8" i="25"/>
  <c r="OD8" i="25"/>
  <c r="OC8" i="25"/>
  <c r="OB8" i="25"/>
  <c r="OA8" i="25"/>
  <c r="NZ8" i="25"/>
  <c r="NY8" i="25"/>
  <c r="NX8" i="25"/>
  <c r="NW8" i="25"/>
  <c r="NV8" i="25"/>
  <c r="NU8" i="25"/>
  <c r="NT8" i="25"/>
  <c r="NS8" i="25"/>
  <c r="NR8" i="25"/>
  <c r="NQ8" i="25"/>
  <c r="NP8" i="25"/>
  <c r="NO8" i="25"/>
  <c r="NN8" i="25"/>
  <c r="NM8" i="25"/>
  <c r="NL8" i="25"/>
  <c r="NK8" i="25"/>
  <c r="NJ8" i="25"/>
  <c r="NI8" i="25"/>
  <c r="NH8" i="25"/>
  <c r="NG8" i="25"/>
  <c r="NF8" i="25"/>
  <c r="NE8" i="25"/>
  <c r="ND8" i="25"/>
  <c r="NC8" i="25"/>
  <c r="NB8" i="25"/>
  <c r="NA8" i="25"/>
  <c r="MZ8" i="25"/>
  <c r="MY8" i="25"/>
  <c r="MX8" i="25"/>
  <c r="MW8" i="25"/>
  <c r="MV8" i="25"/>
  <c r="MU8" i="25"/>
  <c r="MT8" i="25"/>
  <c r="MS8" i="25"/>
  <c r="MR8" i="25"/>
  <c r="MQ8" i="25"/>
  <c r="MP8" i="25"/>
  <c r="MO8" i="25"/>
  <c r="MN8" i="25"/>
  <c r="MM8" i="25"/>
  <c r="ML8" i="25"/>
  <c r="MK8" i="25"/>
  <c r="MJ8" i="25"/>
  <c r="MI8" i="25"/>
  <c r="MH8" i="25"/>
  <c r="MG8" i="25"/>
  <c r="MF8" i="25"/>
  <c r="ME8" i="25"/>
  <c r="MD8" i="25"/>
  <c r="MC8" i="25"/>
  <c r="MB8" i="25"/>
  <c r="MA8" i="25"/>
  <c r="LZ8" i="25"/>
  <c r="LY8" i="25"/>
  <c r="LX8" i="25"/>
  <c r="LW8" i="25"/>
  <c r="LV8" i="25"/>
  <c r="LU8" i="25"/>
  <c r="LT8" i="25"/>
  <c r="LS8" i="25"/>
  <c r="LR8" i="25"/>
  <c r="LQ8" i="25"/>
  <c r="LP8" i="25"/>
  <c r="LO8" i="25"/>
  <c r="LN8" i="25"/>
  <c r="LM8" i="25"/>
  <c r="LL8" i="25"/>
  <c r="LK8" i="25"/>
  <c r="LJ8" i="25"/>
  <c r="LI8" i="25"/>
  <c r="LH8" i="25"/>
  <c r="LG8" i="25"/>
  <c r="LF8" i="25"/>
  <c r="LE8" i="25"/>
  <c r="LD8" i="25"/>
  <c r="LC8" i="25"/>
  <c r="LB8" i="25"/>
  <c r="LA8" i="25"/>
  <c r="KZ8" i="25"/>
  <c r="KY8" i="25"/>
  <c r="KX8" i="25"/>
  <c r="KW8" i="25"/>
  <c r="KV8" i="25"/>
  <c r="KU8" i="25"/>
  <c r="KT8" i="25"/>
  <c r="KS8" i="25"/>
  <c r="KR8" i="25"/>
  <c r="KQ8" i="25"/>
  <c r="KP8" i="25"/>
  <c r="KO8" i="25"/>
  <c r="KN8" i="25"/>
  <c r="KM8" i="25"/>
  <c r="KL8" i="25"/>
  <c r="KK8" i="25"/>
  <c r="KJ8" i="25"/>
  <c r="KI8" i="25"/>
  <c r="KH8" i="25"/>
  <c r="KG8" i="25"/>
  <c r="KF8" i="25"/>
  <c r="KE8" i="25"/>
  <c r="KD8" i="25"/>
  <c r="KC8" i="25"/>
  <c r="KB8" i="25"/>
  <c r="KA8" i="25"/>
  <c r="JZ8" i="25"/>
  <c r="JY8" i="25"/>
  <c r="JX8" i="25"/>
  <c r="JW8" i="25"/>
  <c r="JV8" i="25"/>
  <c r="JU8" i="25"/>
  <c r="JT8" i="25"/>
  <c r="JS8" i="25"/>
  <c r="JR8" i="25"/>
  <c r="JQ8" i="25"/>
  <c r="JP8" i="25"/>
  <c r="JO8" i="25"/>
  <c r="JN8" i="25"/>
  <c r="JM8" i="25"/>
  <c r="JL8" i="25"/>
  <c r="JK8" i="25"/>
  <c r="JJ8" i="25"/>
  <c r="JI8" i="25"/>
  <c r="JH8" i="25"/>
  <c r="JG8" i="25"/>
  <c r="JF8" i="25"/>
  <c r="JE8" i="25"/>
  <c r="JD8" i="25"/>
  <c r="JC8" i="25"/>
  <c r="JB8" i="25"/>
  <c r="JA8" i="25"/>
  <c r="IZ8" i="25"/>
  <c r="IY8" i="25"/>
  <c r="IX8" i="25"/>
  <c r="IW8" i="25"/>
  <c r="IV8" i="25"/>
  <c r="IU8" i="25"/>
  <c r="IT8" i="25"/>
  <c r="IS8" i="25"/>
  <c r="IR8" i="25"/>
  <c r="IQ8" i="25"/>
  <c r="IP8" i="25"/>
  <c r="IO8" i="25"/>
  <c r="IN8" i="25"/>
  <c r="IM8" i="25"/>
  <c r="IL8" i="25"/>
  <c r="IK8" i="25"/>
  <c r="IJ8" i="25"/>
  <c r="II8" i="25"/>
  <c r="IH8" i="25"/>
  <c r="IG8" i="25"/>
  <c r="IF8" i="25"/>
  <c r="IE8" i="25"/>
  <c r="ID8" i="25"/>
  <c r="IC8" i="25"/>
  <c r="IB8" i="25"/>
  <c r="IA8" i="25"/>
  <c r="HZ8" i="25"/>
  <c r="HY8" i="25"/>
  <c r="HX8" i="25"/>
  <c r="HW8" i="25"/>
  <c r="HV8" i="25"/>
  <c r="HU8" i="25"/>
  <c r="HT8" i="25"/>
  <c r="HS8" i="25"/>
  <c r="HR8" i="25"/>
  <c r="HQ8" i="25"/>
  <c r="HP8" i="25"/>
  <c r="HO8" i="25"/>
  <c r="HN8" i="25"/>
  <c r="HM8" i="25"/>
  <c r="HL8" i="25"/>
  <c r="HK8" i="25"/>
  <c r="HJ8" i="25"/>
  <c r="HI8" i="25"/>
  <c r="HH8" i="25"/>
  <c r="HG8" i="25"/>
  <c r="HF8" i="25"/>
  <c r="HE8" i="25"/>
  <c r="HD8" i="25"/>
  <c r="HC8" i="25"/>
  <c r="HB8" i="25"/>
  <c r="HA8" i="25"/>
  <c r="GZ8" i="25"/>
  <c r="GY8" i="25"/>
  <c r="GX8" i="25"/>
  <c r="GW8" i="25"/>
  <c r="GV8" i="25"/>
  <c r="GU8" i="25"/>
  <c r="GT8" i="25"/>
  <c r="GS8" i="25"/>
  <c r="GR8" i="25"/>
  <c r="GQ8" i="25"/>
  <c r="GP8" i="25"/>
  <c r="GO8" i="25"/>
  <c r="GN8" i="25"/>
  <c r="GM8" i="25"/>
  <c r="GL8" i="25"/>
  <c r="GK8" i="25"/>
  <c r="GJ8" i="25"/>
  <c r="GI8" i="25"/>
  <c r="GH8" i="25"/>
  <c r="GG8" i="25"/>
  <c r="GF8" i="25"/>
  <c r="GE8" i="25"/>
  <c r="GD8" i="25"/>
  <c r="GC8" i="25"/>
  <c r="GB8" i="25"/>
  <c r="GA8" i="25"/>
  <c r="FZ8" i="25"/>
  <c r="FY8" i="25"/>
  <c r="FX8" i="25"/>
  <c r="FW8" i="25"/>
  <c r="FV8" i="25"/>
  <c r="FU8" i="25"/>
  <c r="FT8" i="25"/>
  <c r="FS8" i="25"/>
  <c r="FR8" i="25"/>
  <c r="FQ8" i="25"/>
  <c r="FP8" i="25"/>
  <c r="FO8" i="25"/>
  <c r="FN8" i="25"/>
  <c r="FM8" i="25"/>
  <c r="FL8" i="25"/>
  <c r="FK8" i="25"/>
  <c r="FJ8" i="25"/>
  <c r="FI8" i="25"/>
  <c r="FH8" i="25"/>
  <c r="FG8" i="25"/>
  <c r="FF8" i="25"/>
  <c r="FE8" i="25"/>
  <c r="FD8" i="25"/>
  <c r="FC8" i="25"/>
  <c r="FB8" i="25"/>
  <c r="FA8" i="25"/>
  <c r="EZ8" i="25"/>
  <c r="EY8" i="25"/>
  <c r="EX8" i="25"/>
  <c r="EW8" i="25"/>
  <c r="EV8" i="25"/>
  <c r="EU8" i="25"/>
  <c r="ET8" i="25"/>
  <c r="ES8" i="25"/>
  <c r="ER8" i="25"/>
  <c r="EQ8" i="25"/>
  <c r="EP8" i="25"/>
  <c r="EO8" i="25"/>
  <c r="EN8" i="25"/>
  <c r="EM8" i="25"/>
  <c r="EL8" i="25"/>
  <c r="EK8" i="25"/>
  <c r="EJ8" i="25"/>
  <c r="EI8" i="25"/>
  <c r="EH8" i="25"/>
  <c r="EG8" i="25"/>
  <c r="EF8" i="25"/>
  <c r="EE8" i="25"/>
  <c r="ED8" i="25"/>
  <c r="EC8" i="25"/>
  <c r="EB8" i="25"/>
  <c r="EA8" i="25"/>
  <c r="DZ8" i="25"/>
  <c r="DY8" i="25"/>
  <c r="DX8" i="25"/>
  <c r="DW8" i="25"/>
  <c r="DV8" i="25"/>
  <c r="DU8" i="25"/>
  <c r="DT8" i="25"/>
  <c r="DS8" i="25"/>
  <c r="DR8" i="25"/>
  <c r="DQ8" i="25"/>
  <c r="DP8" i="25"/>
  <c r="DO8" i="25"/>
  <c r="DN8" i="25"/>
  <c r="DM8" i="25"/>
  <c r="DL8" i="25"/>
  <c r="DK8" i="25"/>
  <c r="DJ8" i="25"/>
  <c r="DI8" i="25"/>
  <c r="DH8" i="25"/>
  <c r="DG8" i="25"/>
  <c r="DF8" i="25"/>
  <c r="DE8" i="25"/>
  <c r="DD8" i="25"/>
  <c r="DC8" i="25"/>
  <c r="DB8" i="25"/>
  <c r="DA8" i="25"/>
  <c r="CZ8" i="25"/>
  <c r="CY8" i="25"/>
  <c r="CX8" i="25"/>
  <c r="CW8" i="25"/>
  <c r="CV8" i="25"/>
  <c r="CU8" i="25"/>
  <c r="CT8" i="25"/>
  <c r="CS8" i="25"/>
  <c r="CR8" i="25"/>
  <c r="CQ8" i="25"/>
  <c r="CP8" i="25"/>
  <c r="CO8" i="25"/>
  <c r="CN8" i="25"/>
  <c r="CM8" i="25"/>
  <c r="CL8" i="25"/>
  <c r="CK8" i="25"/>
  <c r="CJ8" i="25"/>
  <c r="CI8" i="25"/>
  <c r="CH8" i="25"/>
  <c r="CG8" i="25"/>
  <c r="CF8" i="25"/>
  <c r="CE8" i="25"/>
  <c r="CD8" i="25"/>
  <c r="CC8" i="25"/>
  <c r="CB8" i="25"/>
  <c r="CA8" i="25"/>
  <c r="BZ8" i="25"/>
  <c r="BY8" i="25"/>
  <c r="BX8" i="25"/>
  <c r="BW8" i="25"/>
  <c r="BV8" i="25"/>
  <c r="BU8" i="25"/>
  <c r="BT8" i="25"/>
  <c r="BS8" i="25"/>
  <c r="BR8" i="25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ACV7" i="25"/>
  <c r="ACU7" i="25"/>
  <c r="ACT7" i="25"/>
  <c r="ACS7" i="25"/>
  <c r="ACR7" i="25"/>
  <c r="ACQ7" i="25"/>
  <c r="ACP7" i="25"/>
  <c r="ACO7" i="25"/>
  <c r="ACN7" i="25"/>
  <c r="ACM7" i="25"/>
  <c r="ACL7" i="25"/>
  <c r="ACK7" i="25"/>
  <c r="ACJ7" i="25"/>
  <c r="ACI7" i="25"/>
  <c r="ACH7" i="25"/>
  <c r="ACG7" i="25"/>
  <c r="ACF7" i="25"/>
  <c r="ACE7" i="25"/>
  <c r="ACD7" i="25"/>
  <c r="ACC7" i="25"/>
  <c r="ACB7" i="25"/>
  <c r="ACA7" i="25"/>
  <c r="ABZ7" i="25"/>
  <c r="ABY7" i="25"/>
  <c r="ABX7" i="25"/>
  <c r="ABW7" i="25"/>
  <c r="ABV7" i="25"/>
  <c r="ABU7" i="25"/>
  <c r="ABT7" i="25"/>
  <c r="ABS7" i="25"/>
  <c r="ABR7" i="25"/>
  <c r="ABQ7" i="25"/>
  <c r="ABP7" i="25"/>
  <c r="ABO7" i="25"/>
  <c r="ABN7" i="25"/>
  <c r="ABM7" i="25"/>
  <c r="ABL7" i="25"/>
  <c r="ABK7" i="25"/>
  <c r="ABJ7" i="25"/>
  <c r="ABI7" i="25"/>
  <c r="ABH7" i="25"/>
  <c r="ABG7" i="25"/>
  <c r="ABF7" i="25"/>
  <c r="ABE7" i="25"/>
  <c r="ABD7" i="25"/>
  <c r="ABC7" i="25"/>
  <c r="ABB7" i="25"/>
  <c r="ABA7" i="25"/>
  <c r="AAZ7" i="25"/>
  <c r="AAY7" i="25"/>
  <c r="AAX7" i="25"/>
  <c r="AAW7" i="25"/>
  <c r="AAV7" i="25"/>
  <c r="AAU7" i="25"/>
  <c r="AAT7" i="25"/>
  <c r="AAS7" i="25"/>
  <c r="AAR7" i="25"/>
  <c r="AAQ7" i="25"/>
  <c r="AAP7" i="25"/>
  <c r="AAO7" i="25"/>
  <c r="AAN7" i="25"/>
  <c r="AAM7" i="25"/>
  <c r="AAL7" i="25"/>
  <c r="AAK7" i="25"/>
  <c r="AAJ7" i="25"/>
  <c r="AAI7" i="25"/>
  <c r="AAH7" i="25"/>
  <c r="AAG7" i="25"/>
  <c r="AAF7" i="25"/>
  <c r="AAE7" i="25"/>
  <c r="AAD7" i="25"/>
  <c r="AAC7" i="25"/>
  <c r="AAB7" i="25"/>
  <c r="AAA7" i="25"/>
  <c r="ZZ7" i="25"/>
  <c r="ZY7" i="25"/>
  <c r="ZX7" i="25"/>
  <c r="ZW7" i="25"/>
  <c r="ZV7" i="25"/>
  <c r="ZU7" i="25"/>
  <c r="ZT7" i="25"/>
  <c r="ZS7" i="25"/>
  <c r="ZR7" i="25"/>
  <c r="ZQ7" i="25"/>
  <c r="ZP7" i="25"/>
  <c r="ZO7" i="25"/>
  <c r="ZN7" i="25"/>
  <c r="ZM7" i="25"/>
  <c r="ZL7" i="25"/>
  <c r="ZK7" i="25"/>
  <c r="ZJ7" i="25"/>
  <c r="ZI7" i="25"/>
  <c r="ZH7" i="25"/>
  <c r="ZG7" i="25"/>
  <c r="ZF7" i="25"/>
  <c r="ZE7" i="25"/>
  <c r="ZD7" i="25"/>
  <c r="ZC7" i="25"/>
  <c r="ZB7" i="25"/>
  <c r="ZA7" i="25"/>
  <c r="YZ7" i="25"/>
  <c r="YY7" i="25"/>
  <c r="YX7" i="25"/>
  <c r="YW7" i="25"/>
  <c r="YV7" i="25"/>
  <c r="YU7" i="25"/>
  <c r="YT7" i="25"/>
  <c r="YS7" i="25"/>
  <c r="YR7" i="25"/>
  <c r="YQ7" i="25"/>
  <c r="YP7" i="25"/>
  <c r="YO7" i="25"/>
  <c r="YN7" i="25"/>
  <c r="YM7" i="25"/>
  <c r="YL7" i="25"/>
  <c r="YK7" i="25"/>
  <c r="YJ7" i="25"/>
  <c r="YI7" i="25"/>
  <c r="YH7" i="25"/>
  <c r="YG7" i="25"/>
  <c r="YF7" i="25"/>
  <c r="YE7" i="25"/>
  <c r="YD7" i="25"/>
  <c r="YC7" i="25"/>
  <c r="YB7" i="25"/>
  <c r="YA7" i="25"/>
  <c r="XZ7" i="25"/>
  <c r="XY7" i="25"/>
  <c r="XX7" i="25"/>
  <c r="XW7" i="25"/>
  <c r="XV7" i="25"/>
  <c r="XU7" i="25"/>
  <c r="XT7" i="25"/>
  <c r="XS7" i="25"/>
  <c r="XR7" i="25"/>
  <c r="XQ7" i="25"/>
  <c r="XP7" i="25"/>
  <c r="XO7" i="25"/>
  <c r="XN7" i="25"/>
  <c r="XM7" i="25"/>
  <c r="XL7" i="25"/>
  <c r="XK7" i="25"/>
  <c r="XJ7" i="25"/>
  <c r="XI7" i="25"/>
  <c r="XH7" i="25"/>
  <c r="XG7" i="25"/>
  <c r="XF7" i="25"/>
  <c r="XE7" i="25"/>
  <c r="XD7" i="25"/>
  <c r="XC7" i="25"/>
  <c r="XB7" i="25"/>
  <c r="XA7" i="25"/>
  <c r="WZ7" i="25"/>
  <c r="WY7" i="25"/>
  <c r="WX7" i="25"/>
  <c r="WW7" i="25"/>
  <c r="WV7" i="25"/>
  <c r="WU7" i="25"/>
  <c r="WT7" i="25"/>
  <c r="WS7" i="25"/>
  <c r="WR7" i="25"/>
  <c r="WQ7" i="25"/>
  <c r="WP7" i="25"/>
  <c r="WO7" i="25"/>
  <c r="WN7" i="25"/>
  <c r="WM7" i="25"/>
  <c r="WL7" i="25"/>
  <c r="WK7" i="25"/>
  <c r="WJ7" i="25"/>
  <c r="WI7" i="25"/>
  <c r="WH7" i="25"/>
  <c r="WG7" i="25"/>
  <c r="WF7" i="25"/>
  <c r="WE7" i="25"/>
  <c r="WD7" i="25"/>
  <c r="WC7" i="25"/>
  <c r="WB7" i="25"/>
  <c r="WA7" i="25"/>
  <c r="VZ7" i="25"/>
  <c r="VY7" i="25"/>
  <c r="VX7" i="25"/>
  <c r="VW7" i="25"/>
  <c r="VV7" i="25"/>
  <c r="VU7" i="25"/>
  <c r="VT7" i="25"/>
  <c r="VS7" i="25"/>
  <c r="VR7" i="25"/>
  <c r="VQ7" i="25"/>
  <c r="VP7" i="25"/>
  <c r="VO7" i="25"/>
  <c r="VN7" i="25"/>
  <c r="VM7" i="25"/>
  <c r="VL7" i="25"/>
  <c r="VK7" i="25"/>
  <c r="VJ7" i="25"/>
  <c r="VI7" i="25"/>
  <c r="VH7" i="25"/>
  <c r="VG7" i="25"/>
  <c r="VF7" i="25"/>
  <c r="VE7" i="25"/>
  <c r="VD7" i="25"/>
  <c r="VC7" i="25"/>
  <c r="VB7" i="25"/>
  <c r="VA7" i="25"/>
  <c r="UZ7" i="25"/>
  <c r="UY7" i="25"/>
  <c r="UX7" i="25"/>
  <c r="UW7" i="25"/>
  <c r="UV7" i="25"/>
  <c r="UU7" i="25"/>
  <c r="UT7" i="25"/>
  <c r="US7" i="25"/>
  <c r="UR7" i="25"/>
  <c r="UQ7" i="25"/>
  <c r="UP7" i="25"/>
  <c r="UO7" i="25"/>
  <c r="UN7" i="25"/>
  <c r="UM7" i="25"/>
  <c r="UL7" i="25"/>
  <c r="UK7" i="25"/>
  <c r="UJ7" i="25"/>
  <c r="UI7" i="25"/>
  <c r="UH7" i="25"/>
  <c r="UG7" i="25"/>
  <c r="UF7" i="25"/>
  <c r="UE7" i="25"/>
  <c r="UD7" i="25"/>
  <c r="UC7" i="25"/>
  <c r="UB7" i="25"/>
  <c r="UA7" i="25"/>
  <c r="TZ7" i="25"/>
  <c r="TY7" i="25"/>
  <c r="TX7" i="25"/>
  <c r="TW7" i="25"/>
  <c r="TV7" i="25"/>
  <c r="TU7" i="25"/>
  <c r="TT7" i="25"/>
  <c r="TS7" i="25"/>
  <c r="TR7" i="25"/>
  <c r="TQ7" i="25"/>
  <c r="TP7" i="25"/>
  <c r="TO7" i="25"/>
  <c r="TN7" i="25"/>
  <c r="TM7" i="25"/>
  <c r="TL7" i="25"/>
  <c r="TK7" i="25"/>
  <c r="TJ7" i="25"/>
  <c r="TI7" i="25"/>
  <c r="TH7" i="25"/>
  <c r="TG7" i="25"/>
  <c r="TF7" i="25"/>
  <c r="TE7" i="25"/>
  <c r="TD7" i="25"/>
  <c r="TC7" i="25"/>
  <c r="TB7" i="25"/>
  <c r="TA7" i="25"/>
  <c r="SZ7" i="25"/>
  <c r="SY7" i="25"/>
  <c r="SX7" i="25"/>
  <c r="SW7" i="25"/>
  <c r="SV7" i="25"/>
  <c r="SU7" i="25"/>
  <c r="ST7" i="25"/>
  <c r="SS7" i="25"/>
  <c r="SR7" i="25"/>
  <c r="SQ7" i="25"/>
  <c r="SP7" i="25"/>
  <c r="SO7" i="25"/>
  <c r="SN7" i="25"/>
  <c r="SM7" i="25"/>
  <c r="SL7" i="25"/>
  <c r="SK7" i="25"/>
  <c r="SJ7" i="25"/>
  <c r="SI7" i="25"/>
  <c r="SH7" i="25"/>
  <c r="SG7" i="25"/>
  <c r="SF7" i="25"/>
  <c r="SE7" i="25"/>
  <c r="SD7" i="25"/>
  <c r="SC7" i="25"/>
  <c r="SB7" i="25"/>
  <c r="SA7" i="25"/>
  <c r="RZ7" i="25"/>
  <c r="RY7" i="25"/>
  <c r="RX7" i="25"/>
  <c r="RW7" i="25"/>
  <c r="RV7" i="25"/>
  <c r="RU7" i="25"/>
  <c r="RT7" i="25"/>
  <c r="RS7" i="25"/>
  <c r="RR7" i="25"/>
  <c r="RQ7" i="25"/>
  <c r="RP7" i="25"/>
  <c r="RO7" i="25"/>
  <c r="RN7" i="25"/>
  <c r="RM7" i="25"/>
  <c r="RL7" i="25"/>
  <c r="RK7" i="25"/>
  <c r="RJ7" i="25"/>
  <c r="RI7" i="25"/>
  <c r="RH7" i="25"/>
  <c r="RG7" i="25"/>
  <c r="RF7" i="25"/>
  <c r="RE7" i="25"/>
  <c r="RD7" i="25"/>
  <c r="RC7" i="25"/>
  <c r="RB7" i="25"/>
  <c r="RA7" i="25"/>
  <c r="QZ7" i="25"/>
  <c r="QY7" i="25"/>
  <c r="QX7" i="25"/>
  <c r="QW7" i="25"/>
  <c r="QV7" i="25"/>
  <c r="QU7" i="25"/>
  <c r="QT7" i="25"/>
  <c r="QS7" i="25"/>
  <c r="QR7" i="25"/>
  <c r="QQ7" i="25"/>
  <c r="QP7" i="25"/>
  <c r="QO7" i="25"/>
  <c r="QN7" i="25"/>
  <c r="QM7" i="25"/>
  <c r="QL7" i="25"/>
  <c r="QK7" i="25"/>
  <c r="QJ7" i="25"/>
  <c r="QI7" i="25"/>
  <c r="QH7" i="25"/>
  <c r="QG7" i="25"/>
  <c r="QF7" i="25"/>
  <c r="QE7" i="25"/>
  <c r="QD7" i="25"/>
  <c r="QC7" i="25"/>
  <c r="QB7" i="25"/>
  <c r="QA7" i="25"/>
  <c r="PZ7" i="25"/>
  <c r="PY7" i="25"/>
  <c r="PX7" i="25"/>
  <c r="PW7" i="25"/>
  <c r="PV7" i="25"/>
  <c r="PU7" i="25"/>
  <c r="PT7" i="25"/>
  <c r="PS7" i="25"/>
  <c r="PR7" i="25"/>
  <c r="PQ7" i="25"/>
  <c r="PP7" i="25"/>
  <c r="PO7" i="25"/>
  <c r="PN7" i="25"/>
  <c r="PM7" i="25"/>
  <c r="PL7" i="25"/>
  <c r="PK7" i="25"/>
  <c r="PJ7" i="25"/>
  <c r="PI7" i="25"/>
  <c r="PH7" i="25"/>
  <c r="PG7" i="25"/>
  <c r="PF7" i="25"/>
  <c r="PE7" i="25"/>
  <c r="PD7" i="25"/>
  <c r="PC7" i="25"/>
  <c r="PB7" i="25"/>
  <c r="PA7" i="25"/>
  <c r="OZ7" i="25"/>
  <c r="OY7" i="25"/>
  <c r="OX7" i="25"/>
  <c r="OW7" i="25"/>
  <c r="OV7" i="25"/>
  <c r="OU7" i="25"/>
  <c r="OT7" i="25"/>
  <c r="OS7" i="25"/>
  <c r="OR7" i="25"/>
  <c r="OQ7" i="25"/>
  <c r="OP7" i="25"/>
  <c r="OO7" i="25"/>
  <c r="ON7" i="25"/>
  <c r="OM7" i="25"/>
  <c r="OL7" i="25"/>
  <c r="OK7" i="25"/>
  <c r="OJ7" i="25"/>
  <c r="OI7" i="25"/>
  <c r="OH7" i="25"/>
  <c r="OG7" i="25"/>
  <c r="OF7" i="25"/>
  <c r="OE7" i="25"/>
  <c r="OD7" i="25"/>
  <c r="OC7" i="25"/>
  <c r="OB7" i="25"/>
  <c r="OA7" i="25"/>
  <c r="NZ7" i="25"/>
  <c r="NY7" i="25"/>
  <c r="NX7" i="25"/>
  <c r="NW7" i="25"/>
  <c r="NV7" i="25"/>
  <c r="NU7" i="25"/>
  <c r="NT7" i="25"/>
  <c r="NS7" i="25"/>
  <c r="NR7" i="25"/>
  <c r="NQ7" i="25"/>
  <c r="NP7" i="25"/>
  <c r="NO7" i="25"/>
  <c r="NN7" i="25"/>
  <c r="NM7" i="25"/>
  <c r="NL7" i="25"/>
  <c r="NK7" i="25"/>
  <c r="NJ7" i="25"/>
  <c r="NI7" i="25"/>
  <c r="NH7" i="25"/>
  <c r="NG7" i="25"/>
  <c r="NF7" i="25"/>
  <c r="NE7" i="25"/>
  <c r="ND7" i="25"/>
  <c r="NC7" i="25"/>
  <c r="NB7" i="25"/>
  <c r="NA7" i="25"/>
  <c r="MZ7" i="25"/>
  <c r="MY7" i="25"/>
  <c r="MX7" i="25"/>
  <c r="MW7" i="25"/>
  <c r="MV7" i="25"/>
  <c r="MU7" i="25"/>
  <c r="MT7" i="25"/>
  <c r="MS7" i="25"/>
  <c r="MR7" i="25"/>
  <c r="MQ7" i="25"/>
  <c r="MP7" i="25"/>
  <c r="MO7" i="25"/>
  <c r="MN7" i="25"/>
  <c r="MM7" i="25"/>
  <c r="ML7" i="25"/>
  <c r="MK7" i="25"/>
  <c r="MJ7" i="25"/>
  <c r="MI7" i="25"/>
  <c r="MH7" i="25"/>
  <c r="MG7" i="25"/>
  <c r="MF7" i="25"/>
  <c r="ME7" i="25"/>
  <c r="MD7" i="25"/>
  <c r="MC7" i="25"/>
  <c r="MB7" i="25"/>
  <c r="MA7" i="25"/>
  <c r="LZ7" i="25"/>
  <c r="LY7" i="25"/>
  <c r="LX7" i="25"/>
  <c r="LW7" i="25"/>
  <c r="LV7" i="25"/>
  <c r="LU7" i="25"/>
  <c r="LT7" i="25"/>
  <c r="LS7" i="25"/>
  <c r="LR7" i="25"/>
  <c r="LQ7" i="25"/>
  <c r="LP7" i="25"/>
  <c r="LO7" i="25"/>
  <c r="LN7" i="25"/>
  <c r="LM7" i="25"/>
  <c r="LL7" i="25"/>
  <c r="LK7" i="25"/>
  <c r="LJ7" i="25"/>
  <c r="LI7" i="25"/>
  <c r="LH7" i="25"/>
  <c r="LG7" i="25"/>
  <c r="LF7" i="25"/>
  <c r="LE7" i="25"/>
  <c r="LD7" i="25"/>
  <c r="LC7" i="25"/>
  <c r="LB7" i="25"/>
  <c r="LA7" i="25"/>
  <c r="KZ7" i="25"/>
  <c r="KY7" i="25"/>
  <c r="KX7" i="25"/>
  <c r="KW7" i="25"/>
  <c r="KV7" i="25"/>
  <c r="KU7" i="25"/>
  <c r="KT7" i="25"/>
  <c r="KS7" i="25"/>
  <c r="KR7" i="25"/>
  <c r="KQ7" i="25"/>
  <c r="KP7" i="25"/>
  <c r="KO7" i="25"/>
  <c r="KN7" i="25"/>
  <c r="KM7" i="25"/>
  <c r="KL7" i="25"/>
  <c r="KK7" i="25"/>
  <c r="KJ7" i="25"/>
  <c r="KI7" i="25"/>
  <c r="KH7" i="25"/>
  <c r="KG7" i="25"/>
  <c r="KF7" i="25"/>
  <c r="KE7" i="25"/>
  <c r="KD7" i="25"/>
  <c r="KC7" i="25"/>
  <c r="KB7" i="25"/>
  <c r="KA7" i="25"/>
  <c r="JZ7" i="25"/>
  <c r="JY7" i="25"/>
  <c r="JX7" i="25"/>
  <c r="JW7" i="25"/>
  <c r="JV7" i="25"/>
  <c r="JU7" i="25"/>
  <c r="JT7" i="25"/>
  <c r="JS7" i="25"/>
  <c r="JR7" i="25"/>
  <c r="JQ7" i="25"/>
  <c r="JP7" i="25"/>
  <c r="JO7" i="25"/>
  <c r="JN7" i="25"/>
  <c r="JM7" i="25"/>
  <c r="JL7" i="25"/>
  <c r="JK7" i="25"/>
  <c r="JJ7" i="25"/>
  <c r="JI7" i="25"/>
  <c r="JH7" i="25"/>
  <c r="JG7" i="25"/>
  <c r="JF7" i="25"/>
  <c r="JE7" i="25"/>
  <c r="JD7" i="25"/>
  <c r="JC7" i="25"/>
  <c r="JB7" i="25"/>
  <c r="JA7" i="25"/>
  <c r="IZ7" i="25"/>
  <c r="IY7" i="25"/>
  <c r="IX7" i="25"/>
  <c r="IW7" i="25"/>
  <c r="IV7" i="25"/>
  <c r="IU7" i="25"/>
  <c r="IT7" i="25"/>
  <c r="IS7" i="25"/>
  <c r="IR7" i="25"/>
  <c r="IQ7" i="25"/>
  <c r="IP7" i="25"/>
  <c r="IO7" i="25"/>
  <c r="IN7" i="25"/>
  <c r="IM7" i="25"/>
  <c r="IL7" i="25"/>
  <c r="IK7" i="25"/>
  <c r="IJ7" i="25"/>
  <c r="II7" i="25"/>
  <c r="IH7" i="25"/>
  <c r="IG7" i="25"/>
  <c r="IF7" i="25"/>
  <c r="IE7" i="25"/>
  <c r="ID7" i="25"/>
  <c r="IC7" i="25"/>
  <c r="IB7" i="25"/>
  <c r="IA7" i="25"/>
  <c r="HZ7" i="25"/>
  <c r="HY7" i="25"/>
  <c r="HX7" i="25"/>
  <c r="HW7" i="25"/>
  <c r="HV7" i="25"/>
  <c r="HU7" i="25"/>
  <c r="HT7" i="25"/>
  <c r="HS7" i="25"/>
  <c r="HR7" i="25"/>
  <c r="HQ7" i="25"/>
  <c r="HP7" i="25"/>
  <c r="HO7" i="25"/>
  <c r="HN7" i="25"/>
  <c r="HM7" i="25"/>
  <c r="HL7" i="25"/>
  <c r="HK7" i="25"/>
  <c r="HJ7" i="25"/>
  <c r="HI7" i="25"/>
  <c r="HH7" i="25"/>
  <c r="HG7" i="25"/>
  <c r="HF7" i="25"/>
  <c r="HE7" i="25"/>
  <c r="HD7" i="25"/>
  <c r="HC7" i="25"/>
  <c r="HB7" i="25"/>
  <c r="HA7" i="25"/>
  <c r="GZ7" i="25"/>
  <c r="GY7" i="25"/>
  <c r="GX7" i="25"/>
  <c r="GW7" i="25"/>
  <c r="GV7" i="25"/>
  <c r="GU7" i="25"/>
  <c r="GT7" i="25"/>
  <c r="GS7" i="25"/>
  <c r="GR7" i="25"/>
  <c r="GQ7" i="25"/>
  <c r="GP7" i="25"/>
  <c r="GO7" i="25"/>
  <c r="GN7" i="25"/>
  <c r="GM7" i="25"/>
  <c r="GL7" i="25"/>
  <c r="GK7" i="25"/>
  <c r="GJ7" i="25"/>
  <c r="GI7" i="25"/>
  <c r="GH7" i="25"/>
  <c r="GG7" i="25"/>
  <c r="GF7" i="25"/>
  <c r="GE7" i="25"/>
  <c r="GD7" i="25"/>
  <c r="GC7" i="25"/>
  <c r="GB7" i="25"/>
  <c r="GA7" i="25"/>
  <c r="FZ7" i="25"/>
  <c r="FY7" i="25"/>
  <c r="FX7" i="25"/>
  <c r="FW7" i="25"/>
  <c r="FV7" i="25"/>
  <c r="FU7" i="25"/>
  <c r="FT7" i="25"/>
  <c r="FS7" i="25"/>
  <c r="FR7" i="25"/>
  <c r="FQ7" i="25"/>
  <c r="FP7" i="25"/>
  <c r="FO7" i="25"/>
  <c r="FN7" i="25"/>
  <c r="FM7" i="25"/>
  <c r="FL7" i="25"/>
  <c r="FK7" i="25"/>
  <c r="FJ7" i="25"/>
  <c r="FI7" i="25"/>
  <c r="FH7" i="25"/>
  <c r="FG7" i="25"/>
  <c r="FF7" i="25"/>
  <c r="FE7" i="25"/>
  <c r="FD7" i="25"/>
  <c r="FC7" i="25"/>
  <c r="FB7" i="25"/>
  <c r="FA7" i="25"/>
  <c r="EZ7" i="25"/>
  <c r="EY7" i="25"/>
  <c r="EX7" i="25"/>
  <c r="EW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EI7" i="25"/>
  <c r="EH7" i="25"/>
  <c r="EG7" i="25"/>
  <c r="EF7" i="25"/>
  <c r="EE7" i="25"/>
  <c r="ED7" i="25"/>
  <c r="EC7" i="25"/>
  <c r="EB7" i="25"/>
  <c r="EA7" i="25"/>
  <c r="DZ7" i="25"/>
  <c r="DY7" i="25"/>
  <c r="DX7" i="25"/>
  <c r="DW7" i="25"/>
  <c r="DV7" i="25"/>
  <c r="DU7" i="25"/>
  <c r="DT7" i="25"/>
  <c r="DS7" i="25"/>
  <c r="DR7" i="25"/>
  <c r="DQ7" i="25"/>
  <c r="DP7" i="25"/>
  <c r="DO7" i="25"/>
  <c r="DN7" i="25"/>
  <c r="DM7" i="25"/>
  <c r="DL7" i="25"/>
  <c r="DK7" i="25"/>
  <c r="DJ7" i="25"/>
  <c r="DI7" i="25"/>
  <c r="DH7" i="25"/>
  <c r="DG7" i="25"/>
  <c r="DF7" i="25"/>
  <c r="DE7" i="25"/>
  <c r="DD7" i="25"/>
  <c r="DC7" i="25"/>
  <c r="DB7" i="25"/>
  <c r="DA7" i="25"/>
  <c r="CZ7" i="25"/>
  <c r="CY7" i="25"/>
  <c r="CX7" i="25"/>
  <c r="CW7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R7" i="25"/>
  <c r="BQ7" i="25"/>
  <c r="BP7" i="25"/>
  <c r="BO7" i="25"/>
  <c r="BN7" i="25"/>
  <c r="BM7" i="25"/>
  <c r="BL7" i="25"/>
  <c r="BK7" i="25"/>
  <c r="BJ7" i="25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B17" i="25" s="1"/>
  <c r="ACV6" i="25"/>
  <c r="ACU6" i="25"/>
  <c r="ACT6" i="25"/>
  <c r="ACS6" i="25"/>
  <c r="ACR6" i="25"/>
  <c r="ACQ6" i="25"/>
  <c r="ACP6" i="25"/>
  <c r="ACO6" i="25"/>
  <c r="ACN6" i="25"/>
  <c r="ACM6" i="25"/>
  <c r="ACL6" i="25"/>
  <c r="ACK6" i="25"/>
  <c r="ACJ6" i="25"/>
  <c r="ACI6" i="25"/>
  <c r="ACH6" i="25"/>
  <c r="ACG6" i="25"/>
  <c r="ACF6" i="25"/>
  <c r="ACE6" i="25"/>
  <c r="ACD6" i="25"/>
  <c r="ACC6" i="25"/>
  <c r="ACB6" i="25"/>
  <c r="ACA6" i="25"/>
  <c r="ABZ6" i="25"/>
  <c r="ABY6" i="25"/>
  <c r="ABX6" i="25"/>
  <c r="ABW6" i="25"/>
  <c r="ABV6" i="25"/>
  <c r="ABU6" i="25"/>
  <c r="ABT6" i="25"/>
  <c r="ABS6" i="25"/>
  <c r="ABR6" i="25"/>
  <c r="ABQ6" i="25"/>
  <c r="ABP6" i="25"/>
  <c r="ABO6" i="25"/>
  <c r="ABN6" i="25"/>
  <c r="ABM6" i="25"/>
  <c r="ABL6" i="25"/>
  <c r="ABK6" i="25"/>
  <c r="ABJ6" i="25"/>
  <c r="ABI6" i="25"/>
  <c r="ABH6" i="25"/>
  <c r="ABG6" i="25"/>
  <c r="ABF6" i="25"/>
  <c r="ABE6" i="25"/>
  <c r="ABD6" i="25"/>
  <c r="ABC6" i="25"/>
  <c r="ABB6" i="25"/>
  <c r="ABA6" i="25"/>
  <c r="AAZ6" i="25"/>
  <c r="AAY6" i="25"/>
  <c r="AAX6" i="25"/>
  <c r="AAW6" i="25"/>
  <c r="AAV6" i="25"/>
  <c r="AAU6" i="25"/>
  <c r="AAT6" i="25"/>
  <c r="AAS6" i="25"/>
  <c r="AAR6" i="25"/>
  <c r="AAQ6" i="25"/>
  <c r="AAP6" i="25"/>
  <c r="AAO6" i="25"/>
  <c r="AAN6" i="25"/>
  <c r="AAM6" i="25"/>
  <c r="AAL6" i="25"/>
  <c r="AAK6" i="25"/>
  <c r="AAJ6" i="25"/>
  <c r="AAI6" i="25"/>
  <c r="AAH6" i="25"/>
  <c r="AAG6" i="25"/>
  <c r="AAF6" i="25"/>
  <c r="AAE6" i="25"/>
  <c r="AAD6" i="25"/>
  <c r="AAC6" i="25"/>
  <c r="AAB6" i="25"/>
  <c r="AAA6" i="25"/>
  <c r="ZZ6" i="25"/>
  <c r="ZY6" i="25"/>
  <c r="ZX6" i="25"/>
  <c r="ZW6" i="25"/>
  <c r="ZV6" i="25"/>
  <c r="ZU6" i="25"/>
  <c r="ZT6" i="25"/>
  <c r="ZS6" i="25"/>
  <c r="ZR6" i="25"/>
  <c r="ZQ6" i="25"/>
  <c r="ZP6" i="25"/>
  <c r="ZO6" i="25"/>
  <c r="ZN6" i="25"/>
  <c r="ZM6" i="25"/>
  <c r="ZL6" i="25"/>
  <c r="ZK6" i="25"/>
  <c r="ZJ6" i="25"/>
  <c r="ZI6" i="25"/>
  <c r="ZH6" i="25"/>
  <c r="ZG6" i="25"/>
  <c r="ZF6" i="25"/>
  <c r="ZE6" i="25"/>
  <c r="ZD6" i="25"/>
  <c r="ZC6" i="25"/>
  <c r="ZB6" i="25"/>
  <c r="ZA6" i="25"/>
  <c r="YZ6" i="25"/>
  <c r="YY6" i="25"/>
  <c r="YX6" i="25"/>
  <c r="YW6" i="25"/>
  <c r="YV6" i="25"/>
  <c r="YU6" i="25"/>
  <c r="YT6" i="25"/>
  <c r="YS6" i="25"/>
  <c r="YR6" i="25"/>
  <c r="YQ6" i="25"/>
  <c r="YP6" i="25"/>
  <c r="YO6" i="25"/>
  <c r="YN6" i="25"/>
  <c r="YM6" i="25"/>
  <c r="YL6" i="25"/>
  <c r="YK6" i="25"/>
  <c r="YJ6" i="25"/>
  <c r="YI6" i="25"/>
  <c r="YH6" i="25"/>
  <c r="YG6" i="25"/>
  <c r="YF6" i="25"/>
  <c r="YE6" i="25"/>
  <c r="YD6" i="25"/>
  <c r="YC6" i="25"/>
  <c r="YB6" i="25"/>
  <c r="YA6" i="25"/>
  <c r="XZ6" i="25"/>
  <c r="XY6" i="25"/>
  <c r="XX6" i="25"/>
  <c r="XW6" i="25"/>
  <c r="XV6" i="25"/>
  <c r="XU6" i="25"/>
  <c r="XT6" i="25"/>
  <c r="XS6" i="25"/>
  <c r="XR6" i="25"/>
  <c r="XQ6" i="25"/>
  <c r="XP6" i="25"/>
  <c r="XO6" i="25"/>
  <c r="XN6" i="25"/>
  <c r="XM6" i="25"/>
  <c r="XL6" i="25"/>
  <c r="XK6" i="25"/>
  <c r="XJ6" i="25"/>
  <c r="XI6" i="25"/>
  <c r="XH6" i="25"/>
  <c r="XG6" i="25"/>
  <c r="XF6" i="25"/>
  <c r="XE6" i="25"/>
  <c r="XD6" i="25"/>
  <c r="XC6" i="25"/>
  <c r="XB6" i="25"/>
  <c r="XA6" i="25"/>
  <c r="WZ6" i="25"/>
  <c r="WY6" i="25"/>
  <c r="WX6" i="25"/>
  <c r="WW6" i="25"/>
  <c r="WV6" i="25"/>
  <c r="WU6" i="25"/>
  <c r="WT6" i="25"/>
  <c r="WS6" i="25"/>
  <c r="WR6" i="25"/>
  <c r="WQ6" i="25"/>
  <c r="WP6" i="25"/>
  <c r="WO6" i="25"/>
  <c r="WN6" i="25"/>
  <c r="WM6" i="25"/>
  <c r="WL6" i="25"/>
  <c r="WK6" i="25"/>
  <c r="WJ6" i="25"/>
  <c r="WI6" i="25"/>
  <c r="WH6" i="25"/>
  <c r="WG6" i="25"/>
  <c r="WF6" i="25"/>
  <c r="WE6" i="25"/>
  <c r="WD6" i="25"/>
  <c r="WC6" i="25"/>
  <c r="WB6" i="25"/>
  <c r="WA6" i="25"/>
  <c r="VZ6" i="25"/>
  <c r="VY6" i="25"/>
  <c r="VX6" i="25"/>
  <c r="VW6" i="25"/>
  <c r="VV6" i="25"/>
  <c r="VU6" i="25"/>
  <c r="VT6" i="25"/>
  <c r="VS6" i="25"/>
  <c r="VR6" i="25"/>
  <c r="VQ6" i="25"/>
  <c r="VP6" i="25"/>
  <c r="VO6" i="25"/>
  <c r="VN6" i="25"/>
  <c r="VM6" i="25"/>
  <c r="VL6" i="25"/>
  <c r="VK6" i="25"/>
  <c r="VJ6" i="25"/>
  <c r="VI6" i="25"/>
  <c r="VH6" i="25"/>
  <c r="VG6" i="25"/>
  <c r="VF6" i="25"/>
  <c r="VE6" i="25"/>
  <c r="VD6" i="25"/>
  <c r="VC6" i="25"/>
  <c r="VB6" i="25"/>
  <c r="VA6" i="25"/>
  <c r="UZ6" i="25"/>
  <c r="UY6" i="25"/>
  <c r="UX6" i="25"/>
  <c r="UW6" i="25"/>
  <c r="UV6" i="25"/>
  <c r="UU6" i="25"/>
  <c r="UT6" i="25"/>
  <c r="US6" i="25"/>
  <c r="UR6" i="25"/>
  <c r="UQ6" i="25"/>
  <c r="UP6" i="25"/>
  <c r="UO6" i="25"/>
  <c r="UN6" i="25"/>
  <c r="UM6" i="25"/>
  <c r="UL6" i="25"/>
  <c r="UK6" i="25"/>
  <c r="UJ6" i="25"/>
  <c r="UI6" i="25"/>
  <c r="UH6" i="25"/>
  <c r="UG6" i="25"/>
  <c r="UF6" i="25"/>
  <c r="UE6" i="25"/>
  <c r="UD6" i="25"/>
  <c r="UC6" i="25"/>
  <c r="UB6" i="25"/>
  <c r="UA6" i="25"/>
  <c r="TZ6" i="25"/>
  <c r="TY6" i="25"/>
  <c r="TX6" i="25"/>
  <c r="TW6" i="25"/>
  <c r="TV6" i="25"/>
  <c r="TU6" i="25"/>
  <c r="TT6" i="25"/>
  <c r="TS6" i="25"/>
  <c r="TR6" i="25"/>
  <c r="TQ6" i="25"/>
  <c r="TP6" i="25"/>
  <c r="TO6" i="25"/>
  <c r="TN6" i="25"/>
  <c r="TM6" i="25"/>
  <c r="TL6" i="25"/>
  <c r="TK6" i="25"/>
  <c r="TJ6" i="25"/>
  <c r="TI6" i="25"/>
  <c r="TH6" i="25"/>
  <c r="TG6" i="25"/>
  <c r="TF6" i="25"/>
  <c r="TE6" i="25"/>
  <c r="TD6" i="25"/>
  <c r="TC6" i="25"/>
  <c r="TB6" i="25"/>
  <c r="TA6" i="25"/>
  <c r="SZ6" i="25"/>
  <c r="SY6" i="25"/>
  <c r="SX6" i="25"/>
  <c r="SW6" i="25"/>
  <c r="SV6" i="25"/>
  <c r="SU6" i="25"/>
  <c r="ST6" i="25"/>
  <c r="SS6" i="25"/>
  <c r="SR6" i="25"/>
  <c r="SQ6" i="25"/>
  <c r="SP6" i="25"/>
  <c r="SO6" i="25"/>
  <c r="SN6" i="25"/>
  <c r="SM6" i="25"/>
  <c r="SL6" i="25"/>
  <c r="SK6" i="25"/>
  <c r="SJ6" i="25"/>
  <c r="SI6" i="25"/>
  <c r="SH6" i="25"/>
  <c r="SG6" i="25"/>
  <c r="SF6" i="25"/>
  <c r="SE6" i="25"/>
  <c r="SD6" i="25"/>
  <c r="SC6" i="25"/>
  <c r="SB6" i="25"/>
  <c r="SA6" i="25"/>
  <c r="RZ6" i="25"/>
  <c r="RY6" i="25"/>
  <c r="RX6" i="25"/>
  <c r="RW6" i="25"/>
  <c r="RV6" i="25"/>
  <c r="RU6" i="25"/>
  <c r="RT6" i="25"/>
  <c r="RS6" i="25"/>
  <c r="RR6" i="25"/>
  <c r="RQ6" i="25"/>
  <c r="RP6" i="25"/>
  <c r="RO6" i="25"/>
  <c r="RN6" i="25"/>
  <c r="RM6" i="25"/>
  <c r="RL6" i="25"/>
  <c r="RK6" i="25"/>
  <c r="RJ6" i="25"/>
  <c r="RI6" i="25"/>
  <c r="RH6" i="25"/>
  <c r="RG6" i="25"/>
  <c r="RF6" i="25"/>
  <c r="RE6" i="25"/>
  <c r="RD6" i="25"/>
  <c r="RC6" i="25"/>
  <c r="RB6" i="25"/>
  <c r="RA6" i="25"/>
  <c r="QZ6" i="25"/>
  <c r="QY6" i="25"/>
  <c r="QX6" i="25"/>
  <c r="QW6" i="25"/>
  <c r="QV6" i="25"/>
  <c r="QU6" i="25"/>
  <c r="QT6" i="25"/>
  <c r="QS6" i="25"/>
  <c r="QR6" i="25"/>
  <c r="QQ6" i="25"/>
  <c r="QP6" i="25"/>
  <c r="QO6" i="25"/>
  <c r="QN6" i="25"/>
  <c r="QM6" i="25"/>
  <c r="QL6" i="25"/>
  <c r="QK6" i="25"/>
  <c r="QJ6" i="25"/>
  <c r="QI6" i="25"/>
  <c r="QH6" i="25"/>
  <c r="QG6" i="25"/>
  <c r="QF6" i="25"/>
  <c r="QE6" i="25"/>
  <c r="QD6" i="25"/>
  <c r="QC6" i="25"/>
  <c r="QB6" i="25"/>
  <c r="QA6" i="25"/>
  <c r="PZ6" i="25"/>
  <c r="PY6" i="25"/>
  <c r="PX6" i="25"/>
  <c r="PW6" i="25"/>
  <c r="PV6" i="25"/>
  <c r="PU6" i="25"/>
  <c r="PT6" i="25"/>
  <c r="PS6" i="25"/>
  <c r="PR6" i="25"/>
  <c r="PQ6" i="25"/>
  <c r="PP6" i="25"/>
  <c r="PO6" i="25"/>
  <c r="PN6" i="25"/>
  <c r="PM6" i="25"/>
  <c r="PL6" i="25"/>
  <c r="PK6" i="25"/>
  <c r="PJ6" i="25"/>
  <c r="PI6" i="25"/>
  <c r="PH6" i="25"/>
  <c r="PG6" i="25"/>
  <c r="PF6" i="25"/>
  <c r="PE6" i="25"/>
  <c r="PD6" i="25"/>
  <c r="PC6" i="25"/>
  <c r="PB6" i="25"/>
  <c r="PA6" i="25"/>
  <c r="OZ6" i="25"/>
  <c r="OY6" i="25"/>
  <c r="OX6" i="25"/>
  <c r="OW6" i="25"/>
  <c r="OV6" i="25"/>
  <c r="OU6" i="25"/>
  <c r="OT6" i="25"/>
  <c r="OS6" i="25"/>
  <c r="OR6" i="25"/>
  <c r="OQ6" i="25"/>
  <c r="OP6" i="25"/>
  <c r="OO6" i="25"/>
  <c r="ON6" i="25"/>
  <c r="OM6" i="25"/>
  <c r="OL6" i="25"/>
  <c r="OK6" i="25"/>
  <c r="OJ6" i="25"/>
  <c r="OI6" i="25"/>
  <c r="OH6" i="25"/>
  <c r="OG6" i="25"/>
  <c r="OF6" i="25"/>
  <c r="OE6" i="25"/>
  <c r="OD6" i="25"/>
  <c r="OC6" i="25"/>
  <c r="OB6" i="25"/>
  <c r="OA6" i="25"/>
  <c r="NZ6" i="25"/>
  <c r="NY6" i="25"/>
  <c r="NX6" i="25"/>
  <c r="NW6" i="25"/>
  <c r="NV6" i="25"/>
  <c r="NU6" i="25"/>
  <c r="NT6" i="25"/>
  <c r="NS6" i="25"/>
  <c r="NR6" i="25"/>
  <c r="NQ6" i="25"/>
  <c r="NP6" i="25"/>
  <c r="NO6" i="25"/>
  <c r="NN6" i="25"/>
  <c r="NM6" i="25"/>
  <c r="NL6" i="25"/>
  <c r="NK6" i="25"/>
  <c r="NJ6" i="25"/>
  <c r="NI6" i="25"/>
  <c r="NH6" i="25"/>
  <c r="NG6" i="25"/>
  <c r="NF6" i="25"/>
  <c r="NE6" i="25"/>
  <c r="ND6" i="25"/>
  <c r="NC6" i="25"/>
  <c r="NB6" i="25"/>
  <c r="NA6" i="25"/>
  <c r="MZ6" i="25"/>
  <c r="MY6" i="25"/>
  <c r="MX6" i="25"/>
  <c r="MW6" i="25"/>
  <c r="MV6" i="25"/>
  <c r="MU6" i="25"/>
  <c r="MT6" i="25"/>
  <c r="MS6" i="25"/>
  <c r="MR6" i="25"/>
  <c r="MQ6" i="25"/>
  <c r="MP6" i="25"/>
  <c r="MO6" i="25"/>
  <c r="MN6" i="25"/>
  <c r="MM6" i="25"/>
  <c r="ML6" i="25"/>
  <c r="MK6" i="25"/>
  <c r="MJ6" i="25"/>
  <c r="MI6" i="25"/>
  <c r="MH6" i="25"/>
  <c r="MG6" i="25"/>
  <c r="MF6" i="25"/>
  <c r="ME6" i="25"/>
  <c r="MD6" i="25"/>
  <c r="MC6" i="25"/>
  <c r="MB6" i="25"/>
  <c r="MA6" i="25"/>
  <c r="LZ6" i="25"/>
  <c r="LY6" i="25"/>
  <c r="LX6" i="25"/>
  <c r="LW6" i="25"/>
  <c r="LV6" i="25"/>
  <c r="LU6" i="25"/>
  <c r="LT6" i="25"/>
  <c r="LS6" i="25"/>
  <c r="LR6" i="25"/>
  <c r="LQ6" i="25"/>
  <c r="LP6" i="25"/>
  <c r="LO6" i="25"/>
  <c r="LN6" i="25"/>
  <c r="LM6" i="25"/>
  <c r="LL6" i="25"/>
  <c r="LK6" i="25"/>
  <c r="LJ6" i="25"/>
  <c r="LI6" i="25"/>
  <c r="LH6" i="25"/>
  <c r="LG6" i="25"/>
  <c r="LF6" i="25"/>
  <c r="LE6" i="25"/>
  <c r="LD6" i="25"/>
  <c r="LC6" i="25"/>
  <c r="LB6" i="25"/>
  <c r="LA6" i="25"/>
  <c r="KZ6" i="25"/>
  <c r="KY6" i="25"/>
  <c r="KX6" i="25"/>
  <c r="KW6" i="25"/>
  <c r="KV6" i="25"/>
  <c r="KU6" i="25"/>
  <c r="KT6" i="25"/>
  <c r="KS6" i="25"/>
  <c r="KR6" i="25"/>
  <c r="KQ6" i="25"/>
  <c r="KP6" i="25"/>
  <c r="KO6" i="25"/>
  <c r="KN6" i="25"/>
  <c r="KM6" i="25"/>
  <c r="KL6" i="25"/>
  <c r="KK6" i="25"/>
  <c r="KJ6" i="25"/>
  <c r="KI6" i="25"/>
  <c r="KH6" i="25"/>
  <c r="KG6" i="25"/>
  <c r="KF6" i="25"/>
  <c r="KE6" i="25"/>
  <c r="KD6" i="25"/>
  <c r="KC6" i="25"/>
  <c r="KB6" i="25"/>
  <c r="KA6" i="25"/>
  <c r="JZ6" i="25"/>
  <c r="JY6" i="25"/>
  <c r="JX6" i="25"/>
  <c r="JW6" i="25"/>
  <c r="JV6" i="25"/>
  <c r="JU6" i="25"/>
  <c r="JT6" i="25"/>
  <c r="JS6" i="25"/>
  <c r="JR6" i="25"/>
  <c r="JQ6" i="25"/>
  <c r="JP6" i="25"/>
  <c r="JO6" i="25"/>
  <c r="JN6" i="25"/>
  <c r="JM6" i="25"/>
  <c r="JL6" i="25"/>
  <c r="JK6" i="25"/>
  <c r="JJ6" i="25"/>
  <c r="JI6" i="25"/>
  <c r="JH6" i="25"/>
  <c r="JG6" i="25"/>
  <c r="JF6" i="25"/>
  <c r="JE6" i="25"/>
  <c r="JD6" i="25"/>
  <c r="JC6" i="25"/>
  <c r="JB6" i="25"/>
  <c r="JA6" i="25"/>
  <c r="IZ6" i="25"/>
  <c r="IY6" i="25"/>
  <c r="IX6" i="25"/>
  <c r="IW6" i="25"/>
  <c r="IV6" i="25"/>
  <c r="IU6" i="25"/>
  <c r="IT6" i="25"/>
  <c r="IS6" i="25"/>
  <c r="IR6" i="25"/>
  <c r="IQ6" i="25"/>
  <c r="IP6" i="25"/>
  <c r="IO6" i="25"/>
  <c r="IN6" i="25"/>
  <c r="IM6" i="25"/>
  <c r="IL6" i="25"/>
  <c r="IK6" i="25"/>
  <c r="IJ6" i="25"/>
  <c r="II6" i="25"/>
  <c r="IH6" i="25"/>
  <c r="IG6" i="25"/>
  <c r="IF6" i="25"/>
  <c r="IE6" i="25"/>
  <c r="ID6" i="25"/>
  <c r="IC6" i="25"/>
  <c r="IB6" i="25"/>
  <c r="IA6" i="25"/>
  <c r="HZ6" i="25"/>
  <c r="HY6" i="25"/>
  <c r="HX6" i="25"/>
  <c r="HW6" i="25"/>
  <c r="HV6" i="25"/>
  <c r="HU6" i="25"/>
  <c r="HT6" i="25"/>
  <c r="HS6" i="25"/>
  <c r="HR6" i="25"/>
  <c r="HQ6" i="25"/>
  <c r="HP6" i="25"/>
  <c r="HO6" i="25"/>
  <c r="HN6" i="25"/>
  <c r="HM6" i="25"/>
  <c r="HL6" i="25"/>
  <c r="HK6" i="25"/>
  <c r="HJ6" i="25"/>
  <c r="HI6" i="25"/>
  <c r="HH6" i="25"/>
  <c r="HG6" i="25"/>
  <c r="HF6" i="25"/>
  <c r="HE6" i="25"/>
  <c r="HD6" i="25"/>
  <c r="HC6" i="25"/>
  <c r="HB6" i="25"/>
  <c r="HA6" i="25"/>
  <c r="GZ6" i="25"/>
  <c r="GY6" i="25"/>
  <c r="GX6" i="25"/>
  <c r="GW6" i="25"/>
  <c r="GV6" i="25"/>
  <c r="GU6" i="25"/>
  <c r="GT6" i="25"/>
  <c r="GS6" i="25"/>
  <c r="GR6" i="25"/>
  <c r="GQ6" i="25"/>
  <c r="GP6" i="25"/>
  <c r="GO6" i="25"/>
  <c r="GN6" i="25"/>
  <c r="GM6" i="25"/>
  <c r="GL6" i="25"/>
  <c r="GK6" i="25"/>
  <c r="GJ6" i="25"/>
  <c r="GI6" i="25"/>
  <c r="GH6" i="25"/>
  <c r="GG6" i="25"/>
  <c r="GF6" i="25"/>
  <c r="GE6" i="25"/>
  <c r="GD6" i="25"/>
  <c r="GC6" i="25"/>
  <c r="GB6" i="25"/>
  <c r="GA6" i="25"/>
  <c r="FZ6" i="25"/>
  <c r="FY6" i="25"/>
  <c r="FX6" i="25"/>
  <c r="FW6" i="25"/>
  <c r="FV6" i="25"/>
  <c r="FU6" i="25"/>
  <c r="FT6" i="25"/>
  <c r="FS6" i="25"/>
  <c r="FR6" i="25"/>
  <c r="FQ6" i="25"/>
  <c r="FP6" i="25"/>
  <c r="FO6" i="25"/>
  <c r="FN6" i="25"/>
  <c r="FM6" i="25"/>
  <c r="FL6" i="25"/>
  <c r="FK6" i="25"/>
  <c r="FJ6" i="25"/>
  <c r="FI6" i="25"/>
  <c r="FH6" i="25"/>
  <c r="FG6" i="25"/>
  <c r="FF6" i="25"/>
  <c r="FE6" i="25"/>
  <c r="FD6" i="25"/>
  <c r="FC6" i="25"/>
  <c r="FB6" i="25"/>
  <c r="FA6" i="25"/>
  <c r="EZ6" i="25"/>
  <c r="EY6" i="25"/>
  <c r="EX6" i="25"/>
  <c r="EW6" i="25"/>
  <c r="EV6" i="25"/>
  <c r="EU6" i="25"/>
  <c r="ET6" i="25"/>
  <c r="ES6" i="25"/>
  <c r="ER6" i="25"/>
  <c r="EQ6" i="25"/>
  <c r="EP6" i="25"/>
  <c r="EO6" i="25"/>
  <c r="EN6" i="25"/>
  <c r="EM6" i="25"/>
  <c r="EL6" i="25"/>
  <c r="EK6" i="25"/>
  <c r="EJ6" i="25"/>
  <c r="EI6" i="25"/>
  <c r="EH6" i="25"/>
  <c r="EG6" i="25"/>
  <c r="EF6" i="25"/>
  <c r="EE6" i="25"/>
  <c r="ED6" i="25"/>
  <c r="EC6" i="25"/>
  <c r="EB6" i="25"/>
  <c r="EA6" i="25"/>
  <c r="DZ6" i="25"/>
  <c r="DY6" i="25"/>
  <c r="DX6" i="25"/>
  <c r="DW6" i="25"/>
  <c r="DV6" i="25"/>
  <c r="DU6" i="25"/>
  <c r="DT6" i="25"/>
  <c r="DS6" i="25"/>
  <c r="DR6" i="25"/>
  <c r="DQ6" i="25"/>
  <c r="DP6" i="25"/>
  <c r="DO6" i="25"/>
  <c r="DN6" i="25"/>
  <c r="DM6" i="25"/>
  <c r="DL6" i="25"/>
  <c r="DK6" i="25"/>
  <c r="DJ6" i="25"/>
  <c r="DI6" i="25"/>
  <c r="DH6" i="25"/>
  <c r="DG6" i="25"/>
  <c r="DF6" i="25"/>
  <c r="DE6" i="25"/>
  <c r="DD6" i="25"/>
  <c r="DC6" i="25"/>
  <c r="DB6" i="25"/>
  <c r="DA6" i="25"/>
  <c r="CZ6" i="25"/>
  <c r="CY6" i="25"/>
  <c r="CX6" i="25"/>
  <c r="CW6" i="25"/>
  <c r="CV6" i="25"/>
  <c r="CU6" i="25"/>
  <c r="CT6" i="25"/>
  <c r="CS6" i="25"/>
  <c r="CR6" i="25"/>
  <c r="CQ6" i="25"/>
  <c r="CP6" i="25"/>
  <c r="CO6" i="25"/>
  <c r="CN6" i="25"/>
  <c r="CM6" i="25"/>
  <c r="CL6" i="25"/>
  <c r="CK6" i="25"/>
  <c r="CJ6" i="25"/>
  <c r="CI6" i="25"/>
  <c r="CH6" i="25"/>
  <c r="CG6" i="25"/>
  <c r="CF6" i="25"/>
  <c r="CE6" i="25"/>
  <c r="CD6" i="25"/>
  <c r="CC6" i="25"/>
  <c r="CB6" i="25"/>
  <c r="CA6" i="25"/>
  <c r="BZ6" i="25"/>
  <c r="BY6" i="25"/>
  <c r="BX6" i="25"/>
  <c r="BW6" i="25"/>
  <c r="BV6" i="25"/>
  <c r="BU6" i="25"/>
  <c r="BT6" i="25"/>
  <c r="BS6" i="25"/>
  <c r="BR6" i="25"/>
  <c r="BQ6" i="25"/>
  <c r="BP6" i="25"/>
  <c r="BO6" i="25"/>
  <c r="BN6" i="25"/>
  <c r="BM6" i="25"/>
  <c r="BL6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6" i="25"/>
  <c r="B16" i="25" s="1"/>
  <c r="ACV5" i="25"/>
  <c r="ACU5" i="25"/>
  <c r="ACT5" i="25"/>
  <c r="ACS5" i="25"/>
  <c r="ACR5" i="25"/>
  <c r="ACQ5" i="25"/>
  <c r="ACP5" i="25"/>
  <c r="ACO5" i="25"/>
  <c r="ACN5" i="25"/>
  <c r="ACM5" i="25"/>
  <c r="ACL5" i="25"/>
  <c r="ACK5" i="25"/>
  <c r="ACJ5" i="25"/>
  <c r="ACI5" i="25"/>
  <c r="ACH5" i="25"/>
  <c r="ACG5" i="25"/>
  <c r="ACF5" i="25"/>
  <c r="ACE5" i="25"/>
  <c r="ACD5" i="25"/>
  <c r="ACC5" i="25"/>
  <c r="ACB5" i="25"/>
  <c r="ACA5" i="25"/>
  <c r="ABZ5" i="25"/>
  <c r="ABY5" i="25"/>
  <c r="ABX5" i="25"/>
  <c r="ABW5" i="25"/>
  <c r="ABV5" i="25"/>
  <c r="ABU5" i="25"/>
  <c r="ABT5" i="25"/>
  <c r="ABS5" i="25"/>
  <c r="ABR5" i="25"/>
  <c r="ABQ5" i="25"/>
  <c r="ABP5" i="25"/>
  <c r="ABO5" i="25"/>
  <c r="ABN5" i="25"/>
  <c r="ABM5" i="25"/>
  <c r="ABL5" i="25"/>
  <c r="ABK5" i="25"/>
  <c r="ABJ5" i="25"/>
  <c r="ABI5" i="25"/>
  <c r="ABH5" i="25"/>
  <c r="ABG5" i="25"/>
  <c r="ABF5" i="25"/>
  <c r="ABE5" i="25"/>
  <c r="ABD5" i="25"/>
  <c r="ABC5" i="25"/>
  <c r="ABB5" i="25"/>
  <c r="ABA5" i="25"/>
  <c r="AAZ5" i="25"/>
  <c r="AAY5" i="25"/>
  <c r="AAX5" i="25"/>
  <c r="AAW5" i="25"/>
  <c r="AAV5" i="25"/>
  <c r="AAU5" i="25"/>
  <c r="AAT5" i="25"/>
  <c r="AAS5" i="25"/>
  <c r="AAR5" i="25"/>
  <c r="AAQ5" i="25"/>
  <c r="AAP5" i="25"/>
  <c r="AAO5" i="25"/>
  <c r="AAN5" i="25"/>
  <c r="AAM5" i="25"/>
  <c r="AAL5" i="25"/>
  <c r="AAK5" i="25"/>
  <c r="AAJ5" i="25"/>
  <c r="AAI5" i="25"/>
  <c r="AAH5" i="25"/>
  <c r="AAG5" i="25"/>
  <c r="AAF5" i="25"/>
  <c r="AAE5" i="25"/>
  <c r="AAD5" i="25"/>
  <c r="AAC5" i="25"/>
  <c r="AAB5" i="25"/>
  <c r="AAA5" i="25"/>
  <c r="ZZ5" i="25"/>
  <c r="ZY5" i="25"/>
  <c r="ZX5" i="25"/>
  <c r="ZW5" i="25"/>
  <c r="ZV5" i="25"/>
  <c r="ZU5" i="25"/>
  <c r="ZT5" i="25"/>
  <c r="ZS5" i="25"/>
  <c r="ZR5" i="25"/>
  <c r="ZQ5" i="25"/>
  <c r="ZP5" i="25"/>
  <c r="ZO5" i="25"/>
  <c r="ZN5" i="25"/>
  <c r="ZM5" i="25"/>
  <c r="ZL5" i="25"/>
  <c r="ZK5" i="25"/>
  <c r="ZJ5" i="25"/>
  <c r="ZI5" i="25"/>
  <c r="ZH5" i="25"/>
  <c r="ZG5" i="25"/>
  <c r="ZF5" i="25"/>
  <c r="ZE5" i="25"/>
  <c r="ZD5" i="25"/>
  <c r="ZC5" i="25"/>
  <c r="ZB5" i="25"/>
  <c r="ZA5" i="25"/>
  <c r="YZ5" i="25"/>
  <c r="YY5" i="25"/>
  <c r="YX5" i="25"/>
  <c r="YW5" i="25"/>
  <c r="YV5" i="25"/>
  <c r="YU5" i="25"/>
  <c r="YT5" i="25"/>
  <c r="YS5" i="25"/>
  <c r="YR5" i="25"/>
  <c r="YQ5" i="25"/>
  <c r="YP5" i="25"/>
  <c r="YO5" i="25"/>
  <c r="YN5" i="25"/>
  <c r="YM5" i="25"/>
  <c r="YL5" i="25"/>
  <c r="YK5" i="25"/>
  <c r="YJ5" i="25"/>
  <c r="YI5" i="25"/>
  <c r="YH5" i="25"/>
  <c r="YG5" i="25"/>
  <c r="YF5" i="25"/>
  <c r="YE5" i="25"/>
  <c r="YD5" i="25"/>
  <c r="YC5" i="25"/>
  <c r="YB5" i="25"/>
  <c r="YA5" i="25"/>
  <c r="XZ5" i="25"/>
  <c r="XY5" i="25"/>
  <c r="XX5" i="25"/>
  <c r="XW5" i="25"/>
  <c r="XV5" i="25"/>
  <c r="XU5" i="25"/>
  <c r="XT5" i="25"/>
  <c r="XS5" i="25"/>
  <c r="XR5" i="25"/>
  <c r="XQ5" i="25"/>
  <c r="XP5" i="25"/>
  <c r="XO5" i="25"/>
  <c r="XN5" i="25"/>
  <c r="XM5" i="25"/>
  <c r="XL5" i="25"/>
  <c r="XK5" i="25"/>
  <c r="XJ5" i="25"/>
  <c r="XI5" i="25"/>
  <c r="XH5" i="25"/>
  <c r="XG5" i="25"/>
  <c r="XF5" i="25"/>
  <c r="XE5" i="25"/>
  <c r="XD5" i="25"/>
  <c r="XC5" i="25"/>
  <c r="XB5" i="25"/>
  <c r="XA5" i="25"/>
  <c r="WZ5" i="25"/>
  <c r="WY5" i="25"/>
  <c r="WX5" i="25"/>
  <c r="WW5" i="25"/>
  <c r="WV5" i="25"/>
  <c r="WU5" i="25"/>
  <c r="WT5" i="25"/>
  <c r="WS5" i="25"/>
  <c r="WR5" i="25"/>
  <c r="WQ5" i="25"/>
  <c r="WP5" i="25"/>
  <c r="WO5" i="25"/>
  <c r="WN5" i="25"/>
  <c r="WM5" i="25"/>
  <c r="WL5" i="25"/>
  <c r="WK5" i="25"/>
  <c r="WJ5" i="25"/>
  <c r="WI5" i="25"/>
  <c r="WH5" i="25"/>
  <c r="WG5" i="25"/>
  <c r="WF5" i="25"/>
  <c r="WE5" i="25"/>
  <c r="WD5" i="25"/>
  <c r="WC5" i="25"/>
  <c r="WB5" i="25"/>
  <c r="WA5" i="25"/>
  <c r="VZ5" i="25"/>
  <c r="VY5" i="25"/>
  <c r="VX5" i="25"/>
  <c r="VW5" i="25"/>
  <c r="VV5" i="25"/>
  <c r="VU5" i="25"/>
  <c r="VT5" i="25"/>
  <c r="VS5" i="25"/>
  <c r="VR5" i="25"/>
  <c r="VQ5" i="25"/>
  <c r="VP5" i="25"/>
  <c r="VO5" i="25"/>
  <c r="VN5" i="25"/>
  <c r="VM5" i="25"/>
  <c r="VL5" i="25"/>
  <c r="VK5" i="25"/>
  <c r="VJ5" i="25"/>
  <c r="VI5" i="25"/>
  <c r="VH5" i="25"/>
  <c r="VG5" i="25"/>
  <c r="VF5" i="25"/>
  <c r="VE5" i="25"/>
  <c r="VD5" i="25"/>
  <c r="VC5" i="25"/>
  <c r="VB5" i="25"/>
  <c r="VA5" i="25"/>
  <c r="UZ5" i="25"/>
  <c r="UY5" i="25"/>
  <c r="UX5" i="25"/>
  <c r="UW5" i="25"/>
  <c r="UV5" i="25"/>
  <c r="UU5" i="25"/>
  <c r="UT5" i="25"/>
  <c r="US5" i="25"/>
  <c r="UR5" i="25"/>
  <c r="UQ5" i="25"/>
  <c r="UP5" i="25"/>
  <c r="UO5" i="25"/>
  <c r="UN5" i="25"/>
  <c r="UM5" i="25"/>
  <c r="UL5" i="25"/>
  <c r="UK5" i="25"/>
  <c r="UJ5" i="25"/>
  <c r="UI5" i="25"/>
  <c r="UH5" i="25"/>
  <c r="UG5" i="25"/>
  <c r="UF5" i="25"/>
  <c r="UE5" i="25"/>
  <c r="UD5" i="25"/>
  <c r="UC5" i="25"/>
  <c r="UB5" i="25"/>
  <c r="UA5" i="25"/>
  <c r="TZ5" i="25"/>
  <c r="TY5" i="25"/>
  <c r="TX5" i="25"/>
  <c r="TW5" i="25"/>
  <c r="TV5" i="25"/>
  <c r="TU5" i="25"/>
  <c r="TT5" i="25"/>
  <c r="TS5" i="25"/>
  <c r="TR5" i="25"/>
  <c r="TQ5" i="25"/>
  <c r="TP5" i="25"/>
  <c r="TO5" i="25"/>
  <c r="TN5" i="25"/>
  <c r="TM5" i="25"/>
  <c r="TL5" i="25"/>
  <c r="TK5" i="25"/>
  <c r="TJ5" i="25"/>
  <c r="TI5" i="25"/>
  <c r="TH5" i="25"/>
  <c r="TG5" i="25"/>
  <c r="TF5" i="25"/>
  <c r="TE5" i="25"/>
  <c r="TD5" i="25"/>
  <c r="TC5" i="25"/>
  <c r="TB5" i="25"/>
  <c r="TA5" i="25"/>
  <c r="SZ5" i="25"/>
  <c r="SY5" i="25"/>
  <c r="SX5" i="25"/>
  <c r="SW5" i="25"/>
  <c r="SV5" i="25"/>
  <c r="SU5" i="25"/>
  <c r="ST5" i="25"/>
  <c r="SS5" i="25"/>
  <c r="SR5" i="25"/>
  <c r="SQ5" i="25"/>
  <c r="SP5" i="25"/>
  <c r="SO5" i="25"/>
  <c r="SN5" i="25"/>
  <c r="SM5" i="25"/>
  <c r="SL5" i="25"/>
  <c r="SK5" i="25"/>
  <c r="SJ5" i="25"/>
  <c r="SI5" i="25"/>
  <c r="SH5" i="25"/>
  <c r="SG5" i="25"/>
  <c r="SF5" i="25"/>
  <c r="SE5" i="25"/>
  <c r="SD5" i="25"/>
  <c r="SC5" i="25"/>
  <c r="SB5" i="25"/>
  <c r="SA5" i="25"/>
  <c r="RZ5" i="25"/>
  <c r="RY5" i="25"/>
  <c r="RX5" i="25"/>
  <c r="RW5" i="25"/>
  <c r="RV5" i="25"/>
  <c r="RU5" i="25"/>
  <c r="RT5" i="25"/>
  <c r="RS5" i="25"/>
  <c r="RR5" i="25"/>
  <c r="RQ5" i="25"/>
  <c r="RP5" i="25"/>
  <c r="RO5" i="25"/>
  <c r="RN5" i="25"/>
  <c r="RM5" i="25"/>
  <c r="RL5" i="25"/>
  <c r="RK5" i="25"/>
  <c r="RJ5" i="25"/>
  <c r="RI5" i="25"/>
  <c r="RH5" i="25"/>
  <c r="RG5" i="25"/>
  <c r="RF5" i="25"/>
  <c r="RE5" i="25"/>
  <c r="RD5" i="25"/>
  <c r="RC5" i="25"/>
  <c r="RB5" i="25"/>
  <c r="RA5" i="25"/>
  <c r="QZ5" i="25"/>
  <c r="QY5" i="25"/>
  <c r="QX5" i="25"/>
  <c r="QW5" i="25"/>
  <c r="QV5" i="25"/>
  <c r="QU5" i="25"/>
  <c r="QT5" i="25"/>
  <c r="QS5" i="25"/>
  <c r="QR5" i="25"/>
  <c r="QQ5" i="25"/>
  <c r="QP5" i="25"/>
  <c r="QO5" i="25"/>
  <c r="QN5" i="25"/>
  <c r="QM5" i="25"/>
  <c r="QL5" i="25"/>
  <c r="QK5" i="25"/>
  <c r="QJ5" i="25"/>
  <c r="QI5" i="25"/>
  <c r="QH5" i="25"/>
  <c r="QG5" i="25"/>
  <c r="QF5" i="25"/>
  <c r="QE5" i="25"/>
  <c r="QD5" i="25"/>
  <c r="QC5" i="25"/>
  <c r="QB5" i="25"/>
  <c r="QA5" i="25"/>
  <c r="PZ5" i="25"/>
  <c r="PY5" i="25"/>
  <c r="PX5" i="25"/>
  <c r="PW5" i="25"/>
  <c r="PV5" i="25"/>
  <c r="PU5" i="25"/>
  <c r="PT5" i="25"/>
  <c r="PS5" i="25"/>
  <c r="PR5" i="25"/>
  <c r="PQ5" i="25"/>
  <c r="PP5" i="25"/>
  <c r="PO5" i="25"/>
  <c r="PN5" i="25"/>
  <c r="PM5" i="25"/>
  <c r="PL5" i="25"/>
  <c r="PK5" i="25"/>
  <c r="PJ5" i="25"/>
  <c r="PI5" i="25"/>
  <c r="PH5" i="25"/>
  <c r="PG5" i="25"/>
  <c r="PF5" i="25"/>
  <c r="PE5" i="25"/>
  <c r="PD5" i="25"/>
  <c r="PC5" i="25"/>
  <c r="PB5" i="25"/>
  <c r="PA5" i="25"/>
  <c r="OZ5" i="25"/>
  <c r="OY5" i="25"/>
  <c r="OX5" i="25"/>
  <c r="OW5" i="25"/>
  <c r="OV5" i="25"/>
  <c r="OU5" i="25"/>
  <c r="OT5" i="25"/>
  <c r="OS5" i="25"/>
  <c r="OR5" i="25"/>
  <c r="OQ5" i="25"/>
  <c r="OP5" i="25"/>
  <c r="OO5" i="25"/>
  <c r="ON5" i="25"/>
  <c r="OM5" i="25"/>
  <c r="OL5" i="25"/>
  <c r="OK5" i="25"/>
  <c r="OJ5" i="25"/>
  <c r="OI5" i="25"/>
  <c r="OH5" i="25"/>
  <c r="OG5" i="25"/>
  <c r="OF5" i="25"/>
  <c r="OE5" i="25"/>
  <c r="OD5" i="25"/>
  <c r="OC5" i="25"/>
  <c r="OB5" i="25"/>
  <c r="OA5" i="25"/>
  <c r="NZ5" i="25"/>
  <c r="NY5" i="25"/>
  <c r="NX5" i="25"/>
  <c r="NW5" i="25"/>
  <c r="NV5" i="25"/>
  <c r="NU5" i="25"/>
  <c r="NT5" i="25"/>
  <c r="NS5" i="25"/>
  <c r="NR5" i="25"/>
  <c r="NQ5" i="25"/>
  <c r="NP5" i="25"/>
  <c r="NO5" i="25"/>
  <c r="NN5" i="25"/>
  <c r="NM5" i="25"/>
  <c r="NL5" i="25"/>
  <c r="NK5" i="25"/>
  <c r="NJ5" i="25"/>
  <c r="NI5" i="25"/>
  <c r="NH5" i="25"/>
  <c r="NG5" i="25"/>
  <c r="NF5" i="25"/>
  <c r="NE5" i="25"/>
  <c r="ND5" i="25"/>
  <c r="NC5" i="25"/>
  <c r="NB5" i="25"/>
  <c r="NA5" i="25"/>
  <c r="MZ5" i="25"/>
  <c r="MY5" i="25"/>
  <c r="MX5" i="25"/>
  <c r="MW5" i="25"/>
  <c r="MV5" i="25"/>
  <c r="MU5" i="25"/>
  <c r="MT5" i="25"/>
  <c r="MS5" i="25"/>
  <c r="MR5" i="25"/>
  <c r="MQ5" i="25"/>
  <c r="MP5" i="25"/>
  <c r="MO5" i="25"/>
  <c r="MN5" i="25"/>
  <c r="MM5" i="25"/>
  <c r="ML5" i="25"/>
  <c r="MK5" i="25"/>
  <c r="MJ5" i="25"/>
  <c r="MI5" i="25"/>
  <c r="MH5" i="25"/>
  <c r="MG5" i="25"/>
  <c r="MF5" i="25"/>
  <c r="ME5" i="25"/>
  <c r="MD5" i="25"/>
  <c r="MC5" i="25"/>
  <c r="MB5" i="25"/>
  <c r="MA5" i="25"/>
  <c r="LZ5" i="25"/>
  <c r="LY5" i="25"/>
  <c r="LX5" i="25"/>
  <c r="LW5" i="25"/>
  <c r="LV5" i="25"/>
  <c r="LU5" i="25"/>
  <c r="LT5" i="25"/>
  <c r="LS5" i="25"/>
  <c r="LR5" i="25"/>
  <c r="LQ5" i="25"/>
  <c r="LP5" i="25"/>
  <c r="LO5" i="25"/>
  <c r="LN5" i="25"/>
  <c r="LM5" i="25"/>
  <c r="LL5" i="25"/>
  <c r="LK5" i="25"/>
  <c r="LJ5" i="25"/>
  <c r="LI5" i="25"/>
  <c r="LH5" i="25"/>
  <c r="LG5" i="25"/>
  <c r="LF5" i="25"/>
  <c r="LE5" i="25"/>
  <c r="LD5" i="25"/>
  <c r="LC5" i="25"/>
  <c r="LB5" i="25"/>
  <c r="LA5" i="25"/>
  <c r="KZ5" i="25"/>
  <c r="KY5" i="25"/>
  <c r="KX5" i="25"/>
  <c r="KW5" i="25"/>
  <c r="KV5" i="25"/>
  <c r="KU5" i="25"/>
  <c r="KT5" i="25"/>
  <c r="KS5" i="25"/>
  <c r="KR5" i="25"/>
  <c r="KQ5" i="25"/>
  <c r="KP5" i="25"/>
  <c r="KO5" i="25"/>
  <c r="KN5" i="25"/>
  <c r="KM5" i="25"/>
  <c r="KL5" i="25"/>
  <c r="KK5" i="25"/>
  <c r="KJ5" i="25"/>
  <c r="KI5" i="25"/>
  <c r="KH5" i="25"/>
  <c r="KG5" i="25"/>
  <c r="KF5" i="25"/>
  <c r="KE5" i="25"/>
  <c r="KD5" i="25"/>
  <c r="KC5" i="25"/>
  <c r="KB5" i="25"/>
  <c r="KA5" i="25"/>
  <c r="JZ5" i="25"/>
  <c r="JY5" i="25"/>
  <c r="JX5" i="25"/>
  <c r="JW5" i="25"/>
  <c r="JV5" i="25"/>
  <c r="JU5" i="25"/>
  <c r="JT5" i="25"/>
  <c r="JS5" i="25"/>
  <c r="JR5" i="25"/>
  <c r="JQ5" i="25"/>
  <c r="JP5" i="25"/>
  <c r="JO5" i="25"/>
  <c r="JN5" i="25"/>
  <c r="JM5" i="25"/>
  <c r="JL5" i="25"/>
  <c r="JK5" i="25"/>
  <c r="JJ5" i="25"/>
  <c r="JI5" i="25"/>
  <c r="JH5" i="25"/>
  <c r="JG5" i="25"/>
  <c r="JF5" i="25"/>
  <c r="JE5" i="25"/>
  <c r="JD5" i="25"/>
  <c r="JC5" i="25"/>
  <c r="JB5" i="25"/>
  <c r="JA5" i="25"/>
  <c r="IZ5" i="25"/>
  <c r="IY5" i="25"/>
  <c r="IX5" i="25"/>
  <c r="IW5" i="25"/>
  <c r="IV5" i="25"/>
  <c r="IU5" i="25"/>
  <c r="IT5" i="25"/>
  <c r="IS5" i="25"/>
  <c r="IR5" i="25"/>
  <c r="IQ5" i="25"/>
  <c r="IP5" i="25"/>
  <c r="IO5" i="25"/>
  <c r="IN5" i="25"/>
  <c r="IM5" i="25"/>
  <c r="IL5" i="25"/>
  <c r="IK5" i="25"/>
  <c r="IJ5" i="25"/>
  <c r="II5" i="25"/>
  <c r="IH5" i="25"/>
  <c r="IG5" i="25"/>
  <c r="IF5" i="25"/>
  <c r="IE5" i="25"/>
  <c r="ID5" i="25"/>
  <c r="IC5" i="25"/>
  <c r="IB5" i="25"/>
  <c r="IA5" i="25"/>
  <c r="HZ5" i="25"/>
  <c r="HY5" i="25"/>
  <c r="HX5" i="25"/>
  <c r="HW5" i="25"/>
  <c r="HV5" i="25"/>
  <c r="HU5" i="25"/>
  <c r="HT5" i="25"/>
  <c r="HS5" i="25"/>
  <c r="HR5" i="25"/>
  <c r="HQ5" i="25"/>
  <c r="HP5" i="25"/>
  <c r="HO5" i="25"/>
  <c r="HN5" i="25"/>
  <c r="HM5" i="25"/>
  <c r="HL5" i="25"/>
  <c r="HK5" i="25"/>
  <c r="HJ5" i="25"/>
  <c r="HI5" i="25"/>
  <c r="HH5" i="25"/>
  <c r="HG5" i="25"/>
  <c r="HF5" i="25"/>
  <c r="HE5" i="25"/>
  <c r="HD5" i="25"/>
  <c r="HC5" i="25"/>
  <c r="HB5" i="25"/>
  <c r="HA5" i="25"/>
  <c r="GZ5" i="25"/>
  <c r="GY5" i="25"/>
  <c r="GX5" i="25"/>
  <c r="GW5" i="25"/>
  <c r="GV5" i="25"/>
  <c r="GU5" i="25"/>
  <c r="GT5" i="25"/>
  <c r="GS5" i="25"/>
  <c r="GR5" i="25"/>
  <c r="GQ5" i="25"/>
  <c r="GP5" i="25"/>
  <c r="GO5" i="25"/>
  <c r="GN5" i="25"/>
  <c r="GM5" i="25"/>
  <c r="GL5" i="25"/>
  <c r="GK5" i="25"/>
  <c r="GJ5" i="25"/>
  <c r="GI5" i="25"/>
  <c r="GH5" i="25"/>
  <c r="GG5" i="25"/>
  <c r="GF5" i="25"/>
  <c r="GE5" i="25"/>
  <c r="GD5" i="25"/>
  <c r="GC5" i="25"/>
  <c r="GB5" i="25"/>
  <c r="GA5" i="25"/>
  <c r="FZ5" i="25"/>
  <c r="FY5" i="25"/>
  <c r="FX5" i="25"/>
  <c r="FW5" i="25"/>
  <c r="FV5" i="25"/>
  <c r="FU5" i="25"/>
  <c r="FT5" i="25"/>
  <c r="FS5" i="25"/>
  <c r="FR5" i="25"/>
  <c r="FQ5" i="25"/>
  <c r="FP5" i="25"/>
  <c r="FO5" i="25"/>
  <c r="FN5" i="25"/>
  <c r="FM5" i="25"/>
  <c r="FL5" i="25"/>
  <c r="FK5" i="25"/>
  <c r="FJ5" i="25"/>
  <c r="FI5" i="25"/>
  <c r="FH5" i="25"/>
  <c r="FG5" i="25"/>
  <c r="FF5" i="25"/>
  <c r="FE5" i="25"/>
  <c r="FD5" i="25"/>
  <c r="FC5" i="25"/>
  <c r="FB5" i="25"/>
  <c r="FA5" i="25"/>
  <c r="EZ5" i="25"/>
  <c r="EY5" i="25"/>
  <c r="EX5" i="25"/>
  <c r="EW5" i="25"/>
  <c r="EV5" i="25"/>
  <c r="EU5" i="25"/>
  <c r="ET5" i="25"/>
  <c r="ES5" i="25"/>
  <c r="ER5" i="25"/>
  <c r="EQ5" i="25"/>
  <c r="EP5" i="25"/>
  <c r="EO5" i="25"/>
  <c r="EN5" i="25"/>
  <c r="EM5" i="25"/>
  <c r="EL5" i="25"/>
  <c r="EK5" i="25"/>
  <c r="EJ5" i="25"/>
  <c r="EI5" i="25"/>
  <c r="EH5" i="25"/>
  <c r="EG5" i="25"/>
  <c r="EF5" i="25"/>
  <c r="EE5" i="25"/>
  <c r="ED5" i="25"/>
  <c r="EC5" i="25"/>
  <c r="EB5" i="25"/>
  <c r="EA5" i="25"/>
  <c r="DZ5" i="25"/>
  <c r="DY5" i="25"/>
  <c r="DX5" i="25"/>
  <c r="DW5" i="25"/>
  <c r="DV5" i="25"/>
  <c r="DU5" i="25"/>
  <c r="DT5" i="25"/>
  <c r="DS5" i="25"/>
  <c r="DR5" i="25"/>
  <c r="DQ5" i="25"/>
  <c r="DP5" i="25"/>
  <c r="DO5" i="25"/>
  <c r="DN5" i="25"/>
  <c r="DM5" i="25"/>
  <c r="DL5" i="25"/>
  <c r="DK5" i="25"/>
  <c r="DJ5" i="25"/>
  <c r="DI5" i="25"/>
  <c r="DH5" i="25"/>
  <c r="DG5" i="25"/>
  <c r="DF5" i="25"/>
  <c r="DE5" i="25"/>
  <c r="DD5" i="25"/>
  <c r="DC5" i="25"/>
  <c r="DB5" i="25"/>
  <c r="DA5" i="25"/>
  <c r="CZ5" i="25"/>
  <c r="CY5" i="25"/>
  <c r="CX5" i="25"/>
  <c r="CW5" i="25"/>
  <c r="CV5" i="25"/>
  <c r="CU5" i="25"/>
  <c r="CT5" i="25"/>
  <c r="CS5" i="25"/>
  <c r="CR5" i="25"/>
  <c r="CQ5" i="25"/>
  <c r="CP5" i="25"/>
  <c r="CO5" i="25"/>
  <c r="CN5" i="25"/>
  <c r="CM5" i="25"/>
  <c r="CL5" i="25"/>
  <c r="CK5" i="25"/>
  <c r="CJ5" i="25"/>
  <c r="CI5" i="25"/>
  <c r="CH5" i="25"/>
  <c r="CG5" i="25"/>
  <c r="CF5" i="25"/>
  <c r="CE5" i="25"/>
  <c r="CD5" i="25"/>
  <c r="CC5" i="25"/>
  <c r="CB5" i="25"/>
  <c r="CA5" i="25"/>
  <c r="BZ5" i="25"/>
  <c r="BY5" i="25"/>
  <c r="BX5" i="25"/>
  <c r="BW5" i="25"/>
  <c r="BV5" i="25"/>
  <c r="BU5" i="25"/>
  <c r="BT5" i="25"/>
  <c r="BS5" i="25"/>
  <c r="BR5" i="25"/>
  <c r="BQ5" i="25"/>
  <c r="BP5" i="25"/>
  <c r="BO5" i="25"/>
  <c r="BN5" i="25"/>
  <c r="BM5" i="25"/>
  <c r="BL5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B15" i="25" s="1"/>
  <c r="ACV4" i="25"/>
  <c r="ACU4" i="25"/>
  <c r="ACT4" i="25"/>
  <c r="ACS4" i="25"/>
  <c r="ACR4" i="25"/>
  <c r="ACQ4" i="25"/>
  <c r="ACP4" i="25"/>
  <c r="ACO4" i="25"/>
  <c r="ACN4" i="25"/>
  <c r="ACM4" i="25"/>
  <c r="ACL4" i="25"/>
  <c r="ACK4" i="25"/>
  <c r="ACJ4" i="25"/>
  <c r="ACI4" i="25"/>
  <c r="ACH4" i="25"/>
  <c r="ACG4" i="25"/>
  <c r="ACF4" i="25"/>
  <c r="ACE4" i="25"/>
  <c r="ACD4" i="25"/>
  <c r="ACC4" i="25"/>
  <c r="ACB4" i="25"/>
  <c r="ACA4" i="25"/>
  <c r="ABZ4" i="25"/>
  <c r="ABY4" i="25"/>
  <c r="ABX4" i="25"/>
  <c r="ABW4" i="25"/>
  <c r="ABV4" i="25"/>
  <c r="ABU4" i="25"/>
  <c r="ABT4" i="25"/>
  <c r="ABS4" i="25"/>
  <c r="ABR4" i="25"/>
  <c r="ABQ4" i="25"/>
  <c r="ABP4" i="25"/>
  <c r="ABO4" i="25"/>
  <c r="ABN4" i="25"/>
  <c r="ABM4" i="25"/>
  <c r="ABL4" i="25"/>
  <c r="ABK4" i="25"/>
  <c r="ABJ4" i="25"/>
  <c r="ABI4" i="25"/>
  <c r="ABH4" i="25"/>
  <c r="ABG4" i="25"/>
  <c r="ABF4" i="25"/>
  <c r="ABE4" i="25"/>
  <c r="ABD4" i="25"/>
  <c r="ABC4" i="25"/>
  <c r="ABB4" i="25"/>
  <c r="ABA4" i="25"/>
  <c r="AAZ4" i="25"/>
  <c r="AAY4" i="25"/>
  <c r="AAX4" i="25"/>
  <c r="AAW4" i="25"/>
  <c r="AAV4" i="25"/>
  <c r="AAU4" i="25"/>
  <c r="AAT4" i="25"/>
  <c r="AAS4" i="25"/>
  <c r="AAR4" i="25"/>
  <c r="AAQ4" i="25"/>
  <c r="AAP4" i="25"/>
  <c r="AAO4" i="25"/>
  <c r="AAN4" i="25"/>
  <c r="AAM4" i="25"/>
  <c r="AAL4" i="25"/>
  <c r="AAK4" i="25"/>
  <c r="AAJ4" i="25"/>
  <c r="AAI4" i="25"/>
  <c r="AAH4" i="25"/>
  <c r="AAG4" i="25"/>
  <c r="AAF4" i="25"/>
  <c r="AAE4" i="25"/>
  <c r="AAD4" i="25"/>
  <c r="AAC4" i="25"/>
  <c r="AAB4" i="25"/>
  <c r="AAA4" i="25"/>
  <c r="ZZ4" i="25"/>
  <c r="ZY4" i="25"/>
  <c r="ZX4" i="25"/>
  <c r="ZW4" i="25"/>
  <c r="ZV4" i="25"/>
  <c r="ZU4" i="25"/>
  <c r="ZT4" i="25"/>
  <c r="ZS4" i="25"/>
  <c r="ZR4" i="25"/>
  <c r="ZQ4" i="25"/>
  <c r="ZP4" i="25"/>
  <c r="ZO4" i="25"/>
  <c r="ZN4" i="25"/>
  <c r="ZM4" i="25"/>
  <c r="ZL4" i="25"/>
  <c r="ZK4" i="25"/>
  <c r="ZJ4" i="25"/>
  <c r="ZI4" i="25"/>
  <c r="ZH4" i="25"/>
  <c r="ZG4" i="25"/>
  <c r="ZF4" i="25"/>
  <c r="ZE4" i="25"/>
  <c r="ZD4" i="25"/>
  <c r="ZC4" i="25"/>
  <c r="ZB4" i="25"/>
  <c r="ZA4" i="25"/>
  <c r="YZ4" i="25"/>
  <c r="YY4" i="25"/>
  <c r="YX4" i="25"/>
  <c r="YW4" i="25"/>
  <c r="YV4" i="25"/>
  <c r="YU4" i="25"/>
  <c r="YT4" i="25"/>
  <c r="YS4" i="25"/>
  <c r="YR4" i="25"/>
  <c r="YQ4" i="25"/>
  <c r="YP4" i="25"/>
  <c r="YO4" i="25"/>
  <c r="YN4" i="25"/>
  <c r="YM4" i="25"/>
  <c r="YL4" i="25"/>
  <c r="YK4" i="25"/>
  <c r="YJ4" i="25"/>
  <c r="YI4" i="25"/>
  <c r="YH4" i="25"/>
  <c r="YG4" i="25"/>
  <c r="YF4" i="25"/>
  <c r="YE4" i="25"/>
  <c r="YD4" i="25"/>
  <c r="YC4" i="25"/>
  <c r="YB4" i="25"/>
  <c r="YA4" i="25"/>
  <c r="XZ4" i="25"/>
  <c r="XY4" i="25"/>
  <c r="XX4" i="25"/>
  <c r="XW4" i="25"/>
  <c r="XV4" i="25"/>
  <c r="XU4" i="25"/>
  <c r="XT4" i="25"/>
  <c r="XS4" i="25"/>
  <c r="XR4" i="25"/>
  <c r="XQ4" i="25"/>
  <c r="XP4" i="25"/>
  <c r="XO4" i="25"/>
  <c r="XN4" i="25"/>
  <c r="XM4" i="25"/>
  <c r="XL4" i="25"/>
  <c r="XK4" i="25"/>
  <c r="XJ4" i="25"/>
  <c r="XI4" i="25"/>
  <c r="XH4" i="25"/>
  <c r="XG4" i="25"/>
  <c r="XF4" i="25"/>
  <c r="XE4" i="25"/>
  <c r="XD4" i="25"/>
  <c r="XC4" i="25"/>
  <c r="XB4" i="25"/>
  <c r="XA4" i="25"/>
  <c r="WZ4" i="25"/>
  <c r="WY4" i="25"/>
  <c r="WX4" i="25"/>
  <c r="WW4" i="25"/>
  <c r="WV4" i="25"/>
  <c r="WU4" i="25"/>
  <c r="WT4" i="25"/>
  <c r="WS4" i="25"/>
  <c r="WR4" i="25"/>
  <c r="WQ4" i="25"/>
  <c r="WP4" i="25"/>
  <c r="WO4" i="25"/>
  <c r="WN4" i="25"/>
  <c r="WM4" i="25"/>
  <c r="WL4" i="25"/>
  <c r="WK4" i="25"/>
  <c r="WJ4" i="25"/>
  <c r="WI4" i="25"/>
  <c r="WH4" i="25"/>
  <c r="WG4" i="25"/>
  <c r="WF4" i="25"/>
  <c r="WE4" i="25"/>
  <c r="WD4" i="25"/>
  <c r="WC4" i="25"/>
  <c r="WB4" i="25"/>
  <c r="WA4" i="25"/>
  <c r="VZ4" i="25"/>
  <c r="VY4" i="25"/>
  <c r="VX4" i="25"/>
  <c r="VW4" i="25"/>
  <c r="VV4" i="25"/>
  <c r="VU4" i="25"/>
  <c r="VT4" i="25"/>
  <c r="VS4" i="25"/>
  <c r="VR4" i="25"/>
  <c r="VQ4" i="25"/>
  <c r="VP4" i="25"/>
  <c r="VO4" i="25"/>
  <c r="VN4" i="25"/>
  <c r="VM4" i="25"/>
  <c r="VL4" i="25"/>
  <c r="VK4" i="25"/>
  <c r="VJ4" i="25"/>
  <c r="VI4" i="25"/>
  <c r="VH4" i="25"/>
  <c r="VG4" i="25"/>
  <c r="VF4" i="25"/>
  <c r="VE4" i="25"/>
  <c r="VD4" i="25"/>
  <c r="VC4" i="25"/>
  <c r="VB4" i="25"/>
  <c r="VA4" i="25"/>
  <c r="UZ4" i="25"/>
  <c r="UY4" i="25"/>
  <c r="UX4" i="25"/>
  <c r="UW4" i="25"/>
  <c r="UV4" i="25"/>
  <c r="UU4" i="25"/>
  <c r="UT4" i="25"/>
  <c r="US4" i="25"/>
  <c r="UR4" i="25"/>
  <c r="UQ4" i="25"/>
  <c r="UP4" i="25"/>
  <c r="UO4" i="25"/>
  <c r="UN4" i="25"/>
  <c r="UM4" i="25"/>
  <c r="UL4" i="25"/>
  <c r="UK4" i="25"/>
  <c r="UJ4" i="25"/>
  <c r="UI4" i="25"/>
  <c r="UH4" i="25"/>
  <c r="UG4" i="25"/>
  <c r="UF4" i="25"/>
  <c r="UE4" i="25"/>
  <c r="UD4" i="25"/>
  <c r="UC4" i="25"/>
  <c r="UB4" i="25"/>
  <c r="UA4" i="25"/>
  <c r="TZ4" i="25"/>
  <c r="TY4" i="25"/>
  <c r="TX4" i="25"/>
  <c r="TW4" i="25"/>
  <c r="TV4" i="25"/>
  <c r="TU4" i="25"/>
  <c r="TT4" i="25"/>
  <c r="TS4" i="25"/>
  <c r="TR4" i="25"/>
  <c r="TQ4" i="25"/>
  <c r="TP4" i="25"/>
  <c r="TO4" i="25"/>
  <c r="TN4" i="25"/>
  <c r="TM4" i="25"/>
  <c r="TL4" i="25"/>
  <c r="TK4" i="25"/>
  <c r="TJ4" i="25"/>
  <c r="TI4" i="25"/>
  <c r="TH4" i="25"/>
  <c r="TG4" i="25"/>
  <c r="TF4" i="25"/>
  <c r="TE4" i="25"/>
  <c r="TD4" i="25"/>
  <c r="TC4" i="25"/>
  <c r="TB4" i="25"/>
  <c r="TA4" i="25"/>
  <c r="SZ4" i="25"/>
  <c r="SY4" i="25"/>
  <c r="SX4" i="25"/>
  <c r="SW4" i="25"/>
  <c r="SV4" i="25"/>
  <c r="SU4" i="25"/>
  <c r="ST4" i="25"/>
  <c r="SS4" i="25"/>
  <c r="SR4" i="25"/>
  <c r="SQ4" i="25"/>
  <c r="SP4" i="25"/>
  <c r="SO4" i="25"/>
  <c r="SN4" i="25"/>
  <c r="SM4" i="25"/>
  <c r="SL4" i="25"/>
  <c r="SK4" i="25"/>
  <c r="SJ4" i="25"/>
  <c r="SI4" i="25"/>
  <c r="SH4" i="25"/>
  <c r="SG4" i="25"/>
  <c r="SF4" i="25"/>
  <c r="SE4" i="25"/>
  <c r="SD4" i="25"/>
  <c r="SC4" i="25"/>
  <c r="SB4" i="25"/>
  <c r="SA4" i="25"/>
  <c r="RZ4" i="25"/>
  <c r="RY4" i="25"/>
  <c r="RX4" i="25"/>
  <c r="RW4" i="25"/>
  <c r="RV4" i="25"/>
  <c r="RU4" i="25"/>
  <c r="RT4" i="25"/>
  <c r="RS4" i="25"/>
  <c r="RR4" i="25"/>
  <c r="RQ4" i="25"/>
  <c r="RP4" i="25"/>
  <c r="RO4" i="25"/>
  <c r="RN4" i="25"/>
  <c r="RM4" i="25"/>
  <c r="RL4" i="25"/>
  <c r="RK4" i="25"/>
  <c r="RJ4" i="25"/>
  <c r="RI4" i="25"/>
  <c r="RH4" i="25"/>
  <c r="RG4" i="25"/>
  <c r="RF4" i="25"/>
  <c r="RE4" i="25"/>
  <c r="RD4" i="25"/>
  <c r="RC4" i="25"/>
  <c r="RB4" i="25"/>
  <c r="RA4" i="25"/>
  <c r="QZ4" i="25"/>
  <c r="QY4" i="25"/>
  <c r="QX4" i="25"/>
  <c r="QW4" i="25"/>
  <c r="QV4" i="25"/>
  <c r="QU4" i="25"/>
  <c r="QT4" i="25"/>
  <c r="QS4" i="25"/>
  <c r="QR4" i="25"/>
  <c r="QQ4" i="25"/>
  <c r="QP4" i="25"/>
  <c r="QO4" i="25"/>
  <c r="QN4" i="25"/>
  <c r="QM4" i="25"/>
  <c r="QL4" i="25"/>
  <c r="QK4" i="25"/>
  <c r="QJ4" i="25"/>
  <c r="QI4" i="25"/>
  <c r="QH4" i="25"/>
  <c r="QG4" i="25"/>
  <c r="QF4" i="25"/>
  <c r="QE4" i="25"/>
  <c r="QD4" i="25"/>
  <c r="QC4" i="25"/>
  <c r="QB4" i="25"/>
  <c r="QA4" i="25"/>
  <c r="PZ4" i="25"/>
  <c r="PY4" i="25"/>
  <c r="PX4" i="25"/>
  <c r="PW4" i="25"/>
  <c r="PV4" i="25"/>
  <c r="PU4" i="25"/>
  <c r="PT4" i="25"/>
  <c r="PS4" i="25"/>
  <c r="PR4" i="25"/>
  <c r="PQ4" i="25"/>
  <c r="PP4" i="25"/>
  <c r="PO4" i="25"/>
  <c r="PN4" i="25"/>
  <c r="PM4" i="25"/>
  <c r="PL4" i="25"/>
  <c r="PK4" i="25"/>
  <c r="PJ4" i="25"/>
  <c r="PI4" i="25"/>
  <c r="PH4" i="25"/>
  <c r="PG4" i="25"/>
  <c r="PF4" i="25"/>
  <c r="PE4" i="25"/>
  <c r="PD4" i="25"/>
  <c r="PC4" i="25"/>
  <c r="PB4" i="25"/>
  <c r="PA4" i="25"/>
  <c r="OZ4" i="25"/>
  <c r="OY4" i="25"/>
  <c r="OX4" i="25"/>
  <c r="OW4" i="25"/>
  <c r="OV4" i="25"/>
  <c r="OU4" i="25"/>
  <c r="OT4" i="25"/>
  <c r="OS4" i="25"/>
  <c r="OR4" i="25"/>
  <c r="OQ4" i="25"/>
  <c r="OP4" i="25"/>
  <c r="OO4" i="25"/>
  <c r="ON4" i="25"/>
  <c r="OM4" i="25"/>
  <c r="OL4" i="25"/>
  <c r="OK4" i="25"/>
  <c r="OJ4" i="25"/>
  <c r="OI4" i="25"/>
  <c r="OH4" i="25"/>
  <c r="OG4" i="25"/>
  <c r="OF4" i="25"/>
  <c r="OE4" i="25"/>
  <c r="OD4" i="25"/>
  <c r="OC4" i="25"/>
  <c r="OB4" i="25"/>
  <c r="OA4" i="25"/>
  <c r="NZ4" i="25"/>
  <c r="NY4" i="25"/>
  <c r="NX4" i="25"/>
  <c r="NW4" i="25"/>
  <c r="NV4" i="25"/>
  <c r="NU4" i="25"/>
  <c r="NT4" i="25"/>
  <c r="NS4" i="25"/>
  <c r="NR4" i="25"/>
  <c r="NQ4" i="25"/>
  <c r="NP4" i="25"/>
  <c r="NO4" i="25"/>
  <c r="NN4" i="25"/>
  <c r="NM4" i="25"/>
  <c r="NL4" i="25"/>
  <c r="NK4" i="25"/>
  <c r="NJ4" i="25"/>
  <c r="NI4" i="25"/>
  <c r="NH4" i="25"/>
  <c r="NG4" i="25"/>
  <c r="NF4" i="25"/>
  <c r="NE4" i="25"/>
  <c r="ND4" i="25"/>
  <c r="NC4" i="25"/>
  <c r="NB4" i="25"/>
  <c r="NA4" i="25"/>
  <c r="MZ4" i="25"/>
  <c r="MY4" i="25"/>
  <c r="MX4" i="25"/>
  <c r="MW4" i="25"/>
  <c r="MV4" i="25"/>
  <c r="MU4" i="25"/>
  <c r="MT4" i="25"/>
  <c r="MS4" i="25"/>
  <c r="MR4" i="25"/>
  <c r="MQ4" i="25"/>
  <c r="MP4" i="25"/>
  <c r="MO4" i="25"/>
  <c r="MN4" i="25"/>
  <c r="MM4" i="25"/>
  <c r="ML4" i="25"/>
  <c r="MK4" i="25"/>
  <c r="MJ4" i="25"/>
  <c r="MI4" i="25"/>
  <c r="MH4" i="25"/>
  <c r="MG4" i="25"/>
  <c r="MF4" i="25"/>
  <c r="ME4" i="25"/>
  <c r="MD4" i="25"/>
  <c r="MC4" i="25"/>
  <c r="MB4" i="25"/>
  <c r="MA4" i="25"/>
  <c r="LZ4" i="25"/>
  <c r="LY4" i="25"/>
  <c r="LX4" i="25"/>
  <c r="LW4" i="25"/>
  <c r="LV4" i="25"/>
  <c r="LU4" i="25"/>
  <c r="LT4" i="25"/>
  <c r="LS4" i="25"/>
  <c r="LR4" i="25"/>
  <c r="LQ4" i="25"/>
  <c r="LP4" i="25"/>
  <c r="LO4" i="25"/>
  <c r="LN4" i="25"/>
  <c r="LM4" i="25"/>
  <c r="LL4" i="25"/>
  <c r="LK4" i="25"/>
  <c r="LJ4" i="25"/>
  <c r="LI4" i="25"/>
  <c r="LH4" i="25"/>
  <c r="LG4" i="25"/>
  <c r="LF4" i="25"/>
  <c r="LE4" i="25"/>
  <c r="LD4" i="25"/>
  <c r="LC4" i="25"/>
  <c r="LB4" i="25"/>
  <c r="LA4" i="25"/>
  <c r="KZ4" i="25"/>
  <c r="KY4" i="25"/>
  <c r="KX4" i="25"/>
  <c r="KW4" i="25"/>
  <c r="KV4" i="25"/>
  <c r="KU4" i="25"/>
  <c r="KT4" i="25"/>
  <c r="KS4" i="25"/>
  <c r="KR4" i="25"/>
  <c r="KQ4" i="25"/>
  <c r="KP4" i="25"/>
  <c r="KO4" i="25"/>
  <c r="KN4" i="25"/>
  <c r="KM4" i="25"/>
  <c r="KL4" i="25"/>
  <c r="KK4" i="25"/>
  <c r="KJ4" i="25"/>
  <c r="KI4" i="25"/>
  <c r="KH4" i="25"/>
  <c r="KG4" i="25"/>
  <c r="KF4" i="25"/>
  <c r="KE4" i="25"/>
  <c r="KD4" i="25"/>
  <c r="KC4" i="25"/>
  <c r="KB4" i="25"/>
  <c r="KA4" i="25"/>
  <c r="JZ4" i="25"/>
  <c r="JY4" i="25"/>
  <c r="JX4" i="25"/>
  <c r="JW4" i="25"/>
  <c r="JV4" i="25"/>
  <c r="JU4" i="25"/>
  <c r="JT4" i="25"/>
  <c r="JS4" i="25"/>
  <c r="JR4" i="25"/>
  <c r="JQ4" i="25"/>
  <c r="JP4" i="25"/>
  <c r="JO4" i="25"/>
  <c r="JN4" i="25"/>
  <c r="JM4" i="25"/>
  <c r="JL4" i="25"/>
  <c r="JK4" i="25"/>
  <c r="JJ4" i="25"/>
  <c r="JI4" i="25"/>
  <c r="JH4" i="25"/>
  <c r="JG4" i="25"/>
  <c r="JF4" i="25"/>
  <c r="JE4" i="25"/>
  <c r="JD4" i="25"/>
  <c r="JC4" i="25"/>
  <c r="JB4" i="25"/>
  <c r="JA4" i="25"/>
  <c r="IZ4" i="25"/>
  <c r="IY4" i="25"/>
  <c r="IX4" i="25"/>
  <c r="IW4" i="25"/>
  <c r="IV4" i="25"/>
  <c r="IU4" i="25"/>
  <c r="IT4" i="25"/>
  <c r="IS4" i="25"/>
  <c r="IR4" i="25"/>
  <c r="IQ4" i="25"/>
  <c r="IP4" i="25"/>
  <c r="IO4" i="25"/>
  <c r="IN4" i="25"/>
  <c r="IM4" i="25"/>
  <c r="IL4" i="25"/>
  <c r="IK4" i="25"/>
  <c r="IJ4" i="25"/>
  <c r="II4" i="25"/>
  <c r="IH4" i="25"/>
  <c r="IG4" i="25"/>
  <c r="IF4" i="25"/>
  <c r="IE4" i="25"/>
  <c r="ID4" i="25"/>
  <c r="IC4" i="25"/>
  <c r="IB4" i="25"/>
  <c r="IA4" i="25"/>
  <c r="HZ4" i="25"/>
  <c r="HY4" i="25"/>
  <c r="HX4" i="25"/>
  <c r="HW4" i="25"/>
  <c r="HV4" i="25"/>
  <c r="HU4" i="25"/>
  <c r="HT4" i="25"/>
  <c r="HS4" i="25"/>
  <c r="HR4" i="25"/>
  <c r="HQ4" i="25"/>
  <c r="HP4" i="25"/>
  <c r="HO4" i="25"/>
  <c r="HN4" i="25"/>
  <c r="HM4" i="25"/>
  <c r="HL4" i="25"/>
  <c r="HK4" i="25"/>
  <c r="HJ4" i="25"/>
  <c r="HI4" i="25"/>
  <c r="HH4" i="25"/>
  <c r="HG4" i="25"/>
  <c r="HF4" i="25"/>
  <c r="HE4" i="25"/>
  <c r="HD4" i="25"/>
  <c r="HC4" i="25"/>
  <c r="HB4" i="25"/>
  <c r="HA4" i="25"/>
  <c r="GZ4" i="25"/>
  <c r="GY4" i="25"/>
  <c r="GX4" i="25"/>
  <c r="GW4" i="25"/>
  <c r="GV4" i="25"/>
  <c r="GU4" i="25"/>
  <c r="GT4" i="25"/>
  <c r="GS4" i="25"/>
  <c r="GR4" i="25"/>
  <c r="GQ4" i="25"/>
  <c r="GP4" i="25"/>
  <c r="GO4" i="25"/>
  <c r="GN4" i="25"/>
  <c r="GM4" i="25"/>
  <c r="GL4" i="25"/>
  <c r="GK4" i="25"/>
  <c r="GJ4" i="25"/>
  <c r="GI4" i="25"/>
  <c r="GH4" i="25"/>
  <c r="GG4" i="25"/>
  <c r="GF4" i="25"/>
  <c r="GE4" i="25"/>
  <c r="GD4" i="25"/>
  <c r="GC4" i="25"/>
  <c r="GB4" i="25"/>
  <c r="GA4" i="25"/>
  <c r="FZ4" i="25"/>
  <c r="FY4" i="25"/>
  <c r="FX4" i="25"/>
  <c r="FW4" i="25"/>
  <c r="FV4" i="25"/>
  <c r="FU4" i="25"/>
  <c r="FT4" i="25"/>
  <c r="FS4" i="25"/>
  <c r="FR4" i="25"/>
  <c r="FQ4" i="25"/>
  <c r="FP4" i="25"/>
  <c r="FO4" i="25"/>
  <c r="FN4" i="25"/>
  <c r="FM4" i="25"/>
  <c r="FL4" i="25"/>
  <c r="FK4" i="25"/>
  <c r="FJ4" i="25"/>
  <c r="FI4" i="25"/>
  <c r="FH4" i="25"/>
  <c r="FG4" i="25"/>
  <c r="FF4" i="25"/>
  <c r="FE4" i="25"/>
  <c r="FD4" i="25"/>
  <c r="FC4" i="25"/>
  <c r="FB4" i="25"/>
  <c r="FA4" i="25"/>
  <c r="EZ4" i="25"/>
  <c r="EY4" i="25"/>
  <c r="EX4" i="25"/>
  <c r="EW4" i="25"/>
  <c r="EV4" i="25"/>
  <c r="EU4" i="25"/>
  <c r="ET4" i="25"/>
  <c r="ES4" i="25"/>
  <c r="ER4" i="25"/>
  <c r="EQ4" i="25"/>
  <c r="EP4" i="25"/>
  <c r="EO4" i="25"/>
  <c r="EN4" i="25"/>
  <c r="EM4" i="25"/>
  <c r="EL4" i="25"/>
  <c r="EK4" i="25"/>
  <c r="EJ4" i="25"/>
  <c r="EI4" i="25"/>
  <c r="EH4" i="25"/>
  <c r="EG4" i="25"/>
  <c r="EF4" i="25"/>
  <c r="EE4" i="25"/>
  <c r="ED4" i="25"/>
  <c r="EC4" i="25"/>
  <c r="EB4" i="25"/>
  <c r="EA4" i="25"/>
  <c r="DZ4" i="25"/>
  <c r="DY4" i="25"/>
  <c r="DX4" i="25"/>
  <c r="DW4" i="25"/>
  <c r="DV4" i="25"/>
  <c r="DU4" i="25"/>
  <c r="DT4" i="25"/>
  <c r="DS4" i="25"/>
  <c r="DR4" i="25"/>
  <c r="DQ4" i="25"/>
  <c r="DP4" i="25"/>
  <c r="DO4" i="25"/>
  <c r="DN4" i="25"/>
  <c r="DM4" i="25"/>
  <c r="DL4" i="25"/>
  <c r="DK4" i="25"/>
  <c r="DJ4" i="25"/>
  <c r="DI4" i="25"/>
  <c r="DH4" i="25"/>
  <c r="DG4" i="25"/>
  <c r="DF4" i="25"/>
  <c r="DE4" i="25"/>
  <c r="DD4" i="25"/>
  <c r="DC4" i="25"/>
  <c r="DB4" i="25"/>
  <c r="DA4" i="25"/>
  <c r="CZ4" i="25"/>
  <c r="CY4" i="25"/>
  <c r="CX4" i="25"/>
  <c r="CW4" i="25"/>
  <c r="CV4" i="25"/>
  <c r="CU4" i="25"/>
  <c r="CT4" i="25"/>
  <c r="CS4" i="25"/>
  <c r="CR4" i="25"/>
  <c r="CQ4" i="25"/>
  <c r="CP4" i="25"/>
  <c r="CO4" i="25"/>
  <c r="CN4" i="25"/>
  <c r="CM4" i="25"/>
  <c r="CL4" i="25"/>
  <c r="CK4" i="25"/>
  <c r="CJ4" i="25"/>
  <c r="CI4" i="25"/>
  <c r="CH4" i="25"/>
  <c r="CG4" i="25"/>
  <c r="CF4" i="25"/>
  <c r="CE4" i="25"/>
  <c r="CD4" i="25"/>
  <c r="CC4" i="25"/>
  <c r="CB4" i="25"/>
  <c r="CA4" i="25"/>
  <c r="BZ4" i="25"/>
  <c r="BY4" i="25"/>
  <c r="BX4" i="25"/>
  <c r="BW4" i="25"/>
  <c r="BV4" i="25"/>
  <c r="BU4" i="25"/>
  <c r="BT4" i="25"/>
  <c r="BS4" i="25"/>
  <c r="BR4" i="25"/>
  <c r="BQ4" i="25"/>
  <c r="BP4" i="25"/>
  <c r="BO4" i="25"/>
  <c r="BN4" i="25"/>
  <c r="BM4" i="25"/>
  <c r="BL4" i="25"/>
  <c r="BK4" i="25"/>
  <c r="BJ4" i="25"/>
  <c r="BI4" i="25"/>
  <c r="BH4" i="25"/>
  <c r="BG4" i="25"/>
  <c r="BF4" i="25"/>
  <c r="BE4" i="25"/>
  <c r="BD4" i="25"/>
  <c r="BC4" i="25"/>
  <c r="BB4" i="25"/>
  <c r="BA4" i="25"/>
  <c r="AZ4" i="25"/>
  <c r="AY4" i="25"/>
  <c r="AX4" i="25"/>
  <c r="AW4" i="25"/>
  <c r="AV4" i="25"/>
  <c r="AU4" i="25"/>
  <c r="AT4" i="25"/>
  <c r="AS4" i="25"/>
  <c r="AR4" i="25"/>
  <c r="AQ4" i="25"/>
  <c r="AP4" i="25"/>
  <c r="AO4" i="25"/>
  <c r="AN4" i="25"/>
  <c r="AM4" i="25"/>
  <c r="AL4" i="25"/>
  <c r="AK4" i="25"/>
  <c r="AJ4" i="25"/>
  <c r="AI4" i="25"/>
  <c r="AH4" i="25"/>
  <c r="AG4" i="25"/>
  <c r="AF4" i="25"/>
  <c r="AE4" i="25"/>
  <c r="AD4" i="25"/>
  <c r="AC4" i="25"/>
  <c r="AB4" i="25"/>
  <c r="AA4" i="25"/>
  <c r="Z4" i="25"/>
  <c r="Y4" i="25"/>
  <c r="X4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C4" i="25"/>
  <c r="B4" i="25"/>
  <c r="ACV3" i="25"/>
  <c r="ACU3" i="25"/>
  <c r="ACT3" i="25"/>
  <c r="ACS3" i="25"/>
  <c r="ACR3" i="25"/>
  <c r="ACQ3" i="25"/>
  <c r="ACP3" i="25"/>
  <c r="ACO3" i="25"/>
  <c r="ACN3" i="25"/>
  <c r="ACM3" i="25"/>
  <c r="ACL3" i="25"/>
  <c r="ACK3" i="25"/>
  <c r="ACJ3" i="25"/>
  <c r="ACI3" i="25"/>
  <c r="ACH3" i="25"/>
  <c r="ACG3" i="25"/>
  <c r="ACF3" i="25"/>
  <c r="ACE3" i="25"/>
  <c r="ACD3" i="25"/>
  <c r="ACC3" i="25"/>
  <c r="ACB3" i="25"/>
  <c r="ACA3" i="25"/>
  <c r="ABZ3" i="25"/>
  <c r="ABY3" i="25"/>
  <c r="ABX3" i="25"/>
  <c r="ABW3" i="25"/>
  <c r="ABV3" i="25"/>
  <c r="ABU3" i="25"/>
  <c r="ABT3" i="25"/>
  <c r="ABS3" i="25"/>
  <c r="ABR3" i="25"/>
  <c r="ABQ3" i="25"/>
  <c r="ABP3" i="25"/>
  <c r="ABO3" i="25"/>
  <c r="ABN3" i="25"/>
  <c r="ABM3" i="25"/>
  <c r="ABL3" i="25"/>
  <c r="ABK3" i="25"/>
  <c r="ABJ3" i="25"/>
  <c r="ABI3" i="25"/>
  <c r="ABH3" i="25"/>
  <c r="ABG3" i="25"/>
  <c r="ABF3" i="25"/>
  <c r="ABE3" i="25"/>
  <c r="ABD3" i="25"/>
  <c r="ABC3" i="25"/>
  <c r="ABB3" i="25"/>
  <c r="ABA3" i="25"/>
  <c r="AAZ3" i="25"/>
  <c r="AAY3" i="25"/>
  <c r="AAX3" i="25"/>
  <c r="AAW3" i="25"/>
  <c r="AAV3" i="25"/>
  <c r="AAU3" i="25"/>
  <c r="AAT3" i="25"/>
  <c r="AAS3" i="25"/>
  <c r="AAR3" i="25"/>
  <c r="AAQ3" i="25"/>
  <c r="AAP3" i="25"/>
  <c r="AAO3" i="25"/>
  <c r="AAN3" i="25"/>
  <c r="AAM3" i="25"/>
  <c r="AAL3" i="25"/>
  <c r="AAK3" i="25"/>
  <c r="AAJ3" i="25"/>
  <c r="AAI3" i="25"/>
  <c r="AAH3" i="25"/>
  <c r="AAG3" i="25"/>
  <c r="AAF3" i="25"/>
  <c r="AAE3" i="25"/>
  <c r="AAD3" i="25"/>
  <c r="AAC3" i="25"/>
  <c r="AAB3" i="25"/>
  <c r="AAA3" i="25"/>
  <c r="ZZ3" i="25"/>
  <c r="ZY3" i="25"/>
  <c r="ZX3" i="25"/>
  <c r="ZW3" i="25"/>
  <c r="ZV3" i="25"/>
  <c r="ZU3" i="25"/>
  <c r="ZT3" i="25"/>
  <c r="ZS3" i="25"/>
  <c r="ZR3" i="25"/>
  <c r="ZQ3" i="25"/>
  <c r="ZP3" i="25"/>
  <c r="ZO3" i="25"/>
  <c r="ZN3" i="25"/>
  <c r="ZM3" i="25"/>
  <c r="ZL3" i="25"/>
  <c r="ZK3" i="25"/>
  <c r="ZJ3" i="25"/>
  <c r="ZI3" i="25"/>
  <c r="ZH3" i="25"/>
  <c r="ZG3" i="25"/>
  <c r="ZF3" i="25"/>
  <c r="ZE3" i="25"/>
  <c r="ZD3" i="25"/>
  <c r="ZC3" i="25"/>
  <c r="ZB3" i="25"/>
  <c r="ZA3" i="25"/>
  <c r="YZ3" i="25"/>
  <c r="YY3" i="25"/>
  <c r="YX3" i="25"/>
  <c r="YW3" i="25"/>
  <c r="YV3" i="25"/>
  <c r="YU3" i="25"/>
  <c r="YT3" i="25"/>
  <c r="YS3" i="25"/>
  <c r="YR3" i="25"/>
  <c r="YQ3" i="25"/>
  <c r="YP3" i="25"/>
  <c r="YO3" i="25"/>
  <c r="YN3" i="25"/>
  <c r="YM3" i="25"/>
  <c r="YL3" i="25"/>
  <c r="YK3" i="25"/>
  <c r="YJ3" i="25"/>
  <c r="YI3" i="25"/>
  <c r="YH3" i="25"/>
  <c r="YG3" i="25"/>
  <c r="YF3" i="25"/>
  <c r="YE3" i="25"/>
  <c r="YD3" i="25"/>
  <c r="YC3" i="25"/>
  <c r="YB3" i="25"/>
  <c r="YA3" i="25"/>
  <c r="XZ3" i="25"/>
  <c r="XY3" i="25"/>
  <c r="XX3" i="25"/>
  <c r="XW3" i="25"/>
  <c r="XV3" i="25"/>
  <c r="XU3" i="25"/>
  <c r="XT3" i="25"/>
  <c r="XS3" i="25"/>
  <c r="XR3" i="25"/>
  <c r="XQ3" i="25"/>
  <c r="XP3" i="25"/>
  <c r="XO3" i="25"/>
  <c r="XN3" i="25"/>
  <c r="XM3" i="25"/>
  <c r="XL3" i="25"/>
  <c r="XK3" i="25"/>
  <c r="XJ3" i="25"/>
  <c r="XI3" i="25"/>
  <c r="XH3" i="25"/>
  <c r="XG3" i="25"/>
  <c r="XF3" i="25"/>
  <c r="XE3" i="25"/>
  <c r="XD3" i="25"/>
  <c r="XC3" i="25"/>
  <c r="XB3" i="25"/>
  <c r="XA3" i="25"/>
  <c r="WZ3" i="25"/>
  <c r="WY3" i="25"/>
  <c r="WX3" i="25"/>
  <c r="WW3" i="25"/>
  <c r="WV3" i="25"/>
  <c r="WU3" i="25"/>
  <c r="WT3" i="25"/>
  <c r="WS3" i="25"/>
  <c r="WR3" i="25"/>
  <c r="WQ3" i="25"/>
  <c r="WP3" i="25"/>
  <c r="WO3" i="25"/>
  <c r="WN3" i="25"/>
  <c r="WM3" i="25"/>
  <c r="WL3" i="25"/>
  <c r="WK3" i="25"/>
  <c r="WJ3" i="25"/>
  <c r="WI3" i="25"/>
  <c r="WH3" i="25"/>
  <c r="WG3" i="25"/>
  <c r="WF3" i="25"/>
  <c r="WE3" i="25"/>
  <c r="WD3" i="25"/>
  <c r="WC3" i="25"/>
  <c r="WB3" i="25"/>
  <c r="WA3" i="25"/>
  <c r="VZ3" i="25"/>
  <c r="VY3" i="25"/>
  <c r="VX3" i="25"/>
  <c r="VW3" i="25"/>
  <c r="VV3" i="25"/>
  <c r="VU3" i="25"/>
  <c r="VT3" i="25"/>
  <c r="VS3" i="25"/>
  <c r="VR3" i="25"/>
  <c r="VQ3" i="25"/>
  <c r="VP3" i="25"/>
  <c r="VO3" i="25"/>
  <c r="VN3" i="25"/>
  <c r="VM3" i="25"/>
  <c r="VL3" i="25"/>
  <c r="VK3" i="25"/>
  <c r="VJ3" i="25"/>
  <c r="VI3" i="25"/>
  <c r="VH3" i="25"/>
  <c r="VG3" i="25"/>
  <c r="VF3" i="25"/>
  <c r="VE3" i="25"/>
  <c r="VD3" i="25"/>
  <c r="VC3" i="25"/>
  <c r="VB3" i="25"/>
  <c r="VA3" i="25"/>
  <c r="UZ3" i="25"/>
  <c r="UY3" i="25"/>
  <c r="UX3" i="25"/>
  <c r="UW3" i="25"/>
  <c r="UV3" i="25"/>
  <c r="UU3" i="25"/>
  <c r="UT3" i="25"/>
  <c r="US3" i="25"/>
  <c r="UR3" i="25"/>
  <c r="UQ3" i="25"/>
  <c r="UP3" i="25"/>
  <c r="UO3" i="25"/>
  <c r="UN3" i="25"/>
  <c r="UM3" i="25"/>
  <c r="UL3" i="25"/>
  <c r="UK3" i="25"/>
  <c r="UJ3" i="25"/>
  <c r="UI3" i="25"/>
  <c r="UH3" i="25"/>
  <c r="UG3" i="25"/>
  <c r="UF3" i="25"/>
  <c r="UE3" i="25"/>
  <c r="UD3" i="25"/>
  <c r="UC3" i="25"/>
  <c r="UB3" i="25"/>
  <c r="UA3" i="25"/>
  <c r="TZ3" i="25"/>
  <c r="TY3" i="25"/>
  <c r="TX3" i="25"/>
  <c r="TW3" i="25"/>
  <c r="TV3" i="25"/>
  <c r="TU3" i="25"/>
  <c r="TT3" i="25"/>
  <c r="TS3" i="25"/>
  <c r="TR3" i="25"/>
  <c r="TQ3" i="25"/>
  <c r="TP3" i="25"/>
  <c r="TO3" i="25"/>
  <c r="TN3" i="25"/>
  <c r="TM3" i="25"/>
  <c r="TL3" i="25"/>
  <c r="TK3" i="25"/>
  <c r="TJ3" i="25"/>
  <c r="TI3" i="25"/>
  <c r="TH3" i="25"/>
  <c r="TG3" i="25"/>
  <c r="TF3" i="25"/>
  <c r="TE3" i="25"/>
  <c r="TD3" i="25"/>
  <c r="TC3" i="25"/>
  <c r="TB3" i="25"/>
  <c r="TA3" i="25"/>
  <c r="SZ3" i="25"/>
  <c r="SY3" i="25"/>
  <c r="SX3" i="25"/>
  <c r="SW3" i="25"/>
  <c r="SV3" i="25"/>
  <c r="SU3" i="25"/>
  <c r="ST3" i="25"/>
  <c r="SS3" i="25"/>
  <c r="SR3" i="25"/>
  <c r="SQ3" i="25"/>
  <c r="SP3" i="25"/>
  <c r="SO3" i="25"/>
  <c r="SN3" i="25"/>
  <c r="SM3" i="25"/>
  <c r="SL3" i="25"/>
  <c r="SK3" i="25"/>
  <c r="SJ3" i="25"/>
  <c r="SI3" i="25"/>
  <c r="SH3" i="25"/>
  <c r="SG3" i="25"/>
  <c r="SF3" i="25"/>
  <c r="SE3" i="25"/>
  <c r="SD3" i="25"/>
  <c r="SC3" i="25"/>
  <c r="SB3" i="25"/>
  <c r="SA3" i="25"/>
  <c r="RZ3" i="25"/>
  <c r="RY3" i="25"/>
  <c r="RX3" i="25"/>
  <c r="RW3" i="25"/>
  <c r="RV3" i="25"/>
  <c r="RU3" i="25"/>
  <c r="RT3" i="25"/>
  <c r="RS3" i="25"/>
  <c r="RR3" i="25"/>
  <c r="RQ3" i="25"/>
  <c r="RP3" i="25"/>
  <c r="RO3" i="25"/>
  <c r="RN3" i="25"/>
  <c r="RM3" i="25"/>
  <c r="RL3" i="25"/>
  <c r="RK3" i="25"/>
  <c r="RJ3" i="25"/>
  <c r="RI3" i="25"/>
  <c r="RH3" i="25"/>
  <c r="RG3" i="25"/>
  <c r="RF3" i="25"/>
  <c r="RE3" i="25"/>
  <c r="RD3" i="25"/>
  <c r="RC3" i="25"/>
  <c r="RB3" i="25"/>
  <c r="RA3" i="25"/>
  <c r="QZ3" i="25"/>
  <c r="QY3" i="25"/>
  <c r="QX3" i="25"/>
  <c r="QW3" i="25"/>
  <c r="QV3" i="25"/>
  <c r="QU3" i="25"/>
  <c r="QT3" i="25"/>
  <c r="QS3" i="25"/>
  <c r="QR3" i="25"/>
  <c r="QQ3" i="25"/>
  <c r="QP3" i="25"/>
  <c r="QO3" i="25"/>
  <c r="QN3" i="25"/>
  <c r="QM3" i="25"/>
  <c r="QL3" i="25"/>
  <c r="QK3" i="25"/>
  <c r="QJ3" i="25"/>
  <c r="QI3" i="25"/>
  <c r="QH3" i="25"/>
  <c r="QG3" i="25"/>
  <c r="QF3" i="25"/>
  <c r="QE3" i="25"/>
  <c r="QD3" i="25"/>
  <c r="QC3" i="25"/>
  <c r="QB3" i="25"/>
  <c r="QA3" i="25"/>
  <c r="PZ3" i="25"/>
  <c r="PY3" i="25"/>
  <c r="PX3" i="25"/>
  <c r="PW3" i="25"/>
  <c r="PV3" i="25"/>
  <c r="PU3" i="25"/>
  <c r="PT3" i="25"/>
  <c r="PS3" i="25"/>
  <c r="PR3" i="25"/>
  <c r="PQ3" i="25"/>
  <c r="PP3" i="25"/>
  <c r="PO3" i="25"/>
  <c r="PN3" i="25"/>
  <c r="PM3" i="25"/>
  <c r="PL3" i="25"/>
  <c r="PK3" i="25"/>
  <c r="PJ3" i="25"/>
  <c r="PI3" i="25"/>
  <c r="PH3" i="25"/>
  <c r="PG3" i="25"/>
  <c r="PF3" i="25"/>
  <c r="PE3" i="25"/>
  <c r="PD3" i="25"/>
  <c r="PC3" i="25"/>
  <c r="PB3" i="25"/>
  <c r="PA3" i="25"/>
  <c r="OZ3" i="25"/>
  <c r="OY3" i="25"/>
  <c r="OX3" i="25"/>
  <c r="OW3" i="25"/>
  <c r="OV3" i="25"/>
  <c r="OU3" i="25"/>
  <c r="OT3" i="25"/>
  <c r="OS3" i="25"/>
  <c r="OR3" i="25"/>
  <c r="OQ3" i="25"/>
  <c r="OP3" i="25"/>
  <c r="OO3" i="25"/>
  <c r="ON3" i="25"/>
  <c r="OM3" i="25"/>
  <c r="OL3" i="25"/>
  <c r="OK3" i="25"/>
  <c r="OJ3" i="25"/>
  <c r="OI3" i="25"/>
  <c r="OH3" i="25"/>
  <c r="OG3" i="25"/>
  <c r="OF3" i="25"/>
  <c r="OE3" i="25"/>
  <c r="OD3" i="25"/>
  <c r="OC3" i="25"/>
  <c r="OB3" i="25"/>
  <c r="OA3" i="25"/>
  <c r="NZ3" i="25"/>
  <c r="NY3" i="25"/>
  <c r="NX3" i="25"/>
  <c r="NW3" i="25"/>
  <c r="NV3" i="25"/>
  <c r="NU3" i="25"/>
  <c r="NT3" i="25"/>
  <c r="NS3" i="25"/>
  <c r="NR3" i="25"/>
  <c r="NQ3" i="25"/>
  <c r="NP3" i="25"/>
  <c r="NO3" i="25"/>
  <c r="NN3" i="25"/>
  <c r="NM3" i="25"/>
  <c r="NL3" i="25"/>
  <c r="NK3" i="25"/>
  <c r="NJ3" i="25"/>
  <c r="NI3" i="25"/>
  <c r="NH3" i="25"/>
  <c r="NG3" i="25"/>
  <c r="NF3" i="25"/>
  <c r="NE3" i="25"/>
  <c r="ND3" i="25"/>
  <c r="NC3" i="25"/>
  <c r="NB3" i="25"/>
  <c r="NA3" i="25"/>
  <c r="MZ3" i="25"/>
  <c r="MY3" i="25"/>
  <c r="MX3" i="25"/>
  <c r="MW3" i="25"/>
  <c r="MV3" i="25"/>
  <c r="MU3" i="25"/>
  <c r="MT3" i="25"/>
  <c r="MS3" i="25"/>
  <c r="MR3" i="25"/>
  <c r="MQ3" i="25"/>
  <c r="MP3" i="25"/>
  <c r="MO3" i="25"/>
  <c r="MN3" i="25"/>
  <c r="MM3" i="25"/>
  <c r="ML3" i="25"/>
  <c r="MK3" i="25"/>
  <c r="MJ3" i="25"/>
  <c r="MI3" i="25"/>
  <c r="MH3" i="25"/>
  <c r="MG3" i="25"/>
  <c r="MF3" i="25"/>
  <c r="ME3" i="25"/>
  <c r="MD3" i="25"/>
  <c r="MC3" i="25"/>
  <c r="MB3" i="25"/>
  <c r="MA3" i="25"/>
  <c r="LZ3" i="25"/>
  <c r="LY3" i="25"/>
  <c r="LX3" i="25"/>
  <c r="LW3" i="25"/>
  <c r="LV3" i="25"/>
  <c r="LU3" i="25"/>
  <c r="LT3" i="25"/>
  <c r="LS3" i="25"/>
  <c r="LR3" i="25"/>
  <c r="LQ3" i="25"/>
  <c r="LP3" i="25"/>
  <c r="LO3" i="25"/>
  <c r="LN3" i="25"/>
  <c r="LM3" i="25"/>
  <c r="LL3" i="25"/>
  <c r="LK3" i="25"/>
  <c r="LJ3" i="25"/>
  <c r="LI3" i="25"/>
  <c r="LH3" i="25"/>
  <c r="LG3" i="25"/>
  <c r="LF3" i="25"/>
  <c r="LE3" i="25"/>
  <c r="LD3" i="25"/>
  <c r="LC3" i="25"/>
  <c r="LB3" i="25"/>
  <c r="LA3" i="25"/>
  <c r="KZ3" i="25"/>
  <c r="KY3" i="25"/>
  <c r="KX3" i="25"/>
  <c r="KW3" i="25"/>
  <c r="KV3" i="25"/>
  <c r="KU3" i="25"/>
  <c r="KT3" i="25"/>
  <c r="KS3" i="25"/>
  <c r="KR3" i="25"/>
  <c r="KQ3" i="25"/>
  <c r="KP3" i="25"/>
  <c r="KO3" i="25"/>
  <c r="KN3" i="25"/>
  <c r="KM3" i="25"/>
  <c r="KL3" i="25"/>
  <c r="KK3" i="25"/>
  <c r="KJ3" i="25"/>
  <c r="KI3" i="25"/>
  <c r="KH3" i="25"/>
  <c r="KG3" i="25"/>
  <c r="KF3" i="25"/>
  <c r="KE3" i="25"/>
  <c r="KD3" i="25"/>
  <c r="KC3" i="25"/>
  <c r="KB3" i="25"/>
  <c r="KA3" i="25"/>
  <c r="JZ3" i="25"/>
  <c r="JY3" i="25"/>
  <c r="JX3" i="25"/>
  <c r="JW3" i="25"/>
  <c r="JV3" i="25"/>
  <c r="JU3" i="25"/>
  <c r="JT3" i="25"/>
  <c r="JS3" i="25"/>
  <c r="JR3" i="25"/>
  <c r="JQ3" i="25"/>
  <c r="JP3" i="25"/>
  <c r="JO3" i="25"/>
  <c r="JN3" i="25"/>
  <c r="JM3" i="25"/>
  <c r="JL3" i="25"/>
  <c r="JK3" i="25"/>
  <c r="JJ3" i="25"/>
  <c r="JI3" i="25"/>
  <c r="JH3" i="25"/>
  <c r="JG3" i="25"/>
  <c r="JF3" i="25"/>
  <c r="JE3" i="25"/>
  <c r="JD3" i="25"/>
  <c r="JC3" i="25"/>
  <c r="JB3" i="25"/>
  <c r="JA3" i="25"/>
  <c r="IZ3" i="25"/>
  <c r="IY3" i="25"/>
  <c r="IX3" i="25"/>
  <c r="IW3" i="25"/>
  <c r="IV3" i="25"/>
  <c r="IU3" i="25"/>
  <c r="IT3" i="25"/>
  <c r="IS3" i="25"/>
  <c r="IR3" i="25"/>
  <c r="IQ3" i="25"/>
  <c r="IP3" i="25"/>
  <c r="IO3" i="25"/>
  <c r="IN3" i="25"/>
  <c r="IM3" i="25"/>
  <c r="IL3" i="25"/>
  <c r="IK3" i="25"/>
  <c r="IJ3" i="25"/>
  <c r="II3" i="25"/>
  <c r="IH3" i="25"/>
  <c r="IG3" i="25"/>
  <c r="IF3" i="25"/>
  <c r="IE3" i="25"/>
  <c r="ID3" i="25"/>
  <c r="IC3" i="25"/>
  <c r="IB3" i="25"/>
  <c r="IA3" i="25"/>
  <c r="HZ3" i="25"/>
  <c r="HY3" i="25"/>
  <c r="HX3" i="25"/>
  <c r="HW3" i="25"/>
  <c r="HV3" i="25"/>
  <c r="HU3" i="25"/>
  <c r="HT3" i="25"/>
  <c r="HS3" i="25"/>
  <c r="HR3" i="25"/>
  <c r="HQ3" i="25"/>
  <c r="HP3" i="25"/>
  <c r="HO3" i="25"/>
  <c r="HN3" i="25"/>
  <c r="HM3" i="25"/>
  <c r="HL3" i="25"/>
  <c r="HK3" i="25"/>
  <c r="HJ3" i="25"/>
  <c r="HI3" i="25"/>
  <c r="HH3" i="25"/>
  <c r="HG3" i="25"/>
  <c r="HF3" i="25"/>
  <c r="HE3" i="25"/>
  <c r="HD3" i="25"/>
  <c r="HC3" i="25"/>
  <c r="HB3" i="25"/>
  <c r="HA3" i="25"/>
  <c r="GZ3" i="25"/>
  <c r="GY3" i="25"/>
  <c r="GX3" i="25"/>
  <c r="GW3" i="25"/>
  <c r="GV3" i="25"/>
  <c r="GU3" i="25"/>
  <c r="GT3" i="25"/>
  <c r="GS3" i="25"/>
  <c r="GR3" i="25"/>
  <c r="GQ3" i="25"/>
  <c r="GP3" i="25"/>
  <c r="GO3" i="25"/>
  <c r="GN3" i="25"/>
  <c r="GM3" i="25"/>
  <c r="GL3" i="25"/>
  <c r="GK3" i="25"/>
  <c r="GJ3" i="25"/>
  <c r="GI3" i="25"/>
  <c r="GH3" i="25"/>
  <c r="GG3" i="25"/>
  <c r="GF3" i="25"/>
  <c r="GE3" i="25"/>
  <c r="GD3" i="25"/>
  <c r="GC3" i="25"/>
  <c r="GB3" i="25"/>
  <c r="GA3" i="25"/>
  <c r="FZ3" i="25"/>
  <c r="FY3" i="25"/>
  <c r="FX3" i="25"/>
  <c r="FW3" i="25"/>
  <c r="FV3" i="25"/>
  <c r="FU3" i="25"/>
  <c r="FT3" i="25"/>
  <c r="FS3" i="25"/>
  <c r="FR3" i="25"/>
  <c r="FQ3" i="25"/>
  <c r="FP3" i="25"/>
  <c r="FO3" i="25"/>
  <c r="FN3" i="25"/>
  <c r="FM3" i="25"/>
  <c r="FL3" i="25"/>
  <c r="FK3" i="25"/>
  <c r="FJ3" i="25"/>
  <c r="FI3" i="25"/>
  <c r="FH3" i="25"/>
  <c r="FG3" i="25"/>
  <c r="FF3" i="25"/>
  <c r="FE3" i="25"/>
  <c r="FD3" i="25"/>
  <c r="FC3" i="25"/>
  <c r="FB3" i="25"/>
  <c r="FA3" i="25"/>
  <c r="EZ3" i="25"/>
  <c r="EY3" i="25"/>
  <c r="EX3" i="25"/>
  <c r="EW3" i="25"/>
  <c r="EV3" i="25"/>
  <c r="EU3" i="25"/>
  <c r="ET3" i="25"/>
  <c r="ES3" i="25"/>
  <c r="ER3" i="25"/>
  <c r="EQ3" i="25"/>
  <c r="EP3" i="25"/>
  <c r="EO3" i="25"/>
  <c r="EN3" i="25"/>
  <c r="EM3" i="25"/>
  <c r="EL3" i="25"/>
  <c r="EK3" i="25"/>
  <c r="EJ3" i="25"/>
  <c r="EI3" i="25"/>
  <c r="EH3" i="25"/>
  <c r="EG3" i="25"/>
  <c r="EF3" i="25"/>
  <c r="EE3" i="25"/>
  <c r="ED3" i="25"/>
  <c r="EC3" i="25"/>
  <c r="EB3" i="25"/>
  <c r="EA3" i="25"/>
  <c r="DZ3" i="25"/>
  <c r="DY3" i="25"/>
  <c r="DX3" i="25"/>
  <c r="DW3" i="25"/>
  <c r="DV3" i="25"/>
  <c r="DU3" i="25"/>
  <c r="DT3" i="25"/>
  <c r="DS3" i="25"/>
  <c r="DR3" i="25"/>
  <c r="DQ3" i="25"/>
  <c r="DP3" i="25"/>
  <c r="DO3" i="25"/>
  <c r="DN3" i="25"/>
  <c r="DM3" i="25"/>
  <c r="DL3" i="25"/>
  <c r="DK3" i="25"/>
  <c r="DJ3" i="25"/>
  <c r="DI3" i="25"/>
  <c r="DH3" i="25"/>
  <c r="DG3" i="25"/>
  <c r="DF3" i="25"/>
  <c r="DE3" i="25"/>
  <c r="DD3" i="25"/>
  <c r="DC3" i="25"/>
  <c r="DB3" i="25"/>
  <c r="DA3" i="25"/>
  <c r="CZ3" i="25"/>
  <c r="CY3" i="25"/>
  <c r="CX3" i="25"/>
  <c r="CW3" i="25"/>
  <c r="CV3" i="25"/>
  <c r="CU3" i="25"/>
  <c r="CT3" i="25"/>
  <c r="CS3" i="25"/>
  <c r="CR3" i="25"/>
  <c r="CQ3" i="25"/>
  <c r="CP3" i="25"/>
  <c r="CO3" i="25"/>
  <c r="CN3" i="25"/>
  <c r="CM3" i="25"/>
  <c r="CL3" i="25"/>
  <c r="CK3" i="25"/>
  <c r="CJ3" i="25"/>
  <c r="CI3" i="25"/>
  <c r="CH3" i="25"/>
  <c r="CG3" i="25"/>
  <c r="CF3" i="25"/>
  <c r="CE3" i="25"/>
  <c r="CD3" i="25"/>
  <c r="CC3" i="25"/>
  <c r="CB3" i="25"/>
  <c r="CA3" i="25"/>
  <c r="BZ3" i="25"/>
  <c r="BY3" i="25"/>
  <c r="BX3" i="25"/>
  <c r="BW3" i="25"/>
  <c r="BV3" i="25"/>
  <c r="BU3" i="25"/>
  <c r="BT3" i="25"/>
  <c r="BS3" i="25"/>
  <c r="BR3" i="25"/>
  <c r="BQ3" i="25"/>
  <c r="BP3" i="25"/>
  <c r="BO3" i="25"/>
  <c r="BN3" i="25"/>
  <c r="BM3" i="25"/>
  <c r="BL3" i="25"/>
  <c r="BK3" i="25"/>
  <c r="BJ3" i="25"/>
  <c r="BI3" i="25"/>
  <c r="BH3" i="25"/>
  <c r="BG3" i="25"/>
  <c r="BF3" i="25"/>
  <c r="BE3" i="25"/>
  <c r="BD3" i="25"/>
  <c r="BC3" i="25"/>
  <c r="BB3" i="25"/>
  <c r="BA3" i="25"/>
  <c r="AZ3" i="25"/>
  <c r="AY3" i="25"/>
  <c r="AX3" i="25"/>
  <c r="AW3" i="25"/>
  <c r="AV3" i="25"/>
  <c r="AU3" i="25"/>
  <c r="AT3" i="25"/>
  <c r="AS3" i="25"/>
  <c r="AR3" i="25"/>
  <c r="AQ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B13" i="25" s="1"/>
  <c r="B13" i="30" l="1"/>
  <c r="C15" i="25"/>
  <c r="D15" i="25" s="1"/>
  <c r="E15" i="25" s="1"/>
  <c r="F15" i="25" s="1"/>
  <c r="G15" i="25" s="1"/>
  <c r="H15" i="25" s="1"/>
  <c r="I15" i="25" s="1"/>
  <c r="J15" i="25" s="1"/>
  <c r="K15" i="25" s="1"/>
  <c r="L15" i="25" s="1"/>
  <c r="M15" i="25" s="1"/>
  <c r="N15" i="25" s="1"/>
  <c r="O15" i="25" s="1"/>
  <c r="P15" i="25" s="1"/>
  <c r="Q15" i="25" s="1"/>
  <c r="R15" i="25" s="1"/>
  <c r="S15" i="25" s="1"/>
  <c r="T15" i="25" s="1"/>
  <c r="U15" i="25" s="1"/>
  <c r="V15" i="25" s="1"/>
  <c r="W15" i="25" s="1"/>
  <c r="X15" i="25" s="1"/>
  <c r="Y15" i="25" s="1"/>
  <c r="Z15" i="25" s="1"/>
  <c r="AA15" i="25" s="1"/>
  <c r="AB15" i="25" s="1"/>
  <c r="AC15" i="25" s="1"/>
  <c r="AD15" i="25" s="1"/>
  <c r="AE15" i="25" s="1"/>
  <c r="AF15" i="25" s="1"/>
  <c r="AG15" i="25" s="1"/>
  <c r="AH15" i="25" s="1"/>
  <c r="AI15" i="25" s="1"/>
  <c r="AJ15" i="25" s="1"/>
  <c r="AK15" i="25" s="1"/>
  <c r="AL15" i="25" s="1"/>
  <c r="AM15" i="25" s="1"/>
  <c r="AN15" i="25" s="1"/>
  <c r="AO15" i="25" s="1"/>
  <c r="AP15" i="25" s="1"/>
  <c r="AQ15" i="25" s="1"/>
  <c r="AR15" i="25" s="1"/>
  <c r="AS15" i="25" s="1"/>
  <c r="AT15" i="25" s="1"/>
  <c r="AU15" i="25" s="1"/>
  <c r="AV15" i="25" s="1"/>
  <c r="AW15" i="25" s="1"/>
  <c r="AX15" i="25" s="1"/>
  <c r="AY15" i="25" s="1"/>
  <c r="AZ15" i="25" s="1"/>
  <c r="BA15" i="25" s="1"/>
  <c r="BB15" i="25" s="1"/>
  <c r="BC15" i="25" s="1"/>
  <c r="BD15" i="25" s="1"/>
  <c r="BE15" i="25" s="1"/>
  <c r="BF15" i="25" s="1"/>
  <c r="BG15" i="25" s="1"/>
  <c r="BH15" i="25" s="1"/>
  <c r="BI15" i="25" s="1"/>
  <c r="BJ15" i="25" s="1"/>
  <c r="BK15" i="25" s="1"/>
  <c r="BL15" i="25" s="1"/>
  <c r="BM15" i="25" s="1"/>
  <c r="BN15" i="25" s="1"/>
  <c r="BO15" i="25" s="1"/>
  <c r="BP15" i="25" s="1"/>
  <c r="BQ15" i="25" s="1"/>
  <c r="BR15" i="25" s="1"/>
  <c r="BS15" i="25" s="1"/>
  <c r="BT15" i="25" s="1"/>
  <c r="BU15" i="25" s="1"/>
  <c r="BV15" i="25" s="1"/>
  <c r="BW15" i="25" s="1"/>
  <c r="BX15" i="25" s="1"/>
  <c r="BY15" i="25" s="1"/>
  <c r="BZ15" i="25" s="1"/>
  <c r="CA15" i="25" s="1"/>
  <c r="CB15" i="25" s="1"/>
  <c r="CC15" i="25" s="1"/>
  <c r="CD15" i="25" s="1"/>
  <c r="CE15" i="25" s="1"/>
  <c r="CF15" i="25" s="1"/>
  <c r="CG15" i="25" s="1"/>
  <c r="CH15" i="25" s="1"/>
  <c r="CI15" i="25" s="1"/>
  <c r="CJ15" i="25" s="1"/>
  <c r="CK15" i="25" s="1"/>
  <c r="CL15" i="25" s="1"/>
  <c r="CM15" i="25" s="1"/>
  <c r="CN15" i="25" s="1"/>
  <c r="CO15" i="25" s="1"/>
  <c r="CP15" i="25" s="1"/>
  <c r="CQ15" i="25" s="1"/>
  <c r="CR15" i="25" s="1"/>
  <c r="CS15" i="25" s="1"/>
  <c r="CT15" i="25" s="1"/>
  <c r="CU15" i="25" s="1"/>
  <c r="CV15" i="25" s="1"/>
  <c r="CW15" i="25" s="1"/>
  <c r="CX15" i="25" s="1"/>
  <c r="CY15" i="25" s="1"/>
  <c r="CZ15" i="25" s="1"/>
  <c r="DA15" i="25" s="1"/>
  <c r="DB15" i="25" s="1"/>
  <c r="DC15" i="25" s="1"/>
  <c r="DD15" i="25" s="1"/>
  <c r="DE15" i="25" s="1"/>
  <c r="DF15" i="25" s="1"/>
  <c r="DG15" i="25" s="1"/>
  <c r="DH15" i="25" s="1"/>
  <c r="DI15" i="25" s="1"/>
  <c r="DJ15" i="25" s="1"/>
  <c r="DK15" i="25" s="1"/>
  <c r="DL15" i="25" s="1"/>
  <c r="DM15" i="25" s="1"/>
  <c r="DN15" i="25" s="1"/>
  <c r="DO15" i="25" s="1"/>
  <c r="DP15" i="25" s="1"/>
  <c r="DQ15" i="25" s="1"/>
  <c r="DR15" i="25" s="1"/>
  <c r="DS15" i="25" s="1"/>
  <c r="DT15" i="25" s="1"/>
  <c r="DU15" i="25" s="1"/>
  <c r="DV15" i="25" s="1"/>
  <c r="DW15" i="25" s="1"/>
  <c r="DX15" i="25" s="1"/>
  <c r="DY15" i="25" s="1"/>
  <c r="DZ15" i="25" s="1"/>
  <c r="EA15" i="25" s="1"/>
  <c r="EB15" i="25" s="1"/>
  <c r="EC15" i="25" s="1"/>
  <c r="ED15" i="25" s="1"/>
  <c r="EE15" i="25" s="1"/>
  <c r="EF15" i="25" s="1"/>
  <c r="EG15" i="25" s="1"/>
  <c r="EH15" i="25" s="1"/>
  <c r="EI15" i="25" s="1"/>
  <c r="EJ15" i="25" s="1"/>
  <c r="EK15" i="25" s="1"/>
  <c r="EL15" i="25" s="1"/>
  <c r="EM15" i="25" s="1"/>
  <c r="EN15" i="25" s="1"/>
  <c r="EO15" i="25" s="1"/>
  <c r="EP15" i="25" s="1"/>
  <c r="EQ15" i="25" s="1"/>
  <c r="ER15" i="25" s="1"/>
  <c r="ES15" i="25" s="1"/>
  <c r="ET15" i="25" s="1"/>
  <c r="EU15" i="25" s="1"/>
  <c r="EV15" i="25" s="1"/>
  <c r="EW15" i="25" s="1"/>
  <c r="EX15" i="25" s="1"/>
  <c r="EY15" i="25" s="1"/>
  <c r="EZ15" i="25" s="1"/>
  <c r="FA15" i="25" s="1"/>
  <c r="FB15" i="25" s="1"/>
  <c r="FC15" i="25" s="1"/>
  <c r="FD15" i="25" s="1"/>
  <c r="FE15" i="25" s="1"/>
  <c r="FF15" i="25" s="1"/>
  <c r="FG15" i="25" s="1"/>
  <c r="FH15" i="25" s="1"/>
  <c r="FI15" i="25" s="1"/>
  <c r="FJ15" i="25" s="1"/>
  <c r="FK15" i="25" s="1"/>
  <c r="FL15" i="25" s="1"/>
  <c r="FM15" i="25" s="1"/>
  <c r="FN15" i="25" s="1"/>
  <c r="FO15" i="25" s="1"/>
  <c r="FP15" i="25" s="1"/>
  <c r="FQ15" i="25" s="1"/>
  <c r="FR15" i="25" s="1"/>
  <c r="FS15" i="25" s="1"/>
  <c r="FT15" i="25" s="1"/>
  <c r="FU15" i="25" s="1"/>
  <c r="FV15" i="25" s="1"/>
  <c r="FW15" i="25" s="1"/>
  <c r="FX15" i="25" s="1"/>
  <c r="FY15" i="25" s="1"/>
  <c r="FZ15" i="25" s="1"/>
  <c r="GA15" i="25" s="1"/>
  <c r="GB15" i="25" s="1"/>
  <c r="GC15" i="25" s="1"/>
  <c r="GD15" i="25" s="1"/>
  <c r="GE15" i="25" s="1"/>
  <c r="GF15" i="25" s="1"/>
  <c r="GG15" i="25" s="1"/>
  <c r="GH15" i="25" s="1"/>
  <c r="GI15" i="25" s="1"/>
  <c r="GJ15" i="25" s="1"/>
  <c r="GK15" i="25" s="1"/>
  <c r="GL15" i="25" s="1"/>
  <c r="GM15" i="25" s="1"/>
  <c r="GN15" i="25" s="1"/>
  <c r="GO15" i="25" s="1"/>
  <c r="GP15" i="25" s="1"/>
  <c r="GQ15" i="25" s="1"/>
  <c r="GR15" i="25" s="1"/>
  <c r="GS15" i="25" s="1"/>
  <c r="GT15" i="25" s="1"/>
  <c r="GU15" i="25" s="1"/>
  <c r="GV15" i="25" s="1"/>
  <c r="GW15" i="25" s="1"/>
  <c r="GX15" i="25" s="1"/>
  <c r="GY15" i="25" s="1"/>
  <c r="GZ15" i="25" s="1"/>
  <c r="HA15" i="25" s="1"/>
  <c r="HB15" i="25" s="1"/>
  <c r="HC15" i="25" s="1"/>
  <c r="HD15" i="25" s="1"/>
  <c r="HE15" i="25" s="1"/>
  <c r="HF15" i="25" s="1"/>
  <c r="HG15" i="25" s="1"/>
  <c r="HH15" i="25" s="1"/>
  <c r="HI15" i="25" s="1"/>
  <c r="HJ15" i="25" s="1"/>
  <c r="HK15" i="25" s="1"/>
  <c r="HL15" i="25" s="1"/>
  <c r="HM15" i="25" s="1"/>
  <c r="HN15" i="25" s="1"/>
  <c r="HO15" i="25" s="1"/>
  <c r="HP15" i="25" s="1"/>
  <c r="HQ15" i="25" s="1"/>
  <c r="HR15" i="25" s="1"/>
  <c r="HS15" i="25" s="1"/>
  <c r="HT15" i="25" s="1"/>
  <c r="HU15" i="25" s="1"/>
  <c r="HV15" i="25" s="1"/>
  <c r="HW15" i="25" s="1"/>
  <c r="HX15" i="25" s="1"/>
  <c r="HY15" i="25" s="1"/>
  <c r="HZ15" i="25" s="1"/>
  <c r="IA15" i="25" s="1"/>
  <c r="IB15" i="25" s="1"/>
  <c r="IC15" i="25" s="1"/>
  <c r="ID15" i="25" s="1"/>
  <c r="IE15" i="25" s="1"/>
  <c r="IF15" i="25" s="1"/>
  <c r="IG15" i="25" s="1"/>
  <c r="IH15" i="25" s="1"/>
  <c r="II15" i="25" s="1"/>
  <c r="IJ15" i="25" s="1"/>
  <c r="IK15" i="25" s="1"/>
  <c r="IL15" i="25" s="1"/>
  <c r="IM15" i="25" s="1"/>
  <c r="IN15" i="25" s="1"/>
  <c r="IO15" i="25" s="1"/>
  <c r="IP15" i="25" s="1"/>
  <c r="IQ15" i="25" s="1"/>
  <c r="IR15" i="25" s="1"/>
  <c r="IS15" i="25" s="1"/>
  <c r="IT15" i="25" s="1"/>
  <c r="IU15" i="25" s="1"/>
  <c r="IV15" i="25" s="1"/>
  <c r="IW15" i="25" s="1"/>
  <c r="IX15" i="25" s="1"/>
  <c r="IY15" i="25" s="1"/>
  <c r="IZ15" i="25" s="1"/>
  <c r="JA15" i="25" s="1"/>
  <c r="JB15" i="25" s="1"/>
  <c r="JC15" i="25" s="1"/>
  <c r="JD15" i="25" s="1"/>
  <c r="JE15" i="25" s="1"/>
  <c r="JF15" i="25" s="1"/>
  <c r="JG15" i="25" s="1"/>
  <c r="JH15" i="25" s="1"/>
  <c r="JI15" i="25" s="1"/>
  <c r="JJ15" i="25" s="1"/>
  <c r="JK15" i="25" s="1"/>
  <c r="JL15" i="25" s="1"/>
  <c r="JM15" i="25" s="1"/>
  <c r="JN15" i="25" s="1"/>
  <c r="JO15" i="25" s="1"/>
  <c r="JP15" i="25" s="1"/>
  <c r="JQ15" i="25" s="1"/>
  <c r="JR15" i="25" s="1"/>
  <c r="JS15" i="25" s="1"/>
  <c r="JT15" i="25" s="1"/>
  <c r="JU15" i="25" s="1"/>
  <c r="JV15" i="25" s="1"/>
  <c r="JW15" i="25" s="1"/>
  <c r="JX15" i="25" s="1"/>
  <c r="JY15" i="25" s="1"/>
  <c r="JZ15" i="25" s="1"/>
  <c r="KA15" i="25" s="1"/>
  <c r="KB15" i="25" s="1"/>
  <c r="KC15" i="25" s="1"/>
  <c r="KD15" i="25" s="1"/>
  <c r="KE15" i="25" s="1"/>
  <c r="KF15" i="25" s="1"/>
  <c r="KG15" i="25" s="1"/>
  <c r="KH15" i="25" s="1"/>
  <c r="KI15" i="25" s="1"/>
  <c r="KJ15" i="25" s="1"/>
  <c r="KK15" i="25" s="1"/>
  <c r="KL15" i="25" s="1"/>
  <c r="KM15" i="25" s="1"/>
  <c r="KN15" i="25" s="1"/>
  <c r="KO15" i="25" s="1"/>
  <c r="KP15" i="25" s="1"/>
  <c r="KQ15" i="25" s="1"/>
  <c r="KR15" i="25" s="1"/>
  <c r="KS15" i="25" s="1"/>
  <c r="KT15" i="25" s="1"/>
  <c r="KU15" i="25" s="1"/>
  <c r="KV15" i="25" s="1"/>
  <c r="KW15" i="25" s="1"/>
  <c r="KX15" i="25" s="1"/>
  <c r="KY15" i="25" s="1"/>
  <c r="KZ15" i="25" s="1"/>
  <c r="LA15" i="25" s="1"/>
  <c r="LB15" i="25" s="1"/>
  <c r="LC15" i="25" s="1"/>
  <c r="LD15" i="25" s="1"/>
  <c r="LE15" i="25" s="1"/>
  <c r="LF15" i="25" s="1"/>
  <c r="LG15" i="25" s="1"/>
  <c r="LH15" i="25" s="1"/>
  <c r="LI15" i="25" s="1"/>
  <c r="LJ15" i="25" s="1"/>
  <c r="LK15" i="25" s="1"/>
  <c r="LL15" i="25" s="1"/>
  <c r="LM15" i="25" s="1"/>
  <c r="LN15" i="25" s="1"/>
  <c r="LO15" i="25" s="1"/>
  <c r="LP15" i="25" s="1"/>
  <c r="LQ15" i="25" s="1"/>
  <c r="LR15" i="25" s="1"/>
  <c r="LS15" i="25" s="1"/>
  <c r="LT15" i="25" s="1"/>
  <c r="LU15" i="25" s="1"/>
  <c r="LV15" i="25" s="1"/>
  <c r="LW15" i="25" s="1"/>
  <c r="LX15" i="25" s="1"/>
  <c r="LY15" i="25" s="1"/>
  <c r="LZ15" i="25" s="1"/>
  <c r="MA15" i="25" s="1"/>
  <c r="MB15" i="25" s="1"/>
  <c r="MC15" i="25" s="1"/>
  <c r="MD15" i="25" s="1"/>
  <c r="ME15" i="25" s="1"/>
  <c r="MF15" i="25" s="1"/>
  <c r="MG15" i="25" s="1"/>
  <c r="MH15" i="25" s="1"/>
  <c r="MI15" i="25" s="1"/>
  <c r="MJ15" i="25" s="1"/>
  <c r="MK15" i="25" s="1"/>
  <c r="ML15" i="25" s="1"/>
  <c r="MM15" i="25" s="1"/>
  <c r="MN15" i="25" s="1"/>
  <c r="MO15" i="25" s="1"/>
  <c r="MP15" i="25" s="1"/>
  <c r="MQ15" i="25" s="1"/>
  <c r="MR15" i="25" s="1"/>
  <c r="MS15" i="25" s="1"/>
  <c r="MT15" i="25" s="1"/>
  <c r="MU15" i="25" s="1"/>
  <c r="MV15" i="25" s="1"/>
  <c r="MW15" i="25" s="1"/>
  <c r="MX15" i="25" s="1"/>
  <c r="MY15" i="25" s="1"/>
  <c r="MZ15" i="25" s="1"/>
  <c r="NA15" i="25" s="1"/>
  <c r="NB15" i="25" s="1"/>
  <c r="NC15" i="25" s="1"/>
  <c r="ND15" i="25" s="1"/>
  <c r="NE15" i="25" s="1"/>
  <c r="NF15" i="25" s="1"/>
  <c r="NG15" i="25" s="1"/>
  <c r="NH15" i="25" s="1"/>
  <c r="NI15" i="25" s="1"/>
  <c r="NJ15" i="25" s="1"/>
  <c r="NK15" i="25" s="1"/>
  <c r="NL15" i="25" s="1"/>
  <c r="NM15" i="25" s="1"/>
  <c r="NN15" i="25" s="1"/>
  <c r="NO15" i="25" s="1"/>
  <c r="NP15" i="25" s="1"/>
  <c r="NQ15" i="25" s="1"/>
  <c r="NR15" i="25" s="1"/>
  <c r="NS15" i="25" s="1"/>
  <c r="NT15" i="25" s="1"/>
  <c r="NU15" i="25" s="1"/>
  <c r="NV15" i="25" s="1"/>
  <c r="NW15" i="25" s="1"/>
  <c r="NX15" i="25" s="1"/>
  <c r="NY15" i="25" s="1"/>
  <c r="NZ15" i="25" s="1"/>
  <c r="OA15" i="25" s="1"/>
  <c r="OB15" i="25" s="1"/>
  <c r="OC15" i="25" s="1"/>
  <c r="OD15" i="25" s="1"/>
  <c r="OE15" i="25" s="1"/>
  <c r="OF15" i="25" s="1"/>
  <c r="OG15" i="25" s="1"/>
  <c r="OH15" i="25" s="1"/>
  <c r="OI15" i="25" s="1"/>
  <c r="OJ15" i="25" s="1"/>
  <c r="OK15" i="25" s="1"/>
  <c r="OL15" i="25" s="1"/>
  <c r="OM15" i="25" s="1"/>
  <c r="ON15" i="25" s="1"/>
  <c r="OO15" i="25" s="1"/>
  <c r="OP15" i="25" s="1"/>
  <c r="OQ15" i="25" s="1"/>
  <c r="OR15" i="25" s="1"/>
  <c r="OS15" i="25" s="1"/>
  <c r="OT15" i="25" s="1"/>
  <c r="OU15" i="25" s="1"/>
  <c r="OV15" i="25" s="1"/>
  <c r="OW15" i="25" s="1"/>
  <c r="OX15" i="25" s="1"/>
  <c r="OY15" i="25" s="1"/>
  <c r="OZ15" i="25" s="1"/>
  <c r="PA15" i="25" s="1"/>
  <c r="PB15" i="25" s="1"/>
  <c r="PC15" i="25" s="1"/>
  <c r="PD15" i="25" s="1"/>
  <c r="PE15" i="25" s="1"/>
  <c r="PF15" i="25" s="1"/>
  <c r="PG15" i="25" s="1"/>
  <c r="PH15" i="25" s="1"/>
  <c r="PI15" i="25" s="1"/>
  <c r="PJ15" i="25" s="1"/>
  <c r="PK15" i="25" s="1"/>
  <c r="PL15" i="25" s="1"/>
  <c r="PM15" i="25" s="1"/>
  <c r="PN15" i="25" s="1"/>
  <c r="PO15" i="25" s="1"/>
  <c r="PP15" i="25" s="1"/>
  <c r="PQ15" i="25" s="1"/>
  <c r="PR15" i="25" s="1"/>
  <c r="PS15" i="25" s="1"/>
  <c r="PT15" i="25" s="1"/>
  <c r="PU15" i="25" s="1"/>
  <c r="PV15" i="25" s="1"/>
  <c r="PW15" i="25" s="1"/>
  <c r="PX15" i="25" s="1"/>
  <c r="PY15" i="25" s="1"/>
  <c r="PZ15" i="25" s="1"/>
  <c r="QA15" i="25" s="1"/>
  <c r="QB15" i="25" s="1"/>
  <c r="QC15" i="25" s="1"/>
  <c r="QD15" i="25" s="1"/>
  <c r="QE15" i="25" s="1"/>
  <c r="QF15" i="25" s="1"/>
  <c r="QG15" i="25" s="1"/>
  <c r="QH15" i="25" s="1"/>
  <c r="QI15" i="25" s="1"/>
  <c r="QJ15" i="25" s="1"/>
  <c r="QK15" i="25" s="1"/>
  <c r="QL15" i="25" s="1"/>
  <c r="QM15" i="25" s="1"/>
  <c r="QN15" i="25" s="1"/>
  <c r="QO15" i="25" s="1"/>
  <c r="QP15" i="25" s="1"/>
  <c r="QQ15" i="25" s="1"/>
  <c r="QR15" i="25" s="1"/>
  <c r="QS15" i="25" s="1"/>
  <c r="QT15" i="25" s="1"/>
  <c r="QU15" i="25" s="1"/>
  <c r="QV15" i="25" s="1"/>
  <c r="QW15" i="25" s="1"/>
  <c r="QX15" i="25" s="1"/>
  <c r="QY15" i="25" s="1"/>
  <c r="QZ15" i="25" s="1"/>
  <c r="RA15" i="25" s="1"/>
  <c r="RB15" i="25" s="1"/>
  <c r="RC15" i="25" s="1"/>
  <c r="RD15" i="25" s="1"/>
  <c r="RE15" i="25" s="1"/>
  <c r="RF15" i="25" s="1"/>
  <c r="RG15" i="25" s="1"/>
  <c r="RH15" i="25" s="1"/>
  <c r="RI15" i="25" s="1"/>
  <c r="RJ15" i="25" s="1"/>
  <c r="RK15" i="25" s="1"/>
  <c r="RL15" i="25" s="1"/>
  <c r="RM15" i="25" s="1"/>
  <c r="RN15" i="25" s="1"/>
  <c r="RO15" i="25" s="1"/>
  <c r="RP15" i="25" s="1"/>
  <c r="RQ15" i="25" s="1"/>
  <c r="RR15" i="25" s="1"/>
  <c r="RS15" i="25" s="1"/>
  <c r="RT15" i="25" s="1"/>
  <c r="RU15" i="25" s="1"/>
  <c r="RV15" i="25" s="1"/>
  <c r="RW15" i="25" s="1"/>
  <c r="RX15" i="25" s="1"/>
  <c r="RY15" i="25" s="1"/>
  <c r="RZ15" i="25" s="1"/>
  <c r="SA15" i="25" s="1"/>
  <c r="SB15" i="25" s="1"/>
  <c r="SC15" i="25" s="1"/>
  <c r="SD15" i="25" s="1"/>
  <c r="SE15" i="25" s="1"/>
  <c r="SF15" i="25" s="1"/>
  <c r="SG15" i="25" s="1"/>
  <c r="SH15" i="25" s="1"/>
  <c r="SI15" i="25" s="1"/>
  <c r="SJ15" i="25" s="1"/>
  <c r="SK15" i="25" s="1"/>
  <c r="SL15" i="25" s="1"/>
  <c r="SM15" i="25" s="1"/>
  <c r="SN15" i="25" s="1"/>
  <c r="SO15" i="25" s="1"/>
  <c r="SP15" i="25" s="1"/>
  <c r="SQ15" i="25" s="1"/>
  <c r="SR15" i="25" s="1"/>
  <c r="SS15" i="25" s="1"/>
  <c r="ST15" i="25" s="1"/>
  <c r="SU15" i="25" s="1"/>
  <c r="SV15" i="25" s="1"/>
  <c r="SW15" i="25" s="1"/>
  <c r="SX15" i="25" s="1"/>
  <c r="SY15" i="25" s="1"/>
  <c r="SZ15" i="25" s="1"/>
  <c r="TA15" i="25" s="1"/>
  <c r="TB15" i="25" s="1"/>
  <c r="TC15" i="25" s="1"/>
  <c r="TD15" i="25" s="1"/>
  <c r="TE15" i="25" s="1"/>
  <c r="TF15" i="25" s="1"/>
  <c r="TG15" i="25" s="1"/>
  <c r="TH15" i="25" s="1"/>
  <c r="TI15" i="25" s="1"/>
  <c r="TJ15" i="25" s="1"/>
  <c r="TK15" i="25" s="1"/>
  <c r="TL15" i="25" s="1"/>
  <c r="TM15" i="25" s="1"/>
  <c r="TN15" i="25" s="1"/>
  <c r="TO15" i="25" s="1"/>
  <c r="TP15" i="25" s="1"/>
  <c r="TQ15" i="25" s="1"/>
  <c r="TR15" i="25" s="1"/>
  <c r="TS15" i="25" s="1"/>
  <c r="TT15" i="25" s="1"/>
  <c r="TU15" i="25" s="1"/>
  <c r="TV15" i="25" s="1"/>
  <c r="TW15" i="25" s="1"/>
  <c r="TX15" i="25" s="1"/>
  <c r="TY15" i="25" s="1"/>
  <c r="TZ15" i="25" s="1"/>
  <c r="UA15" i="25" s="1"/>
  <c r="UB15" i="25" s="1"/>
  <c r="UC15" i="25" s="1"/>
  <c r="UD15" i="25" s="1"/>
  <c r="UE15" i="25" s="1"/>
  <c r="UF15" i="25" s="1"/>
  <c r="UG15" i="25" s="1"/>
  <c r="UH15" i="25" s="1"/>
  <c r="UI15" i="25" s="1"/>
  <c r="UJ15" i="25" s="1"/>
  <c r="UK15" i="25" s="1"/>
  <c r="UL15" i="25" s="1"/>
  <c r="UM15" i="25" s="1"/>
  <c r="UN15" i="25" s="1"/>
  <c r="UO15" i="25" s="1"/>
  <c r="UP15" i="25" s="1"/>
  <c r="UQ15" i="25" s="1"/>
  <c r="UR15" i="25" s="1"/>
  <c r="US15" i="25" s="1"/>
  <c r="UT15" i="25" s="1"/>
  <c r="UU15" i="25" s="1"/>
  <c r="UV15" i="25" s="1"/>
  <c r="UW15" i="25" s="1"/>
  <c r="UX15" i="25" s="1"/>
  <c r="UY15" i="25" s="1"/>
  <c r="UZ15" i="25" s="1"/>
  <c r="VA15" i="25" s="1"/>
  <c r="VB15" i="25" s="1"/>
  <c r="VC15" i="25" s="1"/>
  <c r="VD15" i="25" s="1"/>
  <c r="VE15" i="25" s="1"/>
  <c r="VF15" i="25" s="1"/>
  <c r="VG15" i="25" s="1"/>
  <c r="VH15" i="25" s="1"/>
  <c r="VI15" i="25" s="1"/>
  <c r="VJ15" i="25" s="1"/>
  <c r="VK15" i="25" s="1"/>
  <c r="VL15" i="25" s="1"/>
  <c r="VM15" i="25" s="1"/>
  <c r="VN15" i="25" s="1"/>
  <c r="VO15" i="25" s="1"/>
  <c r="VP15" i="25" s="1"/>
  <c r="VQ15" i="25" s="1"/>
  <c r="VR15" i="25" s="1"/>
  <c r="VS15" i="25" s="1"/>
  <c r="VT15" i="25" s="1"/>
  <c r="VU15" i="25" s="1"/>
  <c r="VV15" i="25" s="1"/>
  <c r="VW15" i="25" s="1"/>
  <c r="VX15" i="25" s="1"/>
  <c r="VY15" i="25" s="1"/>
  <c r="VZ15" i="25" s="1"/>
  <c r="WA15" i="25" s="1"/>
  <c r="WB15" i="25" s="1"/>
  <c r="WC15" i="25" s="1"/>
  <c r="WD15" i="25" s="1"/>
  <c r="WE15" i="25" s="1"/>
  <c r="WF15" i="25" s="1"/>
  <c r="WG15" i="25" s="1"/>
  <c r="WH15" i="25" s="1"/>
  <c r="WI15" i="25" s="1"/>
  <c r="WJ15" i="25" s="1"/>
  <c r="WK15" i="25" s="1"/>
  <c r="WL15" i="25" s="1"/>
  <c r="WM15" i="25" s="1"/>
  <c r="WN15" i="25" s="1"/>
  <c r="WO15" i="25" s="1"/>
  <c r="WP15" i="25" s="1"/>
  <c r="WQ15" i="25" s="1"/>
  <c r="WR15" i="25" s="1"/>
  <c r="WS15" i="25" s="1"/>
  <c r="WT15" i="25" s="1"/>
  <c r="WU15" i="25" s="1"/>
  <c r="WV15" i="25" s="1"/>
  <c r="WW15" i="25" s="1"/>
  <c r="WX15" i="25" s="1"/>
  <c r="WY15" i="25" s="1"/>
  <c r="WZ15" i="25" s="1"/>
  <c r="XA15" i="25" s="1"/>
  <c r="XB15" i="25" s="1"/>
  <c r="XC15" i="25" s="1"/>
  <c r="XD15" i="25" s="1"/>
  <c r="XE15" i="25" s="1"/>
  <c r="XF15" i="25" s="1"/>
  <c r="XG15" i="25" s="1"/>
  <c r="XH15" i="25" s="1"/>
  <c r="XI15" i="25" s="1"/>
  <c r="XJ15" i="25" s="1"/>
  <c r="XK15" i="25" s="1"/>
  <c r="XL15" i="25" s="1"/>
  <c r="XM15" i="25" s="1"/>
  <c r="XN15" i="25" s="1"/>
  <c r="XO15" i="25" s="1"/>
  <c r="XP15" i="25" s="1"/>
  <c r="XQ15" i="25" s="1"/>
  <c r="XR15" i="25" s="1"/>
  <c r="XS15" i="25" s="1"/>
  <c r="XT15" i="25" s="1"/>
  <c r="XU15" i="25" s="1"/>
  <c r="XV15" i="25" s="1"/>
  <c r="XW15" i="25" s="1"/>
  <c r="XX15" i="25" s="1"/>
  <c r="XY15" i="25" s="1"/>
  <c r="XZ15" i="25" s="1"/>
  <c r="YA15" i="25" s="1"/>
  <c r="YB15" i="25" s="1"/>
  <c r="YC15" i="25" s="1"/>
  <c r="YD15" i="25" s="1"/>
  <c r="YE15" i="25" s="1"/>
  <c r="YF15" i="25" s="1"/>
  <c r="YG15" i="25" s="1"/>
  <c r="YH15" i="25" s="1"/>
  <c r="YI15" i="25" s="1"/>
  <c r="YJ15" i="25" s="1"/>
  <c r="YK15" i="25" s="1"/>
  <c r="YL15" i="25" s="1"/>
  <c r="YM15" i="25" s="1"/>
  <c r="YN15" i="25" s="1"/>
  <c r="YO15" i="25" s="1"/>
  <c r="YP15" i="25" s="1"/>
  <c r="YQ15" i="25" s="1"/>
  <c r="YR15" i="25" s="1"/>
  <c r="YS15" i="25" s="1"/>
  <c r="YT15" i="25" s="1"/>
  <c r="YU15" i="25" s="1"/>
  <c r="YV15" i="25" s="1"/>
  <c r="YW15" i="25" s="1"/>
  <c r="YX15" i="25" s="1"/>
  <c r="YY15" i="25" s="1"/>
  <c r="YZ15" i="25" s="1"/>
  <c r="ZA15" i="25" s="1"/>
  <c r="ZB15" i="25" s="1"/>
  <c r="ZC15" i="25" s="1"/>
  <c r="ZD15" i="25" s="1"/>
  <c r="ZE15" i="25" s="1"/>
  <c r="ZF15" i="25" s="1"/>
  <c r="ZG15" i="25" s="1"/>
  <c r="ZH15" i="25" s="1"/>
  <c r="ZI15" i="25" s="1"/>
  <c r="ZJ15" i="25" s="1"/>
  <c r="ZK15" i="25" s="1"/>
  <c r="ZL15" i="25" s="1"/>
  <c r="ZM15" i="25" s="1"/>
  <c r="ZN15" i="25" s="1"/>
  <c r="ZO15" i="25" s="1"/>
  <c r="ZP15" i="25" s="1"/>
  <c r="ZQ15" i="25" s="1"/>
  <c r="ZR15" i="25" s="1"/>
  <c r="ZS15" i="25" s="1"/>
  <c r="ZT15" i="25" s="1"/>
  <c r="ZU15" i="25" s="1"/>
  <c r="ZV15" i="25" s="1"/>
  <c r="ZW15" i="25" s="1"/>
  <c r="ZX15" i="25" s="1"/>
  <c r="ZY15" i="25" s="1"/>
  <c r="ZZ15" i="25" s="1"/>
  <c r="AAA15" i="25" s="1"/>
  <c r="AAB15" i="25" s="1"/>
  <c r="AAC15" i="25" s="1"/>
  <c r="AAD15" i="25" s="1"/>
  <c r="AAE15" i="25" s="1"/>
  <c r="AAF15" i="25" s="1"/>
  <c r="AAG15" i="25" s="1"/>
  <c r="AAH15" i="25" s="1"/>
  <c r="AAI15" i="25" s="1"/>
  <c r="AAJ15" i="25" s="1"/>
  <c r="AAK15" i="25" s="1"/>
  <c r="AAL15" i="25" s="1"/>
  <c r="AAM15" i="25" s="1"/>
  <c r="AAN15" i="25" s="1"/>
  <c r="AAO15" i="25" s="1"/>
  <c r="AAP15" i="25" s="1"/>
  <c r="AAQ15" i="25" s="1"/>
  <c r="AAR15" i="25" s="1"/>
  <c r="AAS15" i="25" s="1"/>
  <c r="AAT15" i="25" s="1"/>
  <c r="AAU15" i="25" s="1"/>
  <c r="AAV15" i="25" s="1"/>
  <c r="AAW15" i="25" s="1"/>
  <c r="AAX15" i="25" s="1"/>
  <c r="AAY15" i="25" s="1"/>
  <c r="AAZ15" i="25" s="1"/>
  <c r="ABA15" i="25" s="1"/>
  <c r="ABB15" i="25" s="1"/>
  <c r="ABC15" i="25" s="1"/>
  <c r="ABD15" i="25" s="1"/>
  <c r="ABE15" i="25" s="1"/>
  <c r="ABF15" i="25" s="1"/>
  <c r="ABG15" i="25" s="1"/>
  <c r="ABH15" i="25" s="1"/>
  <c r="ABI15" i="25" s="1"/>
  <c r="ABJ15" i="25" s="1"/>
  <c r="ABK15" i="25" s="1"/>
  <c r="ABL15" i="25" s="1"/>
  <c r="ABM15" i="25" s="1"/>
  <c r="ABN15" i="25" s="1"/>
  <c r="ABO15" i="25" s="1"/>
  <c r="ABP15" i="25" s="1"/>
  <c r="ABQ15" i="25" s="1"/>
  <c r="ABR15" i="25" s="1"/>
  <c r="ABS15" i="25" s="1"/>
  <c r="ABT15" i="25" s="1"/>
  <c r="ABU15" i="25" s="1"/>
  <c r="ABV15" i="25" s="1"/>
  <c r="ABW15" i="25" s="1"/>
  <c r="ABX15" i="25" s="1"/>
  <c r="ABY15" i="25" s="1"/>
  <c r="ABZ15" i="25" s="1"/>
  <c r="ACA15" i="25" s="1"/>
  <c r="ACB15" i="25" s="1"/>
  <c r="ACC15" i="25" s="1"/>
  <c r="ACD15" i="25" s="1"/>
  <c r="ACE15" i="25" s="1"/>
  <c r="ACF15" i="25" s="1"/>
  <c r="ACG15" i="25" s="1"/>
  <c r="ACH15" i="25" s="1"/>
  <c r="ACI15" i="25" s="1"/>
  <c r="ACJ15" i="25" s="1"/>
  <c r="ACK15" i="25" s="1"/>
  <c r="ACL15" i="25" s="1"/>
  <c r="ACM15" i="25" s="1"/>
  <c r="ACN15" i="25" s="1"/>
  <c r="ACO15" i="25" s="1"/>
  <c r="ACP15" i="25" s="1"/>
  <c r="ACQ15" i="25" s="1"/>
  <c r="ACR15" i="25" s="1"/>
  <c r="ACS15" i="25" s="1"/>
  <c r="ACT15" i="25" s="1"/>
  <c r="ACU15" i="25" s="1"/>
  <c r="ACV15" i="25" s="1"/>
  <c r="C17" i="25"/>
  <c r="D17" i="25" s="1"/>
  <c r="E17" i="25" s="1"/>
  <c r="F17" i="25" s="1"/>
  <c r="G17" i="25" s="1"/>
  <c r="H17" i="25" s="1"/>
  <c r="I17" i="25" s="1"/>
  <c r="J17" i="25" s="1"/>
  <c r="K17" i="25" s="1"/>
  <c r="L17" i="25" s="1"/>
  <c r="M17" i="25" s="1"/>
  <c r="N17" i="25" s="1"/>
  <c r="O17" i="25" s="1"/>
  <c r="P17" i="25" s="1"/>
  <c r="Q17" i="25" s="1"/>
  <c r="R17" i="25" s="1"/>
  <c r="S17" i="25" s="1"/>
  <c r="T17" i="25" s="1"/>
  <c r="U17" i="25" s="1"/>
  <c r="V17" i="25" s="1"/>
  <c r="W17" i="25" s="1"/>
  <c r="X17" i="25" s="1"/>
  <c r="Y17" i="25" s="1"/>
  <c r="Z17" i="25" s="1"/>
  <c r="AA17" i="25" s="1"/>
  <c r="AB17" i="25" s="1"/>
  <c r="AC17" i="25" s="1"/>
  <c r="AD17" i="25" s="1"/>
  <c r="AE17" i="25" s="1"/>
  <c r="AF17" i="25" s="1"/>
  <c r="AG17" i="25" s="1"/>
  <c r="AH17" i="25" s="1"/>
  <c r="AI17" i="25" s="1"/>
  <c r="AJ17" i="25" s="1"/>
  <c r="AK17" i="25" s="1"/>
  <c r="AL17" i="25" s="1"/>
  <c r="AM17" i="25" s="1"/>
  <c r="AN17" i="25" s="1"/>
  <c r="AO17" i="25" s="1"/>
  <c r="AP17" i="25" s="1"/>
  <c r="AQ17" i="25" s="1"/>
  <c r="AR17" i="25" s="1"/>
  <c r="AS17" i="25" s="1"/>
  <c r="AT17" i="25" s="1"/>
  <c r="AU17" i="25" s="1"/>
  <c r="AV17" i="25" s="1"/>
  <c r="AW17" i="25" s="1"/>
  <c r="AX17" i="25" s="1"/>
  <c r="AY17" i="25" s="1"/>
  <c r="AZ17" i="25" s="1"/>
  <c r="BA17" i="25" s="1"/>
  <c r="BB17" i="25" s="1"/>
  <c r="BC17" i="25" s="1"/>
  <c r="BD17" i="25" s="1"/>
  <c r="BE17" i="25" s="1"/>
  <c r="BF17" i="25" s="1"/>
  <c r="BG17" i="25" s="1"/>
  <c r="BH17" i="25" s="1"/>
  <c r="BI17" i="25" s="1"/>
  <c r="BJ17" i="25" s="1"/>
  <c r="BK17" i="25" s="1"/>
  <c r="BL17" i="25" s="1"/>
  <c r="BM17" i="25" s="1"/>
  <c r="BN17" i="25" s="1"/>
  <c r="BO17" i="25" s="1"/>
  <c r="BP17" i="25" s="1"/>
  <c r="BQ17" i="25" s="1"/>
  <c r="BR17" i="25" s="1"/>
  <c r="BS17" i="25" s="1"/>
  <c r="BT17" i="25" s="1"/>
  <c r="BU17" i="25" s="1"/>
  <c r="BV17" i="25" s="1"/>
  <c r="BW17" i="25" s="1"/>
  <c r="BX17" i="25" s="1"/>
  <c r="BY17" i="25" s="1"/>
  <c r="BZ17" i="25" s="1"/>
  <c r="CA17" i="25" s="1"/>
  <c r="CB17" i="25" s="1"/>
  <c r="CC17" i="25" s="1"/>
  <c r="CD17" i="25" s="1"/>
  <c r="CE17" i="25" s="1"/>
  <c r="CF17" i="25" s="1"/>
  <c r="CG17" i="25" s="1"/>
  <c r="CH17" i="25" s="1"/>
  <c r="CI17" i="25" s="1"/>
  <c r="CJ17" i="25" s="1"/>
  <c r="CK17" i="25" s="1"/>
  <c r="CL17" i="25" s="1"/>
  <c r="CM17" i="25" s="1"/>
  <c r="CN17" i="25" s="1"/>
  <c r="CO17" i="25" s="1"/>
  <c r="CP17" i="25" s="1"/>
  <c r="CQ17" i="25" s="1"/>
  <c r="CR17" i="25" s="1"/>
  <c r="CS17" i="25" s="1"/>
  <c r="CT17" i="25" s="1"/>
  <c r="CU17" i="25" s="1"/>
  <c r="CV17" i="25" s="1"/>
  <c r="CW17" i="25" s="1"/>
  <c r="CX17" i="25" s="1"/>
  <c r="CY17" i="25" s="1"/>
  <c r="CZ17" i="25" s="1"/>
  <c r="DA17" i="25" s="1"/>
  <c r="DB17" i="25" s="1"/>
  <c r="DC17" i="25" s="1"/>
  <c r="DD17" i="25" s="1"/>
  <c r="DE17" i="25" s="1"/>
  <c r="DF17" i="25" s="1"/>
  <c r="DG17" i="25" s="1"/>
  <c r="DH17" i="25" s="1"/>
  <c r="DI17" i="25" s="1"/>
  <c r="DJ17" i="25" s="1"/>
  <c r="DK17" i="25" s="1"/>
  <c r="DL17" i="25" s="1"/>
  <c r="DM17" i="25" s="1"/>
  <c r="DN17" i="25" s="1"/>
  <c r="DO17" i="25" s="1"/>
  <c r="DP17" i="25" s="1"/>
  <c r="DQ17" i="25" s="1"/>
  <c r="DR17" i="25" s="1"/>
  <c r="DS17" i="25" s="1"/>
  <c r="DT17" i="25" s="1"/>
  <c r="DU17" i="25" s="1"/>
  <c r="DV17" i="25" s="1"/>
  <c r="DW17" i="25" s="1"/>
  <c r="DX17" i="25" s="1"/>
  <c r="DY17" i="25" s="1"/>
  <c r="DZ17" i="25" s="1"/>
  <c r="EA17" i="25" s="1"/>
  <c r="EB17" i="25" s="1"/>
  <c r="EC17" i="25" s="1"/>
  <c r="ED17" i="25" s="1"/>
  <c r="EE17" i="25" s="1"/>
  <c r="EF17" i="25" s="1"/>
  <c r="EG17" i="25" s="1"/>
  <c r="EH17" i="25" s="1"/>
  <c r="EI17" i="25" s="1"/>
  <c r="EJ17" i="25" s="1"/>
  <c r="EK17" i="25" s="1"/>
  <c r="EL17" i="25" s="1"/>
  <c r="EM17" i="25" s="1"/>
  <c r="EN17" i="25" s="1"/>
  <c r="EO17" i="25" s="1"/>
  <c r="EP17" i="25" s="1"/>
  <c r="EQ17" i="25" s="1"/>
  <c r="ER17" i="25" s="1"/>
  <c r="ES17" i="25" s="1"/>
  <c r="ET17" i="25" s="1"/>
  <c r="EU17" i="25" s="1"/>
  <c r="EV17" i="25" s="1"/>
  <c r="EW17" i="25" s="1"/>
  <c r="EX17" i="25" s="1"/>
  <c r="EY17" i="25" s="1"/>
  <c r="EZ17" i="25" s="1"/>
  <c r="FA17" i="25" s="1"/>
  <c r="FB17" i="25" s="1"/>
  <c r="FC17" i="25" s="1"/>
  <c r="FD17" i="25" s="1"/>
  <c r="FE17" i="25" s="1"/>
  <c r="FF17" i="25" s="1"/>
  <c r="FG17" i="25" s="1"/>
  <c r="FH17" i="25" s="1"/>
  <c r="FI17" i="25" s="1"/>
  <c r="FJ17" i="25" s="1"/>
  <c r="FK17" i="25" s="1"/>
  <c r="FL17" i="25" s="1"/>
  <c r="FM17" i="25" s="1"/>
  <c r="FN17" i="25" s="1"/>
  <c r="FO17" i="25" s="1"/>
  <c r="FP17" i="25" s="1"/>
  <c r="FQ17" i="25" s="1"/>
  <c r="FR17" i="25" s="1"/>
  <c r="FS17" i="25" s="1"/>
  <c r="FT17" i="25" s="1"/>
  <c r="FU17" i="25" s="1"/>
  <c r="FV17" i="25" s="1"/>
  <c r="FW17" i="25" s="1"/>
  <c r="FX17" i="25" s="1"/>
  <c r="FY17" i="25" s="1"/>
  <c r="FZ17" i="25" s="1"/>
  <c r="GA17" i="25" s="1"/>
  <c r="GB17" i="25" s="1"/>
  <c r="GC17" i="25" s="1"/>
  <c r="GD17" i="25" s="1"/>
  <c r="GE17" i="25" s="1"/>
  <c r="GF17" i="25" s="1"/>
  <c r="GG17" i="25" s="1"/>
  <c r="GH17" i="25" s="1"/>
  <c r="GI17" i="25" s="1"/>
  <c r="GJ17" i="25" s="1"/>
  <c r="GK17" i="25" s="1"/>
  <c r="GL17" i="25" s="1"/>
  <c r="GM17" i="25" s="1"/>
  <c r="GN17" i="25" s="1"/>
  <c r="GO17" i="25" s="1"/>
  <c r="GP17" i="25" s="1"/>
  <c r="GQ17" i="25" s="1"/>
  <c r="GR17" i="25" s="1"/>
  <c r="GS17" i="25" s="1"/>
  <c r="GT17" i="25" s="1"/>
  <c r="GU17" i="25" s="1"/>
  <c r="GV17" i="25" s="1"/>
  <c r="GW17" i="25" s="1"/>
  <c r="GX17" i="25" s="1"/>
  <c r="GY17" i="25" s="1"/>
  <c r="GZ17" i="25" s="1"/>
  <c r="HA17" i="25" s="1"/>
  <c r="HB17" i="25" s="1"/>
  <c r="HC17" i="25" s="1"/>
  <c r="HD17" i="25" s="1"/>
  <c r="HE17" i="25" s="1"/>
  <c r="HF17" i="25" s="1"/>
  <c r="HG17" i="25" s="1"/>
  <c r="HH17" i="25" s="1"/>
  <c r="HI17" i="25" s="1"/>
  <c r="HJ17" i="25" s="1"/>
  <c r="HK17" i="25" s="1"/>
  <c r="HL17" i="25" s="1"/>
  <c r="HM17" i="25" s="1"/>
  <c r="HN17" i="25" s="1"/>
  <c r="HO17" i="25" s="1"/>
  <c r="HP17" i="25" s="1"/>
  <c r="HQ17" i="25" s="1"/>
  <c r="HR17" i="25" s="1"/>
  <c r="HS17" i="25" s="1"/>
  <c r="HT17" i="25" s="1"/>
  <c r="HU17" i="25" s="1"/>
  <c r="HV17" i="25" s="1"/>
  <c r="HW17" i="25" s="1"/>
  <c r="HX17" i="25" s="1"/>
  <c r="HY17" i="25" s="1"/>
  <c r="HZ17" i="25" s="1"/>
  <c r="IA17" i="25" s="1"/>
  <c r="IB17" i="25" s="1"/>
  <c r="IC17" i="25" s="1"/>
  <c r="ID17" i="25" s="1"/>
  <c r="IE17" i="25" s="1"/>
  <c r="IF17" i="25" s="1"/>
  <c r="IG17" i="25" s="1"/>
  <c r="IH17" i="25" s="1"/>
  <c r="II17" i="25" s="1"/>
  <c r="IJ17" i="25" s="1"/>
  <c r="IK17" i="25" s="1"/>
  <c r="IL17" i="25" s="1"/>
  <c r="IM17" i="25" s="1"/>
  <c r="IN17" i="25" s="1"/>
  <c r="IO17" i="25" s="1"/>
  <c r="IP17" i="25" s="1"/>
  <c r="IQ17" i="25" s="1"/>
  <c r="IR17" i="25" s="1"/>
  <c r="IS17" i="25" s="1"/>
  <c r="IT17" i="25" s="1"/>
  <c r="IU17" i="25" s="1"/>
  <c r="IV17" i="25" s="1"/>
  <c r="IW17" i="25" s="1"/>
  <c r="IX17" i="25" s="1"/>
  <c r="IY17" i="25" s="1"/>
  <c r="IZ17" i="25" s="1"/>
  <c r="JA17" i="25" s="1"/>
  <c r="JB17" i="25" s="1"/>
  <c r="JC17" i="25" s="1"/>
  <c r="JD17" i="25" s="1"/>
  <c r="JE17" i="25" s="1"/>
  <c r="JF17" i="25" s="1"/>
  <c r="JG17" i="25" s="1"/>
  <c r="JH17" i="25" s="1"/>
  <c r="JI17" i="25" s="1"/>
  <c r="JJ17" i="25" s="1"/>
  <c r="JK17" i="25" s="1"/>
  <c r="JL17" i="25" s="1"/>
  <c r="JM17" i="25" s="1"/>
  <c r="JN17" i="25" s="1"/>
  <c r="JO17" i="25" s="1"/>
  <c r="JP17" i="25" s="1"/>
  <c r="JQ17" i="25" s="1"/>
  <c r="JR17" i="25" s="1"/>
  <c r="JS17" i="25" s="1"/>
  <c r="JT17" i="25" s="1"/>
  <c r="JU17" i="25" s="1"/>
  <c r="JV17" i="25" s="1"/>
  <c r="JW17" i="25" s="1"/>
  <c r="JX17" i="25" s="1"/>
  <c r="JY17" i="25" s="1"/>
  <c r="JZ17" i="25" s="1"/>
  <c r="KA17" i="25" s="1"/>
  <c r="KB17" i="25" s="1"/>
  <c r="KC17" i="25" s="1"/>
  <c r="KD17" i="25" s="1"/>
  <c r="KE17" i="25" s="1"/>
  <c r="KF17" i="25" s="1"/>
  <c r="KG17" i="25" s="1"/>
  <c r="KH17" i="25" s="1"/>
  <c r="KI17" i="25" s="1"/>
  <c r="KJ17" i="25" s="1"/>
  <c r="KK17" i="25" s="1"/>
  <c r="KL17" i="25" s="1"/>
  <c r="KM17" i="25" s="1"/>
  <c r="KN17" i="25" s="1"/>
  <c r="KO17" i="25" s="1"/>
  <c r="KP17" i="25" s="1"/>
  <c r="KQ17" i="25" s="1"/>
  <c r="KR17" i="25" s="1"/>
  <c r="KS17" i="25" s="1"/>
  <c r="KT17" i="25" s="1"/>
  <c r="KU17" i="25" s="1"/>
  <c r="KV17" i="25" s="1"/>
  <c r="KW17" i="25" s="1"/>
  <c r="KX17" i="25" s="1"/>
  <c r="KY17" i="25" s="1"/>
  <c r="KZ17" i="25" s="1"/>
  <c r="LA17" i="25" s="1"/>
  <c r="LB17" i="25" s="1"/>
  <c r="LC17" i="25" s="1"/>
  <c r="LD17" i="25" s="1"/>
  <c r="LE17" i="25" s="1"/>
  <c r="LF17" i="25" s="1"/>
  <c r="LG17" i="25" s="1"/>
  <c r="LH17" i="25" s="1"/>
  <c r="LI17" i="25" s="1"/>
  <c r="LJ17" i="25" s="1"/>
  <c r="LK17" i="25" s="1"/>
  <c r="LL17" i="25" s="1"/>
  <c r="LM17" i="25" s="1"/>
  <c r="LN17" i="25" s="1"/>
  <c r="LO17" i="25" s="1"/>
  <c r="LP17" i="25" s="1"/>
  <c r="LQ17" i="25" s="1"/>
  <c r="LR17" i="25" s="1"/>
  <c r="LS17" i="25" s="1"/>
  <c r="LT17" i="25" s="1"/>
  <c r="LU17" i="25" s="1"/>
  <c r="LV17" i="25" s="1"/>
  <c r="LW17" i="25" s="1"/>
  <c r="LX17" i="25" s="1"/>
  <c r="LY17" i="25" s="1"/>
  <c r="LZ17" i="25" s="1"/>
  <c r="MA17" i="25" s="1"/>
  <c r="MB17" i="25" s="1"/>
  <c r="MC17" i="25" s="1"/>
  <c r="MD17" i="25" s="1"/>
  <c r="ME17" i="25" s="1"/>
  <c r="MF17" i="25" s="1"/>
  <c r="MG17" i="25" s="1"/>
  <c r="MH17" i="25" s="1"/>
  <c r="MI17" i="25" s="1"/>
  <c r="MJ17" i="25" s="1"/>
  <c r="MK17" i="25" s="1"/>
  <c r="ML17" i="25" s="1"/>
  <c r="MM17" i="25" s="1"/>
  <c r="MN17" i="25" s="1"/>
  <c r="MO17" i="25" s="1"/>
  <c r="MP17" i="25" s="1"/>
  <c r="MQ17" i="25" s="1"/>
  <c r="MR17" i="25" s="1"/>
  <c r="MS17" i="25" s="1"/>
  <c r="MT17" i="25" s="1"/>
  <c r="MU17" i="25" s="1"/>
  <c r="MV17" i="25" s="1"/>
  <c r="MW17" i="25" s="1"/>
  <c r="MX17" i="25" s="1"/>
  <c r="MY17" i="25" s="1"/>
  <c r="MZ17" i="25" s="1"/>
  <c r="NA17" i="25" s="1"/>
  <c r="NB17" i="25" s="1"/>
  <c r="NC17" i="25" s="1"/>
  <c r="ND17" i="25" s="1"/>
  <c r="NE17" i="25" s="1"/>
  <c r="NF17" i="25" s="1"/>
  <c r="NG17" i="25" s="1"/>
  <c r="NH17" i="25" s="1"/>
  <c r="NI17" i="25" s="1"/>
  <c r="NJ17" i="25" s="1"/>
  <c r="NK17" i="25" s="1"/>
  <c r="NL17" i="25" s="1"/>
  <c r="NM17" i="25" s="1"/>
  <c r="NN17" i="25" s="1"/>
  <c r="NO17" i="25" s="1"/>
  <c r="NP17" i="25" s="1"/>
  <c r="NQ17" i="25" s="1"/>
  <c r="NR17" i="25" s="1"/>
  <c r="NS17" i="25" s="1"/>
  <c r="NT17" i="25" s="1"/>
  <c r="NU17" i="25" s="1"/>
  <c r="NV17" i="25" s="1"/>
  <c r="NW17" i="25" s="1"/>
  <c r="NX17" i="25" s="1"/>
  <c r="NY17" i="25" s="1"/>
  <c r="NZ17" i="25" s="1"/>
  <c r="OA17" i="25" s="1"/>
  <c r="OB17" i="25" s="1"/>
  <c r="OC17" i="25" s="1"/>
  <c r="OD17" i="25" s="1"/>
  <c r="OE17" i="25" s="1"/>
  <c r="OF17" i="25" s="1"/>
  <c r="OG17" i="25" s="1"/>
  <c r="OH17" i="25" s="1"/>
  <c r="OI17" i="25" s="1"/>
  <c r="OJ17" i="25" s="1"/>
  <c r="OK17" i="25" s="1"/>
  <c r="OL17" i="25" s="1"/>
  <c r="OM17" i="25" s="1"/>
  <c r="ON17" i="25" s="1"/>
  <c r="OO17" i="25" s="1"/>
  <c r="OP17" i="25" s="1"/>
  <c r="OQ17" i="25" s="1"/>
  <c r="OR17" i="25" s="1"/>
  <c r="OS17" i="25" s="1"/>
  <c r="OT17" i="25" s="1"/>
  <c r="OU17" i="25" s="1"/>
  <c r="OV17" i="25" s="1"/>
  <c r="OW17" i="25" s="1"/>
  <c r="OX17" i="25" s="1"/>
  <c r="OY17" i="25" s="1"/>
  <c r="OZ17" i="25" s="1"/>
  <c r="PA17" i="25" s="1"/>
  <c r="PB17" i="25" s="1"/>
  <c r="PC17" i="25" s="1"/>
  <c r="PD17" i="25" s="1"/>
  <c r="PE17" i="25" s="1"/>
  <c r="PF17" i="25" s="1"/>
  <c r="PG17" i="25" s="1"/>
  <c r="PH17" i="25" s="1"/>
  <c r="PI17" i="25" s="1"/>
  <c r="PJ17" i="25" s="1"/>
  <c r="PK17" i="25" s="1"/>
  <c r="PL17" i="25" s="1"/>
  <c r="PM17" i="25" s="1"/>
  <c r="PN17" i="25" s="1"/>
  <c r="PO17" i="25" s="1"/>
  <c r="PP17" i="25" s="1"/>
  <c r="PQ17" i="25" s="1"/>
  <c r="PR17" i="25" s="1"/>
  <c r="PS17" i="25" s="1"/>
  <c r="PT17" i="25" s="1"/>
  <c r="PU17" i="25" s="1"/>
  <c r="PV17" i="25" s="1"/>
  <c r="PW17" i="25" s="1"/>
  <c r="PX17" i="25" s="1"/>
  <c r="PY17" i="25" s="1"/>
  <c r="PZ17" i="25" s="1"/>
  <c r="QA17" i="25" s="1"/>
  <c r="QB17" i="25" s="1"/>
  <c r="QC17" i="25" s="1"/>
  <c r="QD17" i="25" s="1"/>
  <c r="QE17" i="25" s="1"/>
  <c r="QF17" i="25" s="1"/>
  <c r="QG17" i="25" s="1"/>
  <c r="QH17" i="25" s="1"/>
  <c r="QI17" i="25" s="1"/>
  <c r="QJ17" i="25" s="1"/>
  <c r="QK17" i="25" s="1"/>
  <c r="QL17" i="25" s="1"/>
  <c r="QM17" i="25" s="1"/>
  <c r="QN17" i="25" s="1"/>
  <c r="QO17" i="25" s="1"/>
  <c r="QP17" i="25" s="1"/>
  <c r="QQ17" i="25" s="1"/>
  <c r="QR17" i="25" s="1"/>
  <c r="QS17" i="25" s="1"/>
  <c r="QT17" i="25" s="1"/>
  <c r="QU17" i="25" s="1"/>
  <c r="QV17" i="25" s="1"/>
  <c r="QW17" i="25" s="1"/>
  <c r="QX17" i="25" s="1"/>
  <c r="QY17" i="25" s="1"/>
  <c r="QZ17" i="25" s="1"/>
  <c r="RA17" i="25" s="1"/>
  <c r="RB17" i="25" s="1"/>
  <c r="RC17" i="25" s="1"/>
  <c r="RD17" i="25" s="1"/>
  <c r="RE17" i="25" s="1"/>
  <c r="RF17" i="25" s="1"/>
  <c r="RG17" i="25" s="1"/>
  <c r="RH17" i="25" s="1"/>
  <c r="RI17" i="25" s="1"/>
  <c r="RJ17" i="25" s="1"/>
  <c r="RK17" i="25" s="1"/>
  <c r="RL17" i="25" s="1"/>
  <c r="RM17" i="25" s="1"/>
  <c r="RN17" i="25" s="1"/>
  <c r="RO17" i="25" s="1"/>
  <c r="RP17" i="25" s="1"/>
  <c r="RQ17" i="25" s="1"/>
  <c r="RR17" i="25" s="1"/>
  <c r="RS17" i="25" s="1"/>
  <c r="RT17" i="25" s="1"/>
  <c r="RU17" i="25" s="1"/>
  <c r="RV17" i="25" s="1"/>
  <c r="RW17" i="25" s="1"/>
  <c r="RX17" i="25" s="1"/>
  <c r="RY17" i="25" s="1"/>
  <c r="RZ17" i="25" s="1"/>
  <c r="SA17" i="25" s="1"/>
  <c r="SB17" i="25" s="1"/>
  <c r="SC17" i="25" s="1"/>
  <c r="SD17" i="25" s="1"/>
  <c r="SE17" i="25" s="1"/>
  <c r="SF17" i="25" s="1"/>
  <c r="SG17" i="25" s="1"/>
  <c r="SH17" i="25" s="1"/>
  <c r="SI17" i="25" s="1"/>
  <c r="SJ17" i="25" s="1"/>
  <c r="SK17" i="25" s="1"/>
  <c r="SL17" i="25" s="1"/>
  <c r="SM17" i="25" s="1"/>
  <c r="SN17" i="25" s="1"/>
  <c r="SO17" i="25" s="1"/>
  <c r="SP17" i="25" s="1"/>
  <c r="SQ17" i="25" s="1"/>
  <c r="SR17" i="25" s="1"/>
  <c r="SS17" i="25" s="1"/>
  <c r="ST17" i="25" s="1"/>
  <c r="SU17" i="25" s="1"/>
  <c r="SV17" i="25" s="1"/>
  <c r="SW17" i="25" s="1"/>
  <c r="SX17" i="25" s="1"/>
  <c r="SY17" i="25" s="1"/>
  <c r="SZ17" i="25" s="1"/>
  <c r="TA17" i="25" s="1"/>
  <c r="TB17" i="25" s="1"/>
  <c r="TC17" i="25" s="1"/>
  <c r="TD17" i="25" s="1"/>
  <c r="TE17" i="25" s="1"/>
  <c r="TF17" i="25" s="1"/>
  <c r="TG17" i="25" s="1"/>
  <c r="TH17" i="25" s="1"/>
  <c r="TI17" i="25" s="1"/>
  <c r="TJ17" i="25" s="1"/>
  <c r="TK17" i="25" s="1"/>
  <c r="TL17" i="25" s="1"/>
  <c r="TM17" i="25" s="1"/>
  <c r="TN17" i="25" s="1"/>
  <c r="TO17" i="25" s="1"/>
  <c r="TP17" i="25" s="1"/>
  <c r="TQ17" i="25" s="1"/>
  <c r="TR17" i="25" s="1"/>
  <c r="TS17" i="25" s="1"/>
  <c r="TT17" i="25" s="1"/>
  <c r="TU17" i="25" s="1"/>
  <c r="TV17" i="25" s="1"/>
  <c r="TW17" i="25" s="1"/>
  <c r="TX17" i="25" s="1"/>
  <c r="TY17" i="25" s="1"/>
  <c r="TZ17" i="25" s="1"/>
  <c r="UA17" i="25" s="1"/>
  <c r="UB17" i="25" s="1"/>
  <c r="UC17" i="25" s="1"/>
  <c r="UD17" i="25" s="1"/>
  <c r="UE17" i="25" s="1"/>
  <c r="UF17" i="25" s="1"/>
  <c r="UG17" i="25" s="1"/>
  <c r="UH17" i="25" s="1"/>
  <c r="UI17" i="25" s="1"/>
  <c r="UJ17" i="25" s="1"/>
  <c r="UK17" i="25" s="1"/>
  <c r="UL17" i="25" s="1"/>
  <c r="UM17" i="25" s="1"/>
  <c r="UN17" i="25" s="1"/>
  <c r="UO17" i="25" s="1"/>
  <c r="UP17" i="25" s="1"/>
  <c r="UQ17" i="25" s="1"/>
  <c r="UR17" i="25" s="1"/>
  <c r="US17" i="25" s="1"/>
  <c r="UT17" i="25" s="1"/>
  <c r="UU17" i="25" s="1"/>
  <c r="UV17" i="25" s="1"/>
  <c r="UW17" i="25" s="1"/>
  <c r="UX17" i="25" s="1"/>
  <c r="UY17" i="25" s="1"/>
  <c r="UZ17" i="25" s="1"/>
  <c r="VA17" i="25" s="1"/>
  <c r="VB17" i="25" s="1"/>
  <c r="VC17" i="25" s="1"/>
  <c r="VD17" i="25" s="1"/>
  <c r="VE17" i="25" s="1"/>
  <c r="VF17" i="25" s="1"/>
  <c r="VG17" i="25" s="1"/>
  <c r="VH17" i="25" s="1"/>
  <c r="VI17" i="25" s="1"/>
  <c r="VJ17" i="25" s="1"/>
  <c r="VK17" i="25" s="1"/>
  <c r="VL17" i="25" s="1"/>
  <c r="VM17" i="25" s="1"/>
  <c r="VN17" i="25" s="1"/>
  <c r="VO17" i="25" s="1"/>
  <c r="VP17" i="25" s="1"/>
  <c r="VQ17" i="25" s="1"/>
  <c r="VR17" i="25" s="1"/>
  <c r="VS17" i="25" s="1"/>
  <c r="VT17" i="25" s="1"/>
  <c r="VU17" i="25" s="1"/>
  <c r="VV17" i="25" s="1"/>
  <c r="VW17" i="25" s="1"/>
  <c r="VX17" i="25" s="1"/>
  <c r="VY17" i="25" s="1"/>
  <c r="VZ17" i="25" s="1"/>
  <c r="WA17" i="25" s="1"/>
  <c r="WB17" i="25" s="1"/>
  <c r="WC17" i="25" s="1"/>
  <c r="WD17" i="25" s="1"/>
  <c r="WE17" i="25" s="1"/>
  <c r="WF17" i="25" s="1"/>
  <c r="WG17" i="25" s="1"/>
  <c r="WH17" i="25" s="1"/>
  <c r="WI17" i="25" s="1"/>
  <c r="WJ17" i="25" s="1"/>
  <c r="WK17" i="25" s="1"/>
  <c r="WL17" i="25" s="1"/>
  <c r="WM17" i="25" s="1"/>
  <c r="WN17" i="25" s="1"/>
  <c r="WO17" i="25" s="1"/>
  <c r="WP17" i="25" s="1"/>
  <c r="WQ17" i="25" s="1"/>
  <c r="WR17" i="25" s="1"/>
  <c r="WS17" i="25" s="1"/>
  <c r="WT17" i="25" s="1"/>
  <c r="WU17" i="25" s="1"/>
  <c r="WV17" i="25" s="1"/>
  <c r="WW17" i="25" s="1"/>
  <c r="WX17" i="25" s="1"/>
  <c r="WY17" i="25" s="1"/>
  <c r="WZ17" i="25" s="1"/>
  <c r="XA17" i="25" s="1"/>
  <c r="XB17" i="25" s="1"/>
  <c r="XC17" i="25" s="1"/>
  <c r="XD17" i="25" s="1"/>
  <c r="XE17" i="25" s="1"/>
  <c r="XF17" i="25" s="1"/>
  <c r="XG17" i="25" s="1"/>
  <c r="XH17" i="25" s="1"/>
  <c r="XI17" i="25" s="1"/>
  <c r="XJ17" i="25" s="1"/>
  <c r="XK17" i="25" s="1"/>
  <c r="XL17" i="25" s="1"/>
  <c r="XM17" i="25" s="1"/>
  <c r="XN17" i="25" s="1"/>
  <c r="XO17" i="25" s="1"/>
  <c r="XP17" i="25" s="1"/>
  <c r="XQ17" i="25" s="1"/>
  <c r="XR17" i="25" s="1"/>
  <c r="XS17" i="25" s="1"/>
  <c r="XT17" i="25" s="1"/>
  <c r="XU17" i="25" s="1"/>
  <c r="XV17" i="25" s="1"/>
  <c r="XW17" i="25" s="1"/>
  <c r="XX17" i="25" s="1"/>
  <c r="XY17" i="25" s="1"/>
  <c r="XZ17" i="25" s="1"/>
  <c r="YA17" i="25" s="1"/>
  <c r="YB17" i="25" s="1"/>
  <c r="YC17" i="25" s="1"/>
  <c r="YD17" i="25" s="1"/>
  <c r="YE17" i="25" s="1"/>
  <c r="YF17" i="25" s="1"/>
  <c r="YG17" i="25" s="1"/>
  <c r="YH17" i="25" s="1"/>
  <c r="YI17" i="25" s="1"/>
  <c r="YJ17" i="25" s="1"/>
  <c r="YK17" i="25" s="1"/>
  <c r="YL17" i="25" s="1"/>
  <c r="YM17" i="25" s="1"/>
  <c r="YN17" i="25" s="1"/>
  <c r="YO17" i="25" s="1"/>
  <c r="YP17" i="25" s="1"/>
  <c r="YQ17" i="25" s="1"/>
  <c r="YR17" i="25" s="1"/>
  <c r="YS17" i="25" s="1"/>
  <c r="YT17" i="25" s="1"/>
  <c r="YU17" i="25" s="1"/>
  <c r="YV17" i="25" s="1"/>
  <c r="YW17" i="25" s="1"/>
  <c r="YX17" i="25" s="1"/>
  <c r="YY17" i="25" s="1"/>
  <c r="YZ17" i="25" s="1"/>
  <c r="ZA17" i="25" s="1"/>
  <c r="ZB17" i="25" s="1"/>
  <c r="ZC17" i="25" s="1"/>
  <c r="ZD17" i="25" s="1"/>
  <c r="ZE17" i="25" s="1"/>
  <c r="ZF17" i="25" s="1"/>
  <c r="ZG17" i="25" s="1"/>
  <c r="ZH17" i="25" s="1"/>
  <c r="ZI17" i="25" s="1"/>
  <c r="ZJ17" i="25" s="1"/>
  <c r="ZK17" i="25" s="1"/>
  <c r="ZL17" i="25" s="1"/>
  <c r="ZM17" i="25" s="1"/>
  <c r="ZN17" i="25" s="1"/>
  <c r="ZO17" i="25" s="1"/>
  <c r="ZP17" i="25" s="1"/>
  <c r="ZQ17" i="25" s="1"/>
  <c r="ZR17" i="25" s="1"/>
  <c r="ZS17" i="25" s="1"/>
  <c r="ZT17" i="25" s="1"/>
  <c r="ZU17" i="25" s="1"/>
  <c r="ZV17" i="25" s="1"/>
  <c r="ZW17" i="25" s="1"/>
  <c r="ZX17" i="25" s="1"/>
  <c r="ZY17" i="25" s="1"/>
  <c r="ZZ17" i="25" s="1"/>
  <c r="AAA17" i="25" s="1"/>
  <c r="AAB17" i="25" s="1"/>
  <c r="AAC17" i="25" s="1"/>
  <c r="AAD17" i="25" s="1"/>
  <c r="AAE17" i="25" s="1"/>
  <c r="AAF17" i="25" s="1"/>
  <c r="AAG17" i="25" s="1"/>
  <c r="AAH17" i="25" s="1"/>
  <c r="AAI17" i="25" s="1"/>
  <c r="AAJ17" i="25" s="1"/>
  <c r="AAK17" i="25" s="1"/>
  <c r="AAL17" i="25" s="1"/>
  <c r="AAM17" i="25" s="1"/>
  <c r="AAN17" i="25" s="1"/>
  <c r="AAO17" i="25" s="1"/>
  <c r="AAP17" i="25" s="1"/>
  <c r="AAQ17" i="25" s="1"/>
  <c r="AAR17" i="25" s="1"/>
  <c r="AAS17" i="25" s="1"/>
  <c r="AAT17" i="25" s="1"/>
  <c r="AAU17" i="25" s="1"/>
  <c r="AAV17" i="25" s="1"/>
  <c r="AAW17" i="25" s="1"/>
  <c r="AAX17" i="25" s="1"/>
  <c r="AAY17" i="25" s="1"/>
  <c r="AAZ17" i="25" s="1"/>
  <c r="ABA17" i="25" s="1"/>
  <c r="ABB17" i="25" s="1"/>
  <c r="ABC17" i="25" s="1"/>
  <c r="ABD17" i="25" s="1"/>
  <c r="ABE17" i="25" s="1"/>
  <c r="ABF17" i="25" s="1"/>
  <c r="ABG17" i="25" s="1"/>
  <c r="ABH17" i="25" s="1"/>
  <c r="ABI17" i="25" s="1"/>
  <c r="ABJ17" i="25" s="1"/>
  <c r="ABK17" i="25" s="1"/>
  <c r="ABL17" i="25" s="1"/>
  <c r="ABM17" i="25" s="1"/>
  <c r="ABN17" i="25" s="1"/>
  <c r="ABO17" i="25" s="1"/>
  <c r="ABP17" i="25" s="1"/>
  <c r="ABQ17" i="25" s="1"/>
  <c r="ABR17" i="25" s="1"/>
  <c r="ABS17" i="25" s="1"/>
  <c r="ABT17" i="25" s="1"/>
  <c r="ABU17" i="25" s="1"/>
  <c r="ABV17" i="25" s="1"/>
  <c r="ABW17" i="25" s="1"/>
  <c r="ABX17" i="25" s="1"/>
  <c r="ABY17" i="25" s="1"/>
  <c r="ABZ17" i="25" s="1"/>
  <c r="ACA17" i="25" s="1"/>
  <c r="ACB17" i="25" s="1"/>
  <c r="ACC17" i="25" s="1"/>
  <c r="ACD17" i="25" s="1"/>
  <c r="ACE17" i="25" s="1"/>
  <c r="ACF17" i="25" s="1"/>
  <c r="ACG17" i="25" s="1"/>
  <c r="ACH17" i="25" s="1"/>
  <c r="ACI17" i="25" s="1"/>
  <c r="ACJ17" i="25" s="1"/>
  <c r="ACK17" i="25" s="1"/>
  <c r="ACL17" i="25" s="1"/>
  <c r="ACM17" i="25" s="1"/>
  <c r="ACN17" i="25" s="1"/>
  <c r="ACO17" i="25" s="1"/>
  <c r="ACP17" i="25" s="1"/>
  <c r="ACQ17" i="25" s="1"/>
  <c r="ACR17" i="25" s="1"/>
  <c r="ACS17" i="25" s="1"/>
  <c r="ACT17" i="25" s="1"/>
  <c r="ACU17" i="25" s="1"/>
  <c r="ACV17" i="25" s="1"/>
  <c r="C16" i="25"/>
  <c r="D16" i="25" s="1"/>
  <c r="E16" i="25" s="1"/>
  <c r="F16" i="25" s="1"/>
  <c r="G16" i="25" s="1"/>
  <c r="H16" i="25" s="1"/>
  <c r="I16" i="25" s="1"/>
  <c r="J16" i="25" s="1"/>
  <c r="K16" i="25" s="1"/>
  <c r="L16" i="25" s="1"/>
  <c r="M16" i="25" s="1"/>
  <c r="N16" i="25" s="1"/>
  <c r="O16" i="25" s="1"/>
  <c r="P16" i="25" s="1"/>
  <c r="Q16" i="25" s="1"/>
  <c r="R16" i="25" s="1"/>
  <c r="S16" i="25" s="1"/>
  <c r="T16" i="25" s="1"/>
  <c r="U16" i="25" s="1"/>
  <c r="V16" i="25" s="1"/>
  <c r="W16" i="25" s="1"/>
  <c r="X16" i="25" s="1"/>
  <c r="Y16" i="25" s="1"/>
  <c r="Z16" i="25" s="1"/>
  <c r="AA16" i="25" s="1"/>
  <c r="AB16" i="25" s="1"/>
  <c r="AC16" i="25" s="1"/>
  <c r="AD16" i="25" s="1"/>
  <c r="AE16" i="25" s="1"/>
  <c r="AF16" i="25" s="1"/>
  <c r="AG16" i="25" s="1"/>
  <c r="AH16" i="25" s="1"/>
  <c r="AI16" i="25" s="1"/>
  <c r="AJ16" i="25" s="1"/>
  <c r="AK16" i="25" s="1"/>
  <c r="AL16" i="25" s="1"/>
  <c r="AM16" i="25" s="1"/>
  <c r="AN16" i="25" s="1"/>
  <c r="AO16" i="25" s="1"/>
  <c r="AP16" i="25" s="1"/>
  <c r="AQ16" i="25" s="1"/>
  <c r="AR16" i="25" s="1"/>
  <c r="AS16" i="25" s="1"/>
  <c r="AT16" i="25" s="1"/>
  <c r="AU16" i="25" s="1"/>
  <c r="AV16" i="25" s="1"/>
  <c r="AW16" i="25" s="1"/>
  <c r="AX16" i="25" s="1"/>
  <c r="AY16" i="25" s="1"/>
  <c r="AZ16" i="25" s="1"/>
  <c r="BA16" i="25" s="1"/>
  <c r="BB16" i="25" s="1"/>
  <c r="BC16" i="25" s="1"/>
  <c r="BD16" i="25" s="1"/>
  <c r="BE16" i="25" s="1"/>
  <c r="BF16" i="25" s="1"/>
  <c r="BG16" i="25" s="1"/>
  <c r="BH16" i="25" s="1"/>
  <c r="BI16" i="25" s="1"/>
  <c r="BJ16" i="25" s="1"/>
  <c r="BK16" i="25" s="1"/>
  <c r="BL16" i="25" s="1"/>
  <c r="BM16" i="25" s="1"/>
  <c r="BN16" i="25" s="1"/>
  <c r="BO16" i="25" s="1"/>
  <c r="BP16" i="25" s="1"/>
  <c r="BQ16" i="25" s="1"/>
  <c r="BR16" i="25" s="1"/>
  <c r="BS16" i="25" s="1"/>
  <c r="BT16" i="25" s="1"/>
  <c r="BU16" i="25" s="1"/>
  <c r="BV16" i="25" s="1"/>
  <c r="BW16" i="25" s="1"/>
  <c r="BX16" i="25" s="1"/>
  <c r="BY16" i="25" s="1"/>
  <c r="BZ16" i="25" s="1"/>
  <c r="CA16" i="25" s="1"/>
  <c r="CB16" i="25" s="1"/>
  <c r="CC16" i="25" s="1"/>
  <c r="CD16" i="25" s="1"/>
  <c r="CE16" i="25" s="1"/>
  <c r="CF16" i="25" s="1"/>
  <c r="CG16" i="25" s="1"/>
  <c r="CH16" i="25" s="1"/>
  <c r="CI16" i="25" s="1"/>
  <c r="CJ16" i="25" s="1"/>
  <c r="CK16" i="25" s="1"/>
  <c r="CL16" i="25" s="1"/>
  <c r="CM16" i="25" s="1"/>
  <c r="CN16" i="25" s="1"/>
  <c r="CO16" i="25" s="1"/>
  <c r="CP16" i="25" s="1"/>
  <c r="CQ16" i="25" s="1"/>
  <c r="CR16" i="25" s="1"/>
  <c r="CS16" i="25" s="1"/>
  <c r="CT16" i="25" s="1"/>
  <c r="CU16" i="25" s="1"/>
  <c r="CV16" i="25" s="1"/>
  <c r="CW16" i="25" s="1"/>
  <c r="CX16" i="25" s="1"/>
  <c r="CY16" i="25" s="1"/>
  <c r="CZ16" i="25" s="1"/>
  <c r="DA16" i="25" s="1"/>
  <c r="DB16" i="25" s="1"/>
  <c r="DC16" i="25" s="1"/>
  <c r="DD16" i="25" s="1"/>
  <c r="DE16" i="25" s="1"/>
  <c r="DF16" i="25" s="1"/>
  <c r="DG16" i="25" s="1"/>
  <c r="DH16" i="25" s="1"/>
  <c r="DI16" i="25" s="1"/>
  <c r="DJ16" i="25" s="1"/>
  <c r="DK16" i="25" s="1"/>
  <c r="DL16" i="25" s="1"/>
  <c r="DM16" i="25" s="1"/>
  <c r="DN16" i="25" s="1"/>
  <c r="DO16" i="25" s="1"/>
  <c r="DP16" i="25" s="1"/>
  <c r="DQ16" i="25" s="1"/>
  <c r="DR16" i="25" s="1"/>
  <c r="DS16" i="25" s="1"/>
  <c r="DT16" i="25" s="1"/>
  <c r="DU16" i="25" s="1"/>
  <c r="DV16" i="25" s="1"/>
  <c r="DW16" i="25" s="1"/>
  <c r="DX16" i="25" s="1"/>
  <c r="DY16" i="25" s="1"/>
  <c r="DZ16" i="25" s="1"/>
  <c r="EA16" i="25" s="1"/>
  <c r="EB16" i="25" s="1"/>
  <c r="EC16" i="25" s="1"/>
  <c r="ED16" i="25" s="1"/>
  <c r="EE16" i="25" s="1"/>
  <c r="EF16" i="25" s="1"/>
  <c r="EG16" i="25" s="1"/>
  <c r="EH16" i="25" s="1"/>
  <c r="EI16" i="25" s="1"/>
  <c r="EJ16" i="25" s="1"/>
  <c r="EK16" i="25" s="1"/>
  <c r="EL16" i="25" s="1"/>
  <c r="EM16" i="25" s="1"/>
  <c r="EN16" i="25" s="1"/>
  <c r="EO16" i="25" s="1"/>
  <c r="EP16" i="25" s="1"/>
  <c r="EQ16" i="25" s="1"/>
  <c r="ER16" i="25" s="1"/>
  <c r="ES16" i="25" s="1"/>
  <c r="ET16" i="25" s="1"/>
  <c r="EU16" i="25" s="1"/>
  <c r="EV16" i="25" s="1"/>
  <c r="EW16" i="25" s="1"/>
  <c r="EX16" i="25" s="1"/>
  <c r="EY16" i="25" s="1"/>
  <c r="EZ16" i="25" s="1"/>
  <c r="FA16" i="25" s="1"/>
  <c r="FB16" i="25" s="1"/>
  <c r="FC16" i="25" s="1"/>
  <c r="FD16" i="25" s="1"/>
  <c r="FE16" i="25" s="1"/>
  <c r="FF16" i="25" s="1"/>
  <c r="FG16" i="25" s="1"/>
  <c r="FH16" i="25" s="1"/>
  <c r="FI16" i="25" s="1"/>
  <c r="FJ16" i="25" s="1"/>
  <c r="FK16" i="25" s="1"/>
  <c r="FL16" i="25" s="1"/>
  <c r="FM16" i="25" s="1"/>
  <c r="FN16" i="25" s="1"/>
  <c r="FO16" i="25" s="1"/>
  <c r="FP16" i="25" s="1"/>
  <c r="FQ16" i="25" s="1"/>
  <c r="FR16" i="25" s="1"/>
  <c r="FS16" i="25" s="1"/>
  <c r="FT16" i="25" s="1"/>
  <c r="FU16" i="25" s="1"/>
  <c r="FV16" i="25" s="1"/>
  <c r="FW16" i="25" s="1"/>
  <c r="FX16" i="25" s="1"/>
  <c r="FY16" i="25" s="1"/>
  <c r="FZ16" i="25" s="1"/>
  <c r="GA16" i="25" s="1"/>
  <c r="GB16" i="25" s="1"/>
  <c r="GC16" i="25" s="1"/>
  <c r="GD16" i="25" s="1"/>
  <c r="GE16" i="25" s="1"/>
  <c r="GF16" i="25" s="1"/>
  <c r="GG16" i="25" s="1"/>
  <c r="GH16" i="25" s="1"/>
  <c r="GI16" i="25" s="1"/>
  <c r="GJ16" i="25" s="1"/>
  <c r="GK16" i="25" s="1"/>
  <c r="GL16" i="25" s="1"/>
  <c r="GM16" i="25" s="1"/>
  <c r="GN16" i="25" s="1"/>
  <c r="GO16" i="25" s="1"/>
  <c r="GP16" i="25" s="1"/>
  <c r="GQ16" i="25" s="1"/>
  <c r="GR16" i="25" s="1"/>
  <c r="GS16" i="25" s="1"/>
  <c r="GT16" i="25" s="1"/>
  <c r="GU16" i="25" s="1"/>
  <c r="GV16" i="25" s="1"/>
  <c r="GW16" i="25" s="1"/>
  <c r="GX16" i="25" s="1"/>
  <c r="GY16" i="25" s="1"/>
  <c r="GZ16" i="25" s="1"/>
  <c r="HA16" i="25" s="1"/>
  <c r="HB16" i="25" s="1"/>
  <c r="HC16" i="25" s="1"/>
  <c r="HD16" i="25" s="1"/>
  <c r="HE16" i="25" s="1"/>
  <c r="HF16" i="25" s="1"/>
  <c r="HG16" i="25" s="1"/>
  <c r="HH16" i="25" s="1"/>
  <c r="HI16" i="25" s="1"/>
  <c r="HJ16" i="25" s="1"/>
  <c r="HK16" i="25" s="1"/>
  <c r="HL16" i="25" s="1"/>
  <c r="HM16" i="25" s="1"/>
  <c r="HN16" i="25" s="1"/>
  <c r="HO16" i="25" s="1"/>
  <c r="HP16" i="25" s="1"/>
  <c r="HQ16" i="25" s="1"/>
  <c r="HR16" i="25" s="1"/>
  <c r="HS16" i="25" s="1"/>
  <c r="HT16" i="25" s="1"/>
  <c r="HU16" i="25" s="1"/>
  <c r="HV16" i="25" s="1"/>
  <c r="HW16" i="25" s="1"/>
  <c r="HX16" i="25" s="1"/>
  <c r="HY16" i="25" s="1"/>
  <c r="HZ16" i="25" s="1"/>
  <c r="IA16" i="25" s="1"/>
  <c r="IB16" i="25" s="1"/>
  <c r="IC16" i="25" s="1"/>
  <c r="ID16" i="25" s="1"/>
  <c r="IE16" i="25" s="1"/>
  <c r="IF16" i="25" s="1"/>
  <c r="IG16" i="25" s="1"/>
  <c r="IH16" i="25" s="1"/>
  <c r="II16" i="25" s="1"/>
  <c r="IJ16" i="25" s="1"/>
  <c r="IK16" i="25" s="1"/>
  <c r="IL16" i="25" s="1"/>
  <c r="IM16" i="25" s="1"/>
  <c r="IN16" i="25" s="1"/>
  <c r="IO16" i="25" s="1"/>
  <c r="IP16" i="25" s="1"/>
  <c r="IQ16" i="25" s="1"/>
  <c r="IR16" i="25" s="1"/>
  <c r="IS16" i="25" s="1"/>
  <c r="IT16" i="25" s="1"/>
  <c r="IU16" i="25" s="1"/>
  <c r="IV16" i="25" s="1"/>
  <c r="IW16" i="25" s="1"/>
  <c r="IX16" i="25" s="1"/>
  <c r="IY16" i="25" s="1"/>
  <c r="IZ16" i="25" s="1"/>
  <c r="JA16" i="25" s="1"/>
  <c r="JB16" i="25" s="1"/>
  <c r="JC16" i="25" s="1"/>
  <c r="JD16" i="25" s="1"/>
  <c r="JE16" i="25" s="1"/>
  <c r="JF16" i="25" s="1"/>
  <c r="JG16" i="25" s="1"/>
  <c r="JH16" i="25" s="1"/>
  <c r="JI16" i="25" s="1"/>
  <c r="JJ16" i="25" s="1"/>
  <c r="JK16" i="25" s="1"/>
  <c r="JL16" i="25" s="1"/>
  <c r="JM16" i="25" s="1"/>
  <c r="JN16" i="25" s="1"/>
  <c r="JO16" i="25" s="1"/>
  <c r="JP16" i="25" s="1"/>
  <c r="JQ16" i="25" s="1"/>
  <c r="JR16" i="25" s="1"/>
  <c r="JS16" i="25" s="1"/>
  <c r="JT16" i="25" s="1"/>
  <c r="JU16" i="25" s="1"/>
  <c r="JV16" i="25" s="1"/>
  <c r="JW16" i="25" s="1"/>
  <c r="JX16" i="25" s="1"/>
  <c r="JY16" i="25" s="1"/>
  <c r="JZ16" i="25" s="1"/>
  <c r="KA16" i="25" s="1"/>
  <c r="KB16" i="25" s="1"/>
  <c r="KC16" i="25" s="1"/>
  <c r="KD16" i="25" s="1"/>
  <c r="KE16" i="25" s="1"/>
  <c r="KF16" i="25" s="1"/>
  <c r="KG16" i="25" s="1"/>
  <c r="KH16" i="25" s="1"/>
  <c r="KI16" i="25" s="1"/>
  <c r="KJ16" i="25" s="1"/>
  <c r="KK16" i="25" s="1"/>
  <c r="KL16" i="25" s="1"/>
  <c r="KM16" i="25" s="1"/>
  <c r="KN16" i="25" s="1"/>
  <c r="KO16" i="25" s="1"/>
  <c r="KP16" i="25" s="1"/>
  <c r="KQ16" i="25" s="1"/>
  <c r="KR16" i="25" s="1"/>
  <c r="KS16" i="25" s="1"/>
  <c r="KT16" i="25" s="1"/>
  <c r="KU16" i="25" s="1"/>
  <c r="KV16" i="25" s="1"/>
  <c r="KW16" i="25" s="1"/>
  <c r="KX16" i="25" s="1"/>
  <c r="KY16" i="25" s="1"/>
  <c r="KZ16" i="25" s="1"/>
  <c r="LA16" i="25" s="1"/>
  <c r="LB16" i="25" s="1"/>
  <c r="LC16" i="25" s="1"/>
  <c r="LD16" i="25" s="1"/>
  <c r="LE16" i="25" s="1"/>
  <c r="LF16" i="25" s="1"/>
  <c r="LG16" i="25" s="1"/>
  <c r="LH16" i="25" s="1"/>
  <c r="LI16" i="25" s="1"/>
  <c r="LJ16" i="25" s="1"/>
  <c r="LK16" i="25" s="1"/>
  <c r="LL16" i="25" s="1"/>
  <c r="LM16" i="25" s="1"/>
  <c r="LN16" i="25" s="1"/>
  <c r="LO16" i="25" s="1"/>
  <c r="LP16" i="25" s="1"/>
  <c r="LQ16" i="25" s="1"/>
  <c r="LR16" i="25" s="1"/>
  <c r="LS16" i="25" s="1"/>
  <c r="LT16" i="25" s="1"/>
  <c r="LU16" i="25" s="1"/>
  <c r="LV16" i="25" s="1"/>
  <c r="LW16" i="25" s="1"/>
  <c r="LX16" i="25" s="1"/>
  <c r="LY16" i="25" s="1"/>
  <c r="LZ16" i="25" s="1"/>
  <c r="MA16" i="25" s="1"/>
  <c r="MB16" i="25" s="1"/>
  <c r="MC16" i="25" s="1"/>
  <c r="MD16" i="25" s="1"/>
  <c r="ME16" i="25" s="1"/>
  <c r="MF16" i="25" s="1"/>
  <c r="MG16" i="25" s="1"/>
  <c r="MH16" i="25" s="1"/>
  <c r="MI16" i="25" s="1"/>
  <c r="MJ16" i="25" s="1"/>
  <c r="MK16" i="25" s="1"/>
  <c r="ML16" i="25" s="1"/>
  <c r="MM16" i="25" s="1"/>
  <c r="MN16" i="25" s="1"/>
  <c r="MO16" i="25" s="1"/>
  <c r="MP16" i="25" s="1"/>
  <c r="MQ16" i="25" s="1"/>
  <c r="MR16" i="25" s="1"/>
  <c r="MS16" i="25" s="1"/>
  <c r="MT16" i="25" s="1"/>
  <c r="MU16" i="25" s="1"/>
  <c r="MV16" i="25" s="1"/>
  <c r="MW16" i="25" s="1"/>
  <c r="MX16" i="25" s="1"/>
  <c r="MY16" i="25" s="1"/>
  <c r="MZ16" i="25" s="1"/>
  <c r="NA16" i="25" s="1"/>
  <c r="NB16" i="25" s="1"/>
  <c r="NC16" i="25" s="1"/>
  <c r="ND16" i="25" s="1"/>
  <c r="NE16" i="25" s="1"/>
  <c r="NF16" i="25" s="1"/>
  <c r="NG16" i="25" s="1"/>
  <c r="NH16" i="25" s="1"/>
  <c r="NI16" i="25" s="1"/>
  <c r="NJ16" i="25" s="1"/>
  <c r="NK16" i="25" s="1"/>
  <c r="NL16" i="25" s="1"/>
  <c r="NM16" i="25" s="1"/>
  <c r="NN16" i="25" s="1"/>
  <c r="NO16" i="25" s="1"/>
  <c r="NP16" i="25" s="1"/>
  <c r="NQ16" i="25" s="1"/>
  <c r="NR16" i="25" s="1"/>
  <c r="NS16" i="25" s="1"/>
  <c r="NT16" i="25" s="1"/>
  <c r="NU16" i="25" s="1"/>
  <c r="NV16" i="25" s="1"/>
  <c r="NW16" i="25" s="1"/>
  <c r="NX16" i="25" s="1"/>
  <c r="NY16" i="25" s="1"/>
  <c r="NZ16" i="25" s="1"/>
  <c r="OA16" i="25" s="1"/>
  <c r="OB16" i="25" s="1"/>
  <c r="OC16" i="25" s="1"/>
  <c r="OD16" i="25" s="1"/>
  <c r="OE16" i="25" s="1"/>
  <c r="OF16" i="25" s="1"/>
  <c r="OG16" i="25" s="1"/>
  <c r="OH16" i="25" s="1"/>
  <c r="OI16" i="25" s="1"/>
  <c r="OJ16" i="25" s="1"/>
  <c r="OK16" i="25" s="1"/>
  <c r="OL16" i="25" s="1"/>
  <c r="OM16" i="25" s="1"/>
  <c r="ON16" i="25" s="1"/>
  <c r="OO16" i="25" s="1"/>
  <c r="OP16" i="25" s="1"/>
  <c r="OQ16" i="25" s="1"/>
  <c r="OR16" i="25" s="1"/>
  <c r="OS16" i="25" s="1"/>
  <c r="OT16" i="25" s="1"/>
  <c r="OU16" i="25" s="1"/>
  <c r="OV16" i="25" s="1"/>
  <c r="OW16" i="25" s="1"/>
  <c r="OX16" i="25" s="1"/>
  <c r="OY16" i="25" s="1"/>
  <c r="OZ16" i="25" s="1"/>
  <c r="PA16" i="25" s="1"/>
  <c r="PB16" i="25" s="1"/>
  <c r="PC16" i="25" s="1"/>
  <c r="PD16" i="25" s="1"/>
  <c r="PE16" i="25" s="1"/>
  <c r="PF16" i="25" s="1"/>
  <c r="PG16" i="25" s="1"/>
  <c r="PH16" i="25" s="1"/>
  <c r="PI16" i="25" s="1"/>
  <c r="PJ16" i="25" s="1"/>
  <c r="PK16" i="25" s="1"/>
  <c r="PL16" i="25" s="1"/>
  <c r="PM16" i="25" s="1"/>
  <c r="PN16" i="25" s="1"/>
  <c r="PO16" i="25" s="1"/>
  <c r="PP16" i="25" s="1"/>
  <c r="PQ16" i="25" s="1"/>
  <c r="PR16" i="25" s="1"/>
  <c r="PS16" i="25" s="1"/>
  <c r="PT16" i="25" s="1"/>
  <c r="PU16" i="25" s="1"/>
  <c r="PV16" i="25" s="1"/>
  <c r="PW16" i="25" s="1"/>
  <c r="PX16" i="25" s="1"/>
  <c r="PY16" i="25" s="1"/>
  <c r="PZ16" i="25" s="1"/>
  <c r="QA16" i="25" s="1"/>
  <c r="QB16" i="25" s="1"/>
  <c r="QC16" i="25" s="1"/>
  <c r="QD16" i="25" s="1"/>
  <c r="QE16" i="25" s="1"/>
  <c r="QF16" i="25" s="1"/>
  <c r="QG16" i="25" s="1"/>
  <c r="QH16" i="25" s="1"/>
  <c r="QI16" i="25" s="1"/>
  <c r="QJ16" i="25" s="1"/>
  <c r="QK16" i="25" s="1"/>
  <c r="QL16" i="25" s="1"/>
  <c r="QM16" i="25" s="1"/>
  <c r="QN16" i="25" s="1"/>
  <c r="QO16" i="25" s="1"/>
  <c r="QP16" i="25" s="1"/>
  <c r="QQ16" i="25" s="1"/>
  <c r="QR16" i="25" s="1"/>
  <c r="QS16" i="25" s="1"/>
  <c r="QT16" i="25" s="1"/>
  <c r="QU16" i="25" s="1"/>
  <c r="QV16" i="25" s="1"/>
  <c r="QW16" i="25" s="1"/>
  <c r="QX16" i="25" s="1"/>
  <c r="QY16" i="25" s="1"/>
  <c r="QZ16" i="25" s="1"/>
  <c r="RA16" i="25" s="1"/>
  <c r="RB16" i="25" s="1"/>
  <c r="RC16" i="25" s="1"/>
  <c r="RD16" i="25" s="1"/>
  <c r="RE16" i="25" s="1"/>
  <c r="RF16" i="25" s="1"/>
  <c r="RG16" i="25" s="1"/>
  <c r="RH16" i="25" s="1"/>
  <c r="RI16" i="25" s="1"/>
  <c r="RJ16" i="25" s="1"/>
  <c r="RK16" i="25" s="1"/>
  <c r="RL16" i="25" s="1"/>
  <c r="RM16" i="25" s="1"/>
  <c r="RN16" i="25" s="1"/>
  <c r="RO16" i="25" s="1"/>
  <c r="RP16" i="25" s="1"/>
  <c r="RQ16" i="25" s="1"/>
  <c r="RR16" i="25" s="1"/>
  <c r="RS16" i="25" s="1"/>
  <c r="RT16" i="25" s="1"/>
  <c r="RU16" i="25" s="1"/>
  <c r="RV16" i="25" s="1"/>
  <c r="RW16" i="25" s="1"/>
  <c r="RX16" i="25" s="1"/>
  <c r="RY16" i="25" s="1"/>
  <c r="RZ16" i="25" s="1"/>
  <c r="SA16" i="25" s="1"/>
  <c r="SB16" i="25" s="1"/>
  <c r="SC16" i="25" s="1"/>
  <c r="SD16" i="25" s="1"/>
  <c r="SE16" i="25" s="1"/>
  <c r="SF16" i="25" s="1"/>
  <c r="SG16" i="25" s="1"/>
  <c r="SH16" i="25" s="1"/>
  <c r="SI16" i="25" s="1"/>
  <c r="SJ16" i="25" s="1"/>
  <c r="SK16" i="25" s="1"/>
  <c r="SL16" i="25" s="1"/>
  <c r="SM16" i="25" s="1"/>
  <c r="SN16" i="25" s="1"/>
  <c r="SO16" i="25" s="1"/>
  <c r="SP16" i="25" s="1"/>
  <c r="SQ16" i="25" s="1"/>
  <c r="SR16" i="25" s="1"/>
  <c r="SS16" i="25" s="1"/>
  <c r="ST16" i="25" s="1"/>
  <c r="SU16" i="25" s="1"/>
  <c r="SV16" i="25" s="1"/>
  <c r="SW16" i="25" s="1"/>
  <c r="SX16" i="25" s="1"/>
  <c r="SY16" i="25" s="1"/>
  <c r="SZ16" i="25" s="1"/>
  <c r="TA16" i="25" s="1"/>
  <c r="TB16" i="25" s="1"/>
  <c r="TC16" i="25" s="1"/>
  <c r="TD16" i="25" s="1"/>
  <c r="TE16" i="25" s="1"/>
  <c r="TF16" i="25" s="1"/>
  <c r="TG16" i="25" s="1"/>
  <c r="TH16" i="25" s="1"/>
  <c r="TI16" i="25" s="1"/>
  <c r="TJ16" i="25" s="1"/>
  <c r="TK16" i="25" s="1"/>
  <c r="TL16" i="25" s="1"/>
  <c r="TM16" i="25" s="1"/>
  <c r="TN16" i="25" s="1"/>
  <c r="TO16" i="25" s="1"/>
  <c r="TP16" i="25" s="1"/>
  <c r="TQ16" i="25" s="1"/>
  <c r="TR16" i="25" s="1"/>
  <c r="TS16" i="25" s="1"/>
  <c r="TT16" i="25" s="1"/>
  <c r="TU16" i="25" s="1"/>
  <c r="TV16" i="25" s="1"/>
  <c r="TW16" i="25" s="1"/>
  <c r="TX16" i="25" s="1"/>
  <c r="TY16" i="25" s="1"/>
  <c r="TZ16" i="25" s="1"/>
  <c r="UA16" i="25" s="1"/>
  <c r="UB16" i="25" s="1"/>
  <c r="UC16" i="25" s="1"/>
  <c r="UD16" i="25" s="1"/>
  <c r="UE16" i="25" s="1"/>
  <c r="UF16" i="25" s="1"/>
  <c r="UG16" i="25" s="1"/>
  <c r="UH16" i="25" s="1"/>
  <c r="UI16" i="25" s="1"/>
  <c r="UJ16" i="25" s="1"/>
  <c r="UK16" i="25" s="1"/>
  <c r="UL16" i="25" s="1"/>
  <c r="UM16" i="25" s="1"/>
  <c r="UN16" i="25" s="1"/>
  <c r="UO16" i="25" s="1"/>
  <c r="UP16" i="25" s="1"/>
  <c r="UQ16" i="25" s="1"/>
  <c r="UR16" i="25" s="1"/>
  <c r="US16" i="25" s="1"/>
  <c r="UT16" i="25" s="1"/>
  <c r="UU16" i="25" s="1"/>
  <c r="UV16" i="25" s="1"/>
  <c r="UW16" i="25" s="1"/>
  <c r="UX16" i="25" s="1"/>
  <c r="UY16" i="25" s="1"/>
  <c r="UZ16" i="25" s="1"/>
  <c r="VA16" i="25" s="1"/>
  <c r="VB16" i="25" s="1"/>
  <c r="VC16" i="25" s="1"/>
  <c r="VD16" i="25" s="1"/>
  <c r="VE16" i="25" s="1"/>
  <c r="VF16" i="25" s="1"/>
  <c r="VG16" i="25" s="1"/>
  <c r="VH16" i="25" s="1"/>
  <c r="VI16" i="25" s="1"/>
  <c r="VJ16" i="25" s="1"/>
  <c r="VK16" i="25" s="1"/>
  <c r="VL16" i="25" s="1"/>
  <c r="VM16" i="25" s="1"/>
  <c r="VN16" i="25" s="1"/>
  <c r="VO16" i="25" s="1"/>
  <c r="VP16" i="25" s="1"/>
  <c r="VQ16" i="25" s="1"/>
  <c r="VR16" i="25" s="1"/>
  <c r="VS16" i="25" s="1"/>
  <c r="VT16" i="25" s="1"/>
  <c r="VU16" i="25" s="1"/>
  <c r="VV16" i="25" s="1"/>
  <c r="VW16" i="25" s="1"/>
  <c r="VX16" i="25" s="1"/>
  <c r="VY16" i="25" s="1"/>
  <c r="VZ16" i="25" s="1"/>
  <c r="WA16" i="25" s="1"/>
  <c r="WB16" i="25" s="1"/>
  <c r="WC16" i="25" s="1"/>
  <c r="WD16" i="25" s="1"/>
  <c r="WE16" i="25" s="1"/>
  <c r="WF16" i="25" s="1"/>
  <c r="WG16" i="25" s="1"/>
  <c r="WH16" i="25" s="1"/>
  <c r="WI16" i="25" s="1"/>
  <c r="WJ16" i="25" s="1"/>
  <c r="WK16" i="25" s="1"/>
  <c r="WL16" i="25" s="1"/>
  <c r="WM16" i="25" s="1"/>
  <c r="WN16" i="25" s="1"/>
  <c r="WO16" i="25" s="1"/>
  <c r="WP16" i="25" s="1"/>
  <c r="WQ16" i="25" s="1"/>
  <c r="WR16" i="25" s="1"/>
  <c r="WS16" i="25" s="1"/>
  <c r="WT16" i="25" s="1"/>
  <c r="WU16" i="25" s="1"/>
  <c r="WV16" i="25" s="1"/>
  <c r="WW16" i="25" s="1"/>
  <c r="WX16" i="25" s="1"/>
  <c r="WY16" i="25" s="1"/>
  <c r="WZ16" i="25" s="1"/>
  <c r="XA16" i="25" s="1"/>
  <c r="XB16" i="25" s="1"/>
  <c r="XC16" i="25" s="1"/>
  <c r="XD16" i="25" s="1"/>
  <c r="XE16" i="25" s="1"/>
  <c r="XF16" i="25" s="1"/>
  <c r="XG16" i="25" s="1"/>
  <c r="XH16" i="25" s="1"/>
  <c r="XI16" i="25" s="1"/>
  <c r="XJ16" i="25" s="1"/>
  <c r="XK16" i="25" s="1"/>
  <c r="XL16" i="25" s="1"/>
  <c r="XM16" i="25" s="1"/>
  <c r="XN16" i="25" s="1"/>
  <c r="XO16" i="25" s="1"/>
  <c r="XP16" i="25" s="1"/>
  <c r="XQ16" i="25" s="1"/>
  <c r="XR16" i="25" s="1"/>
  <c r="XS16" i="25" s="1"/>
  <c r="XT16" i="25" s="1"/>
  <c r="XU16" i="25" s="1"/>
  <c r="XV16" i="25" s="1"/>
  <c r="XW16" i="25" s="1"/>
  <c r="XX16" i="25" s="1"/>
  <c r="XY16" i="25" s="1"/>
  <c r="XZ16" i="25" s="1"/>
  <c r="YA16" i="25" s="1"/>
  <c r="YB16" i="25" s="1"/>
  <c r="YC16" i="25" s="1"/>
  <c r="YD16" i="25" s="1"/>
  <c r="YE16" i="25" s="1"/>
  <c r="YF16" i="25" s="1"/>
  <c r="YG16" i="25" s="1"/>
  <c r="YH16" i="25" s="1"/>
  <c r="YI16" i="25" s="1"/>
  <c r="YJ16" i="25" s="1"/>
  <c r="YK16" i="25" s="1"/>
  <c r="YL16" i="25" s="1"/>
  <c r="YM16" i="25" s="1"/>
  <c r="YN16" i="25" s="1"/>
  <c r="YO16" i="25" s="1"/>
  <c r="YP16" i="25" s="1"/>
  <c r="YQ16" i="25" s="1"/>
  <c r="YR16" i="25" s="1"/>
  <c r="YS16" i="25" s="1"/>
  <c r="YT16" i="25" s="1"/>
  <c r="YU16" i="25" s="1"/>
  <c r="YV16" i="25" s="1"/>
  <c r="YW16" i="25" s="1"/>
  <c r="YX16" i="25" s="1"/>
  <c r="YY16" i="25" s="1"/>
  <c r="YZ16" i="25" s="1"/>
  <c r="ZA16" i="25" s="1"/>
  <c r="ZB16" i="25" s="1"/>
  <c r="ZC16" i="25" s="1"/>
  <c r="ZD16" i="25" s="1"/>
  <c r="ZE16" i="25" s="1"/>
  <c r="ZF16" i="25" s="1"/>
  <c r="ZG16" i="25" s="1"/>
  <c r="ZH16" i="25" s="1"/>
  <c r="ZI16" i="25" s="1"/>
  <c r="ZJ16" i="25" s="1"/>
  <c r="ZK16" i="25" s="1"/>
  <c r="ZL16" i="25" s="1"/>
  <c r="ZM16" i="25" s="1"/>
  <c r="ZN16" i="25" s="1"/>
  <c r="ZO16" i="25" s="1"/>
  <c r="ZP16" i="25" s="1"/>
  <c r="ZQ16" i="25" s="1"/>
  <c r="ZR16" i="25" s="1"/>
  <c r="ZS16" i="25" s="1"/>
  <c r="ZT16" i="25" s="1"/>
  <c r="ZU16" i="25" s="1"/>
  <c r="ZV16" i="25" s="1"/>
  <c r="ZW16" i="25" s="1"/>
  <c r="ZX16" i="25" s="1"/>
  <c r="ZY16" i="25" s="1"/>
  <c r="ZZ16" i="25" s="1"/>
  <c r="AAA16" i="25" s="1"/>
  <c r="AAB16" i="25" s="1"/>
  <c r="AAC16" i="25" s="1"/>
  <c r="AAD16" i="25" s="1"/>
  <c r="AAE16" i="25" s="1"/>
  <c r="AAF16" i="25" s="1"/>
  <c r="AAG16" i="25" s="1"/>
  <c r="AAH16" i="25" s="1"/>
  <c r="AAI16" i="25" s="1"/>
  <c r="AAJ16" i="25" s="1"/>
  <c r="AAK16" i="25" s="1"/>
  <c r="AAL16" i="25" s="1"/>
  <c r="AAM16" i="25" s="1"/>
  <c r="AAN16" i="25" s="1"/>
  <c r="AAO16" i="25" s="1"/>
  <c r="AAP16" i="25" s="1"/>
  <c r="AAQ16" i="25" s="1"/>
  <c r="AAR16" i="25" s="1"/>
  <c r="AAS16" i="25" s="1"/>
  <c r="AAT16" i="25" s="1"/>
  <c r="AAU16" i="25" s="1"/>
  <c r="AAV16" i="25" s="1"/>
  <c r="AAW16" i="25" s="1"/>
  <c r="AAX16" i="25" s="1"/>
  <c r="AAY16" i="25" s="1"/>
  <c r="AAZ16" i="25" s="1"/>
  <c r="ABA16" i="25" s="1"/>
  <c r="ABB16" i="25" s="1"/>
  <c r="ABC16" i="25" s="1"/>
  <c r="ABD16" i="25" s="1"/>
  <c r="ABE16" i="25" s="1"/>
  <c r="ABF16" i="25" s="1"/>
  <c r="ABG16" i="25" s="1"/>
  <c r="ABH16" i="25" s="1"/>
  <c r="ABI16" i="25" s="1"/>
  <c r="ABJ16" i="25" s="1"/>
  <c r="ABK16" i="25" s="1"/>
  <c r="ABL16" i="25" s="1"/>
  <c r="ABM16" i="25" s="1"/>
  <c r="ABN16" i="25" s="1"/>
  <c r="ABO16" i="25" s="1"/>
  <c r="ABP16" i="25" s="1"/>
  <c r="ABQ16" i="25" s="1"/>
  <c r="ABR16" i="25" s="1"/>
  <c r="ABS16" i="25" s="1"/>
  <c r="ABT16" i="25" s="1"/>
  <c r="ABU16" i="25" s="1"/>
  <c r="ABV16" i="25" s="1"/>
  <c r="ABW16" i="25" s="1"/>
  <c r="ABX16" i="25" s="1"/>
  <c r="ABY16" i="25" s="1"/>
  <c r="ABZ16" i="25" s="1"/>
  <c r="ACA16" i="25" s="1"/>
  <c r="ACB16" i="25" s="1"/>
  <c r="ACC16" i="25" s="1"/>
  <c r="ACD16" i="25" s="1"/>
  <c r="ACE16" i="25" s="1"/>
  <c r="ACF16" i="25" s="1"/>
  <c r="ACG16" i="25" s="1"/>
  <c r="ACH16" i="25" s="1"/>
  <c r="ACI16" i="25" s="1"/>
  <c r="ACJ16" i="25" s="1"/>
  <c r="ACK16" i="25" s="1"/>
  <c r="ACL16" i="25" s="1"/>
  <c r="ACM16" i="25" s="1"/>
  <c r="ACN16" i="25" s="1"/>
  <c r="ACO16" i="25" s="1"/>
  <c r="ACP16" i="25" s="1"/>
  <c r="ACQ16" i="25" s="1"/>
  <c r="ACR16" i="25" s="1"/>
  <c r="ACS16" i="25" s="1"/>
  <c r="ACT16" i="25" s="1"/>
  <c r="ACU16" i="25" s="1"/>
  <c r="ACV16" i="25" s="1"/>
  <c r="C19" i="25"/>
  <c r="D19" i="25" s="1"/>
  <c r="E19" i="25" s="1"/>
  <c r="F19" i="25" s="1"/>
  <c r="G19" i="25" s="1"/>
  <c r="H19" i="25" s="1"/>
  <c r="I19" i="25" s="1"/>
  <c r="J19" i="25" s="1"/>
  <c r="K19" i="25" s="1"/>
  <c r="L19" i="25" s="1"/>
  <c r="M19" i="25" s="1"/>
  <c r="N19" i="25" s="1"/>
  <c r="O19" i="25" s="1"/>
  <c r="P19" i="25" s="1"/>
  <c r="Q19" i="25" s="1"/>
  <c r="R19" i="25" s="1"/>
  <c r="S19" i="25" s="1"/>
  <c r="T19" i="25" s="1"/>
  <c r="U19" i="25" s="1"/>
  <c r="V19" i="25" s="1"/>
  <c r="W19" i="25" s="1"/>
  <c r="X19" i="25" s="1"/>
  <c r="Y19" i="25" s="1"/>
  <c r="Z19" i="25" s="1"/>
  <c r="AA19" i="25" s="1"/>
  <c r="AB19" i="25" s="1"/>
  <c r="AC19" i="25" s="1"/>
  <c r="AD19" i="25" s="1"/>
  <c r="AE19" i="25" s="1"/>
  <c r="AF19" i="25" s="1"/>
  <c r="AG19" i="25" s="1"/>
  <c r="AH19" i="25" s="1"/>
  <c r="AI19" i="25" s="1"/>
  <c r="AJ19" i="25" s="1"/>
  <c r="AK19" i="25" s="1"/>
  <c r="AL19" i="25" s="1"/>
  <c r="AM19" i="25" s="1"/>
  <c r="AN19" i="25" s="1"/>
  <c r="AO19" i="25" s="1"/>
  <c r="AP19" i="25" s="1"/>
  <c r="AQ19" i="25" s="1"/>
  <c r="AR19" i="25" s="1"/>
  <c r="AS19" i="25" s="1"/>
  <c r="AT19" i="25" s="1"/>
  <c r="AU19" i="25" s="1"/>
  <c r="AV19" i="25" s="1"/>
  <c r="AW19" i="25" s="1"/>
  <c r="AX19" i="25" s="1"/>
  <c r="AY19" i="25" s="1"/>
  <c r="AZ19" i="25" s="1"/>
  <c r="BA19" i="25" s="1"/>
  <c r="BB19" i="25" s="1"/>
  <c r="BC19" i="25" s="1"/>
  <c r="BD19" i="25" s="1"/>
  <c r="BE19" i="25" s="1"/>
  <c r="BF19" i="25" s="1"/>
  <c r="BG19" i="25" s="1"/>
  <c r="BH19" i="25" s="1"/>
  <c r="BI19" i="25" s="1"/>
  <c r="BJ19" i="25" s="1"/>
  <c r="BK19" i="25" s="1"/>
  <c r="BL19" i="25" s="1"/>
  <c r="BM19" i="25" s="1"/>
  <c r="BN19" i="25" s="1"/>
  <c r="BO19" i="25" s="1"/>
  <c r="BP19" i="25" s="1"/>
  <c r="BQ19" i="25" s="1"/>
  <c r="BR19" i="25" s="1"/>
  <c r="BS19" i="25" s="1"/>
  <c r="BT19" i="25" s="1"/>
  <c r="BU19" i="25" s="1"/>
  <c r="BV19" i="25" s="1"/>
  <c r="BW19" i="25" s="1"/>
  <c r="BX19" i="25" s="1"/>
  <c r="BY19" i="25" s="1"/>
  <c r="BZ19" i="25" s="1"/>
  <c r="CA19" i="25" s="1"/>
  <c r="CB19" i="25" s="1"/>
  <c r="CC19" i="25" s="1"/>
  <c r="CD19" i="25" s="1"/>
  <c r="CE19" i="25" s="1"/>
  <c r="CF19" i="25" s="1"/>
  <c r="CG19" i="25" s="1"/>
  <c r="CH19" i="25" s="1"/>
  <c r="CI19" i="25" s="1"/>
  <c r="CJ19" i="25" s="1"/>
  <c r="CK19" i="25" s="1"/>
  <c r="CL19" i="25" s="1"/>
  <c r="CM19" i="25" s="1"/>
  <c r="CN19" i="25" s="1"/>
  <c r="CO19" i="25" s="1"/>
  <c r="CP19" i="25" s="1"/>
  <c r="CQ19" i="25" s="1"/>
  <c r="CR19" i="25" s="1"/>
  <c r="CS19" i="25" s="1"/>
  <c r="CT19" i="25" s="1"/>
  <c r="CU19" i="25" s="1"/>
  <c r="CV19" i="25" s="1"/>
  <c r="CW19" i="25" s="1"/>
  <c r="CX19" i="25" s="1"/>
  <c r="CY19" i="25" s="1"/>
  <c r="CZ19" i="25" s="1"/>
  <c r="DA19" i="25" s="1"/>
  <c r="DB19" i="25" s="1"/>
  <c r="DC19" i="25" s="1"/>
  <c r="DD19" i="25" s="1"/>
  <c r="DE19" i="25" s="1"/>
  <c r="DF19" i="25" s="1"/>
  <c r="DG19" i="25" s="1"/>
  <c r="DH19" i="25" s="1"/>
  <c r="DI19" i="25" s="1"/>
  <c r="DJ19" i="25" s="1"/>
  <c r="DK19" i="25" s="1"/>
  <c r="DL19" i="25" s="1"/>
  <c r="DM19" i="25" s="1"/>
  <c r="DN19" i="25" s="1"/>
  <c r="DO19" i="25" s="1"/>
  <c r="DP19" i="25" s="1"/>
  <c r="DQ19" i="25" s="1"/>
  <c r="DR19" i="25" s="1"/>
  <c r="DS19" i="25" s="1"/>
  <c r="DT19" i="25" s="1"/>
  <c r="DU19" i="25" s="1"/>
  <c r="DV19" i="25" s="1"/>
  <c r="DW19" i="25" s="1"/>
  <c r="DX19" i="25" s="1"/>
  <c r="DY19" i="25" s="1"/>
  <c r="DZ19" i="25" s="1"/>
  <c r="EA19" i="25" s="1"/>
  <c r="EB19" i="25" s="1"/>
  <c r="EC19" i="25" s="1"/>
  <c r="ED19" i="25" s="1"/>
  <c r="EE19" i="25" s="1"/>
  <c r="EF19" i="25" s="1"/>
  <c r="EG19" i="25" s="1"/>
  <c r="EH19" i="25" s="1"/>
  <c r="EI19" i="25" s="1"/>
  <c r="EJ19" i="25" s="1"/>
  <c r="EK19" i="25" s="1"/>
  <c r="EL19" i="25" s="1"/>
  <c r="EM19" i="25" s="1"/>
  <c r="EN19" i="25" s="1"/>
  <c r="EO19" i="25" s="1"/>
  <c r="EP19" i="25" s="1"/>
  <c r="EQ19" i="25" s="1"/>
  <c r="ER19" i="25" s="1"/>
  <c r="ES19" i="25" s="1"/>
  <c r="ET19" i="25" s="1"/>
  <c r="EU19" i="25" s="1"/>
  <c r="EV19" i="25" s="1"/>
  <c r="EW19" i="25" s="1"/>
  <c r="EX19" i="25" s="1"/>
  <c r="EY19" i="25" s="1"/>
  <c r="EZ19" i="25" s="1"/>
  <c r="FA19" i="25" s="1"/>
  <c r="FB19" i="25" s="1"/>
  <c r="FC19" i="25" s="1"/>
  <c r="FD19" i="25" s="1"/>
  <c r="FE19" i="25" s="1"/>
  <c r="FF19" i="25" s="1"/>
  <c r="FG19" i="25" s="1"/>
  <c r="FH19" i="25" s="1"/>
  <c r="FI19" i="25" s="1"/>
  <c r="FJ19" i="25" s="1"/>
  <c r="FK19" i="25" s="1"/>
  <c r="FL19" i="25" s="1"/>
  <c r="FM19" i="25" s="1"/>
  <c r="FN19" i="25" s="1"/>
  <c r="FO19" i="25" s="1"/>
  <c r="FP19" i="25" s="1"/>
  <c r="FQ19" i="25" s="1"/>
  <c r="FR19" i="25" s="1"/>
  <c r="FS19" i="25" s="1"/>
  <c r="FT19" i="25" s="1"/>
  <c r="FU19" i="25" s="1"/>
  <c r="FV19" i="25" s="1"/>
  <c r="FW19" i="25" s="1"/>
  <c r="FX19" i="25" s="1"/>
  <c r="FY19" i="25" s="1"/>
  <c r="FZ19" i="25" s="1"/>
  <c r="GA19" i="25" s="1"/>
  <c r="GB19" i="25" s="1"/>
  <c r="GC19" i="25" s="1"/>
  <c r="GD19" i="25" s="1"/>
  <c r="GE19" i="25" s="1"/>
  <c r="GF19" i="25" s="1"/>
  <c r="GG19" i="25" s="1"/>
  <c r="GH19" i="25" s="1"/>
  <c r="GI19" i="25" s="1"/>
  <c r="GJ19" i="25" s="1"/>
  <c r="GK19" i="25" s="1"/>
  <c r="GL19" i="25" s="1"/>
  <c r="GM19" i="25" s="1"/>
  <c r="GN19" i="25" s="1"/>
  <c r="GO19" i="25" s="1"/>
  <c r="GP19" i="25" s="1"/>
  <c r="GQ19" i="25" s="1"/>
  <c r="GR19" i="25" s="1"/>
  <c r="GS19" i="25" s="1"/>
  <c r="GT19" i="25" s="1"/>
  <c r="GU19" i="25" s="1"/>
  <c r="GV19" i="25" s="1"/>
  <c r="GW19" i="25" s="1"/>
  <c r="GX19" i="25" s="1"/>
  <c r="GY19" i="25" s="1"/>
  <c r="GZ19" i="25" s="1"/>
  <c r="HA19" i="25" s="1"/>
  <c r="HB19" i="25" s="1"/>
  <c r="HC19" i="25" s="1"/>
  <c r="HD19" i="25" s="1"/>
  <c r="HE19" i="25" s="1"/>
  <c r="HF19" i="25" s="1"/>
  <c r="HG19" i="25" s="1"/>
  <c r="HH19" i="25" s="1"/>
  <c r="HI19" i="25" s="1"/>
  <c r="HJ19" i="25" s="1"/>
  <c r="HK19" i="25" s="1"/>
  <c r="HL19" i="25" s="1"/>
  <c r="HM19" i="25" s="1"/>
  <c r="HN19" i="25" s="1"/>
  <c r="HO19" i="25" s="1"/>
  <c r="HP19" i="25" s="1"/>
  <c r="HQ19" i="25" s="1"/>
  <c r="HR19" i="25" s="1"/>
  <c r="HS19" i="25" s="1"/>
  <c r="HT19" i="25" s="1"/>
  <c r="HU19" i="25" s="1"/>
  <c r="HV19" i="25" s="1"/>
  <c r="HW19" i="25" s="1"/>
  <c r="HX19" i="25" s="1"/>
  <c r="HY19" i="25" s="1"/>
  <c r="HZ19" i="25" s="1"/>
  <c r="IA19" i="25" s="1"/>
  <c r="IB19" i="25" s="1"/>
  <c r="IC19" i="25" s="1"/>
  <c r="ID19" i="25" s="1"/>
  <c r="IE19" i="25" s="1"/>
  <c r="IF19" i="25" s="1"/>
  <c r="IG19" i="25" s="1"/>
  <c r="IH19" i="25" s="1"/>
  <c r="II19" i="25" s="1"/>
  <c r="IJ19" i="25" s="1"/>
  <c r="IK19" i="25" s="1"/>
  <c r="IL19" i="25" s="1"/>
  <c r="IM19" i="25" s="1"/>
  <c r="IN19" i="25" s="1"/>
  <c r="IO19" i="25" s="1"/>
  <c r="IP19" i="25" s="1"/>
  <c r="IQ19" i="25" s="1"/>
  <c r="IR19" i="25" s="1"/>
  <c r="IS19" i="25" s="1"/>
  <c r="IT19" i="25" s="1"/>
  <c r="IU19" i="25" s="1"/>
  <c r="IV19" i="25" s="1"/>
  <c r="IW19" i="25" s="1"/>
  <c r="IX19" i="25" s="1"/>
  <c r="IY19" i="25" s="1"/>
  <c r="IZ19" i="25" s="1"/>
  <c r="JA19" i="25" s="1"/>
  <c r="JB19" i="25" s="1"/>
  <c r="JC19" i="25" s="1"/>
  <c r="JD19" i="25" s="1"/>
  <c r="JE19" i="25" s="1"/>
  <c r="JF19" i="25" s="1"/>
  <c r="JG19" i="25" s="1"/>
  <c r="JH19" i="25" s="1"/>
  <c r="JI19" i="25" s="1"/>
  <c r="JJ19" i="25" s="1"/>
  <c r="JK19" i="25" s="1"/>
  <c r="JL19" i="25" s="1"/>
  <c r="JM19" i="25" s="1"/>
  <c r="JN19" i="25" s="1"/>
  <c r="JO19" i="25" s="1"/>
  <c r="JP19" i="25" s="1"/>
  <c r="JQ19" i="25" s="1"/>
  <c r="JR19" i="25" s="1"/>
  <c r="JS19" i="25" s="1"/>
  <c r="JT19" i="25" s="1"/>
  <c r="JU19" i="25" s="1"/>
  <c r="JV19" i="25" s="1"/>
  <c r="JW19" i="25" s="1"/>
  <c r="JX19" i="25" s="1"/>
  <c r="JY19" i="25" s="1"/>
  <c r="JZ19" i="25" s="1"/>
  <c r="KA19" i="25" s="1"/>
  <c r="KB19" i="25" s="1"/>
  <c r="KC19" i="25" s="1"/>
  <c r="KD19" i="25" s="1"/>
  <c r="KE19" i="25" s="1"/>
  <c r="KF19" i="25" s="1"/>
  <c r="KG19" i="25" s="1"/>
  <c r="KH19" i="25" s="1"/>
  <c r="KI19" i="25" s="1"/>
  <c r="KJ19" i="25" s="1"/>
  <c r="KK19" i="25" s="1"/>
  <c r="KL19" i="25" s="1"/>
  <c r="KM19" i="25" s="1"/>
  <c r="KN19" i="25" s="1"/>
  <c r="KO19" i="25" s="1"/>
  <c r="KP19" i="25" s="1"/>
  <c r="KQ19" i="25" s="1"/>
  <c r="KR19" i="25" s="1"/>
  <c r="KS19" i="25" s="1"/>
  <c r="KT19" i="25" s="1"/>
  <c r="KU19" i="25" s="1"/>
  <c r="KV19" i="25" s="1"/>
  <c r="KW19" i="25" s="1"/>
  <c r="KX19" i="25" s="1"/>
  <c r="KY19" i="25" s="1"/>
  <c r="KZ19" i="25" s="1"/>
  <c r="LA19" i="25" s="1"/>
  <c r="LB19" i="25" s="1"/>
  <c r="LC19" i="25" s="1"/>
  <c r="LD19" i="25" s="1"/>
  <c r="LE19" i="25" s="1"/>
  <c r="LF19" i="25" s="1"/>
  <c r="LG19" i="25" s="1"/>
  <c r="LH19" i="25" s="1"/>
  <c r="LI19" i="25" s="1"/>
  <c r="LJ19" i="25" s="1"/>
  <c r="LK19" i="25" s="1"/>
  <c r="LL19" i="25" s="1"/>
  <c r="LM19" i="25" s="1"/>
  <c r="LN19" i="25" s="1"/>
  <c r="LO19" i="25" s="1"/>
  <c r="LP19" i="25" s="1"/>
  <c r="LQ19" i="25" s="1"/>
  <c r="LR19" i="25" s="1"/>
  <c r="LS19" i="25" s="1"/>
  <c r="LT19" i="25" s="1"/>
  <c r="LU19" i="25" s="1"/>
  <c r="LV19" i="25" s="1"/>
  <c r="LW19" i="25" s="1"/>
  <c r="LX19" i="25" s="1"/>
  <c r="LY19" i="25" s="1"/>
  <c r="LZ19" i="25" s="1"/>
  <c r="MA19" i="25" s="1"/>
  <c r="MB19" i="25" s="1"/>
  <c r="MC19" i="25" s="1"/>
  <c r="MD19" i="25" s="1"/>
  <c r="ME19" i="25" s="1"/>
  <c r="MF19" i="25" s="1"/>
  <c r="MG19" i="25" s="1"/>
  <c r="MH19" i="25" s="1"/>
  <c r="MI19" i="25" s="1"/>
  <c r="MJ19" i="25" s="1"/>
  <c r="MK19" i="25" s="1"/>
  <c r="ML19" i="25" s="1"/>
  <c r="MM19" i="25" s="1"/>
  <c r="MN19" i="25" s="1"/>
  <c r="MO19" i="25" s="1"/>
  <c r="MP19" i="25" s="1"/>
  <c r="MQ19" i="25" s="1"/>
  <c r="MR19" i="25" s="1"/>
  <c r="MS19" i="25" s="1"/>
  <c r="MT19" i="25" s="1"/>
  <c r="MU19" i="25" s="1"/>
  <c r="MV19" i="25" s="1"/>
  <c r="MW19" i="25" s="1"/>
  <c r="MX19" i="25" s="1"/>
  <c r="MY19" i="25" s="1"/>
  <c r="MZ19" i="25" s="1"/>
  <c r="NA19" i="25" s="1"/>
  <c r="NB19" i="25" s="1"/>
  <c r="NC19" i="25" s="1"/>
  <c r="ND19" i="25" s="1"/>
  <c r="NE19" i="25" s="1"/>
  <c r="NF19" i="25" s="1"/>
  <c r="NG19" i="25" s="1"/>
  <c r="NH19" i="25" s="1"/>
  <c r="NI19" i="25" s="1"/>
  <c r="NJ19" i="25" s="1"/>
  <c r="NK19" i="25" s="1"/>
  <c r="NL19" i="25" s="1"/>
  <c r="NM19" i="25" s="1"/>
  <c r="NN19" i="25" s="1"/>
  <c r="NO19" i="25" s="1"/>
  <c r="NP19" i="25" s="1"/>
  <c r="NQ19" i="25" s="1"/>
  <c r="NR19" i="25" s="1"/>
  <c r="NS19" i="25" s="1"/>
  <c r="NT19" i="25" s="1"/>
  <c r="NU19" i="25" s="1"/>
  <c r="NV19" i="25" s="1"/>
  <c r="NW19" i="25" s="1"/>
  <c r="NX19" i="25" s="1"/>
  <c r="NY19" i="25" s="1"/>
  <c r="NZ19" i="25" s="1"/>
  <c r="OA19" i="25" s="1"/>
  <c r="OB19" i="25" s="1"/>
  <c r="OC19" i="25" s="1"/>
  <c r="OD19" i="25" s="1"/>
  <c r="OE19" i="25" s="1"/>
  <c r="OF19" i="25" s="1"/>
  <c r="OG19" i="25" s="1"/>
  <c r="OH19" i="25" s="1"/>
  <c r="OI19" i="25" s="1"/>
  <c r="OJ19" i="25" s="1"/>
  <c r="OK19" i="25" s="1"/>
  <c r="OL19" i="25" s="1"/>
  <c r="OM19" i="25" s="1"/>
  <c r="ON19" i="25" s="1"/>
  <c r="OO19" i="25" s="1"/>
  <c r="OP19" i="25" s="1"/>
  <c r="OQ19" i="25" s="1"/>
  <c r="OR19" i="25" s="1"/>
  <c r="OS19" i="25" s="1"/>
  <c r="OT19" i="25" s="1"/>
  <c r="OU19" i="25" s="1"/>
  <c r="OV19" i="25" s="1"/>
  <c r="OW19" i="25" s="1"/>
  <c r="OX19" i="25" s="1"/>
  <c r="OY19" i="25" s="1"/>
  <c r="OZ19" i="25" s="1"/>
  <c r="PA19" i="25" s="1"/>
  <c r="PB19" i="25" s="1"/>
  <c r="PC19" i="25" s="1"/>
  <c r="PD19" i="25" s="1"/>
  <c r="PE19" i="25" s="1"/>
  <c r="PF19" i="25" s="1"/>
  <c r="PG19" i="25" s="1"/>
  <c r="PH19" i="25" s="1"/>
  <c r="PI19" i="25" s="1"/>
  <c r="PJ19" i="25" s="1"/>
  <c r="PK19" i="25" s="1"/>
  <c r="PL19" i="25" s="1"/>
  <c r="PM19" i="25" s="1"/>
  <c r="PN19" i="25" s="1"/>
  <c r="PO19" i="25" s="1"/>
  <c r="PP19" i="25" s="1"/>
  <c r="PQ19" i="25" s="1"/>
  <c r="PR19" i="25" s="1"/>
  <c r="PS19" i="25" s="1"/>
  <c r="PT19" i="25" s="1"/>
  <c r="PU19" i="25" s="1"/>
  <c r="PV19" i="25" s="1"/>
  <c r="PW19" i="25" s="1"/>
  <c r="PX19" i="25" s="1"/>
  <c r="PY19" i="25" s="1"/>
  <c r="PZ19" i="25" s="1"/>
  <c r="QA19" i="25" s="1"/>
  <c r="QB19" i="25" s="1"/>
  <c r="QC19" i="25" s="1"/>
  <c r="QD19" i="25" s="1"/>
  <c r="QE19" i="25" s="1"/>
  <c r="QF19" i="25" s="1"/>
  <c r="QG19" i="25" s="1"/>
  <c r="QH19" i="25" s="1"/>
  <c r="QI19" i="25" s="1"/>
  <c r="QJ19" i="25" s="1"/>
  <c r="QK19" i="25" s="1"/>
  <c r="QL19" i="25" s="1"/>
  <c r="QM19" i="25" s="1"/>
  <c r="QN19" i="25" s="1"/>
  <c r="QO19" i="25" s="1"/>
  <c r="QP19" i="25" s="1"/>
  <c r="QQ19" i="25" s="1"/>
  <c r="QR19" i="25" s="1"/>
  <c r="QS19" i="25" s="1"/>
  <c r="QT19" i="25" s="1"/>
  <c r="QU19" i="25" s="1"/>
  <c r="QV19" i="25" s="1"/>
  <c r="QW19" i="25" s="1"/>
  <c r="QX19" i="25" s="1"/>
  <c r="QY19" i="25" s="1"/>
  <c r="QZ19" i="25" s="1"/>
  <c r="RA19" i="25" s="1"/>
  <c r="RB19" i="25" s="1"/>
  <c r="RC19" i="25" s="1"/>
  <c r="RD19" i="25" s="1"/>
  <c r="RE19" i="25" s="1"/>
  <c r="RF19" i="25" s="1"/>
  <c r="RG19" i="25" s="1"/>
  <c r="RH19" i="25" s="1"/>
  <c r="RI19" i="25" s="1"/>
  <c r="RJ19" i="25" s="1"/>
  <c r="RK19" i="25" s="1"/>
  <c r="RL19" i="25" s="1"/>
  <c r="RM19" i="25" s="1"/>
  <c r="RN19" i="25" s="1"/>
  <c r="RO19" i="25" s="1"/>
  <c r="RP19" i="25" s="1"/>
  <c r="RQ19" i="25" s="1"/>
  <c r="RR19" i="25" s="1"/>
  <c r="RS19" i="25" s="1"/>
  <c r="RT19" i="25" s="1"/>
  <c r="RU19" i="25" s="1"/>
  <c r="RV19" i="25" s="1"/>
  <c r="RW19" i="25" s="1"/>
  <c r="RX19" i="25" s="1"/>
  <c r="RY19" i="25" s="1"/>
  <c r="RZ19" i="25" s="1"/>
  <c r="SA19" i="25" s="1"/>
  <c r="SB19" i="25" s="1"/>
  <c r="SC19" i="25" s="1"/>
  <c r="SD19" i="25" s="1"/>
  <c r="SE19" i="25" s="1"/>
  <c r="SF19" i="25" s="1"/>
  <c r="SG19" i="25" s="1"/>
  <c r="SH19" i="25" s="1"/>
  <c r="SI19" i="25" s="1"/>
  <c r="SJ19" i="25" s="1"/>
  <c r="SK19" i="25" s="1"/>
  <c r="SL19" i="25" s="1"/>
  <c r="SM19" i="25" s="1"/>
  <c r="SN19" i="25" s="1"/>
  <c r="SO19" i="25" s="1"/>
  <c r="SP19" i="25" s="1"/>
  <c r="SQ19" i="25" s="1"/>
  <c r="SR19" i="25" s="1"/>
  <c r="SS19" i="25" s="1"/>
  <c r="ST19" i="25" s="1"/>
  <c r="SU19" i="25" s="1"/>
  <c r="SV19" i="25" s="1"/>
  <c r="SW19" i="25" s="1"/>
  <c r="SX19" i="25" s="1"/>
  <c r="SY19" i="25" s="1"/>
  <c r="SZ19" i="25" s="1"/>
  <c r="TA19" i="25" s="1"/>
  <c r="TB19" i="25" s="1"/>
  <c r="TC19" i="25" s="1"/>
  <c r="TD19" i="25" s="1"/>
  <c r="TE19" i="25" s="1"/>
  <c r="TF19" i="25" s="1"/>
  <c r="TG19" i="25" s="1"/>
  <c r="TH19" i="25" s="1"/>
  <c r="TI19" i="25" s="1"/>
  <c r="TJ19" i="25" s="1"/>
  <c r="TK19" i="25" s="1"/>
  <c r="TL19" i="25" s="1"/>
  <c r="TM19" i="25" s="1"/>
  <c r="TN19" i="25" s="1"/>
  <c r="TO19" i="25" s="1"/>
  <c r="TP19" i="25" s="1"/>
  <c r="TQ19" i="25" s="1"/>
  <c r="TR19" i="25" s="1"/>
  <c r="TS19" i="25" s="1"/>
  <c r="TT19" i="25" s="1"/>
  <c r="TU19" i="25" s="1"/>
  <c r="TV19" i="25" s="1"/>
  <c r="TW19" i="25" s="1"/>
  <c r="TX19" i="25" s="1"/>
  <c r="TY19" i="25" s="1"/>
  <c r="TZ19" i="25" s="1"/>
  <c r="UA19" i="25" s="1"/>
  <c r="UB19" i="25" s="1"/>
  <c r="UC19" i="25" s="1"/>
  <c r="UD19" i="25" s="1"/>
  <c r="UE19" i="25" s="1"/>
  <c r="UF19" i="25" s="1"/>
  <c r="UG19" i="25" s="1"/>
  <c r="UH19" i="25" s="1"/>
  <c r="UI19" i="25" s="1"/>
  <c r="UJ19" i="25" s="1"/>
  <c r="UK19" i="25" s="1"/>
  <c r="UL19" i="25" s="1"/>
  <c r="UM19" i="25" s="1"/>
  <c r="UN19" i="25" s="1"/>
  <c r="UO19" i="25" s="1"/>
  <c r="UP19" i="25" s="1"/>
  <c r="UQ19" i="25" s="1"/>
  <c r="UR19" i="25" s="1"/>
  <c r="US19" i="25" s="1"/>
  <c r="UT19" i="25" s="1"/>
  <c r="UU19" i="25" s="1"/>
  <c r="UV19" i="25" s="1"/>
  <c r="UW19" i="25" s="1"/>
  <c r="UX19" i="25" s="1"/>
  <c r="UY19" i="25" s="1"/>
  <c r="UZ19" i="25" s="1"/>
  <c r="VA19" i="25" s="1"/>
  <c r="VB19" i="25" s="1"/>
  <c r="VC19" i="25" s="1"/>
  <c r="VD19" i="25" s="1"/>
  <c r="VE19" i="25" s="1"/>
  <c r="VF19" i="25" s="1"/>
  <c r="VG19" i="25" s="1"/>
  <c r="VH19" i="25" s="1"/>
  <c r="VI19" i="25" s="1"/>
  <c r="VJ19" i="25" s="1"/>
  <c r="VK19" i="25" s="1"/>
  <c r="VL19" i="25" s="1"/>
  <c r="VM19" i="25" s="1"/>
  <c r="VN19" i="25" s="1"/>
  <c r="VO19" i="25" s="1"/>
  <c r="VP19" i="25" s="1"/>
  <c r="VQ19" i="25" s="1"/>
  <c r="VR19" i="25" s="1"/>
  <c r="VS19" i="25" s="1"/>
  <c r="VT19" i="25" s="1"/>
  <c r="VU19" i="25" s="1"/>
  <c r="VV19" i="25" s="1"/>
  <c r="VW19" i="25" s="1"/>
  <c r="VX19" i="25" s="1"/>
  <c r="VY19" i="25" s="1"/>
  <c r="VZ19" i="25" s="1"/>
  <c r="WA19" i="25" s="1"/>
  <c r="WB19" i="25" s="1"/>
  <c r="WC19" i="25" s="1"/>
  <c r="WD19" i="25" s="1"/>
  <c r="WE19" i="25" s="1"/>
  <c r="WF19" i="25" s="1"/>
  <c r="WG19" i="25" s="1"/>
  <c r="WH19" i="25" s="1"/>
  <c r="WI19" i="25" s="1"/>
  <c r="WJ19" i="25" s="1"/>
  <c r="WK19" i="25" s="1"/>
  <c r="WL19" i="25" s="1"/>
  <c r="WM19" i="25" s="1"/>
  <c r="WN19" i="25" s="1"/>
  <c r="WO19" i="25" s="1"/>
  <c r="WP19" i="25" s="1"/>
  <c r="WQ19" i="25" s="1"/>
  <c r="WR19" i="25" s="1"/>
  <c r="WS19" i="25" s="1"/>
  <c r="WT19" i="25" s="1"/>
  <c r="WU19" i="25" s="1"/>
  <c r="WV19" i="25" s="1"/>
  <c r="WW19" i="25" s="1"/>
  <c r="WX19" i="25" s="1"/>
  <c r="WY19" i="25" s="1"/>
  <c r="WZ19" i="25" s="1"/>
  <c r="XA19" i="25" s="1"/>
  <c r="XB19" i="25" s="1"/>
  <c r="XC19" i="25" s="1"/>
  <c r="XD19" i="25" s="1"/>
  <c r="XE19" i="25" s="1"/>
  <c r="XF19" i="25" s="1"/>
  <c r="XG19" i="25" s="1"/>
  <c r="XH19" i="25" s="1"/>
  <c r="XI19" i="25" s="1"/>
  <c r="XJ19" i="25" s="1"/>
  <c r="XK19" i="25" s="1"/>
  <c r="XL19" i="25" s="1"/>
  <c r="XM19" i="25" s="1"/>
  <c r="XN19" i="25" s="1"/>
  <c r="XO19" i="25" s="1"/>
  <c r="XP19" i="25" s="1"/>
  <c r="XQ19" i="25" s="1"/>
  <c r="XR19" i="25" s="1"/>
  <c r="XS19" i="25" s="1"/>
  <c r="XT19" i="25" s="1"/>
  <c r="XU19" i="25" s="1"/>
  <c r="XV19" i="25" s="1"/>
  <c r="XW19" i="25" s="1"/>
  <c r="XX19" i="25" s="1"/>
  <c r="XY19" i="25" s="1"/>
  <c r="XZ19" i="25" s="1"/>
  <c r="YA19" i="25" s="1"/>
  <c r="YB19" i="25" s="1"/>
  <c r="YC19" i="25" s="1"/>
  <c r="YD19" i="25" s="1"/>
  <c r="YE19" i="25" s="1"/>
  <c r="YF19" i="25" s="1"/>
  <c r="YG19" i="25" s="1"/>
  <c r="YH19" i="25" s="1"/>
  <c r="YI19" i="25" s="1"/>
  <c r="YJ19" i="25" s="1"/>
  <c r="YK19" i="25" s="1"/>
  <c r="YL19" i="25" s="1"/>
  <c r="YM19" i="25" s="1"/>
  <c r="YN19" i="25" s="1"/>
  <c r="YO19" i="25" s="1"/>
  <c r="YP19" i="25" s="1"/>
  <c r="YQ19" i="25" s="1"/>
  <c r="YR19" i="25" s="1"/>
  <c r="YS19" i="25" s="1"/>
  <c r="YT19" i="25" s="1"/>
  <c r="YU19" i="25" s="1"/>
  <c r="YV19" i="25" s="1"/>
  <c r="YW19" i="25" s="1"/>
  <c r="YX19" i="25" s="1"/>
  <c r="YY19" i="25" s="1"/>
  <c r="YZ19" i="25" s="1"/>
  <c r="ZA19" i="25" s="1"/>
  <c r="ZB19" i="25" s="1"/>
  <c r="ZC19" i="25" s="1"/>
  <c r="ZD19" i="25" s="1"/>
  <c r="ZE19" i="25" s="1"/>
  <c r="ZF19" i="25" s="1"/>
  <c r="ZG19" i="25" s="1"/>
  <c r="ZH19" i="25" s="1"/>
  <c r="ZI19" i="25" s="1"/>
  <c r="ZJ19" i="25" s="1"/>
  <c r="ZK19" i="25" s="1"/>
  <c r="ZL19" i="25" s="1"/>
  <c r="ZM19" i="25" s="1"/>
  <c r="ZN19" i="25" s="1"/>
  <c r="ZO19" i="25" s="1"/>
  <c r="ZP19" i="25" s="1"/>
  <c r="ZQ19" i="25" s="1"/>
  <c r="ZR19" i="25" s="1"/>
  <c r="ZS19" i="25" s="1"/>
  <c r="ZT19" i="25" s="1"/>
  <c r="ZU19" i="25" s="1"/>
  <c r="ZV19" i="25" s="1"/>
  <c r="ZW19" i="25" s="1"/>
  <c r="ZX19" i="25" s="1"/>
  <c r="ZY19" i="25" s="1"/>
  <c r="ZZ19" i="25" s="1"/>
  <c r="AAA19" i="25" s="1"/>
  <c r="AAB19" i="25" s="1"/>
  <c r="AAC19" i="25" s="1"/>
  <c r="AAD19" i="25" s="1"/>
  <c r="AAE19" i="25" s="1"/>
  <c r="AAF19" i="25" s="1"/>
  <c r="AAG19" i="25" s="1"/>
  <c r="AAH19" i="25" s="1"/>
  <c r="AAI19" i="25" s="1"/>
  <c r="AAJ19" i="25" s="1"/>
  <c r="AAK19" i="25" s="1"/>
  <c r="AAL19" i="25" s="1"/>
  <c r="AAM19" i="25" s="1"/>
  <c r="AAN19" i="25" s="1"/>
  <c r="AAO19" i="25" s="1"/>
  <c r="AAP19" i="25" s="1"/>
  <c r="AAQ19" i="25" s="1"/>
  <c r="AAR19" i="25" s="1"/>
  <c r="AAS19" i="25" s="1"/>
  <c r="AAT19" i="25" s="1"/>
  <c r="AAU19" i="25" s="1"/>
  <c r="AAV19" i="25" s="1"/>
  <c r="AAW19" i="25" s="1"/>
  <c r="AAX19" i="25" s="1"/>
  <c r="AAY19" i="25" s="1"/>
  <c r="AAZ19" i="25" s="1"/>
  <c r="ABA19" i="25" s="1"/>
  <c r="ABB19" i="25" s="1"/>
  <c r="ABC19" i="25" s="1"/>
  <c r="ABD19" i="25" s="1"/>
  <c r="ABE19" i="25" s="1"/>
  <c r="ABF19" i="25" s="1"/>
  <c r="ABG19" i="25" s="1"/>
  <c r="ABH19" i="25" s="1"/>
  <c r="ABI19" i="25" s="1"/>
  <c r="ABJ19" i="25" s="1"/>
  <c r="ABK19" i="25" s="1"/>
  <c r="ABL19" i="25" s="1"/>
  <c r="ABM19" i="25" s="1"/>
  <c r="ABN19" i="25" s="1"/>
  <c r="ABO19" i="25" s="1"/>
  <c r="ABP19" i="25" s="1"/>
  <c r="ABQ19" i="25" s="1"/>
  <c r="ABR19" i="25" s="1"/>
  <c r="ABS19" i="25" s="1"/>
  <c r="ABT19" i="25" s="1"/>
  <c r="ABU19" i="25" s="1"/>
  <c r="ABV19" i="25" s="1"/>
  <c r="ABW19" i="25" s="1"/>
  <c r="ABX19" i="25" s="1"/>
  <c r="ABY19" i="25" s="1"/>
  <c r="ABZ19" i="25" s="1"/>
  <c r="ACA19" i="25" s="1"/>
  <c r="ACB19" i="25" s="1"/>
  <c r="ACC19" i="25" s="1"/>
  <c r="ACD19" i="25" s="1"/>
  <c r="ACE19" i="25" s="1"/>
  <c r="ACF19" i="25" s="1"/>
  <c r="ACG19" i="25" s="1"/>
  <c r="ACH19" i="25" s="1"/>
  <c r="ACI19" i="25" s="1"/>
  <c r="ACJ19" i="25" s="1"/>
  <c r="ACK19" i="25" s="1"/>
  <c r="ACL19" i="25" s="1"/>
  <c r="ACM19" i="25" s="1"/>
  <c r="ACN19" i="25" s="1"/>
  <c r="ACO19" i="25" s="1"/>
  <c r="ACP19" i="25" s="1"/>
  <c r="ACQ19" i="25" s="1"/>
  <c r="ACR19" i="25" s="1"/>
  <c r="ACS19" i="25" s="1"/>
  <c r="ACT19" i="25" s="1"/>
  <c r="ACU19" i="25" s="1"/>
  <c r="ACV19" i="25" s="1"/>
  <c r="C20" i="25"/>
  <c r="D20" i="25" s="1"/>
  <c r="E20" i="25" s="1"/>
  <c r="F20" i="25" s="1"/>
  <c r="G20" i="25" s="1"/>
  <c r="H20" i="25" s="1"/>
  <c r="I20" i="25" s="1"/>
  <c r="J20" i="25" s="1"/>
  <c r="K20" i="25" s="1"/>
  <c r="L20" i="25" s="1"/>
  <c r="M20" i="25" s="1"/>
  <c r="N20" i="25" s="1"/>
  <c r="O20" i="25" s="1"/>
  <c r="P20" i="25" s="1"/>
  <c r="Q20" i="25" s="1"/>
  <c r="R20" i="25" s="1"/>
  <c r="S20" i="25" s="1"/>
  <c r="T20" i="25" s="1"/>
  <c r="U20" i="25" s="1"/>
  <c r="V20" i="25" s="1"/>
  <c r="W20" i="25" s="1"/>
  <c r="X20" i="25" s="1"/>
  <c r="Y20" i="25" s="1"/>
  <c r="Z20" i="25" s="1"/>
  <c r="AA20" i="25" s="1"/>
  <c r="AB20" i="25" s="1"/>
  <c r="AC20" i="25" s="1"/>
  <c r="AD20" i="25" s="1"/>
  <c r="AE20" i="25" s="1"/>
  <c r="AF20" i="25" s="1"/>
  <c r="AG20" i="25" s="1"/>
  <c r="AH20" i="25" s="1"/>
  <c r="AI20" i="25" s="1"/>
  <c r="AJ20" i="25" s="1"/>
  <c r="AK20" i="25" s="1"/>
  <c r="AL20" i="25" s="1"/>
  <c r="AM20" i="25" s="1"/>
  <c r="AN20" i="25" s="1"/>
  <c r="AO20" i="25" s="1"/>
  <c r="AP20" i="25" s="1"/>
  <c r="AQ20" i="25" s="1"/>
  <c r="AR20" i="25" s="1"/>
  <c r="AS20" i="25" s="1"/>
  <c r="AT20" i="25" s="1"/>
  <c r="AU20" i="25" s="1"/>
  <c r="AV20" i="25" s="1"/>
  <c r="AW20" i="25" s="1"/>
  <c r="AX20" i="25" s="1"/>
  <c r="AY20" i="25" s="1"/>
  <c r="AZ20" i="25" s="1"/>
  <c r="BA20" i="25" s="1"/>
  <c r="BB20" i="25" s="1"/>
  <c r="BC20" i="25" s="1"/>
  <c r="BD20" i="25" s="1"/>
  <c r="BE20" i="25" s="1"/>
  <c r="BF20" i="25" s="1"/>
  <c r="BG20" i="25" s="1"/>
  <c r="BH20" i="25" s="1"/>
  <c r="BI20" i="25" s="1"/>
  <c r="BJ20" i="25" s="1"/>
  <c r="BK20" i="25" s="1"/>
  <c r="BL20" i="25" s="1"/>
  <c r="BM20" i="25" s="1"/>
  <c r="BN20" i="25" s="1"/>
  <c r="BO20" i="25" s="1"/>
  <c r="BP20" i="25" s="1"/>
  <c r="BQ20" i="25" s="1"/>
  <c r="BR20" i="25" s="1"/>
  <c r="BS20" i="25" s="1"/>
  <c r="BT20" i="25" s="1"/>
  <c r="BU20" i="25" s="1"/>
  <c r="BV20" i="25" s="1"/>
  <c r="BW20" i="25" s="1"/>
  <c r="BX20" i="25" s="1"/>
  <c r="BY20" i="25" s="1"/>
  <c r="BZ20" i="25" s="1"/>
  <c r="CA20" i="25" s="1"/>
  <c r="CB20" i="25" s="1"/>
  <c r="CC20" i="25" s="1"/>
  <c r="CD20" i="25" s="1"/>
  <c r="CE20" i="25" s="1"/>
  <c r="CF20" i="25" s="1"/>
  <c r="CG20" i="25" s="1"/>
  <c r="CH20" i="25" s="1"/>
  <c r="CI20" i="25" s="1"/>
  <c r="CJ20" i="25" s="1"/>
  <c r="CK20" i="25" s="1"/>
  <c r="CL20" i="25" s="1"/>
  <c r="CM20" i="25" s="1"/>
  <c r="CN20" i="25" s="1"/>
  <c r="CO20" i="25" s="1"/>
  <c r="CP20" i="25" s="1"/>
  <c r="CQ20" i="25" s="1"/>
  <c r="CR20" i="25" s="1"/>
  <c r="CS20" i="25" s="1"/>
  <c r="CT20" i="25" s="1"/>
  <c r="CU20" i="25" s="1"/>
  <c r="CV20" i="25" s="1"/>
  <c r="CW20" i="25" s="1"/>
  <c r="CX20" i="25" s="1"/>
  <c r="CY20" i="25" s="1"/>
  <c r="CZ20" i="25" s="1"/>
  <c r="DA20" i="25" s="1"/>
  <c r="DB20" i="25" s="1"/>
  <c r="DC20" i="25" s="1"/>
  <c r="DD20" i="25" s="1"/>
  <c r="DE20" i="25" s="1"/>
  <c r="DF20" i="25" s="1"/>
  <c r="DG20" i="25" s="1"/>
  <c r="DH20" i="25" s="1"/>
  <c r="DI20" i="25" s="1"/>
  <c r="DJ20" i="25" s="1"/>
  <c r="DK20" i="25" s="1"/>
  <c r="DL20" i="25" s="1"/>
  <c r="DM20" i="25" s="1"/>
  <c r="DN20" i="25" s="1"/>
  <c r="DO20" i="25" s="1"/>
  <c r="DP20" i="25" s="1"/>
  <c r="DQ20" i="25" s="1"/>
  <c r="DR20" i="25" s="1"/>
  <c r="DS20" i="25" s="1"/>
  <c r="DT20" i="25" s="1"/>
  <c r="DU20" i="25" s="1"/>
  <c r="DV20" i="25" s="1"/>
  <c r="DW20" i="25" s="1"/>
  <c r="DX20" i="25" s="1"/>
  <c r="DY20" i="25" s="1"/>
  <c r="DZ20" i="25" s="1"/>
  <c r="EA20" i="25" s="1"/>
  <c r="EB20" i="25" s="1"/>
  <c r="EC20" i="25" s="1"/>
  <c r="ED20" i="25" s="1"/>
  <c r="EE20" i="25" s="1"/>
  <c r="EF20" i="25" s="1"/>
  <c r="EG20" i="25" s="1"/>
  <c r="EH20" i="25" s="1"/>
  <c r="EI20" i="25" s="1"/>
  <c r="EJ20" i="25" s="1"/>
  <c r="EK20" i="25" s="1"/>
  <c r="EL20" i="25" s="1"/>
  <c r="EM20" i="25" s="1"/>
  <c r="EN20" i="25" s="1"/>
  <c r="EO20" i="25" s="1"/>
  <c r="EP20" i="25" s="1"/>
  <c r="EQ20" i="25" s="1"/>
  <c r="ER20" i="25" s="1"/>
  <c r="ES20" i="25" s="1"/>
  <c r="ET20" i="25" s="1"/>
  <c r="EU20" i="25" s="1"/>
  <c r="EV20" i="25" s="1"/>
  <c r="EW20" i="25" s="1"/>
  <c r="EX20" i="25" s="1"/>
  <c r="EY20" i="25" s="1"/>
  <c r="EZ20" i="25" s="1"/>
  <c r="FA20" i="25" s="1"/>
  <c r="FB20" i="25" s="1"/>
  <c r="FC20" i="25" s="1"/>
  <c r="FD20" i="25" s="1"/>
  <c r="FE20" i="25" s="1"/>
  <c r="FF20" i="25" s="1"/>
  <c r="FG20" i="25" s="1"/>
  <c r="FH20" i="25" s="1"/>
  <c r="FI20" i="25" s="1"/>
  <c r="FJ20" i="25" s="1"/>
  <c r="FK20" i="25" s="1"/>
  <c r="FL20" i="25" s="1"/>
  <c r="FM20" i="25" s="1"/>
  <c r="FN20" i="25" s="1"/>
  <c r="FO20" i="25" s="1"/>
  <c r="FP20" i="25" s="1"/>
  <c r="FQ20" i="25" s="1"/>
  <c r="FR20" i="25" s="1"/>
  <c r="FS20" i="25" s="1"/>
  <c r="FT20" i="25" s="1"/>
  <c r="FU20" i="25" s="1"/>
  <c r="FV20" i="25" s="1"/>
  <c r="FW20" i="25" s="1"/>
  <c r="FX20" i="25" s="1"/>
  <c r="FY20" i="25" s="1"/>
  <c r="FZ20" i="25" s="1"/>
  <c r="GA20" i="25" s="1"/>
  <c r="GB20" i="25" s="1"/>
  <c r="GC20" i="25" s="1"/>
  <c r="GD20" i="25" s="1"/>
  <c r="GE20" i="25" s="1"/>
  <c r="GF20" i="25" s="1"/>
  <c r="GG20" i="25" s="1"/>
  <c r="GH20" i="25" s="1"/>
  <c r="GI20" i="25" s="1"/>
  <c r="GJ20" i="25" s="1"/>
  <c r="GK20" i="25" s="1"/>
  <c r="GL20" i="25" s="1"/>
  <c r="GM20" i="25" s="1"/>
  <c r="GN20" i="25" s="1"/>
  <c r="GO20" i="25" s="1"/>
  <c r="GP20" i="25" s="1"/>
  <c r="GQ20" i="25" s="1"/>
  <c r="GR20" i="25" s="1"/>
  <c r="GS20" i="25" s="1"/>
  <c r="GT20" i="25" s="1"/>
  <c r="GU20" i="25" s="1"/>
  <c r="GV20" i="25" s="1"/>
  <c r="GW20" i="25" s="1"/>
  <c r="GX20" i="25" s="1"/>
  <c r="GY20" i="25" s="1"/>
  <c r="GZ20" i="25" s="1"/>
  <c r="HA20" i="25" s="1"/>
  <c r="HB20" i="25" s="1"/>
  <c r="HC20" i="25" s="1"/>
  <c r="HD20" i="25" s="1"/>
  <c r="HE20" i="25" s="1"/>
  <c r="HF20" i="25" s="1"/>
  <c r="HG20" i="25" s="1"/>
  <c r="HH20" i="25" s="1"/>
  <c r="HI20" i="25" s="1"/>
  <c r="HJ20" i="25" s="1"/>
  <c r="HK20" i="25" s="1"/>
  <c r="HL20" i="25" s="1"/>
  <c r="HM20" i="25" s="1"/>
  <c r="HN20" i="25" s="1"/>
  <c r="HO20" i="25" s="1"/>
  <c r="HP20" i="25" s="1"/>
  <c r="HQ20" i="25" s="1"/>
  <c r="HR20" i="25" s="1"/>
  <c r="HS20" i="25" s="1"/>
  <c r="HT20" i="25" s="1"/>
  <c r="HU20" i="25" s="1"/>
  <c r="HV20" i="25" s="1"/>
  <c r="HW20" i="25" s="1"/>
  <c r="HX20" i="25" s="1"/>
  <c r="HY20" i="25" s="1"/>
  <c r="HZ20" i="25" s="1"/>
  <c r="IA20" i="25" s="1"/>
  <c r="IB20" i="25" s="1"/>
  <c r="IC20" i="25" s="1"/>
  <c r="ID20" i="25" s="1"/>
  <c r="IE20" i="25" s="1"/>
  <c r="IF20" i="25" s="1"/>
  <c r="IG20" i="25" s="1"/>
  <c r="IH20" i="25" s="1"/>
  <c r="II20" i="25" s="1"/>
  <c r="IJ20" i="25" s="1"/>
  <c r="IK20" i="25" s="1"/>
  <c r="IL20" i="25" s="1"/>
  <c r="IM20" i="25" s="1"/>
  <c r="IN20" i="25" s="1"/>
  <c r="IO20" i="25" s="1"/>
  <c r="IP20" i="25" s="1"/>
  <c r="IQ20" i="25" s="1"/>
  <c r="IR20" i="25" s="1"/>
  <c r="IS20" i="25" s="1"/>
  <c r="IT20" i="25" s="1"/>
  <c r="IU20" i="25" s="1"/>
  <c r="IV20" i="25" s="1"/>
  <c r="IW20" i="25" s="1"/>
  <c r="IX20" i="25" s="1"/>
  <c r="IY20" i="25" s="1"/>
  <c r="IZ20" i="25" s="1"/>
  <c r="JA20" i="25" s="1"/>
  <c r="JB20" i="25" s="1"/>
  <c r="JC20" i="25" s="1"/>
  <c r="JD20" i="25" s="1"/>
  <c r="JE20" i="25" s="1"/>
  <c r="JF20" i="25" s="1"/>
  <c r="JG20" i="25" s="1"/>
  <c r="JH20" i="25" s="1"/>
  <c r="JI20" i="25" s="1"/>
  <c r="JJ20" i="25" s="1"/>
  <c r="JK20" i="25" s="1"/>
  <c r="JL20" i="25" s="1"/>
  <c r="JM20" i="25" s="1"/>
  <c r="JN20" i="25" s="1"/>
  <c r="JO20" i="25" s="1"/>
  <c r="JP20" i="25" s="1"/>
  <c r="JQ20" i="25" s="1"/>
  <c r="JR20" i="25" s="1"/>
  <c r="JS20" i="25" s="1"/>
  <c r="JT20" i="25" s="1"/>
  <c r="JU20" i="25" s="1"/>
  <c r="JV20" i="25" s="1"/>
  <c r="JW20" i="25" s="1"/>
  <c r="JX20" i="25" s="1"/>
  <c r="JY20" i="25" s="1"/>
  <c r="JZ20" i="25" s="1"/>
  <c r="KA20" i="25" s="1"/>
  <c r="KB20" i="25" s="1"/>
  <c r="KC20" i="25" s="1"/>
  <c r="KD20" i="25" s="1"/>
  <c r="KE20" i="25" s="1"/>
  <c r="KF20" i="25" s="1"/>
  <c r="KG20" i="25" s="1"/>
  <c r="KH20" i="25" s="1"/>
  <c r="KI20" i="25" s="1"/>
  <c r="KJ20" i="25" s="1"/>
  <c r="KK20" i="25" s="1"/>
  <c r="KL20" i="25" s="1"/>
  <c r="KM20" i="25" s="1"/>
  <c r="KN20" i="25" s="1"/>
  <c r="KO20" i="25" s="1"/>
  <c r="KP20" i="25" s="1"/>
  <c r="KQ20" i="25" s="1"/>
  <c r="KR20" i="25" s="1"/>
  <c r="KS20" i="25" s="1"/>
  <c r="KT20" i="25" s="1"/>
  <c r="KU20" i="25" s="1"/>
  <c r="KV20" i="25" s="1"/>
  <c r="KW20" i="25" s="1"/>
  <c r="KX20" i="25" s="1"/>
  <c r="KY20" i="25" s="1"/>
  <c r="KZ20" i="25" s="1"/>
  <c r="LA20" i="25" s="1"/>
  <c r="LB20" i="25" s="1"/>
  <c r="LC20" i="25" s="1"/>
  <c r="LD20" i="25" s="1"/>
  <c r="LE20" i="25" s="1"/>
  <c r="LF20" i="25" s="1"/>
  <c r="LG20" i="25" s="1"/>
  <c r="LH20" i="25" s="1"/>
  <c r="LI20" i="25" s="1"/>
  <c r="LJ20" i="25" s="1"/>
  <c r="LK20" i="25" s="1"/>
  <c r="LL20" i="25" s="1"/>
  <c r="LM20" i="25" s="1"/>
  <c r="LN20" i="25" s="1"/>
  <c r="LO20" i="25" s="1"/>
  <c r="LP20" i="25" s="1"/>
  <c r="LQ20" i="25" s="1"/>
  <c r="LR20" i="25" s="1"/>
  <c r="LS20" i="25" s="1"/>
  <c r="LT20" i="25" s="1"/>
  <c r="LU20" i="25" s="1"/>
  <c r="LV20" i="25" s="1"/>
  <c r="LW20" i="25" s="1"/>
  <c r="LX20" i="25" s="1"/>
  <c r="LY20" i="25" s="1"/>
  <c r="LZ20" i="25" s="1"/>
  <c r="MA20" i="25" s="1"/>
  <c r="MB20" i="25" s="1"/>
  <c r="MC20" i="25" s="1"/>
  <c r="MD20" i="25" s="1"/>
  <c r="ME20" i="25" s="1"/>
  <c r="MF20" i="25" s="1"/>
  <c r="MG20" i="25" s="1"/>
  <c r="MH20" i="25" s="1"/>
  <c r="MI20" i="25" s="1"/>
  <c r="MJ20" i="25" s="1"/>
  <c r="MK20" i="25" s="1"/>
  <c r="ML20" i="25" s="1"/>
  <c r="MM20" i="25" s="1"/>
  <c r="MN20" i="25" s="1"/>
  <c r="MO20" i="25" s="1"/>
  <c r="MP20" i="25" s="1"/>
  <c r="MQ20" i="25" s="1"/>
  <c r="MR20" i="25" s="1"/>
  <c r="MS20" i="25" s="1"/>
  <c r="MT20" i="25" s="1"/>
  <c r="MU20" i="25" s="1"/>
  <c r="MV20" i="25" s="1"/>
  <c r="MW20" i="25" s="1"/>
  <c r="MX20" i="25" s="1"/>
  <c r="MY20" i="25" s="1"/>
  <c r="MZ20" i="25" s="1"/>
  <c r="NA20" i="25" s="1"/>
  <c r="NB20" i="25" s="1"/>
  <c r="NC20" i="25" s="1"/>
  <c r="ND20" i="25" s="1"/>
  <c r="NE20" i="25" s="1"/>
  <c r="NF20" i="25" s="1"/>
  <c r="NG20" i="25" s="1"/>
  <c r="NH20" i="25" s="1"/>
  <c r="NI20" i="25" s="1"/>
  <c r="NJ20" i="25" s="1"/>
  <c r="NK20" i="25" s="1"/>
  <c r="NL20" i="25" s="1"/>
  <c r="NM20" i="25" s="1"/>
  <c r="NN20" i="25" s="1"/>
  <c r="NO20" i="25" s="1"/>
  <c r="NP20" i="25" s="1"/>
  <c r="NQ20" i="25" s="1"/>
  <c r="NR20" i="25" s="1"/>
  <c r="NS20" i="25" s="1"/>
  <c r="NT20" i="25" s="1"/>
  <c r="NU20" i="25" s="1"/>
  <c r="NV20" i="25" s="1"/>
  <c r="NW20" i="25" s="1"/>
  <c r="NX20" i="25" s="1"/>
  <c r="NY20" i="25" s="1"/>
  <c r="NZ20" i="25" s="1"/>
  <c r="OA20" i="25" s="1"/>
  <c r="OB20" i="25" s="1"/>
  <c r="OC20" i="25" s="1"/>
  <c r="OD20" i="25" s="1"/>
  <c r="OE20" i="25" s="1"/>
  <c r="OF20" i="25" s="1"/>
  <c r="OG20" i="25" s="1"/>
  <c r="OH20" i="25" s="1"/>
  <c r="OI20" i="25" s="1"/>
  <c r="OJ20" i="25" s="1"/>
  <c r="OK20" i="25" s="1"/>
  <c r="OL20" i="25" s="1"/>
  <c r="OM20" i="25" s="1"/>
  <c r="ON20" i="25" s="1"/>
  <c r="OO20" i="25" s="1"/>
  <c r="OP20" i="25" s="1"/>
  <c r="OQ20" i="25" s="1"/>
  <c r="OR20" i="25" s="1"/>
  <c r="OS20" i="25" s="1"/>
  <c r="OT20" i="25" s="1"/>
  <c r="OU20" i="25" s="1"/>
  <c r="OV20" i="25" s="1"/>
  <c r="OW20" i="25" s="1"/>
  <c r="OX20" i="25" s="1"/>
  <c r="OY20" i="25" s="1"/>
  <c r="OZ20" i="25" s="1"/>
  <c r="PA20" i="25" s="1"/>
  <c r="PB20" i="25" s="1"/>
  <c r="PC20" i="25" s="1"/>
  <c r="PD20" i="25" s="1"/>
  <c r="PE20" i="25" s="1"/>
  <c r="PF20" i="25" s="1"/>
  <c r="PG20" i="25" s="1"/>
  <c r="PH20" i="25" s="1"/>
  <c r="PI20" i="25" s="1"/>
  <c r="PJ20" i="25" s="1"/>
  <c r="PK20" i="25" s="1"/>
  <c r="PL20" i="25" s="1"/>
  <c r="PM20" i="25" s="1"/>
  <c r="PN20" i="25" s="1"/>
  <c r="PO20" i="25" s="1"/>
  <c r="PP20" i="25" s="1"/>
  <c r="PQ20" i="25" s="1"/>
  <c r="PR20" i="25" s="1"/>
  <c r="PS20" i="25" s="1"/>
  <c r="PT20" i="25" s="1"/>
  <c r="PU20" i="25" s="1"/>
  <c r="PV20" i="25" s="1"/>
  <c r="PW20" i="25" s="1"/>
  <c r="PX20" i="25" s="1"/>
  <c r="PY20" i="25" s="1"/>
  <c r="PZ20" i="25" s="1"/>
  <c r="QA20" i="25" s="1"/>
  <c r="QB20" i="25" s="1"/>
  <c r="QC20" i="25" s="1"/>
  <c r="QD20" i="25" s="1"/>
  <c r="QE20" i="25" s="1"/>
  <c r="QF20" i="25" s="1"/>
  <c r="QG20" i="25" s="1"/>
  <c r="QH20" i="25" s="1"/>
  <c r="QI20" i="25" s="1"/>
  <c r="QJ20" i="25" s="1"/>
  <c r="QK20" i="25" s="1"/>
  <c r="QL20" i="25" s="1"/>
  <c r="QM20" i="25" s="1"/>
  <c r="QN20" i="25" s="1"/>
  <c r="QO20" i="25" s="1"/>
  <c r="QP20" i="25" s="1"/>
  <c r="QQ20" i="25" s="1"/>
  <c r="QR20" i="25" s="1"/>
  <c r="QS20" i="25" s="1"/>
  <c r="QT20" i="25" s="1"/>
  <c r="QU20" i="25" s="1"/>
  <c r="QV20" i="25" s="1"/>
  <c r="QW20" i="25" s="1"/>
  <c r="QX20" i="25" s="1"/>
  <c r="QY20" i="25" s="1"/>
  <c r="QZ20" i="25" s="1"/>
  <c r="RA20" i="25" s="1"/>
  <c r="RB20" i="25" s="1"/>
  <c r="RC20" i="25" s="1"/>
  <c r="RD20" i="25" s="1"/>
  <c r="RE20" i="25" s="1"/>
  <c r="RF20" i="25" s="1"/>
  <c r="RG20" i="25" s="1"/>
  <c r="RH20" i="25" s="1"/>
  <c r="RI20" i="25" s="1"/>
  <c r="RJ20" i="25" s="1"/>
  <c r="RK20" i="25" s="1"/>
  <c r="RL20" i="25" s="1"/>
  <c r="RM20" i="25" s="1"/>
  <c r="RN20" i="25" s="1"/>
  <c r="RO20" i="25" s="1"/>
  <c r="RP20" i="25" s="1"/>
  <c r="RQ20" i="25" s="1"/>
  <c r="RR20" i="25" s="1"/>
  <c r="RS20" i="25" s="1"/>
  <c r="RT20" i="25" s="1"/>
  <c r="RU20" i="25" s="1"/>
  <c r="RV20" i="25" s="1"/>
  <c r="RW20" i="25" s="1"/>
  <c r="RX20" i="25" s="1"/>
  <c r="RY20" i="25" s="1"/>
  <c r="RZ20" i="25" s="1"/>
  <c r="SA20" i="25" s="1"/>
  <c r="SB20" i="25" s="1"/>
  <c r="SC20" i="25" s="1"/>
  <c r="SD20" i="25" s="1"/>
  <c r="SE20" i="25" s="1"/>
  <c r="SF20" i="25" s="1"/>
  <c r="SG20" i="25" s="1"/>
  <c r="SH20" i="25" s="1"/>
  <c r="SI20" i="25" s="1"/>
  <c r="SJ20" i="25" s="1"/>
  <c r="SK20" i="25" s="1"/>
  <c r="SL20" i="25" s="1"/>
  <c r="SM20" i="25" s="1"/>
  <c r="SN20" i="25" s="1"/>
  <c r="SO20" i="25" s="1"/>
  <c r="SP20" i="25" s="1"/>
  <c r="SQ20" i="25" s="1"/>
  <c r="SR20" i="25" s="1"/>
  <c r="SS20" i="25" s="1"/>
  <c r="ST20" i="25" s="1"/>
  <c r="SU20" i="25" s="1"/>
  <c r="SV20" i="25" s="1"/>
  <c r="SW20" i="25" s="1"/>
  <c r="SX20" i="25" s="1"/>
  <c r="SY20" i="25" s="1"/>
  <c r="SZ20" i="25" s="1"/>
  <c r="TA20" i="25" s="1"/>
  <c r="TB20" i="25" s="1"/>
  <c r="TC20" i="25" s="1"/>
  <c r="TD20" i="25" s="1"/>
  <c r="TE20" i="25" s="1"/>
  <c r="TF20" i="25" s="1"/>
  <c r="TG20" i="25" s="1"/>
  <c r="TH20" i="25" s="1"/>
  <c r="TI20" i="25" s="1"/>
  <c r="TJ20" i="25" s="1"/>
  <c r="TK20" i="25" s="1"/>
  <c r="TL20" i="25" s="1"/>
  <c r="TM20" i="25" s="1"/>
  <c r="TN20" i="25" s="1"/>
  <c r="TO20" i="25" s="1"/>
  <c r="TP20" i="25" s="1"/>
  <c r="TQ20" i="25" s="1"/>
  <c r="TR20" i="25" s="1"/>
  <c r="TS20" i="25" s="1"/>
  <c r="TT20" i="25" s="1"/>
  <c r="TU20" i="25" s="1"/>
  <c r="TV20" i="25" s="1"/>
  <c r="TW20" i="25" s="1"/>
  <c r="TX20" i="25" s="1"/>
  <c r="TY20" i="25" s="1"/>
  <c r="TZ20" i="25" s="1"/>
  <c r="UA20" i="25" s="1"/>
  <c r="UB20" i="25" s="1"/>
  <c r="UC20" i="25" s="1"/>
  <c r="UD20" i="25" s="1"/>
  <c r="UE20" i="25" s="1"/>
  <c r="UF20" i="25" s="1"/>
  <c r="UG20" i="25" s="1"/>
  <c r="UH20" i="25" s="1"/>
  <c r="UI20" i="25" s="1"/>
  <c r="UJ20" i="25" s="1"/>
  <c r="UK20" i="25" s="1"/>
  <c r="UL20" i="25" s="1"/>
  <c r="UM20" i="25" s="1"/>
  <c r="UN20" i="25" s="1"/>
  <c r="UO20" i="25" s="1"/>
  <c r="UP20" i="25" s="1"/>
  <c r="UQ20" i="25" s="1"/>
  <c r="UR20" i="25" s="1"/>
  <c r="US20" i="25" s="1"/>
  <c r="UT20" i="25" s="1"/>
  <c r="UU20" i="25" s="1"/>
  <c r="UV20" i="25" s="1"/>
  <c r="UW20" i="25" s="1"/>
  <c r="UX20" i="25" s="1"/>
  <c r="UY20" i="25" s="1"/>
  <c r="UZ20" i="25" s="1"/>
  <c r="VA20" i="25" s="1"/>
  <c r="VB20" i="25" s="1"/>
  <c r="VC20" i="25" s="1"/>
  <c r="VD20" i="25" s="1"/>
  <c r="VE20" i="25" s="1"/>
  <c r="VF20" i="25" s="1"/>
  <c r="VG20" i="25" s="1"/>
  <c r="VH20" i="25" s="1"/>
  <c r="VI20" i="25" s="1"/>
  <c r="VJ20" i="25" s="1"/>
  <c r="VK20" i="25" s="1"/>
  <c r="VL20" i="25" s="1"/>
  <c r="VM20" i="25" s="1"/>
  <c r="VN20" i="25" s="1"/>
  <c r="VO20" i="25" s="1"/>
  <c r="VP20" i="25" s="1"/>
  <c r="VQ20" i="25" s="1"/>
  <c r="VR20" i="25" s="1"/>
  <c r="VS20" i="25" s="1"/>
  <c r="VT20" i="25" s="1"/>
  <c r="VU20" i="25" s="1"/>
  <c r="VV20" i="25" s="1"/>
  <c r="VW20" i="25" s="1"/>
  <c r="VX20" i="25" s="1"/>
  <c r="VY20" i="25" s="1"/>
  <c r="VZ20" i="25" s="1"/>
  <c r="WA20" i="25" s="1"/>
  <c r="WB20" i="25" s="1"/>
  <c r="WC20" i="25" s="1"/>
  <c r="WD20" i="25" s="1"/>
  <c r="WE20" i="25" s="1"/>
  <c r="WF20" i="25" s="1"/>
  <c r="WG20" i="25" s="1"/>
  <c r="WH20" i="25" s="1"/>
  <c r="WI20" i="25" s="1"/>
  <c r="WJ20" i="25" s="1"/>
  <c r="WK20" i="25" s="1"/>
  <c r="WL20" i="25" s="1"/>
  <c r="WM20" i="25" s="1"/>
  <c r="WN20" i="25" s="1"/>
  <c r="WO20" i="25" s="1"/>
  <c r="WP20" i="25" s="1"/>
  <c r="WQ20" i="25" s="1"/>
  <c r="WR20" i="25" s="1"/>
  <c r="WS20" i="25" s="1"/>
  <c r="WT20" i="25" s="1"/>
  <c r="WU20" i="25" s="1"/>
  <c r="WV20" i="25" s="1"/>
  <c r="WW20" i="25" s="1"/>
  <c r="WX20" i="25" s="1"/>
  <c r="WY20" i="25" s="1"/>
  <c r="WZ20" i="25" s="1"/>
  <c r="XA20" i="25" s="1"/>
  <c r="XB20" i="25" s="1"/>
  <c r="XC20" i="25" s="1"/>
  <c r="XD20" i="25" s="1"/>
  <c r="XE20" i="25" s="1"/>
  <c r="XF20" i="25" s="1"/>
  <c r="XG20" i="25" s="1"/>
  <c r="XH20" i="25" s="1"/>
  <c r="XI20" i="25" s="1"/>
  <c r="XJ20" i="25" s="1"/>
  <c r="XK20" i="25" s="1"/>
  <c r="XL20" i="25" s="1"/>
  <c r="XM20" i="25" s="1"/>
  <c r="XN20" i="25" s="1"/>
  <c r="XO20" i="25" s="1"/>
  <c r="XP20" i="25" s="1"/>
  <c r="XQ20" i="25" s="1"/>
  <c r="XR20" i="25" s="1"/>
  <c r="XS20" i="25" s="1"/>
  <c r="XT20" i="25" s="1"/>
  <c r="XU20" i="25" s="1"/>
  <c r="XV20" i="25" s="1"/>
  <c r="XW20" i="25" s="1"/>
  <c r="XX20" i="25" s="1"/>
  <c r="XY20" i="25" s="1"/>
  <c r="XZ20" i="25" s="1"/>
  <c r="YA20" i="25" s="1"/>
  <c r="YB20" i="25" s="1"/>
  <c r="YC20" i="25" s="1"/>
  <c r="YD20" i="25" s="1"/>
  <c r="YE20" i="25" s="1"/>
  <c r="YF20" i="25" s="1"/>
  <c r="YG20" i="25" s="1"/>
  <c r="YH20" i="25" s="1"/>
  <c r="YI20" i="25" s="1"/>
  <c r="YJ20" i="25" s="1"/>
  <c r="YK20" i="25" s="1"/>
  <c r="YL20" i="25" s="1"/>
  <c r="YM20" i="25" s="1"/>
  <c r="YN20" i="25" s="1"/>
  <c r="YO20" i="25" s="1"/>
  <c r="YP20" i="25" s="1"/>
  <c r="YQ20" i="25" s="1"/>
  <c r="YR20" i="25" s="1"/>
  <c r="YS20" i="25" s="1"/>
  <c r="YT20" i="25" s="1"/>
  <c r="YU20" i="25" s="1"/>
  <c r="YV20" i="25" s="1"/>
  <c r="YW20" i="25" s="1"/>
  <c r="YX20" i="25" s="1"/>
  <c r="YY20" i="25" s="1"/>
  <c r="YZ20" i="25" s="1"/>
  <c r="ZA20" i="25" s="1"/>
  <c r="ZB20" i="25" s="1"/>
  <c r="ZC20" i="25" s="1"/>
  <c r="ZD20" i="25" s="1"/>
  <c r="ZE20" i="25" s="1"/>
  <c r="ZF20" i="25" s="1"/>
  <c r="ZG20" i="25" s="1"/>
  <c r="ZH20" i="25" s="1"/>
  <c r="ZI20" i="25" s="1"/>
  <c r="ZJ20" i="25" s="1"/>
  <c r="ZK20" i="25" s="1"/>
  <c r="ZL20" i="25" s="1"/>
  <c r="ZM20" i="25" s="1"/>
  <c r="ZN20" i="25" s="1"/>
  <c r="ZO20" i="25" s="1"/>
  <c r="ZP20" i="25" s="1"/>
  <c r="ZQ20" i="25" s="1"/>
  <c r="ZR20" i="25" s="1"/>
  <c r="ZS20" i="25" s="1"/>
  <c r="ZT20" i="25" s="1"/>
  <c r="ZU20" i="25" s="1"/>
  <c r="ZV20" i="25" s="1"/>
  <c r="ZW20" i="25" s="1"/>
  <c r="ZX20" i="25" s="1"/>
  <c r="ZY20" i="25" s="1"/>
  <c r="ZZ20" i="25" s="1"/>
  <c r="AAA20" i="25" s="1"/>
  <c r="AAB20" i="25" s="1"/>
  <c r="AAC20" i="25" s="1"/>
  <c r="AAD20" i="25" s="1"/>
  <c r="AAE20" i="25" s="1"/>
  <c r="AAF20" i="25" s="1"/>
  <c r="AAG20" i="25" s="1"/>
  <c r="AAH20" i="25" s="1"/>
  <c r="AAI20" i="25" s="1"/>
  <c r="AAJ20" i="25" s="1"/>
  <c r="AAK20" i="25" s="1"/>
  <c r="AAL20" i="25" s="1"/>
  <c r="AAM20" i="25" s="1"/>
  <c r="AAN20" i="25" s="1"/>
  <c r="AAO20" i="25" s="1"/>
  <c r="AAP20" i="25" s="1"/>
  <c r="AAQ20" i="25" s="1"/>
  <c r="AAR20" i="25" s="1"/>
  <c r="AAS20" i="25" s="1"/>
  <c r="AAT20" i="25" s="1"/>
  <c r="AAU20" i="25" s="1"/>
  <c r="AAV20" i="25" s="1"/>
  <c r="AAW20" i="25" s="1"/>
  <c r="AAX20" i="25" s="1"/>
  <c r="AAY20" i="25" s="1"/>
  <c r="AAZ20" i="25" s="1"/>
  <c r="ABA20" i="25" s="1"/>
  <c r="ABB20" i="25" s="1"/>
  <c r="ABC20" i="25" s="1"/>
  <c r="ABD20" i="25" s="1"/>
  <c r="ABE20" i="25" s="1"/>
  <c r="ABF20" i="25" s="1"/>
  <c r="ABG20" i="25" s="1"/>
  <c r="ABH20" i="25" s="1"/>
  <c r="ABI20" i="25" s="1"/>
  <c r="ABJ20" i="25" s="1"/>
  <c r="ABK20" i="25" s="1"/>
  <c r="ABL20" i="25" s="1"/>
  <c r="ABM20" i="25" s="1"/>
  <c r="ABN20" i="25" s="1"/>
  <c r="ABO20" i="25" s="1"/>
  <c r="ABP20" i="25" s="1"/>
  <c r="ABQ20" i="25" s="1"/>
  <c r="ABR20" i="25" s="1"/>
  <c r="ABS20" i="25" s="1"/>
  <c r="ABT20" i="25" s="1"/>
  <c r="ABU20" i="25" s="1"/>
  <c r="ABV20" i="25" s="1"/>
  <c r="ABW20" i="25" s="1"/>
  <c r="ABX20" i="25" s="1"/>
  <c r="ABY20" i="25" s="1"/>
  <c r="ABZ20" i="25" s="1"/>
  <c r="ACA20" i="25" s="1"/>
  <c r="ACB20" i="25" s="1"/>
  <c r="ACC20" i="25" s="1"/>
  <c r="ACD20" i="25" s="1"/>
  <c r="ACE20" i="25" s="1"/>
  <c r="ACF20" i="25" s="1"/>
  <c r="ACG20" i="25" s="1"/>
  <c r="ACH20" i="25" s="1"/>
  <c r="ACI20" i="25" s="1"/>
  <c r="ACJ20" i="25" s="1"/>
  <c r="ACK20" i="25" s="1"/>
  <c r="ACL20" i="25" s="1"/>
  <c r="ACM20" i="25" s="1"/>
  <c r="ACN20" i="25" s="1"/>
  <c r="ACO20" i="25" s="1"/>
  <c r="ACP20" i="25" s="1"/>
  <c r="ACQ20" i="25" s="1"/>
  <c r="ACR20" i="25" s="1"/>
  <c r="ACS20" i="25" s="1"/>
  <c r="ACT20" i="25" s="1"/>
  <c r="ACU20" i="25" s="1"/>
  <c r="ACV20" i="25" s="1"/>
  <c r="C13" i="25"/>
  <c r="D13" i="25" s="1"/>
  <c r="E13" i="25" s="1"/>
  <c r="F13" i="25" s="1"/>
  <c r="G13" i="25" s="1"/>
  <c r="H13" i="25" s="1"/>
  <c r="I13" i="25" s="1"/>
  <c r="J13" i="25" s="1"/>
  <c r="K13" i="25" s="1"/>
  <c r="L13" i="25" s="1"/>
  <c r="M13" i="25" s="1"/>
  <c r="N13" i="25" s="1"/>
  <c r="O13" i="25" s="1"/>
  <c r="P13" i="25" s="1"/>
  <c r="Q13" i="25" s="1"/>
  <c r="R13" i="25" s="1"/>
  <c r="S13" i="25" s="1"/>
  <c r="T13" i="25" s="1"/>
  <c r="U13" i="25" s="1"/>
  <c r="V13" i="25" s="1"/>
  <c r="W13" i="25" s="1"/>
  <c r="X13" i="25" s="1"/>
  <c r="Y13" i="25" s="1"/>
  <c r="Z13" i="25" s="1"/>
  <c r="AA13" i="25" s="1"/>
  <c r="AB13" i="25" s="1"/>
  <c r="AC13" i="25" s="1"/>
  <c r="AD13" i="25" s="1"/>
  <c r="AE13" i="25" s="1"/>
  <c r="AF13" i="25" s="1"/>
  <c r="AG13" i="25" s="1"/>
  <c r="AH13" i="25" s="1"/>
  <c r="AI13" i="25" s="1"/>
  <c r="AJ13" i="25" s="1"/>
  <c r="AK13" i="25" s="1"/>
  <c r="AL13" i="25" s="1"/>
  <c r="AM13" i="25" s="1"/>
  <c r="AN13" i="25" s="1"/>
  <c r="AO13" i="25" s="1"/>
  <c r="AP13" i="25" s="1"/>
  <c r="AQ13" i="25" s="1"/>
  <c r="AR13" i="25" s="1"/>
  <c r="AS13" i="25" s="1"/>
  <c r="AT13" i="25" s="1"/>
  <c r="AU13" i="25" s="1"/>
  <c r="AV13" i="25" s="1"/>
  <c r="AW13" i="25" s="1"/>
  <c r="AX13" i="25" s="1"/>
  <c r="AY13" i="25" s="1"/>
  <c r="AZ13" i="25" s="1"/>
  <c r="BA13" i="25" s="1"/>
  <c r="BB13" i="25" s="1"/>
  <c r="BC13" i="25" s="1"/>
  <c r="BD13" i="25" s="1"/>
  <c r="BE13" i="25" s="1"/>
  <c r="BF13" i="25" s="1"/>
  <c r="BG13" i="25" s="1"/>
  <c r="BH13" i="25" s="1"/>
  <c r="BI13" i="25" s="1"/>
  <c r="BJ13" i="25" s="1"/>
  <c r="BK13" i="25" s="1"/>
  <c r="BL13" i="25" s="1"/>
  <c r="BM13" i="25" s="1"/>
  <c r="BN13" i="25" s="1"/>
  <c r="BO13" i="25" s="1"/>
  <c r="BP13" i="25" s="1"/>
  <c r="BQ13" i="25" s="1"/>
  <c r="BR13" i="25" s="1"/>
  <c r="BS13" i="25" s="1"/>
  <c r="BT13" i="25" s="1"/>
  <c r="BU13" i="25" s="1"/>
  <c r="BV13" i="25" s="1"/>
  <c r="BW13" i="25" s="1"/>
  <c r="BX13" i="25" s="1"/>
  <c r="BY13" i="25" s="1"/>
  <c r="BZ13" i="25" s="1"/>
  <c r="CA13" i="25" s="1"/>
  <c r="CB13" i="25" s="1"/>
  <c r="CC13" i="25" s="1"/>
  <c r="CD13" i="25" s="1"/>
  <c r="CE13" i="25" s="1"/>
  <c r="CF13" i="25" s="1"/>
  <c r="CG13" i="25" s="1"/>
  <c r="CH13" i="25" s="1"/>
  <c r="CI13" i="25" s="1"/>
  <c r="CJ13" i="25" s="1"/>
  <c r="CK13" i="25" s="1"/>
  <c r="CL13" i="25" s="1"/>
  <c r="CM13" i="25" s="1"/>
  <c r="CN13" i="25" s="1"/>
  <c r="CO13" i="25" s="1"/>
  <c r="CP13" i="25" s="1"/>
  <c r="CQ13" i="25" s="1"/>
  <c r="CR13" i="25" s="1"/>
  <c r="CS13" i="25" s="1"/>
  <c r="CT13" i="25" s="1"/>
  <c r="CU13" i="25" s="1"/>
  <c r="CV13" i="25" s="1"/>
  <c r="CW13" i="25" s="1"/>
  <c r="CX13" i="25" s="1"/>
  <c r="CY13" i="25" s="1"/>
  <c r="CZ13" i="25" s="1"/>
  <c r="DA13" i="25" s="1"/>
  <c r="DB13" i="25" s="1"/>
  <c r="DC13" i="25" s="1"/>
  <c r="DD13" i="25" s="1"/>
  <c r="DE13" i="25" s="1"/>
  <c r="DF13" i="25" s="1"/>
  <c r="DG13" i="25" s="1"/>
  <c r="DH13" i="25" s="1"/>
  <c r="DI13" i="25" s="1"/>
  <c r="DJ13" i="25" s="1"/>
  <c r="DK13" i="25" s="1"/>
  <c r="DL13" i="25" s="1"/>
  <c r="DM13" i="25" s="1"/>
  <c r="DN13" i="25" s="1"/>
  <c r="DO13" i="25" s="1"/>
  <c r="DP13" i="25" s="1"/>
  <c r="DQ13" i="25" s="1"/>
  <c r="DR13" i="25" s="1"/>
  <c r="DS13" i="25" s="1"/>
  <c r="DT13" i="25" s="1"/>
  <c r="DU13" i="25" s="1"/>
  <c r="DV13" i="25" s="1"/>
  <c r="DW13" i="25" s="1"/>
  <c r="DX13" i="25" s="1"/>
  <c r="DY13" i="25" s="1"/>
  <c r="DZ13" i="25" s="1"/>
  <c r="EA13" i="25" s="1"/>
  <c r="EB13" i="25" s="1"/>
  <c r="EC13" i="25" s="1"/>
  <c r="ED13" i="25" s="1"/>
  <c r="EE13" i="25" s="1"/>
  <c r="EF13" i="25" s="1"/>
  <c r="EG13" i="25" s="1"/>
  <c r="EH13" i="25" s="1"/>
  <c r="EI13" i="25" s="1"/>
  <c r="EJ13" i="25" s="1"/>
  <c r="EK13" i="25" s="1"/>
  <c r="EL13" i="25" s="1"/>
  <c r="EM13" i="25" s="1"/>
  <c r="EN13" i="25" s="1"/>
  <c r="EO13" i="25" s="1"/>
  <c r="EP13" i="25" s="1"/>
  <c r="EQ13" i="25" s="1"/>
  <c r="ER13" i="25" s="1"/>
  <c r="ES13" i="25" s="1"/>
  <c r="ET13" i="25" s="1"/>
  <c r="EU13" i="25" s="1"/>
  <c r="EV13" i="25" s="1"/>
  <c r="EW13" i="25" s="1"/>
  <c r="EX13" i="25" s="1"/>
  <c r="EY13" i="25" s="1"/>
  <c r="EZ13" i="25" s="1"/>
  <c r="FA13" i="25" s="1"/>
  <c r="FB13" i="25" s="1"/>
  <c r="FC13" i="25" s="1"/>
  <c r="FD13" i="25" s="1"/>
  <c r="FE13" i="25" s="1"/>
  <c r="FF13" i="25" s="1"/>
  <c r="FG13" i="25" s="1"/>
  <c r="FH13" i="25" s="1"/>
  <c r="FI13" i="25" s="1"/>
  <c r="FJ13" i="25" s="1"/>
  <c r="FK13" i="25" s="1"/>
  <c r="FL13" i="25" s="1"/>
  <c r="FM13" i="25" s="1"/>
  <c r="FN13" i="25" s="1"/>
  <c r="FO13" i="25" s="1"/>
  <c r="FP13" i="25" s="1"/>
  <c r="FQ13" i="25" s="1"/>
  <c r="FR13" i="25" s="1"/>
  <c r="FS13" i="25" s="1"/>
  <c r="FT13" i="25" s="1"/>
  <c r="FU13" i="25" s="1"/>
  <c r="FV13" i="25" s="1"/>
  <c r="FW13" i="25" s="1"/>
  <c r="FX13" i="25" s="1"/>
  <c r="FY13" i="25" s="1"/>
  <c r="FZ13" i="25" s="1"/>
  <c r="GA13" i="25" s="1"/>
  <c r="GB13" i="25" s="1"/>
  <c r="GC13" i="25" s="1"/>
  <c r="GD13" i="25" s="1"/>
  <c r="GE13" i="25" s="1"/>
  <c r="GF13" i="25" s="1"/>
  <c r="GG13" i="25" s="1"/>
  <c r="GH13" i="25" s="1"/>
  <c r="GI13" i="25" s="1"/>
  <c r="GJ13" i="25" s="1"/>
  <c r="GK13" i="25" s="1"/>
  <c r="GL13" i="25" s="1"/>
  <c r="GM13" i="25" s="1"/>
  <c r="GN13" i="25" s="1"/>
  <c r="GO13" i="25" s="1"/>
  <c r="GP13" i="25" s="1"/>
  <c r="GQ13" i="25" s="1"/>
  <c r="GR13" i="25" s="1"/>
  <c r="GS13" i="25" s="1"/>
  <c r="GT13" i="25" s="1"/>
  <c r="GU13" i="25" s="1"/>
  <c r="GV13" i="25" s="1"/>
  <c r="GW13" i="25" s="1"/>
  <c r="GX13" i="25" s="1"/>
  <c r="GY13" i="25" s="1"/>
  <c r="GZ13" i="25" s="1"/>
  <c r="HA13" i="25" s="1"/>
  <c r="HB13" i="25" s="1"/>
  <c r="HC13" i="25" s="1"/>
  <c r="HD13" i="25" s="1"/>
  <c r="HE13" i="25" s="1"/>
  <c r="HF13" i="25" s="1"/>
  <c r="HG13" i="25" s="1"/>
  <c r="HH13" i="25" s="1"/>
  <c r="HI13" i="25" s="1"/>
  <c r="HJ13" i="25" s="1"/>
  <c r="HK13" i="25" s="1"/>
  <c r="HL13" i="25" s="1"/>
  <c r="HM13" i="25" s="1"/>
  <c r="HN13" i="25" s="1"/>
  <c r="HO13" i="25" s="1"/>
  <c r="HP13" i="25" s="1"/>
  <c r="HQ13" i="25" s="1"/>
  <c r="HR13" i="25" s="1"/>
  <c r="HS13" i="25" s="1"/>
  <c r="HT13" i="25" s="1"/>
  <c r="HU13" i="25" s="1"/>
  <c r="HV13" i="25" s="1"/>
  <c r="HW13" i="25" s="1"/>
  <c r="HX13" i="25" s="1"/>
  <c r="HY13" i="25" s="1"/>
  <c r="HZ13" i="25" s="1"/>
  <c r="IA13" i="25" s="1"/>
  <c r="IB13" i="25" s="1"/>
  <c r="IC13" i="25" s="1"/>
  <c r="ID13" i="25" s="1"/>
  <c r="IE13" i="25" s="1"/>
  <c r="IF13" i="25" s="1"/>
  <c r="IG13" i="25" s="1"/>
  <c r="IH13" i="25" s="1"/>
  <c r="II13" i="25" s="1"/>
  <c r="IJ13" i="25" s="1"/>
  <c r="IK13" i="25" s="1"/>
  <c r="IL13" i="25" s="1"/>
  <c r="IM13" i="25" s="1"/>
  <c r="IN13" i="25" s="1"/>
  <c r="IO13" i="25" s="1"/>
  <c r="IP13" i="25" s="1"/>
  <c r="IQ13" i="25" s="1"/>
  <c r="IR13" i="25" s="1"/>
  <c r="IS13" i="25" s="1"/>
  <c r="IT13" i="25" s="1"/>
  <c r="IU13" i="25" s="1"/>
  <c r="IV13" i="25" s="1"/>
  <c r="IW13" i="25" s="1"/>
  <c r="IX13" i="25" s="1"/>
  <c r="IY13" i="25" s="1"/>
  <c r="IZ13" i="25" s="1"/>
  <c r="JA13" i="25" s="1"/>
  <c r="JB13" i="25" s="1"/>
  <c r="JC13" i="25" s="1"/>
  <c r="JD13" i="25" s="1"/>
  <c r="JE13" i="25" s="1"/>
  <c r="JF13" i="25" s="1"/>
  <c r="JG13" i="25" s="1"/>
  <c r="JH13" i="25" s="1"/>
  <c r="JI13" i="25" s="1"/>
  <c r="JJ13" i="25" s="1"/>
  <c r="JK13" i="25" s="1"/>
  <c r="JL13" i="25" s="1"/>
  <c r="JM13" i="25" s="1"/>
  <c r="JN13" i="25" s="1"/>
  <c r="JO13" i="25" s="1"/>
  <c r="JP13" i="25" s="1"/>
  <c r="JQ13" i="25" s="1"/>
  <c r="JR13" i="25" s="1"/>
  <c r="JS13" i="25" s="1"/>
  <c r="JT13" i="25" s="1"/>
  <c r="JU13" i="25" s="1"/>
  <c r="JV13" i="25" s="1"/>
  <c r="JW13" i="25" s="1"/>
  <c r="JX13" i="25" s="1"/>
  <c r="JY13" i="25" s="1"/>
  <c r="JZ13" i="25" s="1"/>
  <c r="KA13" i="25" s="1"/>
  <c r="KB13" i="25" s="1"/>
  <c r="KC13" i="25" s="1"/>
  <c r="KD13" i="25" s="1"/>
  <c r="KE13" i="25" s="1"/>
  <c r="KF13" i="25" s="1"/>
  <c r="KG13" i="25" s="1"/>
  <c r="KH13" i="25" s="1"/>
  <c r="KI13" i="25" s="1"/>
  <c r="KJ13" i="25" s="1"/>
  <c r="KK13" i="25" s="1"/>
  <c r="KL13" i="25" s="1"/>
  <c r="KM13" i="25" s="1"/>
  <c r="KN13" i="25" s="1"/>
  <c r="KO13" i="25" s="1"/>
  <c r="KP13" i="25" s="1"/>
  <c r="KQ13" i="25" s="1"/>
  <c r="KR13" i="25" s="1"/>
  <c r="KS13" i="25" s="1"/>
  <c r="KT13" i="25" s="1"/>
  <c r="KU13" i="25" s="1"/>
  <c r="KV13" i="25" s="1"/>
  <c r="KW13" i="25" s="1"/>
  <c r="KX13" i="25" s="1"/>
  <c r="KY13" i="25" s="1"/>
  <c r="KZ13" i="25" s="1"/>
  <c r="LA13" i="25" s="1"/>
  <c r="LB13" i="25" s="1"/>
  <c r="LC13" i="25" s="1"/>
  <c r="LD13" i="25" s="1"/>
  <c r="LE13" i="25" s="1"/>
  <c r="LF13" i="25" s="1"/>
  <c r="LG13" i="25" s="1"/>
  <c r="LH13" i="25" s="1"/>
  <c r="LI13" i="25" s="1"/>
  <c r="LJ13" i="25" s="1"/>
  <c r="LK13" i="25" s="1"/>
  <c r="LL13" i="25" s="1"/>
  <c r="LM13" i="25" s="1"/>
  <c r="LN13" i="25" s="1"/>
  <c r="LO13" i="25" s="1"/>
  <c r="LP13" i="25" s="1"/>
  <c r="LQ13" i="25" s="1"/>
  <c r="LR13" i="25" s="1"/>
  <c r="LS13" i="25" s="1"/>
  <c r="LT13" i="25" s="1"/>
  <c r="LU13" i="25" s="1"/>
  <c r="LV13" i="25" s="1"/>
  <c r="LW13" i="25" s="1"/>
  <c r="LX13" i="25" s="1"/>
  <c r="LY13" i="25" s="1"/>
  <c r="LZ13" i="25" s="1"/>
  <c r="MA13" i="25" s="1"/>
  <c r="MB13" i="25" s="1"/>
  <c r="MC13" i="25" s="1"/>
  <c r="MD13" i="25" s="1"/>
  <c r="ME13" i="25" s="1"/>
  <c r="MF13" i="25" s="1"/>
  <c r="MG13" i="25" s="1"/>
  <c r="MH13" i="25" s="1"/>
  <c r="MI13" i="25" s="1"/>
  <c r="MJ13" i="25" s="1"/>
  <c r="MK13" i="25" s="1"/>
  <c r="ML13" i="25" s="1"/>
  <c r="MM13" i="25" s="1"/>
  <c r="MN13" i="25" s="1"/>
  <c r="MO13" i="25" s="1"/>
  <c r="MP13" i="25" s="1"/>
  <c r="MQ13" i="25" s="1"/>
  <c r="MR13" i="25" s="1"/>
  <c r="MS13" i="25" s="1"/>
  <c r="MT13" i="25" s="1"/>
  <c r="MU13" i="25" s="1"/>
  <c r="MV13" i="25" s="1"/>
  <c r="MW13" i="25" s="1"/>
  <c r="MX13" i="25" s="1"/>
  <c r="MY13" i="25" s="1"/>
  <c r="MZ13" i="25" s="1"/>
  <c r="NA13" i="25" s="1"/>
  <c r="NB13" i="25" s="1"/>
  <c r="NC13" i="25" s="1"/>
  <c r="ND13" i="25" s="1"/>
  <c r="NE13" i="25" s="1"/>
  <c r="NF13" i="25" s="1"/>
  <c r="NG13" i="25" s="1"/>
  <c r="NH13" i="25" s="1"/>
  <c r="NI13" i="25" s="1"/>
  <c r="NJ13" i="25" s="1"/>
  <c r="NK13" i="25" s="1"/>
  <c r="NL13" i="25" s="1"/>
  <c r="NM13" i="25" s="1"/>
  <c r="NN13" i="25" s="1"/>
  <c r="NO13" i="25" s="1"/>
  <c r="NP13" i="25" s="1"/>
  <c r="NQ13" i="25" s="1"/>
  <c r="NR13" i="25" s="1"/>
  <c r="NS13" i="25" s="1"/>
  <c r="NT13" i="25" s="1"/>
  <c r="NU13" i="25" s="1"/>
  <c r="NV13" i="25" s="1"/>
  <c r="NW13" i="25" s="1"/>
  <c r="NX13" i="25" s="1"/>
  <c r="NY13" i="25" s="1"/>
  <c r="NZ13" i="25" s="1"/>
  <c r="OA13" i="25" s="1"/>
  <c r="OB13" i="25" s="1"/>
  <c r="OC13" i="25" s="1"/>
  <c r="OD13" i="25" s="1"/>
  <c r="OE13" i="25" s="1"/>
  <c r="OF13" i="25" s="1"/>
  <c r="OG13" i="25" s="1"/>
  <c r="OH13" i="25" s="1"/>
  <c r="OI13" i="25" s="1"/>
  <c r="OJ13" i="25" s="1"/>
  <c r="OK13" i="25" s="1"/>
  <c r="OL13" i="25" s="1"/>
  <c r="OM13" i="25" s="1"/>
  <c r="ON13" i="25" s="1"/>
  <c r="OO13" i="25" s="1"/>
  <c r="OP13" i="25" s="1"/>
  <c r="OQ13" i="25" s="1"/>
  <c r="OR13" i="25" s="1"/>
  <c r="OS13" i="25" s="1"/>
  <c r="OT13" i="25" s="1"/>
  <c r="OU13" i="25" s="1"/>
  <c r="OV13" i="25" s="1"/>
  <c r="OW13" i="25" s="1"/>
  <c r="OX13" i="25" s="1"/>
  <c r="OY13" i="25" s="1"/>
  <c r="OZ13" i="25" s="1"/>
  <c r="PA13" i="25" s="1"/>
  <c r="PB13" i="25" s="1"/>
  <c r="PC13" i="25" s="1"/>
  <c r="PD13" i="25" s="1"/>
  <c r="PE13" i="25" s="1"/>
  <c r="PF13" i="25" s="1"/>
  <c r="PG13" i="25" s="1"/>
  <c r="PH13" i="25" s="1"/>
  <c r="PI13" i="25" s="1"/>
  <c r="PJ13" i="25" s="1"/>
  <c r="PK13" i="25" s="1"/>
  <c r="PL13" i="25" s="1"/>
  <c r="PM13" i="25" s="1"/>
  <c r="PN13" i="25" s="1"/>
  <c r="PO13" i="25" s="1"/>
  <c r="PP13" i="25" s="1"/>
  <c r="PQ13" i="25" s="1"/>
  <c r="PR13" i="25" s="1"/>
  <c r="PS13" i="25" s="1"/>
  <c r="PT13" i="25" s="1"/>
  <c r="PU13" i="25" s="1"/>
  <c r="PV13" i="25" s="1"/>
  <c r="PW13" i="25" s="1"/>
  <c r="PX13" i="25" s="1"/>
  <c r="PY13" i="25" s="1"/>
  <c r="PZ13" i="25" s="1"/>
  <c r="QA13" i="25" s="1"/>
  <c r="QB13" i="25" s="1"/>
  <c r="QC13" i="25" s="1"/>
  <c r="QD13" i="25" s="1"/>
  <c r="QE13" i="25" s="1"/>
  <c r="QF13" i="25" s="1"/>
  <c r="QG13" i="25" s="1"/>
  <c r="QH13" i="25" s="1"/>
  <c r="QI13" i="25" s="1"/>
  <c r="QJ13" i="25" s="1"/>
  <c r="QK13" i="25" s="1"/>
  <c r="QL13" i="25" s="1"/>
  <c r="QM13" i="25" s="1"/>
  <c r="QN13" i="25" s="1"/>
  <c r="QO13" i="25" s="1"/>
  <c r="QP13" i="25" s="1"/>
  <c r="QQ13" i="25" s="1"/>
  <c r="QR13" i="25" s="1"/>
  <c r="QS13" i="25" s="1"/>
  <c r="QT13" i="25" s="1"/>
  <c r="QU13" i="25" s="1"/>
  <c r="QV13" i="25" s="1"/>
  <c r="QW13" i="25" s="1"/>
  <c r="QX13" i="25" s="1"/>
  <c r="QY13" i="25" s="1"/>
  <c r="QZ13" i="25" s="1"/>
  <c r="RA13" i="25" s="1"/>
  <c r="RB13" i="25" s="1"/>
  <c r="RC13" i="25" s="1"/>
  <c r="RD13" i="25" s="1"/>
  <c r="RE13" i="25" s="1"/>
  <c r="RF13" i="25" s="1"/>
  <c r="RG13" i="25" s="1"/>
  <c r="RH13" i="25" s="1"/>
  <c r="RI13" i="25" s="1"/>
  <c r="RJ13" i="25" s="1"/>
  <c r="RK13" i="25" s="1"/>
  <c r="RL13" i="25" s="1"/>
  <c r="RM13" i="25" s="1"/>
  <c r="RN13" i="25" s="1"/>
  <c r="RO13" i="25" s="1"/>
  <c r="RP13" i="25" s="1"/>
  <c r="RQ13" i="25" s="1"/>
  <c r="RR13" i="25" s="1"/>
  <c r="RS13" i="25" s="1"/>
  <c r="RT13" i="25" s="1"/>
  <c r="RU13" i="25" s="1"/>
  <c r="RV13" i="25" s="1"/>
  <c r="RW13" i="25" s="1"/>
  <c r="RX13" i="25" s="1"/>
  <c r="RY13" i="25" s="1"/>
  <c r="RZ13" i="25" s="1"/>
  <c r="SA13" i="25" s="1"/>
  <c r="SB13" i="25" s="1"/>
  <c r="SC13" i="25" s="1"/>
  <c r="SD13" i="25" s="1"/>
  <c r="SE13" i="25" s="1"/>
  <c r="SF13" i="25" s="1"/>
  <c r="SG13" i="25" s="1"/>
  <c r="SH13" i="25" s="1"/>
  <c r="SI13" i="25" s="1"/>
  <c r="SJ13" i="25" s="1"/>
  <c r="SK13" i="25" s="1"/>
  <c r="SL13" i="25" s="1"/>
  <c r="SM13" i="25" s="1"/>
  <c r="SN13" i="25" s="1"/>
  <c r="SO13" i="25" s="1"/>
  <c r="SP13" i="25" s="1"/>
  <c r="SQ13" i="25" s="1"/>
  <c r="SR13" i="25" s="1"/>
  <c r="SS13" i="25" s="1"/>
  <c r="ST13" i="25" s="1"/>
  <c r="SU13" i="25" s="1"/>
  <c r="SV13" i="25" s="1"/>
  <c r="SW13" i="25" s="1"/>
  <c r="SX13" i="25" s="1"/>
  <c r="SY13" i="25" s="1"/>
  <c r="SZ13" i="25" s="1"/>
  <c r="TA13" i="25" s="1"/>
  <c r="TB13" i="25" s="1"/>
  <c r="TC13" i="25" s="1"/>
  <c r="TD13" i="25" s="1"/>
  <c r="TE13" i="25" s="1"/>
  <c r="TF13" i="25" s="1"/>
  <c r="TG13" i="25" s="1"/>
  <c r="TH13" i="25" s="1"/>
  <c r="TI13" i="25" s="1"/>
  <c r="TJ13" i="25" s="1"/>
  <c r="TK13" i="25" s="1"/>
  <c r="TL13" i="25" s="1"/>
  <c r="TM13" i="25" s="1"/>
  <c r="TN13" i="25" s="1"/>
  <c r="TO13" i="25" s="1"/>
  <c r="TP13" i="25" s="1"/>
  <c r="TQ13" i="25" s="1"/>
  <c r="TR13" i="25" s="1"/>
  <c r="TS13" i="25" s="1"/>
  <c r="TT13" i="25" s="1"/>
  <c r="TU13" i="25" s="1"/>
  <c r="TV13" i="25" s="1"/>
  <c r="TW13" i="25" s="1"/>
  <c r="TX13" i="25" s="1"/>
  <c r="TY13" i="25" s="1"/>
  <c r="TZ13" i="25" s="1"/>
  <c r="UA13" i="25" s="1"/>
  <c r="UB13" i="25" s="1"/>
  <c r="UC13" i="25" s="1"/>
  <c r="UD13" i="25" s="1"/>
  <c r="UE13" i="25" s="1"/>
  <c r="UF13" i="25" s="1"/>
  <c r="UG13" i="25" s="1"/>
  <c r="UH13" i="25" s="1"/>
  <c r="UI13" i="25" s="1"/>
  <c r="UJ13" i="25" s="1"/>
  <c r="UK13" i="25" s="1"/>
  <c r="UL13" i="25" s="1"/>
  <c r="UM13" i="25" s="1"/>
  <c r="UN13" i="25" s="1"/>
  <c r="UO13" i="25" s="1"/>
  <c r="UP13" i="25" s="1"/>
  <c r="UQ13" i="25" s="1"/>
  <c r="UR13" i="25" s="1"/>
  <c r="US13" i="25" s="1"/>
  <c r="UT13" i="25" s="1"/>
  <c r="UU13" i="25" s="1"/>
  <c r="UV13" i="25" s="1"/>
  <c r="UW13" i="25" s="1"/>
  <c r="UX13" i="25" s="1"/>
  <c r="UY13" i="25" s="1"/>
  <c r="UZ13" i="25" s="1"/>
  <c r="VA13" i="25" s="1"/>
  <c r="VB13" i="25" s="1"/>
  <c r="VC13" i="25" s="1"/>
  <c r="VD13" i="25" s="1"/>
  <c r="VE13" i="25" s="1"/>
  <c r="VF13" i="25" s="1"/>
  <c r="VG13" i="25" s="1"/>
  <c r="VH13" i="25" s="1"/>
  <c r="VI13" i="25" s="1"/>
  <c r="VJ13" i="25" s="1"/>
  <c r="VK13" i="25" s="1"/>
  <c r="VL13" i="25" s="1"/>
  <c r="VM13" i="25" s="1"/>
  <c r="VN13" i="25" s="1"/>
  <c r="VO13" i="25" s="1"/>
  <c r="VP13" i="25" s="1"/>
  <c r="VQ13" i="25" s="1"/>
  <c r="VR13" i="25" s="1"/>
  <c r="VS13" i="25" s="1"/>
  <c r="VT13" i="25" s="1"/>
  <c r="VU13" i="25" s="1"/>
  <c r="VV13" i="25" s="1"/>
  <c r="VW13" i="25" s="1"/>
  <c r="VX13" i="25" s="1"/>
  <c r="VY13" i="25" s="1"/>
  <c r="VZ13" i="25" s="1"/>
  <c r="WA13" i="25" s="1"/>
  <c r="WB13" i="25" s="1"/>
  <c r="WC13" i="25" s="1"/>
  <c r="WD13" i="25" s="1"/>
  <c r="WE13" i="25" s="1"/>
  <c r="WF13" i="25" s="1"/>
  <c r="WG13" i="25" s="1"/>
  <c r="WH13" i="25" s="1"/>
  <c r="WI13" i="25" s="1"/>
  <c r="WJ13" i="25" s="1"/>
  <c r="WK13" i="25" s="1"/>
  <c r="WL13" i="25" s="1"/>
  <c r="WM13" i="25" s="1"/>
  <c r="WN13" i="25" s="1"/>
  <c r="WO13" i="25" s="1"/>
  <c r="WP13" i="25" s="1"/>
  <c r="WQ13" i="25" s="1"/>
  <c r="WR13" i="25" s="1"/>
  <c r="WS13" i="25" s="1"/>
  <c r="WT13" i="25" s="1"/>
  <c r="WU13" i="25" s="1"/>
  <c r="WV13" i="25" s="1"/>
  <c r="WW13" i="25" s="1"/>
  <c r="WX13" i="25" s="1"/>
  <c r="WY13" i="25" s="1"/>
  <c r="WZ13" i="25" s="1"/>
  <c r="XA13" i="25" s="1"/>
  <c r="XB13" i="25" s="1"/>
  <c r="XC13" i="25" s="1"/>
  <c r="XD13" i="25" s="1"/>
  <c r="XE13" i="25" s="1"/>
  <c r="XF13" i="25" s="1"/>
  <c r="XG13" i="25" s="1"/>
  <c r="XH13" i="25" s="1"/>
  <c r="XI13" i="25" s="1"/>
  <c r="XJ13" i="25" s="1"/>
  <c r="XK13" i="25" s="1"/>
  <c r="XL13" i="25" s="1"/>
  <c r="XM13" i="25" s="1"/>
  <c r="XN13" i="25" s="1"/>
  <c r="XO13" i="25" s="1"/>
  <c r="XP13" i="25" s="1"/>
  <c r="XQ13" i="25" s="1"/>
  <c r="XR13" i="25" s="1"/>
  <c r="XS13" i="25" s="1"/>
  <c r="XT13" i="25" s="1"/>
  <c r="XU13" i="25" s="1"/>
  <c r="XV13" i="25" s="1"/>
  <c r="XW13" i="25" s="1"/>
  <c r="XX13" i="25" s="1"/>
  <c r="XY13" i="25" s="1"/>
  <c r="XZ13" i="25" s="1"/>
  <c r="YA13" i="25" s="1"/>
  <c r="YB13" i="25" s="1"/>
  <c r="YC13" i="25" s="1"/>
  <c r="YD13" i="25" s="1"/>
  <c r="YE13" i="25" s="1"/>
  <c r="YF13" i="25" s="1"/>
  <c r="YG13" i="25" s="1"/>
  <c r="YH13" i="25" s="1"/>
  <c r="YI13" i="25" s="1"/>
  <c r="YJ13" i="25" s="1"/>
  <c r="YK13" i="25" s="1"/>
  <c r="YL13" i="25" s="1"/>
  <c r="YM13" i="25" s="1"/>
  <c r="YN13" i="25" s="1"/>
  <c r="YO13" i="25" s="1"/>
  <c r="YP13" i="25" s="1"/>
  <c r="YQ13" i="25" s="1"/>
  <c r="YR13" i="25" s="1"/>
  <c r="YS13" i="25" s="1"/>
  <c r="YT13" i="25" s="1"/>
  <c r="YU13" i="25" s="1"/>
  <c r="YV13" i="25" s="1"/>
  <c r="YW13" i="25" s="1"/>
  <c r="YX13" i="25" s="1"/>
  <c r="YY13" i="25" s="1"/>
  <c r="YZ13" i="25" s="1"/>
  <c r="ZA13" i="25" s="1"/>
  <c r="ZB13" i="25" s="1"/>
  <c r="ZC13" i="25" s="1"/>
  <c r="ZD13" i="25" s="1"/>
  <c r="ZE13" i="25" s="1"/>
  <c r="ZF13" i="25" s="1"/>
  <c r="ZG13" i="25" s="1"/>
  <c r="ZH13" i="25" s="1"/>
  <c r="ZI13" i="25" s="1"/>
  <c r="ZJ13" i="25" s="1"/>
  <c r="ZK13" i="25" s="1"/>
  <c r="ZL13" i="25" s="1"/>
  <c r="ZM13" i="25" s="1"/>
  <c r="ZN13" i="25" s="1"/>
  <c r="ZO13" i="25" s="1"/>
  <c r="ZP13" i="25" s="1"/>
  <c r="ZQ13" i="25" s="1"/>
  <c r="ZR13" i="25" s="1"/>
  <c r="ZS13" i="25" s="1"/>
  <c r="ZT13" i="25" s="1"/>
  <c r="ZU13" i="25" s="1"/>
  <c r="ZV13" i="25" s="1"/>
  <c r="ZW13" i="25" s="1"/>
  <c r="ZX13" i="25" s="1"/>
  <c r="ZY13" i="25" s="1"/>
  <c r="ZZ13" i="25" s="1"/>
  <c r="AAA13" i="25" s="1"/>
  <c r="AAB13" i="25" s="1"/>
  <c r="AAC13" i="25" s="1"/>
  <c r="AAD13" i="25" s="1"/>
  <c r="AAE13" i="25" s="1"/>
  <c r="AAF13" i="25" s="1"/>
  <c r="AAG13" i="25" s="1"/>
  <c r="AAH13" i="25" s="1"/>
  <c r="AAI13" i="25" s="1"/>
  <c r="AAJ13" i="25" s="1"/>
  <c r="AAK13" i="25" s="1"/>
  <c r="AAL13" i="25" s="1"/>
  <c r="AAM13" i="25" s="1"/>
  <c r="AAN13" i="25" s="1"/>
  <c r="AAO13" i="25" s="1"/>
  <c r="AAP13" i="25" s="1"/>
  <c r="AAQ13" i="25" s="1"/>
  <c r="AAR13" i="25" s="1"/>
  <c r="AAS13" i="25" s="1"/>
  <c r="AAT13" i="25" s="1"/>
  <c r="AAU13" i="25" s="1"/>
  <c r="AAV13" i="25" s="1"/>
  <c r="AAW13" i="25" s="1"/>
  <c r="AAX13" i="25" s="1"/>
  <c r="AAY13" i="25" s="1"/>
  <c r="AAZ13" i="25" s="1"/>
  <c r="ABA13" i="25" s="1"/>
  <c r="ABB13" i="25" s="1"/>
  <c r="ABC13" i="25" s="1"/>
  <c r="ABD13" i="25" s="1"/>
  <c r="ABE13" i="25" s="1"/>
  <c r="ABF13" i="25" s="1"/>
  <c r="ABG13" i="25" s="1"/>
  <c r="ABH13" i="25" s="1"/>
  <c r="ABI13" i="25" s="1"/>
  <c r="ABJ13" i="25" s="1"/>
  <c r="ABK13" i="25" s="1"/>
  <c r="ABL13" i="25" s="1"/>
  <c r="ABM13" i="25" s="1"/>
  <c r="ABN13" i="25" s="1"/>
  <c r="ABO13" i="25" s="1"/>
  <c r="ABP13" i="25" s="1"/>
  <c r="ABQ13" i="25" s="1"/>
  <c r="ABR13" i="25" s="1"/>
  <c r="ABS13" i="25" s="1"/>
  <c r="ABT13" i="25" s="1"/>
  <c r="ABU13" i="25" s="1"/>
  <c r="ABV13" i="25" s="1"/>
  <c r="ABW13" i="25" s="1"/>
  <c r="ABX13" i="25" s="1"/>
  <c r="ABY13" i="25" s="1"/>
  <c r="ABZ13" i="25" s="1"/>
  <c r="ACA13" i="25" s="1"/>
  <c r="ACB13" i="25" s="1"/>
  <c r="ACC13" i="25" s="1"/>
  <c r="ACD13" i="25" s="1"/>
  <c r="ACE13" i="25" s="1"/>
  <c r="ACF13" i="25" s="1"/>
  <c r="ACG13" i="25" s="1"/>
  <c r="ACH13" i="25" s="1"/>
  <c r="ACI13" i="25" s="1"/>
  <c r="ACJ13" i="25" s="1"/>
  <c r="ACK13" i="25" s="1"/>
  <c r="ACL13" i="25" s="1"/>
  <c r="ACM13" i="25" s="1"/>
  <c r="ACN13" i="25" s="1"/>
  <c r="ACO13" i="25" s="1"/>
  <c r="ACP13" i="25" s="1"/>
  <c r="ACQ13" i="25" s="1"/>
  <c r="ACR13" i="25" s="1"/>
  <c r="ACS13" i="25" s="1"/>
  <c r="ACT13" i="25" s="1"/>
  <c r="ACU13" i="25" s="1"/>
  <c r="ACV13" i="25" s="1"/>
  <c r="B18" i="25"/>
  <c r="B14" i="25"/>
  <c r="C16" i="24"/>
  <c r="D16" i="24" s="1"/>
  <c r="E16" i="24" s="1"/>
  <c r="F16" i="24" s="1"/>
  <c r="G16" i="24" s="1"/>
  <c r="H16" i="24" s="1"/>
  <c r="I16" i="24" s="1"/>
  <c r="J16" i="24" s="1"/>
  <c r="K16" i="24" s="1"/>
  <c r="L16" i="24" s="1"/>
  <c r="M16" i="24" s="1"/>
  <c r="N16" i="24" s="1"/>
  <c r="O16" i="24" s="1"/>
  <c r="P16" i="24" s="1"/>
  <c r="Q16" i="24" s="1"/>
  <c r="R16" i="24" s="1"/>
  <c r="S16" i="24" s="1"/>
  <c r="T16" i="24" s="1"/>
  <c r="U16" i="24" s="1"/>
  <c r="V16" i="24" s="1"/>
  <c r="W16" i="24" s="1"/>
  <c r="X16" i="24" s="1"/>
  <c r="Y16" i="24" s="1"/>
  <c r="Z16" i="24" s="1"/>
  <c r="AA16" i="24" s="1"/>
  <c r="AB16" i="24" s="1"/>
  <c r="AC16" i="24" s="1"/>
  <c r="AD16" i="24" s="1"/>
  <c r="AE16" i="24" s="1"/>
  <c r="AF16" i="24" s="1"/>
  <c r="AG16" i="24" s="1"/>
  <c r="AH16" i="24" s="1"/>
  <c r="AI16" i="24" s="1"/>
  <c r="AJ16" i="24" s="1"/>
  <c r="AK16" i="24" s="1"/>
  <c r="AL16" i="24" s="1"/>
  <c r="AM16" i="24" s="1"/>
  <c r="AN16" i="24" s="1"/>
  <c r="AO16" i="24" s="1"/>
  <c r="AP16" i="24" s="1"/>
  <c r="AQ16" i="24" s="1"/>
  <c r="AR16" i="24" s="1"/>
  <c r="AS16" i="24" s="1"/>
  <c r="AT16" i="24" s="1"/>
  <c r="AU16" i="24" s="1"/>
  <c r="AV16" i="24" s="1"/>
  <c r="AW16" i="24" s="1"/>
  <c r="AX16" i="24" s="1"/>
  <c r="AY16" i="24" s="1"/>
  <c r="AZ16" i="24" s="1"/>
  <c r="BA16" i="24" s="1"/>
  <c r="BB16" i="24" s="1"/>
  <c r="BC16" i="24" s="1"/>
  <c r="BD16" i="24" s="1"/>
  <c r="BE16" i="24" s="1"/>
  <c r="BF16" i="24" s="1"/>
  <c r="BG16" i="24" s="1"/>
  <c r="BH16" i="24" s="1"/>
  <c r="BI16" i="24" s="1"/>
  <c r="BJ16" i="24" s="1"/>
  <c r="BK16" i="24" s="1"/>
  <c r="BL16" i="24" s="1"/>
  <c r="BM16" i="24" s="1"/>
  <c r="BN16" i="24" s="1"/>
  <c r="BO16" i="24" s="1"/>
  <c r="BP16" i="24" s="1"/>
  <c r="BQ16" i="24" s="1"/>
  <c r="BR16" i="24" s="1"/>
  <c r="BS16" i="24" s="1"/>
  <c r="BT16" i="24" s="1"/>
  <c r="BU16" i="24" s="1"/>
  <c r="BV16" i="24" s="1"/>
  <c r="BW16" i="24" s="1"/>
  <c r="BX16" i="24" s="1"/>
  <c r="BY16" i="24" s="1"/>
  <c r="BZ16" i="24" s="1"/>
  <c r="CA16" i="24" s="1"/>
  <c r="CB16" i="24" s="1"/>
  <c r="CC16" i="24" s="1"/>
  <c r="CD16" i="24" s="1"/>
  <c r="CE16" i="24" s="1"/>
  <c r="CF16" i="24" s="1"/>
  <c r="CG16" i="24" s="1"/>
  <c r="CH16" i="24" s="1"/>
  <c r="CI16" i="24" s="1"/>
  <c r="CJ16" i="24" s="1"/>
  <c r="CK16" i="24" s="1"/>
  <c r="CL16" i="24" s="1"/>
  <c r="CM16" i="24" s="1"/>
  <c r="CN16" i="24" s="1"/>
  <c r="CO16" i="24" s="1"/>
  <c r="CP16" i="24" s="1"/>
  <c r="CQ16" i="24" s="1"/>
  <c r="CR16" i="24" s="1"/>
  <c r="CS16" i="24" s="1"/>
  <c r="CT16" i="24" s="1"/>
  <c r="CU16" i="24" s="1"/>
  <c r="CV16" i="24" s="1"/>
  <c r="CW16" i="24" s="1"/>
  <c r="CX16" i="24" s="1"/>
  <c r="CY16" i="24" s="1"/>
  <c r="CZ16" i="24" s="1"/>
  <c r="DA16" i="24" s="1"/>
  <c r="DB16" i="24" s="1"/>
  <c r="DC16" i="24" s="1"/>
  <c r="DD16" i="24" s="1"/>
  <c r="DE16" i="24" s="1"/>
  <c r="DF16" i="24" s="1"/>
  <c r="DG16" i="24" s="1"/>
  <c r="DH16" i="24" s="1"/>
  <c r="DI16" i="24" s="1"/>
  <c r="DJ16" i="24" s="1"/>
  <c r="DK16" i="24" s="1"/>
  <c r="DL16" i="24" s="1"/>
  <c r="DM16" i="24" s="1"/>
  <c r="DN16" i="24" s="1"/>
  <c r="DO16" i="24" s="1"/>
  <c r="DP16" i="24" s="1"/>
  <c r="DQ16" i="24" s="1"/>
  <c r="DR16" i="24" s="1"/>
  <c r="DS16" i="24" s="1"/>
  <c r="DT16" i="24" s="1"/>
  <c r="DU16" i="24" s="1"/>
  <c r="DV16" i="24" s="1"/>
  <c r="DW16" i="24" s="1"/>
  <c r="DX16" i="24" s="1"/>
  <c r="DY16" i="24" s="1"/>
  <c r="DZ16" i="24" s="1"/>
  <c r="EA16" i="24" s="1"/>
  <c r="EB16" i="24" s="1"/>
  <c r="EC16" i="24" s="1"/>
  <c r="ED16" i="24" s="1"/>
  <c r="EE16" i="24" s="1"/>
  <c r="EF16" i="24" s="1"/>
  <c r="EG16" i="24" s="1"/>
  <c r="EH16" i="24" s="1"/>
  <c r="EI16" i="24" s="1"/>
  <c r="EJ16" i="24" s="1"/>
  <c r="EK16" i="24" s="1"/>
  <c r="EL16" i="24" s="1"/>
  <c r="EM16" i="24" s="1"/>
  <c r="EN16" i="24" s="1"/>
  <c r="EO16" i="24" s="1"/>
  <c r="EP16" i="24" s="1"/>
  <c r="EQ16" i="24" s="1"/>
  <c r="ER16" i="24" s="1"/>
  <c r="ES16" i="24" s="1"/>
  <c r="ET16" i="24" s="1"/>
  <c r="EU16" i="24" s="1"/>
  <c r="EV16" i="24" s="1"/>
  <c r="EW16" i="24" s="1"/>
  <c r="EX16" i="24" s="1"/>
  <c r="EY16" i="24" s="1"/>
  <c r="EZ16" i="24" s="1"/>
  <c r="FA16" i="24" s="1"/>
  <c r="FB16" i="24" s="1"/>
  <c r="FC16" i="24" s="1"/>
  <c r="FD16" i="24" s="1"/>
  <c r="FE16" i="24" s="1"/>
  <c r="FF16" i="24" s="1"/>
  <c r="FG16" i="24" s="1"/>
  <c r="FH16" i="24" s="1"/>
  <c r="FI16" i="24" s="1"/>
  <c r="FJ16" i="24" s="1"/>
  <c r="FK16" i="24" s="1"/>
  <c r="FL16" i="24" s="1"/>
  <c r="FM16" i="24" s="1"/>
  <c r="FN16" i="24" s="1"/>
  <c r="FO16" i="24" s="1"/>
  <c r="FP16" i="24" s="1"/>
  <c r="FQ16" i="24" s="1"/>
  <c r="FR16" i="24" s="1"/>
  <c r="FS16" i="24" s="1"/>
  <c r="FT16" i="24" s="1"/>
  <c r="FU16" i="24" s="1"/>
  <c r="FV16" i="24" s="1"/>
  <c r="FW16" i="24" s="1"/>
  <c r="FX16" i="24" s="1"/>
  <c r="FY16" i="24" s="1"/>
  <c r="FZ16" i="24" s="1"/>
  <c r="GA16" i="24" s="1"/>
  <c r="GB16" i="24" s="1"/>
  <c r="GC16" i="24" s="1"/>
  <c r="GD16" i="24" s="1"/>
  <c r="GE16" i="24" s="1"/>
  <c r="GF16" i="24" s="1"/>
  <c r="GG16" i="24" s="1"/>
  <c r="GH16" i="24" s="1"/>
  <c r="GI16" i="24" s="1"/>
  <c r="GJ16" i="24" s="1"/>
  <c r="GK16" i="24" s="1"/>
  <c r="GL16" i="24" s="1"/>
  <c r="GM16" i="24" s="1"/>
  <c r="GN16" i="24" s="1"/>
  <c r="GO16" i="24" s="1"/>
  <c r="GP16" i="24" s="1"/>
  <c r="GQ16" i="24" s="1"/>
  <c r="GR16" i="24" s="1"/>
  <c r="GS16" i="24" s="1"/>
  <c r="GT16" i="24" s="1"/>
  <c r="GU16" i="24" s="1"/>
  <c r="GV16" i="24" s="1"/>
  <c r="GW16" i="24" s="1"/>
  <c r="GX16" i="24" s="1"/>
  <c r="GY16" i="24" s="1"/>
  <c r="GZ16" i="24" s="1"/>
  <c r="HA16" i="24" s="1"/>
  <c r="HB16" i="24" s="1"/>
  <c r="HC16" i="24" s="1"/>
  <c r="HD16" i="24" s="1"/>
  <c r="HE16" i="24" s="1"/>
  <c r="HF16" i="24" s="1"/>
  <c r="HG16" i="24" s="1"/>
  <c r="HH16" i="24" s="1"/>
  <c r="HI16" i="24" s="1"/>
  <c r="HJ16" i="24" s="1"/>
  <c r="HK16" i="24" s="1"/>
  <c r="HL16" i="24" s="1"/>
  <c r="HM16" i="24" s="1"/>
  <c r="HN16" i="24" s="1"/>
  <c r="HO16" i="24" s="1"/>
  <c r="HP16" i="24" s="1"/>
  <c r="HQ16" i="24" s="1"/>
  <c r="HR16" i="24" s="1"/>
  <c r="HS16" i="24" s="1"/>
  <c r="HT16" i="24" s="1"/>
  <c r="HU16" i="24" s="1"/>
  <c r="HV16" i="24" s="1"/>
  <c r="HW16" i="24" s="1"/>
  <c r="HX16" i="24" s="1"/>
  <c r="HY16" i="24" s="1"/>
  <c r="HZ16" i="24" s="1"/>
  <c r="IA16" i="24" s="1"/>
  <c r="IB16" i="24" s="1"/>
  <c r="IC16" i="24" s="1"/>
  <c r="ID16" i="24" s="1"/>
  <c r="IE16" i="24" s="1"/>
  <c r="IF16" i="24" s="1"/>
  <c r="IG16" i="24" s="1"/>
  <c r="IH16" i="24" s="1"/>
  <c r="II16" i="24" s="1"/>
  <c r="IJ16" i="24" s="1"/>
  <c r="IK16" i="24" s="1"/>
  <c r="IL16" i="24" s="1"/>
  <c r="IM16" i="24" s="1"/>
  <c r="IN16" i="24" s="1"/>
  <c r="IO16" i="24" s="1"/>
  <c r="IP16" i="24" s="1"/>
  <c r="IQ16" i="24" s="1"/>
  <c r="IR16" i="24" s="1"/>
  <c r="IS16" i="24" s="1"/>
  <c r="IT16" i="24" s="1"/>
  <c r="IU16" i="24" s="1"/>
  <c r="IV16" i="24" s="1"/>
  <c r="IW16" i="24" s="1"/>
  <c r="IX16" i="24" s="1"/>
  <c r="IY16" i="24" s="1"/>
  <c r="IZ16" i="24" s="1"/>
  <c r="JA16" i="24" s="1"/>
  <c r="JB16" i="24" s="1"/>
  <c r="JC16" i="24" s="1"/>
  <c r="JD16" i="24" s="1"/>
  <c r="JE16" i="24" s="1"/>
  <c r="JF16" i="24" s="1"/>
  <c r="JG16" i="24" s="1"/>
  <c r="JH16" i="24" s="1"/>
  <c r="JI16" i="24" s="1"/>
  <c r="JJ16" i="24" s="1"/>
  <c r="JK16" i="24" s="1"/>
  <c r="JL16" i="24" s="1"/>
  <c r="JM16" i="24" s="1"/>
  <c r="JN16" i="24" s="1"/>
  <c r="JO16" i="24" s="1"/>
  <c r="JP16" i="24" s="1"/>
  <c r="JQ16" i="24" s="1"/>
  <c r="JR16" i="24" s="1"/>
  <c r="JS16" i="24" s="1"/>
  <c r="JT16" i="24" s="1"/>
  <c r="JU16" i="24" s="1"/>
  <c r="JV16" i="24" s="1"/>
  <c r="JW16" i="24" s="1"/>
  <c r="JX16" i="24" s="1"/>
  <c r="JY16" i="24" s="1"/>
  <c r="JZ16" i="24" s="1"/>
  <c r="KA16" i="24" s="1"/>
  <c r="KB16" i="24" s="1"/>
  <c r="KC16" i="24" s="1"/>
  <c r="KD16" i="24" s="1"/>
  <c r="KE16" i="24" s="1"/>
  <c r="KF16" i="24" s="1"/>
  <c r="KG16" i="24" s="1"/>
  <c r="KH16" i="24" s="1"/>
  <c r="KI16" i="24" s="1"/>
  <c r="KJ16" i="24" s="1"/>
  <c r="KK16" i="24" s="1"/>
  <c r="KL16" i="24" s="1"/>
  <c r="KM16" i="24" s="1"/>
  <c r="KN16" i="24" s="1"/>
  <c r="KO16" i="24" s="1"/>
  <c r="KP16" i="24" s="1"/>
  <c r="KQ16" i="24" s="1"/>
  <c r="KR16" i="24" s="1"/>
  <c r="KS16" i="24" s="1"/>
  <c r="KT16" i="24" s="1"/>
  <c r="KU16" i="24" s="1"/>
  <c r="KV16" i="24" s="1"/>
  <c r="KW16" i="24" s="1"/>
  <c r="KX16" i="24" s="1"/>
  <c r="KY16" i="24" s="1"/>
  <c r="KZ16" i="24" s="1"/>
  <c r="LA16" i="24" s="1"/>
  <c r="LB16" i="24" s="1"/>
  <c r="LC16" i="24" s="1"/>
  <c r="LD16" i="24" s="1"/>
  <c r="LE16" i="24" s="1"/>
  <c r="LF16" i="24" s="1"/>
  <c r="LG16" i="24" s="1"/>
  <c r="LH16" i="24" s="1"/>
  <c r="LI16" i="24" s="1"/>
  <c r="LJ16" i="24" s="1"/>
  <c r="LK16" i="24" s="1"/>
  <c r="LL16" i="24" s="1"/>
  <c r="LM16" i="24" s="1"/>
  <c r="LN16" i="24" s="1"/>
  <c r="LO16" i="24" s="1"/>
  <c r="LP16" i="24" s="1"/>
  <c r="LQ16" i="24" s="1"/>
  <c r="LR16" i="24" s="1"/>
  <c r="LS16" i="24" s="1"/>
  <c r="LT16" i="24" s="1"/>
  <c r="LU16" i="24" s="1"/>
  <c r="LV16" i="24" s="1"/>
  <c r="LW16" i="24" s="1"/>
  <c r="LX16" i="24" s="1"/>
  <c r="LY16" i="24" s="1"/>
  <c r="LZ16" i="24" s="1"/>
  <c r="MA16" i="24" s="1"/>
  <c r="MB16" i="24" s="1"/>
  <c r="MC16" i="24" s="1"/>
  <c r="MD16" i="24" s="1"/>
  <c r="ME16" i="24" s="1"/>
  <c r="MF16" i="24" s="1"/>
  <c r="MG16" i="24" s="1"/>
  <c r="MH16" i="24" s="1"/>
  <c r="MI16" i="24" s="1"/>
  <c r="MJ16" i="24" s="1"/>
  <c r="MK16" i="24" s="1"/>
  <c r="ML16" i="24" s="1"/>
  <c r="MM16" i="24" s="1"/>
  <c r="MN16" i="24" s="1"/>
  <c r="MO16" i="24" s="1"/>
  <c r="MP16" i="24" s="1"/>
  <c r="MQ16" i="24" s="1"/>
  <c r="MR16" i="24" s="1"/>
  <c r="MS16" i="24" s="1"/>
  <c r="MT16" i="24" s="1"/>
  <c r="MU16" i="24" s="1"/>
  <c r="MV16" i="24" s="1"/>
  <c r="MW16" i="24" s="1"/>
  <c r="MX16" i="24" s="1"/>
  <c r="MY16" i="24" s="1"/>
  <c r="MZ16" i="24" s="1"/>
  <c r="NA16" i="24" s="1"/>
  <c r="NB16" i="24" s="1"/>
  <c r="NC16" i="24" s="1"/>
  <c r="ND16" i="24" s="1"/>
  <c r="NE16" i="24" s="1"/>
  <c r="NF16" i="24" s="1"/>
  <c r="NG16" i="24" s="1"/>
  <c r="NH16" i="24" s="1"/>
  <c r="NI16" i="24" s="1"/>
  <c r="NJ16" i="24" s="1"/>
  <c r="NK16" i="24" s="1"/>
  <c r="NL16" i="24" s="1"/>
  <c r="NM16" i="24" s="1"/>
  <c r="NN16" i="24" s="1"/>
  <c r="NO16" i="24" s="1"/>
  <c r="NP16" i="24" s="1"/>
  <c r="NQ16" i="24" s="1"/>
  <c r="NR16" i="24" s="1"/>
  <c r="NS16" i="24" s="1"/>
  <c r="NT16" i="24" s="1"/>
  <c r="NU16" i="24" s="1"/>
  <c r="NV16" i="24" s="1"/>
  <c r="NW16" i="24" s="1"/>
  <c r="NX16" i="24" s="1"/>
  <c r="NY16" i="24" s="1"/>
  <c r="NZ16" i="24" s="1"/>
  <c r="OA16" i="24" s="1"/>
  <c r="OB16" i="24" s="1"/>
  <c r="OC16" i="24" s="1"/>
  <c r="OD16" i="24" s="1"/>
  <c r="OE16" i="24" s="1"/>
  <c r="OF16" i="24" s="1"/>
  <c r="OG16" i="24" s="1"/>
  <c r="OH16" i="24" s="1"/>
  <c r="OI16" i="24" s="1"/>
  <c r="OJ16" i="24" s="1"/>
  <c r="OK16" i="24" s="1"/>
  <c r="OL16" i="24" s="1"/>
  <c r="OM16" i="24" s="1"/>
  <c r="ON16" i="24" s="1"/>
  <c r="OO16" i="24" s="1"/>
  <c r="OP16" i="24" s="1"/>
  <c r="OQ16" i="24" s="1"/>
  <c r="OR16" i="24" s="1"/>
  <c r="OS16" i="24" s="1"/>
  <c r="OT16" i="24" s="1"/>
  <c r="OU16" i="24" s="1"/>
  <c r="OV16" i="24" s="1"/>
  <c r="OW16" i="24" s="1"/>
  <c r="OX16" i="24" s="1"/>
  <c r="OY16" i="24" s="1"/>
  <c r="OZ16" i="24" s="1"/>
  <c r="PA16" i="24" s="1"/>
  <c r="PB16" i="24" s="1"/>
  <c r="PC16" i="24" s="1"/>
  <c r="PD16" i="24" s="1"/>
  <c r="PE16" i="24" s="1"/>
  <c r="PF16" i="24" s="1"/>
  <c r="PG16" i="24" s="1"/>
  <c r="PH16" i="24" s="1"/>
  <c r="PI16" i="24" s="1"/>
  <c r="PJ16" i="24" s="1"/>
  <c r="PK16" i="24" s="1"/>
  <c r="PL16" i="24" s="1"/>
  <c r="PM16" i="24" s="1"/>
  <c r="PN16" i="24" s="1"/>
  <c r="PO16" i="24" s="1"/>
  <c r="PP16" i="24" s="1"/>
  <c r="PQ16" i="24" s="1"/>
  <c r="PR16" i="24" s="1"/>
  <c r="PS16" i="24" s="1"/>
  <c r="PT16" i="24" s="1"/>
  <c r="PU16" i="24" s="1"/>
  <c r="PV16" i="24" s="1"/>
  <c r="PW16" i="24" s="1"/>
  <c r="PX16" i="24" s="1"/>
  <c r="PY16" i="24" s="1"/>
  <c r="PZ16" i="24" s="1"/>
  <c r="QA16" i="24" s="1"/>
  <c r="QB16" i="24" s="1"/>
  <c r="QC16" i="24" s="1"/>
  <c r="QD16" i="24" s="1"/>
  <c r="QE16" i="24" s="1"/>
  <c r="QF16" i="24" s="1"/>
  <c r="QG16" i="24" s="1"/>
  <c r="QH16" i="24" s="1"/>
  <c r="QI16" i="24" s="1"/>
  <c r="QJ16" i="24" s="1"/>
  <c r="QK16" i="24" s="1"/>
  <c r="QL16" i="24" s="1"/>
  <c r="QM16" i="24" s="1"/>
  <c r="QN16" i="24" s="1"/>
  <c r="QO16" i="24" s="1"/>
  <c r="QP16" i="24" s="1"/>
  <c r="QQ16" i="24" s="1"/>
  <c r="QR16" i="24" s="1"/>
  <c r="QS16" i="24" s="1"/>
  <c r="QT16" i="24" s="1"/>
  <c r="QU16" i="24" s="1"/>
  <c r="QV16" i="24" s="1"/>
  <c r="QW16" i="24" s="1"/>
  <c r="QX16" i="24" s="1"/>
  <c r="QY16" i="24" s="1"/>
  <c r="QZ16" i="24" s="1"/>
  <c r="RA16" i="24" s="1"/>
  <c r="RB16" i="24" s="1"/>
  <c r="RC16" i="24" s="1"/>
  <c r="RD16" i="24" s="1"/>
  <c r="RE16" i="24" s="1"/>
  <c r="RF16" i="24" s="1"/>
  <c r="RG16" i="24" s="1"/>
  <c r="RH16" i="24" s="1"/>
  <c r="RI16" i="24" s="1"/>
  <c r="RJ16" i="24" s="1"/>
  <c r="RK16" i="24" s="1"/>
  <c r="RL16" i="24" s="1"/>
  <c r="RM16" i="24" s="1"/>
  <c r="RN16" i="24" s="1"/>
  <c r="RO16" i="24" s="1"/>
  <c r="RP16" i="24" s="1"/>
  <c r="RQ16" i="24" s="1"/>
  <c r="RR16" i="24" s="1"/>
  <c r="RS16" i="24" s="1"/>
  <c r="RT16" i="24" s="1"/>
  <c r="RU16" i="24" s="1"/>
  <c r="RV16" i="24" s="1"/>
  <c r="RW16" i="24" s="1"/>
  <c r="RX16" i="24" s="1"/>
  <c r="RY16" i="24" s="1"/>
  <c r="RZ16" i="24" s="1"/>
  <c r="SA16" i="24" s="1"/>
  <c r="SB16" i="24" s="1"/>
  <c r="SC16" i="24" s="1"/>
  <c r="SD16" i="24" s="1"/>
  <c r="SE16" i="24" s="1"/>
  <c r="SF16" i="24" s="1"/>
  <c r="SG16" i="24" s="1"/>
  <c r="SH16" i="24" s="1"/>
  <c r="SI16" i="24" s="1"/>
  <c r="SJ16" i="24" s="1"/>
  <c r="SK16" i="24" s="1"/>
  <c r="SL16" i="24" s="1"/>
  <c r="SM16" i="24" s="1"/>
  <c r="SN16" i="24" s="1"/>
  <c r="SO16" i="24" s="1"/>
  <c r="SP16" i="24" s="1"/>
  <c r="SQ16" i="24" s="1"/>
  <c r="SR16" i="24" s="1"/>
  <c r="SS16" i="24" s="1"/>
  <c r="ST16" i="24" s="1"/>
  <c r="SU16" i="24" s="1"/>
  <c r="SV16" i="24" s="1"/>
  <c r="SW16" i="24" s="1"/>
  <c r="SX16" i="24" s="1"/>
  <c r="SY16" i="24" s="1"/>
  <c r="SZ16" i="24" s="1"/>
  <c r="TA16" i="24" s="1"/>
  <c r="TB16" i="24" s="1"/>
  <c r="TC16" i="24" s="1"/>
  <c r="TD16" i="24" s="1"/>
  <c r="TE16" i="24" s="1"/>
  <c r="TF16" i="24" s="1"/>
  <c r="TG16" i="24" s="1"/>
  <c r="TH16" i="24" s="1"/>
  <c r="TI16" i="24" s="1"/>
  <c r="TJ16" i="24" s="1"/>
  <c r="TK16" i="24" s="1"/>
  <c r="TL16" i="24" s="1"/>
  <c r="TM16" i="24" s="1"/>
  <c r="TN16" i="24" s="1"/>
  <c r="TO16" i="24" s="1"/>
  <c r="TP16" i="24" s="1"/>
  <c r="TQ16" i="24" s="1"/>
  <c r="TR16" i="24" s="1"/>
  <c r="TS16" i="24" s="1"/>
  <c r="TT16" i="24" s="1"/>
  <c r="TU16" i="24" s="1"/>
  <c r="TV16" i="24" s="1"/>
  <c r="TW16" i="24" s="1"/>
  <c r="TX16" i="24" s="1"/>
  <c r="TY16" i="24" s="1"/>
  <c r="TZ16" i="24" s="1"/>
  <c r="UA16" i="24" s="1"/>
  <c r="UB16" i="24" s="1"/>
  <c r="UC16" i="24" s="1"/>
  <c r="UD16" i="24" s="1"/>
  <c r="UE16" i="24" s="1"/>
  <c r="UF16" i="24" s="1"/>
  <c r="UG16" i="24" s="1"/>
  <c r="UH16" i="24" s="1"/>
  <c r="UI16" i="24" s="1"/>
  <c r="UJ16" i="24" s="1"/>
  <c r="UK16" i="24" s="1"/>
  <c r="UL16" i="24" s="1"/>
  <c r="UM16" i="24" s="1"/>
  <c r="UN16" i="24" s="1"/>
  <c r="UO16" i="24" s="1"/>
  <c r="UP16" i="24" s="1"/>
  <c r="UQ16" i="24" s="1"/>
  <c r="UR16" i="24" s="1"/>
  <c r="US16" i="24" s="1"/>
  <c r="UT16" i="24" s="1"/>
  <c r="UU16" i="24" s="1"/>
  <c r="UV16" i="24" s="1"/>
  <c r="UW16" i="24" s="1"/>
  <c r="UX16" i="24" s="1"/>
  <c r="UY16" i="24" s="1"/>
  <c r="UZ16" i="24" s="1"/>
  <c r="VA16" i="24" s="1"/>
  <c r="VB16" i="24" s="1"/>
  <c r="VC16" i="24" s="1"/>
  <c r="VD16" i="24" s="1"/>
  <c r="VE16" i="24" s="1"/>
  <c r="VF16" i="24" s="1"/>
  <c r="VG16" i="24" s="1"/>
  <c r="VH16" i="24" s="1"/>
  <c r="VI16" i="24" s="1"/>
  <c r="VJ16" i="24" s="1"/>
  <c r="VK16" i="24" s="1"/>
  <c r="VL16" i="24" s="1"/>
  <c r="VM16" i="24" s="1"/>
  <c r="VN16" i="24" s="1"/>
  <c r="VO16" i="24" s="1"/>
  <c r="VP16" i="24" s="1"/>
  <c r="VQ16" i="24" s="1"/>
  <c r="VR16" i="24" s="1"/>
  <c r="VS16" i="24" s="1"/>
  <c r="VT16" i="24" s="1"/>
  <c r="VU16" i="24" s="1"/>
  <c r="VV16" i="24" s="1"/>
  <c r="VW16" i="24" s="1"/>
  <c r="VX16" i="24" s="1"/>
  <c r="VY16" i="24" s="1"/>
  <c r="VZ16" i="24" s="1"/>
  <c r="WA16" i="24" s="1"/>
  <c r="WB16" i="24" s="1"/>
  <c r="WC16" i="24" s="1"/>
  <c r="WD16" i="24" s="1"/>
  <c r="WE16" i="24" s="1"/>
  <c r="WF16" i="24" s="1"/>
  <c r="WG16" i="24" s="1"/>
  <c r="WH16" i="24" s="1"/>
  <c r="WI16" i="24" s="1"/>
  <c r="WJ16" i="24" s="1"/>
  <c r="WK16" i="24" s="1"/>
  <c r="WL16" i="24" s="1"/>
  <c r="WM16" i="24" s="1"/>
  <c r="WN16" i="24" s="1"/>
  <c r="WO16" i="24" s="1"/>
  <c r="WP16" i="24" s="1"/>
  <c r="WQ16" i="24" s="1"/>
  <c r="WR16" i="24" s="1"/>
  <c r="WS16" i="24" s="1"/>
  <c r="WT16" i="24" s="1"/>
  <c r="WU16" i="24" s="1"/>
  <c r="WV16" i="24" s="1"/>
  <c r="WW16" i="24" s="1"/>
  <c r="WX16" i="24" s="1"/>
  <c r="WY16" i="24" s="1"/>
  <c r="WZ16" i="24" s="1"/>
  <c r="XA16" i="24" s="1"/>
  <c r="XB16" i="24" s="1"/>
  <c r="XC16" i="24" s="1"/>
  <c r="XD16" i="24" s="1"/>
  <c r="XE16" i="24" s="1"/>
  <c r="XF16" i="24" s="1"/>
  <c r="XG16" i="24" s="1"/>
  <c r="XH16" i="24" s="1"/>
  <c r="XI16" i="24" s="1"/>
  <c r="XJ16" i="24" s="1"/>
  <c r="XK16" i="24" s="1"/>
  <c r="XL16" i="24" s="1"/>
  <c r="XM16" i="24" s="1"/>
  <c r="XN16" i="24" s="1"/>
  <c r="XO16" i="24" s="1"/>
  <c r="XP16" i="24" s="1"/>
  <c r="XQ16" i="24" s="1"/>
  <c r="XR16" i="24" s="1"/>
  <c r="XS16" i="24" s="1"/>
  <c r="XT16" i="24" s="1"/>
  <c r="XU16" i="24" s="1"/>
  <c r="XV16" i="24" s="1"/>
  <c r="XW16" i="24" s="1"/>
  <c r="XX16" i="24" s="1"/>
  <c r="XY16" i="24" s="1"/>
  <c r="XZ16" i="24" s="1"/>
  <c r="YA16" i="24" s="1"/>
  <c r="YB16" i="24" s="1"/>
  <c r="YC16" i="24" s="1"/>
  <c r="YD16" i="24" s="1"/>
  <c r="YE16" i="24" s="1"/>
  <c r="YF16" i="24" s="1"/>
  <c r="YG16" i="24" s="1"/>
  <c r="YH16" i="24" s="1"/>
  <c r="YI16" i="24" s="1"/>
  <c r="YJ16" i="24" s="1"/>
  <c r="YK16" i="24" s="1"/>
  <c r="YL16" i="24" s="1"/>
  <c r="YM16" i="24" s="1"/>
  <c r="YN16" i="24" s="1"/>
  <c r="YO16" i="24" s="1"/>
  <c r="YP16" i="24" s="1"/>
  <c r="YQ16" i="24" s="1"/>
  <c r="YR16" i="24" s="1"/>
  <c r="YS16" i="24" s="1"/>
  <c r="YT16" i="24" s="1"/>
  <c r="YU16" i="24" s="1"/>
  <c r="YV16" i="24" s="1"/>
  <c r="YW16" i="24" s="1"/>
  <c r="YX16" i="24" s="1"/>
  <c r="YY16" i="24" s="1"/>
  <c r="YZ16" i="24" s="1"/>
  <c r="ZA16" i="24" s="1"/>
  <c r="ZB16" i="24" s="1"/>
  <c r="ZC16" i="24" s="1"/>
  <c r="ZD16" i="24" s="1"/>
  <c r="ZE16" i="24" s="1"/>
  <c r="ZF16" i="24" s="1"/>
  <c r="ZG16" i="24" s="1"/>
  <c r="ZH16" i="24" s="1"/>
  <c r="ZI16" i="24" s="1"/>
  <c r="ZJ16" i="24" s="1"/>
  <c r="ZK16" i="24" s="1"/>
  <c r="ZL16" i="24" s="1"/>
  <c r="ZM16" i="24" s="1"/>
  <c r="ZN16" i="24" s="1"/>
  <c r="ZO16" i="24" s="1"/>
  <c r="ZP16" i="24" s="1"/>
  <c r="ZQ16" i="24" s="1"/>
  <c r="ZR16" i="24" s="1"/>
  <c r="ZS16" i="24" s="1"/>
  <c r="ZT16" i="24" s="1"/>
  <c r="ZU16" i="24" s="1"/>
  <c r="ZV16" i="24" s="1"/>
  <c r="ZW16" i="24" s="1"/>
  <c r="ZX16" i="24" s="1"/>
  <c r="ZY16" i="24" s="1"/>
  <c r="ZZ16" i="24" s="1"/>
  <c r="AAA16" i="24" s="1"/>
  <c r="AAB16" i="24" s="1"/>
  <c r="AAC16" i="24" s="1"/>
  <c r="AAD16" i="24" s="1"/>
  <c r="AAE16" i="24" s="1"/>
  <c r="AAF16" i="24" s="1"/>
  <c r="AAG16" i="24" s="1"/>
  <c r="AAH16" i="24" s="1"/>
  <c r="AAI16" i="24" s="1"/>
  <c r="AAJ16" i="24" s="1"/>
  <c r="AAK16" i="24" s="1"/>
  <c r="AAL16" i="24" s="1"/>
  <c r="AAM16" i="24" s="1"/>
  <c r="AAN16" i="24" s="1"/>
  <c r="AAO16" i="24" s="1"/>
  <c r="AAP16" i="24" s="1"/>
  <c r="AAQ16" i="24" s="1"/>
  <c r="AAR16" i="24" s="1"/>
  <c r="AAS16" i="24" s="1"/>
  <c r="AAT16" i="24" s="1"/>
  <c r="AAU16" i="24" s="1"/>
  <c r="AAV16" i="24" s="1"/>
  <c r="AAW16" i="24" s="1"/>
  <c r="AAX16" i="24" s="1"/>
  <c r="AAY16" i="24" s="1"/>
  <c r="AAZ16" i="24" s="1"/>
  <c r="ABA16" i="24" s="1"/>
  <c r="ABB16" i="24" s="1"/>
  <c r="ABC16" i="24" s="1"/>
  <c r="ABD16" i="24" s="1"/>
  <c r="ABE16" i="24" s="1"/>
  <c r="ABF16" i="24" s="1"/>
  <c r="ABG16" i="24" s="1"/>
  <c r="ABH16" i="24" s="1"/>
  <c r="ABI16" i="24" s="1"/>
  <c r="ABJ16" i="24" s="1"/>
  <c r="ABK16" i="24" s="1"/>
  <c r="ABL16" i="24" s="1"/>
  <c r="ABM16" i="24" s="1"/>
  <c r="ABN16" i="24" s="1"/>
  <c r="ABO16" i="24" s="1"/>
  <c r="ABP16" i="24" s="1"/>
  <c r="ABQ16" i="24" s="1"/>
  <c r="ABR16" i="24" s="1"/>
  <c r="ABS16" i="24" s="1"/>
  <c r="ABT16" i="24" s="1"/>
  <c r="ABU16" i="24" s="1"/>
  <c r="ABV16" i="24" s="1"/>
  <c r="ABW16" i="24" s="1"/>
  <c r="ABX16" i="24" s="1"/>
  <c r="ABY16" i="24" s="1"/>
  <c r="ABZ16" i="24" s="1"/>
  <c r="ACA16" i="24" s="1"/>
  <c r="ACB16" i="24" s="1"/>
  <c r="ACC16" i="24" s="1"/>
  <c r="ACD16" i="24" s="1"/>
  <c r="ACE16" i="24" s="1"/>
  <c r="ACF16" i="24" s="1"/>
  <c r="ACG16" i="24" s="1"/>
  <c r="ACH16" i="24" s="1"/>
  <c r="ACI16" i="24" s="1"/>
  <c r="ACJ16" i="24" s="1"/>
  <c r="ACK16" i="24" s="1"/>
  <c r="ACL16" i="24" s="1"/>
  <c r="ACM16" i="24" s="1"/>
  <c r="ACN16" i="24" s="1"/>
  <c r="ACO16" i="24" s="1"/>
  <c r="ACP16" i="24" s="1"/>
  <c r="ACQ16" i="24" s="1"/>
  <c r="ACR16" i="24" s="1"/>
  <c r="ACS16" i="24" s="1"/>
  <c r="ACT16" i="24" s="1"/>
  <c r="ACU16" i="24" s="1"/>
  <c r="ACV16" i="24" s="1"/>
  <c r="C21" i="24"/>
  <c r="D21" i="24" s="1"/>
  <c r="E21" i="24" s="1"/>
  <c r="F21" i="24" s="1"/>
  <c r="G21" i="24" s="1"/>
  <c r="H21" i="24" s="1"/>
  <c r="I21" i="24" s="1"/>
  <c r="J21" i="24" s="1"/>
  <c r="K21" i="24" s="1"/>
  <c r="L21" i="24" s="1"/>
  <c r="M21" i="24" s="1"/>
  <c r="N21" i="24" s="1"/>
  <c r="O21" i="24" s="1"/>
  <c r="P21" i="24" s="1"/>
  <c r="Q21" i="24" s="1"/>
  <c r="R21" i="24" s="1"/>
  <c r="S21" i="24" s="1"/>
  <c r="T21" i="24" s="1"/>
  <c r="U21" i="24" s="1"/>
  <c r="V21" i="24" s="1"/>
  <c r="W21" i="24" s="1"/>
  <c r="X21" i="24" s="1"/>
  <c r="Y21" i="24" s="1"/>
  <c r="Z21" i="24" s="1"/>
  <c r="AA21" i="24" s="1"/>
  <c r="AB21" i="24" s="1"/>
  <c r="AC21" i="24" s="1"/>
  <c r="AD21" i="24" s="1"/>
  <c r="AE21" i="24" s="1"/>
  <c r="AF21" i="24" s="1"/>
  <c r="AG21" i="24" s="1"/>
  <c r="AH21" i="24" s="1"/>
  <c r="AI21" i="24" s="1"/>
  <c r="AJ21" i="24" s="1"/>
  <c r="AK21" i="24" s="1"/>
  <c r="AL21" i="24" s="1"/>
  <c r="AM21" i="24" s="1"/>
  <c r="AN21" i="24" s="1"/>
  <c r="AO21" i="24" s="1"/>
  <c r="AP21" i="24" s="1"/>
  <c r="AQ21" i="24" s="1"/>
  <c r="AR21" i="24" s="1"/>
  <c r="AS21" i="24" s="1"/>
  <c r="AT21" i="24" s="1"/>
  <c r="AU21" i="24" s="1"/>
  <c r="AV21" i="24" s="1"/>
  <c r="AW21" i="24" s="1"/>
  <c r="AX21" i="24" s="1"/>
  <c r="AY21" i="24" s="1"/>
  <c r="AZ21" i="24" s="1"/>
  <c r="BA21" i="24" s="1"/>
  <c r="BB21" i="24" s="1"/>
  <c r="BC21" i="24" s="1"/>
  <c r="BD21" i="24" s="1"/>
  <c r="BE21" i="24" s="1"/>
  <c r="BF21" i="24" s="1"/>
  <c r="BG21" i="24" s="1"/>
  <c r="BH21" i="24" s="1"/>
  <c r="BI21" i="24" s="1"/>
  <c r="BJ21" i="24" s="1"/>
  <c r="BK21" i="24" s="1"/>
  <c r="BL21" i="24" s="1"/>
  <c r="BM21" i="24" s="1"/>
  <c r="BN21" i="24" s="1"/>
  <c r="BO21" i="24" s="1"/>
  <c r="BP21" i="24" s="1"/>
  <c r="BQ21" i="24" s="1"/>
  <c r="BR21" i="24" s="1"/>
  <c r="BS21" i="24" s="1"/>
  <c r="BT21" i="24" s="1"/>
  <c r="BU21" i="24" s="1"/>
  <c r="BV21" i="24" s="1"/>
  <c r="BW21" i="24" s="1"/>
  <c r="BX21" i="24" s="1"/>
  <c r="BY21" i="24" s="1"/>
  <c r="BZ21" i="24" s="1"/>
  <c r="CA21" i="24" s="1"/>
  <c r="CB21" i="24" s="1"/>
  <c r="CC21" i="24" s="1"/>
  <c r="CD21" i="24" s="1"/>
  <c r="CE21" i="24" s="1"/>
  <c r="CF21" i="24" s="1"/>
  <c r="CG21" i="24" s="1"/>
  <c r="CH21" i="24" s="1"/>
  <c r="CI21" i="24" s="1"/>
  <c r="CJ21" i="24" s="1"/>
  <c r="CK21" i="24" s="1"/>
  <c r="CL21" i="24" s="1"/>
  <c r="CM21" i="24" s="1"/>
  <c r="CN21" i="24" s="1"/>
  <c r="CO21" i="24" s="1"/>
  <c r="CP21" i="24" s="1"/>
  <c r="CQ21" i="24" s="1"/>
  <c r="CR21" i="24" s="1"/>
  <c r="CS21" i="24" s="1"/>
  <c r="CT21" i="24" s="1"/>
  <c r="CU21" i="24" s="1"/>
  <c r="CV21" i="24" s="1"/>
  <c r="CW21" i="24" s="1"/>
  <c r="CX21" i="24" s="1"/>
  <c r="CY21" i="24" s="1"/>
  <c r="CZ21" i="24" s="1"/>
  <c r="DA21" i="24" s="1"/>
  <c r="DB21" i="24" s="1"/>
  <c r="DC21" i="24" s="1"/>
  <c r="DD21" i="24" s="1"/>
  <c r="DE21" i="24" s="1"/>
  <c r="DF21" i="24" s="1"/>
  <c r="DG21" i="24" s="1"/>
  <c r="DH21" i="24" s="1"/>
  <c r="DI21" i="24" s="1"/>
  <c r="DJ21" i="24" s="1"/>
  <c r="DK21" i="24" s="1"/>
  <c r="DL21" i="24" s="1"/>
  <c r="DM21" i="24" s="1"/>
  <c r="DN21" i="24" s="1"/>
  <c r="DO21" i="24" s="1"/>
  <c r="DP21" i="24" s="1"/>
  <c r="DQ21" i="24" s="1"/>
  <c r="DR21" i="24" s="1"/>
  <c r="DS21" i="24" s="1"/>
  <c r="DT21" i="24" s="1"/>
  <c r="DU21" i="24" s="1"/>
  <c r="DV21" i="24" s="1"/>
  <c r="DW21" i="24" s="1"/>
  <c r="DX21" i="24" s="1"/>
  <c r="DY21" i="24" s="1"/>
  <c r="DZ21" i="24" s="1"/>
  <c r="EA21" i="24" s="1"/>
  <c r="EB21" i="24" s="1"/>
  <c r="EC21" i="24" s="1"/>
  <c r="ED21" i="24" s="1"/>
  <c r="EE21" i="24" s="1"/>
  <c r="EF21" i="24" s="1"/>
  <c r="EG21" i="24" s="1"/>
  <c r="EH21" i="24" s="1"/>
  <c r="EI21" i="24" s="1"/>
  <c r="EJ21" i="24" s="1"/>
  <c r="EK21" i="24" s="1"/>
  <c r="EL21" i="24" s="1"/>
  <c r="EM21" i="24" s="1"/>
  <c r="EN21" i="24" s="1"/>
  <c r="EO21" i="24" s="1"/>
  <c r="EP21" i="24" s="1"/>
  <c r="EQ21" i="24" s="1"/>
  <c r="ER21" i="24" s="1"/>
  <c r="ES21" i="24" s="1"/>
  <c r="ET21" i="24" s="1"/>
  <c r="EU21" i="24" s="1"/>
  <c r="EV21" i="24" s="1"/>
  <c r="EW21" i="24" s="1"/>
  <c r="EX21" i="24" s="1"/>
  <c r="EY21" i="24" s="1"/>
  <c r="EZ21" i="24" s="1"/>
  <c r="FA21" i="24" s="1"/>
  <c r="FB21" i="24" s="1"/>
  <c r="FC21" i="24" s="1"/>
  <c r="FD21" i="24" s="1"/>
  <c r="FE21" i="24" s="1"/>
  <c r="FF21" i="24" s="1"/>
  <c r="FG21" i="24" s="1"/>
  <c r="FH21" i="24" s="1"/>
  <c r="FI21" i="24" s="1"/>
  <c r="FJ21" i="24" s="1"/>
  <c r="FK21" i="24" s="1"/>
  <c r="FL21" i="24" s="1"/>
  <c r="FM21" i="24" s="1"/>
  <c r="FN21" i="24" s="1"/>
  <c r="FO21" i="24" s="1"/>
  <c r="FP21" i="24" s="1"/>
  <c r="FQ21" i="24" s="1"/>
  <c r="FR21" i="24" s="1"/>
  <c r="FS21" i="24" s="1"/>
  <c r="FT21" i="24" s="1"/>
  <c r="FU21" i="24" s="1"/>
  <c r="FV21" i="24" s="1"/>
  <c r="FW21" i="24" s="1"/>
  <c r="FX21" i="24" s="1"/>
  <c r="FY21" i="24" s="1"/>
  <c r="FZ21" i="24" s="1"/>
  <c r="GA21" i="24" s="1"/>
  <c r="GB21" i="24" s="1"/>
  <c r="GC21" i="24" s="1"/>
  <c r="GD21" i="24" s="1"/>
  <c r="GE21" i="24" s="1"/>
  <c r="GF21" i="24" s="1"/>
  <c r="GG21" i="24" s="1"/>
  <c r="GH21" i="24" s="1"/>
  <c r="GI21" i="24" s="1"/>
  <c r="GJ21" i="24" s="1"/>
  <c r="GK21" i="24" s="1"/>
  <c r="GL21" i="24" s="1"/>
  <c r="GM21" i="24" s="1"/>
  <c r="GN21" i="24" s="1"/>
  <c r="GO21" i="24" s="1"/>
  <c r="GP21" i="24" s="1"/>
  <c r="GQ21" i="24" s="1"/>
  <c r="GR21" i="24" s="1"/>
  <c r="GS21" i="24" s="1"/>
  <c r="GT21" i="24" s="1"/>
  <c r="GU21" i="24" s="1"/>
  <c r="GV21" i="24" s="1"/>
  <c r="GW21" i="24" s="1"/>
  <c r="GX21" i="24" s="1"/>
  <c r="GY21" i="24" s="1"/>
  <c r="GZ21" i="24" s="1"/>
  <c r="HA21" i="24" s="1"/>
  <c r="HB21" i="24" s="1"/>
  <c r="HC21" i="24" s="1"/>
  <c r="HD21" i="24" s="1"/>
  <c r="HE21" i="24" s="1"/>
  <c r="HF21" i="24" s="1"/>
  <c r="HG21" i="24" s="1"/>
  <c r="HH21" i="24" s="1"/>
  <c r="HI21" i="24" s="1"/>
  <c r="HJ21" i="24" s="1"/>
  <c r="HK21" i="24" s="1"/>
  <c r="HL21" i="24" s="1"/>
  <c r="HM21" i="24" s="1"/>
  <c r="HN21" i="24" s="1"/>
  <c r="HO21" i="24" s="1"/>
  <c r="HP21" i="24" s="1"/>
  <c r="HQ21" i="24" s="1"/>
  <c r="HR21" i="24" s="1"/>
  <c r="HS21" i="24" s="1"/>
  <c r="HT21" i="24" s="1"/>
  <c r="HU21" i="24" s="1"/>
  <c r="HV21" i="24" s="1"/>
  <c r="HW21" i="24" s="1"/>
  <c r="HX21" i="24" s="1"/>
  <c r="HY21" i="24" s="1"/>
  <c r="HZ21" i="24" s="1"/>
  <c r="IA21" i="24" s="1"/>
  <c r="IB21" i="24" s="1"/>
  <c r="IC21" i="24" s="1"/>
  <c r="ID21" i="24" s="1"/>
  <c r="IE21" i="24" s="1"/>
  <c r="IF21" i="24" s="1"/>
  <c r="IG21" i="24" s="1"/>
  <c r="IH21" i="24" s="1"/>
  <c r="II21" i="24" s="1"/>
  <c r="IJ21" i="24" s="1"/>
  <c r="IK21" i="24" s="1"/>
  <c r="IL21" i="24" s="1"/>
  <c r="IM21" i="24" s="1"/>
  <c r="IN21" i="24" s="1"/>
  <c r="IO21" i="24" s="1"/>
  <c r="IP21" i="24" s="1"/>
  <c r="IQ21" i="24" s="1"/>
  <c r="IR21" i="24" s="1"/>
  <c r="IS21" i="24" s="1"/>
  <c r="IT21" i="24" s="1"/>
  <c r="IU21" i="24" s="1"/>
  <c r="IV21" i="24" s="1"/>
  <c r="IW21" i="24" s="1"/>
  <c r="IX21" i="24" s="1"/>
  <c r="IY21" i="24" s="1"/>
  <c r="IZ21" i="24" s="1"/>
  <c r="JA21" i="24" s="1"/>
  <c r="JB21" i="24" s="1"/>
  <c r="JC21" i="24" s="1"/>
  <c r="JD21" i="24" s="1"/>
  <c r="JE21" i="24" s="1"/>
  <c r="JF21" i="24" s="1"/>
  <c r="JG21" i="24" s="1"/>
  <c r="JH21" i="24" s="1"/>
  <c r="JI21" i="24" s="1"/>
  <c r="JJ21" i="24" s="1"/>
  <c r="JK21" i="24" s="1"/>
  <c r="JL21" i="24" s="1"/>
  <c r="JM21" i="24" s="1"/>
  <c r="JN21" i="24" s="1"/>
  <c r="JO21" i="24" s="1"/>
  <c r="JP21" i="24" s="1"/>
  <c r="JQ21" i="24" s="1"/>
  <c r="JR21" i="24" s="1"/>
  <c r="JS21" i="24" s="1"/>
  <c r="JT21" i="24" s="1"/>
  <c r="JU21" i="24" s="1"/>
  <c r="JV21" i="24" s="1"/>
  <c r="JW21" i="24" s="1"/>
  <c r="JX21" i="24" s="1"/>
  <c r="JY21" i="24" s="1"/>
  <c r="JZ21" i="24" s="1"/>
  <c r="KA21" i="24" s="1"/>
  <c r="KB21" i="24" s="1"/>
  <c r="KC21" i="24" s="1"/>
  <c r="KD21" i="24" s="1"/>
  <c r="KE21" i="24" s="1"/>
  <c r="KF21" i="24" s="1"/>
  <c r="KG21" i="24" s="1"/>
  <c r="KH21" i="24" s="1"/>
  <c r="KI21" i="24" s="1"/>
  <c r="KJ21" i="24" s="1"/>
  <c r="KK21" i="24" s="1"/>
  <c r="KL21" i="24" s="1"/>
  <c r="KM21" i="24" s="1"/>
  <c r="KN21" i="24" s="1"/>
  <c r="KO21" i="24" s="1"/>
  <c r="KP21" i="24" s="1"/>
  <c r="KQ21" i="24" s="1"/>
  <c r="KR21" i="24" s="1"/>
  <c r="KS21" i="24" s="1"/>
  <c r="KT21" i="24" s="1"/>
  <c r="KU21" i="24" s="1"/>
  <c r="KV21" i="24" s="1"/>
  <c r="KW21" i="24" s="1"/>
  <c r="KX21" i="24" s="1"/>
  <c r="KY21" i="24" s="1"/>
  <c r="KZ21" i="24" s="1"/>
  <c r="LA21" i="24" s="1"/>
  <c r="LB21" i="24" s="1"/>
  <c r="LC21" i="24" s="1"/>
  <c r="LD21" i="24" s="1"/>
  <c r="LE21" i="24" s="1"/>
  <c r="LF21" i="24" s="1"/>
  <c r="LG21" i="24" s="1"/>
  <c r="LH21" i="24" s="1"/>
  <c r="LI21" i="24" s="1"/>
  <c r="LJ21" i="24" s="1"/>
  <c r="LK21" i="24" s="1"/>
  <c r="LL21" i="24" s="1"/>
  <c r="LM21" i="24" s="1"/>
  <c r="LN21" i="24" s="1"/>
  <c r="LO21" i="24" s="1"/>
  <c r="LP21" i="24" s="1"/>
  <c r="LQ21" i="24" s="1"/>
  <c r="LR21" i="24" s="1"/>
  <c r="LS21" i="24" s="1"/>
  <c r="LT21" i="24" s="1"/>
  <c r="LU21" i="24" s="1"/>
  <c r="LV21" i="24" s="1"/>
  <c r="LW21" i="24" s="1"/>
  <c r="LX21" i="24" s="1"/>
  <c r="LY21" i="24" s="1"/>
  <c r="LZ21" i="24" s="1"/>
  <c r="MA21" i="24" s="1"/>
  <c r="MB21" i="24" s="1"/>
  <c r="MC21" i="24" s="1"/>
  <c r="MD21" i="24" s="1"/>
  <c r="ME21" i="24" s="1"/>
  <c r="MF21" i="24" s="1"/>
  <c r="MG21" i="24" s="1"/>
  <c r="MH21" i="24" s="1"/>
  <c r="MI21" i="24" s="1"/>
  <c r="MJ21" i="24" s="1"/>
  <c r="MK21" i="24" s="1"/>
  <c r="ML21" i="24" s="1"/>
  <c r="MM21" i="24" s="1"/>
  <c r="MN21" i="24" s="1"/>
  <c r="MO21" i="24" s="1"/>
  <c r="MP21" i="24" s="1"/>
  <c r="MQ21" i="24" s="1"/>
  <c r="MR21" i="24" s="1"/>
  <c r="MS21" i="24" s="1"/>
  <c r="MT21" i="24" s="1"/>
  <c r="MU21" i="24" s="1"/>
  <c r="MV21" i="24" s="1"/>
  <c r="MW21" i="24" s="1"/>
  <c r="MX21" i="24" s="1"/>
  <c r="MY21" i="24" s="1"/>
  <c r="MZ21" i="24" s="1"/>
  <c r="NA21" i="24" s="1"/>
  <c r="NB21" i="24" s="1"/>
  <c r="NC21" i="24" s="1"/>
  <c r="ND21" i="24" s="1"/>
  <c r="NE21" i="24" s="1"/>
  <c r="NF21" i="24" s="1"/>
  <c r="NG21" i="24" s="1"/>
  <c r="NH21" i="24" s="1"/>
  <c r="NI21" i="24" s="1"/>
  <c r="NJ21" i="24" s="1"/>
  <c r="NK21" i="24" s="1"/>
  <c r="NL21" i="24" s="1"/>
  <c r="NM21" i="24" s="1"/>
  <c r="NN21" i="24" s="1"/>
  <c r="NO21" i="24" s="1"/>
  <c r="NP21" i="24" s="1"/>
  <c r="NQ21" i="24" s="1"/>
  <c r="NR21" i="24" s="1"/>
  <c r="NS21" i="24" s="1"/>
  <c r="NT21" i="24" s="1"/>
  <c r="NU21" i="24" s="1"/>
  <c r="NV21" i="24" s="1"/>
  <c r="NW21" i="24" s="1"/>
  <c r="NX21" i="24" s="1"/>
  <c r="NY21" i="24" s="1"/>
  <c r="NZ21" i="24" s="1"/>
  <c r="OA21" i="24" s="1"/>
  <c r="OB21" i="24" s="1"/>
  <c r="OC21" i="24" s="1"/>
  <c r="OD21" i="24" s="1"/>
  <c r="OE21" i="24" s="1"/>
  <c r="OF21" i="24" s="1"/>
  <c r="OG21" i="24" s="1"/>
  <c r="OH21" i="24" s="1"/>
  <c r="OI21" i="24" s="1"/>
  <c r="OJ21" i="24" s="1"/>
  <c r="OK21" i="24" s="1"/>
  <c r="OL21" i="24" s="1"/>
  <c r="OM21" i="24" s="1"/>
  <c r="ON21" i="24" s="1"/>
  <c r="OO21" i="24" s="1"/>
  <c r="OP21" i="24" s="1"/>
  <c r="OQ21" i="24" s="1"/>
  <c r="OR21" i="24" s="1"/>
  <c r="OS21" i="24" s="1"/>
  <c r="OT21" i="24" s="1"/>
  <c r="OU21" i="24" s="1"/>
  <c r="OV21" i="24" s="1"/>
  <c r="OW21" i="24" s="1"/>
  <c r="OX21" i="24" s="1"/>
  <c r="OY21" i="24" s="1"/>
  <c r="OZ21" i="24" s="1"/>
  <c r="PA21" i="24" s="1"/>
  <c r="PB21" i="24" s="1"/>
  <c r="PC21" i="24" s="1"/>
  <c r="PD21" i="24" s="1"/>
  <c r="PE21" i="24" s="1"/>
  <c r="PF21" i="24" s="1"/>
  <c r="PG21" i="24" s="1"/>
  <c r="PH21" i="24" s="1"/>
  <c r="PI21" i="24" s="1"/>
  <c r="PJ21" i="24" s="1"/>
  <c r="PK21" i="24" s="1"/>
  <c r="PL21" i="24" s="1"/>
  <c r="PM21" i="24" s="1"/>
  <c r="PN21" i="24" s="1"/>
  <c r="PO21" i="24" s="1"/>
  <c r="PP21" i="24" s="1"/>
  <c r="PQ21" i="24" s="1"/>
  <c r="PR21" i="24" s="1"/>
  <c r="PS21" i="24" s="1"/>
  <c r="PT21" i="24" s="1"/>
  <c r="PU21" i="24" s="1"/>
  <c r="PV21" i="24" s="1"/>
  <c r="PW21" i="24" s="1"/>
  <c r="PX21" i="24" s="1"/>
  <c r="PY21" i="24" s="1"/>
  <c r="PZ21" i="24" s="1"/>
  <c r="QA21" i="24" s="1"/>
  <c r="QB21" i="24" s="1"/>
  <c r="QC21" i="24" s="1"/>
  <c r="QD21" i="24" s="1"/>
  <c r="QE21" i="24" s="1"/>
  <c r="QF21" i="24" s="1"/>
  <c r="QG21" i="24" s="1"/>
  <c r="QH21" i="24" s="1"/>
  <c r="QI21" i="24" s="1"/>
  <c r="QJ21" i="24" s="1"/>
  <c r="QK21" i="24" s="1"/>
  <c r="QL21" i="24" s="1"/>
  <c r="QM21" i="24" s="1"/>
  <c r="QN21" i="24" s="1"/>
  <c r="QO21" i="24" s="1"/>
  <c r="QP21" i="24" s="1"/>
  <c r="QQ21" i="24" s="1"/>
  <c r="QR21" i="24" s="1"/>
  <c r="QS21" i="24" s="1"/>
  <c r="QT21" i="24" s="1"/>
  <c r="QU21" i="24" s="1"/>
  <c r="QV21" i="24" s="1"/>
  <c r="QW21" i="24" s="1"/>
  <c r="QX21" i="24" s="1"/>
  <c r="QY21" i="24" s="1"/>
  <c r="QZ21" i="24" s="1"/>
  <c r="RA21" i="24" s="1"/>
  <c r="RB21" i="24" s="1"/>
  <c r="RC21" i="24" s="1"/>
  <c r="RD21" i="24" s="1"/>
  <c r="RE21" i="24" s="1"/>
  <c r="RF21" i="24" s="1"/>
  <c r="RG21" i="24" s="1"/>
  <c r="RH21" i="24" s="1"/>
  <c r="RI21" i="24" s="1"/>
  <c r="RJ21" i="24" s="1"/>
  <c r="RK21" i="24" s="1"/>
  <c r="RL21" i="24" s="1"/>
  <c r="RM21" i="24" s="1"/>
  <c r="RN21" i="24" s="1"/>
  <c r="RO21" i="24" s="1"/>
  <c r="RP21" i="24" s="1"/>
  <c r="RQ21" i="24" s="1"/>
  <c r="RR21" i="24" s="1"/>
  <c r="RS21" i="24" s="1"/>
  <c r="RT21" i="24" s="1"/>
  <c r="RU21" i="24" s="1"/>
  <c r="RV21" i="24" s="1"/>
  <c r="RW21" i="24" s="1"/>
  <c r="RX21" i="24" s="1"/>
  <c r="RY21" i="24" s="1"/>
  <c r="RZ21" i="24" s="1"/>
  <c r="SA21" i="24" s="1"/>
  <c r="SB21" i="24" s="1"/>
  <c r="SC21" i="24" s="1"/>
  <c r="SD21" i="24" s="1"/>
  <c r="SE21" i="24" s="1"/>
  <c r="SF21" i="24" s="1"/>
  <c r="SG21" i="24" s="1"/>
  <c r="SH21" i="24" s="1"/>
  <c r="SI21" i="24" s="1"/>
  <c r="SJ21" i="24" s="1"/>
  <c r="SK21" i="24" s="1"/>
  <c r="SL21" i="24" s="1"/>
  <c r="SM21" i="24" s="1"/>
  <c r="SN21" i="24" s="1"/>
  <c r="SO21" i="24" s="1"/>
  <c r="SP21" i="24" s="1"/>
  <c r="SQ21" i="24" s="1"/>
  <c r="SR21" i="24" s="1"/>
  <c r="SS21" i="24" s="1"/>
  <c r="ST21" i="24" s="1"/>
  <c r="SU21" i="24" s="1"/>
  <c r="SV21" i="24" s="1"/>
  <c r="SW21" i="24" s="1"/>
  <c r="SX21" i="24" s="1"/>
  <c r="SY21" i="24" s="1"/>
  <c r="SZ21" i="24" s="1"/>
  <c r="TA21" i="24" s="1"/>
  <c r="TB21" i="24" s="1"/>
  <c r="TC21" i="24" s="1"/>
  <c r="TD21" i="24" s="1"/>
  <c r="TE21" i="24" s="1"/>
  <c r="TF21" i="24" s="1"/>
  <c r="TG21" i="24" s="1"/>
  <c r="TH21" i="24" s="1"/>
  <c r="TI21" i="24" s="1"/>
  <c r="TJ21" i="24" s="1"/>
  <c r="TK21" i="24" s="1"/>
  <c r="TL21" i="24" s="1"/>
  <c r="TM21" i="24" s="1"/>
  <c r="TN21" i="24" s="1"/>
  <c r="TO21" i="24" s="1"/>
  <c r="TP21" i="24" s="1"/>
  <c r="TQ21" i="24" s="1"/>
  <c r="TR21" i="24" s="1"/>
  <c r="TS21" i="24" s="1"/>
  <c r="TT21" i="24" s="1"/>
  <c r="TU21" i="24" s="1"/>
  <c r="TV21" i="24" s="1"/>
  <c r="TW21" i="24" s="1"/>
  <c r="TX21" i="24" s="1"/>
  <c r="TY21" i="24" s="1"/>
  <c r="TZ21" i="24" s="1"/>
  <c r="UA21" i="24" s="1"/>
  <c r="UB21" i="24" s="1"/>
  <c r="UC21" i="24" s="1"/>
  <c r="UD21" i="24" s="1"/>
  <c r="UE21" i="24" s="1"/>
  <c r="UF21" i="24" s="1"/>
  <c r="UG21" i="24" s="1"/>
  <c r="UH21" i="24" s="1"/>
  <c r="UI21" i="24" s="1"/>
  <c r="UJ21" i="24" s="1"/>
  <c r="UK21" i="24" s="1"/>
  <c r="UL21" i="24" s="1"/>
  <c r="UM21" i="24" s="1"/>
  <c r="UN21" i="24" s="1"/>
  <c r="UO21" i="24" s="1"/>
  <c r="UP21" i="24" s="1"/>
  <c r="UQ21" i="24" s="1"/>
  <c r="UR21" i="24" s="1"/>
  <c r="US21" i="24" s="1"/>
  <c r="UT21" i="24" s="1"/>
  <c r="UU21" i="24" s="1"/>
  <c r="UV21" i="24" s="1"/>
  <c r="UW21" i="24" s="1"/>
  <c r="UX21" i="24" s="1"/>
  <c r="UY21" i="24" s="1"/>
  <c r="UZ21" i="24" s="1"/>
  <c r="VA21" i="24" s="1"/>
  <c r="VB21" i="24" s="1"/>
  <c r="VC21" i="24" s="1"/>
  <c r="VD21" i="24" s="1"/>
  <c r="VE21" i="24" s="1"/>
  <c r="VF21" i="24" s="1"/>
  <c r="VG21" i="24" s="1"/>
  <c r="VH21" i="24" s="1"/>
  <c r="VI21" i="24" s="1"/>
  <c r="VJ21" i="24" s="1"/>
  <c r="VK21" i="24" s="1"/>
  <c r="VL21" i="24" s="1"/>
  <c r="VM21" i="24" s="1"/>
  <c r="VN21" i="24" s="1"/>
  <c r="VO21" i="24" s="1"/>
  <c r="VP21" i="24" s="1"/>
  <c r="VQ21" i="24" s="1"/>
  <c r="VR21" i="24" s="1"/>
  <c r="VS21" i="24" s="1"/>
  <c r="VT21" i="24" s="1"/>
  <c r="VU21" i="24" s="1"/>
  <c r="VV21" i="24" s="1"/>
  <c r="VW21" i="24" s="1"/>
  <c r="VX21" i="24" s="1"/>
  <c r="VY21" i="24" s="1"/>
  <c r="VZ21" i="24" s="1"/>
  <c r="WA21" i="24" s="1"/>
  <c r="WB21" i="24" s="1"/>
  <c r="WC21" i="24" s="1"/>
  <c r="WD21" i="24" s="1"/>
  <c r="WE21" i="24" s="1"/>
  <c r="WF21" i="24" s="1"/>
  <c r="WG21" i="24" s="1"/>
  <c r="WH21" i="24" s="1"/>
  <c r="WI21" i="24" s="1"/>
  <c r="WJ21" i="24" s="1"/>
  <c r="WK21" i="24" s="1"/>
  <c r="WL21" i="24" s="1"/>
  <c r="WM21" i="24" s="1"/>
  <c r="WN21" i="24" s="1"/>
  <c r="WO21" i="24" s="1"/>
  <c r="WP21" i="24" s="1"/>
  <c r="WQ21" i="24" s="1"/>
  <c r="WR21" i="24" s="1"/>
  <c r="WS21" i="24" s="1"/>
  <c r="WT21" i="24" s="1"/>
  <c r="WU21" i="24" s="1"/>
  <c r="WV21" i="24" s="1"/>
  <c r="WW21" i="24" s="1"/>
  <c r="WX21" i="24" s="1"/>
  <c r="WY21" i="24" s="1"/>
  <c r="WZ21" i="24" s="1"/>
  <c r="XA21" i="24" s="1"/>
  <c r="XB21" i="24" s="1"/>
  <c r="XC21" i="24" s="1"/>
  <c r="XD21" i="24" s="1"/>
  <c r="XE21" i="24" s="1"/>
  <c r="XF21" i="24" s="1"/>
  <c r="XG21" i="24" s="1"/>
  <c r="XH21" i="24" s="1"/>
  <c r="XI21" i="24" s="1"/>
  <c r="XJ21" i="24" s="1"/>
  <c r="XK21" i="24" s="1"/>
  <c r="XL21" i="24" s="1"/>
  <c r="XM21" i="24" s="1"/>
  <c r="XN21" i="24" s="1"/>
  <c r="XO21" i="24" s="1"/>
  <c r="XP21" i="24" s="1"/>
  <c r="XQ21" i="24" s="1"/>
  <c r="XR21" i="24" s="1"/>
  <c r="XS21" i="24" s="1"/>
  <c r="XT21" i="24" s="1"/>
  <c r="XU21" i="24" s="1"/>
  <c r="XV21" i="24" s="1"/>
  <c r="XW21" i="24" s="1"/>
  <c r="XX21" i="24" s="1"/>
  <c r="XY21" i="24" s="1"/>
  <c r="XZ21" i="24" s="1"/>
  <c r="YA21" i="24" s="1"/>
  <c r="YB21" i="24" s="1"/>
  <c r="YC21" i="24" s="1"/>
  <c r="YD21" i="24" s="1"/>
  <c r="YE21" i="24" s="1"/>
  <c r="YF21" i="24" s="1"/>
  <c r="YG21" i="24" s="1"/>
  <c r="YH21" i="24" s="1"/>
  <c r="YI21" i="24" s="1"/>
  <c r="YJ21" i="24" s="1"/>
  <c r="YK21" i="24" s="1"/>
  <c r="YL21" i="24" s="1"/>
  <c r="YM21" i="24" s="1"/>
  <c r="YN21" i="24" s="1"/>
  <c r="YO21" i="24" s="1"/>
  <c r="YP21" i="24" s="1"/>
  <c r="YQ21" i="24" s="1"/>
  <c r="YR21" i="24" s="1"/>
  <c r="YS21" i="24" s="1"/>
  <c r="YT21" i="24" s="1"/>
  <c r="YU21" i="24" s="1"/>
  <c r="YV21" i="24" s="1"/>
  <c r="YW21" i="24" s="1"/>
  <c r="YX21" i="24" s="1"/>
  <c r="YY21" i="24" s="1"/>
  <c r="YZ21" i="24" s="1"/>
  <c r="ZA21" i="24" s="1"/>
  <c r="ZB21" i="24" s="1"/>
  <c r="ZC21" i="24" s="1"/>
  <c r="ZD21" i="24" s="1"/>
  <c r="ZE21" i="24" s="1"/>
  <c r="ZF21" i="24" s="1"/>
  <c r="ZG21" i="24" s="1"/>
  <c r="ZH21" i="24" s="1"/>
  <c r="ZI21" i="24" s="1"/>
  <c r="ZJ21" i="24" s="1"/>
  <c r="ZK21" i="24" s="1"/>
  <c r="ZL21" i="24" s="1"/>
  <c r="ZM21" i="24" s="1"/>
  <c r="ZN21" i="24" s="1"/>
  <c r="ZO21" i="24" s="1"/>
  <c r="ZP21" i="24" s="1"/>
  <c r="ZQ21" i="24" s="1"/>
  <c r="ZR21" i="24" s="1"/>
  <c r="ZS21" i="24" s="1"/>
  <c r="ZT21" i="24" s="1"/>
  <c r="ZU21" i="24" s="1"/>
  <c r="ZV21" i="24" s="1"/>
  <c r="ZW21" i="24" s="1"/>
  <c r="ZX21" i="24" s="1"/>
  <c r="ZY21" i="24" s="1"/>
  <c r="ZZ21" i="24" s="1"/>
  <c r="AAA21" i="24" s="1"/>
  <c r="AAB21" i="24" s="1"/>
  <c r="AAC21" i="24" s="1"/>
  <c r="AAD21" i="24" s="1"/>
  <c r="AAE21" i="24" s="1"/>
  <c r="AAF21" i="24" s="1"/>
  <c r="AAG21" i="24" s="1"/>
  <c r="AAH21" i="24" s="1"/>
  <c r="AAI21" i="24" s="1"/>
  <c r="AAJ21" i="24" s="1"/>
  <c r="AAK21" i="24" s="1"/>
  <c r="AAL21" i="24" s="1"/>
  <c r="AAM21" i="24" s="1"/>
  <c r="AAN21" i="24" s="1"/>
  <c r="AAO21" i="24" s="1"/>
  <c r="AAP21" i="24" s="1"/>
  <c r="AAQ21" i="24" s="1"/>
  <c r="AAR21" i="24" s="1"/>
  <c r="AAS21" i="24" s="1"/>
  <c r="AAT21" i="24" s="1"/>
  <c r="AAU21" i="24" s="1"/>
  <c r="AAV21" i="24" s="1"/>
  <c r="AAW21" i="24" s="1"/>
  <c r="AAX21" i="24" s="1"/>
  <c r="AAY21" i="24" s="1"/>
  <c r="AAZ21" i="24" s="1"/>
  <c r="ABA21" i="24" s="1"/>
  <c r="ABB21" i="24" s="1"/>
  <c r="ABC21" i="24" s="1"/>
  <c r="ABD21" i="24" s="1"/>
  <c r="ABE21" i="24" s="1"/>
  <c r="ABF21" i="24" s="1"/>
  <c r="ABG21" i="24" s="1"/>
  <c r="ABH21" i="24" s="1"/>
  <c r="ABI21" i="24" s="1"/>
  <c r="ABJ21" i="24" s="1"/>
  <c r="ABK21" i="24" s="1"/>
  <c r="ABL21" i="24" s="1"/>
  <c r="ABM21" i="24" s="1"/>
  <c r="ABN21" i="24" s="1"/>
  <c r="ABO21" i="24" s="1"/>
  <c r="ABP21" i="24" s="1"/>
  <c r="ABQ21" i="24" s="1"/>
  <c r="ABR21" i="24" s="1"/>
  <c r="ABS21" i="24" s="1"/>
  <c r="ABT21" i="24" s="1"/>
  <c r="ABU21" i="24" s="1"/>
  <c r="ABV21" i="24" s="1"/>
  <c r="ABW21" i="24" s="1"/>
  <c r="ABX21" i="24" s="1"/>
  <c r="ABY21" i="24" s="1"/>
  <c r="ABZ21" i="24" s="1"/>
  <c r="ACA21" i="24" s="1"/>
  <c r="ACB21" i="24" s="1"/>
  <c r="ACC21" i="24" s="1"/>
  <c r="ACD21" i="24" s="1"/>
  <c r="ACE21" i="24" s="1"/>
  <c r="ACF21" i="24" s="1"/>
  <c r="ACG21" i="24" s="1"/>
  <c r="ACH21" i="24" s="1"/>
  <c r="ACI21" i="24" s="1"/>
  <c r="ACJ21" i="24" s="1"/>
  <c r="ACK21" i="24" s="1"/>
  <c r="ACL21" i="24" s="1"/>
  <c r="ACM21" i="24" s="1"/>
  <c r="ACN21" i="24" s="1"/>
  <c r="ACO21" i="24" s="1"/>
  <c r="ACP21" i="24" s="1"/>
  <c r="ACQ21" i="24" s="1"/>
  <c r="ACR21" i="24" s="1"/>
  <c r="ACS21" i="24" s="1"/>
  <c r="ACT21" i="24" s="1"/>
  <c r="ACU21" i="24" s="1"/>
  <c r="ACV21" i="24" s="1"/>
  <c r="C22" i="24"/>
  <c r="D22" i="24" s="1"/>
  <c r="E22" i="24" s="1"/>
  <c r="F22" i="24" s="1"/>
  <c r="G22" i="24" s="1"/>
  <c r="H22" i="24" s="1"/>
  <c r="I22" i="24" s="1"/>
  <c r="J22" i="24" s="1"/>
  <c r="K22" i="24" s="1"/>
  <c r="L22" i="24" s="1"/>
  <c r="M22" i="24" s="1"/>
  <c r="N22" i="24" s="1"/>
  <c r="O22" i="24" s="1"/>
  <c r="P22" i="24" s="1"/>
  <c r="Q22" i="24" s="1"/>
  <c r="R22" i="24" s="1"/>
  <c r="S22" i="24" s="1"/>
  <c r="T22" i="24" s="1"/>
  <c r="U22" i="24" s="1"/>
  <c r="V22" i="24" s="1"/>
  <c r="W22" i="24" s="1"/>
  <c r="X22" i="24" s="1"/>
  <c r="Y22" i="24" s="1"/>
  <c r="Z22" i="24" s="1"/>
  <c r="AA22" i="24" s="1"/>
  <c r="AB22" i="24" s="1"/>
  <c r="AC22" i="24" s="1"/>
  <c r="AD22" i="24" s="1"/>
  <c r="AE22" i="24" s="1"/>
  <c r="AF22" i="24" s="1"/>
  <c r="AG22" i="24" s="1"/>
  <c r="AH22" i="24" s="1"/>
  <c r="AI22" i="24" s="1"/>
  <c r="AJ22" i="24" s="1"/>
  <c r="AK22" i="24" s="1"/>
  <c r="AL22" i="24" s="1"/>
  <c r="AM22" i="24" s="1"/>
  <c r="AN22" i="24" s="1"/>
  <c r="AO22" i="24" s="1"/>
  <c r="AP22" i="24" s="1"/>
  <c r="AQ22" i="24" s="1"/>
  <c r="AR22" i="24" s="1"/>
  <c r="AS22" i="24" s="1"/>
  <c r="AT22" i="24" s="1"/>
  <c r="AU22" i="24" s="1"/>
  <c r="AV22" i="24" s="1"/>
  <c r="AW22" i="24" s="1"/>
  <c r="AX22" i="24" s="1"/>
  <c r="AY22" i="24" s="1"/>
  <c r="AZ22" i="24" s="1"/>
  <c r="BA22" i="24" s="1"/>
  <c r="BB22" i="24" s="1"/>
  <c r="BC22" i="24" s="1"/>
  <c r="BD22" i="24" s="1"/>
  <c r="BE22" i="24" s="1"/>
  <c r="BF22" i="24" s="1"/>
  <c r="BG22" i="24" s="1"/>
  <c r="BH22" i="24" s="1"/>
  <c r="BI22" i="24" s="1"/>
  <c r="BJ22" i="24" s="1"/>
  <c r="BK22" i="24" s="1"/>
  <c r="BL22" i="24" s="1"/>
  <c r="BM22" i="24" s="1"/>
  <c r="BN22" i="24" s="1"/>
  <c r="BO22" i="24" s="1"/>
  <c r="BP22" i="24" s="1"/>
  <c r="BQ22" i="24" s="1"/>
  <c r="BR22" i="24" s="1"/>
  <c r="BS22" i="24" s="1"/>
  <c r="BT22" i="24" s="1"/>
  <c r="BU22" i="24" s="1"/>
  <c r="BV22" i="24" s="1"/>
  <c r="BW22" i="24" s="1"/>
  <c r="BX22" i="24" s="1"/>
  <c r="BY22" i="24" s="1"/>
  <c r="BZ22" i="24" s="1"/>
  <c r="CA22" i="24" s="1"/>
  <c r="CB22" i="24" s="1"/>
  <c r="CC22" i="24" s="1"/>
  <c r="CD22" i="24" s="1"/>
  <c r="CE22" i="24" s="1"/>
  <c r="CF22" i="24" s="1"/>
  <c r="CG22" i="24" s="1"/>
  <c r="CH22" i="24" s="1"/>
  <c r="CI22" i="24" s="1"/>
  <c r="CJ22" i="24" s="1"/>
  <c r="CK22" i="24" s="1"/>
  <c r="CL22" i="24" s="1"/>
  <c r="CM22" i="24" s="1"/>
  <c r="CN22" i="24" s="1"/>
  <c r="CO22" i="24" s="1"/>
  <c r="CP22" i="24" s="1"/>
  <c r="CQ22" i="24" s="1"/>
  <c r="CR22" i="24" s="1"/>
  <c r="CS22" i="24" s="1"/>
  <c r="CT22" i="24" s="1"/>
  <c r="CU22" i="24" s="1"/>
  <c r="CV22" i="24" s="1"/>
  <c r="CW22" i="24" s="1"/>
  <c r="CX22" i="24" s="1"/>
  <c r="CY22" i="24" s="1"/>
  <c r="CZ22" i="24" s="1"/>
  <c r="DA22" i="24" s="1"/>
  <c r="DB22" i="24" s="1"/>
  <c r="DC22" i="24" s="1"/>
  <c r="DD22" i="24" s="1"/>
  <c r="DE22" i="24" s="1"/>
  <c r="DF22" i="24" s="1"/>
  <c r="DG22" i="24" s="1"/>
  <c r="DH22" i="24" s="1"/>
  <c r="DI22" i="24" s="1"/>
  <c r="DJ22" i="24" s="1"/>
  <c r="DK22" i="24" s="1"/>
  <c r="DL22" i="24" s="1"/>
  <c r="DM22" i="24" s="1"/>
  <c r="DN22" i="24" s="1"/>
  <c r="DO22" i="24" s="1"/>
  <c r="DP22" i="24" s="1"/>
  <c r="DQ22" i="24" s="1"/>
  <c r="DR22" i="24" s="1"/>
  <c r="DS22" i="24" s="1"/>
  <c r="DT22" i="24" s="1"/>
  <c r="DU22" i="24" s="1"/>
  <c r="DV22" i="24" s="1"/>
  <c r="DW22" i="24" s="1"/>
  <c r="DX22" i="24" s="1"/>
  <c r="DY22" i="24" s="1"/>
  <c r="DZ22" i="24" s="1"/>
  <c r="EA22" i="24" s="1"/>
  <c r="EB22" i="24" s="1"/>
  <c r="EC22" i="24" s="1"/>
  <c r="ED22" i="24" s="1"/>
  <c r="EE22" i="24" s="1"/>
  <c r="EF22" i="24" s="1"/>
  <c r="EG22" i="24" s="1"/>
  <c r="EH22" i="24" s="1"/>
  <c r="EI22" i="24" s="1"/>
  <c r="EJ22" i="24" s="1"/>
  <c r="EK22" i="24" s="1"/>
  <c r="EL22" i="24" s="1"/>
  <c r="EM22" i="24" s="1"/>
  <c r="EN22" i="24" s="1"/>
  <c r="EO22" i="24" s="1"/>
  <c r="EP22" i="24" s="1"/>
  <c r="EQ22" i="24" s="1"/>
  <c r="ER22" i="24" s="1"/>
  <c r="ES22" i="24" s="1"/>
  <c r="ET22" i="24" s="1"/>
  <c r="EU22" i="24" s="1"/>
  <c r="EV22" i="24" s="1"/>
  <c r="EW22" i="24" s="1"/>
  <c r="EX22" i="24" s="1"/>
  <c r="EY22" i="24" s="1"/>
  <c r="EZ22" i="24" s="1"/>
  <c r="FA22" i="24" s="1"/>
  <c r="FB22" i="24" s="1"/>
  <c r="FC22" i="24" s="1"/>
  <c r="FD22" i="24" s="1"/>
  <c r="FE22" i="24" s="1"/>
  <c r="FF22" i="24" s="1"/>
  <c r="FG22" i="24" s="1"/>
  <c r="FH22" i="24" s="1"/>
  <c r="FI22" i="24" s="1"/>
  <c r="FJ22" i="24" s="1"/>
  <c r="FK22" i="24" s="1"/>
  <c r="FL22" i="24" s="1"/>
  <c r="FM22" i="24" s="1"/>
  <c r="FN22" i="24" s="1"/>
  <c r="FO22" i="24" s="1"/>
  <c r="FP22" i="24" s="1"/>
  <c r="FQ22" i="24" s="1"/>
  <c r="FR22" i="24" s="1"/>
  <c r="FS22" i="24" s="1"/>
  <c r="FT22" i="24" s="1"/>
  <c r="FU22" i="24" s="1"/>
  <c r="FV22" i="24" s="1"/>
  <c r="FW22" i="24" s="1"/>
  <c r="FX22" i="24" s="1"/>
  <c r="FY22" i="24" s="1"/>
  <c r="FZ22" i="24" s="1"/>
  <c r="GA22" i="24" s="1"/>
  <c r="GB22" i="24" s="1"/>
  <c r="GC22" i="24" s="1"/>
  <c r="GD22" i="24" s="1"/>
  <c r="GE22" i="24" s="1"/>
  <c r="GF22" i="24" s="1"/>
  <c r="GG22" i="24" s="1"/>
  <c r="GH22" i="24" s="1"/>
  <c r="GI22" i="24" s="1"/>
  <c r="GJ22" i="24" s="1"/>
  <c r="GK22" i="24" s="1"/>
  <c r="GL22" i="24" s="1"/>
  <c r="GM22" i="24" s="1"/>
  <c r="GN22" i="24" s="1"/>
  <c r="GO22" i="24" s="1"/>
  <c r="GP22" i="24" s="1"/>
  <c r="GQ22" i="24" s="1"/>
  <c r="GR22" i="24" s="1"/>
  <c r="GS22" i="24" s="1"/>
  <c r="GT22" i="24" s="1"/>
  <c r="GU22" i="24" s="1"/>
  <c r="GV22" i="24" s="1"/>
  <c r="GW22" i="24" s="1"/>
  <c r="GX22" i="24" s="1"/>
  <c r="GY22" i="24" s="1"/>
  <c r="GZ22" i="24" s="1"/>
  <c r="HA22" i="24" s="1"/>
  <c r="HB22" i="24" s="1"/>
  <c r="HC22" i="24" s="1"/>
  <c r="HD22" i="24" s="1"/>
  <c r="HE22" i="24" s="1"/>
  <c r="HF22" i="24" s="1"/>
  <c r="HG22" i="24" s="1"/>
  <c r="HH22" i="24" s="1"/>
  <c r="HI22" i="24" s="1"/>
  <c r="HJ22" i="24" s="1"/>
  <c r="HK22" i="24" s="1"/>
  <c r="HL22" i="24" s="1"/>
  <c r="HM22" i="24" s="1"/>
  <c r="HN22" i="24" s="1"/>
  <c r="HO22" i="24" s="1"/>
  <c r="HP22" i="24" s="1"/>
  <c r="HQ22" i="24" s="1"/>
  <c r="HR22" i="24" s="1"/>
  <c r="HS22" i="24" s="1"/>
  <c r="HT22" i="24" s="1"/>
  <c r="HU22" i="24" s="1"/>
  <c r="HV22" i="24" s="1"/>
  <c r="HW22" i="24" s="1"/>
  <c r="HX22" i="24" s="1"/>
  <c r="HY22" i="24" s="1"/>
  <c r="HZ22" i="24" s="1"/>
  <c r="IA22" i="24" s="1"/>
  <c r="IB22" i="24" s="1"/>
  <c r="IC22" i="24" s="1"/>
  <c r="ID22" i="24" s="1"/>
  <c r="IE22" i="24" s="1"/>
  <c r="IF22" i="24" s="1"/>
  <c r="IG22" i="24" s="1"/>
  <c r="IH22" i="24" s="1"/>
  <c r="II22" i="24" s="1"/>
  <c r="IJ22" i="24" s="1"/>
  <c r="IK22" i="24" s="1"/>
  <c r="IL22" i="24" s="1"/>
  <c r="IM22" i="24" s="1"/>
  <c r="IN22" i="24" s="1"/>
  <c r="IO22" i="24" s="1"/>
  <c r="IP22" i="24" s="1"/>
  <c r="IQ22" i="24" s="1"/>
  <c r="IR22" i="24" s="1"/>
  <c r="IS22" i="24" s="1"/>
  <c r="IT22" i="24" s="1"/>
  <c r="IU22" i="24" s="1"/>
  <c r="IV22" i="24" s="1"/>
  <c r="IW22" i="24" s="1"/>
  <c r="IX22" i="24" s="1"/>
  <c r="IY22" i="24" s="1"/>
  <c r="IZ22" i="24" s="1"/>
  <c r="JA22" i="24" s="1"/>
  <c r="JB22" i="24" s="1"/>
  <c r="JC22" i="24" s="1"/>
  <c r="JD22" i="24" s="1"/>
  <c r="JE22" i="24" s="1"/>
  <c r="JF22" i="24" s="1"/>
  <c r="JG22" i="24" s="1"/>
  <c r="JH22" i="24" s="1"/>
  <c r="JI22" i="24" s="1"/>
  <c r="JJ22" i="24" s="1"/>
  <c r="JK22" i="24" s="1"/>
  <c r="JL22" i="24" s="1"/>
  <c r="JM22" i="24" s="1"/>
  <c r="JN22" i="24" s="1"/>
  <c r="JO22" i="24" s="1"/>
  <c r="JP22" i="24" s="1"/>
  <c r="JQ22" i="24" s="1"/>
  <c r="JR22" i="24" s="1"/>
  <c r="JS22" i="24" s="1"/>
  <c r="JT22" i="24" s="1"/>
  <c r="JU22" i="24" s="1"/>
  <c r="JV22" i="24" s="1"/>
  <c r="JW22" i="24" s="1"/>
  <c r="JX22" i="24" s="1"/>
  <c r="JY22" i="24" s="1"/>
  <c r="JZ22" i="24" s="1"/>
  <c r="KA22" i="24" s="1"/>
  <c r="KB22" i="24" s="1"/>
  <c r="KC22" i="24" s="1"/>
  <c r="KD22" i="24" s="1"/>
  <c r="KE22" i="24" s="1"/>
  <c r="KF22" i="24" s="1"/>
  <c r="KG22" i="24" s="1"/>
  <c r="KH22" i="24" s="1"/>
  <c r="KI22" i="24" s="1"/>
  <c r="KJ22" i="24" s="1"/>
  <c r="KK22" i="24" s="1"/>
  <c r="KL22" i="24" s="1"/>
  <c r="KM22" i="24" s="1"/>
  <c r="KN22" i="24" s="1"/>
  <c r="KO22" i="24" s="1"/>
  <c r="KP22" i="24" s="1"/>
  <c r="KQ22" i="24" s="1"/>
  <c r="KR22" i="24" s="1"/>
  <c r="KS22" i="24" s="1"/>
  <c r="KT22" i="24" s="1"/>
  <c r="KU22" i="24" s="1"/>
  <c r="KV22" i="24" s="1"/>
  <c r="KW22" i="24" s="1"/>
  <c r="KX22" i="24" s="1"/>
  <c r="KY22" i="24" s="1"/>
  <c r="KZ22" i="24" s="1"/>
  <c r="LA22" i="24" s="1"/>
  <c r="LB22" i="24" s="1"/>
  <c r="LC22" i="24" s="1"/>
  <c r="LD22" i="24" s="1"/>
  <c r="LE22" i="24" s="1"/>
  <c r="LF22" i="24" s="1"/>
  <c r="LG22" i="24" s="1"/>
  <c r="LH22" i="24" s="1"/>
  <c r="LI22" i="24" s="1"/>
  <c r="LJ22" i="24" s="1"/>
  <c r="LK22" i="24" s="1"/>
  <c r="LL22" i="24" s="1"/>
  <c r="LM22" i="24" s="1"/>
  <c r="LN22" i="24" s="1"/>
  <c r="LO22" i="24" s="1"/>
  <c r="LP22" i="24" s="1"/>
  <c r="LQ22" i="24" s="1"/>
  <c r="LR22" i="24" s="1"/>
  <c r="LS22" i="24" s="1"/>
  <c r="LT22" i="24" s="1"/>
  <c r="LU22" i="24" s="1"/>
  <c r="LV22" i="24" s="1"/>
  <c r="LW22" i="24" s="1"/>
  <c r="LX22" i="24" s="1"/>
  <c r="LY22" i="24" s="1"/>
  <c r="LZ22" i="24" s="1"/>
  <c r="MA22" i="24" s="1"/>
  <c r="MB22" i="24" s="1"/>
  <c r="MC22" i="24" s="1"/>
  <c r="MD22" i="24" s="1"/>
  <c r="ME22" i="24" s="1"/>
  <c r="MF22" i="24" s="1"/>
  <c r="MG22" i="24" s="1"/>
  <c r="MH22" i="24" s="1"/>
  <c r="MI22" i="24" s="1"/>
  <c r="MJ22" i="24" s="1"/>
  <c r="MK22" i="24" s="1"/>
  <c r="ML22" i="24" s="1"/>
  <c r="MM22" i="24" s="1"/>
  <c r="MN22" i="24" s="1"/>
  <c r="MO22" i="24" s="1"/>
  <c r="MP22" i="24" s="1"/>
  <c r="MQ22" i="24" s="1"/>
  <c r="MR22" i="24" s="1"/>
  <c r="MS22" i="24" s="1"/>
  <c r="MT22" i="24" s="1"/>
  <c r="MU22" i="24" s="1"/>
  <c r="MV22" i="24" s="1"/>
  <c r="MW22" i="24" s="1"/>
  <c r="MX22" i="24" s="1"/>
  <c r="MY22" i="24" s="1"/>
  <c r="MZ22" i="24" s="1"/>
  <c r="NA22" i="24" s="1"/>
  <c r="NB22" i="24" s="1"/>
  <c r="NC22" i="24" s="1"/>
  <c r="ND22" i="24" s="1"/>
  <c r="NE22" i="24" s="1"/>
  <c r="NF22" i="24" s="1"/>
  <c r="NG22" i="24" s="1"/>
  <c r="NH22" i="24" s="1"/>
  <c r="NI22" i="24" s="1"/>
  <c r="NJ22" i="24" s="1"/>
  <c r="NK22" i="24" s="1"/>
  <c r="NL22" i="24" s="1"/>
  <c r="NM22" i="24" s="1"/>
  <c r="NN22" i="24" s="1"/>
  <c r="NO22" i="24" s="1"/>
  <c r="NP22" i="24" s="1"/>
  <c r="NQ22" i="24" s="1"/>
  <c r="NR22" i="24" s="1"/>
  <c r="NS22" i="24" s="1"/>
  <c r="NT22" i="24" s="1"/>
  <c r="NU22" i="24" s="1"/>
  <c r="NV22" i="24" s="1"/>
  <c r="NW22" i="24" s="1"/>
  <c r="NX22" i="24" s="1"/>
  <c r="NY22" i="24" s="1"/>
  <c r="NZ22" i="24" s="1"/>
  <c r="OA22" i="24" s="1"/>
  <c r="OB22" i="24" s="1"/>
  <c r="OC22" i="24" s="1"/>
  <c r="OD22" i="24" s="1"/>
  <c r="OE22" i="24" s="1"/>
  <c r="OF22" i="24" s="1"/>
  <c r="OG22" i="24" s="1"/>
  <c r="OH22" i="24" s="1"/>
  <c r="OI22" i="24" s="1"/>
  <c r="OJ22" i="24" s="1"/>
  <c r="OK22" i="24" s="1"/>
  <c r="OL22" i="24" s="1"/>
  <c r="OM22" i="24" s="1"/>
  <c r="ON22" i="24" s="1"/>
  <c r="OO22" i="24" s="1"/>
  <c r="OP22" i="24" s="1"/>
  <c r="OQ22" i="24" s="1"/>
  <c r="OR22" i="24" s="1"/>
  <c r="OS22" i="24" s="1"/>
  <c r="OT22" i="24" s="1"/>
  <c r="OU22" i="24" s="1"/>
  <c r="OV22" i="24" s="1"/>
  <c r="OW22" i="24" s="1"/>
  <c r="OX22" i="24" s="1"/>
  <c r="OY22" i="24" s="1"/>
  <c r="OZ22" i="24" s="1"/>
  <c r="PA22" i="24" s="1"/>
  <c r="PB22" i="24" s="1"/>
  <c r="PC22" i="24" s="1"/>
  <c r="PD22" i="24" s="1"/>
  <c r="PE22" i="24" s="1"/>
  <c r="PF22" i="24" s="1"/>
  <c r="PG22" i="24" s="1"/>
  <c r="PH22" i="24" s="1"/>
  <c r="PI22" i="24" s="1"/>
  <c r="PJ22" i="24" s="1"/>
  <c r="PK22" i="24" s="1"/>
  <c r="PL22" i="24" s="1"/>
  <c r="PM22" i="24" s="1"/>
  <c r="PN22" i="24" s="1"/>
  <c r="PO22" i="24" s="1"/>
  <c r="PP22" i="24" s="1"/>
  <c r="PQ22" i="24" s="1"/>
  <c r="PR22" i="24" s="1"/>
  <c r="PS22" i="24" s="1"/>
  <c r="PT22" i="24" s="1"/>
  <c r="PU22" i="24" s="1"/>
  <c r="PV22" i="24" s="1"/>
  <c r="PW22" i="24" s="1"/>
  <c r="PX22" i="24" s="1"/>
  <c r="PY22" i="24" s="1"/>
  <c r="PZ22" i="24" s="1"/>
  <c r="QA22" i="24" s="1"/>
  <c r="QB22" i="24" s="1"/>
  <c r="QC22" i="24" s="1"/>
  <c r="QD22" i="24" s="1"/>
  <c r="QE22" i="24" s="1"/>
  <c r="QF22" i="24" s="1"/>
  <c r="QG22" i="24" s="1"/>
  <c r="QH22" i="24" s="1"/>
  <c r="QI22" i="24" s="1"/>
  <c r="QJ22" i="24" s="1"/>
  <c r="QK22" i="24" s="1"/>
  <c r="QL22" i="24" s="1"/>
  <c r="QM22" i="24" s="1"/>
  <c r="QN22" i="24" s="1"/>
  <c r="QO22" i="24" s="1"/>
  <c r="QP22" i="24" s="1"/>
  <c r="QQ22" i="24" s="1"/>
  <c r="QR22" i="24" s="1"/>
  <c r="QS22" i="24" s="1"/>
  <c r="QT22" i="24" s="1"/>
  <c r="QU22" i="24" s="1"/>
  <c r="QV22" i="24" s="1"/>
  <c r="QW22" i="24" s="1"/>
  <c r="QX22" i="24" s="1"/>
  <c r="QY22" i="24" s="1"/>
  <c r="QZ22" i="24" s="1"/>
  <c r="RA22" i="24" s="1"/>
  <c r="RB22" i="24" s="1"/>
  <c r="RC22" i="24" s="1"/>
  <c r="RD22" i="24" s="1"/>
  <c r="RE22" i="24" s="1"/>
  <c r="RF22" i="24" s="1"/>
  <c r="RG22" i="24" s="1"/>
  <c r="RH22" i="24" s="1"/>
  <c r="RI22" i="24" s="1"/>
  <c r="RJ22" i="24" s="1"/>
  <c r="RK22" i="24" s="1"/>
  <c r="RL22" i="24" s="1"/>
  <c r="RM22" i="24" s="1"/>
  <c r="RN22" i="24" s="1"/>
  <c r="RO22" i="24" s="1"/>
  <c r="RP22" i="24" s="1"/>
  <c r="RQ22" i="24" s="1"/>
  <c r="RR22" i="24" s="1"/>
  <c r="RS22" i="24" s="1"/>
  <c r="RT22" i="24" s="1"/>
  <c r="RU22" i="24" s="1"/>
  <c r="RV22" i="24" s="1"/>
  <c r="RW22" i="24" s="1"/>
  <c r="RX22" i="24" s="1"/>
  <c r="RY22" i="24" s="1"/>
  <c r="RZ22" i="24" s="1"/>
  <c r="SA22" i="24" s="1"/>
  <c r="SB22" i="24" s="1"/>
  <c r="SC22" i="24" s="1"/>
  <c r="SD22" i="24" s="1"/>
  <c r="SE22" i="24" s="1"/>
  <c r="SF22" i="24" s="1"/>
  <c r="SG22" i="24" s="1"/>
  <c r="SH22" i="24" s="1"/>
  <c r="SI22" i="24" s="1"/>
  <c r="SJ22" i="24" s="1"/>
  <c r="SK22" i="24" s="1"/>
  <c r="SL22" i="24" s="1"/>
  <c r="SM22" i="24" s="1"/>
  <c r="SN22" i="24" s="1"/>
  <c r="SO22" i="24" s="1"/>
  <c r="SP22" i="24" s="1"/>
  <c r="SQ22" i="24" s="1"/>
  <c r="SR22" i="24" s="1"/>
  <c r="SS22" i="24" s="1"/>
  <c r="ST22" i="24" s="1"/>
  <c r="SU22" i="24" s="1"/>
  <c r="SV22" i="24" s="1"/>
  <c r="SW22" i="24" s="1"/>
  <c r="SX22" i="24" s="1"/>
  <c r="SY22" i="24" s="1"/>
  <c r="SZ22" i="24" s="1"/>
  <c r="TA22" i="24" s="1"/>
  <c r="TB22" i="24" s="1"/>
  <c r="TC22" i="24" s="1"/>
  <c r="TD22" i="24" s="1"/>
  <c r="TE22" i="24" s="1"/>
  <c r="TF22" i="24" s="1"/>
  <c r="TG22" i="24" s="1"/>
  <c r="TH22" i="24" s="1"/>
  <c r="TI22" i="24" s="1"/>
  <c r="TJ22" i="24" s="1"/>
  <c r="TK22" i="24" s="1"/>
  <c r="TL22" i="24" s="1"/>
  <c r="TM22" i="24" s="1"/>
  <c r="TN22" i="24" s="1"/>
  <c r="TO22" i="24" s="1"/>
  <c r="TP22" i="24" s="1"/>
  <c r="TQ22" i="24" s="1"/>
  <c r="TR22" i="24" s="1"/>
  <c r="TS22" i="24" s="1"/>
  <c r="TT22" i="24" s="1"/>
  <c r="TU22" i="24" s="1"/>
  <c r="TV22" i="24" s="1"/>
  <c r="TW22" i="24" s="1"/>
  <c r="TX22" i="24" s="1"/>
  <c r="TY22" i="24" s="1"/>
  <c r="TZ22" i="24" s="1"/>
  <c r="UA22" i="24" s="1"/>
  <c r="UB22" i="24" s="1"/>
  <c r="UC22" i="24" s="1"/>
  <c r="UD22" i="24" s="1"/>
  <c r="UE22" i="24" s="1"/>
  <c r="UF22" i="24" s="1"/>
  <c r="UG22" i="24" s="1"/>
  <c r="UH22" i="24" s="1"/>
  <c r="UI22" i="24" s="1"/>
  <c r="UJ22" i="24" s="1"/>
  <c r="UK22" i="24" s="1"/>
  <c r="UL22" i="24" s="1"/>
  <c r="UM22" i="24" s="1"/>
  <c r="UN22" i="24" s="1"/>
  <c r="UO22" i="24" s="1"/>
  <c r="UP22" i="24" s="1"/>
  <c r="UQ22" i="24" s="1"/>
  <c r="UR22" i="24" s="1"/>
  <c r="US22" i="24" s="1"/>
  <c r="UT22" i="24" s="1"/>
  <c r="UU22" i="24" s="1"/>
  <c r="UV22" i="24" s="1"/>
  <c r="UW22" i="24" s="1"/>
  <c r="UX22" i="24" s="1"/>
  <c r="UY22" i="24" s="1"/>
  <c r="UZ22" i="24" s="1"/>
  <c r="VA22" i="24" s="1"/>
  <c r="VB22" i="24" s="1"/>
  <c r="VC22" i="24" s="1"/>
  <c r="VD22" i="24" s="1"/>
  <c r="VE22" i="24" s="1"/>
  <c r="VF22" i="24" s="1"/>
  <c r="VG22" i="24" s="1"/>
  <c r="VH22" i="24" s="1"/>
  <c r="VI22" i="24" s="1"/>
  <c r="VJ22" i="24" s="1"/>
  <c r="VK22" i="24" s="1"/>
  <c r="VL22" i="24" s="1"/>
  <c r="VM22" i="24" s="1"/>
  <c r="VN22" i="24" s="1"/>
  <c r="VO22" i="24" s="1"/>
  <c r="VP22" i="24" s="1"/>
  <c r="VQ22" i="24" s="1"/>
  <c r="VR22" i="24" s="1"/>
  <c r="VS22" i="24" s="1"/>
  <c r="VT22" i="24" s="1"/>
  <c r="VU22" i="24" s="1"/>
  <c r="VV22" i="24" s="1"/>
  <c r="VW22" i="24" s="1"/>
  <c r="VX22" i="24" s="1"/>
  <c r="VY22" i="24" s="1"/>
  <c r="VZ22" i="24" s="1"/>
  <c r="WA22" i="24" s="1"/>
  <c r="WB22" i="24" s="1"/>
  <c r="WC22" i="24" s="1"/>
  <c r="WD22" i="24" s="1"/>
  <c r="WE22" i="24" s="1"/>
  <c r="WF22" i="24" s="1"/>
  <c r="WG22" i="24" s="1"/>
  <c r="WH22" i="24" s="1"/>
  <c r="WI22" i="24" s="1"/>
  <c r="WJ22" i="24" s="1"/>
  <c r="WK22" i="24" s="1"/>
  <c r="WL22" i="24" s="1"/>
  <c r="WM22" i="24" s="1"/>
  <c r="WN22" i="24" s="1"/>
  <c r="WO22" i="24" s="1"/>
  <c r="WP22" i="24" s="1"/>
  <c r="WQ22" i="24" s="1"/>
  <c r="WR22" i="24" s="1"/>
  <c r="WS22" i="24" s="1"/>
  <c r="WT22" i="24" s="1"/>
  <c r="WU22" i="24" s="1"/>
  <c r="WV22" i="24" s="1"/>
  <c r="WW22" i="24" s="1"/>
  <c r="WX22" i="24" s="1"/>
  <c r="WY22" i="24" s="1"/>
  <c r="WZ22" i="24" s="1"/>
  <c r="XA22" i="24" s="1"/>
  <c r="XB22" i="24" s="1"/>
  <c r="XC22" i="24" s="1"/>
  <c r="XD22" i="24" s="1"/>
  <c r="XE22" i="24" s="1"/>
  <c r="XF22" i="24" s="1"/>
  <c r="XG22" i="24" s="1"/>
  <c r="XH22" i="24" s="1"/>
  <c r="XI22" i="24" s="1"/>
  <c r="XJ22" i="24" s="1"/>
  <c r="XK22" i="24" s="1"/>
  <c r="XL22" i="24" s="1"/>
  <c r="XM22" i="24" s="1"/>
  <c r="XN22" i="24" s="1"/>
  <c r="XO22" i="24" s="1"/>
  <c r="XP22" i="24" s="1"/>
  <c r="XQ22" i="24" s="1"/>
  <c r="XR22" i="24" s="1"/>
  <c r="XS22" i="24" s="1"/>
  <c r="XT22" i="24" s="1"/>
  <c r="XU22" i="24" s="1"/>
  <c r="XV22" i="24" s="1"/>
  <c r="XW22" i="24" s="1"/>
  <c r="XX22" i="24" s="1"/>
  <c r="XY22" i="24" s="1"/>
  <c r="XZ22" i="24" s="1"/>
  <c r="YA22" i="24" s="1"/>
  <c r="YB22" i="24" s="1"/>
  <c r="YC22" i="24" s="1"/>
  <c r="YD22" i="24" s="1"/>
  <c r="YE22" i="24" s="1"/>
  <c r="YF22" i="24" s="1"/>
  <c r="YG22" i="24" s="1"/>
  <c r="YH22" i="24" s="1"/>
  <c r="YI22" i="24" s="1"/>
  <c r="YJ22" i="24" s="1"/>
  <c r="YK22" i="24" s="1"/>
  <c r="YL22" i="24" s="1"/>
  <c r="YM22" i="24" s="1"/>
  <c r="YN22" i="24" s="1"/>
  <c r="YO22" i="24" s="1"/>
  <c r="YP22" i="24" s="1"/>
  <c r="YQ22" i="24" s="1"/>
  <c r="YR22" i="24" s="1"/>
  <c r="YS22" i="24" s="1"/>
  <c r="YT22" i="24" s="1"/>
  <c r="YU22" i="24" s="1"/>
  <c r="YV22" i="24" s="1"/>
  <c r="YW22" i="24" s="1"/>
  <c r="YX22" i="24" s="1"/>
  <c r="YY22" i="24" s="1"/>
  <c r="YZ22" i="24" s="1"/>
  <c r="ZA22" i="24" s="1"/>
  <c r="ZB22" i="24" s="1"/>
  <c r="ZC22" i="24" s="1"/>
  <c r="ZD22" i="24" s="1"/>
  <c r="ZE22" i="24" s="1"/>
  <c r="ZF22" i="24" s="1"/>
  <c r="ZG22" i="24" s="1"/>
  <c r="ZH22" i="24" s="1"/>
  <c r="ZI22" i="24" s="1"/>
  <c r="ZJ22" i="24" s="1"/>
  <c r="ZK22" i="24" s="1"/>
  <c r="ZL22" i="24" s="1"/>
  <c r="ZM22" i="24" s="1"/>
  <c r="ZN22" i="24" s="1"/>
  <c r="ZO22" i="24" s="1"/>
  <c r="ZP22" i="24" s="1"/>
  <c r="ZQ22" i="24" s="1"/>
  <c r="ZR22" i="24" s="1"/>
  <c r="ZS22" i="24" s="1"/>
  <c r="ZT22" i="24" s="1"/>
  <c r="ZU22" i="24" s="1"/>
  <c r="ZV22" i="24" s="1"/>
  <c r="ZW22" i="24" s="1"/>
  <c r="ZX22" i="24" s="1"/>
  <c r="ZY22" i="24" s="1"/>
  <c r="ZZ22" i="24" s="1"/>
  <c r="AAA22" i="24" s="1"/>
  <c r="AAB22" i="24" s="1"/>
  <c r="AAC22" i="24" s="1"/>
  <c r="AAD22" i="24" s="1"/>
  <c r="AAE22" i="24" s="1"/>
  <c r="AAF22" i="24" s="1"/>
  <c r="AAG22" i="24" s="1"/>
  <c r="AAH22" i="24" s="1"/>
  <c r="AAI22" i="24" s="1"/>
  <c r="AAJ22" i="24" s="1"/>
  <c r="AAK22" i="24" s="1"/>
  <c r="AAL22" i="24" s="1"/>
  <c r="AAM22" i="24" s="1"/>
  <c r="AAN22" i="24" s="1"/>
  <c r="AAO22" i="24" s="1"/>
  <c r="AAP22" i="24" s="1"/>
  <c r="AAQ22" i="24" s="1"/>
  <c r="AAR22" i="24" s="1"/>
  <c r="AAS22" i="24" s="1"/>
  <c r="AAT22" i="24" s="1"/>
  <c r="AAU22" i="24" s="1"/>
  <c r="AAV22" i="24" s="1"/>
  <c r="AAW22" i="24" s="1"/>
  <c r="AAX22" i="24" s="1"/>
  <c r="AAY22" i="24" s="1"/>
  <c r="AAZ22" i="24" s="1"/>
  <c r="ABA22" i="24" s="1"/>
  <c r="ABB22" i="24" s="1"/>
  <c r="ABC22" i="24" s="1"/>
  <c r="ABD22" i="24" s="1"/>
  <c r="ABE22" i="24" s="1"/>
  <c r="ABF22" i="24" s="1"/>
  <c r="ABG22" i="24" s="1"/>
  <c r="ABH22" i="24" s="1"/>
  <c r="ABI22" i="24" s="1"/>
  <c r="ABJ22" i="24" s="1"/>
  <c r="ABK22" i="24" s="1"/>
  <c r="ABL22" i="24" s="1"/>
  <c r="ABM22" i="24" s="1"/>
  <c r="ABN22" i="24" s="1"/>
  <c r="ABO22" i="24" s="1"/>
  <c r="ABP22" i="24" s="1"/>
  <c r="ABQ22" i="24" s="1"/>
  <c r="ABR22" i="24" s="1"/>
  <c r="ABS22" i="24" s="1"/>
  <c r="ABT22" i="24" s="1"/>
  <c r="ABU22" i="24" s="1"/>
  <c r="ABV22" i="24" s="1"/>
  <c r="ABW22" i="24" s="1"/>
  <c r="ABX22" i="24" s="1"/>
  <c r="ABY22" i="24" s="1"/>
  <c r="ABZ22" i="24" s="1"/>
  <c r="ACA22" i="24" s="1"/>
  <c r="ACB22" i="24" s="1"/>
  <c r="ACC22" i="24" s="1"/>
  <c r="ACD22" i="24" s="1"/>
  <c r="ACE22" i="24" s="1"/>
  <c r="ACF22" i="24" s="1"/>
  <c r="ACG22" i="24" s="1"/>
  <c r="ACH22" i="24" s="1"/>
  <c r="ACI22" i="24" s="1"/>
  <c r="ACJ22" i="24" s="1"/>
  <c r="ACK22" i="24" s="1"/>
  <c r="ACL22" i="24" s="1"/>
  <c r="ACM22" i="24" s="1"/>
  <c r="ACN22" i="24" s="1"/>
  <c r="ACO22" i="24" s="1"/>
  <c r="ACP22" i="24" s="1"/>
  <c r="ACQ22" i="24" s="1"/>
  <c r="ACR22" i="24" s="1"/>
  <c r="ACS22" i="24" s="1"/>
  <c r="ACT22" i="24" s="1"/>
  <c r="ACU22" i="24" s="1"/>
  <c r="ACV22" i="24" s="1"/>
  <c r="C17" i="24"/>
  <c r="D17" i="24" s="1"/>
  <c r="E17" i="24" s="1"/>
  <c r="F17" i="24" s="1"/>
  <c r="G17" i="24" s="1"/>
  <c r="H17" i="24" s="1"/>
  <c r="I17" i="24" s="1"/>
  <c r="J17" i="24" s="1"/>
  <c r="K17" i="24" s="1"/>
  <c r="L17" i="24" s="1"/>
  <c r="M17" i="24" s="1"/>
  <c r="N17" i="24" s="1"/>
  <c r="O17" i="24" s="1"/>
  <c r="P17" i="24" s="1"/>
  <c r="Q17" i="24" s="1"/>
  <c r="R17" i="24" s="1"/>
  <c r="S17" i="24" s="1"/>
  <c r="T17" i="24" s="1"/>
  <c r="U17" i="24" s="1"/>
  <c r="V17" i="24" s="1"/>
  <c r="W17" i="24" s="1"/>
  <c r="X17" i="24" s="1"/>
  <c r="Y17" i="24" s="1"/>
  <c r="Z17" i="24" s="1"/>
  <c r="AA17" i="24" s="1"/>
  <c r="AB17" i="24" s="1"/>
  <c r="AC17" i="24" s="1"/>
  <c r="AD17" i="24" s="1"/>
  <c r="AE17" i="24" s="1"/>
  <c r="AF17" i="24" s="1"/>
  <c r="AG17" i="24" s="1"/>
  <c r="AH17" i="24" s="1"/>
  <c r="AI17" i="24" s="1"/>
  <c r="AJ17" i="24" s="1"/>
  <c r="AK17" i="24" s="1"/>
  <c r="AL17" i="24" s="1"/>
  <c r="AM17" i="24" s="1"/>
  <c r="AN17" i="24" s="1"/>
  <c r="AO17" i="24" s="1"/>
  <c r="AP17" i="24" s="1"/>
  <c r="AQ17" i="24" s="1"/>
  <c r="AR17" i="24" s="1"/>
  <c r="AS17" i="24" s="1"/>
  <c r="AT17" i="24" s="1"/>
  <c r="AU17" i="24" s="1"/>
  <c r="AV17" i="24" s="1"/>
  <c r="AW17" i="24" s="1"/>
  <c r="AX17" i="24" s="1"/>
  <c r="AY17" i="24" s="1"/>
  <c r="AZ17" i="24" s="1"/>
  <c r="BA17" i="24" s="1"/>
  <c r="BB17" i="24" s="1"/>
  <c r="BC17" i="24" s="1"/>
  <c r="BD17" i="24" s="1"/>
  <c r="BE17" i="24" s="1"/>
  <c r="BF17" i="24" s="1"/>
  <c r="BG17" i="24" s="1"/>
  <c r="BH17" i="24" s="1"/>
  <c r="BI17" i="24" s="1"/>
  <c r="BJ17" i="24" s="1"/>
  <c r="BK17" i="24" s="1"/>
  <c r="BL17" i="24" s="1"/>
  <c r="BM17" i="24" s="1"/>
  <c r="BN17" i="24" s="1"/>
  <c r="BO17" i="24" s="1"/>
  <c r="BP17" i="24" s="1"/>
  <c r="BQ17" i="24" s="1"/>
  <c r="BR17" i="24" s="1"/>
  <c r="BS17" i="24" s="1"/>
  <c r="BT17" i="24" s="1"/>
  <c r="BU17" i="24" s="1"/>
  <c r="BV17" i="24" s="1"/>
  <c r="BW17" i="24" s="1"/>
  <c r="BX17" i="24" s="1"/>
  <c r="BY17" i="24" s="1"/>
  <c r="BZ17" i="24" s="1"/>
  <c r="CA17" i="24" s="1"/>
  <c r="CB17" i="24" s="1"/>
  <c r="CC17" i="24" s="1"/>
  <c r="CD17" i="24" s="1"/>
  <c r="CE17" i="24" s="1"/>
  <c r="CF17" i="24" s="1"/>
  <c r="CG17" i="24" s="1"/>
  <c r="CH17" i="24" s="1"/>
  <c r="CI17" i="24" s="1"/>
  <c r="CJ17" i="24" s="1"/>
  <c r="CK17" i="24" s="1"/>
  <c r="CL17" i="24" s="1"/>
  <c r="CM17" i="24" s="1"/>
  <c r="CN17" i="24" s="1"/>
  <c r="CO17" i="24" s="1"/>
  <c r="CP17" i="24" s="1"/>
  <c r="CQ17" i="24" s="1"/>
  <c r="CR17" i="24" s="1"/>
  <c r="CS17" i="24" s="1"/>
  <c r="CT17" i="24" s="1"/>
  <c r="CU17" i="24" s="1"/>
  <c r="CV17" i="24" s="1"/>
  <c r="CW17" i="24" s="1"/>
  <c r="CX17" i="24" s="1"/>
  <c r="CY17" i="24" s="1"/>
  <c r="CZ17" i="24" s="1"/>
  <c r="DA17" i="24" s="1"/>
  <c r="DB17" i="24" s="1"/>
  <c r="DC17" i="24" s="1"/>
  <c r="DD17" i="24" s="1"/>
  <c r="DE17" i="24" s="1"/>
  <c r="DF17" i="24" s="1"/>
  <c r="DG17" i="24" s="1"/>
  <c r="DH17" i="24" s="1"/>
  <c r="DI17" i="24" s="1"/>
  <c r="DJ17" i="24" s="1"/>
  <c r="DK17" i="24" s="1"/>
  <c r="DL17" i="24" s="1"/>
  <c r="DM17" i="24" s="1"/>
  <c r="DN17" i="24" s="1"/>
  <c r="DO17" i="24" s="1"/>
  <c r="DP17" i="24" s="1"/>
  <c r="DQ17" i="24" s="1"/>
  <c r="DR17" i="24" s="1"/>
  <c r="DS17" i="24" s="1"/>
  <c r="DT17" i="24" s="1"/>
  <c r="DU17" i="24" s="1"/>
  <c r="DV17" i="24" s="1"/>
  <c r="DW17" i="24" s="1"/>
  <c r="DX17" i="24" s="1"/>
  <c r="DY17" i="24" s="1"/>
  <c r="DZ17" i="24" s="1"/>
  <c r="EA17" i="24" s="1"/>
  <c r="EB17" i="24" s="1"/>
  <c r="EC17" i="24" s="1"/>
  <c r="ED17" i="24" s="1"/>
  <c r="EE17" i="24" s="1"/>
  <c r="EF17" i="24" s="1"/>
  <c r="EG17" i="24" s="1"/>
  <c r="EH17" i="24" s="1"/>
  <c r="EI17" i="24" s="1"/>
  <c r="EJ17" i="24" s="1"/>
  <c r="EK17" i="24" s="1"/>
  <c r="EL17" i="24" s="1"/>
  <c r="EM17" i="24" s="1"/>
  <c r="EN17" i="24" s="1"/>
  <c r="EO17" i="24" s="1"/>
  <c r="EP17" i="24" s="1"/>
  <c r="EQ17" i="24" s="1"/>
  <c r="ER17" i="24" s="1"/>
  <c r="ES17" i="24" s="1"/>
  <c r="ET17" i="24" s="1"/>
  <c r="EU17" i="24" s="1"/>
  <c r="EV17" i="24" s="1"/>
  <c r="EW17" i="24" s="1"/>
  <c r="EX17" i="24" s="1"/>
  <c r="EY17" i="24" s="1"/>
  <c r="EZ17" i="24" s="1"/>
  <c r="FA17" i="24" s="1"/>
  <c r="FB17" i="24" s="1"/>
  <c r="FC17" i="24" s="1"/>
  <c r="FD17" i="24" s="1"/>
  <c r="FE17" i="24" s="1"/>
  <c r="FF17" i="24" s="1"/>
  <c r="FG17" i="24" s="1"/>
  <c r="FH17" i="24" s="1"/>
  <c r="FI17" i="24" s="1"/>
  <c r="FJ17" i="24" s="1"/>
  <c r="FK17" i="24" s="1"/>
  <c r="FL17" i="24" s="1"/>
  <c r="FM17" i="24" s="1"/>
  <c r="FN17" i="24" s="1"/>
  <c r="FO17" i="24" s="1"/>
  <c r="FP17" i="24" s="1"/>
  <c r="FQ17" i="24" s="1"/>
  <c r="FR17" i="24" s="1"/>
  <c r="FS17" i="24" s="1"/>
  <c r="FT17" i="24" s="1"/>
  <c r="FU17" i="24" s="1"/>
  <c r="FV17" i="24" s="1"/>
  <c r="FW17" i="24" s="1"/>
  <c r="FX17" i="24" s="1"/>
  <c r="FY17" i="24" s="1"/>
  <c r="FZ17" i="24" s="1"/>
  <c r="GA17" i="24" s="1"/>
  <c r="GB17" i="24" s="1"/>
  <c r="GC17" i="24" s="1"/>
  <c r="GD17" i="24" s="1"/>
  <c r="GE17" i="24" s="1"/>
  <c r="GF17" i="24" s="1"/>
  <c r="GG17" i="24" s="1"/>
  <c r="GH17" i="24" s="1"/>
  <c r="GI17" i="24" s="1"/>
  <c r="GJ17" i="24" s="1"/>
  <c r="GK17" i="24" s="1"/>
  <c r="GL17" i="24" s="1"/>
  <c r="GM17" i="24" s="1"/>
  <c r="GN17" i="24" s="1"/>
  <c r="GO17" i="24" s="1"/>
  <c r="GP17" i="24" s="1"/>
  <c r="GQ17" i="24" s="1"/>
  <c r="GR17" i="24" s="1"/>
  <c r="GS17" i="24" s="1"/>
  <c r="GT17" i="24" s="1"/>
  <c r="GU17" i="24" s="1"/>
  <c r="GV17" i="24" s="1"/>
  <c r="GW17" i="24" s="1"/>
  <c r="GX17" i="24" s="1"/>
  <c r="GY17" i="24" s="1"/>
  <c r="GZ17" i="24" s="1"/>
  <c r="HA17" i="24" s="1"/>
  <c r="HB17" i="24" s="1"/>
  <c r="HC17" i="24" s="1"/>
  <c r="HD17" i="24" s="1"/>
  <c r="HE17" i="24" s="1"/>
  <c r="HF17" i="24" s="1"/>
  <c r="HG17" i="24" s="1"/>
  <c r="HH17" i="24" s="1"/>
  <c r="HI17" i="24" s="1"/>
  <c r="HJ17" i="24" s="1"/>
  <c r="HK17" i="24" s="1"/>
  <c r="HL17" i="24" s="1"/>
  <c r="HM17" i="24" s="1"/>
  <c r="HN17" i="24" s="1"/>
  <c r="HO17" i="24" s="1"/>
  <c r="HP17" i="24" s="1"/>
  <c r="HQ17" i="24" s="1"/>
  <c r="HR17" i="24" s="1"/>
  <c r="HS17" i="24" s="1"/>
  <c r="HT17" i="24" s="1"/>
  <c r="HU17" i="24" s="1"/>
  <c r="HV17" i="24" s="1"/>
  <c r="HW17" i="24" s="1"/>
  <c r="HX17" i="24" s="1"/>
  <c r="HY17" i="24" s="1"/>
  <c r="HZ17" i="24" s="1"/>
  <c r="IA17" i="24" s="1"/>
  <c r="IB17" i="24" s="1"/>
  <c r="IC17" i="24" s="1"/>
  <c r="ID17" i="24" s="1"/>
  <c r="IE17" i="24" s="1"/>
  <c r="IF17" i="24" s="1"/>
  <c r="IG17" i="24" s="1"/>
  <c r="IH17" i="24" s="1"/>
  <c r="II17" i="24" s="1"/>
  <c r="IJ17" i="24" s="1"/>
  <c r="IK17" i="24" s="1"/>
  <c r="IL17" i="24" s="1"/>
  <c r="IM17" i="24" s="1"/>
  <c r="IN17" i="24" s="1"/>
  <c r="IO17" i="24" s="1"/>
  <c r="IP17" i="24" s="1"/>
  <c r="IQ17" i="24" s="1"/>
  <c r="IR17" i="24" s="1"/>
  <c r="IS17" i="24" s="1"/>
  <c r="IT17" i="24" s="1"/>
  <c r="IU17" i="24" s="1"/>
  <c r="IV17" i="24" s="1"/>
  <c r="IW17" i="24" s="1"/>
  <c r="IX17" i="24" s="1"/>
  <c r="IY17" i="24" s="1"/>
  <c r="IZ17" i="24" s="1"/>
  <c r="JA17" i="24" s="1"/>
  <c r="JB17" i="24" s="1"/>
  <c r="JC17" i="24" s="1"/>
  <c r="JD17" i="24" s="1"/>
  <c r="JE17" i="24" s="1"/>
  <c r="JF17" i="24" s="1"/>
  <c r="JG17" i="24" s="1"/>
  <c r="JH17" i="24" s="1"/>
  <c r="JI17" i="24" s="1"/>
  <c r="JJ17" i="24" s="1"/>
  <c r="JK17" i="24" s="1"/>
  <c r="JL17" i="24" s="1"/>
  <c r="JM17" i="24" s="1"/>
  <c r="JN17" i="24" s="1"/>
  <c r="JO17" i="24" s="1"/>
  <c r="JP17" i="24" s="1"/>
  <c r="JQ17" i="24" s="1"/>
  <c r="JR17" i="24" s="1"/>
  <c r="JS17" i="24" s="1"/>
  <c r="JT17" i="24" s="1"/>
  <c r="JU17" i="24" s="1"/>
  <c r="JV17" i="24" s="1"/>
  <c r="JW17" i="24" s="1"/>
  <c r="JX17" i="24" s="1"/>
  <c r="JY17" i="24" s="1"/>
  <c r="JZ17" i="24" s="1"/>
  <c r="KA17" i="24" s="1"/>
  <c r="KB17" i="24" s="1"/>
  <c r="KC17" i="24" s="1"/>
  <c r="KD17" i="24" s="1"/>
  <c r="KE17" i="24" s="1"/>
  <c r="KF17" i="24" s="1"/>
  <c r="KG17" i="24" s="1"/>
  <c r="KH17" i="24" s="1"/>
  <c r="KI17" i="24" s="1"/>
  <c r="KJ17" i="24" s="1"/>
  <c r="KK17" i="24" s="1"/>
  <c r="KL17" i="24" s="1"/>
  <c r="KM17" i="24" s="1"/>
  <c r="KN17" i="24" s="1"/>
  <c r="KO17" i="24" s="1"/>
  <c r="KP17" i="24" s="1"/>
  <c r="KQ17" i="24" s="1"/>
  <c r="KR17" i="24" s="1"/>
  <c r="KS17" i="24" s="1"/>
  <c r="KT17" i="24" s="1"/>
  <c r="KU17" i="24" s="1"/>
  <c r="KV17" i="24" s="1"/>
  <c r="KW17" i="24" s="1"/>
  <c r="KX17" i="24" s="1"/>
  <c r="KY17" i="24" s="1"/>
  <c r="KZ17" i="24" s="1"/>
  <c r="LA17" i="24" s="1"/>
  <c r="LB17" i="24" s="1"/>
  <c r="LC17" i="24" s="1"/>
  <c r="LD17" i="24" s="1"/>
  <c r="LE17" i="24" s="1"/>
  <c r="LF17" i="24" s="1"/>
  <c r="LG17" i="24" s="1"/>
  <c r="LH17" i="24" s="1"/>
  <c r="LI17" i="24" s="1"/>
  <c r="LJ17" i="24" s="1"/>
  <c r="LK17" i="24" s="1"/>
  <c r="LL17" i="24" s="1"/>
  <c r="LM17" i="24" s="1"/>
  <c r="LN17" i="24" s="1"/>
  <c r="LO17" i="24" s="1"/>
  <c r="LP17" i="24" s="1"/>
  <c r="LQ17" i="24" s="1"/>
  <c r="LR17" i="24" s="1"/>
  <c r="LS17" i="24" s="1"/>
  <c r="LT17" i="24" s="1"/>
  <c r="LU17" i="24" s="1"/>
  <c r="LV17" i="24" s="1"/>
  <c r="LW17" i="24" s="1"/>
  <c r="LX17" i="24" s="1"/>
  <c r="LY17" i="24" s="1"/>
  <c r="LZ17" i="24" s="1"/>
  <c r="MA17" i="24" s="1"/>
  <c r="MB17" i="24" s="1"/>
  <c r="MC17" i="24" s="1"/>
  <c r="MD17" i="24" s="1"/>
  <c r="ME17" i="24" s="1"/>
  <c r="MF17" i="24" s="1"/>
  <c r="MG17" i="24" s="1"/>
  <c r="MH17" i="24" s="1"/>
  <c r="MI17" i="24" s="1"/>
  <c r="MJ17" i="24" s="1"/>
  <c r="MK17" i="24" s="1"/>
  <c r="ML17" i="24" s="1"/>
  <c r="MM17" i="24" s="1"/>
  <c r="MN17" i="24" s="1"/>
  <c r="MO17" i="24" s="1"/>
  <c r="MP17" i="24" s="1"/>
  <c r="MQ17" i="24" s="1"/>
  <c r="MR17" i="24" s="1"/>
  <c r="MS17" i="24" s="1"/>
  <c r="MT17" i="24" s="1"/>
  <c r="MU17" i="24" s="1"/>
  <c r="MV17" i="24" s="1"/>
  <c r="MW17" i="24" s="1"/>
  <c r="MX17" i="24" s="1"/>
  <c r="MY17" i="24" s="1"/>
  <c r="MZ17" i="24" s="1"/>
  <c r="NA17" i="24" s="1"/>
  <c r="NB17" i="24" s="1"/>
  <c r="NC17" i="24" s="1"/>
  <c r="ND17" i="24" s="1"/>
  <c r="NE17" i="24" s="1"/>
  <c r="NF17" i="24" s="1"/>
  <c r="NG17" i="24" s="1"/>
  <c r="NH17" i="24" s="1"/>
  <c r="NI17" i="24" s="1"/>
  <c r="NJ17" i="24" s="1"/>
  <c r="NK17" i="24" s="1"/>
  <c r="NL17" i="24" s="1"/>
  <c r="NM17" i="24" s="1"/>
  <c r="NN17" i="24" s="1"/>
  <c r="NO17" i="24" s="1"/>
  <c r="NP17" i="24" s="1"/>
  <c r="NQ17" i="24" s="1"/>
  <c r="NR17" i="24" s="1"/>
  <c r="NS17" i="24" s="1"/>
  <c r="NT17" i="24" s="1"/>
  <c r="NU17" i="24" s="1"/>
  <c r="NV17" i="24" s="1"/>
  <c r="NW17" i="24" s="1"/>
  <c r="NX17" i="24" s="1"/>
  <c r="NY17" i="24" s="1"/>
  <c r="NZ17" i="24" s="1"/>
  <c r="OA17" i="24" s="1"/>
  <c r="OB17" i="24" s="1"/>
  <c r="OC17" i="24" s="1"/>
  <c r="OD17" i="24" s="1"/>
  <c r="OE17" i="24" s="1"/>
  <c r="OF17" i="24" s="1"/>
  <c r="OG17" i="24" s="1"/>
  <c r="OH17" i="24" s="1"/>
  <c r="OI17" i="24" s="1"/>
  <c r="OJ17" i="24" s="1"/>
  <c r="OK17" i="24" s="1"/>
  <c r="OL17" i="24" s="1"/>
  <c r="OM17" i="24" s="1"/>
  <c r="ON17" i="24" s="1"/>
  <c r="OO17" i="24" s="1"/>
  <c r="OP17" i="24" s="1"/>
  <c r="OQ17" i="24" s="1"/>
  <c r="OR17" i="24" s="1"/>
  <c r="OS17" i="24" s="1"/>
  <c r="OT17" i="24" s="1"/>
  <c r="OU17" i="24" s="1"/>
  <c r="OV17" i="24" s="1"/>
  <c r="OW17" i="24" s="1"/>
  <c r="OX17" i="24" s="1"/>
  <c r="OY17" i="24" s="1"/>
  <c r="OZ17" i="24" s="1"/>
  <c r="PA17" i="24" s="1"/>
  <c r="PB17" i="24" s="1"/>
  <c r="PC17" i="24" s="1"/>
  <c r="PD17" i="24" s="1"/>
  <c r="PE17" i="24" s="1"/>
  <c r="PF17" i="24" s="1"/>
  <c r="PG17" i="24" s="1"/>
  <c r="PH17" i="24" s="1"/>
  <c r="PI17" i="24" s="1"/>
  <c r="PJ17" i="24" s="1"/>
  <c r="PK17" i="24" s="1"/>
  <c r="PL17" i="24" s="1"/>
  <c r="PM17" i="24" s="1"/>
  <c r="PN17" i="24" s="1"/>
  <c r="PO17" i="24" s="1"/>
  <c r="PP17" i="24" s="1"/>
  <c r="PQ17" i="24" s="1"/>
  <c r="PR17" i="24" s="1"/>
  <c r="PS17" i="24" s="1"/>
  <c r="PT17" i="24" s="1"/>
  <c r="PU17" i="24" s="1"/>
  <c r="PV17" i="24" s="1"/>
  <c r="PW17" i="24" s="1"/>
  <c r="PX17" i="24" s="1"/>
  <c r="PY17" i="24" s="1"/>
  <c r="PZ17" i="24" s="1"/>
  <c r="QA17" i="24" s="1"/>
  <c r="QB17" i="24" s="1"/>
  <c r="QC17" i="24" s="1"/>
  <c r="QD17" i="24" s="1"/>
  <c r="QE17" i="24" s="1"/>
  <c r="QF17" i="24" s="1"/>
  <c r="QG17" i="24" s="1"/>
  <c r="QH17" i="24" s="1"/>
  <c r="QI17" i="24" s="1"/>
  <c r="QJ17" i="24" s="1"/>
  <c r="QK17" i="24" s="1"/>
  <c r="QL17" i="24" s="1"/>
  <c r="QM17" i="24" s="1"/>
  <c r="QN17" i="24" s="1"/>
  <c r="QO17" i="24" s="1"/>
  <c r="QP17" i="24" s="1"/>
  <c r="QQ17" i="24" s="1"/>
  <c r="QR17" i="24" s="1"/>
  <c r="QS17" i="24" s="1"/>
  <c r="QT17" i="24" s="1"/>
  <c r="QU17" i="24" s="1"/>
  <c r="QV17" i="24" s="1"/>
  <c r="QW17" i="24" s="1"/>
  <c r="QX17" i="24" s="1"/>
  <c r="QY17" i="24" s="1"/>
  <c r="QZ17" i="24" s="1"/>
  <c r="RA17" i="24" s="1"/>
  <c r="RB17" i="24" s="1"/>
  <c r="RC17" i="24" s="1"/>
  <c r="RD17" i="24" s="1"/>
  <c r="RE17" i="24" s="1"/>
  <c r="RF17" i="24" s="1"/>
  <c r="RG17" i="24" s="1"/>
  <c r="RH17" i="24" s="1"/>
  <c r="RI17" i="24" s="1"/>
  <c r="RJ17" i="24" s="1"/>
  <c r="RK17" i="24" s="1"/>
  <c r="RL17" i="24" s="1"/>
  <c r="RM17" i="24" s="1"/>
  <c r="RN17" i="24" s="1"/>
  <c r="RO17" i="24" s="1"/>
  <c r="RP17" i="24" s="1"/>
  <c r="RQ17" i="24" s="1"/>
  <c r="RR17" i="24" s="1"/>
  <c r="RS17" i="24" s="1"/>
  <c r="RT17" i="24" s="1"/>
  <c r="RU17" i="24" s="1"/>
  <c r="RV17" i="24" s="1"/>
  <c r="RW17" i="24" s="1"/>
  <c r="RX17" i="24" s="1"/>
  <c r="RY17" i="24" s="1"/>
  <c r="RZ17" i="24" s="1"/>
  <c r="SA17" i="24" s="1"/>
  <c r="SB17" i="24" s="1"/>
  <c r="SC17" i="24" s="1"/>
  <c r="SD17" i="24" s="1"/>
  <c r="SE17" i="24" s="1"/>
  <c r="SF17" i="24" s="1"/>
  <c r="SG17" i="24" s="1"/>
  <c r="SH17" i="24" s="1"/>
  <c r="SI17" i="24" s="1"/>
  <c r="SJ17" i="24" s="1"/>
  <c r="SK17" i="24" s="1"/>
  <c r="SL17" i="24" s="1"/>
  <c r="SM17" i="24" s="1"/>
  <c r="SN17" i="24" s="1"/>
  <c r="SO17" i="24" s="1"/>
  <c r="SP17" i="24" s="1"/>
  <c r="SQ17" i="24" s="1"/>
  <c r="SR17" i="24" s="1"/>
  <c r="SS17" i="24" s="1"/>
  <c r="ST17" i="24" s="1"/>
  <c r="SU17" i="24" s="1"/>
  <c r="SV17" i="24" s="1"/>
  <c r="SW17" i="24" s="1"/>
  <c r="SX17" i="24" s="1"/>
  <c r="SY17" i="24" s="1"/>
  <c r="SZ17" i="24" s="1"/>
  <c r="TA17" i="24" s="1"/>
  <c r="TB17" i="24" s="1"/>
  <c r="TC17" i="24" s="1"/>
  <c r="TD17" i="24" s="1"/>
  <c r="TE17" i="24" s="1"/>
  <c r="TF17" i="24" s="1"/>
  <c r="TG17" i="24" s="1"/>
  <c r="TH17" i="24" s="1"/>
  <c r="TI17" i="24" s="1"/>
  <c r="TJ17" i="24" s="1"/>
  <c r="TK17" i="24" s="1"/>
  <c r="TL17" i="24" s="1"/>
  <c r="TM17" i="24" s="1"/>
  <c r="TN17" i="24" s="1"/>
  <c r="TO17" i="24" s="1"/>
  <c r="TP17" i="24" s="1"/>
  <c r="TQ17" i="24" s="1"/>
  <c r="TR17" i="24" s="1"/>
  <c r="TS17" i="24" s="1"/>
  <c r="TT17" i="24" s="1"/>
  <c r="TU17" i="24" s="1"/>
  <c r="TV17" i="24" s="1"/>
  <c r="TW17" i="24" s="1"/>
  <c r="TX17" i="24" s="1"/>
  <c r="TY17" i="24" s="1"/>
  <c r="TZ17" i="24" s="1"/>
  <c r="UA17" i="24" s="1"/>
  <c r="UB17" i="24" s="1"/>
  <c r="UC17" i="24" s="1"/>
  <c r="UD17" i="24" s="1"/>
  <c r="UE17" i="24" s="1"/>
  <c r="UF17" i="24" s="1"/>
  <c r="UG17" i="24" s="1"/>
  <c r="UH17" i="24" s="1"/>
  <c r="UI17" i="24" s="1"/>
  <c r="UJ17" i="24" s="1"/>
  <c r="UK17" i="24" s="1"/>
  <c r="UL17" i="24" s="1"/>
  <c r="UM17" i="24" s="1"/>
  <c r="UN17" i="24" s="1"/>
  <c r="UO17" i="24" s="1"/>
  <c r="UP17" i="24" s="1"/>
  <c r="UQ17" i="24" s="1"/>
  <c r="UR17" i="24" s="1"/>
  <c r="US17" i="24" s="1"/>
  <c r="UT17" i="24" s="1"/>
  <c r="UU17" i="24" s="1"/>
  <c r="UV17" i="24" s="1"/>
  <c r="UW17" i="24" s="1"/>
  <c r="UX17" i="24" s="1"/>
  <c r="UY17" i="24" s="1"/>
  <c r="UZ17" i="24" s="1"/>
  <c r="VA17" i="24" s="1"/>
  <c r="VB17" i="24" s="1"/>
  <c r="VC17" i="24" s="1"/>
  <c r="VD17" i="24" s="1"/>
  <c r="VE17" i="24" s="1"/>
  <c r="VF17" i="24" s="1"/>
  <c r="VG17" i="24" s="1"/>
  <c r="VH17" i="24" s="1"/>
  <c r="VI17" i="24" s="1"/>
  <c r="VJ17" i="24" s="1"/>
  <c r="VK17" i="24" s="1"/>
  <c r="VL17" i="24" s="1"/>
  <c r="VM17" i="24" s="1"/>
  <c r="VN17" i="24" s="1"/>
  <c r="VO17" i="24" s="1"/>
  <c r="VP17" i="24" s="1"/>
  <c r="VQ17" i="24" s="1"/>
  <c r="VR17" i="24" s="1"/>
  <c r="VS17" i="24" s="1"/>
  <c r="VT17" i="24" s="1"/>
  <c r="VU17" i="24" s="1"/>
  <c r="VV17" i="24" s="1"/>
  <c r="VW17" i="24" s="1"/>
  <c r="VX17" i="24" s="1"/>
  <c r="VY17" i="24" s="1"/>
  <c r="VZ17" i="24" s="1"/>
  <c r="WA17" i="24" s="1"/>
  <c r="WB17" i="24" s="1"/>
  <c r="WC17" i="24" s="1"/>
  <c r="WD17" i="24" s="1"/>
  <c r="WE17" i="24" s="1"/>
  <c r="WF17" i="24" s="1"/>
  <c r="WG17" i="24" s="1"/>
  <c r="WH17" i="24" s="1"/>
  <c r="WI17" i="24" s="1"/>
  <c r="WJ17" i="24" s="1"/>
  <c r="WK17" i="24" s="1"/>
  <c r="WL17" i="24" s="1"/>
  <c r="WM17" i="24" s="1"/>
  <c r="WN17" i="24" s="1"/>
  <c r="WO17" i="24" s="1"/>
  <c r="WP17" i="24" s="1"/>
  <c r="WQ17" i="24" s="1"/>
  <c r="WR17" i="24" s="1"/>
  <c r="WS17" i="24" s="1"/>
  <c r="WT17" i="24" s="1"/>
  <c r="WU17" i="24" s="1"/>
  <c r="WV17" i="24" s="1"/>
  <c r="WW17" i="24" s="1"/>
  <c r="WX17" i="24" s="1"/>
  <c r="WY17" i="24" s="1"/>
  <c r="WZ17" i="24" s="1"/>
  <c r="XA17" i="24" s="1"/>
  <c r="XB17" i="24" s="1"/>
  <c r="XC17" i="24" s="1"/>
  <c r="XD17" i="24" s="1"/>
  <c r="XE17" i="24" s="1"/>
  <c r="XF17" i="24" s="1"/>
  <c r="XG17" i="24" s="1"/>
  <c r="XH17" i="24" s="1"/>
  <c r="XI17" i="24" s="1"/>
  <c r="XJ17" i="24" s="1"/>
  <c r="XK17" i="24" s="1"/>
  <c r="XL17" i="24" s="1"/>
  <c r="XM17" i="24" s="1"/>
  <c r="XN17" i="24" s="1"/>
  <c r="XO17" i="24" s="1"/>
  <c r="XP17" i="24" s="1"/>
  <c r="XQ17" i="24" s="1"/>
  <c r="XR17" i="24" s="1"/>
  <c r="XS17" i="24" s="1"/>
  <c r="XT17" i="24" s="1"/>
  <c r="XU17" i="24" s="1"/>
  <c r="XV17" i="24" s="1"/>
  <c r="XW17" i="24" s="1"/>
  <c r="XX17" i="24" s="1"/>
  <c r="XY17" i="24" s="1"/>
  <c r="XZ17" i="24" s="1"/>
  <c r="YA17" i="24" s="1"/>
  <c r="YB17" i="24" s="1"/>
  <c r="YC17" i="24" s="1"/>
  <c r="YD17" i="24" s="1"/>
  <c r="YE17" i="24" s="1"/>
  <c r="YF17" i="24" s="1"/>
  <c r="YG17" i="24" s="1"/>
  <c r="YH17" i="24" s="1"/>
  <c r="YI17" i="24" s="1"/>
  <c r="YJ17" i="24" s="1"/>
  <c r="YK17" i="24" s="1"/>
  <c r="YL17" i="24" s="1"/>
  <c r="YM17" i="24" s="1"/>
  <c r="YN17" i="24" s="1"/>
  <c r="YO17" i="24" s="1"/>
  <c r="YP17" i="24" s="1"/>
  <c r="YQ17" i="24" s="1"/>
  <c r="YR17" i="24" s="1"/>
  <c r="YS17" i="24" s="1"/>
  <c r="YT17" i="24" s="1"/>
  <c r="YU17" i="24" s="1"/>
  <c r="YV17" i="24" s="1"/>
  <c r="YW17" i="24" s="1"/>
  <c r="YX17" i="24" s="1"/>
  <c r="YY17" i="24" s="1"/>
  <c r="YZ17" i="24" s="1"/>
  <c r="ZA17" i="24" s="1"/>
  <c r="ZB17" i="24" s="1"/>
  <c r="ZC17" i="24" s="1"/>
  <c r="ZD17" i="24" s="1"/>
  <c r="ZE17" i="24" s="1"/>
  <c r="ZF17" i="24" s="1"/>
  <c r="ZG17" i="24" s="1"/>
  <c r="ZH17" i="24" s="1"/>
  <c r="ZI17" i="24" s="1"/>
  <c r="ZJ17" i="24" s="1"/>
  <c r="ZK17" i="24" s="1"/>
  <c r="ZL17" i="24" s="1"/>
  <c r="ZM17" i="24" s="1"/>
  <c r="ZN17" i="24" s="1"/>
  <c r="ZO17" i="24" s="1"/>
  <c r="ZP17" i="24" s="1"/>
  <c r="ZQ17" i="24" s="1"/>
  <c r="ZR17" i="24" s="1"/>
  <c r="ZS17" i="24" s="1"/>
  <c r="ZT17" i="24" s="1"/>
  <c r="ZU17" i="24" s="1"/>
  <c r="ZV17" i="24" s="1"/>
  <c r="ZW17" i="24" s="1"/>
  <c r="ZX17" i="24" s="1"/>
  <c r="ZY17" i="24" s="1"/>
  <c r="ZZ17" i="24" s="1"/>
  <c r="AAA17" i="24" s="1"/>
  <c r="AAB17" i="24" s="1"/>
  <c r="AAC17" i="24" s="1"/>
  <c r="AAD17" i="24" s="1"/>
  <c r="AAE17" i="24" s="1"/>
  <c r="AAF17" i="24" s="1"/>
  <c r="AAG17" i="24" s="1"/>
  <c r="AAH17" i="24" s="1"/>
  <c r="AAI17" i="24" s="1"/>
  <c r="AAJ17" i="24" s="1"/>
  <c r="AAK17" i="24" s="1"/>
  <c r="AAL17" i="24" s="1"/>
  <c r="AAM17" i="24" s="1"/>
  <c r="AAN17" i="24" s="1"/>
  <c r="AAO17" i="24" s="1"/>
  <c r="AAP17" i="24" s="1"/>
  <c r="AAQ17" i="24" s="1"/>
  <c r="AAR17" i="24" s="1"/>
  <c r="AAS17" i="24" s="1"/>
  <c r="AAT17" i="24" s="1"/>
  <c r="AAU17" i="24" s="1"/>
  <c r="AAV17" i="24" s="1"/>
  <c r="AAW17" i="24" s="1"/>
  <c r="AAX17" i="24" s="1"/>
  <c r="AAY17" i="24" s="1"/>
  <c r="AAZ17" i="24" s="1"/>
  <c r="ABA17" i="24" s="1"/>
  <c r="ABB17" i="24" s="1"/>
  <c r="ABC17" i="24" s="1"/>
  <c r="ABD17" i="24" s="1"/>
  <c r="ABE17" i="24" s="1"/>
  <c r="ABF17" i="24" s="1"/>
  <c r="ABG17" i="24" s="1"/>
  <c r="ABH17" i="24" s="1"/>
  <c r="ABI17" i="24" s="1"/>
  <c r="ABJ17" i="24" s="1"/>
  <c r="ABK17" i="24" s="1"/>
  <c r="ABL17" i="24" s="1"/>
  <c r="ABM17" i="24" s="1"/>
  <c r="ABN17" i="24" s="1"/>
  <c r="ABO17" i="24" s="1"/>
  <c r="ABP17" i="24" s="1"/>
  <c r="ABQ17" i="24" s="1"/>
  <c r="ABR17" i="24" s="1"/>
  <c r="ABS17" i="24" s="1"/>
  <c r="ABT17" i="24" s="1"/>
  <c r="ABU17" i="24" s="1"/>
  <c r="ABV17" i="24" s="1"/>
  <c r="ABW17" i="24" s="1"/>
  <c r="ABX17" i="24" s="1"/>
  <c r="ABY17" i="24" s="1"/>
  <c r="ABZ17" i="24" s="1"/>
  <c r="ACA17" i="24" s="1"/>
  <c r="ACB17" i="24" s="1"/>
  <c r="ACC17" i="24" s="1"/>
  <c r="ACD17" i="24" s="1"/>
  <c r="ACE17" i="24" s="1"/>
  <c r="ACF17" i="24" s="1"/>
  <c r="ACG17" i="24" s="1"/>
  <c r="ACH17" i="24" s="1"/>
  <c r="ACI17" i="24" s="1"/>
  <c r="ACJ17" i="24" s="1"/>
  <c r="ACK17" i="24" s="1"/>
  <c r="ACL17" i="24" s="1"/>
  <c r="ACM17" i="24" s="1"/>
  <c r="ACN17" i="24" s="1"/>
  <c r="ACO17" i="24" s="1"/>
  <c r="ACP17" i="24" s="1"/>
  <c r="ACQ17" i="24" s="1"/>
  <c r="ACR17" i="24" s="1"/>
  <c r="ACS17" i="24" s="1"/>
  <c r="ACT17" i="24" s="1"/>
  <c r="ACU17" i="24" s="1"/>
  <c r="ACV17" i="24" s="1"/>
  <c r="C15" i="24"/>
  <c r="D15" i="24" s="1"/>
  <c r="E15" i="24" s="1"/>
  <c r="F15" i="24" s="1"/>
  <c r="G15" i="24" s="1"/>
  <c r="H15" i="24" s="1"/>
  <c r="I15" i="24" s="1"/>
  <c r="J15" i="24" s="1"/>
  <c r="K15" i="24" s="1"/>
  <c r="L15" i="24" s="1"/>
  <c r="M15" i="24" s="1"/>
  <c r="N15" i="24" s="1"/>
  <c r="O15" i="24" s="1"/>
  <c r="P15" i="24" s="1"/>
  <c r="Q15" i="24" s="1"/>
  <c r="R15" i="24" s="1"/>
  <c r="S15" i="24" s="1"/>
  <c r="T15" i="24" s="1"/>
  <c r="U15" i="24" s="1"/>
  <c r="V15" i="24" s="1"/>
  <c r="W15" i="24" s="1"/>
  <c r="X15" i="24" s="1"/>
  <c r="Y15" i="24" s="1"/>
  <c r="Z15" i="24" s="1"/>
  <c r="AA15" i="24" s="1"/>
  <c r="AB15" i="24" s="1"/>
  <c r="AC15" i="24" s="1"/>
  <c r="AD15" i="24" s="1"/>
  <c r="AE15" i="24" s="1"/>
  <c r="AF15" i="24" s="1"/>
  <c r="AG15" i="24" s="1"/>
  <c r="AH15" i="24" s="1"/>
  <c r="AI15" i="24" s="1"/>
  <c r="AJ15" i="24" s="1"/>
  <c r="AK15" i="24" s="1"/>
  <c r="AL15" i="24" s="1"/>
  <c r="AM15" i="24" s="1"/>
  <c r="AN15" i="24" s="1"/>
  <c r="AO15" i="24" s="1"/>
  <c r="AP15" i="24" s="1"/>
  <c r="AQ15" i="24" s="1"/>
  <c r="AR15" i="24" s="1"/>
  <c r="AS15" i="24" s="1"/>
  <c r="AT15" i="24" s="1"/>
  <c r="AU15" i="24" s="1"/>
  <c r="AV15" i="24" s="1"/>
  <c r="AW15" i="24" s="1"/>
  <c r="AX15" i="24" s="1"/>
  <c r="AY15" i="24" s="1"/>
  <c r="AZ15" i="24" s="1"/>
  <c r="BA15" i="24" s="1"/>
  <c r="BB15" i="24" s="1"/>
  <c r="BC15" i="24" s="1"/>
  <c r="BD15" i="24" s="1"/>
  <c r="BE15" i="24" s="1"/>
  <c r="BF15" i="24" s="1"/>
  <c r="BG15" i="24" s="1"/>
  <c r="BH15" i="24" s="1"/>
  <c r="BI15" i="24" s="1"/>
  <c r="BJ15" i="24" s="1"/>
  <c r="BK15" i="24" s="1"/>
  <c r="BL15" i="24" s="1"/>
  <c r="BM15" i="24" s="1"/>
  <c r="BN15" i="24" s="1"/>
  <c r="BO15" i="24" s="1"/>
  <c r="BP15" i="24" s="1"/>
  <c r="BQ15" i="24" s="1"/>
  <c r="BR15" i="24" s="1"/>
  <c r="BS15" i="24" s="1"/>
  <c r="BT15" i="24" s="1"/>
  <c r="BU15" i="24" s="1"/>
  <c r="BV15" i="24" s="1"/>
  <c r="BW15" i="24" s="1"/>
  <c r="BX15" i="24" s="1"/>
  <c r="BY15" i="24" s="1"/>
  <c r="BZ15" i="24" s="1"/>
  <c r="CA15" i="24" s="1"/>
  <c r="CB15" i="24" s="1"/>
  <c r="CC15" i="24" s="1"/>
  <c r="CD15" i="24" s="1"/>
  <c r="CE15" i="24" s="1"/>
  <c r="CF15" i="24" s="1"/>
  <c r="CG15" i="24" s="1"/>
  <c r="CH15" i="24" s="1"/>
  <c r="CI15" i="24" s="1"/>
  <c r="CJ15" i="24" s="1"/>
  <c r="CK15" i="24" s="1"/>
  <c r="CL15" i="24" s="1"/>
  <c r="CM15" i="24" s="1"/>
  <c r="CN15" i="24" s="1"/>
  <c r="CO15" i="24" s="1"/>
  <c r="CP15" i="24" s="1"/>
  <c r="CQ15" i="24" s="1"/>
  <c r="CR15" i="24" s="1"/>
  <c r="CS15" i="24" s="1"/>
  <c r="CT15" i="24" s="1"/>
  <c r="CU15" i="24" s="1"/>
  <c r="CV15" i="24" s="1"/>
  <c r="CW15" i="24" s="1"/>
  <c r="CX15" i="24" s="1"/>
  <c r="CY15" i="24" s="1"/>
  <c r="CZ15" i="24" s="1"/>
  <c r="DA15" i="24" s="1"/>
  <c r="DB15" i="24" s="1"/>
  <c r="DC15" i="24" s="1"/>
  <c r="DD15" i="24" s="1"/>
  <c r="DE15" i="24" s="1"/>
  <c r="DF15" i="24" s="1"/>
  <c r="DG15" i="24" s="1"/>
  <c r="DH15" i="24" s="1"/>
  <c r="DI15" i="24" s="1"/>
  <c r="DJ15" i="24" s="1"/>
  <c r="DK15" i="24" s="1"/>
  <c r="DL15" i="24" s="1"/>
  <c r="DM15" i="24" s="1"/>
  <c r="DN15" i="24" s="1"/>
  <c r="DO15" i="24" s="1"/>
  <c r="DP15" i="24" s="1"/>
  <c r="DQ15" i="24" s="1"/>
  <c r="DR15" i="24" s="1"/>
  <c r="DS15" i="24" s="1"/>
  <c r="DT15" i="24" s="1"/>
  <c r="DU15" i="24" s="1"/>
  <c r="DV15" i="24" s="1"/>
  <c r="DW15" i="24" s="1"/>
  <c r="DX15" i="24" s="1"/>
  <c r="DY15" i="24" s="1"/>
  <c r="DZ15" i="24" s="1"/>
  <c r="EA15" i="24" s="1"/>
  <c r="EB15" i="24" s="1"/>
  <c r="EC15" i="24" s="1"/>
  <c r="ED15" i="24" s="1"/>
  <c r="EE15" i="24" s="1"/>
  <c r="EF15" i="24" s="1"/>
  <c r="EG15" i="24" s="1"/>
  <c r="EH15" i="24" s="1"/>
  <c r="EI15" i="24" s="1"/>
  <c r="EJ15" i="24" s="1"/>
  <c r="EK15" i="24" s="1"/>
  <c r="EL15" i="24" s="1"/>
  <c r="EM15" i="24" s="1"/>
  <c r="EN15" i="24" s="1"/>
  <c r="EO15" i="24" s="1"/>
  <c r="EP15" i="24" s="1"/>
  <c r="EQ15" i="24" s="1"/>
  <c r="ER15" i="24" s="1"/>
  <c r="ES15" i="24" s="1"/>
  <c r="ET15" i="24" s="1"/>
  <c r="EU15" i="24" s="1"/>
  <c r="EV15" i="24" s="1"/>
  <c r="EW15" i="24" s="1"/>
  <c r="EX15" i="24" s="1"/>
  <c r="EY15" i="24" s="1"/>
  <c r="EZ15" i="24" s="1"/>
  <c r="FA15" i="24" s="1"/>
  <c r="FB15" i="24" s="1"/>
  <c r="FC15" i="24" s="1"/>
  <c r="FD15" i="24" s="1"/>
  <c r="FE15" i="24" s="1"/>
  <c r="FF15" i="24" s="1"/>
  <c r="FG15" i="24" s="1"/>
  <c r="FH15" i="24" s="1"/>
  <c r="FI15" i="24" s="1"/>
  <c r="FJ15" i="24" s="1"/>
  <c r="FK15" i="24" s="1"/>
  <c r="FL15" i="24" s="1"/>
  <c r="FM15" i="24" s="1"/>
  <c r="FN15" i="24" s="1"/>
  <c r="FO15" i="24" s="1"/>
  <c r="FP15" i="24" s="1"/>
  <c r="FQ15" i="24" s="1"/>
  <c r="FR15" i="24" s="1"/>
  <c r="FS15" i="24" s="1"/>
  <c r="FT15" i="24" s="1"/>
  <c r="FU15" i="24" s="1"/>
  <c r="FV15" i="24" s="1"/>
  <c r="FW15" i="24" s="1"/>
  <c r="FX15" i="24" s="1"/>
  <c r="FY15" i="24" s="1"/>
  <c r="FZ15" i="24" s="1"/>
  <c r="GA15" i="24" s="1"/>
  <c r="GB15" i="24" s="1"/>
  <c r="GC15" i="24" s="1"/>
  <c r="GD15" i="24" s="1"/>
  <c r="GE15" i="24" s="1"/>
  <c r="GF15" i="24" s="1"/>
  <c r="GG15" i="24" s="1"/>
  <c r="GH15" i="24" s="1"/>
  <c r="GI15" i="24" s="1"/>
  <c r="GJ15" i="24" s="1"/>
  <c r="GK15" i="24" s="1"/>
  <c r="GL15" i="24" s="1"/>
  <c r="GM15" i="24" s="1"/>
  <c r="GN15" i="24" s="1"/>
  <c r="GO15" i="24" s="1"/>
  <c r="GP15" i="24" s="1"/>
  <c r="GQ15" i="24" s="1"/>
  <c r="GR15" i="24" s="1"/>
  <c r="GS15" i="24" s="1"/>
  <c r="GT15" i="24" s="1"/>
  <c r="GU15" i="24" s="1"/>
  <c r="GV15" i="24" s="1"/>
  <c r="GW15" i="24" s="1"/>
  <c r="GX15" i="24" s="1"/>
  <c r="GY15" i="24" s="1"/>
  <c r="GZ15" i="24" s="1"/>
  <c r="HA15" i="24" s="1"/>
  <c r="HB15" i="24" s="1"/>
  <c r="HC15" i="24" s="1"/>
  <c r="HD15" i="24" s="1"/>
  <c r="HE15" i="24" s="1"/>
  <c r="HF15" i="24" s="1"/>
  <c r="HG15" i="24" s="1"/>
  <c r="HH15" i="24" s="1"/>
  <c r="HI15" i="24" s="1"/>
  <c r="HJ15" i="24" s="1"/>
  <c r="HK15" i="24" s="1"/>
  <c r="HL15" i="24" s="1"/>
  <c r="HM15" i="24" s="1"/>
  <c r="HN15" i="24" s="1"/>
  <c r="HO15" i="24" s="1"/>
  <c r="HP15" i="24" s="1"/>
  <c r="HQ15" i="24" s="1"/>
  <c r="HR15" i="24" s="1"/>
  <c r="HS15" i="24" s="1"/>
  <c r="HT15" i="24" s="1"/>
  <c r="HU15" i="24" s="1"/>
  <c r="HV15" i="24" s="1"/>
  <c r="HW15" i="24" s="1"/>
  <c r="HX15" i="24" s="1"/>
  <c r="HY15" i="24" s="1"/>
  <c r="HZ15" i="24" s="1"/>
  <c r="IA15" i="24" s="1"/>
  <c r="IB15" i="24" s="1"/>
  <c r="IC15" i="24" s="1"/>
  <c r="ID15" i="24" s="1"/>
  <c r="IE15" i="24" s="1"/>
  <c r="IF15" i="24" s="1"/>
  <c r="IG15" i="24" s="1"/>
  <c r="IH15" i="24" s="1"/>
  <c r="II15" i="24" s="1"/>
  <c r="IJ15" i="24" s="1"/>
  <c r="IK15" i="24" s="1"/>
  <c r="IL15" i="24" s="1"/>
  <c r="IM15" i="24" s="1"/>
  <c r="IN15" i="24" s="1"/>
  <c r="IO15" i="24" s="1"/>
  <c r="IP15" i="24" s="1"/>
  <c r="IQ15" i="24" s="1"/>
  <c r="IR15" i="24" s="1"/>
  <c r="IS15" i="24" s="1"/>
  <c r="IT15" i="24" s="1"/>
  <c r="IU15" i="24" s="1"/>
  <c r="IV15" i="24" s="1"/>
  <c r="IW15" i="24" s="1"/>
  <c r="IX15" i="24" s="1"/>
  <c r="IY15" i="24" s="1"/>
  <c r="IZ15" i="24" s="1"/>
  <c r="JA15" i="24" s="1"/>
  <c r="JB15" i="24" s="1"/>
  <c r="JC15" i="24" s="1"/>
  <c r="JD15" i="24" s="1"/>
  <c r="JE15" i="24" s="1"/>
  <c r="JF15" i="24" s="1"/>
  <c r="JG15" i="24" s="1"/>
  <c r="JH15" i="24" s="1"/>
  <c r="JI15" i="24" s="1"/>
  <c r="JJ15" i="24" s="1"/>
  <c r="JK15" i="24" s="1"/>
  <c r="JL15" i="24" s="1"/>
  <c r="JM15" i="24" s="1"/>
  <c r="JN15" i="24" s="1"/>
  <c r="JO15" i="24" s="1"/>
  <c r="JP15" i="24" s="1"/>
  <c r="JQ15" i="24" s="1"/>
  <c r="JR15" i="24" s="1"/>
  <c r="JS15" i="24" s="1"/>
  <c r="JT15" i="24" s="1"/>
  <c r="JU15" i="24" s="1"/>
  <c r="JV15" i="24" s="1"/>
  <c r="JW15" i="24" s="1"/>
  <c r="JX15" i="24" s="1"/>
  <c r="JY15" i="24" s="1"/>
  <c r="JZ15" i="24" s="1"/>
  <c r="KA15" i="24" s="1"/>
  <c r="KB15" i="24" s="1"/>
  <c r="KC15" i="24" s="1"/>
  <c r="KD15" i="24" s="1"/>
  <c r="KE15" i="24" s="1"/>
  <c r="KF15" i="24" s="1"/>
  <c r="KG15" i="24" s="1"/>
  <c r="KH15" i="24" s="1"/>
  <c r="KI15" i="24" s="1"/>
  <c r="KJ15" i="24" s="1"/>
  <c r="KK15" i="24" s="1"/>
  <c r="KL15" i="24" s="1"/>
  <c r="KM15" i="24" s="1"/>
  <c r="KN15" i="24" s="1"/>
  <c r="KO15" i="24" s="1"/>
  <c r="KP15" i="24" s="1"/>
  <c r="KQ15" i="24" s="1"/>
  <c r="KR15" i="24" s="1"/>
  <c r="KS15" i="24" s="1"/>
  <c r="KT15" i="24" s="1"/>
  <c r="KU15" i="24" s="1"/>
  <c r="KV15" i="24" s="1"/>
  <c r="KW15" i="24" s="1"/>
  <c r="KX15" i="24" s="1"/>
  <c r="KY15" i="24" s="1"/>
  <c r="KZ15" i="24" s="1"/>
  <c r="LA15" i="24" s="1"/>
  <c r="LB15" i="24" s="1"/>
  <c r="LC15" i="24" s="1"/>
  <c r="LD15" i="24" s="1"/>
  <c r="LE15" i="24" s="1"/>
  <c r="LF15" i="24" s="1"/>
  <c r="LG15" i="24" s="1"/>
  <c r="LH15" i="24" s="1"/>
  <c r="LI15" i="24" s="1"/>
  <c r="LJ15" i="24" s="1"/>
  <c r="LK15" i="24" s="1"/>
  <c r="LL15" i="24" s="1"/>
  <c r="LM15" i="24" s="1"/>
  <c r="LN15" i="24" s="1"/>
  <c r="LO15" i="24" s="1"/>
  <c r="LP15" i="24" s="1"/>
  <c r="LQ15" i="24" s="1"/>
  <c r="LR15" i="24" s="1"/>
  <c r="LS15" i="24" s="1"/>
  <c r="LT15" i="24" s="1"/>
  <c r="LU15" i="24" s="1"/>
  <c r="LV15" i="24" s="1"/>
  <c r="LW15" i="24" s="1"/>
  <c r="LX15" i="24" s="1"/>
  <c r="LY15" i="24" s="1"/>
  <c r="LZ15" i="24" s="1"/>
  <c r="MA15" i="24" s="1"/>
  <c r="MB15" i="24" s="1"/>
  <c r="MC15" i="24" s="1"/>
  <c r="MD15" i="24" s="1"/>
  <c r="ME15" i="24" s="1"/>
  <c r="MF15" i="24" s="1"/>
  <c r="MG15" i="24" s="1"/>
  <c r="MH15" i="24" s="1"/>
  <c r="MI15" i="24" s="1"/>
  <c r="MJ15" i="24" s="1"/>
  <c r="MK15" i="24" s="1"/>
  <c r="ML15" i="24" s="1"/>
  <c r="MM15" i="24" s="1"/>
  <c r="MN15" i="24" s="1"/>
  <c r="MO15" i="24" s="1"/>
  <c r="MP15" i="24" s="1"/>
  <c r="MQ15" i="24" s="1"/>
  <c r="MR15" i="24" s="1"/>
  <c r="MS15" i="24" s="1"/>
  <c r="MT15" i="24" s="1"/>
  <c r="MU15" i="24" s="1"/>
  <c r="MV15" i="24" s="1"/>
  <c r="MW15" i="24" s="1"/>
  <c r="MX15" i="24" s="1"/>
  <c r="MY15" i="24" s="1"/>
  <c r="MZ15" i="24" s="1"/>
  <c r="NA15" i="24" s="1"/>
  <c r="NB15" i="24" s="1"/>
  <c r="NC15" i="24" s="1"/>
  <c r="ND15" i="24" s="1"/>
  <c r="NE15" i="24" s="1"/>
  <c r="NF15" i="24" s="1"/>
  <c r="NG15" i="24" s="1"/>
  <c r="NH15" i="24" s="1"/>
  <c r="NI15" i="24" s="1"/>
  <c r="NJ15" i="24" s="1"/>
  <c r="NK15" i="24" s="1"/>
  <c r="NL15" i="24" s="1"/>
  <c r="NM15" i="24" s="1"/>
  <c r="NN15" i="24" s="1"/>
  <c r="NO15" i="24" s="1"/>
  <c r="NP15" i="24" s="1"/>
  <c r="NQ15" i="24" s="1"/>
  <c r="NR15" i="24" s="1"/>
  <c r="NS15" i="24" s="1"/>
  <c r="NT15" i="24" s="1"/>
  <c r="NU15" i="24" s="1"/>
  <c r="NV15" i="24" s="1"/>
  <c r="NW15" i="24" s="1"/>
  <c r="NX15" i="24" s="1"/>
  <c r="NY15" i="24" s="1"/>
  <c r="NZ15" i="24" s="1"/>
  <c r="OA15" i="24" s="1"/>
  <c r="OB15" i="24" s="1"/>
  <c r="OC15" i="24" s="1"/>
  <c r="OD15" i="24" s="1"/>
  <c r="OE15" i="24" s="1"/>
  <c r="OF15" i="24" s="1"/>
  <c r="OG15" i="24" s="1"/>
  <c r="OH15" i="24" s="1"/>
  <c r="OI15" i="24" s="1"/>
  <c r="OJ15" i="24" s="1"/>
  <c r="OK15" i="24" s="1"/>
  <c r="OL15" i="24" s="1"/>
  <c r="OM15" i="24" s="1"/>
  <c r="ON15" i="24" s="1"/>
  <c r="OO15" i="24" s="1"/>
  <c r="OP15" i="24" s="1"/>
  <c r="OQ15" i="24" s="1"/>
  <c r="OR15" i="24" s="1"/>
  <c r="OS15" i="24" s="1"/>
  <c r="OT15" i="24" s="1"/>
  <c r="OU15" i="24" s="1"/>
  <c r="OV15" i="24" s="1"/>
  <c r="OW15" i="24" s="1"/>
  <c r="OX15" i="24" s="1"/>
  <c r="OY15" i="24" s="1"/>
  <c r="OZ15" i="24" s="1"/>
  <c r="PA15" i="24" s="1"/>
  <c r="PB15" i="24" s="1"/>
  <c r="PC15" i="24" s="1"/>
  <c r="PD15" i="24" s="1"/>
  <c r="PE15" i="24" s="1"/>
  <c r="PF15" i="24" s="1"/>
  <c r="PG15" i="24" s="1"/>
  <c r="PH15" i="24" s="1"/>
  <c r="PI15" i="24" s="1"/>
  <c r="PJ15" i="24" s="1"/>
  <c r="PK15" i="24" s="1"/>
  <c r="PL15" i="24" s="1"/>
  <c r="PM15" i="24" s="1"/>
  <c r="PN15" i="24" s="1"/>
  <c r="PO15" i="24" s="1"/>
  <c r="PP15" i="24" s="1"/>
  <c r="PQ15" i="24" s="1"/>
  <c r="PR15" i="24" s="1"/>
  <c r="PS15" i="24" s="1"/>
  <c r="PT15" i="24" s="1"/>
  <c r="PU15" i="24" s="1"/>
  <c r="PV15" i="24" s="1"/>
  <c r="PW15" i="24" s="1"/>
  <c r="PX15" i="24" s="1"/>
  <c r="PY15" i="24" s="1"/>
  <c r="PZ15" i="24" s="1"/>
  <c r="QA15" i="24" s="1"/>
  <c r="QB15" i="24" s="1"/>
  <c r="QC15" i="24" s="1"/>
  <c r="QD15" i="24" s="1"/>
  <c r="QE15" i="24" s="1"/>
  <c r="QF15" i="24" s="1"/>
  <c r="QG15" i="24" s="1"/>
  <c r="QH15" i="24" s="1"/>
  <c r="QI15" i="24" s="1"/>
  <c r="QJ15" i="24" s="1"/>
  <c r="QK15" i="24" s="1"/>
  <c r="QL15" i="24" s="1"/>
  <c r="QM15" i="24" s="1"/>
  <c r="QN15" i="24" s="1"/>
  <c r="QO15" i="24" s="1"/>
  <c r="QP15" i="24" s="1"/>
  <c r="QQ15" i="24" s="1"/>
  <c r="QR15" i="24" s="1"/>
  <c r="QS15" i="24" s="1"/>
  <c r="QT15" i="24" s="1"/>
  <c r="QU15" i="24" s="1"/>
  <c r="QV15" i="24" s="1"/>
  <c r="QW15" i="24" s="1"/>
  <c r="QX15" i="24" s="1"/>
  <c r="QY15" i="24" s="1"/>
  <c r="QZ15" i="24" s="1"/>
  <c r="RA15" i="24" s="1"/>
  <c r="RB15" i="24" s="1"/>
  <c r="RC15" i="24" s="1"/>
  <c r="RD15" i="24" s="1"/>
  <c r="RE15" i="24" s="1"/>
  <c r="RF15" i="24" s="1"/>
  <c r="RG15" i="24" s="1"/>
  <c r="RH15" i="24" s="1"/>
  <c r="RI15" i="24" s="1"/>
  <c r="RJ15" i="24" s="1"/>
  <c r="RK15" i="24" s="1"/>
  <c r="RL15" i="24" s="1"/>
  <c r="RM15" i="24" s="1"/>
  <c r="RN15" i="24" s="1"/>
  <c r="RO15" i="24" s="1"/>
  <c r="RP15" i="24" s="1"/>
  <c r="RQ15" i="24" s="1"/>
  <c r="RR15" i="24" s="1"/>
  <c r="RS15" i="24" s="1"/>
  <c r="RT15" i="24" s="1"/>
  <c r="RU15" i="24" s="1"/>
  <c r="RV15" i="24" s="1"/>
  <c r="RW15" i="24" s="1"/>
  <c r="RX15" i="24" s="1"/>
  <c r="RY15" i="24" s="1"/>
  <c r="RZ15" i="24" s="1"/>
  <c r="SA15" i="24" s="1"/>
  <c r="SB15" i="24" s="1"/>
  <c r="SC15" i="24" s="1"/>
  <c r="SD15" i="24" s="1"/>
  <c r="SE15" i="24" s="1"/>
  <c r="SF15" i="24" s="1"/>
  <c r="SG15" i="24" s="1"/>
  <c r="SH15" i="24" s="1"/>
  <c r="SI15" i="24" s="1"/>
  <c r="SJ15" i="24" s="1"/>
  <c r="SK15" i="24" s="1"/>
  <c r="SL15" i="24" s="1"/>
  <c r="SM15" i="24" s="1"/>
  <c r="SN15" i="24" s="1"/>
  <c r="SO15" i="24" s="1"/>
  <c r="SP15" i="24" s="1"/>
  <c r="SQ15" i="24" s="1"/>
  <c r="SR15" i="24" s="1"/>
  <c r="SS15" i="24" s="1"/>
  <c r="ST15" i="24" s="1"/>
  <c r="SU15" i="24" s="1"/>
  <c r="SV15" i="24" s="1"/>
  <c r="SW15" i="24" s="1"/>
  <c r="SX15" i="24" s="1"/>
  <c r="SY15" i="24" s="1"/>
  <c r="SZ15" i="24" s="1"/>
  <c r="TA15" i="24" s="1"/>
  <c r="TB15" i="24" s="1"/>
  <c r="TC15" i="24" s="1"/>
  <c r="TD15" i="24" s="1"/>
  <c r="TE15" i="24" s="1"/>
  <c r="TF15" i="24" s="1"/>
  <c r="TG15" i="24" s="1"/>
  <c r="TH15" i="24" s="1"/>
  <c r="TI15" i="24" s="1"/>
  <c r="TJ15" i="24" s="1"/>
  <c r="TK15" i="24" s="1"/>
  <c r="TL15" i="24" s="1"/>
  <c r="TM15" i="24" s="1"/>
  <c r="TN15" i="24" s="1"/>
  <c r="TO15" i="24" s="1"/>
  <c r="TP15" i="24" s="1"/>
  <c r="TQ15" i="24" s="1"/>
  <c r="TR15" i="24" s="1"/>
  <c r="TS15" i="24" s="1"/>
  <c r="TT15" i="24" s="1"/>
  <c r="TU15" i="24" s="1"/>
  <c r="TV15" i="24" s="1"/>
  <c r="TW15" i="24" s="1"/>
  <c r="TX15" i="24" s="1"/>
  <c r="TY15" i="24" s="1"/>
  <c r="TZ15" i="24" s="1"/>
  <c r="UA15" i="24" s="1"/>
  <c r="UB15" i="24" s="1"/>
  <c r="UC15" i="24" s="1"/>
  <c r="UD15" i="24" s="1"/>
  <c r="UE15" i="24" s="1"/>
  <c r="UF15" i="24" s="1"/>
  <c r="UG15" i="24" s="1"/>
  <c r="UH15" i="24" s="1"/>
  <c r="UI15" i="24" s="1"/>
  <c r="UJ15" i="24" s="1"/>
  <c r="UK15" i="24" s="1"/>
  <c r="UL15" i="24" s="1"/>
  <c r="UM15" i="24" s="1"/>
  <c r="UN15" i="24" s="1"/>
  <c r="UO15" i="24" s="1"/>
  <c r="UP15" i="24" s="1"/>
  <c r="UQ15" i="24" s="1"/>
  <c r="UR15" i="24" s="1"/>
  <c r="US15" i="24" s="1"/>
  <c r="UT15" i="24" s="1"/>
  <c r="UU15" i="24" s="1"/>
  <c r="UV15" i="24" s="1"/>
  <c r="UW15" i="24" s="1"/>
  <c r="UX15" i="24" s="1"/>
  <c r="UY15" i="24" s="1"/>
  <c r="UZ15" i="24" s="1"/>
  <c r="VA15" i="24" s="1"/>
  <c r="VB15" i="24" s="1"/>
  <c r="VC15" i="24" s="1"/>
  <c r="VD15" i="24" s="1"/>
  <c r="VE15" i="24" s="1"/>
  <c r="VF15" i="24" s="1"/>
  <c r="VG15" i="24" s="1"/>
  <c r="VH15" i="24" s="1"/>
  <c r="VI15" i="24" s="1"/>
  <c r="VJ15" i="24" s="1"/>
  <c r="VK15" i="24" s="1"/>
  <c r="VL15" i="24" s="1"/>
  <c r="VM15" i="24" s="1"/>
  <c r="VN15" i="24" s="1"/>
  <c r="VO15" i="24" s="1"/>
  <c r="VP15" i="24" s="1"/>
  <c r="VQ15" i="24" s="1"/>
  <c r="VR15" i="24" s="1"/>
  <c r="VS15" i="24" s="1"/>
  <c r="VT15" i="24" s="1"/>
  <c r="VU15" i="24" s="1"/>
  <c r="VV15" i="24" s="1"/>
  <c r="VW15" i="24" s="1"/>
  <c r="VX15" i="24" s="1"/>
  <c r="VY15" i="24" s="1"/>
  <c r="VZ15" i="24" s="1"/>
  <c r="WA15" i="24" s="1"/>
  <c r="WB15" i="24" s="1"/>
  <c r="WC15" i="24" s="1"/>
  <c r="WD15" i="24" s="1"/>
  <c r="WE15" i="24" s="1"/>
  <c r="WF15" i="24" s="1"/>
  <c r="WG15" i="24" s="1"/>
  <c r="WH15" i="24" s="1"/>
  <c r="WI15" i="24" s="1"/>
  <c r="WJ15" i="24" s="1"/>
  <c r="WK15" i="24" s="1"/>
  <c r="WL15" i="24" s="1"/>
  <c r="WM15" i="24" s="1"/>
  <c r="WN15" i="24" s="1"/>
  <c r="WO15" i="24" s="1"/>
  <c r="WP15" i="24" s="1"/>
  <c r="WQ15" i="24" s="1"/>
  <c r="WR15" i="24" s="1"/>
  <c r="WS15" i="24" s="1"/>
  <c r="WT15" i="24" s="1"/>
  <c r="WU15" i="24" s="1"/>
  <c r="WV15" i="24" s="1"/>
  <c r="WW15" i="24" s="1"/>
  <c r="WX15" i="24" s="1"/>
  <c r="WY15" i="24" s="1"/>
  <c r="WZ15" i="24" s="1"/>
  <c r="XA15" i="24" s="1"/>
  <c r="XB15" i="24" s="1"/>
  <c r="XC15" i="24" s="1"/>
  <c r="XD15" i="24" s="1"/>
  <c r="XE15" i="24" s="1"/>
  <c r="XF15" i="24" s="1"/>
  <c r="XG15" i="24" s="1"/>
  <c r="XH15" i="24" s="1"/>
  <c r="XI15" i="24" s="1"/>
  <c r="XJ15" i="24" s="1"/>
  <c r="XK15" i="24" s="1"/>
  <c r="XL15" i="24" s="1"/>
  <c r="XM15" i="24" s="1"/>
  <c r="XN15" i="24" s="1"/>
  <c r="XO15" i="24" s="1"/>
  <c r="XP15" i="24" s="1"/>
  <c r="XQ15" i="24" s="1"/>
  <c r="XR15" i="24" s="1"/>
  <c r="XS15" i="24" s="1"/>
  <c r="XT15" i="24" s="1"/>
  <c r="XU15" i="24" s="1"/>
  <c r="XV15" i="24" s="1"/>
  <c r="XW15" i="24" s="1"/>
  <c r="XX15" i="24" s="1"/>
  <c r="XY15" i="24" s="1"/>
  <c r="XZ15" i="24" s="1"/>
  <c r="YA15" i="24" s="1"/>
  <c r="YB15" i="24" s="1"/>
  <c r="YC15" i="24" s="1"/>
  <c r="YD15" i="24" s="1"/>
  <c r="YE15" i="24" s="1"/>
  <c r="YF15" i="24" s="1"/>
  <c r="YG15" i="24" s="1"/>
  <c r="YH15" i="24" s="1"/>
  <c r="YI15" i="24" s="1"/>
  <c r="YJ15" i="24" s="1"/>
  <c r="YK15" i="24" s="1"/>
  <c r="YL15" i="24" s="1"/>
  <c r="YM15" i="24" s="1"/>
  <c r="YN15" i="24" s="1"/>
  <c r="YO15" i="24" s="1"/>
  <c r="YP15" i="24" s="1"/>
  <c r="YQ15" i="24" s="1"/>
  <c r="YR15" i="24" s="1"/>
  <c r="YS15" i="24" s="1"/>
  <c r="YT15" i="24" s="1"/>
  <c r="YU15" i="24" s="1"/>
  <c r="YV15" i="24" s="1"/>
  <c r="YW15" i="24" s="1"/>
  <c r="YX15" i="24" s="1"/>
  <c r="YY15" i="24" s="1"/>
  <c r="YZ15" i="24" s="1"/>
  <c r="ZA15" i="24" s="1"/>
  <c r="ZB15" i="24" s="1"/>
  <c r="ZC15" i="24" s="1"/>
  <c r="ZD15" i="24" s="1"/>
  <c r="ZE15" i="24" s="1"/>
  <c r="ZF15" i="24" s="1"/>
  <c r="ZG15" i="24" s="1"/>
  <c r="ZH15" i="24" s="1"/>
  <c r="ZI15" i="24" s="1"/>
  <c r="ZJ15" i="24" s="1"/>
  <c r="ZK15" i="24" s="1"/>
  <c r="ZL15" i="24" s="1"/>
  <c r="ZM15" i="24" s="1"/>
  <c r="ZN15" i="24" s="1"/>
  <c r="ZO15" i="24" s="1"/>
  <c r="ZP15" i="24" s="1"/>
  <c r="ZQ15" i="24" s="1"/>
  <c r="ZR15" i="24" s="1"/>
  <c r="ZS15" i="24" s="1"/>
  <c r="ZT15" i="24" s="1"/>
  <c r="ZU15" i="24" s="1"/>
  <c r="ZV15" i="24" s="1"/>
  <c r="ZW15" i="24" s="1"/>
  <c r="ZX15" i="24" s="1"/>
  <c r="ZY15" i="24" s="1"/>
  <c r="ZZ15" i="24" s="1"/>
  <c r="AAA15" i="24" s="1"/>
  <c r="AAB15" i="24" s="1"/>
  <c r="AAC15" i="24" s="1"/>
  <c r="AAD15" i="24" s="1"/>
  <c r="AAE15" i="24" s="1"/>
  <c r="AAF15" i="24" s="1"/>
  <c r="AAG15" i="24" s="1"/>
  <c r="AAH15" i="24" s="1"/>
  <c r="AAI15" i="24" s="1"/>
  <c r="AAJ15" i="24" s="1"/>
  <c r="AAK15" i="24" s="1"/>
  <c r="AAL15" i="24" s="1"/>
  <c r="AAM15" i="24" s="1"/>
  <c r="AAN15" i="24" s="1"/>
  <c r="AAO15" i="24" s="1"/>
  <c r="AAP15" i="24" s="1"/>
  <c r="AAQ15" i="24" s="1"/>
  <c r="AAR15" i="24" s="1"/>
  <c r="AAS15" i="24" s="1"/>
  <c r="AAT15" i="24" s="1"/>
  <c r="AAU15" i="24" s="1"/>
  <c r="AAV15" i="24" s="1"/>
  <c r="AAW15" i="24" s="1"/>
  <c r="AAX15" i="24" s="1"/>
  <c r="AAY15" i="24" s="1"/>
  <c r="AAZ15" i="24" s="1"/>
  <c r="ABA15" i="24" s="1"/>
  <c r="ABB15" i="24" s="1"/>
  <c r="ABC15" i="24" s="1"/>
  <c r="ABD15" i="24" s="1"/>
  <c r="ABE15" i="24" s="1"/>
  <c r="ABF15" i="24" s="1"/>
  <c r="ABG15" i="24" s="1"/>
  <c r="ABH15" i="24" s="1"/>
  <c r="ABI15" i="24" s="1"/>
  <c r="ABJ15" i="24" s="1"/>
  <c r="ABK15" i="24" s="1"/>
  <c r="ABL15" i="24" s="1"/>
  <c r="ABM15" i="24" s="1"/>
  <c r="ABN15" i="24" s="1"/>
  <c r="ABO15" i="24" s="1"/>
  <c r="ABP15" i="24" s="1"/>
  <c r="ABQ15" i="24" s="1"/>
  <c r="ABR15" i="24" s="1"/>
  <c r="ABS15" i="24" s="1"/>
  <c r="ABT15" i="24" s="1"/>
  <c r="ABU15" i="24" s="1"/>
  <c r="ABV15" i="24" s="1"/>
  <c r="ABW15" i="24" s="1"/>
  <c r="ABX15" i="24" s="1"/>
  <c r="ABY15" i="24" s="1"/>
  <c r="ABZ15" i="24" s="1"/>
  <c r="ACA15" i="24" s="1"/>
  <c r="ACB15" i="24" s="1"/>
  <c r="ACC15" i="24" s="1"/>
  <c r="ACD15" i="24" s="1"/>
  <c r="ACE15" i="24" s="1"/>
  <c r="ACF15" i="24" s="1"/>
  <c r="ACG15" i="24" s="1"/>
  <c r="ACH15" i="24" s="1"/>
  <c r="ACI15" i="24" s="1"/>
  <c r="ACJ15" i="24" s="1"/>
  <c r="ACK15" i="24" s="1"/>
  <c r="ACL15" i="24" s="1"/>
  <c r="ACM15" i="24" s="1"/>
  <c r="ACN15" i="24" s="1"/>
  <c r="ACO15" i="24" s="1"/>
  <c r="ACP15" i="24" s="1"/>
  <c r="ACQ15" i="24" s="1"/>
  <c r="ACR15" i="24" s="1"/>
  <c r="ACS15" i="24" s="1"/>
  <c r="ACT15" i="24" s="1"/>
  <c r="ACU15" i="24" s="1"/>
  <c r="ACV15" i="24" s="1"/>
  <c r="C20" i="24"/>
  <c r="D20" i="24" s="1"/>
  <c r="E20" i="24" s="1"/>
  <c r="F20" i="24" s="1"/>
  <c r="G20" i="24" s="1"/>
  <c r="H20" i="24" s="1"/>
  <c r="I20" i="24" s="1"/>
  <c r="J20" i="24" s="1"/>
  <c r="K20" i="24" s="1"/>
  <c r="L20" i="24" s="1"/>
  <c r="M20" i="24" s="1"/>
  <c r="N20" i="24" s="1"/>
  <c r="O20" i="24" s="1"/>
  <c r="P20" i="24" s="1"/>
  <c r="Q20" i="24" s="1"/>
  <c r="R20" i="24" s="1"/>
  <c r="S20" i="24" s="1"/>
  <c r="T20" i="24" s="1"/>
  <c r="U20" i="24" s="1"/>
  <c r="V20" i="24" s="1"/>
  <c r="W20" i="24" s="1"/>
  <c r="X20" i="24" s="1"/>
  <c r="Y20" i="24" s="1"/>
  <c r="Z20" i="24" s="1"/>
  <c r="AA20" i="24" s="1"/>
  <c r="AB20" i="24" s="1"/>
  <c r="AC20" i="24" s="1"/>
  <c r="AD20" i="24" s="1"/>
  <c r="AE20" i="24" s="1"/>
  <c r="AF20" i="24" s="1"/>
  <c r="AG20" i="24" s="1"/>
  <c r="AH20" i="24" s="1"/>
  <c r="AI20" i="24" s="1"/>
  <c r="AJ20" i="24" s="1"/>
  <c r="AK20" i="24" s="1"/>
  <c r="AL20" i="24" s="1"/>
  <c r="AM20" i="24" s="1"/>
  <c r="AN20" i="24" s="1"/>
  <c r="AO20" i="24" s="1"/>
  <c r="AP20" i="24" s="1"/>
  <c r="AQ20" i="24" s="1"/>
  <c r="AR20" i="24" s="1"/>
  <c r="AS20" i="24" s="1"/>
  <c r="AT20" i="24" s="1"/>
  <c r="AU20" i="24" s="1"/>
  <c r="AV20" i="24" s="1"/>
  <c r="AW20" i="24" s="1"/>
  <c r="AX20" i="24" s="1"/>
  <c r="AY20" i="24" s="1"/>
  <c r="AZ20" i="24" s="1"/>
  <c r="BA20" i="24" s="1"/>
  <c r="BB20" i="24" s="1"/>
  <c r="BC20" i="24" s="1"/>
  <c r="BD20" i="24" s="1"/>
  <c r="BE20" i="24" s="1"/>
  <c r="BF20" i="24" s="1"/>
  <c r="BG20" i="24" s="1"/>
  <c r="BH20" i="24" s="1"/>
  <c r="BI20" i="24" s="1"/>
  <c r="BJ20" i="24" s="1"/>
  <c r="BK20" i="24" s="1"/>
  <c r="BL20" i="24" s="1"/>
  <c r="BM20" i="24" s="1"/>
  <c r="BN20" i="24" s="1"/>
  <c r="BO20" i="24" s="1"/>
  <c r="BP20" i="24" s="1"/>
  <c r="BQ20" i="24" s="1"/>
  <c r="BR20" i="24" s="1"/>
  <c r="BS20" i="24" s="1"/>
  <c r="BT20" i="24" s="1"/>
  <c r="BU20" i="24" s="1"/>
  <c r="BV20" i="24" s="1"/>
  <c r="BW20" i="24" s="1"/>
  <c r="BX20" i="24" s="1"/>
  <c r="BY20" i="24" s="1"/>
  <c r="BZ20" i="24" s="1"/>
  <c r="CA20" i="24" s="1"/>
  <c r="CB20" i="24" s="1"/>
  <c r="CC20" i="24" s="1"/>
  <c r="CD20" i="24" s="1"/>
  <c r="CE20" i="24" s="1"/>
  <c r="CF20" i="24" s="1"/>
  <c r="CG20" i="24" s="1"/>
  <c r="CH20" i="24" s="1"/>
  <c r="CI20" i="24" s="1"/>
  <c r="CJ20" i="24" s="1"/>
  <c r="CK20" i="24" s="1"/>
  <c r="CL20" i="24" s="1"/>
  <c r="CM20" i="24" s="1"/>
  <c r="CN20" i="24" s="1"/>
  <c r="CO20" i="24" s="1"/>
  <c r="CP20" i="24" s="1"/>
  <c r="CQ20" i="24" s="1"/>
  <c r="CR20" i="24" s="1"/>
  <c r="CS20" i="24" s="1"/>
  <c r="CT20" i="24" s="1"/>
  <c r="CU20" i="24" s="1"/>
  <c r="CV20" i="24" s="1"/>
  <c r="CW20" i="24" s="1"/>
  <c r="CX20" i="24" s="1"/>
  <c r="CY20" i="24" s="1"/>
  <c r="CZ20" i="24" s="1"/>
  <c r="DA20" i="24" s="1"/>
  <c r="DB20" i="24" s="1"/>
  <c r="DC20" i="24" s="1"/>
  <c r="DD20" i="24" s="1"/>
  <c r="DE20" i="24" s="1"/>
  <c r="DF20" i="24" s="1"/>
  <c r="DG20" i="24" s="1"/>
  <c r="DH20" i="24" s="1"/>
  <c r="DI20" i="24" s="1"/>
  <c r="DJ20" i="24" s="1"/>
  <c r="DK20" i="24" s="1"/>
  <c r="DL20" i="24" s="1"/>
  <c r="DM20" i="24" s="1"/>
  <c r="DN20" i="24" s="1"/>
  <c r="DO20" i="24" s="1"/>
  <c r="DP20" i="24" s="1"/>
  <c r="DQ20" i="24" s="1"/>
  <c r="DR20" i="24" s="1"/>
  <c r="DS20" i="24" s="1"/>
  <c r="DT20" i="24" s="1"/>
  <c r="DU20" i="24" s="1"/>
  <c r="DV20" i="24" s="1"/>
  <c r="DW20" i="24" s="1"/>
  <c r="DX20" i="24" s="1"/>
  <c r="DY20" i="24" s="1"/>
  <c r="DZ20" i="24" s="1"/>
  <c r="EA20" i="24" s="1"/>
  <c r="EB20" i="24" s="1"/>
  <c r="EC20" i="24" s="1"/>
  <c r="ED20" i="24" s="1"/>
  <c r="EE20" i="24" s="1"/>
  <c r="EF20" i="24" s="1"/>
  <c r="EG20" i="24" s="1"/>
  <c r="EH20" i="24" s="1"/>
  <c r="EI20" i="24" s="1"/>
  <c r="EJ20" i="24" s="1"/>
  <c r="EK20" i="24" s="1"/>
  <c r="EL20" i="24" s="1"/>
  <c r="EM20" i="24" s="1"/>
  <c r="EN20" i="24" s="1"/>
  <c r="EO20" i="24" s="1"/>
  <c r="EP20" i="24" s="1"/>
  <c r="EQ20" i="24" s="1"/>
  <c r="ER20" i="24" s="1"/>
  <c r="ES20" i="24" s="1"/>
  <c r="ET20" i="24" s="1"/>
  <c r="EU20" i="24" s="1"/>
  <c r="EV20" i="24" s="1"/>
  <c r="EW20" i="24" s="1"/>
  <c r="EX20" i="24" s="1"/>
  <c r="EY20" i="24" s="1"/>
  <c r="EZ20" i="24" s="1"/>
  <c r="FA20" i="24" s="1"/>
  <c r="FB20" i="24" s="1"/>
  <c r="FC20" i="24" s="1"/>
  <c r="FD20" i="24" s="1"/>
  <c r="FE20" i="24" s="1"/>
  <c r="FF20" i="24" s="1"/>
  <c r="FG20" i="24" s="1"/>
  <c r="FH20" i="24" s="1"/>
  <c r="FI20" i="24" s="1"/>
  <c r="FJ20" i="24" s="1"/>
  <c r="FK20" i="24" s="1"/>
  <c r="FL20" i="24" s="1"/>
  <c r="FM20" i="24" s="1"/>
  <c r="FN20" i="24" s="1"/>
  <c r="FO20" i="24" s="1"/>
  <c r="FP20" i="24" s="1"/>
  <c r="FQ20" i="24" s="1"/>
  <c r="FR20" i="24" s="1"/>
  <c r="FS20" i="24" s="1"/>
  <c r="FT20" i="24" s="1"/>
  <c r="FU20" i="24" s="1"/>
  <c r="FV20" i="24" s="1"/>
  <c r="FW20" i="24" s="1"/>
  <c r="FX20" i="24" s="1"/>
  <c r="FY20" i="24" s="1"/>
  <c r="FZ20" i="24" s="1"/>
  <c r="GA20" i="24" s="1"/>
  <c r="GB20" i="24" s="1"/>
  <c r="GC20" i="24" s="1"/>
  <c r="GD20" i="24" s="1"/>
  <c r="GE20" i="24" s="1"/>
  <c r="GF20" i="24" s="1"/>
  <c r="GG20" i="24" s="1"/>
  <c r="GH20" i="24" s="1"/>
  <c r="GI20" i="24" s="1"/>
  <c r="GJ20" i="24" s="1"/>
  <c r="GK20" i="24" s="1"/>
  <c r="GL20" i="24" s="1"/>
  <c r="GM20" i="24" s="1"/>
  <c r="GN20" i="24" s="1"/>
  <c r="GO20" i="24" s="1"/>
  <c r="GP20" i="24" s="1"/>
  <c r="GQ20" i="24" s="1"/>
  <c r="GR20" i="24" s="1"/>
  <c r="GS20" i="24" s="1"/>
  <c r="GT20" i="24" s="1"/>
  <c r="GU20" i="24" s="1"/>
  <c r="GV20" i="24" s="1"/>
  <c r="GW20" i="24" s="1"/>
  <c r="GX20" i="24" s="1"/>
  <c r="GY20" i="24" s="1"/>
  <c r="GZ20" i="24" s="1"/>
  <c r="HA20" i="24" s="1"/>
  <c r="HB20" i="24" s="1"/>
  <c r="HC20" i="24" s="1"/>
  <c r="HD20" i="24" s="1"/>
  <c r="HE20" i="24" s="1"/>
  <c r="HF20" i="24" s="1"/>
  <c r="HG20" i="24" s="1"/>
  <c r="HH20" i="24" s="1"/>
  <c r="HI20" i="24" s="1"/>
  <c r="HJ20" i="24" s="1"/>
  <c r="HK20" i="24" s="1"/>
  <c r="HL20" i="24" s="1"/>
  <c r="HM20" i="24" s="1"/>
  <c r="HN20" i="24" s="1"/>
  <c r="HO20" i="24" s="1"/>
  <c r="HP20" i="24" s="1"/>
  <c r="HQ20" i="24" s="1"/>
  <c r="HR20" i="24" s="1"/>
  <c r="HS20" i="24" s="1"/>
  <c r="HT20" i="24" s="1"/>
  <c r="HU20" i="24" s="1"/>
  <c r="HV20" i="24" s="1"/>
  <c r="HW20" i="24" s="1"/>
  <c r="HX20" i="24" s="1"/>
  <c r="HY20" i="24" s="1"/>
  <c r="HZ20" i="24" s="1"/>
  <c r="IA20" i="24" s="1"/>
  <c r="IB20" i="24" s="1"/>
  <c r="IC20" i="24" s="1"/>
  <c r="ID20" i="24" s="1"/>
  <c r="IE20" i="24" s="1"/>
  <c r="IF20" i="24" s="1"/>
  <c r="IG20" i="24" s="1"/>
  <c r="IH20" i="24" s="1"/>
  <c r="II20" i="24" s="1"/>
  <c r="IJ20" i="24" s="1"/>
  <c r="IK20" i="24" s="1"/>
  <c r="IL20" i="24" s="1"/>
  <c r="IM20" i="24" s="1"/>
  <c r="IN20" i="24" s="1"/>
  <c r="IO20" i="24" s="1"/>
  <c r="IP20" i="24" s="1"/>
  <c r="IQ20" i="24" s="1"/>
  <c r="IR20" i="24" s="1"/>
  <c r="IS20" i="24" s="1"/>
  <c r="IT20" i="24" s="1"/>
  <c r="IU20" i="24" s="1"/>
  <c r="IV20" i="24" s="1"/>
  <c r="IW20" i="24" s="1"/>
  <c r="IX20" i="24" s="1"/>
  <c r="IY20" i="24" s="1"/>
  <c r="IZ20" i="24" s="1"/>
  <c r="JA20" i="24" s="1"/>
  <c r="JB20" i="24" s="1"/>
  <c r="JC20" i="24" s="1"/>
  <c r="JD20" i="24" s="1"/>
  <c r="JE20" i="24" s="1"/>
  <c r="JF20" i="24" s="1"/>
  <c r="JG20" i="24" s="1"/>
  <c r="JH20" i="24" s="1"/>
  <c r="JI20" i="24" s="1"/>
  <c r="JJ20" i="24" s="1"/>
  <c r="JK20" i="24" s="1"/>
  <c r="JL20" i="24" s="1"/>
  <c r="JM20" i="24" s="1"/>
  <c r="JN20" i="24" s="1"/>
  <c r="JO20" i="24" s="1"/>
  <c r="JP20" i="24" s="1"/>
  <c r="JQ20" i="24" s="1"/>
  <c r="JR20" i="24" s="1"/>
  <c r="JS20" i="24" s="1"/>
  <c r="JT20" i="24" s="1"/>
  <c r="JU20" i="24" s="1"/>
  <c r="JV20" i="24" s="1"/>
  <c r="JW20" i="24" s="1"/>
  <c r="JX20" i="24" s="1"/>
  <c r="JY20" i="24" s="1"/>
  <c r="JZ20" i="24" s="1"/>
  <c r="KA20" i="24" s="1"/>
  <c r="KB20" i="24" s="1"/>
  <c r="KC20" i="24" s="1"/>
  <c r="KD20" i="24" s="1"/>
  <c r="KE20" i="24" s="1"/>
  <c r="KF20" i="24" s="1"/>
  <c r="KG20" i="24" s="1"/>
  <c r="KH20" i="24" s="1"/>
  <c r="KI20" i="24" s="1"/>
  <c r="KJ20" i="24" s="1"/>
  <c r="KK20" i="24" s="1"/>
  <c r="KL20" i="24" s="1"/>
  <c r="KM20" i="24" s="1"/>
  <c r="KN20" i="24" s="1"/>
  <c r="KO20" i="24" s="1"/>
  <c r="KP20" i="24" s="1"/>
  <c r="KQ20" i="24" s="1"/>
  <c r="KR20" i="24" s="1"/>
  <c r="KS20" i="24" s="1"/>
  <c r="KT20" i="24" s="1"/>
  <c r="KU20" i="24" s="1"/>
  <c r="KV20" i="24" s="1"/>
  <c r="KW20" i="24" s="1"/>
  <c r="KX20" i="24" s="1"/>
  <c r="KY20" i="24" s="1"/>
  <c r="KZ20" i="24" s="1"/>
  <c r="LA20" i="24" s="1"/>
  <c r="LB20" i="24" s="1"/>
  <c r="LC20" i="24" s="1"/>
  <c r="LD20" i="24" s="1"/>
  <c r="LE20" i="24" s="1"/>
  <c r="LF20" i="24" s="1"/>
  <c r="LG20" i="24" s="1"/>
  <c r="LH20" i="24" s="1"/>
  <c r="LI20" i="24" s="1"/>
  <c r="LJ20" i="24" s="1"/>
  <c r="LK20" i="24" s="1"/>
  <c r="LL20" i="24" s="1"/>
  <c r="LM20" i="24" s="1"/>
  <c r="LN20" i="24" s="1"/>
  <c r="LO20" i="24" s="1"/>
  <c r="LP20" i="24" s="1"/>
  <c r="LQ20" i="24" s="1"/>
  <c r="LR20" i="24" s="1"/>
  <c r="LS20" i="24" s="1"/>
  <c r="LT20" i="24" s="1"/>
  <c r="LU20" i="24" s="1"/>
  <c r="LV20" i="24" s="1"/>
  <c r="LW20" i="24" s="1"/>
  <c r="LX20" i="24" s="1"/>
  <c r="LY20" i="24" s="1"/>
  <c r="LZ20" i="24" s="1"/>
  <c r="MA20" i="24" s="1"/>
  <c r="MB20" i="24" s="1"/>
  <c r="MC20" i="24" s="1"/>
  <c r="MD20" i="24" s="1"/>
  <c r="ME20" i="24" s="1"/>
  <c r="MF20" i="24" s="1"/>
  <c r="MG20" i="24" s="1"/>
  <c r="MH20" i="24" s="1"/>
  <c r="MI20" i="24" s="1"/>
  <c r="MJ20" i="24" s="1"/>
  <c r="MK20" i="24" s="1"/>
  <c r="ML20" i="24" s="1"/>
  <c r="MM20" i="24" s="1"/>
  <c r="MN20" i="24" s="1"/>
  <c r="MO20" i="24" s="1"/>
  <c r="MP20" i="24" s="1"/>
  <c r="MQ20" i="24" s="1"/>
  <c r="MR20" i="24" s="1"/>
  <c r="MS20" i="24" s="1"/>
  <c r="MT20" i="24" s="1"/>
  <c r="MU20" i="24" s="1"/>
  <c r="MV20" i="24" s="1"/>
  <c r="MW20" i="24" s="1"/>
  <c r="MX20" i="24" s="1"/>
  <c r="MY20" i="24" s="1"/>
  <c r="MZ20" i="24" s="1"/>
  <c r="NA20" i="24" s="1"/>
  <c r="NB20" i="24" s="1"/>
  <c r="NC20" i="24" s="1"/>
  <c r="ND20" i="24" s="1"/>
  <c r="NE20" i="24" s="1"/>
  <c r="NF20" i="24" s="1"/>
  <c r="NG20" i="24" s="1"/>
  <c r="NH20" i="24" s="1"/>
  <c r="NI20" i="24" s="1"/>
  <c r="NJ20" i="24" s="1"/>
  <c r="NK20" i="24" s="1"/>
  <c r="NL20" i="24" s="1"/>
  <c r="NM20" i="24" s="1"/>
  <c r="NN20" i="24" s="1"/>
  <c r="NO20" i="24" s="1"/>
  <c r="NP20" i="24" s="1"/>
  <c r="NQ20" i="24" s="1"/>
  <c r="NR20" i="24" s="1"/>
  <c r="NS20" i="24" s="1"/>
  <c r="NT20" i="24" s="1"/>
  <c r="NU20" i="24" s="1"/>
  <c r="NV20" i="24" s="1"/>
  <c r="NW20" i="24" s="1"/>
  <c r="NX20" i="24" s="1"/>
  <c r="NY20" i="24" s="1"/>
  <c r="NZ20" i="24" s="1"/>
  <c r="OA20" i="24" s="1"/>
  <c r="OB20" i="24" s="1"/>
  <c r="OC20" i="24" s="1"/>
  <c r="OD20" i="24" s="1"/>
  <c r="OE20" i="24" s="1"/>
  <c r="OF20" i="24" s="1"/>
  <c r="OG20" i="24" s="1"/>
  <c r="OH20" i="24" s="1"/>
  <c r="OI20" i="24" s="1"/>
  <c r="OJ20" i="24" s="1"/>
  <c r="OK20" i="24" s="1"/>
  <c r="OL20" i="24" s="1"/>
  <c r="OM20" i="24" s="1"/>
  <c r="ON20" i="24" s="1"/>
  <c r="OO20" i="24" s="1"/>
  <c r="OP20" i="24" s="1"/>
  <c r="OQ20" i="24" s="1"/>
  <c r="OR20" i="24" s="1"/>
  <c r="OS20" i="24" s="1"/>
  <c r="OT20" i="24" s="1"/>
  <c r="OU20" i="24" s="1"/>
  <c r="OV20" i="24" s="1"/>
  <c r="OW20" i="24" s="1"/>
  <c r="OX20" i="24" s="1"/>
  <c r="OY20" i="24" s="1"/>
  <c r="OZ20" i="24" s="1"/>
  <c r="PA20" i="24" s="1"/>
  <c r="PB20" i="24" s="1"/>
  <c r="PC20" i="24" s="1"/>
  <c r="PD20" i="24" s="1"/>
  <c r="PE20" i="24" s="1"/>
  <c r="PF20" i="24" s="1"/>
  <c r="PG20" i="24" s="1"/>
  <c r="PH20" i="24" s="1"/>
  <c r="PI20" i="24" s="1"/>
  <c r="PJ20" i="24" s="1"/>
  <c r="PK20" i="24" s="1"/>
  <c r="PL20" i="24" s="1"/>
  <c r="PM20" i="24" s="1"/>
  <c r="PN20" i="24" s="1"/>
  <c r="PO20" i="24" s="1"/>
  <c r="PP20" i="24" s="1"/>
  <c r="PQ20" i="24" s="1"/>
  <c r="PR20" i="24" s="1"/>
  <c r="PS20" i="24" s="1"/>
  <c r="PT20" i="24" s="1"/>
  <c r="PU20" i="24" s="1"/>
  <c r="PV20" i="24" s="1"/>
  <c r="PW20" i="24" s="1"/>
  <c r="PX20" i="24" s="1"/>
  <c r="PY20" i="24" s="1"/>
  <c r="PZ20" i="24" s="1"/>
  <c r="QA20" i="24" s="1"/>
  <c r="QB20" i="24" s="1"/>
  <c r="QC20" i="24" s="1"/>
  <c r="QD20" i="24" s="1"/>
  <c r="QE20" i="24" s="1"/>
  <c r="QF20" i="24" s="1"/>
  <c r="QG20" i="24" s="1"/>
  <c r="QH20" i="24" s="1"/>
  <c r="QI20" i="24" s="1"/>
  <c r="QJ20" i="24" s="1"/>
  <c r="QK20" i="24" s="1"/>
  <c r="QL20" i="24" s="1"/>
  <c r="QM20" i="24" s="1"/>
  <c r="QN20" i="24" s="1"/>
  <c r="QO20" i="24" s="1"/>
  <c r="QP20" i="24" s="1"/>
  <c r="QQ20" i="24" s="1"/>
  <c r="QR20" i="24" s="1"/>
  <c r="QS20" i="24" s="1"/>
  <c r="QT20" i="24" s="1"/>
  <c r="QU20" i="24" s="1"/>
  <c r="QV20" i="24" s="1"/>
  <c r="QW20" i="24" s="1"/>
  <c r="QX20" i="24" s="1"/>
  <c r="QY20" i="24" s="1"/>
  <c r="QZ20" i="24" s="1"/>
  <c r="RA20" i="24" s="1"/>
  <c r="RB20" i="24" s="1"/>
  <c r="RC20" i="24" s="1"/>
  <c r="RD20" i="24" s="1"/>
  <c r="RE20" i="24" s="1"/>
  <c r="RF20" i="24" s="1"/>
  <c r="RG20" i="24" s="1"/>
  <c r="RH20" i="24" s="1"/>
  <c r="RI20" i="24" s="1"/>
  <c r="RJ20" i="24" s="1"/>
  <c r="RK20" i="24" s="1"/>
  <c r="RL20" i="24" s="1"/>
  <c r="RM20" i="24" s="1"/>
  <c r="RN20" i="24" s="1"/>
  <c r="RO20" i="24" s="1"/>
  <c r="RP20" i="24" s="1"/>
  <c r="RQ20" i="24" s="1"/>
  <c r="RR20" i="24" s="1"/>
  <c r="RS20" i="24" s="1"/>
  <c r="RT20" i="24" s="1"/>
  <c r="RU20" i="24" s="1"/>
  <c r="RV20" i="24" s="1"/>
  <c r="RW20" i="24" s="1"/>
  <c r="RX20" i="24" s="1"/>
  <c r="RY20" i="24" s="1"/>
  <c r="RZ20" i="24" s="1"/>
  <c r="SA20" i="24" s="1"/>
  <c r="SB20" i="24" s="1"/>
  <c r="SC20" i="24" s="1"/>
  <c r="SD20" i="24" s="1"/>
  <c r="SE20" i="24" s="1"/>
  <c r="SF20" i="24" s="1"/>
  <c r="SG20" i="24" s="1"/>
  <c r="SH20" i="24" s="1"/>
  <c r="SI20" i="24" s="1"/>
  <c r="SJ20" i="24" s="1"/>
  <c r="SK20" i="24" s="1"/>
  <c r="SL20" i="24" s="1"/>
  <c r="SM20" i="24" s="1"/>
  <c r="SN20" i="24" s="1"/>
  <c r="SO20" i="24" s="1"/>
  <c r="SP20" i="24" s="1"/>
  <c r="SQ20" i="24" s="1"/>
  <c r="SR20" i="24" s="1"/>
  <c r="SS20" i="24" s="1"/>
  <c r="ST20" i="24" s="1"/>
  <c r="SU20" i="24" s="1"/>
  <c r="SV20" i="24" s="1"/>
  <c r="SW20" i="24" s="1"/>
  <c r="SX20" i="24" s="1"/>
  <c r="SY20" i="24" s="1"/>
  <c r="SZ20" i="24" s="1"/>
  <c r="TA20" i="24" s="1"/>
  <c r="TB20" i="24" s="1"/>
  <c r="TC20" i="24" s="1"/>
  <c r="TD20" i="24" s="1"/>
  <c r="TE20" i="24" s="1"/>
  <c r="TF20" i="24" s="1"/>
  <c r="TG20" i="24" s="1"/>
  <c r="TH20" i="24" s="1"/>
  <c r="TI20" i="24" s="1"/>
  <c r="TJ20" i="24" s="1"/>
  <c r="TK20" i="24" s="1"/>
  <c r="TL20" i="24" s="1"/>
  <c r="TM20" i="24" s="1"/>
  <c r="TN20" i="24" s="1"/>
  <c r="TO20" i="24" s="1"/>
  <c r="TP20" i="24" s="1"/>
  <c r="TQ20" i="24" s="1"/>
  <c r="TR20" i="24" s="1"/>
  <c r="TS20" i="24" s="1"/>
  <c r="TT20" i="24" s="1"/>
  <c r="TU20" i="24" s="1"/>
  <c r="TV20" i="24" s="1"/>
  <c r="TW20" i="24" s="1"/>
  <c r="TX20" i="24" s="1"/>
  <c r="TY20" i="24" s="1"/>
  <c r="TZ20" i="24" s="1"/>
  <c r="UA20" i="24" s="1"/>
  <c r="UB20" i="24" s="1"/>
  <c r="UC20" i="24" s="1"/>
  <c r="UD20" i="24" s="1"/>
  <c r="UE20" i="24" s="1"/>
  <c r="UF20" i="24" s="1"/>
  <c r="UG20" i="24" s="1"/>
  <c r="UH20" i="24" s="1"/>
  <c r="UI20" i="24" s="1"/>
  <c r="UJ20" i="24" s="1"/>
  <c r="UK20" i="24" s="1"/>
  <c r="UL20" i="24" s="1"/>
  <c r="UM20" i="24" s="1"/>
  <c r="UN20" i="24" s="1"/>
  <c r="UO20" i="24" s="1"/>
  <c r="UP20" i="24" s="1"/>
  <c r="UQ20" i="24" s="1"/>
  <c r="UR20" i="24" s="1"/>
  <c r="US20" i="24" s="1"/>
  <c r="UT20" i="24" s="1"/>
  <c r="UU20" i="24" s="1"/>
  <c r="UV20" i="24" s="1"/>
  <c r="UW20" i="24" s="1"/>
  <c r="UX20" i="24" s="1"/>
  <c r="UY20" i="24" s="1"/>
  <c r="UZ20" i="24" s="1"/>
  <c r="VA20" i="24" s="1"/>
  <c r="VB20" i="24" s="1"/>
  <c r="VC20" i="24" s="1"/>
  <c r="VD20" i="24" s="1"/>
  <c r="VE20" i="24" s="1"/>
  <c r="VF20" i="24" s="1"/>
  <c r="VG20" i="24" s="1"/>
  <c r="VH20" i="24" s="1"/>
  <c r="VI20" i="24" s="1"/>
  <c r="VJ20" i="24" s="1"/>
  <c r="VK20" i="24" s="1"/>
  <c r="VL20" i="24" s="1"/>
  <c r="VM20" i="24" s="1"/>
  <c r="VN20" i="24" s="1"/>
  <c r="VO20" i="24" s="1"/>
  <c r="VP20" i="24" s="1"/>
  <c r="VQ20" i="24" s="1"/>
  <c r="VR20" i="24" s="1"/>
  <c r="VS20" i="24" s="1"/>
  <c r="VT20" i="24" s="1"/>
  <c r="VU20" i="24" s="1"/>
  <c r="VV20" i="24" s="1"/>
  <c r="VW20" i="24" s="1"/>
  <c r="VX20" i="24" s="1"/>
  <c r="VY20" i="24" s="1"/>
  <c r="VZ20" i="24" s="1"/>
  <c r="WA20" i="24" s="1"/>
  <c r="WB20" i="24" s="1"/>
  <c r="WC20" i="24" s="1"/>
  <c r="WD20" i="24" s="1"/>
  <c r="WE20" i="24" s="1"/>
  <c r="WF20" i="24" s="1"/>
  <c r="WG20" i="24" s="1"/>
  <c r="WH20" i="24" s="1"/>
  <c r="WI20" i="24" s="1"/>
  <c r="WJ20" i="24" s="1"/>
  <c r="WK20" i="24" s="1"/>
  <c r="WL20" i="24" s="1"/>
  <c r="WM20" i="24" s="1"/>
  <c r="WN20" i="24" s="1"/>
  <c r="WO20" i="24" s="1"/>
  <c r="WP20" i="24" s="1"/>
  <c r="WQ20" i="24" s="1"/>
  <c r="WR20" i="24" s="1"/>
  <c r="WS20" i="24" s="1"/>
  <c r="WT20" i="24" s="1"/>
  <c r="WU20" i="24" s="1"/>
  <c r="WV20" i="24" s="1"/>
  <c r="WW20" i="24" s="1"/>
  <c r="WX20" i="24" s="1"/>
  <c r="WY20" i="24" s="1"/>
  <c r="WZ20" i="24" s="1"/>
  <c r="XA20" i="24" s="1"/>
  <c r="XB20" i="24" s="1"/>
  <c r="XC20" i="24" s="1"/>
  <c r="XD20" i="24" s="1"/>
  <c r="XE20" i="24" s="1"/>
  <c r="XF20" i="24" s="1"/>
  <c r="XG20" i="24" s="1"/>
  <c r="XH20" i="24" s="1"/>
  <c r="XI20" i="24" s="1"/>
  <c r="XJ20" i="24" s="1"/>
  <c r="XK20" i="24" s="1"/>
  <c r="XL20" i="24" s="1"/>
  <c r="XM20" i="24" s="1"/>
  <c r="XN20" i="24" s="1"/>
  <c r="XO20" i="24" s="1"/>
  <c r="XP20" i="24" s="1"/>
  <c r="XQ20" i="24" s="1"/>
  <c r="XR20" i="24" s="1"/>
  <c r="XS20" i="24" s="1"/>
  <c r="XT20" i="24" s="1"/>
  <c r="XU20" i="24" s="1"/>
  <c r="XV20" i="24" s="1"/>
  <c r="XW20" i="24" s="1"/>
  <c r="XX20" i="24" s="1"/>
  <c r="XY20" i="24" s="1"/>
  <c r="XZ20" i="24" s="1"/>
  <c r="YA20" i="24" s="1"/>
  <c r="YB20" i="24" s="1"/>
  <c r="YC20" i="24" s="1"/>
  <c r="YD20" i="24" s="1"/>
  <c r="YE20" i="24" s="1"/>
  <c r="YF20" i="24" s="1"/>
  <c r="YG20" i="24" s="1"/>
  <c r="YH20" i="24" s="1"/>
  <c r="YI20" i="24" s="1"/>
  <c r="YJ20" i="24" s="1"/>
  <c r="YK20" i="24" s="1"/>
  <c r="YL20" i="24" s="1"/>
  <c r="YM20" i="24" s="1"/>
  <c r="YN20" i="24" s="1"/>
  <c r="YO20" i="24" s="1"/>
  <c r="YP20" i="24" s="1"/>
  <c r="YQ20" i="24" s="1"/>
  <c r="YR20" i="24" s="1"/>
  <c r="YS20" i="24" s="1"/>
  <c r="YT20" i="24" s="1"/>
  <c r="YU20" i="24" s="1"/>
  <c r="YV20" i="24" s="1"/>
  <c r="YW20" i="24" s="1"/>
  <c r="YX20" i="24" s="1"/>
  <c r="YY20" i="24" s="1"/>
  <c r="YZ20" i="24" s="1"/>
  <c r="ZA20" i="24" s="1"/>
  <c r="ZB20" i="24" s="1"/>
  <c r="ZC20" i="24" s="1"/>
  <c r="ZD20" i="24" s="1"/>
  <c r="ZE20" i="24" s="1"/>
  <c r="ZF20" i="24" s="1"/>
  <c r="ZG20" i="24" s="1"/>
  <c r="ZH20" i="24" s="1"/>
  <c r="ZI20" i="24" s="1"/>
  <c r="ZJ20" i="24" s="1"/>
  <c r="ZK20" i="24" s="1"/>
  <c r="ZL20" i="24" s="1"/>
  <c r="ZM20" i="24" s="1"/>
  <c r="ZN20" i="24" s="1"/>
  <c r="ZO20" i="24" s="1"/>
  <c r="ZP20" i="24" s="1"/>
  <c r="ZQ20" i="24" s="1"/>
  <c r="ZR20" i="24" s="1"/>
  <c r="ZS20" i="24" s="1"/>
  <c r="ZT20" i="24" s="1"/>
  <c r="ZU20" i="24" s="1"/>
  <c r="ZV20" i="24" s="1"/>
  <c r="ZW20" i="24" s="1"/>
  <c r="ZX20" i="24" s="1"/>
  <c r="ZY20" i="24" s="1"/>
  <c r="ZZ20" i="24" s="1"/>
  <c r="AAA20" i="24" s="1"/>
  <c r="AAB20" i="24" s="1"/>
  <c r="AAC20" i="24" s="1"/>
  <c r="AAD20" i="24" s="1"/>
  <c r="AAE20" i="24" s="1"/>
  <c r="AAF20" i="24" s="1"/>
  <c r="AAG20" i="24" s="1"/>
  <c r="AAH20" i="24" s="1"/>
  <c r="AAI20" i="24" s="1"/>
  <c r="AAJ20" i="24" s="1"/>
  <c r="AAK20" i="24" s="1"/>
  <c r="AAL20" i="24" s="1"/>
  <c r="AAM20" i="24" s="1"/>
  <c r="AAN20" i="24" s="1"/>
  <c r="AAO20" i="24" s="1"/>
  <c r="AAP20" i="24" s="1"/>
  <c r="AAQ20" i="24" s="1"/>
  <c r="AAR20" i="24" s="1"/>
  <c r="AAS20" i="24" s="1"/>
  <c r="AAT20" i="24" s="1"/>
  <c r="AAU20" i="24" s="1"/>
  <c r="AAV20" i="24" s="1"/>
  <c r="AAW20" i="24" s="1"/>
  <c r="AAX20" i="24" s="1"/>
  <c r="AAY20" i="24" s="1"/>
  <c r="AAZ20" i="24" s="1"/>
  <c r="ABA20" i="24" s="1"/>
  <c r="ABB20" i="24" s="1"/>
  <c r="ABC20" i="24" s="1"/>
  <c r="ABD20" i="24" s="1"/>
  <c r="ABE20" i="24" s="1"/>
  <c r="ABF20" i="24" s="1"/>
  <c r="ABG20" i="24" s="1"/>
  <c r="ABH20" i="24" s="1"/>
  <c r="ABI20" i="24" s="1"/>
  <c r="ABJ20" i="24" s="1"/>
  <c r="ABK20" i="24" s="1"/>
  <c r="ABL20" i="24" s="1"/>
  <c r="ABM20" i="24" s="1"/>
  <c r="ABN20" i="24" s="1"/>
  <c r="ABO20" i="24" s="1"/>
  <c r="ABP20" i="24" s="1"/>
  <c r="ABQ20" i="24" s="1"/>
  <c r="ABR20" i="24" s="1"/>
  <c r="ABS20" i="24" s="1"/>
  <c r="ABT20" i="24" s="1"/>
  <c r="ABU20" i="24" s="1"/>
  <c r="ABV20" i="24" s="1"/>
  <c r="ABW20" i="24" s="1"/>
  <c r="ABX20" i="24" s="1"/>
  <c r="ABY20" i="24" s="1"/>
  <c r="ABZ20" i="24" s="1"/>
  <c r="ACA20" i="24" s="1"/>
  <c r="ACB20" i="24" s="1"/>
  <c r="ACC20" i="24" s="1"/>
  <c r="ACD20" i="24" s="1"/>
  <c r="ACE20" i="24" s="1"/>
  <c r="ACF20" i="24" s="1"/>
  <c r="ACG20" i="24" s="1"/>
  <c r="ACH20" i="24" s="1"/>
  <c r="ACI20" i="24" s="1"/>
  <c r="ACJ20" i="24" s="1"/>
  <c r="ACK20" i="24" s="1"/>
  <c r="ACL20" i="24" s="1"/>
  <c r="ACM20" i="24" s="1"/>
  <c r="ACN20" i="24" s="1"/>
  <c r="ACO20" i="24" s="1"/>
  <c r="ACP20" i="24" s="1"/>
  <c r="ACQ20" i="24" s="1"/>
  <c r="ACR20" i="24" s="1"/>
  <c r="ACS20" i="24" s="1"/>
  <c r="ACT20" i="24" s="1"/>
  <c r="ACU20" i="24" s="1"/>
  <c r="ACV20" i="24" s="1"/>
  <c r="C19" i="24"/>
  <c r="D19" i="24" s="1"/>
  <c r="E19" i="24" s="1"/>
  <c r="F19" i="24" s="1"/>
  <c r="G19" i="24" s="1"/>
  <c r="H19" i="24" s="1"/>
  <c r="I19" i="24" s="1"/>
  <c r="J19" i="24" s="1"/>
  <c r="K19" i="24" s="1"/>
  <c r="L19" i="24" s="1"/>
  <c r="M19" i="24" s="1"/>
  <c r="N19" i="24" s="1"/>
  <c r="O19" i="24" s="1"/>
  <c r="P19" i="24" s="1"/>
  <c r="Q19" i="24" s="1"/>
  <c r="R19" i="24" s="1"/>
  <c r="S19" i="24" s="1"/>
  <c r="T19" i="24" s="1"/>
  <c r="U19" i="24" s="1"/>
  <c r="V19" i="24" s="1"/>
  <c r="W19" i="24" s="1"/>
  <c r="X19" i="24" s="1"/>
  <c r="Y19" i="24" s="1"/>
  <c r="Z19" i="24" s="1"/>
  <c r="AA19" i="24" s="1"/>
  <c r="AB19" i="24" s="1"/>
  <c r="AC19" i="24" s="1"/>
  <c r="AD19" i="24" s="1"/>
  <c r="AE19" i="24" s="1"/>
  <c r="AF19" i="24" s="1"/>
  <c r="AG19" i="24" s="1"/>
  <c r="AH19" i="24" s="1"/>
  <c r="AI19" i="24" s="1"/>
  <c r="AJ19" i="24" s="1"/>
  <c r="AK19" i="24" s="1"/>
  <c r="AL19" i="24" s="1"/>
  <c r="AM19" i="24" s="1"/>
  <c r="AN19" i="24" s="1"/>
  <c r="AO19" i="24" s="1"/>
  <c r="AP19" i="24" s="1"/>
  <c r="AQ19" i="24" s="1"/>
  <c r="AR19" i="24" s="1"/>
  <c r="AS19" i="24" s="1"/>
  <c r="AT19" i="24" s="1"/>
  <c r="AU19" i="24" s="1"/>
  <c r="AV19" i="24" s="1"/>
  <c r="AW19" i="24" s="1"/>
  <c r="AX19" i="24" s="1"/>
  <c r="AY19" i="24" s="1"/>
  <c r="AZ19" i="24" s="1"/>
  <c r="BA19" i="24" s="1"/>
  <c r="BB19" i="24" s="1"/>
  <c r="BC19" i="24" s="1"/>
  <c r="BD19" i="24" s="1"/>
  <c r="BE19" i="24" s="1"/>
  <c r="BF19" i="24" s="1"/>
  <c r="BG19" i="24" s="1"/>
  <c r="BH19" i="24" s="1"/>
  <c r="BI19" i="24" s="1"/>
  <c r="BJ19" i="24" s="1"/>
  <c r="BK19" i="24" s="1"/>
  <c r="BL19" i="24" s="1"/>
  <c r="BM19" i="24" s="1"/>
  <c r="BN19" i="24" s="1"/>
  <c r="BO19" i="24" s="1"/>
  <c r="BP19" i="24" s="1"/>
  <c r="BQ19" i="24" s="1"/>
  <c r="BR19" i="24" s="1"/>
  <c r="BS19" i="24" s="1"/>
  <c r="BT19" i="24" s="1"/>
  <c r="BU19" i="24" s="1"/>
  <c r="BV19" i="24" s="1"/>
  <c r="BW19" i="24" s="1"/>
  <c r="BX19" i="24" s="1"/>
  <c r="BY19" i="24" s="1"/>
  <c r="BZ19" i="24" s="1"/>
  <c r="CA19" i="24" s="1"/>
  <c r="CB19" i="24" s="1"/>
  <c r="CC19" i="24" s="1"/>
  <c r="CD19" i="24" s="1"/>
  <c r="CE19" i="24" s="1"/>
  <c r="CF19" i="24" s="1"/>
  <c r="CG19" i="24" s="1"/>
  <c r="CH19" i="24" s="1"/>
  <c r="CI19" i="24" s="1"/>
  <c r="CJ19" i="24" s="1"/>
  <c r="CK19" i="24" s="1"/>
  <c r="CL19" i="24" s="1"/>
  <c r="CM19" i="24" s="1"/>
  <c r="CN19" i="24" s="1"/>
  <c r="CO19" i="24" s="1"/>
  <c r="CP19" i="24" s="1"/>
  <c r="CQ19" i="24" s="1"/>
  <c r="CR19" i="24" s="1"/>
  <c r="CS19" i="24" s="1"/>
  <c r="CT19" i="24" s="1"/>
  <c r="CU19" i="24" s="1"/>
  <c r="CV19" i="24" s="1"/>
  <c r="CW19" i="24" s="1"/>
  <c r="CX19" i="24" s="1"/>
  <c r="CY19" i="24" s="1"/>
  <c r="CZ19" i="24" s="1"/>
  <c r="DA19" i="24" s="1"/>
  <c r="DB19" i="24" s="1"/>
  <c r="DC19" i="24" s="1"/>
  <c r="DD19" i="24" s="1"/>
  <c r="DE19" i="24" s="1"/>
  <c r="DF19" i="24" s="1"/>
  <c r="DG19" i="24" s="1"/>
  <c r="DH19" i="24" s="1"/>
  <c r="DI19" i="24" s="1"/>
  <c r="DJ19" i="24" s="1"/>
  <c r="DK19" i="24" s="1"/>
  <c r="DL19" i="24" s="1"/>
  <c r="DM19" i="24" s="1"/>
  <c r="DN19" i="24" s="1"/>
  <c r="DO19" i="24" s="1"/>
  <c r="DP19" i="24" s="1"/>
  <c r="DQ19" i="24" s="1"/>
  <c r="DR19" i="24" s="1"/>
  <c r="DS19" i="24" s="1"/>
  <c r="DT19" i="24" s="1"/>
  <c r="DU19" i="24" s="1"/>
  <c r="DV19" i="24" s="1"/>
  <c r="DW19" i="24" s="1"/>
  <c r="DX19" i="24" s="1"/>
  <c r="DY19" i="24" s="1"/>
  <c r="DZ19" i="24" s="1"/>
  <c r="EA19" i="24" s="1"/>
  <c r="EB19" i="24" s="1"/>
  <c r="EC19" i="24" s="1"/>
  <c r="ED19" i="24" s="1"/>
  <c r="EE19" i="24" s="1"/>
  <c r="EF19" i="24" s="1"/>
  <c r="EG19" i="24" s="1"/>
  <c r="EH19" i="24" s="1"/>
  <c r="EI19" i="24" s="1"/>
  <c r="EJ19" i="24" s="1"/>
  <c r="EK19" i="24" s="1"/>
  <c r="EL19" i="24" s="1"/>
  <c r="EM19" i="24" s="1"/>
  <c r="EN19" i="24" s="1"/>
  <c r="EO19" i="24" s="1"/>
  <c r="EP19" i="24" s="1"/>
  <c r="EQ19" i="24" s="1"/>
  <c r="ER19" i="24" s="1"/>
  <c r="ES19" i="24" s="1"/>
  <c r="ET19" i="24" s="1"/>
  <c r="EU19" i="24" s="1"/>
  <c r="EV19" i="24" s="1"/>
  <c r="EW19" i="24" s="1"/>
  <c r="EX19" i="24" s="1"/>
  <c r="EY19" i="24" s="1"/>
  <c r="EZ19" i="24" s="1"/>
  <c r="FA19" i="24" s="1"/>
  <c r="FB19" i="24" s="1"/>
  <c r="FC19" i="24" s="1"/>
  <c r="FD19" i="24" s="1"/>
  <c r="FE19" i="24" s="1"/>
  <c r="FF19" i="24" s="1"/>
  <c r="FG19" i="24" s="1"/>
  <c r="FH19" i="24" s="1"/>
  <c r="FI19" i="24" s="1"/>
  <c r="FJ19" i="24" s="1"/>
  <c r="FK19" i="24" s="1"/>
  <c r="FL19" i="24" s="1"/>
  <c r="FM19" i="24" s="1"/>
  <c r="FN19" i="24" s="1"/>
  <c r="FO19" i="24" s="1"/>
  <c r="FP19" i="24" s="1"/>
  <c r="FQ19" i="24" s="1"/>
  <c r="FR19" i="24" s="1"/>
  <c r="FS19" i="24" s="1"/>
  <c r="FT19" i="24" s="1"/>
  <c r="FU19" i="24" s="1"/>
  <c r="FV19" i="24" s="1"/>
  <c r="FW19" i="24" s="1"/>
  <c r="FX19" i="24" s="1"/>
  <c r="FY19" i="24" s="1"/>
  <c r="FZ19" i="24" s="1"/>
  <c r="GA19" i="24" s="1"/>
  <c r="GB19" i="24" s="1"/>
  <c r="GC19" i="24" s="1"/>
  <c r="GD19" i="24" s="1"/>
  <c r="GE19" i="24" s="1"/>
  <c r="GF19" i="24" s="1"/>
  <c r="GG19" i="24" s="1"/>
  <c r="GH19" i="24" s="1"/>
  <c r="GI19" i="24" s="1"/>
  <c r="GJ19" i="24" s="1"/>
  <c r="GK19" i="24" s="1"/>
  <c r="GL19" i="24" s="1"/>
  <c r="GM19" i="24" s="1"/>
  <c r="GN19" i="24" s="1"/>
  <c r="GO19" i="24" s="1"/>
  <c r="GP19" i="24" s="1"/>
  <c r="GQ19" i="24" s="1"/>
  <c r="GR19" i="24" s="1"/>
  <c r="GS19" i="24" s="1"/>
  <c r="GT19" i="24" s="1"/>
  <c r="GU19" i="24" s="1"/>
  <c r="GV19" i="24" s="1"/>
  <c r="GW19" i="24" s="1"/>
  <c r="GX19" i="24" s="1"/>
  <c r="GY19" i="24" s="1"/>
  <c r="GZ19" i="24" s="1"/>
  <c r="HA19" i="24" s="1"/>
  <c r="HB19" i="24" s="1"/>
  <c r="HC19" i="24" s="1"/>
  <c r="HD19" i="24" s="1"/>
  <c r="HE19" i="24" s="1"/>
  <c r="HF19" i="24" s="1"/>
  <c r="HG19" i="24" s="1"/>
  <c r="HH19" i="24" s="1"/>
  <c r="HI19" i="24" s="1"/>
  <c r="HJ19" i="24" s="1"/>
  <c r="HK19" i="24" s="1"/>
  <c r="HL19" i="24" s="1"/>
  <c r="HM19" i="24" s="1"/>
  <c r="HN19" i="24" s="1"/>
  <c r="HO19" i="24" s="1"/>
  <c r="HP19" i="24" s="1"/>
  <c r="HQ19" i="24" s="1"/>
  <c r="HR19" i="24" s="1"/>
  <c r="HS19" i="24" s="1"/>
  <c r="HT19" i="24" s="1"/>
  <c r="HU19" i="24" s="1"/>
  <c r="HV19" i="24" s="1"/>
  <c r="HW19" i="24" s="1"/>
  <c r="HX19" i="24" s="1"/>
  <c r="HY19" i="24" s="1"/>
  <c r="HZ19" i="24" s="1"/>
  <c r="IA19" i="24" s="1"/>
  <c r="IB19" i="24" s="1"/>
  <c r="IC19" i="24" s="1"/>
  <c r="ID19" i="24" s="1"/>
  <c r="IE19" i="24" s="1"/>
  <c r="IF19" i="24" s="1"/>
  <c r="IG19" i="24" s="1"/>
  <c r="IH19" i="24" s="1"/>
  <c r="II19" i="24" s="1"/>
  <c r="IJ19" i="24" s="1"/>
  <c r="IK19" i="24" s="1"/>
  <c r="IL19" i="24" s="1"/>
  <c r="IM19" i="24" s="1"/>
  <c r="IN19" i="24" s="1"/>
  <c r="IO19" i="24" s="1"/>
  <c r="IP19" i="24" s="1"/>
  <c r="IQ19" i="24" s="1"/>
  <c r="IR19" i="24" s="1"/>
  <c r="IS19" i="24" s="1"/>
  <c r="IT19" i="24" s="1"/>
  <c r="IU19" i="24" s="1"/>
  <c r="IV19" i="24" s="1"/>
  <c r="IW19" i="24" s="1"/>
  <c r="IX19" i="24" s="1"/>
  <c r="IY19" i="24" s="1"/>
  <c r="IZ19" i="24" s="1"/>
  <c r="JA19" i="24" s="1"/>
  <c r="JB19" i="24" s="1"/>
  <c r="JC19" i="24" s="1"/>
  <c r="JD19" i="24" s="1"/>
  <c r="JE19" i="24" s="1"/>
  <c r="JF19" i="24" s="1"/>
  <c r="JG19" i="24" s="1"/>
  <c r="JH19" i="24" s="1"/>
  <c r="JI19" i="24" s="1"/>
  <c r="JJ19" i="24" s="1"/>
  <c r="JK19" i="24" s="1"/>
  <c r="JL19" i="24" s="1"/>
  <c r="JM19" i="24" s="1"/>
  <c r="JN19" i="24" s="1"/>
  <c r="JO19" i="24" s="1"/>
  <c r="JP19" i="24" s="1"/>
  <c r="JQ19" i="24" s="1"/>
  <c r="JR19" i="24" s="1"/>
  <c r="JS19" i="24" s="1"/>
  <c r="JT19" i="24" s="1"/>
  <c r="JU19" i="24" s="1"/>
  <c r="JV19" i="24" s="1"/>
  <c r="JW19" i="24" s="1"/>
  <c r="JX19" i="24" s="1"/>
  <c r="JY19" i="24" s="1"/>
  <c r="JZ19" i="24" s="1"/>
  <c r="KA19" i="24" s="1"/>
  <c r="KB19" i="24" s="1"/>
  <c r="KC19" i="24" s="1"/>
  <c r="KD19" i="24" s="1"/>
  <c r="KE19" i="24" s="1"/>
  <c r="KF19" i="24" s="1"/>
  <c r="KG19" i="24" s="1"/>
  <c r="KH19" i="24" s="1"/>
  <c r="KI19" i="24" s="1"/>
  <c r="KJ19" i="24" s="1"/>
  <c r="KK19" i="24" s="1"/>
  <c r="KL19" i="24" s="1"/>
  <c r="KM19" i="24" s="1"/>
  <c r="KN19" i="24" s="1"/>
  <c r="KO19" i="24" s="1"/>
  <c r="KP19" i="24" s="1"/>
  <c r="KQ19" i="24" s="1"/>
  <c r="KR19" i="24" s="1"/>
  <c r="KS19" i="24" s="1"/>
  <c r="KT19" i="24" s="1"/>
  <c r="KU19" i="24" s="1"/>
  <c r="KV19" i="24" s="1"/>
  <c r="KW19" i="24" s="1"/>
  <c r="KX19" i="24" s="1"/>
  <c r="KY19" i="24" s="1"/>
  <c r="KZ19" i="24" s="1"/>
  <c r="LA19" i="24" s="1"/>
  <c r="LB19" i="24" s="1"/>
  <c r="LC19" i="24" s="1"/>
  <c r="LD19" i="24" s="1"/>
  <c r="LE19" i="24" s="1"/>
  <c r="LF19" i="24" s="1"/>
  <c r="LG19" i="24" s="1"/>
  <c r="LH19" i="24" s="1"/>
  <c r="LI19" i="24" s="1"/>
  <c r="LJ19" i="24" s="1"/>
  <c r="LK19" i="24" s="1"/>
  <c r="LL19" i="24" s="1"/>
  <c r="LM19" i="24" s="1"/>
  <c r="LN19" i="24" s="1"/>
  <c r="LO19" i="24" s="1"/>
  <c r="LP19" i="24" s="1"/>
  <c r="LQ19" i="24" s="1"/>
  <c r="LR19" i="24" s="1"/>
  <c r="LS19" i="24" s="1"/>
  <c r="LT19" i="24" s="1"/>
  <c r="LU19" i="24" s="1"/>
  <c r="LV19" i="24" s="1"/>
  <c r="LW19" i="24" s="1"/>
  <c r="LX19" i="24" s="1"/>
  <c r="LY19" i="24" s="1"/>
  <c r="LZ19" i="24" s="1"/>
  <c r="MA19" i="24" s="1"/>
  <c r="MB19" i="24" s="1"/>
  <c r="MC19" i="24" s="1"/>
  <c r="MD19" i="24" s="1"/>
  <c r="ME19" i="24" s="1"/>
  <c r="MF19" i="24" s="1"/>
  <c r="MG19" i="24" s="1"/>
  <c r="MH19" i="24" s="1"/>
  <c r="MI19" i="24" s="1"/>
  <c r="MJ19" i="24" s="1"/>
  <c r="MK19" i="24" s="1"/>
  <c r="ML19" i="24" s="1"/>
  <c r="MM19" i="24" s="1"/>
  <c r="MN19" i="24" s="1"/>
  <c r="MO19" i="24" s="1"/>
  <c r="MP19" i="24" s="1"/>
  <c r="MQ19" i="24" s="1"/>
  <c r="MR19" i="24" s="1"/>
  <c r="MS19" i="24" s="1"/>
  <c r="MT19" i="24" s="1"/>
  <c r="MU19" i="24" s="1"/>
  <c r="MV19" i="24" s="1"/>
  <c r="MW19" i="24" s="1"/>
  <c r="MX19" i="24" s="1"/>
  <c r="MY19" i="24" s="1"/>
  <c r="MZ19" i="24" s="1"/>
  <c r="NA19" i="24" s="1"/>
  <c r="NB19" i="24" s="1"/>
  <c r="NC19" i="24" s="1"/>
  <c r="ND19" i="24" s="1"/>
  <c r="NE19" i="24" s="1"/>
  <c r="NF19" i="24" s="1"/>
  <c r="NG19" i="24" s="1"/>
  <c r="NH19" i="24" s="1"/>
  <c r="NI19" i="24" s="1"/>
  <c r="NJ19" i="24" s="1"/>
  <c r="NK19" i="24" s="1"/>
  <c r="NL19" i="24" s="1"/>
  <c r="NM19" i="24" s="1"/>
  <c r="NN19" i="24" s="1"/>
  <c r="NO19" i="24" s="1"/>
  <c r="NP19" i="24" s="1"/>
  <c r="NQ19" i="24" s="1"/>
  <c r="NR19" i="24" s="1"/>
  <c r="NS19" i="24" s="1"/>
  <c r="NT19" i="24" s="1"/>
  <c r="NU19" i="24" s="1"/>
  <c r="NV19" i="24" s="1"/>
  <c r="NW19" i="24" s="1"/>
  <c r="NX19" i="24" s="1"/>
  <c r="NY19" i="24" s="1"/>
  <c r="NZ19" i="24" s="1"/>
  <c r="OA19" i="24" s="1"/>
  <c r="OB19" i="24" s="1"/>
  <c r="OC19" i="24" s="1"/>
  <c r="OD19" i="24" s="1"/>
  <c r="OE19" i="24" s="1"/>
  <c r="OF19" i="24" s="1"/>
  <c r="OG19" i="24" s="1"/>
  <c r="OH19" i="24" s="1"/>
  <c r="OI19" i="24" s="1"/>
  <c r="OJ19" i="24" s="1"/>
  <c r="OK19" i="24" s="1"/>
  <c r="OL19" i="24" s="1"/>
  <c r="OM19" i="24" s="1"/>
  <c r="ON19" i="24" s="1"/>
  <c r="OO19" i="24" s="1"/>
  <c r="OP19" i="24" s="1"/>
  <c r="OQ19" i="24" s="1"/>
  <c r="OR19" i="24" s="1"/>
  <c r="OS19" i="24" s="1"/>
  <c r="OT19" i="24" s="1"/>
  <c r="OU19" i="24" s="1"/>
  <c r="OV19" i="24" s="1"/>
  <c r="OW19" i="24" s="1"/>
  <c r="OX19" i="24" s="1"/>
  <c r="OY19" i="24" s="1"/>
  <c r="OZ19" i="24" s="1"/>
  <c r="PA19" i="24" s="1"/>
  <c r="PB19" i="24" s="1"/>
  <c r="PC19" i="24" s="1"/>
  <c r="PD19" i="24" s="1"/>
  <c r="PE19" i="24" s="1"/>
  <c r="PF19" i="24" s="1"/>
  <c r="PG19" i="24" s="1"/>
  <c r="PH19" i="24" s="1"/>
  <c r="PI19" i="24" s="1"/>
  <c r="PJ19" i="24" s="1"/>
  <c r="PK19" i="24" s="1"/>
  <c r="PL19" i="24" s="1"/>
  <c r="PM19" i="24" s="1"/>
  <c r="PN19" i="24" s="1"/>
  <c r="PO19" i="24" s="1"/>
  <c r="PP19" i="24" s="1"/>
  <c r="PQ19" i="24" s="1"/>
  <c r="PR19" i="24" s="1"/>
  <c r="PS19" i="24" s="1"/>
  <c r="PT19" i="24" s="1"/>
  <c r="PU19" i="24" s="1"/>
  <c r="PV19" i="24" s="1"/>
  <c r="PW19" i="24" s="1"/>
  <c r="PX19" i="24" s="1"/>
  <c r="PY19" i="24" s="1"/>
  <c r="PZ19" i="24" s="1"/>
  <c r="QA19" i="24" s="1"/>
  <c r="QB19" i="24" s="1"/>
  <c r="QC19" i="24" s="1"/>
  <c r="QD19" i="24" s="1"/>
  <c r="QE19" i="24" s="1"/>
  <c r="QF19" i="24" s="1"/>
  <c r="QG19" i="24" s="1"/>
  <c r="QH19" i="24" s="1"/>
  <c r="QI19" i="24" s="1"/>
  <c r="QJ19" i="24" s="1"/>
  <c r="QK19" i="24" s="1"/>
  <c r="QL19" i="24" s="1"/>
  <c r="QM19" i="24" s="1"/>
  <c r="QN19" i="24" s="1"/>
  <c r="QO19" i="24" s="1"/>
  <c r="QP19" i="24" s="1"/>
  <c r="QQ19" i="24" s="1"/>
  <c r="QR19" i="24" s="1"/>
  <c r="QS19" i="24" s="1"/>
  <c r="QT19" i="24" s="1"/>
  <c r="QU19" i="24" s="1"/>
  <c r="QV19" i="24" s="1"/>
  <c r="QW19" i="24" s="1"/>
  <c r="QX19" i="24" s="1"/>
  <c r="QY19" i="24" s="1"/>
  <c r="QZ19" i="24" s="1"/>
  <c r="RA19" i="24" s="1"/>
  <c r="RB19" i="24" s="1"/>
  <c r="RC19" i="24" s="1"/>
  <c r="RD19" i="24" s="1"/>
  <c r="RE19" i="24" s="1"/>
  <c r="RF19" i="24" s="1"/>
  <c r="RG19" i="24" s="1"/>
  <c r="RH19" i="24" s="1"/>
  <c r="RI19" i="24" s="1"/>
  <c r="RJ19" i="24" s="1"/>
  <c r="RK19" i="24" s="1"/>
  <c r="RL19" i="24" s="1"/>
  <c r="RM19" i="24" s="1"/>
  <c r="RN19" i="24" s="1"/>
  <c r="RO19" i="24" s="1"/>
  <c r="RP19" i="24" s="1"/>
  <c r="RQ19" i="24" s="1"/>
  <c r="RR19" i="24" s="1"/>
  <c r="RS19" i="24" s="1"/>
  <c r="RT19" i="24" s="1"/>
  <c r="RU19" i="24" s="1"/>
  <c r="RV19" i="24" s="1"/>
  <c r="RW19" i="24" s="1"/>
  <c r="RX19" i="24" s="1"/>
  <c r="RY19" i="24" s="1"/>
  <c r="RZ19" i="24" s="1"/>
  <c r="SA19" i="24" s="1"/>
  <c r="SB19" i="24" s="1"/>
  <c r="SC19" i="24" s="1"/>
  <c r="SD19" i="24" s="1"/>
  <c r="SE19" i="24" s="1"/>
  <c r="SF19" i="24" s="1"/>
  <c r="SG19" i="24" s="1"/>
  <c r="SH19" i="24" s="1"/>
  <c r="SI19" i="24" s="1"/>
  <c r="SJ19" i="24" s="1"/>
  <c r="SK19" i="24" s="1"/>
  <c r="SL19" i="24" s="1"/>
  <c r="SM19" i="24" s="1"/>
  <c r="SN19" i="24" s="1"/>
  <c r="SO19" i="24" s="1"/>
  <c r="SP19" i="24" s="1"/>
  <c r="SQ19" i="24" s="1"/>
  <c r="SR19" i="24" s="1"/>
  <c r="SS19" i="24" s="1"/>
  <c r="ST19" i="24" s="1"/>
  <c r="SU19" i="24" s="1"/>
  <c r="SV19" i="24" s="1"/>
  <c r="SW19" i="24" s="1"/>
  <c r="SX19" i="24" s="1"/>
  <c r="SY19" i="24" s="1"/>
  <c r="SZ19" i="24" s="1"/>
  <c r="TA19" i="24" s="1"/>
  <c r="TB19" i="24" s="1"/>
  <c r="TC19" i="24" s="1"/>
  <c r="TD19" i="24" s="1"/>
  <c r="TE19" i="24" s="1"/>
  <c r="TF19" i="24" s="1"/>
  <c r="TG19" i="24" s="1"/>
  <c r="TH19" i="24" s="1"/>
  <c r="TI19" i="24" s="1"/>
  <c r="TJ19" i="24" s="1"/>
  <c r="TK19" i="24" s="1"/>
  <c r="TL19" i="24" s="1"/>
  <c r="TM19" i="24" s="1"/>
  <c r="TN19" i="24" s="1"/>
  <c r="TO19" i="24" s="1"/>
  <c r="TP19" i="24" s="1"/>
  <c r="TQ19" i="24" s="1"/>
  <c r="TR19" i="24" s="1"/>
  <c r="TS19" i="24" s="1"/>
  <c r="TT19" i="24" s="1"/>
  <c r="TU19" i="24" s="1"/>
  <c r="TV19" i="24" s="1"/>
  <c r="TW19" i="24" s="1"/>
  <c r="TX19" i="24" s="1"/>
  <c r="TY19" i="24" s="1"/>
  <c r="TZ19" i="24" s="1"/>
  <c r="UA19" i="24" s="1"/>
  <c r="UB19" i="24" s="1"/>
  <c r="UC19" i="24" s="1"/>
  <c r="UD19" i="24" s="1"/>
  <c r="UE19" i="24" s="1"/>
  <c r="UF19" i="24" s="1"/>
  <c r="UG19" i="24" s="1"/>
  <c r="UH19" i="24" s="1"/>
  <c r="UI19" i="24" s="1"/>
  <c r="UJ19" i="24" s="1"/>
  <c r="UK19" i="24" s="1"/>
  <c r="UL19" i="24" s="1"/>
  <c r="UM19" i="24" s="1"/>
  <c r="UN19" i="24" s="1"/>
  <c r="UO19" i="24" s="1"/>
  <c r="UP19" i="24" s="1"/>
  <c r="UQ19" i="24" s="1"/>
  <c r="UR19" i="24" s="1"/>
  <c r="US19" i="24" s="1"/>
  <c r="UT19" i="24" s="1"/>
  <c r="UU19" i="24" s="1"/>
  <c r="UV19" i="24" s="1"/>
  <c r="UW19" i="24" s="1"/>
  <c r="UX19" i="24" s="1"/>
  <c r="UY19" i="24" s="1"/>
  <c r="UZ19" i="24" s="1"/>
  <c r="VA19" i="24" s="1"/>
  <c r="VB19" i="24" s="1"/>
  <c r="VC19" i="24" s="1"/>
  <c r="VD19" i="24" s="1"/>
  <c r="VE19" i="24" s="1"/>
  <c r="VF19" i="24" s="1"/>
  <c r="VG19" i="24" s="1"/>
  <c r="VH19" i="24" s="1"/>
  <c r="VI19" i="24" s="1"/>
  <c r="VJ19" i="24" s="1"/>
  <c r="VK19" i="24" s="1"/>
  <c r="VL19" i="24" s="1"/>
  <c r="VM19" i="24" s="1"/>
  <c r="VN19" i="24" s="1"/>
  <c r="VO19" i="24" s="1"/>
  <c r="VP19" i="24" s="1"/>
  <c r="VQ19" i="24" s="1"/>
  <c r="VR19" i="24" s="1"/>
  <c r="VS19" i="24" s="1"/>
  <c r="VT19" i="24" s="1"/>
  <c r="VU19" i="24" s="1"/>
  <c r="VV19" i="24" s="1"/>
  <c r="VW19" i="24" s="1"/>
  <c r="VX19" i="24" s="1"/>
  <c r="VY19" i="24" s="1"/>
  <c r="VZ19" i="24" s="1"/>
  <c r="WA19" i="24" s="1"/>
  <c r="WB19" i="24" s="1"/>
  <c r="WC19" i="24" s="1"/>
  <c r="WD19" i="24" s="1"/>
  <c r="WE19" i="24" s="1"/>
  <c r="WF19" i="24" s="1"/>
  <c r="WG19" i="24" s="1"/>
  <c r="WH19" i="24" s="1"/>
  <c r="WI19" i="24" s="1"/>
  <c r="WJ19" i="24" s="1"/>
  <c r="WK19" i="24" s="1"/>
  <c r="WL19" i="24" s="1"/>
  <c r="WM19" i="24" s="1"/>
  <c r="WN19" i="24" s="1"/>
  <c r="WO19" i="24" s="1"/>
  <c r="WP19" i="24" s="1"/>
  <c r="WQ19" i="24" s="1"/>
  <c r="WR19" i="24" s="1"/>
  <c r="WS19" i="24" s="1"/>
  <c r="WT19" i="24" s="1"/>
  <c r="WU19" i="24" s="1"/>
  <c r="WV19" i="24" s="1"/>
  <c r="WW19" i="24" s="1"/>
  <c r="WX19" i="24" s="1"/>
  <c r="WY19" i="24" s="1"/>
  <c r="WZ19" i="24" s="1"/>
  <c r="XA19" i="24" s="1"/>
  <c r="XB19" i="24" s="1"/>
  <c r="XC19" i="24" s="1"/>
  <c r="XD19" i="24" s="1"/>
  <c r="XE19" i="24" s="1"/>
  <c r="XF19" i="24" s="1"/>
  <c r="XG19" i="24" s="1"/>
  <c r="XH19" i="24" s="1"/>
  <c r="XI19" i="24" s="1"/>
  <c r="XJ19" i="24" s="1"/>
  <c r="XK19" i="24" s="1"/>
  <c r="XL19" i="24" s="1"/>
  <c r="XM19" i="24" s="1"/>
  <c r="XN19" i="24" s="1"/>
  <c r="XO19" i="24" s="1"/>
  <c r="XP19" i="24" s="1"/>
  <c r="XQ19" i="24" s="1"/>
  <c r="XR19" i="24" s="1"/>
  <c r="XS19" i="24" s="1"/>
  <c r="XT19" i="24" s="1"/>
  <c r="XU19" i="24" s="1"/>
  <c r="XV19" i="24" s="1"/>
  <c r="XW19" i="24" s="1"/>
  <c r="XX19" i="24" s="1"/>
  <c r="XY19" i="24" s="1"/>
  <c r="XZ19" i="24" s="1"/>
  <c r="YA19" i="24" s="1"/>
  <c r="YB19" i="24" s="1"/>
  <c r="YC19" i="24" s="1"/>
  <c r="YD19" i="24" s="1"/>
  <c r="YE19" i="24" s="1"/>
  <c r="YF19" i="24" s="1"/>
  <c r="YG19" i="24" s="1"/>
  <c r="YH19" i="24" s="1"/>
  <c r="YI19" i="24" s="1"/>
  <c r="YJ19" i="24" s="1"/>
  <c r="YK19" i="24" s="1"/>
  <c r="YL19" i="24" s="1"/>
  <c r="YM19" i="24" s="1"/>
  <c r="YN19" i="24" s="1"/>
  <c r="YO19" i="24" s="1"/>
  <c r="YP19" i="24" s="1"/>
  <c r="YQ19" i="24" s="1"/>
  <c r="YR19" i="24" s="1"/>
  <c r="YS19" i="24" s="1"/>
  <c r="YT19" i="24" s="1"/>
  <c r="YU19" i="24" s="1"/>
  <c r="YV19" i="24" s="1"/>
  <c r="YW19" i="24" s="1"/>
  <c r="YX19" i="24" s="1"/>
  <c r="YY19" i="24" s="1"/>
  <c r="YZ19" i="24" s="1"/>
  <c r="ZA19" i="24" s="1"/>
  <c r="ZB19" i="24" s="1"/>
  <c r="ZC19" i="24" s="1"/>
  <c r="ZD19" i="24" s="1"/>
  <c r="ZE19" i="24" s="1"/>
  <c r="ZF19" i="24" s="1"/>
  <c r="ZG19" i="24" s="1"/>
  <c r="ZH19" i="24" s="1"/>
  <c r="ZI19" i="24" s="1"/>
  <c r="ZJ19" i="24" s="1"/>
  <c r="ZK19" i="24" s="1"/>
  <c r="ZL19" i="24" s="1"/>
  <c r="ZM19" i="24" s="1"/>
  <c r="ZN19" i="24" s="1"/>
  <c r="ZO19" i="24" s="1"/>
  <c r="ZP19" i="24" s="1"/>
  <c r="ZQ19" i="24" s="1"/>
  <c r="ZR19" i="24" s="1"/>
  <c r="ZS19" i="24" s="1"/>
  <c r="ZT19" i="24" s="1"/>
  <c r="ZU19" i="24" s="1"/>
  <c r="ZV19" i="24" s="1"/>
  <c r="ZW19" i="24" s="1"/>
  <c r="ZX19" i="24" s="1"/>
  <c r="ZY19" i="24" s="1"/>
  <c r="ZZ19" i="24" s="1"/>
  <c r="AAA19" i="24" s="1"/>
  <c r="AAB19" i="24" s="1"/>
  <c r="AAC19" i="24" s="1"/>
  <c r="AAD19" i="24" s="1"/>
  <c r="AAE19" i="24" s="1"/>
  <c r="AAF19" i="24" s="1"/>
  <c r="AAG19" i="24" s="1"/>
  <c r="AAH19" i="24" s="1"/>
  <c r="AAI19" i="24" s="1"/>
  <c r="AAJ19" i="24" s="1"/>
  <c r="AAK19" i="24" s="1"/>
  <c r="AAL19" i="24" s="1"/>
  <c r="AAM19" i="24" s="1"/>
  <c r="AAN19" i="24" s="1"/>
  <c r="AAO19" i="24" s="1"/>
  <c r="AAP19" i="24" s="1"/>
  <c r="AAQ19" i="24" s="1"/>
  <c r="AAR19" i="24" s="1"/>
  <c r="AAS19" i="24" s="1"/>
  <c r="AAT19" i="24" s="1"/>
  <c r="AAU19" i="24" s="1"/>
  <c r="AAV19" i="24" s="1"/>
  <c r="AAW19" i="24" s="1"/>
  <c r="AAX19" i="24" s="1"/>
  <c r="AAY19" i="24" s="1"/>
  <c r="AAZ19" i="24" s="1"/>
  <c r="ABA19" i="24" s="1"/>
  <c r="ABB19" i="24" s="1"/>
  <c r="ABC19" i="24" s="1"/>
  <c r="ABD19" i="24" s="1"/>
  <c r="ABE19" i="24" s="1"/>
  <c r="ABF19" i="24" s="1"/>
  <c r="ABG19" i="24" s="1"/>
  <c r="ABH19" i="24" s="1"/>
  <c r="ABI19" i="24" s="1"/>
  <c r="ABJ19" i="24" s="1"/>
  <c r="ABK19" i="24" s="1"/>
  <c r="ABL19" i="24" s="1"/>
  <c r="ABM19" i="24" s="1"/>
  <c r="ABN19" i="24" s="1"/>
  <c r="ABO19" i="24" s="1"/>
  <c r="ABP19" i="24" s="1"/>
  <c r="ABQ19" i="24" s="1"/>
  <c r="ABR19" i="24" s="1"/>
  <c r="ABS19" i="24" s="1"/>
  <c r="ABT19" i="24" s="1"/>
  <c r="ABU19" i="24" s="1"/>
  <c r="ABV19" i="24" s="1"/>
  <c r="ABW19" i="24" s="1"/>
  <c r="ABX19" i="24" s="1"/>
  <c r="ABY19" i="24" s="1"/>
  <c r="ABZ19" i="24" s="1"/>
  <c r="ACA19" i="24" s="1"/>
  <c r="ACB19" i="24" s="1"/>
  <c r="ACC19" i="24" s="1"/>
  <c r="ACD19" i="24" s="1"/>
  <c r="ACE19" i="24" s="1"/>
  <c r="ACF19" i="24" s="1"/>
  <c r="ACG19" i="24" s="1"/>
  <c r="ACH19" i="24" s="1"/>
  <c r="ACI19" i="24" s="1"/>
  <c r="ACJ19" i="24" s="1"/>
  <c r="ACK19" i="24" s="1"/>
  <c r="ACL19" i="24" s="1"/>
  <c r="ACM19" i="24" s="1"/>
  <c r="ACN19" i="24" s="1"/>
  <c r="ACO19" i="24" s="1"/>
  <c r="ACP19" i="24" s="1"/>
  <c r="ACQ19" i="24" s="1"/>
  <c r="ACR19" i="24" s="1"/>
  <c r="ACS19" i="24" s="1"/>
  <c r="ACT19" i="24" s="1"/>
  <c r="ACU19" i="24" s="1"/>
  <c r="ACV19" i="24" s="1"/>
  <c r="C18" i="24"/>
  <c r="D18" i="24" s="1"/>
  <c r="E18" i="24" s="1"/>
  <c r="F18" i="24" s="1"/>
  <c r="G18" i="24" s="1"/>
  <c r="H18" i="24" s="1"/>
  <c r="I18" i="24" s="1"/>
  <c r="J18" i="24" s="1"/>
  <c r="K18" i="24" s="1"/>
  <c r="L18" i="24" s="1"/>
  <c r="M18" i="24" s="1"/>
  <c r="N18" i="24" s="1"/>
  <c r="O18" i="24" s="1"/>
  <c r="P18" i="24" s="1"/>
  <c r="Q18" i="24" s="1"/>
  <c r="R18" i="24" s="1"/>
  <c r="S18" i="24" s="1"/>
  <c r="T18" i="24" s="1"/>
  <c r="U18" i="24" s="1"/>
  <c r="V18" i="24" s="1"/>
  <c r="W18" i="24" s="1"/>
  <c r="X18" i="24" s="1"/>
  <c r="Y18" i="24" s="1"/>
  <c r="Z18" i="24" s="1"/>
  <c r="AA18" i="24" s="1"/>
  <c r="AB18" i="24" s="1"/>
  <c r="AC18" i="24" s="1"/>
  <c r="AD18" i="24" s="1"/>
  <c r="AE18" i="24" s="1"/>
  <c r="AF18" i="24" s="1"/>
  <c r="AG18" i="24" s="1"/>
  <c r="AH18" i="24" s="1"/>
  <c r="AI18" i="24" s="1"/>
  <c r="AJ18" i="24" s="1"/>
  <c r="AK18" i="24" s="1"/>
  <c r="AL18" i="24" s="1"/>
  <c r="AM18" i="24" s="1"/>
  <c r="AN18" i="24" s="1"/>
  <c r="AO18" i="24" s="1"/>
  <c r="AP18" i="24" s="1"/>
  <c r="AQ18" i="24" s="1"/>
  <c r="AR18" i="24" s="1"/>
  <c r="AS18" i="24" s="1"/>
  <c r="AT18" i="24" s="1"/>
  <c r="AU18" i="24" s="1"/>
  <c r="AV18" i="24" s="1"/>
  <c r="AW18" i="24" s="1"/>
  <c r="AX18" i="24" s="1"/>
  <c r="AY18" i="24" s="1"/>
  <c r="AZ18" i="24" s="1"/>
  <c r="BA18" i="24" s="1"/>
  <c r="BB18" i="24" s="1"/>
  <c r="BC18" i="24" s="1"/>
  <c r="BD18" i="24" s="1"/>
  <c r="BE18" i="24" s="1"/>
  <c r="BF18" i="24" s="1"/>
  <c r="BG18" i="24" s="1"/>
  <c r="BH18" i="24" s="1"/>
  <c r="BI18" i="24" s="1"/>
  <c r="BJ18" i="24" s="1"/>
  <c r="BK18" i="24" s="1"/>
  <c r="BL18" i="24" s="1"/>
  <c r="BM18" i="24" s="1"/>
  <c r="BN18" i="24" s="1"/>
  <c r="BO18" i="24" s="1"/>
  <c r="BP18" i="24" s="1"/>
  <c r="BQ18" i="24" s="1"/>
  <c r="BR18" i="24" s="1"/>
  <c r="BS18" i="24" s="1"/>
  <c r="BT18" i="24" s="1"/>
  <c r="BU18" i="24" s="1"/>
  <c r="BV18" i="24" s="1"/>
  <c r="BW18" i="24" s="1"/>
  <c r="BX18" i="24" s="1"/>
  <c r="BY18" i="24" s="1"/>
  <c r="BZ18" i="24" s="1"/>
  <c r="CA18" i="24" s="1"/>
  <c r="CB18" i="24" s="1"/>
  <c r="CC18" i="24" s="1"/>
  <c r="CD18" i="24" s="1"/>
  <c r="CE18" i="24" s="1"/>
  <c r="CF18" i="24" s="1"/>
  <c r="CG18" i="24" s="1"/>
  <c r="CH18" i="24" s="1"/>
  <c r="CI18" i="24" s="1"/>
  <c r="CJ18" i="24" s="1"/>
  <c r="CK18" i="24" s="1"/>
  <c r="CL18" i="24" s="1"/>
  <c r="CM18" i="24" s="1"/>
  <c r="CN18" i="24" s="1"/>
  <c r="CO18" i="24" s="1"/>
  <c r="CP18" i="24" s="1"/>
  <c r="CQ18" i="24" s="1"/>
  <c r="CR18" i="24" s="1"/>
  <c r="CS18" i="24" s="1"/>
  <c r="CT18" i="24" s="1"/>
  <c r="CU18" i="24" s="1"/>
  <c r="CV18" i="24" s="1"/>
  <c r="CW18" i="24" s="1"/>
  <c r="CX18" i="24" s="1"/>
  <c r="CY18" i="24" s="1"/>
  <c r="CZ18" i="24" s="1"/>
  <c r="DA18" i="24" s="1"/>
  <c r="DB18" i="24" s="1"/>
  <c r="DC18" i="24" s="1"/>
  <c r="DD18" i="24" s="1"/>
  <c r="DE18" i="24" s="1"/>
  <c r="DF18" i="24" s="1"/>
  <c r="DG18" i="24" s="1"/>
  <c r="DH18" i="24" s="1"/>
  <c r="DI18" i="24" s="1"/>
  <c r="DJ18" i="24" s="1"/>
  <c r="DK18" i="24" s="1"/>
  <c r="DL18" i="24" s="1"/>
  <c r="DM18" i="24" s="1"/>
  <c r="DN18" i="24" s="1"/>
  <c r="DO18" i="24" s="1"/>
  <c r="DP18" i="24" s="1"/>
  <c r="DQ18" i="24" s="1"/>
  <c r="DR18" i="24" s="1"/>
  <c r="DS18" i="24" s="1"/>
  <c r="DT18" i="24" s="1"/>
  <c r="DU18" i="24" s="1"/>
  <c r="DV18" i="24" s="1"/>
  <c r="DW18" i="24" s="1"/>
  <c r="DX18" i="24" s="1"/>
  <c r="DY18" i="24" s="1"/>
  <c r="DZ18" i="24" s="1"/>
  <c r="EA18" i="24" s="1"/>
  <c r="EB18" i="24" s="1"/>
  <c r="EC18" i="24" s="1"/>
  <c r="ED18" i="24" s="1"/>
  <c r="EE18" i="24" s="1"/>
  <c r="EF18" i="24" s="1"/>
  <c r="EG18" i="24" s="1"/>
  <c r="EH18" i="24" s="1"/>
  <c r="EI18" i="24" s="1"/>
  <c r="EJ18" i="24" s="1"/>
  <c r="EK18" i="24" s="1"/>
  <c r="EL18" i="24" s="1"/>
  <c r="EM18" i="24" s="1"/>
  <c r="EN18" i="24" s="1"/>
  <c r="EO18" i="24" s="1"/>
  <c r="EP18" i="24" s="1"/>
  <c r="EQ18" i="24" s="1"/>
  <c r="ER18" i="24" s="1"/>
  <c r="ES18" i="24" s="1"/>
  <c r="ET18" i="24" s="1"/>
  <c r="EU18" i="24" s="1"/>
  <c r="EV18" i="24" s="1"/>
  <c r="EW18" i="24" s="1"/>
  <c r="EX18" i="24" s="1"/>
  <c r="EY18" i="24" s="1"/>
  <c r="EZ18" i="24" s="1"/>
  <c r="FA18" i="24" s="1"/>
  <c r="FB18" i="24" s="1"/>
  <c r="FC18" i="24" s="1"/>
  <c r="FD18" i="24" s="1"/>
  <c r="FE18" i="24" s="1"/>
  <c r="FF18" i="24" s="1"/>
  <c r="FG18" i="24" s="1"/>
  <c r="FH18" i="24" s="1"/>
  <c r="FI18" i="24" s="1"/>
  <c r="FJ18" i="24" s="1"/>
  <c r="FK18" i="24" s="1"/>
  <c r="FL18" i="24" s="1"/>
  <c r="FM18" i="24" s="1"/>
  <c r="FN18" i="24" s="1"/>
  <c r="FO18" i="24" s="1"/>
  <c r="FP18" i="24" s="1"/>
  <c r="FQ18" i="24" s="1"/>
  <c r="FR18" i="24" s="1"/>
  <c r="FS18" i="24" s="1"/>
  <c r="FT18" i="24" s="1"/>
  <c r="FU18" i="24" s="1"/>
  <c r="FV18" i="24" s="1"/>
  <c r="FW18" i="24" s="1"/>
  <c r="FX18" i="24" s="1"/>
  <c r="FY18" i="24" s="1"/>
  <c r="FZ18" i="24" s="1"/>
  <c r="GA18" i="24" s="1"/>
  <c r="GB18" i="24" s="1"/>
  <c r="GC18" i="24" s="1"/>
  <c r="GD18" i="24" s="1"/>
  <c r="GE18" i="24" s="1"/>
  <c r="GF18" i="24" s="1"/>
  <c r="GG18" i="24" s="1"/>
  <c r="GH18" i="24" s="1"/>
  <c r="GI18" i="24" s="1"/>
  <c r="GJ18" i="24" s="1"/>
  <c r="GK18" i="24" s="1"/>
  <c r="GL18" i="24" s="1"/>
  <c r="GM18" i="24" s="1"/>
  <c r="GN18" i="24" s="1"/>
  <c r="GO18" i="24" s="1"/>
  <c r="GP18" i="24" s="1"/>
  <c r="GQ18" i="24" s="1"/>
  <c r="GR18" i="24" s="1"/>
  <c r="GS18" i="24" s="1"/>
  <c r="GT18" i="24" s="1"/>
  <c r="GU18" i="24" s="1"/>
  <c r="GV18" i="24" s="1"/>
  <c r="GW18" i="24" s="1"/>
  <c r="GX18" i="24" s="1"/>
  <c r="GY18" i="24" s="1"/>
  <c r="GZ18" i="24" s="1"/>
  <c r="HA18" i="24" s="1"/>
  <c r="HB18" i="24" s="1"/>
  <c r="HC18" i="24" s="1"/>
  <c r="HD18" i="24" s="1"/>
  <c r="HE18" i="24" s="1"/>
  <c r="HF18" i="24" s="1"/>
  <c r="HG18" i="24" s="1"/>
  <c r="HH18" i="24" s="1"/>
  <c r="HI18" i="24" s="1"/>
  <c r="HJ18" i="24" s="1"/>
  <c r="HK18" i="24" s="1"/>
  <c r="HL18" i="24" s="1"/>
  <c r="HM18" i="24" s="1"/>
  <c r="HN18" i="24" s="1"/>
  <c r="HO18" i="24" s="1"/>
  <c r="HP18" i="24" s="1"/>
  <c r="HQ18" i="24" s="1"/>
  <c r="HR18" i="24" s="1"/>
  <c r="HS18" i="24" s="1"/>
  <c r="HT18" i="24" s="1"/>
  <c r="HU18" i="24" s="1"/>
  <c r="HV18" i="24" s="1"/>
  <c r="HW18" i="24" s="1"/>
  <c r="HX18" i="24" s="1"/>
  <c r="HY18" i="24" s="1"/>
  <c r="HZ18" i="24" s="1"/>
  <c r="IA18" i="24" s="1"/>
  <c r="IB18" i="24" s="1"/>
  <c r="IC18" i="24" s="1"/>
  <c r="ID18" i="24" s="1"/>
  <c r="IE18" i="24" s="1"/>
  <c r="IF18" i="24" s="1"/>
  <c r="IG18" i="24" s="1"/>
  <c r="IH18" i="24" s="1"/>
  <c r="II18" i="24" s="1"/>
  <c r="IJ18" i="24" s="1"/>
  <c r="IK18" i="24" s="1"/>
  <c r="IL18" i="24" s="1"/>
  <c r="IM18" i="24" s="1"/>
  <c r="IN18" i="24" s="1"/>
  <c r="IO18" i="24" s="1"/>
  <c r="IP18" i="24" s="1"/>
  <c r="IQ18" i="24" s="1"/>
  <c r="IR18" i="24" s="1"/>
  <c r="IS18" i="24" s="1"/>
  <c r="IT18" i="24" s="1"/>
  <c r="IU18" i="24" s="1"/>
  <c r="IV18" i="24" s="1"/>
  <c r="IW18" i="24" s="1"/>
  <c r="IX18" i="24" s="1"/>
  <c r="IY18" i="24" s="1"/>
  <c r="IZ18" i="24" s="1"/>
  <c r="JA18" i="24" s="1"/>
  <c r="JB18" i="24" s="1"/>
  <c r="JC18" i="24" s="1"/>
  <c r="JD18" i="24" s="1"/>
  <c r="JE18" i="24" s="1"/>
  <c r="JF18" i="24" s="1"/>
  <c r="JG18" i="24" s="1"/>
  <c r="JH18" i="24" s="1"/>
  <c r="JI18" i="24" s="1"/>
  <c r="JJ18" i="24" s="1"/>
  <c r="JK18" i="24" s="1"/>
  <c r="JL18" i="24" s="1"/>
  <c r="JM18" i="24" s="1"/>
  <c r="JN18" i="24" s="1"/>
  <c r="JO18" i="24" s="1"/>
  <c r="JP18" i="24" s="1"/>
  <c r="JQ18" i="24" s="1"/>
  <c r="JR18" i="24" s="1"/>
  <c r="JS18" i="24" s="1"/>
  <c r="JT18" i="24" s="1"/>
  <c r="JU18" i="24" s="1"/>
  <c r="JV18" i="24" s="1"/>
  <c r="JW18" i="24" s="1"/>
  <c r="JX18" i="24" s="1"/>
  <c r="JY18" i="24" s="1"/>
  <c r="JZ18" i="24" s="1"/>
  <c r="KA18" i="24" s="1"/>
  <c r="KB18" i="24" s="1"/>
  <c r="KC18" i="24" s="1"/>
  <c r="KD18" i="24" s="1"/>
  <c r="KE18" i="24" s="1"/>
  <c r="KF18" i="24" s="1"/>
  <c r="KG18" i="24" s="1"/>
  <c r="KH18" i="24" s="1"/>
  <c r="KI18" i="24" s="1"/>
  <c r="KJ18" i="24" s="1"/>
  <c r="KK18" i="24" s="1"/>
  <c r="KL18" i="24" s="1"/>
  <c r="KM18" i="24" s="1"/>
  <c r="KN18" i="24" s="1"/>
  <c r="KO18" i="24" s="1"/>
  <c r="KP18" i="24" s="1"/>
  <c r="KQ18" i="24" s="1"/>
  <c r="KR18" i="24" s="1"/>
  <c r="KS18" i="24" s="1"/>
  <c r="KT18" i="24" s="1"/>
  <c r="KU18" i="24" s="1"/>
  <c r="KV18" i="24" s="1"/>
  <c r="KW18" i="24" s="1"/>
  <c r="KX18" i="24" s="1"/>
  <c r="KY18" i="24" s="1"/>
  <c r="KZ18" i="24" s="1"/>
  <c r="LA18" i="24" s="1"/>
  <c r="LB18" i="24" s="1"/>
  <c r="LC18" i="24" s="1"/>
  <c r="LD18" i="24" s="1"/>
  <c r="LE18" i="24" s="1"/>
  <c r="LF18" i="24" s="1"/>
  <c r="LG18" i="24" s="1"/>
  <c r="LH18" i="24" s="1"/>
  <c r="LI18" i="24" s="1"/>
  <c r="LJ18" i="24" s="1"/>
  <c r="LK18" i="24" s="1"/>
  <c r="LL18" i="24" s="1"/>
  <c r="LM18" i="24" s="1"/>
  <c r="LN18" i="24" s="1"/>
  <c r="LO18" i="24" s="1"/>
  <c r="LP18" i="24" s="1"/>
  <c r="LQ18" i="24" s="1"/>
  <c r="LR18" i="24" s="1"/>
  <c r="LS18" i="24" s="1"/>
  <c r="LT18" i="24" s="1"/>
  <c r="LU18" i="24" s="1"/>
  <c r="LV18" i="24" s="1"/>
  <c r="LW18" i="24" s="1"/>
  <c r="LX18" i="24" s="1"/>
  <c r="LY18" i="24" s="1"/>
  <c r="LZ18" i="24" s="1"/>
  <c r="MA18" i="24" s="1"/>
  <c r="MB18" i="24" s="1"/>
  <c r="MC18" i="24" s="1"/>
  <c r="MD18" i="24" s="1"/>
  <c r="ME18" i="24" s="1"/>
  <c r="MF18" i="24" s="1"/>
  <c r="MG18" i="24" s="1"/>
  <c r="MH18" i="24" s="1"/>
  <c r="MI18" i="24" s="1"/>
  <c r="MJ18" i="24" s="1"/>
  <c r="MK18" i="24" s="1"/>
  <c r="ML18" i="24" s="1"/>
  <c r="MM18" i="24" s="1"/>
  <c r="MN18" i="24" s="1"/>
  <c r="MO18" i="24" s="1"/>
  <c r="MP18" i="24" s="1"/>
  <c r="MQ18" i="24" s="1"/>
  <c r="MR18" i="24" s="1"/>
  <c r="MS18" i="24" s="1"/>
  <c r="MT18" i="24" s="1"/>
  <c r="MU18" i="24" s="1"/>
  <c r="MV18" i="24" s="1"/>
  <c r="MW18" i="24" s="1"/>
  <c r="MX18" i="24" s="1"/>
  <c r="MY18" i="24" s="1"/>
  <c r="MZ18" i="24" s="1"/>
  <c r="NA18" i="24" s="1"/>
  <c r="NB18" i="24" s="1"/>
  <c r="NC18" i="24" s="1"/>
  <c r="ND18" i="24" s="1"/>
  <c r="NE18" i="24" s="1"/>
  <c r="NF18" i="24" s="1"/>
  <c r="NG18" i="24" s="1"/>
  <c r="NH18" i="24" s="1"/>
  <c r="NI18" i="24" s="1"/>
  <c r="NJ18" i="24" s="1"/>
  <c r="NK18" i="24" s="1"/>
  <c r="NL18" i="24" s="1"/>
  <c r="NM18" i="24" s="1"/>
  <c r="NN18" i="24" s="1"/>
  <c r="NO18" i="24" s="1"/>
  <c r="NP18" i="24" s="1"/>
  <c r="NQ18" i="24" s="1"/>
  <c r="NR18" i="24" s="1"/>
  <c r="NS18" i="24" s="1"/>
  <c r="NT18" i="24" s="1"/>
  <c r="NU18" i="24" s="1"/>
  <c r="NV18" i="24" s="1"/>
  <c r="NW18" i="24" s="1"/>
  <c r="NX18" i="24" s="1"/>
  <c r="NY18" i="24" s="1"/>
  <c r="NZ18" i="24" s="1"/>
  <c r="OA18" i="24" s="1"/>
  <c r="OB18" i="24" s="1"/>
  <c r="OC18" i="24" s="1"/>
  <c r="OD18" i="24" s="1"/>
  <c r="OE18" i="24" s="1"/>
  <c r="OF18" i="24" s="1"/>
  <c r="OG18" i="24" s="1"/>
  <c r="OH18" i="24" s="1"/>
  <c r="OI18" i="24" s="1"/>
  <c r="OJ18" i="24" s="1"/>
  <c r="OK18" i="24" s="1"/>
  <c r="OL18" i="24" s="1"/>
  <c r="OM18" i="24" s="1"/>
  <c r="ON18" i="24" s="1"/>
  <c r="OO18" i="24" s="1"/>
  <c r="OP18" i="24" s="1"/>
  <c r="OQ18" i="24" s="1"/>
  <c r="OR18" i="24" s="1"/>
  <c r="OS18" i="24" s="1"/>
  <c r="OT18" i="24" s="1"/>
  <c r="OU18" i="24" s="1"/>
  <c r="OV18" i="24" s="1"/>
  <c r="OW18" i="24" s="1"/>
  <c r="OX18" i="24" s="1"/>
  <c r="OY18" i="24" s="1"/>
  <c r="OZ18" i="24" s="1"/>
  <c r="PA18" i="24" s="1"/>
  <c r="PB18" i="24" s="1"/>
  <c r="PC18" i="24" s="1"/>
  <c r="PD18" i="24" s="1"/>
  <c r="PE18" i="24" s="1"/>
  <c r="PF18" i="24" s="1"/>
  <c r="PG18" i="24" s="1"/>
  <c r="PH18" i="24" s="1"/>
  <c r="PI18" i="24" s="1"/>
  <c r="PJ18" i="24" s="1"/>
  <c r="PK18" i="24" s="1"/>
  <c r="PL18" i="24" s="1"/>
  <c r="PM18" i="24" s="1"/>
  <c r="PN18" i="24" s="1"/>
  <c r="PO18" i="24" s="1"/>
  <c r="PP18" i="24" s="1"/>
  <c r="PQ18" i="24" s="1"/>
  <c r="PR18" i="24" s="1"/>
  <c r="PS18" i="24" s="1"/>
  <c r="PT18" i="24" s="1"/>
  <c r="PU18" i="24" s="1"/>
  <c r="PV18" i="24" s="1"/>
  <c r="PW18" i="24" s="1"/>
  <c r="PX18" i="24" s="1"/>
  <c r="PY18" i="24" s="1"/>
  <c r="PZ18" i="24" s="1"/>
  <c r="QA18" i="24" s="1"/>
  <c r="QB18" i="24" s="1"/>
  <c r="QC18" i="24" s="1"/>
  <c r="QD18" i="24" s="1"/>
  <c r="QE18" i="24" s="1"/>
  <c r="QF18" i="24" s="1"/>
  <c r="QG18" i="24" s="1"/>
  <c r="QH18" i="24" s="1"/>
  <c r="QI18" i="24" s="1"/>
  <c r="QJ18" i="24" s="1"/>
  <c r="QK18" i="24" s="1"/>
  <c r="QL18" i="24" s="1"/>
  <c r="QM18" i="24" s="1"/>
  <c r="QN18" i="24" s="1"/>
  <c r="QO18" i="24" s="1"/>
  <c r="QP18" i="24" s="1"/>
  <c r="QQ18" i="24" s="1"/>
  <c r="QR18" i="24" s="1"/>
  <c r="QS18" i="24" s="1"/>
  <c r="QT18" i="24" s="1"/>
  <c r="QU18" i="24" s="1"/>
  <c r="QV18" i="24" s="1"/>
  <c r="QW18" i="24" s="1"/>
  <c r="QX18" i="24" s="1"/>
  <c r="QY18" i="24" s="1"/>
  <c r="QZ18" i="24" s="1"/>
  <c r="RA18" i="24" s="1"/>
  <c r="RB18" i="24" s="1"/>
  <c r="RC18" i="24" s="1"/>
  <c r="RD18" i="24" s="1"/>
  <c r="RE18" i="24" s="1"/>
  <c r="RF18" i="24" s="1"/>
  <c r="RG18" i="24" s="1"/>
  <c r="RH18" i="24" s="1"/>
  <c r="RI18" i="24" s="1"/>
  <c r="RJ18" i="24" s="1"/>
  <c r="RK18" i="24" s="1"/>
  <c r="RL18" i="24" s="1"/>
  <c r="RM18" i="24" s="1"/>
  <c r="RN18" i="24" s="1"/>
  <c r="RO18" i="24" s="1"/>
  <c r="RP18" i="24" s="1"/>
  <c r="RQ18" i="24" s="1"/>
  <c r="RR18" i="24" s="1"/>
  <c r="RS18" i="24" s="1"/>
  <c r="RT18" i="24" s="1"/>
  <c r="RU18" i="24" s="1"/>
  <c r="RV18" i="24" s="1"/>
  <c r="RW18" i="24" s="1"/>
  <c r="RX18" i="24" s="1"/>
  <c r="RY18" i="24" s="1"/>
  <c r="RZ18" i="24" s="1"/>
  <c r="SA18" i="24" s="1"/>
  <c r="SB18" i="24" s="1"/>
  <c r="SC18" i="24" s="1"/>
  <c r="SD18" i="24" s="1"/>
  <c r="SE18" i="24" s="1"/>
  <c r="SF18" i="24" s="1"/>
  <c r="SG18" i="24" s="1"/>
  <c r="SH18" i="24" s="1"/>
  <c r="SI18" i="24" s="1"/>
  <c r="SJ18" i="24" s="1"/>
  <c r="SK18" i="24" s="1"/>
  <c r="SL18" i="24" s="1"/>
  <c r="SM18" i="24" s="1"/>
  <c r="SN18" i="24" s="1"/>
  <c r="SO18" i="24" s="1"/>
  <c r="SP18" i="24" s="1"/>
  <c r="SQ18" i="24" s="1"/>
  <c r="SR18" i="24" s="1"/>
  <c r="SS18" i="24" s="1"/>
  <c r="ST18" i="24" s="1"/>
  <c r="SU18" i="24" s="1"/>
  <c r="SV18" i="24" s="1"/>
  <c r="SW18" i="24" s="1"/>
  <c r="SX18" i="24" s="1"/>
  <c r="SY18" i="24" s="1"/>
  <c r="SZ18" i="24" s="1"/>
  <c r="TA18" i="24" s="1"/>
  <c r="TB18" i="24" s="1"/>
  <c r="TC18" i="24" s="1"/>
  <c r="TD18" i="24" s="1"/>
  <c r="TE18" i="24" s="1"/>
  <c r="TF18" i="24" s="1"/>
  <c r="TG18" i="24" s="1"/>
  <c r="TH18" i="24" s="1"/>
  <c r="TI18" i="24" s="1"/>
  <c r="TJ18" i="24" s="1"/>
  <c r="TK18" i="24" s="1"/>
  <c r="TL18" i="24" s="1"/>
  <c r="TM18" i="24" s="1"/>
  <c r="TN18" i="24" s="1"/>
  <c r="TO18" i="24" s="1"/>
  <c r="TP18" i="24" s="1"/>
  <c r="TQ18" i="24" s="1"/>
  <c r="TR18" i="24" s="1"/>
  <c r="TS18" i="24" s="1"/>
  <c r="TT18" i="24" s="1"/>
  <c r="TU18" i="24" s="1"/>
  <c r="TV18" i="24" s="1"/>
  <c r="TW18" i="24" s="1"/>
  <c r="TX18" i="24" s="1"/>
  <c r="TY18" i="24" s="1"/>
  <c r="TZ18" i="24" s="1"/>
  <c r="UA18" i="24" s="1"/>
  <c r="UB18" i="24" s="1"/>
  <c r="UC18" i="24" s="1"/>
  <c r="UD18" i="24" s="1"/>
  <c r="UE18" i="24" s="1"/>
  <c r="UF18" i="24" s="1"/>
  <c r="UG18" i="24" s="1"/>
  <c r="UH18" i="24" s="1"/>
  <c r="UI18" i="24" s="1"/>
  <c r="UJ18" i="24" s="1"/>
  <c r="UK18" i="24" s="1"/>
  <c r="UL18" i="24" s="1"/>
  <c r="UM18" i="24" s="1"/>
  <c r="UN18" i="24" s="1"/>
  <c r="UO18" i="24" s="1"/>
  <c r="UP18" i="24" s="1"/>
  <c r="UQ18" i="24" s="1"/>
  <c r="UR18" i="24" s="1"/>
  <c r="US18" i="24" s="1"/>
  <c r="UT18" i="24" s="1"/>
  <c r="UU18" i="24" s="1"/>
  <c r="UV18" i="24" s="1"/>
  <c r="UW18" i="24" s="1"/>
  <c r="UX18" i="24" s="1"/>
  <c r="UY18" i="24" s="1"/>
  <c r="UZ18" i="24" s="1"/>
  <c r="VA18" i="24" s="1"/>
  <c r="VB18" i="24" s="1"/>
  <c r="VC18" i="24" s="1"/>
  <c r="VD18" i="24" s="1"/>
  <c r="VE18" i="24" s="1"/>
  <c r="VF18" i="24" s="1"/>
  <c r="VG18" i="24" s="1"/>
  <c r="VH18" i="24" s="1"/>
  <c r="VI18" i="24" s="1"/>
  <c r="VJ18" i="24" s="1"/>
  <c r="VK18" i="24" s="1"/>
  <c r="VL18" i="24" s="1"/>
  <c r="VM18" i="24" s="1"/>
  <c r="VN18" i="24" s="1"/>
  <c r="VO18" i="24" s="1"/>
  <c r="VP18" i="24" s="1"/>
  <c r="VQ18" i="24" s="1"/>
  <c r="VR18" i="24" s="1"/>
  <c r="VS18" i="24" s="1"/>
  <c r="VT18" i="24" s="1"/>
  <c r="VU18" i="24" s="1"/>
  <c r="VV18" i="24" s="1"/>
  <c r="VW18" i="24" s="1"/>
  <c r="VX18" i="24" s="1"/>
  <c r="VY18" i="24" s="1"/>
  <c r="VZ18" i="24" s="1"/>
  <c r="WA18" i="24" s="1"/>
  <c r="WB18" i="24" s="1"/>
  <c r="WC18" i="24" s="1"/>
  <c r="WD18" i="24" s="1"/>
  <c r="WE18" i="24" s="1"/>
  <c r="WF18" i="24" s="1"/>
  <c r="WG18" i="24" s="1"/>
  <c r="WH18" i="24" s="1"/>
  <c r="WI18" i="24" s="1"/>
  <c r="WJ18" i="24" s="1"/>
  <c r="WK18" i="24" s="1"/>
  <c r="WL18" i="24" s="1"/>
  <c r="WM18" i="24" s="1"/>
  <c r="WN18" i="24" s="1"/>
  <c r="WO18" i="24" s="1"/>
  <c r="WP18" i="24" s="1"/>
  <c r="WQ18" i="24" s="1"/>
  <c r="WR18" i="24" s="1"/>
  <c r="WS18" i="24" s="1"/>
  <c r="WT18" i="24" s="1"/>
  <c r="WU18" i="24" s="1"/>
  <c r="WV18" i="24" s="1"/>
  <c r="WW18" i="24" s="1"/>
  <c r="WX18" i="24" s="1"/>
  <c r="WY18" i="24" s="1"/>
  <c r="WZ18" i="24" s="1"/>
  <c r="XA18" i="24" s="1"/>
  <c r="XB18" i="24" s="1"/>
  <c r="XC18" i="24" s="1"/>
  <c r="XD18" i="24" s="1"/>
  <c r="XE18" i="24" s="1"/>
  <c r="XF18" i="24" s="1"/>
  <c r="XG18" i="24" s="1"/>
  <c r="XH18" i="24" s="1"/>
  <c r="XI18" i="24" s="1"/>
  <c r="XJ18" i="24" s="1"/>
  <c r="XK18" i="24" s="1"/>
  <c r="XL18" i="24" s="1"/>
  <c r="XM18" i="24" s="1"/>
  <c r="XN18" i="24" s="1"/>
  <c r="XO18" i="24" s="1"/>
  <c r="XP18" i="24" s="1"/>
  <c r="XQ18" i="24" s="1"/>
  <c r="XR18" i="24" s="1"/>
  <c r="XS18" i="24" s="1"/>
  <c r="XT18" i="24" s="1"/>
  <c r="XU18" i="24" s="1"/>
  <c r="XV18" i="24" s="1"/>
  <c r="XW18" i="24" s="1"/>
  <c r="XX18" i="24" s="1"/>
  <c r="XY18" i="24" s="1"/>
  <c r="XZ18" i="24" s="1"/>
  <c r="YA18" i="24" s="1"/>
  <c r="YB18" i="24" s="1"/>
  <c r="YC18" i="24" s="1"/>
  <c r="YD18" i="24" s="1"/>
  <c r="YE18" i="24" s="1"/>
  <c r="YF18" i="24" s="1"/>
  <c r="YG18" i="24" s="1"/>
  <c r="YH18" i="24" s="1"/>
  <c r="YI18" i="24" s="1"/>
  <c r="YJ18" i="24" s="1"/>
  <c r="YK18" i="24" s="1"/>
  <c r="YL18" i="24" s="1"/>
  <c r="YM18" i="24" s="1"/>
  <c r="YN18" i="24" s="1"/>
  <c r="YO18" i="24" s="1"/>
  <c r="YP18" i="24" s="1"/>
  <c r="YQ18" i="24" s="1"/>
  <c r="YR18" i="24" s="1"/>
  <c r="YS18" i="24" s="1"/>
  <c r="YT18" i="24" s="1"/>
  <c r="YU18" i="24" s="1"/>
  <c r="YV18" i="24" s="1"/>
  <c r="YW18" i="24" s="1"/>
  <c r="YX18" i="24" s="1"/>
  <c r="YY18" i="24" s="1"/>
  <c r="YZ18" i="24" s="1"/>
  <c r="ZA18" i="24" s="1"/>
  <c r="ZB18" i="24" s="1"/>
  <c r="ZC18" i="24" s="1"/>
  <c r="ZD18" i="24" s="1"/>
  <c r="ZE18" i="24" s="1"/>
  <c r="ZF18" i="24" s="1"/>
  <c r="ZG18" i="24" s="1"/>
  <c r="ZH18" i="24" s="1"/>
  <c r="ZI18" i="24" s="1"/>
  <c r="ZJ18" i="24" s="1"/>
  <c r="ZK18" i="24" s="1"/>
  <c r="ZL18" i="24" s="1"/>
  <c r="ZM18" i="24" s="1"/>
  <c r="ZN18" i="24" s="1"/>
  <c r="ZO18" i="24" s="1"/>
  <c r="ZP18" i="24" s="1"/>
  <c r="ZQ18" i="24" s="1"/>
  <c r="ZR18" i="24" s="1"/>
  <c r="ZS18" i="24" s="1"/>
  <c r="ZT18" i="24" s="1"/>
  <c r="ZU18" i="24" s="1"/>
  <c r="ZV18" i="24" s="1"/>
  <c r="ZW18" i="24" s="1"/>
  <c r="ZX18" i="24" s="1"/>
  <c r="ZY18" i="24" s="1"/>
  <c r="ZZ18" i="24" s="1"/>
  <c r="AAA18" i="24" s="1"/>
  <c r="AAB18" i="24" s="1"/>
  <c r="AAC18" i="24" s="1"/>
  <c r="AAD18" i="24" s="1"/>
  <c r="AAE18" i="24" s="1"/>
  <c r="AAF18" i="24" s="1"/>
  <c r="AAG18" i="24" s="1"/>
  <c r="AAH18" i="24" s="1"/>
  <c r="AAI18" i="24" s="1"/>
  <c r="AAJ18" i="24" s="1"/>
  <c r="AAK18" i="24" s="1"/>
  <c r="AAL18" i="24" s="1"/>
  <c r="AAM18" i="24" s="1"/>
  <c r="AAN18" i="24" s="1"/>
  <c r="AAO18" i="24" s="1"/>
  <c r="AAP18" i="24" s="1"/>
  <c r="AAQ18" i="24" s="1"/>
  <c r="AAR18" i="24" s="1"/>
  <c r="AAS18" i="24" s="1"/>
  <c r="AAT18" i="24" s="1"/>
  <c r="AAU18" i="24" s="1"/>
  <c r="AAV18" i="24" s="1"/>
  <c r="AAW18" i="24" s="1"/>
  <c r="AAX18" i="24" s="1"/>
  <c r="AAY18" i="24" s="1"/>
  <c r="AAZ18" i="24" s="1"/>
  <c r="ABA18" i="24" s="1"/>
  <c r="ABB18" i="24" s="1"/>
  <c r="ABC18" i="24" s="1"/>
  <c r="ABD18" i="24" s="1"/>
  <c r="ABE18" i="24" s="1"/>
  <c r="ABF18" i="24" s="1"/>
  <c r="ABG18" i="24" s="1"/>
  <c r="ABH18" i="24" s="1"/>
  <c r="ABI18" i="24" s="1"/>
  <c r="ABJ18" i="24" s="1"/>
  <c r="ABK18" i="24" s="1"/>
  <c r="ABL18" i="24" s="1"/>
  <c r="ABM18" i="24" s="1"/>
  <c r="ABN18" i="24" s="1"/>
  <c r="ABO18" i="24" s="1"/>
  <c r="ABP18" i="24" s="1"/>
  <c r="ABQ18" i="24" s="1"/>
  <c r="ABR18" i="24" s="1"/>
  <c r="ABS18" i="24" s="1"/>
  <c r="ABT18" i="24" s="1"/>
  <c r="ABU18" i="24" s="1"/>
  <c r="ABV18" i="24" s="1"/>
  <c r="ABW18" i="24" s="1"/>
  <c r="ABX18" i="24" s="1"/>
  <c r="ABY18" i="24" s="1"/>
  <c r="ABZ18" i="24" s="1"/>
  <c r="ACA18" i="24" s="1"/>
  <c r="ACB18" i="24" s="1"/>
  <c r="ACC18" i="24" s="1"/>
  <c r="ACD18" i="24" s="1"/>
  <c r="ACE18" i="24" s="1"/>
  <c r="ACF18" i="24" s="1"/>
  <c r="ACG18" i="24" s="1"/>
  <c r="ACH18" i="24" s="1"/>
  <c r="ACI18" i="24" s="1"/>
  <c r="ACJ18" i="24" s="1"/>
  <c r="ACK18" i="24" s="1"/>
  <c r="ACL18" i="24" s="1"/>
  <c r="ACM18" i="24" s="1"/>
  <c r="ACN18" i="24" s="1"/>
  <c r="ACO18" i="24" s="1"/>
  <c r="ACP18" i="24" s="1"/>
  <c r="ACQ18" i="24" s="1"/>
  <c r="ACR18" i="24" s="1"/>
  <c r="ACS18" i="24" s="1"/>
  <c r="ACT18" i="24" s="1"/>
  <c r="ACU18" i="24" s="1"/>
  <c r="ACV18" i="24" s="1"/>
  <c r="C14" i="24"/>
  <c r="D14" i="24" s="1"/>
  <c r="E14" i="24" s="1"/>
  <c r="F14" i="24" s="1"/>
  <c r="G14" i="24" s="1"/>
  <c r="H14" i="24" s="1"/>
  <c r="I14" i="24" s="1"/>
  <c r="J14" i="24" s="1"/>
  <c r="K14" i="24" s="1"/>
  <c r="L14" i="24" s="1"/>
  <c r="M14" i="24" s="1"/>
  <c r="N14" i="24" s="1"/>
  <c r="O14" i="24" s="1"/>
  <c r="P14" i="24" s="1"/>
  <c r="Q14" i="24" s="1"/>
  <c r="R14" i="24" s="1"/>
  <c r="S14" i="24" s="1"/>
  <c r="T14" i="24" s="1"/>
  <c r="U14" i="24" s="1"/>
  <c r="V14" i="24" s="1"/>
  <c r="W14" i="24" s="1"/>
  <c r="X14" i="24" s="1"/>
  <c r="Y14" i="24" s="1"/>
  <c r="Z14" i="24" s="1"/>
  <c r="AA14" i="24" s="1"/>
  <c r="AB14" i="24" s="1"/>
  <c r="AC14" i="24" s="1"/>
  <c r="AD14" i="24" s="1"/>
  <c r="AE14" i="24" s="1"/>
  <c r="AF14" i="24" s="1"/>
  <c r="AG14" i="24" s="1"/>
  <c r="AH14" i="24" s="1"/>
  <c r="AI14" i="24" s="1"/>
  <c r="AJ14" i="24" s="1"/>
  <c r="AK14" i="24" s="1"/>
  <c r="AL14" i="24" s="1"/>
  <c r="AM14" i="24" s="1"/>
  <c r="AN14" i="24" s="1"/>
  <c r="AO14" i="24" s="1"/>
  <c r="AP14" i="24" s="1"/>
  <c r="AQ14" i="24" s="1"/>
  <c r="AR14" i="24" s="1"/>
  <c r="AS14" i="24" s="1"/>
  <c r="AT14" i="24" s="1"/>
  <c r="AU14" i="24" s="1"/>
  <c r="AV14" i="24" s="1"/>
  <c r="AW14" i="24" s="1"/>
  <c r="AX14" i="24" s="1"/>
  <c r="AY14" i="24" s="1"/>
  <c r="AZ14" i="24" s="1"/>
  <c r="BA14" i="24" s="1"/>
  <c r="BB14" i="24" s="1"/>
  <c r="BC14" i="24" s="1"/>
  <c r="BD14" i="24" s="1"/>
  <c r="BE14" i="24" s="1"/>
  <c r="BF14" i="24" s="1"/>
  <c r="BG14" i="24" s="1"/>
  <c r="BH14" i="24" s="1"/>
  <c r="BI14" i="24" s="1"/>
  <c r="BJ14" i="24" s="1"/>
  <c r="BK14" i="24" s="1"/>
  <c r="BL14" i="24" s="1"/>
  <c r="BM14" i="24" s="1"/>
  <c r="BN14" i="24" s="1"/>
  <c r="BO14" i="24" s="1"/>
  <c r="BP14" i="24" s="1"/>
  <c r="BQ14" i="24" s="1"/>
  <c r="BR14" i="24" s="1"/>
  <c r="BS14" i="24" s="1"/>
  <c r="BT14" i="24" s="1"/>
  <c r="BU14" i="24" s="1"/>
  <c r="BV14" i="24" s="1"/>
  <c r="BW14" i="24" s="1"/>
  <c r="BX14" i="24" s="1"/>
  <c r="BY14" i="24" s="1"/>
  <c r="BZ14" i="24" s="1"/>
  <c r="CA14" i="24" s="1"/>
  <c r="CB14" i="24" s="1"/>
  <c r="CC14" i="24" s="1"/>
  <c r="CD14" i="24" s="1"/>
  <c r="CE14" i="24" s="1"/>
  <c r="CF14" i="24" s="1"/>
  <c r="CG14" i="24" s="1"/>
  <c r="CH14" i="24" s="1"/>
  <c r="CI14" i="24" s="1"/>
  <c r="CJ14" i="24" s="1"/>
  <c r="CK14" i="24" s="1"/>
  <c r="CL14" i="24" s="1"/>
  <c r="CM14" i="24" s="1"/>
  <c r="CN14" i="24" s="1"/>
  <c r="CO14" i="24" s="1"/>
  <c r="CP14" i="24" s="1"/>
  <c r="CQ14" i="24" s="1"/>
  <c r="CR14" i="24" s="1"/>
  <c r="CS14" i="24" s="1"/>
  <c r="CT14" i="24" s="1"/>
  <c r="CU14" i="24" s="1"/>
  <c r="CV14" i="24" s="1"/>
  <c r="CW14" i="24" s="1"/>
  <c r="CX14" i="24" s="1"/>
  <c r="CY14" i="24" s="1"/>
  <c r="CZ14" i="24" s="1"/>
  <c r="DA14" i="24" s="1"/>
  <c r="DB14" i="24" s="1"/>
  <c r="DC14" i="24" s="1"/>
  <c r="DD14" i="24" s="1"/>
  <c r="DE14" i="24" s="1"/>
  <c r="DF14" i="24" s="1"/>
  <c r="DG14" i="24" s="1"/>
  <c r="DH14" i="24" s="1"/>
  <c r="DI14" i="24" s="1"/>
  <c r="DJ14" i="24" s="1"/>
  <c r="DK14" i="24" s="1"/>
  <c r="DL14" i="24" s="1"/>
  <c r="DM14" i="24" s="1"/>
  <c r="DN14" i="24" s="1"/>
  <c r="DO14" i="24" s="1"/>
  <c r="DP14" i="24" s="1"/>
  <c r="DQ14" i="24" s="1"/>
  <c r="DR14" i="24" s="1"/>
  <c r="DS14" i="24" s="1"/>
  <c r="DT14" i="24" s="1"/>
  <c r="DU14" i="24" s="1"/>
  <c r="DV14" i="24" s="1"/>
  <c r="DW14" i="24" s="1"/>
  <c r="DX14" i="24" s="1"/>
  <c r="DY14" i="24" s="1"/>
  <c r="DZ14" i="24" s="1"/>
  <c r="EA14" i="24" s="1"/>
  <c r="EB14" i="24" s="1"/>
  <c r="EC14" i="24" s="1"/>
  <c r="ED14" i="24" s="1"/>
  <c r="EE14" i="24" s="1"/>
  <c r="EF14" i="24" s="1"/>
  <c r="EG14" i="24" s="1"/>
  <c r="EH14" i="24" s="1"/>
  <c r="EI14" i="24" s="1"/>
  <c r="EJ14" i="24" s="1"/>
  <c r="EK14" i="24" s="1"/>
  <c r="EL14" i="24" s="1"/>
  <c r="EM14" i="24" s="1"/>
  <c r="EN14" i="24" s="1"/>
  <c r="EO14" i="24" s="1"/>
  <c r="EP14" i="24" s="1"/>
  <c r="EQ14" i="24" s="1"/>
  <c r="ER14" i="24" s="1"/>
  <c r="ES14" i="24" s="1"/>
  <c r="ET14" i="24" s="1"/>
  <c r="EU14" i="24" s="1"/>
  <c r="EV14" i="24" s="1"/>
  <c r="EW14" i="24" s="1"/>
  <c r="EX14" i="24" s="1"/>
  <c r="EY14" i="24" s="1"/>
  <c r="EZ14" i="24" s="1"/>
  <c r="FA14" i="24" s="1"/>
  <c r="FB14" i="24" s="1"/>
  <c r="FC14" i="24" s="1"/>
  <c r="FD14" i="24" s="1"/>
  <c r="FE14" i="24" s="1"/>
  <c r="FF14" i="24" s="1"/>
  <c r="FG14" i="24" s="1"/>
  <c r="FH14" i="24" s="1"/>
  <c r="FI14" i="24" s="1"/>
  <c r="FJ14" i="24" s="1"/>
  <c r="FK14" i="24" s="1"/>
  <c r="FL14" i="24" s="1"/>
  <c r="FM14" i="24" s="1"/>
  <c r="FN14" i="24" s="1"/>
  <c r="FO14" i="24" s="1"/>
  <c r="FP14" i="24" s="1"/>
  <c r="FQ14" i="24" s="1"/>
  <c r="FR14" i="24" s="1"/>
  <c r="FS14" i="24" s="1"/>
  <c r="FT14" i="24" s="1"/>
  <c r="FU14" i="24" s="1"/>
  <c r="FV14" i="24" s="1"/>
  <c r="FW14" i="24" s="1"/>
  <c r="FX14" i="24" s="1"/>
  <c r="FY14" i="24" s="1"/>
  <c r="FZ14" i="24" s="1"/>
  <c r="GA14" i="24" s="1"/>
  <c r="GB14" i="24" s="1"/>
  <c r="GC14" i="24" s="1"/>
  <c r="GD14" i="24" s="1"/>
  <c r="GE14" i="24" s="1"/>
  <c r="GF14" i="24" s="1"/>
  <c r="GG14" i="24" s="1"/>
  <c r="GH14" i="24" s="1"/>
  <c r="GI14" i="24" s="1"/>
  <c r="GJ14" i="24" s="1"/>
  <c r="GK14" i="24" s="1"/>
  <c r="GL14" i="24" s="1"/>
  <c r="GM14" i="24" s="1"/>
  <c r="GN14" i="24" s="1"/>
  <c r="GO14" i="24" s="1"/>
  <c r="GP14" i="24" s="1"/>
  <c r="GQ14" i="24" s="1"/>
  <c r="GR14" i="24" s="1"/>
  <c r="GS14" i="24" s="1"/>
  <c r="GT14" i="24" s="1"/>
  <c r="GU14" i="24" s="1"/>
  <c r="GV14" i="24" s="1"/>
  <c r="GW14" i="24" s="1"/>
  <c r="GX14" i="24" s="1"/>
  <c r="GY14" i="24" s="1"/>
  <c r="GZ14" i="24" s="1"/>
  <c r="HA14" i="24" s="1"/>
  <c r="HB14" i="24" s="1"/>
  <c r="HC14" i="24" s="1"/>
  <c r="HD14" i="24" s="1"/>
  <c r="HE14" i="24" s="1"/>
  <c r="HF14" i="24" s="1"/>
  <c r="HG14" i="24" s="1"/>
  <c r="HH14" i="24" s="1"/>
  <c r="HI14" i="24" s="1"/>
  <c r="HJ14" i="24" s="1"/>
  <c r="HK14" i="24" s="1"/>
  <c r="HL14" i="24" s="1"/>
  <c r="HM14" i="24" s="1"/>
  <c r="HN14" i="24" s="1"/>
  <c r="HO14" i="24" s="1"/>
  <c r="HP14" i="24" s="1"/>
  <c r="HQ14" i="24" s="1"/>
  <c r="HR14" i="24" s="1"/>
  <c r="HS14" i="24" s="1"/>
  <c r="HT14" i="24" s="1"/>
  <c r="HU14" i="24" s="1"/>
  <c r="HV14" i="24" s="1"/>
  <c r="HW14" i="24" s="1"/>
  <c r="HX14" i="24" s="1"/>
  <c r="HY14" i="24" s="1"/>
  <c r="HZ14" i="24" s="1"/>
  <c r="IA14" i="24" s="1"/>
  <c r="IB14" i="24" s="1"/>
  <c r="IC14" i="24" s="1"/>
  <c r="ID14" i="24" s="1"/>
  <c r="IE14" i="24" s="1"/>
  <c r="IF14" i="24" s="1"/>
  <c r="IG14" i="24" s="1"/>
  <c r="IH14" i="24" s="1"/>
  <c r="II14" i="24" s="1"/>
  <c r="IJ14" i="24" s="1"/>
  <c r="IK14" i="24" s="1"/>
  <c r="IL14" i="24" s="1"/>
  <c r="IM14" i="24" s="1"/>
  <c r="IN14" i="24" s="1"/>
  <c r="IO14" i="24" s="1"/>
  <c r="IP14" i="24" s="1"/>
  <c r="IQ14" i="24" s="1"/>
  <c r="IR14" i="24" s="1"/>
  <c r="IS14" i="24" s="1"/>
  <c r="IT14" i="24" s="1"/>
  <c r="IU14" i="24" s="1"/>
  <c r="IV14" i="24" s="1"/>
  <c r="IW14" i="24" s="1"/>
  <c r="IX14" i="24" s="1"/>
  <c r="IY14" i="24" s="1"/>
  <c r="IZ14" i="24" s="1"/>
  <c r="JA14" i="24" s="1"/>
  <c r="JB14" i="24" s="1"/>
  <c r="JC14" i="24" s="1"/>
  <c r="JD14" i="24" s="1"/>
  <c r="JE14" i="24" s="1"/>
  <c r="JF14" i="24" s="1"/>
  <c r="JG14" i="24" s="1"/>
  <c r="JH14" i="24" s="1"/>
  <c r="JI14" i="24" s="1"/>
  <c r="JJ14" i="24" s="1"/>
  <c r="JK14" i="24" s="1"/>
  <c r="JL14" i="24" s="1"/>
  <c r="JM14" i="24" s="1"/>
  <c r="JN14" i="24" s="1"/>
  <c r="JO14" i="24" s="1"/>
  <c r="JP14" i="24" s="1"/>
  <c r="JQ14" i="24" s="1"/>
  <c r="JR14" i="24" s="1"/>
  <c r="JS14" i="24" s="1"/>
  <c r="JT14" i="24" s="1"/>
  <c r="JU14" i="24" s="1"/>
  <c r="JV14" i="24" s="1"/>
  <c r="JW14" i="24" s="1"/>
  <c r="JX14" i="24" s="1"/>
  <c r="JY14" i="24" s="1"/>
  <c r="JZ14" i="24" s="1"/>
  <c r="KA14" i="24" s="1"/>
  <c r="KB14" i="24" s="1"/>
  <c r="KC14" i="24" s="1"/>
  <c r="KD14" i="24" s="1"/>
  <c r="KE14" i="24" s="1"/>
  <c r="KF14" i="24" s="1"/>
  <c r="KG14" i="24" s="1"/>
  <c r="KH14" i="24" s="1"/>
  <c r="KI14" i="24" s="1"/>
  <c r="KJ14" i="24" s="1"/>
  <c r="KK14" i="24" s="1"/>
  <c r="KL14" i="24" s="1"/>
  <c r="KM14" i="24" s="1"/>
  <c r="KN14" i="24" s="1"/>
  <c r="KO14" i="24" s="1"/>
  <c r="KP14" i="24" s="1"/>
  <c r="KQ14" i="24" s="1"/>
  <c r="KR14" i="24" s="1"/>
  <c r="KS14" i="24" s="1"/>
  <c r="KT14" i="24" s="1"/>
  <c r="KU14" i="24" s="1"/>
  <c r="KV14" i="24" s="1"/>
  <c r="KW14" i="24" s="1"/>
  <c r="KX14" i="24" s="1"/>
  <c r="KY14" i="24" s="1"/>
  <c r="KZ14" i="24" s="1"/>
  <c r="LA14" i="24" s="1"/>
  <c r="LB14" i="24" s="1"/>
  <c r="LC14" i="24" s="1"/>
  <c r="LD14" i="24" s="1"/>
  <c r="LE14" i="24" s="1"/>
  <c r="LF14" i="24" s="1"/>
  <c r="LG14" i="24" s="1"/>
  <c r="LH14" i="24" s="1"/>
  <c r="LI14" i="24" s="1"/>
  <c r="LJ14" i="24" s="1"/>
  <c r="LK14" i="24" s="1"/>
  <c r="LL14" i="24" s="1"/>
  <c r="LM14" i="24" s="1"/>
  <c r="LN14" i="24" s="1"/>
  <c r="LO14" i="24" s="1"/>
  <c r="LP14" i="24" s="1"/>
  <c r="LQ14" i="24" s="1"/>
  <c r="LR14" i="24" s="1"/>
  <c r="LS14" i="24" s="1"/>
  <c r="LT14" i="24" s="1"/>
  <c r="LU14" i="24" s="1"/>
  <c r="LV14" i="24" s="1"/>
  <c r="LW14" i="24" s="1"/>
  <c r="LX14" i="24" s="1"/>
  <c r="LY14" i="24" s="1"/>
  <c r="LZ14" i="24" s="1"/>
  <c r="MA14" i="24" s="1"/>
  <c r="MB14" i="24" s="1"/>
  <c r="MC14" i="24" s="1"/>
  <c r="MD14" i="24" s="1"/>
  <c r="ME14" i="24" s="1"/>
  <c r="MF14" i="24" s="1"/>
  <c r="MG14" i="24" s="1"/>
  <c r="MH14" i="24" s="1"/>
  <c r="MI14" i="24" s="1"/>
  <c r="MJ14" i="24" s="1"/>
  <c r="MK14" i="24" s="1"/>
  <c r="ML14" i="24" s="1"/>
  <c r="MM14" i="24" s="1"/>
  <c r="MN14" i="24" s="1"/>
  <c r="MO14" i="24" s="1"/>
  <c r="MP14" i="24" s="1"/>
  <c r="MQ14" i="24" s="1"/>
  <c r="MR14" i="24" s="1"/>
  <c r="MS14" i="24" s="1"/>
  <c r="MT14" i="24" s="1"/>
  <c r="MU14" i="24" s="1"/>
  <c r="MV14" i="24" s="1"/>
  <c r="MW14" i="24" s="1"/>
  <c r="MX14" i="24" s="1"/>
  <c r="MY14" i="24" s="1"/>
  <c r="MZ14" i="24" s="1"/>
  <c r="NA14" i="24" s="1"/>
  <c r="NB14" i="24" s="1"/>
  <c r="NC14" i="24" s="1"/>
  <c r="ND14" i="24" s="1"/>
  <c r="NE14" i="24" s="1"/>
  <c r="NF14" i="24" s="1"/>
  <c r="NG14" i="24" s="1"/>
  <c r="NH14" i="24" s="1"/>
  <c r="NI14" i="24" s="1"/>
  <c r="NJ14" i="24" s="1"/>
  <c r="NK14" i="24" s="1"/>
  <c r="NL14" i="24" s="1"/>
  <c r="NM14" i="24" s="1"/>
  <c r="NN14" i="24" s="1"/>
  <c r="NO14" i="24" s="1"/>
  <c r="NP14" i="24" s="1"/>
  <c r="NQ14" i="24" s="1"/>
  <c r="NR14" i="24" s="1"/>
  <c r="NS14" i="24" s="1"/>
  <c r="NT14" i="24" s="1"/>
  <c r="NU14" i="24" s="1"/>
  <c r="NV14" i="24" s="1"/>
  <c r="NW14" i="24" s="1"/>
  <c r="NX14" i="24" s="1"/>
  <c r="NY14" i="24" s="1"/>
  <c r="NZ14" i="24" s="1"/>
  <c r="OA14" i="24" s="1"/>
  <c r="OB14" i="24" s="1"/>
  <c r="OC14" i="24" s="1"/>
  <c r="OD14" i="24" s="1"/>
  <c r="OE14" i="24" s="1"/>
  <c r="OF14" i="24" s="1"/>
  <c r="OG14" i="24" s="1"/>
  <c r="OH14" i="24" s="1"/>
  <c r="OI14" i="24" s="1"/>
  <c r="OJ14" i="24" s="1"/>
  <c r="OK14" i="24" s="1"/>
  <c r="OL14" i="24" s="1"/>
  <c r="OM14" i="24" s="1"/>
  <c r="ON14" i="24" s="1"/>
  <c r="OO14" i="24" s="1"/>
  <c r="OP14" i="24" s="1"/>
  <c r="OQ14" i="24" s="1"/>
  <c r="OR14" i="24" s="1"/>
  <c r="OS14" i="24" s="1"/>
  <c r="OT14" i="24" s="1"/>
  <c r="OU14" i="24" s="1"/>
  <c r="OV14" i="24" s="1"/>
  <c r="OW14" i="24" s="1"/>
  <c r="OX14" i="24" s="1"/>
  <c r="OY14" i="24" s="1"/>
  <c r="OZ14" i="24" s="1"/>
  <c r="PA14" i="24" s="1"/>
  <c r="PB14" i="24" s="1"/>
  <c r="PC14" i="24" s="1"/>
  <c r="PD14" i="24" s="1"/>
  <c r="PE14" i="24" s="1"/>
  <c r="PF14" i="24" s="1"/>
  <c r="PG14" i="24" s="1"/>
  <c r="PH14" i="24" s="1"/>
  <c r="PI14" i="24" s="1"/>
  <c r="PJ14" i="24" s="1"/>
  <c r="PK14" i="24" s="1"/>
  <c r="PL14" i="24" s="1"/>
  <c r="PM14" i="24" s="1"/>
  <c r="PN14" i="24" s="1"/>
  <c r="PO14" i="24" s="1"/>
  <c r="PP14" i="24" s="1"/>
  <c r="PQ14" i="24" s="1"/>
  <c r="PR14" i="24" s="1"/>
  <c r="PS14" i="24" s="1"/>
  <c r="PT14" i="24" s="1"/>
  <c r="PU14" i="24" s="1"/>
  <c r="PV14" i="24" s="1"/>
  <c r="PW14" i="24" s="1"/>
  <c r="PX14" i="24" s="1"/>
  <c r="PY14" i="24" s="1"/>
  <c r="PZ14" i="24" s="1"/>
  <c r="QA14" i="24" s="1"/>
  <c r="QB14" i="24" s="1"/>
  <c r="QC14" i="24" s="1"/>
  <c r="QD14" i="24" s="1"/>
  <c r="QE14" i="24" s="1"/>
  <c r="QF14" i="24" s="1"/>
  <c r="QG14" i="24" s="1"/>
  <c r="QH14" i="24" s="1"/>
  <c r="QI14" i="24" s="1"/>
  <c r="QJ14" i="24" s="1"/>
  <c r="QK14" i="24" s="1"/>
  <c r="QL14" i="24" s="1"/>
  <c r="QM14" i="24" s="1"/>
  <c r="QN14" i="24" s="1"/>
  <c r="QO14" i="24" s="1"/>
  <c r="QP14" i="24" s="1"/>
  <c r="QQ14" i="24" s="1"/>
  <c r="QR14" i="24" s="1"/>
  <c r="QS14" i="24" s="1"/>
  <c r="QT14" i="24" s="1"/>
  <c r="QU14" i="24" s="1"/>
  <c r="QV14" i="24" s="1"/>
  <c r="QW14" i="24" s="1"/>
  <c r="QX14" i="24" s="1"/>
  <c r="QY14" i="24" s="1"/>
  <c r="QZ14" i="24" s="1"/>
  <c r="RA14" i="24" s="1"/>
  <c r="RB14" i="24" s="1"/>
  <c r="RC14" i="24" s="1"/>
  <c r="RD14" i="24" s="1"/>
  <c r="RE14" i="24" s="1"/>
  <c r="RF14" i="24" s="1"/>
  <c r="RG14" i="24" s="1"/>
  <c r="RH14" i="24" s="1"/>
  <c r="RI14" i="24" s="1"/>
  <c r="RJ14" i="24" s="1"/>
  <c r="RK14" i="24" s="1"/>
  <c r="RL14" i="24" s="1"/>
  <c r="RM14" i="24" s="1"/>
  <c r="RN14" i="24" s="1"/>
  <c r="RO14" i="24" s="1"/>
  <c r="RP14" i="24" s="1"/>
  <c r="RQ14" i="24" s="1"/>
  <c r="RR14" i="24" s="1"/>
  <c r="RS14" i="24" s="1"/>
  <c r="RT14" i="24" s="1"/>
  <c r="RU14" i="24" s="1"/>
  <c r="RV14" i="24" s="1"/>
  <c r="RW14" i="24" s="1"/>
  <c r="RX14" i="24" s="1"/>
  <c r="RY14" i="24" s="1"/>
  <c r="RZ14" i="24" s="1"/>
  <c r="SA14" i="24" s="1"/>
  <c r="SB14" i="24" s="1"/>
  <c r="SC14" i="24" s="1"/>
  <c r="SD14" i="24" s="1"/>
  <c r="SE14" i="24" s="1"/>
  <c r="SF14" i="24" s="1"/>
  <c r="SG14" i="24" s="1"/>
  <c r="SH14" i="24" s="1"/>
  <c r="SI14" i="24" s="1"/>
  <c r="SJ14" i="24" s="1"/>
  <c r="SK14" i="24" s="1"/>
  <c r="SL14" i="24" s="1"/>
  <c r="SM14" i="24" s="1"/>
  <c r="SN14" i="24" s="1"/>
  <c r="SO14" i="24" s="1"/>
  <c r="SP14" i="24" s="1"/>
  <c r="SQ14" i="24" s="1"/>
  <c r="SR14" i="24" s="1"/>
  <c r="SS14" i="24" s="1"/>
  <c r="ST14" i="24" s="1"/>
  <c r="SU14" i="24" s="1"/>
  <c r="SV14" i="24" s="1"/>
  <c r="SW14" i="24" s="1"/>
  <c r="SX14" i="24" s="1"/>
  <c r="SY14" i="24" s="1"/>
  <c r="SZ14" i="24" s="1"/>
  <c r="TA14" i="24" s="1"/>
  <c r="TB14" i="24" s="1"/>
  <c r="TC14" i="24" s="1"/>
  <c r="TD14" i="24" s="1"/>
  <c r="TE14" i="24" s="1"/>
  <c r="TF14" i="24" s="1"/>
  <c r="TG14" i="24" s="1"/>
  <c r="TH14" i="24" s="1"/>
  <c r="TI14" i="24" s="1"/>
  <c r="TJ14" i="24" s="1"/>
  <c r="TK14" i="24" s="1"/>
  <c r="TL14" i="24" s="1"/>
  <c r="TM14" i="24" s="1"/>
  <c r="TN14" i="24" s="1"/>
  <c r="TO14" i="24" s="1"/>
  <c r="TP14" i="24" s="1"/>
  <c r="TQ14" i="24" s="1"/>
  <c r="TR14" i="24" s="1"/>
  <c r="TS14" i="24" s="1"/>
  <c r="TT14" i="24" s="1"/>
  <c r="TU14" i="24" s="1"/>
  <c r="TV14" i="24" s="1"/>
  <c r="TW14" i="24" s="1"/>
  <c r="TX14" i="24" s="1"/>
  <c r="TY14" i="24" s="1"/>
  <c r="TZ14" i="24" s="1"/>
  <c r="UA14" i="24" s="1"/>
  <c r="UB14" i="24" s="1"/>
  <c r="UC14" i="24" s="1"/>
  <c r="UD14" i="24" s="1"/>
  <c r="UE14" i="24" s="1"/>
  <c r="UF14" i="24" s="1"/>
  <c r="UG14" i="24" s="1"/>
  <c r="UH14" i="24" s="1"/>
  <c r="UI14" i="24" s="1"/>
  <c r="UJ14" i="24" s="1"/>
  <c r="UK14" i="24" s="1"/>
  <c r="UL14" i="24" s="1"/>
  <c r="UM14" i="24" s="1"/>
  <c r="UN14" i="24" s="1"/>
  <c r="UO14" i="24" s="1"/>
  <c r="UP14" i="24" s="1"/>
  <c r="UQ14" i="24" s="1"/>
  <c r="UR14" i="24" s="1"/>
  <c r="US14" i="24" s="1"/>
  <c r="UT14" i="24" s="1"/>
  <c r="UU14" i="24" s="1"/>
  <c r="UV14" i="24" s="1"/>
  <c r="UW14" i="24" s="1"/>
  <c r="UX14" i="24" s="1"/>
  <c r="UY14" i="24" s="1"/>
  <c r="UZ14" i="24" s="1"/>
  <c r="VA14" i="24" s="1"/>
  <c r="VB14" i="24" s="1"/>
  <c r="VC14" i="24" s="1"/>
  <c r="VD14" i="24" s="1"/>
  <c r="VE14" i="24" s="1"/>
  <c r="VF14" i="24" s="1"/>
  <c r="VG14" i="24" s="1"/>
  <c r="VH14" i="24" s="1"/>
  <c r="VI14" i="24" s="1"/>
  <c r="VJ14" i="24" s="1"/>
  <c r="VK14" i="24" s="1"/>
  <c r="VL14" i="24" s="1"/>
  <c r="VM14" i="24" s="1"/>
  <c r="VN14" i="24" s="1"/>
  <c r="VO14" i="24" s="1"/>
  <c r="VP14" i="24" s="1"/>
  <c r="VQ14" i="24" s="1"/>
  <c r="VR14" i="24" s="1"/>
  <c r="VS14" i="24" s="1"/>
  <c r="VT14" i="24" s="1"/>
  <c r="VU14" i="24" s="1"/>
  <c r="VV14" i="24" s="1"/>
  <c r="VW14" i="24" s="1"/>
  <c r="VX14" i="24" s="1"/>
  <c r="VY14" i="24" s="1"/>
  <c r="VZ14" i="24" s="1"/>
  <c r="WA14" i="24" s="1"/>
  <c r="WB14" i="24" s="1"/>
  <c r="WC14" i="24" s="1"/>
  <c r="WD14" i="24" s="1"/>
  <c r="WE14" i="24" s="1"/>
  <c r="WF14" i="24" s="1"/>
  <c r="WG14" i="24" s="1"/>
  <c r="WH14" i="24" s="1"/>
  <c r="WI14" i="24" s="1"/>
  <c r="WJ14" i="24" s="1"/>
  <c r="WK14" i="24" s="1"/>
  <c r="WL14" i="24" s="1"/>
  <c r="WM14" i="24" s="1"/>
  <c r="WN14" i="24" s="1"/>
  <c r="WO14" i="24" s="1"/>
  <c r="WP14" i="24" s="1"/>
  <c r="WQ14" i="24" s="1"/>
  <c r="WR14" i="24" s="1"/>
  <c r="WS14" i="24" s="1"/>
  <c r="WT14" i="24" s="1"/>
  <c r="WU14" i="24" s="1"/>
  <c r="WV14" i="24" s="1"/>
  <c r="WW14" i="24" s="1"/>
  <c r="WX14" i="24" s="1"/>
  <c r="WY14" i="24" s="1"/>
  <c r="WZ14" i="24" s="1"/>
  <c r="XA14" i="24" s="1"/>
  <c r="XB14" i="24" s="1"/>
  <c r="XC14" i="24" s="1"/>
  <c r="XD14" i="24" s="1"/>
  <c r="XE14" i="24" s="1"/>
  <c r="XF14" i="24" s="1"/>
  <c r="XG14" i="24" s="1"/>
  <c r="XH14" i="24" s="1"/>
  <c r="XI14" i="24" s="1"/>
  <c r="XJ14" i="24" s="1"/>
  <c r="XK14" i="24" s="1"/>
  <c r="XL14" i="24" s="1"/>
  <c r="XM14" i="24" s="1"/>
  <c r="XN14" i="24" s="1"/>
  <c r="XO14" i="24" s="1"/>
  <c r="XP14" i="24" s="1"/>
  <c r="XQ14" i="24" s="1"/>
  <c r="XR14" i="24" s="1"/>
  <c r="XS14" i="24" s="1"/>
  <c r="XT14" i="24" s="1"/>
  <c r="XU14" i="24" s="1"/>
  <c r="XV14" i="24" s="1"/>
  <c r="XW14" i="24" s="1"/>
  <c r="XX14" i="24" s="1"/>
  <c r="XY14" i="24" s="1"/>
  <c r="XZ14" i="24" s="1"/>
  <c r="YA14" i="24" s="1"/>
  <c r="YB14" i="24" s="1"/>
  <c r="YC14" i="24" s="1"/>
  <c r="YD14" i="24" s="1"/>
  <c r="YE14" i="24" s="1"/>
  <c r="YF14" i="24" s="1"/>
  <c r="YG14" i="24" s="1"/>
  <c r="YH14" i="24" s="1"/>
  <c r="YI14" i="24" s="1"/>
  <c r="YJ14" i="24" s="1"/>
  <c r="YK14" i="24" s="1"/>
  <c r="YL14" i="24" s="1"/>
  <c r="YM14" i="24" s="1"/>
  <c r="YN14" i="24" s="1"/>
  <c r="YO14" i="24" s="1"/>
  <c r="YP14" i="24" s="1"/>
  <c r="YQ14" i="24" s="1"/>
  <c r="YR14" i="24" s="1"/>
  <c r="YS14" i="24" s="1"/>
  <c r="YT14" i="24" s="1"/>
  <c r="YU14" i="24" s="1"/>
  <c r="YV14" i="24" s="1"/>
  <c r="YW14" i="24" s="1"/>
  <c r="YX14" i="24" s="1"/>
  <c r="YY14" i="24" s="1"/>
  <c r="YZ14" i="24" s="1"/>
  <c r="ZA14" i="24" s="1"/>
  <c r="ZB14" i="24" s="1"/>
  <c r="ZC14" i="24" s="1"/>
  <c r="ZD14" i="24" s="1"/>
  <c r="ZE14" i="24" s="1"/>
  <c r="ZF14" i="24" s="1"/>
  <c r="ZG14" i="24" s="1"/>
  <c r="ZH14" i="24" s="1"/>
  <c r="ZI14" i="24" s="1"/>
  <c r="ZJ14" i="24" s="1"/>
  <c r="ZK14" i="24" s="1"/>
  <c r="ZL14" i="24" s="1"/>
  <c r="ZM14" i="24" s="1"/>
  <c r="ZN14" i="24" s="1"/>
  <c r="ZO14" i="24" s="1"/>
  <c r="ZP14" i="24" s="1"/>
  <c r="ZQ14" i="24" s="1"/>
  <c r="ZR14" i="24" s="1"/>
  <c r="ZS14" i="24" s="1"/>
  <c r="ZT14" i="24" s="1"/>
  <c r="ZU14" i="24" s="1"/>
  <c r="ZV14" i="24" s="1"/>
  <c r="ZW14" i="24" s="1"/>
  <c r="ZX14" i="24" s="1"/>
  <c r="ZY14" i="24" s="1"/>
  <c r="ZZ14" i="24" s="1"/>
  <c r="AAA14" i="24" s="1"/>
  <c r="AAB14" i="24" s="1"/>
  <c r="AAC14" i="24" s="1"/>
  <c r="AAD14" i="24" s="1"/>
  <c r="AAE14" i="24" s="1"/>
  <c r="AAF14" i="24" s="1"/>
  <c r="AAG14" i="24" s="1"/>
  <c r="AAH14" i="24" s="1"/>
  <c r="AAI14" i="24" s="1"/>
  <c r="AAJ14" i="24" s="1"/>
  <c r="AAK14" i="24" s="1"/>
  <c r="AAL14" i="24" s="1"/>
  <c r="AAM14" i="24" s="1"/>
  <c r="AAN14" i="24" s="1"/>
  <c r="AAO14" i="24" s="1"/>
  <c r="AAP14" i="24" s="1"/>
  <c r="AAQ14" i="24" s="1"/>
  <c r="AAR14" i="24" s="1"/>
  <c r="AAS14" i="24" s="1"/>
  <c r="AAT14" i="24" s="1"/>
  <c r="AAU14" i="24" s="1"/>
  <c r="AAV14" i="24" s="1"/>
  <c r="AAW14" i="24" s="1"/>
  <c r="AAX14" i="24" s="1"/>
  <c r="AAY14" i="24" s="1"/>
  <c r="AAZ14" i="24" s="1"/>
  <c r="ABA14" i="24" s="1"/>
  <c r="ABB14" i="24" s="1"/>
  <c r="ABC14" i="24" s="1"/>
  <c r="ABD14" i="24" s="1"/>
  <c r="ABE14" i="24" s="1"/>
  <c r="ABF14" i="24" s="1"/>
  <c r="ABG14" i="24" s="1"/>
  <c r="ABH14" i="24" s="1"/>
  <c r="ABI14" i="24" s="1"/>
  <c r="ABJ14" i="24" s="1"/>
  <c r="ABK14" i="24" s="1"/>
  <c r="ABL14" i="24" s="1"/>
  <c r="ABM14" i="24" s="1"/>
  <c r="ABN14" i="24" s="1"/>
  <c r="ABO14" i="24" s="1"/>
  <c r="ABP14" i="24" s="1"/>
  <c r="ABQ14" i="24" s="1"/>
  <c r="ABR14" i="24" s="1"/>
  <c r="ABS14" i="24" s="1"/>
  <c r="ABT14" i="24" s="1"/>
  <c r="ABU14" i="24" s="1"/>
  <c r="ABV14" i="24" s="1"/>
  <c r="ABW14" i="24" s="1"/>
  <c r="ABX14" i="24" s="1"/>
  <c r="ABY14" i="24" s="1"/>
  <c r="ABZ14" i="24" s="1"/>
  <c r="ACA14" i="24" s="1"/>
  <c r="ACB14" i="24" s="1"/>
  <c r="ACC14" i="24" s="1"/>
  <c r="ACD14" i="24" s="1"/>
  <c r="ACE14" i="24" s="1"/>
  <c r="ACF14" i="24" s="1"/>
  <c r="ACG14" i="24" s="1"/>
  <c r="ACH14" i="24" s="1"/>
  <c r="ACI14" i="24" s="1"/>
  <c r="ACJ14" i="24" s="1"/>
  <c r="ACK14" i="24" s="1"/>
  <c r="ACL14" i="24" s="1"/>
  <c r="ACM14" i="24" s="1"/>
  <c r="ACN14" i="24" s="1"/>
  <c r="ACO14" i="24" s="1"/>
  <c r="ACP14" i="24" s="1"/>
  <c r="ACQ14" i="24" s="1"/>
  <c r="ACR14" i="24" s="1"/>
  <c r="ACS14" i="24" s="1"/>
  <c r="ACT14" i="24" s="1"/>
  <c r="ACU14" i="24" s="1"/>
  <c r="ACV14" i="24" s="1"/>
  <c r="C18" i="25" l="1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R18" i="25" s="1"/>
  <c r="S18" i="25" s="1"/>
  <c r="T18" i="25" s="1"/>
  <c r="U18" i="25" s="1"/>
  <c r="V18" i="25" s="1"/>
  <c r="W18" i="25" s="1"/>
  <c r="X18" i="25" s="1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AJ18" i="25" s="1"/>
  <c r="AK18" i="25" s="1"/>
  <c r="AL18" i="25" s="1"/>
  <c r="AM18" i="25" s="1"/>
  <c r="AN18" i="25" s="1"/>
  <c r="AO18" i="25" s="1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BB18" i="25" s="1"/>
  <c r="BC18" i="25" s="1"/>
  <c r="BD18" i="25" s="1"/>
  <c r="BE18" i="25" s="1"/>
  <c r="BF18" i="25" s="1"/>
  <c r="BG18" i="25" s="1"/>
  <c r="BH18" i="25" s="1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T18" i="25" s="1"/>
  <c r="BU18" i="25" s="1"/>
  <c r="BV18" i="25" s="1"/>
  <c r="BW18" i="25" s="1"/>
  <c r="BX18" i="25" s="1"/>
  <c r="BY18" i="25" s="1"/>
  <c r="BZ18" i="25" s="1"/>
  <c r="CA18" i="25" s="1"/>
  <c r="CB18" i="25" s="1"/>
  <c r="CC18" i="25" s="1"/>
  <c r="CD18" i="25" s="1"/>
  <c r="CE18" i="25" s="1"/>
  <c r="CF18" i="25" s="1"/>
  <c r="CG18" i="25" s="1"/>
  <c r="CH18" i="25" s="1"/>
  <c r="CI18" i="25" s="1"/>
  <c r="CJ18" i="25" s="1"/>
  <c r="CK18" i="25" s="1"/>
  <c r="CL18" i="25" s="1"/>
  <c r="CM18" i="25" s="1"/>
  <c r="CN18" i="25" s="1"/>
  <c r="CO18" i="25" s="1"/>
  <c r="CP18" i="25" s="1"/>
  <c r="CQ18" i="25" s="1"/>
  <c r="CR18" i="25" s="1"/>
  <c r="CS18" i="25" s="1"/>
  <c r="CT18" i="25" s="1"/>
  <c r="CU18" i="25" s="1"/>
  <c r="CV18" i="25" s="1"/>
  <c r="CW18" i="25" s="1"/>
  <c r="CX18" i="25" s="1"/>
  <c r="CY18" i="25" s="1"/>
  <c r="CZ18" i="25" s="1"/>
  <c r="DA18" i="25" s="1"/>
  <c r="DB18" i="25" s="1"/>
  <c r="DC18" i="25" s="1"/>
  <c r="DD18" i="25" s="1"/>
  <c r="DE18" i="25" s="1"/>
  <c r="DF18" i="25" s="1"/>
  <c r="DG18" i="25" s="1"/>
  <c r="DH18" i="25" s="1"/>
  <c r="DI18" i="25" s="1"/>
  <c r="DJ18" i="25" s="1"/>
  <c r="DK18" i="25" s="1"/>
  <c r="DL18" i="25" s="1"/>
  <c r="DM18" i="25" s="1"/>
  <c r="DN18" i="25" s="1"/>
  <c r="DO18" i="25" s="1"/>
  <c r="DP18" i="25" s="1"/>
  <c r="DQ18" i="25" s="1"/>
  <c r="DR18" i="25" s="1"/>
  <c r="DS18" i="25" s="1"/>
  <c r="DT18" i="25" s="1"/>
  <c r="DU18" i="25" s="1"/>
  <c r="DV18" i="25" s="1"/>
  <c r="DW18" i="25" s="1"/>
  <c r="DX18" i="25" s="1"/>
  <c r="DY18" i="25" s="1"/>
  <c r="DZ18" i="25" s="1"/>
  <c r="EA18" i="25" s="1"/>
  <c r="EB18" i="25" s="1"/>
  <c r="EC18" i="25" s="1"/>
  <c r="ED18" i="25" s="1"/>
  <c r="EE18" i="25" s="1"/>
  <c r="EF18" i="25" s="1"/>
  <c r="EG18" i="25" s="1"/>
  <c r="EH18" i="25" s="1"/>
  <c r="EI18" i="25" s="1"/>
  <c r="EJ18" i="25" s="1"/>
  <c r="EK18" i="25" s="1"/>
  <c r="EL18" i="25" s="1"/>
  <c r="EM18" i="25" s="1"/>
  <c r="EN18" i="25" s="1"/>
  <c r="EO18" i="25" s="1"/>
  <c r="EP18" i="25" s="1"/>
  <c r="EQ18" i="25" s="1"/>
  <c r="ER18" i="25" s="1"/>
  <c r="ES18" i="25" s="1"/>
  <c r="ET18" i="25" s="1"/>
  <c r="EU18" i="25" s="1"/>
  <c r="EV18" i="25" s="1"/>
  <c r="EW18" i="25" s="1"/>
  <c r="EX18" i="25" s="1"/>
  <c r="EY18" i="25" s="1"/>
  <c r="EZ18" i="25" s="1"/>
  <c r="FA18" i="25" s="1"/>
  <c r="FB18" i="25" s="1"/>
  <c r="FC18" i="25" s="1"/>
  <c r="FD18" i="25" s="1"/>
  <c r="FE18" i="25" s="1"/>
  <c r="FF18" i="25" s="1"/>
  <c r="FG18" i="25" s="1"/>
  <c r="FH18" i="25" s="1"/>
  <c r="FI18" i="25" s="1"/>
  <c r="FJ18" i="25" s="1"/>
  <c r="FK18" i="25" s="1"/>
  <c r="FL18" i="25" s="1"/>
  <c r="FM18" i="25" s="1"/>
  <c r="FN18" i="25" s="1"/>
  <c r="FO18" i="25" s="1"/>
  <c r="FP18" i="25" s="1"/>
  <c r="FQ18" i="25" s="1"/>
  <c r="FR18" i="25" s="1"/>
  <c r="FS18" i="25" s="1"/>
  <c r="FT18" i="25" s="1"/>
  <c r="FU18" i="25" s="1"/>
  <c r="FV18" i="25" s="1"/>
  <c r="FW18" i="25" s="1"/>
  <c r="FX18" i="25" s="1"/>
  <c r="FY18" i="25" s="1"/>
  <c r="FZ18" i="25" s="1"/>
  <c r="GA18" i="25" s="1"/>
  <c r="GB18" i="25" s="1"/>
  <c r="GC18" i="25" s="1"/>
  <c r="GD18" i="25" s="1"/>
  <c r="GE18" i="25" s="1"/>
  <c r="GF18" i="25" s="1"/>
  <c r="GG18" i="25" s="1"/>
  <c r="GH18" i="25" s="1"/>
  <c r="GI18" i="25" s="1"/>
  <c r="GJ18" i="25" s="1"/>
  <c r="GK18" i="25" s="1"/>
  <c r="GL18" i="25" s="1"/>
  <c r="GM18" i="25" s="1"/>
  <c r="GN18" i="25" s="1"/>
  <c r="GO18" i="25" s="1"/>
  <c r="GP18" i="25" s="1"/>
  <c r="GQ18" i="25" s="1"/>
  <c r="GR18" i="25" s="1"/>
  <c r="GS18" i="25" s="1"/>
  <c r="GT18" i="25" s="1"/>
  <c r="GU18" i="25" s="1"/>
  <c r="GV18" i="25" s="1"/>
  <c r="GW18" i="25" s="1"/>
  <c r="GX18" i="25" s="1"/>
  <c r="GY18" i="25" s="1"/>
  <c r="GZ18" i="25" s="1"/>
  <c r="HA18" i="25" s="1"/>
  <c r="HB18" i="25" s="1"/>
  <c r="HC18" i="25" s="1"/>
  <c r="HD18" i="25" s="1"/>
  <c r="HE18" i="25" s="1"/>
  <c r="HF18" i="25" s="1"/>
  <c r="HG18" i="25" s="1"/>
  <c r="HH18" i="25" s="1"/>
  <c r="HI18" i="25" s="1"/>
  <c r="HJ18" i="25" s="1"/>
  <c r="HK18" i="25" s="1"/>
  <c r="HL18" i="25" s="1"/>
  <c r="HM18" i="25" s="1"/>
  <c r="HN18" i="25" s="1"/>
  <c r="HO18" i="25" s="1"/>
  <c r="HP18" i="25" s="1"/>
  <c r="HQ18" i="25" s="1"/>
  <c r="HR18" i="25" s="1"/>
  <c r="HS18" i="25" s="1"/>
  <c r="HT18" i="25" s="1"/>
  <c r="HU18" i="25" s="1"/>
  <c r="HV18" i="25" s="1"/>
  <c r="HW18" i="25" s="1"/>
  <c r="HX18" i="25" s="1"/>
  <c r="HY18" i="25" s="1"/>
  <c r="HZ18" i="25" s="1"/>
  <c r="IA18" i="25" s="1"/>
  <c r="IB18" i="25" s="1"/>
  <c r="IC18" i="25" s="1"/>
  <c r="ID18" i="25" s="1"/>
  <c r="IE18" i="25" s="1"/>
  <c r="IF18" i="25" s="1"/>
  <c r="IG18" i="25" s="1"/>
  <c r="IH18" i="25" s="1"/>
  <c r="II18" i="25" s="1"/>
  <c r="IJ18" i="25" s="1"/>
  <c r="IK18" i="25" s="1"/>
  <c r="IL18" i="25" s="1"/>
  <c r="IM18" i="25" s="1"/>
  <c r="IN18" i="25" s="1"/>
  <c r="IO18" i="25" s="1"/>
  <c r="IP18" i="25" s="1"/>
  <c r="IQ18" i="25" s="1"/>
  <c r="IR18" i="25" s="1"/>
  <c r="IS18" i="25" s="1"/>
  <c r="IT18" i="25" s="1"/>
  <c r="IU18" i="25" s="1"/>
  <c r="IV18" i="25" s="1"/>
  <c r="IW18" i="25" s="1"/>
  <c r="IX18" i="25" s="1"/>
  <c r="IY18" i="25" s="1"/>
  <c r="IZ18" i="25" s="1"/>
  <c r="JA18" i="25" s="1"/>
  <c r="JB18" i="25" s="1"/>
  <c r="JC18" i="25" s="1"/>
  <c r="JD18" i="25" s="1"/>
  <c r="JE18" i="25" s="1"/>
  <c r="JF18" i="25" s="1"/>
  <c r="JG18" i="25" s="1"/>
  <c r="JH18" i="25" s="1"/>
  <c r="JI18" i="25" s="1"/>
  <c r="JJ18" i="25" s="1"/>
  <c r="JK18" i="25" s="1"/>
  <c r="JL18" i="25" s="1"/>
  <c r="JM18" i="25" s="1"/>
  <c r="JN18" i="25" s="1"/>
  <c r="JO18" i="25" s="1"/>
  <c r="JP18" i="25" s="1"/>
  <c r="JQ18" i="25" s="1"/>
  <c r="JR18" i="25" s="1"/>
  <c r="JS18" i="25" s="1"/>
  <c r="JT18" i="25" s="1"/>
  <c r="JU18" i="25" s="1"/>
  <c r="JV18" i="25" s="1"/>
  <c r="JW18" i="25" s="1"/>
  <c r="JX18" i="25" s="1"/>
  <c r="JY18" i="25" s="1"/>
  <c r="JZ18" i="25" s="1"/>
  <c r="KA18" i="25" s="1"/>
  <c r="KB18" i="25" s="1"/>
  <c r="KC18" i="25" s="1"/>
  <c r="KD18" i="25" s="1"/>
  <c r="KE18" i="25" s="1"/>
  <c r="KF18" i="25" s="1"/>
  <c r="KG18" i="25" s="1"/>
  <c r="KH18" i="25" s="1"/>
  <c r="KI18" i="25" s="1"/>
  <c r="KJ18" i="25" s="1"/>
  <c r="KK18" i="25" s="1"/>
  <c r="KL18" i="25" s="1"/>
  <c r="KM18" i="25" s="1"/>
  <c r="KN18" i="25" s="1"/>
  <c r="KO18" i="25" s="1"/>
  <c r="KP18" i="25" s="1"/>
  <c r="KQ18" i="25" s="1"/>
  <c r="KR18" i="25" s="1"/>
  <c r="KS18" i="25" s="1"/>
  <c r="KT18" i="25" s="1"/>
  <c r="KU18" i="25" s="1"/>
  <c r="KV18" i="25" s="1"/>
  <c r="KW18" i="25" s="1"/>
  <c r="KX18" i="25" s="1"/>
  <c r="KY18" i="25" s="1"/>
  <c r="KZ18" i="25" s="1"/>
  <c r="LA18" i="25" s="1"/>
  <c r="LB18" i="25" s="1"/>
  <c r="LC18" i="25" s="1"/>
  <c r="LD18" i="25" s="1"/>
  <c r="LE18" i="25" s="1"/>
  <c r="LF18" i="25" s="1"/>
  <c r="LG18" i="25" s="1"/>
  <c r="LH18" i="25" s="1"/>
  <c r="LI18" i="25" s="1"/>
  <c r="LJ18" i="25" s="1"/>
  <c r="LK18" i="25" s="1"/>
  <c r="LL18" i="25" s="1"/>
  <c r="LM18" i="25" s="1"/>
  <c r="LN18" i="25" s="1"/>
  <c r="LO18" i="25" s="1"/>
  <c r="LP18" i="25" s="1"/>
  <c r="LQ18" i="25" s="1"/>
  <c r="LR18" i="25" s="1"/>
  <c r="LS18" i="25" s="1"/>
  <c r="LT18" i="25" s="1"/>
  <c r="LU18" i="25" s="1"/>
  <c r="LV18" i="25" s="1"/>
  <c r="LW18" i="25" s="1"/>
  <c r="LX18" i="25" s="1"/>
  <c r="LY18" i="25" s="1"/>
  <c r="LZ18" i="25" s="1"/>
  <c r="MA18" i="25" s="1"/>
  <c r="MB18" i="25" s="1"/>
  <c r="MC18" i="25" s="1"/>
  <c r="MD18" i="25" s="1"/>
  <c r="ME18" i="25" s="1"/>
  <c r="MF18" i="25" s="1"/>
  <c r="MG18" i="25" s="1"/>
  <c r="MH18" i="25" s="1"/>
  <c r="MI18" i="25" s="1"/>
  <c r="MJ18" i="25" s="1"/>
  <c r="MK18" i="25" s="1"/>
  <c r="ML18" i="25" s="1"/>
  <c r="MM18" i="25" s="1"/>
  <c r="MN18" i="25" s="1"/>
  <c r="MO18" i="25" s="1"/>
  <c r="MP18" i="25" s="1"/>
  <c r="MQ18" i="25" s="1"/>
  <c r="MR18" i="25" s="1"/>
  <c r="MS18" i="25" s="1"/>
  <c r="MT18" i="25" s="1"/>
  <c r="MU18" i="25" s="1"/>
  <c r="MV18" i="25" s="1"/>
  <c r="MW18" i="25" s="1"/>
  <c r="MX18" i="25" s="1"/>
  <c r="MY18" i="25" s="1"/>
  <c r="MZ18" i="25" s="1"/>
  <c r="NA18" i="25" s="1"/>
  <c r="NB18" i="25" s="1"/>
  <c r="NC18" i="25" s="1"/>
  <c r="ND18" i="25" s="1"/>
  <c r="NE18" i="25" s="1"/>
  <c r="NF18" i="25" s="1"/>
  <c r="NG18" i="25" s="1"/>
  <c r="NH18" i="25" s="1"/>
  <c r="NI18" i="25" s="1"/>
  <c r="NJ18" i="25" s="1"/>
  <c r="NK18" i="25" s="1"/>
  <c r="NL18" i="25" s="1"/>
  <c r="NM18" i="25" s="1"/>
  <c r="NN18" i="25" s="1"/>
  <c r="NO18" i="25" s="1"/>
  <c r="NP18" i="25" s="1"/>
  <c r="NQ18" i="25" s="1"/>
  <c r="NR18" i="25" s="1"/>
  <c r="NS18" i="25" s="1"/>
  <c r="NT18" i="25" s="1"/>
  <c r="NU18" i="25" s="1"/>
  <c r="NV18" i="25" s="1"/>
  <c r="NW18" i="25" s="1"/>
  <c r="NX18" i="25" s="1"/>
  <c r="NY18" i="25" s="1"/>
  <c r="NZ18" i="25" s="1"/>
  <c r="OA18" i="25" s="1"/>
  <c r="OB18" i="25" s="1"/>
  <c r="OC18" i="25" s="1"/>
  <c r="OD18" i="25" s="1"/>
  <c r="OE18" i="25" s="1"/>
  <c r="OF18" i="25" s="1"/>
  <c r="OG18" i="25" s="1"/>
  <c r="OH18" i="25" s="1"/>
  <c r="OI18" i="25" s="1"/>
  <c r="OJ18" i="25" s="1"/>
  <c r="OK18" i="25" s="1"/>
  <c r="OL18" i="25" s="1"/>
  <c r="OM18" i="25" s="1"/>
  <c r="ON18" i="25" s="1"/>
  <c r="OO18" i="25" s="1"/>
  <c r="OP18" i="25" s="1"/>
  <c r="OQ18" i="25" s="1"/>
  <c r="OR18" i="25" s="1"/>
  <c r="OS18" i="25" s="1"/>
  <c r="OT18" i="25" s="1"/>
  <c r="OU18" i="25" s="1"/>
  <c r="OV18" i="25" s="1"/>
  <c r="OW18" i="25" s="1"/>
  <c r="OX18" i="25" s="1"/>
  <c r="OY18" i="25" s="1"/>
  <c r="OZ18" i="25" s="1"/>
  <c r="PA18" i="25" s="1"/>
  <c r="PB18" i="25" s="1"/>
  <c r="PC18" i="25" s="1"/>
  <c r="PD18" i="25" s="1"/>
  <c r="PE18" i="25" s="1"/>
  <c r="PF18" i="25" s="1"/>
  <c r="PG18" i="25" s="1"/>
  <c r="PH18" i="25" s="1"/>
  <c r="PI18" i="25" s="1"/>
  <c r="PJ18" i="25" s="1"/>
  <c r="PK18" i="25" s="1"/>
  <c r="PL18" i="25" s="1"/>
  <c r="PM18" i="25" s="1"/>
  <c r="PN18" i="25" s="1"/>
  <c r="PO18" i="25" s="1"/>
  <c r="PP18" i="25" s="1"/>
  <c r="PQ18" i="25" s="1"/>
  <c r="PR18" i="25" s="1"/>
  <c r="PS18" i="25" s="1"/>
  <c r="PT18" i="25" s="1"/>
  <c r="PU18" i="25" s="1"/>
  <c r="PV18" i="25" s="1"/>
  <c r="PW18" i="25" s="1"/>
  <c r="PX18" i="25" s="1"/>
  <c r="PY18" i="25" s="1"/>
  <c r="PZ18" i="25" s="1"/>
  <c r="QA18" i="25" s="1"/>
  <c r="QB18" i="25" s="1"/>
  <c r="QC18" i="25" s="1"/>
  <c r="QD18" i="25" s="1"/>
  <c r="QE18" i="25" s="1"/>
  <c r="QF18" i="25" s="1"/>
  <c r="QG18" i="25" s="1"/>
  <c r="QH18" i="25" s="1"/>
  <c r="QI18" i="25" s="1"/>
  <c r="QJ18" i="25" s="1"/>
  <c r="QK18" i="25" s="1"/>
  <c r="QL18" i="25" s="1"/>
  <c r="QM18" i="25" s="1"/>
  <c r="QN18" i="25" s="1"/>
  <c r="QO18" i="25" s="1"/>
  <c r="QP18" i="25" s="1"/>
  <c r="QQ18" i="25" s="1"/>
  <c r="QR18" i="25" s="1"/>
  <c r="QS18" i="25" s="1"/>
  <c r="QT18" i="25" s="1"/>
  <c r="QU18" i="25" s="1"/>
  <c r="QV18" i="25" s="1"/>
  <c r="QW18" i="25" s="1"/>
  <c r="QX18" i="25" s="1"/>
  <c r="QY18" i="25" s="1"/>
  <c r="QZ18" i="25" s="1"/>
  <c r="RA18" i="25" s="1"/>
  <c r="RB18" i="25" s="1"/>
  <c r="RC18" i="25" s="1"/>
  <c r="RD18" i="25" s="1"/>
  <c r="RE18" i="25" s="1"/>
  <c r="RF18" i="25" s="1"/>
  <c r="RG18" i="25" s="1"/>
  <c r="RH18" i="25" s="1"/>
  <c r="RI18" i="25" s="1"/>
  <c r="RJ18" i="25" s="1"/>
  <c r="RK18" i="25" s="1"/>
  <c r="RL18" i="25" s="1"/>
  <c r="RM18" i="25" s="1"/>
  <c r="RN18" i="25" s="1"/>
  <c r="RO18" i="25" s="1"/>
  <c r="RP18" i="25" s="1"/>
  <c r="RQ18" i="25" s="1"/>
  <c r="RR18" i="25" s="1"/>
  <c r="RS18" i="25" s="1"/>
  <c r="RT18" i="25" s="1"/>
  <c r="RU18" i="25" s="1"/>
  <c r="RV18" i="25" s="1"/>
  <c r="RW18" i="25" s="1"/>
  <c r="RX18" i="25" s="1"/>
  <c r="RY18" i="25" s="1"/>
  <c r="RZ18" i="25" s="1"/>
  <c r="SA18" i="25" s="1"/>
  <c r="SB18" i="25" s="1"/>
  <c r="SC18" i="25" s="1"/>
  <c r="SD18" i="25" s="1"/>
  <c r="SE18" i="25" s="1"/>
  <c r="SF18" i="25" s="1"/>
  <c r="SG18" i="25" s="1"/>
  <c r="SH18" i="25" s="1"/>
  <c r="SI18" i="25" s="1"/>
  <c r="SJ18" i="25" s="1"/>
  <c r="SK18" i="25" s="1"/>
  <c r="SL18" i="25" s="1"/>
  <c r="SM18" i="25" s="1"/>
  <c r="SN18" i="25" s="1"/>
  <c r="SO18" i="25" s="1"/>
  <c r="SP18" i="25" s="1"/>
  <c r="SQ18" i="25" s="1"/>
  <c r="SR18" i="25" s="1"/>
  <c r="SS18" i="25" s="1"/>
  <c r="ST18" i="25" s="1"/>
  <c r="SU18" i="25" s="1"/>
  <c r="SV18" i="25" s="1"/>
  <c r="SW18" i="25" s="1"/>
  <c r="SX18" i="25" s="1"/>
  <c r="SY18" i="25" s="1"/>
  <c r="SZ18" i="25" s="1"/>
  <c r="TA18" i="25" s="1"/>
  <c r="TB18" i="25" s="1"/>
  <c r="TC18" i="25" s="1"/>
  <c r="TD18" i="25" s="1"/>
  <c r="TE18" i="25" s="1"/>
  <c r="TF18" i="25" s="1"/>
  <c r="TG18" i="25" s="1"/>
  <c r="TH18" i="25" s="1"/>
  <c r="TI18" i="25" s="1"/>
  <c r="TJ18" i="25" s="1"/>
  <c r="TK18" i="25" s="1"/>
  <c r="TL18" i="25" s="1"/>
  <c r="TM18" i="25" s="1"/>
  <c r="TN18" i="25" s="1"/>
  <c r="TO18" i="25" s="1"/>
  <c r="TP18" i="25" s="1"/>
  <c r="TQ18" i="25" s="1"/>
  <c r="TR18" i="25" s="1"/>
  <c r="TS18" i="25" s="1"/>
  <c r="TT18" i="25" s="1"/>
  <c r="TU18" i="25" s="1"/>
  <c r="TV18" i="25" s="1"/>
  <c r="TW18" i="25" s="1"/>
  <c r="TX18" i="25" s="1"/>
  <c r="TY18" i="25" s="1"/>
  <c r="TZ18" i="25" s="1"/>
  <c r="UA18" i="25" s="1"/>
  <c r="UB18" i="25" s="1"/>
  <c r="UC18" i="25" s="1"/>
  <c r="UD18" i="25" s="1"/>
  <c r="UE18" i="25" s="1"/>
  <c r="UF18" i="25" s="1"/>
  <c r="UG18" i="25" s="1"/>
  <c r="UH18" i="25" s="1"/>
  <c r="UI18" i="25" s="1"/>
  <c r="UJ18" i="25" s="1"/>
  <c r="UK18" i="25" s="1"/>
  <c r="UL18" i="25" s="1"/>
  <c r="UM18" i="25" s="1"/>
  <c r="UN18" i="25" s="1"/>
  <c r="UO18" i="25" s="1"/>
  <c r="UP18" i="25" s="1"/>
  <c r="UQ18" i="25" s="1"/>
  <c r="UR18" i="25" s="1"/>
  <c r="US18" i="25" s="1"/>
  <c r="UT18" i="25" s="1"/>
  <c r="UU18" i="25" s="1"/>
  <c r="UV18" i="25" s="1"/>
  <c r="UW18" i="25" s="1"/>
  <c r="UX18" i="25" s="1"/>
  <c r="UY18" i="25" s="1"/>
  <c r="UZ18" i="25" s="1"/>
  <c r="VA18" i="25" s="1"/>
  <c r="VB18" i="25" s="1"/>
  <c r="VC18" i="25" s="1"/>
  <c r="VD18" i="25" s="1"/>
  <c r="VE18" i="25" s="1"/>
  <c r="VF18" i="25" s="1"/>
  <c r="VG18" i="25" s="1"/>
  <c r="VH18" i="25" s="1"/>
  <c r="VI18" i="25" s="1"/>
  <c r="VJ18" i="25" s="1"/>
  <c r="VK18" i="25" s="1"/>
  <c r="VL18" i="25" s="1"/>
  <c r="VM18" i="25" s="1"/>
  <c r="VN18" i="25" s="1"/>
  <c r="VO18" i="25" s="1"/>
  <c r="VP18" i="25" s="1"/>
  <c r="VQ18" i="25" s="1"/>
  <c r="VR18" i="25" s="1"/>
  <c r="VS18" i="25" s="1"/>
  <c r="VT18" i="25" s="1"/>
  <c r="VU18" i="25" s="1"/>
  <c r="VV18" i="25" s="1"/>
  <c r="VW18" i="25" s="1"/>
  <c r="VX18" i="25" s="1"/>
  <c r="VY18" i="25" s="1"/>
  <c r="VZ18" i="25" s="1"/>
  <c r="WA18" i="25" s="1"/>
  <c r="WB18" i="25" s="1"/>
  <c r="WC18" i="25" s="1"/>
  <c r="WD18" i="25" s="1"/>
  <c r="WE18" i="25" s="1"/>
  <c r="WF18" i="25" s="1"/>
  <c r="WG18" i="25" s="1"/>
  <c r="WH18" i="25" s="1"/>
  <c r="WI18" i="25" s="1"/>
  <c r="WJ18" i="25" s="1"/>
  <c r="WK18" i="25" s="1"/>
  <c r="WL18" i="25" s="1"/>
  <c r="WM18" i="25" s="1"/>
  <c r="WN18" i="25" s="1"/>
  <c r="WO18" i="25" s="1"/>
  <c r="WP18" i="25" s="1"/>
  <c r="WQ18" i="25" s="1"/>
  <c r="WR18" i="25" s="1"/>
  <c r="WS18" i="25" s="1"/>
  <c r="WT18" i="25" s="1"/>
  <c r="WU18" i="25" s="1"/>
  <c r="WV18" i="25" s="1"/>
  <c r="WW18" i="25" s="1"/>
  <c r="WX18" i="25" s="1"/>
  <c r="WY18" i="25" s="1"/>
  <c r="WZ18" i="25" s="1"/>
  <c r="XA18" i="25" s="1"/>
  <c r="XB18" i="25" s="1"/>
  <c r="XC18" i="25" s="1"/>
  <c r="XD18" i="25" s="1"/>
  <c r="XE18" i="25" s="1"/>
  <c r="XF18" i="25" s="1"/>
  <c r="XG18" i="25" s="1"/>
  <c r="XH18" i="25" s="1"/>
  <c r="XI18" i="25" s="1"/>
  <c r="XJ18" i="25" s="1"/>
  <c r="XK18" i="25" s="1"/>
  <c r="XL18" i="25" s="1"/>
  <c r="XM18" i="25" s="1"/>
  <c r="XN18" i="25" s="1"/>
  <c r="XO18" i="25" s="1"/>
  <c r="XP18" i="25" s="1"/>
  <c r="XQ18" i="25" s="1"/>
  <c r="XR18" i="25" s="1"/>
  <c r="XS18" i="25" s="1"/>
  <c r="XT18" i="25" s="1"/>
  <c r="XU18" i="25" s="1"/>
  <c r="XV18" i="25" s="1"/>
  <c r="XW18" i="25" s="1"/>
  <c r="XX18" i="25" s="1"/>
  <c r="XY18" i="25" s="1"/>
  <c r="XZ18" i="25" s="1"/>
  <c r="YA18" i="25" s="1"/>
  <c r="YB18" i="25" s="1"/>
  <c r="YC18" i="25" s="1"/>
  <c r="YD18" i="25" s="1"/>
  <c r="YE18" i="25" s="1"/>
  <c r="YF18" i="25" s="1"/>
  <c r="YG18" i="25" s="1"/>
  <c r="YH18" i="25" s="1"/>
  <c r="YI18" i="25" s="1"/>
  <c r="YJ18" i="25" s="1"/>
  <c r="YK18" i="25" s="1"/>
  <c r="YL18" i="25" s="1"/>
  <c r="YM18" i="25" s="1"/>
  <c r="YN18" i="25" s="1"/>
  <c r="YO18" i="25" s="1"/>
  <c r="YP18" i="25" s="1"/>
  <c r="YQ18" i="25" s="1"/>
  <c r="YR18" i="25" s="1"/>
  <c r="YS18" i="25" s="1"/>
  <c r="YT18" i="25" s="1"/>
  <c r="YU18" i="25" s="1"/>
  <c r="YV18" i="25" s="1"/>
  <c r="YW18" i="25" s="1"/>
  <c r="YX18" i="25" s="1"/>
  <c r="YY18" i="25" s="1"/>
  <c r="YZ18" i="25" s="1"/>
  <c r="ZA18" i="25" s="1"/>
  <c r="ZB18" i="25" s="1"/>
  <c r="ZC18" i="25" s="1"/>
  <c r="ZD18" i="25" s="1"/>
  <c r="ZE18" i="25" s="1"/>
  <c r="ZF18" i="25" s="1"/>
  <c r="ZG18" i="25" s="1"/>
  <c r="ZH18" i="25" s="1"/>
  <c r="ZI18" i="25" s="1"/>
  <c r="ZJ18" i="25" s="1"/>
  <c r="ZK18" i="25" s="1"/>
  <c r="ZL18" i="25" s="1"/>
  <c r="ZM18" i="25" s="1"/>
  <c r="ZN18" i="25" s="1"/>
  <c r="ZO18" i="25" s="1"/>
  <c r="ZP18" i="25" s="1"/>
  <c r="ZQ18" i="25" s="1"/>
  <c r="ZR18" i="25" s="1"/>
  <c r="ZS18" i="25" s="1"/>
  <c r="ZT18" i="25" s="1"/>
  <c r="ZU18" i="25" s="1"/>
  <c r="ZV18" i="25" s="1"/>
  <c r="ZW18" i="25" s="1"/>
  <c r="ZX18" i="25" s="1"/>
  <c r="ZY18" i="25" s="1"/>
  <c r="ZZ18" i="25" s="1"/>
  <c r="AAA18" i="25" s="1"/>
  <c r="AAB18" i="25" s="1"/>
  <c r="AAC18" i="25" s="1"/>
  <c r="AAD18" i="25" s="1"/>
  <c r="AAE18" i="25" s="1"/>
  <c r="AAF18" i="25" s="1"/>
  <c r="AAG18" i="25" s="1"/>
  <c r="AAH18" i="25" s="1"/>
  <c r="AAI18" i="25" s="1"/>
  <c r="AAJ18" i="25" s="1"/>
  <c r="AAK18" i="25" s="1"/>
  <c r="AAL18" i="25" s="1"/>
  <c r="AAM18" i="25" s="1"/>
  <c r="AAN18" i="25" s="1"/>
  <c r="AAO18" i="25" s="1"/>
  <c r="AAP18" i="25" s="1"/>
  <c r="AAQ18" i="25" s="1"/>
  <c r="AAR18" i="25" s="1"/>
  <c r="AAS18" i="25" s="1"/>
  <c r="AAT18" i="25" s="1"/>
  <c r="AAU18" i="25" s="1"/>
  <c r="AAV18" i="25" s="1"/>
  <c r="AAW18" i="25" s="1"/>
  <c r="AAX18" i="25" s="1"/>
  <c r="AAY18" i="25" s="1"/>
  <c r="AAZ18" i="25" s="1"/>
  <c r="ABA18" i="25" s="1"/>
  <c r="ABB18" i="25" s="1"/>
  <c r="ABC18" i="25" s="1"/>
  <c r="ABD18" i="25" s="1"/>
  <c r="ABE18" i="25" s="1"/>
  <c r="ABF18" i="25" s="1"/>
  <c r="ABG18" i="25" s="1"/>
  <c r="ABH18" i="25" s="1"/>
  <c r="ABI18" i="25" s="1"/>
  <c r="ABJ18" i="25" s="1"/>
  <c r="ABK18" i="25" s="1"/>
  <c r="ABL18" i="25" s="1"/>
  <c r="ABM18" i="25" s="1"/>
  <c r="ABN18" i="25" s="1"/>
  <c r="ABO18" i="25" s="1"/>
  <c r="ABP18" i="25" s="1"/>
  <c r="ABQ18" i="25" s="1"/>
  <c r="ABR18" i="25" s="1"/>
  <c r="ABS18" i="25" s="1"/>
  <c r="ABT18" i="25" s="1"/>
  <c r="ABU18" i="25" s="1"/>
  <c r="ABV18" i="25" s="1"/>
  <c r="ABW18" i="25" s="1"/>
  <c r="ABX18" i="25" s="1"/>
  <c r="ABY18" i="25" s="1"/>
  <c r="ABZ18" i="25" s="1"/>
  <c r="ACA18" i="25" s="1"/>
  <c r="ACB18" i="25" s="1"/>
  <c r="ACC18" i="25" s="1"/>
  <c r="ACD18" i="25" s="1"/>
  <c r="ACE18" i="25" s="1"/>
  <c r="ACF18" i="25" s="1"/>
  <c r="ACG18" i="25" s="1"/>
  <c r="ACH18" i="25" s="1"/>
  <c r="ACI18" i="25" s="1"/>
  <c r="ACJ18" i="25" s="1"/>
  <c r="ACK18" i="25" s="1"/>
  <c r="ACL18" i="25" s="1"/>
  <c r="ACM18" i="25" s="1"/>
  <c r="ACN18" i="25" s="1"/>
  <c r="ACO18" i="25" s="1"/>
  <c r="ACP18" i="25" s="1"/>
  <c r="ACQ18" i="25" s="1"/>
  <c r="ACR18" i="25" s="1"/>
  <c r="ACS18" i="25" s="1"/>
  <c r="ACT18" i="25" s="1"/>
  <c r="ACU18" i="25" s="1"/>
  <c r="ACV18" i="25" s="1"/>
  <c r="C14" i="25"/>
  <c r="D14" i="25" s="1"/>
  <c r="E14" i="25" s="1"/>
  <c r="F14" i="25" s="1"/>
  <c r="G14" i="25" s="1"/>
  <c r="H14" i="25" s="1"/>
  <c r="I14" i="25" s="1"/>
  <c r="J14" i="25" s="1"/>
  <c r="K14" i="25" s="1"/>
  <c r="L14" i="25" s="1"/>
  <c r="M14" i="25" s="1"/>
  <c r="N14" i="25" s="1"/>
  <c r="O14" i="25" s="1"/>
  <c r="P14" i="25" s="1"/>
  <c r="Q14" i="25" s="1"/>
  <c r="R14" i="25" s="1"/>
  <c r="S14" i="25" s="1"/>
  <c r="T14" i="25" s="1"/>
  <c r="U14" i="25" s="1"/>
  <c r="V14" i="25" s="1"/>
  <c r="W14" i="25" s="1"/>
  <c r="X14" i="25" s="1"/>
  <c r="Y14" i="25" s="1"/>
  <c r="Z14" i="25" s="1"/>
  <c r="AA14" i="25" s="1"/>
  <c r="AB14" i="25" s="1"/>
  <c r="AC14" i="25" s="1"/>
  <c r="AD14" i="25" s="1"/>
  <c r="AE14" i="25" s="1"/>
  <c r="AF14" i="25" s="1"/>
  <c r="AG14" i="25" s="1"/>
  <c r="AH14" i="25" s="1"/>
  <c r="AI14" i="25" s="1"/>
  <c r="AJ14" i="25" s="1"/>
  <c r="AK14" i="25" s="1"/>
  <c r="AL14" i="25" s="1"/>
  <c r="AM14" i="25" s="1"/>
  <c r="AN14" i="25" s="1"/>
  <c r="AO14" i="25" s="1"/>
  <c r="AP14" i="25" s="1"/>
  <c r="AQ14" i="25" s="1"/>
  <c r="AR14" i="25" s="1"/>
  <c r="AS14" i="25" s="1"/>
  <c r="AT14" i="25" s="1"/>
  <c r="AU14" i="25" s="1"/>
  <c r="AV14" i="25" s="1"/>
  <c r="AW14" i="25" s="1"/>
  <c r="AX14" i="25" s="1"/>
  <c r="AY14" i="25" s="1"/>
  <c r="AZ14" i="25" s="1"/>
  <c r="BA14" i="25" s="1"/>
  <c r="BB14" i="25" s="1"/>
  <c r="BC14" i="25" s="1"/>
  <c r="BD14" i="25" s="1"/>
  <c r="BE14" i="25" s="1"/>
  <c r="BF14" i="25" s="1"/>
  <c r="BG14" i="25" s="1"/>
  <c r="BH14" i="25" s="1"/>
  <c r="BI14" i="25" s="1"/>
  <c r="BJ14" i="25" s="1"/>
  <c r="BK14" i="25" s="1"/>
  <c r="BL14" i="25" s="1"/>
  <c r="BM14" i="25" s="1"/>
  <c r="BN14" i="25" s="1"/>
  <c r="BO14" i="25" s="1"/>
  <c r="BP14" i="25" s="1"/>
  <c r="BQ14" i="25" s="1"/>
  <c r="BR14" i="25" s="1"/>
  <c r="BS14" i="25" s="1"/>
  <c r="BT14" i="25" s="1"/>
  <c r="BU14" i="25" s="1"/>
  <c r="BV14" i="25" s="1"/>
  <c r="BW14" i="25" s="1"/>
  <c r="BX14" i="25" s="1"/>
  <c r="BY14" i="25" s="1"/>
  <c r="BZ14" i="25" s="1"/>
  <c r="CA14" i="25" s="1"/>
  <c r="CB14" i="25" s="1"/>
  <c r="CC14" i="25" s="1"/>
  <c r="CD14" i="25" s="1"/>
  <c r="CE14" i="25" s="1"/>
  <c r="CF14" i="25" s="1"/>
  <c r="CG14" i="25" s="1"/>
  <c r="CH14" i="25" s="1"/>
  <c r="CI14" i="25" s="1"/>
  <c r="CJ14" i="25" s="1"/>
  <c r="CK14" i="25" s="1"/>
  <c r="CL14" i="25" s="1"/>
  <c r="CM14" i="25" s="1"/>
  <c r="CN14" i="25" s="1"/>
  <c r="CO14" i="25" s="1"/>
  <c r="CP14" i="25" s="1"/>
  <c r="CQ14" i="25" s="1"/>
  <c r="CR14" i="25" s="1"/>
  <c r="CS14" i="25" s="1"/>
  <c r="CT14" i="25" s="1"/>
  <c r="CU14" i="25" s="1"/>
  <c r="CV14" i="25" s="1"/>
  <c r="CW14" i="25" s="1"/>
  <c r="CX14" i="25" s="1"/>
  <c r="CY14" i="25" s="1"/>
  <c r="CZ14" i="25" s="1"/>
  <c r="DA14" i="25" s="1"/>
  <c r="DB14" i="25" s="1"/>
  <c r="DC14" i="25" s="1"/>
  <c r="DD14" i="25" s="1"/>
  <c r="DE14" i="25" s="1"/>
  <c r="DF14" i="25" s="1"/>
  <c r="DG14" i="25" s="1"/>
  <c r="DH14" i="25" s="1"/>
  <c r="DI14" i="25" s="1"/>
  <c r="DJ14" i="25" s="1"/>
  <c r="DK14" i="25" s="1"/>
  <c r="DL14" i="25" s="1"/>
  <c r="DM14" i="25" s="1"/>
  <c r="DN14" i="25" s="1"/>
  <c r="DO14" i="25" s="1"/>
  <c r="DP14" i="25" s="1"/>
  <c r="DQ14" i="25" s="1"/>
  <c r="DR14" i="25" s="1"/>
  <c r="DS14" i="25" s="1"/>
  <c r="DT14" i="25" s="1"/>
  <c r="DU14" i="25" s="1"/>
  <c r="DV14" i="25" s="1"/>
  <c r="DW14" i="25" s="1"/>
  <c r="DX14" i="25" s="1"/>
  <c r="DY14" i="25" s="1"/>
  <c r="DZ14" i="25" s="1"/>
  <c r="EA14" i="25" s="1"/>
  <c r="EB14" i="25" s="1"/>
  <c r="EC14" i="25" s="1"/>
  <c r="ED14" i="25" s="1"/>
  <c r="EE14" i="25" s="1"/>
  <c r="EF14" i="25" s="1"/>
  <c r="EG14" i="25" s="1"/>
  <c r="EH14" i="25" s="1"/>
  <c r="EI14" i="25" s="1"/>
  <c r="EJ14" i="25" s="1"/>
  <c r="EK14" i="25" s="1"/>
  <c r="EL14" i="25" s="1"/>
  <c r="EM14" i="25" s="1"/>
  <c r="EN14" i="25" s="1"/>
  <c r="EO14" i="25" s="1"/>
  <c r="EP14" i="25" s="1"/>
  <c r="EQ14" i="25" s="1"/>
  <c r="ER14" i="25" s="1"/>
  <c r="ES14" i="25" s="1"/>
  <c r="ET14" i="25" s="1"/>
  <c r="EU14" i="25" s="1"/>
  <c r="EV14" i="25" s="1"/>
  <c r="EW14" i="25" s="1"/>
  <c r="EX14" i="25" s="1"/>
  <c r="EY14" i="25" s="1"/>
  <c r="EZ14" i="25" s="1"/>
  <c r="FA14" i="25" s="1"/>
  <c r="FB14" i="25" s="1"/>
  <c r="FC14" i="25" s="1"/>
  <c r="FD14" i="25" s="1"/>
  <c r="FE14" i="25" s="1"/>
  <c r="FF14" i="25" s="1"/>
  <c r="FG14" i="25" s="1"/>
  <c r="FH14" i="25" s="1"/>
  <c r="FI14" i="25" s="1"/>
  <c r="FJ14" i="25" s="1"/>
  <c r="FK14" i="25" s="1"/>
  <c r="FL14" i="25" s="1"/>
  <c r="FM14" i="25" s="1"/>
  <c r="FN14" i="25" s="1"/>
  <c r="FO14" i="25" s="1"/>
  <c r="FP14" i="25" s="1"/>
  <c r="FQ14" i="25" s="1"/>
  <c r="FR14" i="25" s="1"/>
  <c r="FS14" i="25" s="1"/>
  <c r="FT14" i="25" s="1"/>
  <c r="FU14" i="25" s="1"/>
  <c r="FV14" i="25" s="1"/>
  <c r="FW14" i="25" s="1"/>
  <c r="FX14" i="25" s="1"/>
  <c r="FY14" i="25" s="1"/>
  <c r="FZ14" i="25" s="1"/>
  <c r="GA14" i="25" s="1"/>
  <c r="GB14" i="25" s="1"/>
  <c r="GC14" i="25" s="1"/>
  <c r="GD14" i="25" s="1"/>
  <c r="GE14" i="25" s="1"/>
  <c r="GF14" i="25" s="1"/>
  <c r="GG14" i="25" s="1"/>
  <c r="GH14" i="25" s="1"/>
  <c r="GI14" i="25" s="1"/>
  <c r="GJ14" i="25" s="1"/>
  <c r="GK14" i="25" s="1"/>
  <c r="GL14" i="25" s="1"/>
  <c r="GM14" i="25" s="1"/>
  <c r="GN14" i="25" s="1"/>
  <c r="GO14" i="25" s="1"/>
  <c r="GP14" i="25" s="1"/>
  <c r="GQ14" i="25" s="1"/>
  <c r="GR14" i="25" s="1"/>
  <c r="GS14" i="25" s="1"/>
  <c r="GT14" i="25" s="1"/>
  <c r="GU14" i="25" s="1"/>
  <c r="GV14" i="25" s="1"/>
  <c r="GW14" i="25" s="1"/>
  <c r="GX14" i="25" s="1"/>
  <c r="GY14" i="25" s="1"/>
  <c r="GZ14" i="25" s="1"/>
  <c r="HA14" i="25" s="1"/>
  <c r="HB14" i="25" s="1"/>
  <c r="HC14" i="25" s="1"/>
  <c r="HD14" i="25" s="1"/>
  <c r="HE14" i="25" s="1"/>
  <c r="HF14" i="25" s="1"/>
  <c r="HG14" i="25" s="1"/>
  <c r="HH14" i="25" s="1"/>
  <c r="HI14" i="25" s="1"/>
  <c r="HJ14" i="25" s="1"/>
  <c r="HK14" i="25" s="1"/>
  <c r="HL14" i="25" s="1"/>
  <c r="HM14" i="25" s="1"/>
  <c r="HN14" i="25" s="1"/>
  <c r="HO14" i="25" s="1"/>
  <c r="HP14" i="25" s="1"/>
  <c r="HQ14" i="25" s="1"/>
  <c r="HR14" i="25" s="1"/>
  <c r="HS14" i="25" s="1"/>
  <c r="HT14" i="25" s="1"/>
  <c r="HU14" i="25" s="1"/>
  <c r="HV14" i="25" s="1"/>
  <c r="HW14" i="25" s="1"/>
  <c r="HX14" i="25" s="1"/>
  <c r="HY14" i="25" s="1"/>
  <c r="HZ14" i="25" s="1"/>
  <c r="IA14" i="25" s="1"/>
  <c r="IB14" i="25" s="1"/>
  <c r="IC14" i="25" s="1"/>
  <c r="ID14" i="25" s="1"/>
  <c r="IE14" i="25" s="1"/>
  <c r="IF14" i="25" s="1"/>
  <c r="IG14" i="25" s="1"/>
  <c r="IH14" i="25" s="1"/>
  <c r="II14" i="25" s="1"/>
  <c r="IJ14" i="25" s="1"/>
  <c r="IK14" i="25" s="1"/>
  <c r="IL14" i="25" s="1"/>
  <c r="IM14" i="25" s="1"/>
  <c r="IN14" i="25" s="1"/>
  <c r="IO14" i="25" s="1"/>
  <c r="IP14" i="25" s="1"/>
  <c r="IQ14" i="25" s="1"/>
  <c r="IR14" i="25" s="1"/>
  <c r="IS14" i="25" s="1"/>
  <c r="IT14" i="25" s="1"/>
  <c r="IU14" i="25" s="1"/>
  <c r="IV14" i="25" s="1"/>
  <c r="IW14" i="25" s="1"/>
  <c r="IX14" i="25" s="1"/>
  <c r="IY14" i="25" s="1"/>
  <c r="IZ14" i="25" s="1"/>
  <c r="JA14" i="25" s="1"/>
  <c r="JB14" i="25" s="1"/>
  <c r="JC14" i="25" s="1"/>
  <c r="JD14" i="25" s="1"/>
  <c r="JE14" i="25" s="1"/>
  <c r="JF14" i="25" s="1"/>
  <c r="JG14" i="25" s="1"/>
  <c r="JH14" i="25" s="1"/>
  <c r="JI14" i="25" s="1"/>
  <c r="JJ14" i="25" s="1"/>
  <c r="JK14" i="25" s="1"/>
  <c r="JL14" i="25" s="1"/>
  <c r="JM14" i="25" s="1"/>
  <c r="JN14" i="25" s="1"/>
  <c r="JO14" i="25" s="1"/>
  <c r="JP14" i="25" s="1"/>
  <c r="JQ14" i="25" s="1"/>
  <c r="JR14" i="25" s="1"/>
  <c r="JS14" i="25" s="1"/>
  <c r="JT14" i="25" s="1"/>
  <c r="JU14" i="25" s="1"/>
  <c r="JV14" i="25" s="1"/>
  <c r="JW14" i="25" s="1"/>
  <c r="JX14" i="25" s="1"/>
  <c r="JY14" i="25" s="1"/>
  <c r="JZ14" i="25" s="1"/>
  <c r="KA14" i="25" s="1"/>
  <c r="KB14" i="25" s="1"/>
  <c r="KC14" i="25" s="1"/>
  <c r="KD14" i="25" s="1"/>
  <c r="KE14" i="25" s="1"/>
  <c r="KF14" i="25" s="1"/>
  <c r="KG14" i="25" s="1"/>
  <c r="KH14" i="25" s="1"/>
  <c r="KI14" i="25" s="1"/>
  <c r="KJ14" i="25" s="1"/>
  <c r="KK14" i="25" s="1"/>
  <c r="KL14" i="25" s="1"/>
  <c r="KM14" i="25" s="1"/>
  <c r="KN14" i="25" s="1"/>
  <c r="KO14" i="25" s="1"/>
  <c r="KP14" i="25" s="1"/>
  <c r="KQ14" i="25" s="1"/>
  <c r="KR14" i="25" s="1"/>
  <c r="KS14" i="25" s="1"/>
  <c r="KT14" i="25" s="1"/>
  <c r="KU14" i="25" s="1"/>
  <c r="KV14" i="25" s="1"/>
  <c r="KW14" i="25" s="1"/>
  <c r="KX14" i="25" s="1"/>
  <c r="KY14" i="25" s="1"/>
  <c r="KZ14" i="25" s="1"/>
  <c r="LA14" i="25" s="1"/>
  <c r="LB14" i="25" s="1"/>
  <c r="LC14" i="25" s="1"/>
  <c r="LD14" i="25" s="1"/>
  <c r="LE14" i="25" s="1"/>
  <c r="LF14" i="25" s="1"/>
  <c r="LG14" i="25" s="1"/>
  <c r="LH14" i="25" s="1"/>
  <c r="LI14" i="25" s="1"/>
  <c r="LJ14" i="25" s="1"/>
  <c r="LK14" i="25" s="1"/>
  <c r="LL14" i="25" s="1"/>
  <c r="LM14" i="25" s="1"/>
  <c r="LN14" i="25" s="1"/>
  <c r="LO14" i="25" s="1"/>
  <c r="LP14" i="25" s="1"/>
  <c r="LQ14" i="25" s="1"/>
  <c r="LR14" i="25" s="1"/>
  <c r="LS14" i="25" s="1"/>
  <c r="LT14" i="25" s="1"/>
  <c r="LU14" i="25" s="1"/>
  <c r="LV14" i="25" s="1"/>
  <c r="LW14" i="25" s="1"/>
  <c r="LX14" i="25" s="1"/>
  <c r="LY14" i="25" s="1"/>
  <c r="LZ14" i="25" s="1"/>
  <c r="MA14" i="25" s="1"/>
  <c r="MB14" i="25" s="1"/>
  <c r="MC14" i="25" s="1"/>
  <c r="MD14" i="25" s="1"/>
  <c r="ME14" i="25" s="1"/>
  <c r="MF14" i="25" s="1"/>
  <c r="MG14" i="25" s="1"/>
  <c r="MH14" i="25" s="1"/>
  <c r="MI14" i="25" s="1"/>
  <c r="MJ14" i="25" s="1"/>
  <c r="MK14" i="25" s="1"/>
  <c r="ML14" i="25" s="1"/>
  <c r="MM14" i="25" s="1"/>
  <c r="MN14" i="25" s="1"/>
  <c r="MO14" i="25" s="1"/>
  <c r="MP14" i="25" s="1"/>
  <c r="MQ14" i="25" s="1"/>
  <c r="MR14" i="25" s="1"/>
  <c r="MS14" i="25" s="1"/>
  <c r="MT14" i="25" s="1"/>
  <c r="MU14" i="25" s="1"/>
  <c r="MV14" i="25" s="1"/>
  <c r="MW14" i="25" s="1"/>
  <c r="MX14" i="25" s="1"/>
  <c r="MY14" i="25" s="1"/>
  <c r="MZ14" i="25" s="1"/>
  <c r="NA14" i="25" s="1"/>
  <c r="NB14" i="25" s="1"/>
  <c r="NC14" i="25" s="1"/>
  <c r="ND14" i="25" s="1"/>
  <c r="NE14" i="25" s="1"/>
  <c r="NF14" i="25" s="1"/>
  <c r="NG14" i="25" s="1"/>
  <c r="NH14" i="25" s="1"/>
  <c r="NI14" i="25" s="1"/>
  <c r="NJ14" i="25" s="1"/>
  <c r="NK14" i="25" s="1"/>
  <c r="NL14" i="25" s="1"/>
  <c r="NM14" i="25" s="1"/>
  <c r="NN14" i="25" s="1"/>
  <c r="NO14" i="25" s="1"/>
  <c r="NP14" i="25" s="1"/>
  <c r="NQ14" i="25" s="1"/>
  <c r="NR14" i="25" s="1"/>
  <c r="NS14" i="25" s="1"/>
  <c r="NT14" i="25" s="1"/>
  <c r="NU14" i="25" s="1"/>
  <c r="NV14" i="25" s="1"/>
  <c r="NW14" i="25" s="1"/>
  <c r="NX14" i="25" s="1"/>
  <c r="NY14" i="25" s="1"/>
  <c r="NZ14" i="25" s="1"/>
  <c r="OA14" i="25" s="1"/>
  <c r="OB14" i="25" s="1"/>
  <c r="OC14" i="25" s="1"/>
  <c r="OD14" i="25" s="1"/>
  <c r="OE14" i="25" s="1"/>
  <c r="OF14" i="25" s="1"/>
  <c r="OG14" i="25" s="1"/>
  <c r="OH14" i="25" s="1"/>
  <c r="OI14" i="25" s="1"/>
  <c r="OJ14" i="25" s="1"/>
  <c r="OK14" i="25" s="1"/>
  <c r="OL14" i="25" s="1"/>
  <c r="OM14" i="25" s="1"/>
  <c r="ON14" i="25" s="1"/>
  <c r="OO14" i="25" s="1"/>
  <c r="OP14" i="25" s="1"/>
  <c r="OQ14" i="25" s="1"/>
  <c r="OR14" i="25" s="1"/>
  <c r="OS14" i="25" s="1"/>
  <c r="OT14" i="25" s="1"/>
  <c r="OU14" i="25" s="1"/>
  <c r="OV14" i="25" s="1"/>
  <c r="OW14" i="25" s="1"/>
  <c r="OX14" i="25" s="1"/>
  <c r="OY14" i="25" s="1"/>
  <c r="OZ14" i="25" s="1"/>
  <c r="PA14" i="25" s="1"/>
  <c r="PB14" i="25" s="1"/>
  <c r="PC14" i="25" s="1"/>
  <c r="PD14" i="25" s="1"/>
  <c r="PE14" i="25" s="1"/>
  <c r="PF14" i="25" s="1"/>
  <c r="PG14" i="25" s="1"/>
  <c r="PH14" i="25" s="1"/>
  <c r="PI14" i="25" s="1"/>
  <c r="PJ14" i="25" s="1"/>
  <c r="PK14" i="25" s="1"/>
  <c r="PL14" i="25" s="1"/>
  <c r="PM14" i="25" s="1"/>
  <c r="PN14" i="25" s="1"/>
  <c r="PO14" i="25" s="1"/>
  <c r="PP14" i="25" s="1"/>
  <c r="PQ14" i="25" s="1"/>
  <c r="PR14" i="25" s="1"/>
  <c r="PS14" i="25" s="1"/>
  <c r="PT14" i="25" s="1"/>
  <c r="PU14" i="25" s="1"/>
  <c r="PV14" i="25" s="1"/>
  <c r="PW14" i="25" s="1"/>
  <c r="PX14" i="25" s="1"/>
  <c r="PY14" i="25" s="1"/>
  <c r="PZ14" i="25" s="1"/>
  <c r="QA14" i="25" s="1"/>
  <c r="QB14" i="25" s="1"/>
  <c r="QC14" i="25" s="1"/>
  <c r="QD14" i="25" s="1"/>
  <c r="QE14" i="25" s="1"/>
  <c r="QF14" i="25" s="1"/>
  <c r="QG14" i="25" s="1"/>
  <c r="QH14" i="25" s="1"/>
  <c r="QI14" i="25" s="1"/>
  <c r="QJ14" i="25" s="1"/>
  <c r="QK14" i="25" s="1"/>
  <c r="QL14" i="25" s="1"/>
  <c r="QM14" i="25" s="1"/>
  <c r="QN14" i="25" s="1"/>
  <c r="QO14" i="25" s="1"/>
  <c r="QP14" i="25" s="1"/>
  <c r="QQ14" i="25" s="1"/>
  <c r="QR14" i="25" s="1"/>
  <c r="QS14" i="25" s="1"/>
  <c r="QT14" i="25" s="1"/>
  <c r="QU14" i="25" s="1"/>
  <c r="QV14" i="25" s="1"/>
  <c r="QW14" i="25" s="1"/>
  <c r="QX14" i="25" s="1"/>
  <c r="QY14" i="25" s="1"/>
  <c r="QZ14" i="25" s="1"/>
  <c r="RA14" i="25" s="1"/>
  <c r="RB14" i="25" s="1"/>
  <c r="RC14" i="25" s="1"/>
  <c r="RD14" i="25" s="1"/>
  <c r="RE14" i="25" s="1"/>
  <c r="RF14" i="25" s="1"/>
  <c r="RG14" i="25" s="1"/>
  <c r="RH14" i="25" s="1"/>
  <c r="RI14" i="25" s="1"/>
  <c r="RJ14" i="25" s="1"/>
  <c r="RK14" i="25" s="1"/>
  <c r="RL14" i="25" s="1"/>
  <c r="RM14" i="25" s="1"/>
  <c r="RN14" i="25" s="1"/>
  <c r="RO14" i="25" s="1"/>
  <c r="RP14" i="25" s="1"/>
  <c r="RQ14" i="25" s="1"/>
  <c r="RR14" i="25" s="1"/>
  <c r="RS14" i="25" s="1"/>
  <c r="RT14" i="25" s="1"/>
  <c r="RU14" i="25" s="1"/>
  <c r="RV14" i="25" s="1"/>
  <c r="RW14" i="25" s="1"/>
  <c r="RX14" i="25" s="1"/>
  <c r="RY14" i="25" s="1"/>
  <c r="RZ14" i="25" s="1"/>
  <c r="SA14" i="25" s="1"/>
  <c r="SB14" i="25" s="1"/>
  <c r="SC14" i="25" s="1"/>
  <c r="SD14" i="25" s="1"/>
  <c r="SE14" i="25" s="1"/>
  <c r="SF14" i="25" s="1"/>
  <c r="SG14" i="25" s="1"/>
  <c r="SH14" i="25" s="1"/>
  <c r="SI14" i="25" s="1"/>
  <c r="SJ14" i="25" s="1"/>
  <c r="SK14" i="25" s="1"/>
  <c r="SL14" i="25" s="1"/>
  <c r="SM14" i="25" s="1"/>
  <c r="SN14" i="25" s="1"/>
  <c r="SO14" i="25" s="1"/>
  <c r="SP14" i="25" s="1"/>
  <c r="SQ14" i="25" s="1"/>
  <c r="SR14" i="25" s="1"/>
  <c r="SS14" i="25" s="1"/>
  <c r="ST14" i="25" s="1"/>
  <c r="SU14" i="25" s="1"/>
  <c r="SV14" i="25" s="1"/>
  <c r="SW14" i="25" s="1"/>
  <c r="SX14" i="25" s="1"/>
  <c r="SY14" i="25" s="1"/>
  <c r="SZ14" i="25" s="1"/>
  <c r="TA14" i="25" s="1"/>
  <c r="TB14" i="25" s="1"/>
  <c r="TC14" i="25" s="1"/>
  <c r="TD14" i="25" s="1"/>
  <c r="TE14" i="25" s="1"/>
  <c r="TF14" i="25" s="1"/>
  <c r="TG14" i="25" s="1"/>
  <c r="TH14" i="25" s="1"/>
  <c r="TI14" i="25" s="1"/>
  <c r="TJ14" i="25" s="1"/>
  <c r="TK14" i="25" s="1"/>
  <c r="TL14" i="25" s="1"/>
  <c r="TM14" i="25" s="1"/>
  <c r="TN14" i="25" s="1"/>
  <c r="TO14" i="25" s="1"/>
  <c r="TP14" i="25" s="1"/>
  <c r="TQ14" i="25" s="1"/>
  <c r="TR14" i="25" s="1"/>
  <c r="TS14" i="25" s="1"/>
  <c r="TT14" i="25" s="1"/>
  <c r="TU14" i="25" s="1"/>
  <c r="TV14" i="25" s="1"/>
  <c r="TW14" i="25" s="1"/>
  <c r="TX14" i="25" s="1"/>
  <c r="TY14" i="25" s="1"/>
  <c r="TZ14" i="25" s="1"/>
  <c r="UA14" i="25" s="1"/>
  <c r="UB14" i="25" s="1"/>
  <c r="UC14" i="25" s="1"/>
  <c r="UD14" i="25" s="1"/>
  <c r="UE14" i="25" s="1"/>
  <c r="UF14" i="25" s="1"/>
  <c r="UG14" i="25" s="1"/>
  <c r="UH14" i="25" s="1"/>
  <c r="UI14" i="25" s="1"/>
  <c r="UJ14" i="25" s="1"/>
  <c r="UK14" i="25" s="1"/>
  <c r="UL14" i="25" s="1"/>
  <c r="UM14" i="25" s="1"/>
  <c r="UN14" i="25" s="1"/>
  <c r="UO14" i="25" s="1"/>
  <c r="UP14" i="25" s="1"/>
  <c r="UQ14" i="25" s="1"/>
  <c r="UR14" i="25" s="1"/>
  <c r="US14" i="25" s="1"/>
  <c r="UT14" i="25" s="1"/>
  <c r="UU14" i="25" s="1"/>
  <c r="UV14" i="25" s="1"/>
  <c r="UW14" i="25" s="1"/>
  <c r="UX14" i="25" s="1"/>
  <c r="UY14" i="25" s="1"/>
  <c r="UZ14" i="25" s="1"/>
  <c r="VA14" i="25" s="1"/>
  <c r="VB14" i="25" s="1"/>
  <c r="VC14" i="25" s="1"/>
  <c r="VD14" i="25" s="1"/>
  <c r="VE14" i="25" s="1"/>
  <c r="VF14" i="25" s="1"/>
  <c r="VG14" i="25" s="1"/>
  <c r="VH14" i="25" s="1"/>
  <c r="VI14" i="25" s="1"/>
  <c r="VJ14" i="25" s="1"/>
  <c r="VK14" i="25" s="1"/>
  <c r="VL14" i="25" s="1"/>
  <c r="VM14" i="25" s="1"/>
  <c r="VN14" i="25" s="1"/>
  <c r="VO14" i="25" s="1"/>
  <c r="VP14" i="25" s="1"/>
  <c r="VQ14" i="25" s="1"/>
  <c r="VR14" i="25" s="1"/>
  <c r="VS14" i="25" s="1"/>
  <c r="VT14" i="25" s="1"/>
  <c r="VU14" i="25" s="1"/>
  <c r="VV14" i="25" s="1"/>
  <c r="VW14" i="25" s="1"/>
  <c r="VX14" i="25" s="1"/>
  <c r="VY14" i="25" s="1"/>
  <c r="VZ14" i="25" s="1"/>
  <c r="WA14" i="25" s="1"/>
  <c r="WB14" i="25" s="1"/>
  <c r="WC14" i="25" s="1"/>
  <c r="WD14" i="25" s="1"/>
  <c r="WE14" i="25" s="1"/>
  <c r="WF14" i="25" s="1"/>
  <c r="WG14" i="25" s="1"/>
  <c r="WH14" i="25" s="1"/>
  <c r="WI14" i="25" s="1"/>
  <c r="WJ14" i="25" s="1"/>
  <c r="WK14" i="25" s="1"/>
  <c r="WL14" i="25" s="1"/>
  <c r="WM14" i="25" s="1"/>
  <c r="WN14" i="25" s="1"/>
  <c r="WO14" i="25" s="1"/>
  <c r="WP14" i="25" s="1"/>
  <c r="WQ14" i="25" s="1"/>
  <c r="WR14" i="25" s="1"/>
  <c r="WS14" i="25" s="1"/>
  <c r="WT14" i="25" s="1"/>
  <c r="WU14" i="25" s="1"/>
  <c r="WV14" i="25" s="1"/>
  <c r="WW14" i="25" s="1"/>
  <c r="WX14" i="25" s="1"/>
  <c r="WY14" i="25" s="1"/>
  <c r="WZ14" i="25" s="1"/>
  <c r="XA14" i="25" s="1"/>
  <c r="XB14" i="25" s="1"/>
  <c r="XC14" i="25" s="1"/>
  <c r="XD14" i="25" s="1"/>
  <c r="XE14" i="25" s="1"/>
  <c r="XF14" i="25" s="1"/>
  <c r="XG14" i="25" s="1"/>
  <c r="XH14" i="25" s="1"/>
  <c r="XI14" i="25" s="1"/>
  <c r="XJ14" i="25" s="1"/>
  <c r="XK14" i="25" s="1"/>
  <c r="XL14" i="25" s="1"/>
  <c r="XM14" i="25" s="1"/>
  <c r="XN14" i="25" s="1"/>
  <c r="XO14" i="25" s="1"/>
  <c r="XP14" i="25" s="1"/>
  <c r="XQ14" i="25" s="1"/>
  <c r="XR14" i="25" s="1"/>
  <c r="XS14" i="25" s="1"/>
  <c r="XT14" i="25" s="1"/>
  <c r="XU14" i="25" s="1"/>
  <c r="XV14" i="25" s="1"/>
  <c r="XW14" i="25" s="1"/>
  <c r="XX14" i="25" s="1"/>
  <c r="XY14" i="25" s="1"/>
  <c r="XZ14" i="25" s="1"/>
  <c r="YA14" i="25" s="1"/>
  <c r="YB14" i="25" s="1"/>
  <c r="YC14" i="25" s="1"/>
  <c r="YD14" i="25" s="1"/>
  <c r="YE14" i="25" s="1"/>
  <c r="YF14" i="25" s="1"/>
  <c r="YG14" i="25" s="1"/>
  <c r="YH14" i="25" s="1"/>
  <c r="YI14" i="25" s="1"/>
  <c r="YJ14" i="25" s="1"/>
  <c r="YK14" i="25" s="1"/>
  <c r="YL14" i="25" s="1"/>
  <c r="YM14" i="25" s="1"/>
  <c r="YN14" i="25" s="1"/>
  <c r="YO14" i="25" s="1"/>
  <c r="YP14" i="25" s="1"/>
  <c r="YQ14" i="25" s="1"/>
  <c r="YR14" i="25" s="1"/>
  <c r="YS14" i="25" s="1"/>
  <c r="YT14" i="25" s="1"/>
  <c r="YU14" i="25" s="1"/>
  <c r="YV14" i="25" s="1"/>
  <c r="YW14" i="25" s="1"/>
  <c r="YX14" i="25" s="1"/>
  <c r="YY14" i="25" s="1"/>
  <c r="YZ14" i="25" s="1"/>
  <c r="ZA14" i="25" s="1"/>
  <c r="ZB14" i="25" s="1"/>
  <c r="ZC14" i="25" s="1"/>
  <c r="ZD14" i="25" s="1"/>
  <c r="ZE14" i="25" s="1"/>
  <c r="ZF14" i="25" s="1"/>
  <c r="ZG14" i="25" s="1"/>
  <c r="ZH14" i="25" s="1"/>
  <c r="ZI14" i="25" s="1"/>
  <c r="ZJ14" i="25" s="1"/>
  <c r="ZK14" i="25" s="1"/>
  <c r="ZL14" i="25" s="1"/>
  <c r="ZM14" i="25" s="1"/>
  <c r="ZN14" i="25" s="1"/>
  <c r="ZO14" i="25" s="1"/>
  <c r="ZP14" i="25" s="1"/>
  <c r="ZQ14" i="25" s="1"/>
  <c r="ZR14" i="25" s="1"/>
  <c r="ZS14" i="25" s="1"/>
  <c r="ZT14" i="25" s="1"/>
  <c r="ZU14" i="25" s="1"/>
  <c r="ZV14" i="25" s="1"/>
  <c r="ZW14" i="25" s="1"/>
  <c r="ZX14" i="25" s="1"/>
  <c r="ZY14" i="25" s="1"/>
  <c r="ZZ14" i="25" s="1"/>
  <c r="AAA14" i="25" s="1"/>
  <c r="AAB14" i="25" s="1"/>
  <c r="AAC14" i="25" s="1"/>
  <c r="AAD14" i="25" s="1"/>
  <c r="AAE14" i="25" s="1"/>
  <c r="AAF14" i="25" s="1"/>
  <c r="AAG14" i="25" s="1"/>
  <c r="AAH14" i="25" s="1"/>
  <c r="AAI14" i="25" s="1"/>
  <c r="AAJ14" i="25" s="1"/>
  <c r="AAK14" i="25" s="1"/>
  <c r="AAL14" i="25" s="1"/>
  <c r="AAM14" i="25" s="1"/>
  <c r="AAN14" i="25" s="1"/>
  <c r="AAO14" i="25" s="1"/>
  <c r="AAP14" i="25" s="1"/>
  <c r="AAQ14" i="25" s="1"/>
  <c r="AAR14" i="25" s="1"/>
  <c r="AAS14" i="25" s="1"/>
  <c r="AAT14" i="25" s="1"/>
  <c r="AAU14" i="25" s="1"/>
  <c r="AAV14" i="25" s="1"/>
  <c r="AAW14" i="25" s="1"/>
  <c r="AAX14" i="25" s="1"/>
  <c r="AAY14" i="25" s="1"/>
  <c r="AAZ14" i="25" s="1"/>
  <c r="ABA14" i="25" s="1"/>
  <c r="ABB14" i="25" s="1"/>
  <c r="ABC14" i="25" s="1"/>
  <c r="ABD14" i="25" s="1"/>
  <c r="ABE14" i="25" s="1"/>
  <c r="ABF14" i="25" s="1"/>
  <c r="ABG14" i="25" s="1"/>
  <c r="ABH14" i="25" s="1"/>
  <c r="ABI14" i="25" s="1"/>
  <c r="ABJ14" i="25" s="1"/>
  <c r="ABK14" i="25" s="1"/>
  <c r="ABL14" i="25" s="1"/>
  <c r="ABM14" i="25" s="1"/>
  <c r="ABN14" i="25" s="1"/>
  <c r="ABO14" i="25" s="1"/>
  <c r="ABP14" i="25" s="1"/>
  <c r="ABQ14" i="25" s="1"/>
  <c r="ABR14" i="25" s="1"/>
  <c r="ABS14" i="25" s="1"/>
  <c r="ABT14" i="25" s="1"/>
  <c r="ABU14" i="25" s="1"/>
  <c r="ABV14" i="25" s="1"/>
  <c r="ABW14" i="25" s="1"/>
  <c r="ABX14" i="25" s="1"/>
  <c r="ABY14" i="25" s="1"/>
  <c r="ABZ14" i="25" s="1"/>
  <c r="ACA14" i="25" s="1"/>
  <c r="ACB14" i="25" s="1"/>
  <c r="ACC14" i="25" s="1"/>
  <c r="ACD14" i="25" s="1"/>
  <c r="ACE14" i="25" s="1"/>
  <c r="ACF14" i="25" s="1"/>
  <c r="ACG14" i="25" s="1"/>
  <c r="ACH14" i="25" s="1"/>
  <c r="ACI14" i="25" s="1"/>
  <c r="ACJ14" i="25" s="1"/>
  <c r="ACK14" i="25" s="1"/>
  <c r="ACL14" i="25" s="1"/>
  <c r="ACM14" i="25" s="1"/>
  <c r="ACN14" i="25" s="1"/>
  <c r="ACO14" i="25" s="1"/>
  <c r="ACP14" i="25" s="1"/>
  <c r="ACQ14" i="25" s="1"/>
  <c r="ACR14" i="25" s="1"/>
  <c r="ACS14" i="25" s="1"/>
  <c r="ACT14" i="25" s="1"/>
  <c r="ACU14" i="25" s="1"/>
  <c r="ACV14" i="2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32E5B1-83CF-2646-BA5D-2EEC55BEDAE0}" keepAlive="1" name="Query - cluster_average_return_Cluster" description="Connection to the 'cluster_average_return_Cluster' query in the workbook." type="5" refreshedVersion="8" background="1" saveData="1">
    <dbPr connection="Provider=Microsoft.Mashup.OleDb.1;Data Source=$Workbook$;Location=cluster_average_return_Cluster;Extended Properties=&quot;&quot;" command="SELECT * FROM [cluster_average_return_Cluster]"/>
  </connection>
  <connection id="2" xr16:uid="{4B93EC0B-21B9-9642-9E10-87C58C172706}" keepAlive="1" name="Query - cluster_average_return_Sector" description="Connection to the 'cluster_average_return_Sector' query in the workbook." type="5" refreshedVersion="8" background="1" saveData="1">
    <dbPr connection="Provider=Microsoft.Mashup.OleDb.1;Data Source=$Workbook$;Location=cluster_average_return_Sector;Extended Properties=&quot;&quot;" command="SELECT * FROM [cluster_average_return_Sector]"/>
  </connection>
  <connection id="3" xr16:uid="{2D99D469-8D9E-3D4D-86E3-75069C8B1C83}" keepAlive="1" name="Query - Cluster_info" description="Connection to the 'Cluster_info' query in the workbook." type="5" refreshedVersion="0" background="1">
    <dbPr connection="Provider=Microsoft.Mashup.OleDb.1;Data Source=$Workbook$;Location=Cluster_info;Extended Properties=&quot;&quot;" command="SELECT * FROM [Cluster_info]"/>
  </connection>
  <connection id="4" xr16:uid="{FD1C50EC-A1D6-6F45-B34B-D459356FCF60}" keepAlive="1" name="Query - JSE_2025_Raw_Returns" description="Connection to the 'JSE_2025_Raw_Returns' query in the workbook." type="5" refreshedVersion="0" background="1">
    <dbPr connection="Provider=Microsoft.Mashup.OleDb.1;Data Source=$Workbook$;Location=JSE_2025_Raw_Returns;Extended Properties=&quot;&quot;" command="SELECT * FROM [JSE_2025_Raw_Returns]"/>
  </connection>
  <connection id="5" xr16:uid="{6EC61526-889E-AE42-A4E7-ECC870025953}" keepAlive="1" name="Query - Returns_and_clusters" description="Connection to the 'Returns_and_clusters' query in the workbook." type="5" refreshedVersion="8" background="1" saveData="1">
    <dbPr connection="Provider=Microsoft.Mashup.OleDb.1;Data Source=$Workbook$;Location=Returns_and_clusters;Extended Properties=&quot;&quot;" command="SELECT * FROM [Returns_and_clusters]"/>
  </connection>
  <connection id="6" xr16:uid="{C4B2E364-75BD-E448-8A7C-891863126838}" keepAlive="1" name="Query - Returns_and_Sectors" description="Connection to the 'Returns_and_Sectors' query in the workbook." type="5" refreshedVersion="8" background="1" saveData="1">
    <dbPr connection="Provider=Microsoft.Mashup.OleDb.1;Data Source=$Workbook$;Location=Returns_and_Sectors;Extended Properties=&quot;&quot;" command="SELECT * FROM [Returns_and_Sectors]"/>
  </connection>
  <connection id="7" xr16:uid="{9BCD0E12-2C42-5544-A1D6-1255919C3B1A}" keepAlive="1" name="Query - Returns_and_Sectors (2)" description="Connection to the 'Returns_and_Sectors (2)' query in the workbook." type="5" refreshedVersion="8" background="1" saveData="1">
    <dbPr connection="Provider=Microsoft.Mashup.OleDb.1;Data Source=$Workbook$;Location=&quot;Returns_and_Sectors (2)&quot;;Extended Properties=&quot;&quot;" command="SELECT * FROM [Returns_and_Sectors (2)]"/>
  </connection>
  <connection id="8" xr16:uid="{5E6E517E-D07E-CF48-A0D8-2B1EBE52473E}" keepAlive="1" name="Query - Sector_info" description="Connection to the 'Sector_info' query in the workbook." type="5" refreshedVersion="8" background="1" saveData="1">
    <dbPr connection="Provider=Microsoft.Mashup.OleDb.1;Data Source=$Workbook$;Location=Sector_info;Extended Properties=&quot;&quot;" command="SELECT * FROM [Sector_info]"/>
  </connection>
  <connection id="9" xr16:uid="{60EE2719-7B6B-CB4E-A4D9-B9DD126CBD64}" keepAlive="1" name="Query - Weekly_Sector_Average_Returns" description="Connection to the 'Weekly_Sector_Average_Returns' query in the workbook." type="5" refreshedVersion="0" background="1">
    <dbPr connection="Provider=Microsoft.Mashup.OleDb.1;Data Source=$Workbook$;Location=Weekly_Sector_Average_Returns;Extended Properties=&quot;&quot;" command="SELECT * FROM [Weekly_Sector_Average_Returns]"/>
  </connection>
</connections>
</file>

<file path=xl/sharedStrings.xml><?xml version="1.0" encoding="utf-8"?>
<sst xmlns="http://schemas.openxmlformats.org/spreadsheetml/2006/main" count="74744" uniqueCount="70670">
  <si>
    <t>Column1</t>
  </si>
  <si>
    <t>Sector</t>
  </si>
  <si>
    <t>VOD SJ Equity</t>
  </si>
  <si>
    <t>Telecommunications</t>
  </si>
  <si>
    <t>MTN SJ Equity</t>
  </si>
  <si>
    <t>BID SJ Equity</t>
  </si>
  <si>
    <t>Consumer Services</t>
  </si>
  <si>
    <t>APN SJ Equity</t>
  </si>
  <si>
    <t>Health Care</t>
  </si>
  <si>
    <t>MCG SJ Equity</t>
  </si>
  <si>
    <t>BOX SJ Equity</t>
  </si>
  <si>
    <t>N91 SJ Equity</t>
  </si>
  <si>
    <t>Financials</t>
  </si>
  <si>
    <t>KST SJ Equity</t>
  </si>
  <si>
    <t>TKG SJ Equity</t>
  </si>
  <si>
    <t>LHC SJ Equity</t>
  </si>
  <si>
    <t>BYI SJ Equity</t>
  </si>
  <si>
    <t>Technology</t>
  </si>
  <si>
    <t>NTC SJ Equity</t>
  </si>
  <si>
    <t>ADH SJ Equity</t>
  </si>
  <si>
    <t>DTC SJ Equity</t>
  </si>
  <si>
    <t>ITE SJ Equity</t>
  </si>
  <si>
    <t>OMN SJ Equity</t>
  </si>
  <si>
    <t>Basic Materials</t>
  </si>
  <si>
    <t>WBO SJ Equity</t>
  </si>
  <si>
    <t>Industrials</t>
  </si>
  <si>
    <t>SUI SJ Equity</t>
  </si>
  <si>
    <t>NY1 SJ Equity</t>
  </si>
  <si>
    <t>JSE SJ Equity</t>
  </si>
  <si>
    <t>AFH SJ Equity</t>
  </si>
  <si>
    <t>PRX SJ Equity</t>
  </si>
  <si>
    <t>ANH SJ Equity</t>
  </si>
  <si>
    <t>Consumer Goods</t>
  </si>
  <si>
    <t>BTI SJ Equity</t>
  </si>
  <si>
    <t>CFR SJ Equity</t>
  </si>
  <si>
    <t>NPN SJ Equity</t>
  </si>
  <si>
    <t>MNP SJ Equity</t>
  </si>
  <si>
    <t>INP SJ Equity</t>
  </si>
  <si>
    <t>SOL SJ Equity</t>
  </si>
  <si>
    <t>INL SJ Equity</t>
  </si>
  <si>
    <t>HMN SJ Equity</t>
  </si>
  <si>
    <t>SAP SJ Equity</t>
  </si>
  <si>
    <t>FSR SJ Equity</t>
  </si>
  <si>
    <t>CPI SJ Equity</t>
  </si>
  <si>
    <t>SBK SJ Equity</t>
  </si>
  <si>
    <t>SLM SJ Equity</t>
  </si>
  <si>
    <t>ABG SJ Equity</t>
  </si>
  <si>
    <t>DSY SJ Equity</t>
  </si>
  <si>
    <t>OUT SJ Equity</t>
  </si>
  <si>
    <t>NED SJ Equity</t>
  </si>
  <si>
    <t>REM SJ Equity</t>
  </si>
  <si>
    <t>BVT SJ Equity</t>
  </si>
  <si>
    <t>OMU SJ Equity</t>
  </si>
  <si>
    <t>MTM SJ Equity</t>
  </si>
  <si>
    <t>WBC SJ Equity</t>
  </si>
  <si>
    <t>BAW SJ Equity</t>
  </si>
  <si>
    <t>CML SJ Equity</t>
  </si>
  <si>
    <t>GRT SJ Equity</t>
  </si>
  <si>
    <t>RDF SJ Equity</t>
  </si>
  <si>
    <t>FFB SJ Equity</t>
  </si>
  <si>
    <t>VKE SJ Equity</t>
  </si>
  <si>
    <t>SRI SJ Equity</t>
  </si>
  <si>
    <t>RES SJ Equity</t>
  </si>
  <si>
    <t>HYP SJ Equity</t>
  </si>
  <si>
    <t>LTE SJ Equity</t>
  </si>
  <si>
    <t>EQU SJ Equity</t>
  </si>
  <si>
    <t>SHP SJ Equity</t>
  </si>
  <si>
    <t>PPH SJ Equity</t>
  </si>
  <si>
    <t>CLS SJ Equity</t>
  </si>
  <si>
    <t>MRP SJ Equity</t>
  </si>
  <si>
    <t>TBS SJ Equity</t>
  </si>
  <si>
    <t>WHL SJ Equity</t>
  </si>
  <si>
    <t>TFG SJ Equity</t>
  </si>
  <si>
    <t>AVI SJ Equity</t>
  </si>
  <si>
    <t>TRU SJ Equity</t>
  </si>
  <si>
    <t>DCP SJ Equity</t>
  </si>
  <si>
    <t>SPP SJ Equity</t>
  </si>
  <si>
    <t>PIK SJ Equity</t>
  </si>
  <si>
    <t>MTH SJ Equity</t>
  </si>
  <si>
    <t>BHG SJ Equity</t>
  </si>
  <si>
    <t>GLN SJ Equity</t>
  </si>
  <si>
    <t>AGL SJ Equity</t>
  </si>
  <si>
    <t>S32 SJ Equity</t>
  </si>
  <si>
    <t>KIO SJ Equity</t>
  </si>
  <si>
    <t>EXX SJ Equity</t>
  </si>
  <si>
    <t>ARI SJ Equity</t>
  </si>
  <si>
    <t>TGA SJ Equity</t>
  </si>
  <si>
    <t>ANG SJ Equity</t>
  </si>
  <si>
    <t>GFI SJ Equity</t>
  </si>
  <si>
    <t>HAR SJ Equity</t>
  </si>
  <si>
    <t>VAL SJ Equity</t>
  </si>
  <si>
    <t>IMP SJ Equity</t>
  </si>
  <si>
    <t>NPH SJ Equity</t>
  </si>
  <si>
    <t>SSW SJ Equity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</si>
  <si>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</si>
  <si>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</si>
  <si>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</si>
  <si>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</si>
  <si>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</si>
  <si>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</si>
  <si>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</si>
  <si>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</si>
  <si>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</si>
  <si>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</si>
  <si>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</si>
  <si>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</si>
  <si>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</si>
  <si>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</si>
  <si>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</si>
  <si>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</si>
  <si>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</si>
  <si>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</si>
  <si>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</si>
  <si>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</si>
  <si>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</si>
  <si>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</si>
  <si>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</si>
  <si>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</si>
  <si>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</si>
  <si>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</si>
  <si>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</si>
  <si>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</si>
  <si>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</si>
  <si>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</si>
  <si>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</si>
  <si>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</si>
  <si>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</si>
  <si>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</si>
  <si>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</si>
  <si>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</si>
  <si>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</si>
  <si>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</si>
  <si>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</si>
  <si>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</si>
  <si>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</si>
  <si>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</si>
  <si>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</si>
  <si>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</si>
  <si>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</si>
  <si>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</si>
  <si>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</si>
  <si>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</si>
  <si>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</si>
  <si>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</si>
  <si>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</si>
  <si>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</si>
  <si>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</si>
  <si>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</si>
  <si>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</si>
  <si>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</si>
  <si>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</si>
  <si>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</si>
  <si>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</si>
  <si>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</si>
  <si>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</si>
  <si>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</si>
  <si>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</si>
  <si>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</si>
  <si>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</si>
  <si>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</si>
  <si>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</si>
  <si>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</si>
  <si>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</si>
  <si>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</si>
  <si>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</si>
  <si>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</si>
  <si>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</si>
  <si>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</si>
  <si>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</si>
  <si>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</si>
  <si>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</si>
  <si>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</si>
  <si>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</si>
  <si>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</si>
  <si>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</si>
  <si>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</si>
  <si>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</si>
  <si>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</si>
  <si>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</si>
  <si>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</si>
  <si>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</si>
  <si>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</si>
  <si>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</si>
  <si>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</si>
  <si>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</si>
  <si>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</si>
  <si>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</si>
  <si>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</si>
  <si>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</si>
  <si>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</si>
  <si>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</si>
  <si>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</si>
  <si>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</si>
  <si>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</si>
  <si>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</si>
  <si>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</si>
  <si>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</si>
  <si>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</si>
  <si>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</si>
  <si>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</si>
  <si>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</si>
  <si>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</si>
  <si>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</si>
  <si>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</si>
  <si>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</si>
  <si>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</si>
  <si>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</si>
  <si>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</si>
  <si>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</si>
  <si>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</si>
  <si>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</si>
  <si>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</si>
  <si>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</si>
  <si>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</si>
  <si>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</si>
  <si>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</si>
  <si>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</si>
  <si>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</si>
  <si>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</si>
  <si>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</si>
  <si>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</si>
  <si>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</si>
  <si>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</si>
  <si>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</si>
  <si>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</si>
  <si>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</si>
  <si>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</si>
  <si>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</si>
  <si>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</si>
  <si>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</si>
  <si>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</si>
  <si>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</si>
  <si>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</si>
  <si>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</si>
  <si>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</si>
  <si>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</si>
  <si>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</si>
  <si>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</si>
  <si>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</si>
  <si>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</si>
  <si>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</si>
  <si>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</si>
  <si>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</si>
  <si>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</si>
  <si>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</si>
  <si>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</si>
  <si>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</si>
  <si>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</si>
  <si>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</si>
  <si>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</si>
  <si>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</si>
  <si>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</si>
  <si>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</si>
  <si>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</si>
  <si>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</si>
  <si>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</si>
  <si>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</si>
  <si>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</si>
  <si>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</si>
  <si>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</si>
  <si>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</si>
  <si>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</si>
  <si>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</si>
  <si>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</si>
  <si>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</si>
  <si>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</si>
  <si>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</si>
  <si>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</si>
  <si>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</si>
  <si>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</si>
  <si>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</si>
  <si>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</si>
  <si>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</si>
  <si>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</si>
  <si>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</si>
  <si>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</si>
  <si>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</si>
  <si>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</si>
  <si>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</si>
  <si>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</si>
  <si>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</si>
  <si>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</si>
  <si>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</si>
  <si>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</si>
  <si>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</si>
  <si>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</si>
  <si>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</si>
  <si>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</si>
  <si>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</si>
  <si>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</si>
  <si>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</si>
  <si>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</si>
  <si>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</si>
  <si>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</si>
  <si>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</si>
  <si>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</si>
  <si>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</si>
  <si>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</si>
  <si>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</si>
  <si>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</si>
  <si>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</si>
  <si>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</si>
  <si>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</si>
  <si>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</si>
  <si>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</si>
  <si>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</si>
  <si>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</si>
  <si>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</si>
  <si>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</si>
  <si>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</si>
  <si>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</si>
  <si>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</si>
  <si>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</si>
  <si>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</si>
  <si>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</si>
  <si>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</si>
  <si>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</si>
  <si>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</si>
  <si>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</si>
  <si>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</si>
  <si>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</si>
  <si>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</si>
  <si>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</si>
  <si>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</si>
  <si>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</si>
  <si>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</si>
  <si>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</si>
  <si>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</si>
  <si>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</si>
  <si>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</si>
  <si>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</si>
  <si>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</si>
  <si>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</si>
  <si>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</si>
  <si>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</si>
  <si>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</si>
  <si>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</si>
  <si>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</si>
  <si>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</si>
  <si>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</si>
  <si>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</si>
  <si>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</si>
  <si>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</si>
  <si>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</si>
  <si>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</si>
  <si>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</si>
  <si>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</si>
  <si>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</si>
  <si>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</si>
  <si>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</si>
  <si>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</si>
  <si>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</si>
  <si>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</si>
  <si>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</si>
  <si>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</si>
  <si>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</si>
  <si>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</si>
  <si>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</si>
  <si>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</si>
  <si>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</si>
  <si>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</si>
  <si>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</si>
  <si>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</si>
  <si>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</si>
  <si>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</si>
  <si>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</si>
  <si>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</si>
  <si>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</si>
  <si>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</si>
  <si>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</si>
  <si>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</si>
  <si>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</si>
  <si>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</si>
  <si>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</si>
  <si>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</si>
  <si>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</si>
  <si>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</si>
  <si>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</si>
  <si>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</si>
  <si>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</si>
  <si>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</si>
  <si>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</si>
  <si>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</si>
  <si>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</si>
  <si>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</si>
  <si>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</si>
  <si>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</si>
  <si>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</si>
  <si>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</si>
  <si>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</si>
  <si>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</si>
  <si>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</si>
  <si>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</si>
  <si>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</si>
  <si>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</si>
  <si>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</si>
  <si>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</si>
  <si>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</si>
  <si>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</si>
  <si>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</si>
  <si>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</si>
  <si>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</si>
  <si>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</si>
  <si>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</si>
  <si>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</si>
  <si>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</si>
  <si>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</si>
  <si>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</si>
  <si>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</si>
  <si>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</si>
  <si>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</si>
  <si>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</si>
  <si>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</si>
  <si>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</si>
  <si>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</si>
  <si>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</si>
  <si>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</si>
  <si>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</si>
  <si>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</si>
  <si>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</si>
  <si>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</si>
  <si>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</si>
  <si>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</si>
  <si>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</si>
  <si>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</si>
  <si>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</si>
  <si>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</si>
  <si>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</si>
  <si>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</si>
  <si>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</si>
  <si>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</si>
  <si>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</si>
  <si>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</si>
  <si>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</si>
  <si>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</si>
  <si>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</si>
  <si>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</si>
  <si>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</si>
  <si>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</si>
  <si>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</si>
  <si>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</si>
  <si>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</si>
  <si>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</si>
  <si>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</si>
  <si>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</si>
  <si>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</si>
  <si>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</si>
  <si>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</si>
  <si>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</si>
  <si>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</si>
  <si>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</si>
  <si>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</si>
  <si>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</si>
  <si>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</si>
  <si>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</si>
  <si>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</si>
  <si>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</si>
  <si>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</si>
  <si>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</si>
  <si>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</si>
  <si>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</si>
  <si>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</si>
  <si>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</si>
  <si>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</si>
  <si>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</si>
  <si>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</si>
  <si>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</si>
  <si>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</si>
  <si>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</si>
  <si>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</si>
  <si>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</si>
  <si>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</si>
  <si>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</si>
  <si>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</si>
  <si>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</si>
  <si>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</si>
  <si>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</si>
  <si>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</si>
  <si>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</si>
  <si>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</si>
  <si>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</si>
  <si>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</si>
  <si>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</si>
  <si>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</si>
  <si>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</si>
  <si>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</si>
  <si>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</si>
  <si>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</si>
  <si>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</si>
  <si>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</si>
  <si>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</si>
  <si>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</si>
  <si>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</si>
  <si>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</si>
  <si>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</si>
  <si>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</si>
  <si>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</si>
  <si>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</si>
  <si>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</si>
  <si>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</si>
  <si>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</si>
  <si>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</si>
  <si>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</si>
  <si>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</si>
  <si>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</si>
  <si>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</si>
  <si>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</si>
  <si>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</si>
  <si>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</si>
  <si>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</si>
  <si>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</si>
  <si>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</si>
  <si>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</si>
  <si>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</si>
  <si>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</si>
  <si>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</si>
  <si>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</si>
  <si>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</si>
  <si>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</si>
  <si>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</si>
  <si>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</si>
  <si>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</si>
  <si>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</si>
  <si>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</si>
  <si>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</si>
  <si>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</si>
  <si>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</si>
  <si>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</si>
  <si>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</si>
  <si>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</si>
  <si>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</si>
  <si>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</si>
  <si>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</si>
  <si>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</si>
  <si>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</si>
  <si>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</si>
  <si>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</si>
  <si>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</si>
  <si>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</si>
  <si>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</si>
  <si>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</si>
  <si>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</si>
  <si>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</si>
  <si>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</si>
  <si>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</si>
  <si>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</si>
  <si>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</si>
  <si>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</si>
  <si>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</si>
  <si>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</si>
  <si>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</si>
  <si>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</si>
  <si>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</si>
  <si>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</si>
  <si>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</si>
  <si>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</si>
  <si>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</si>
  <si>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</si>
  <si>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</si>
  <si>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</si>
  <si>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</si>
  <si>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</si>
  <si>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</si>
  <si>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</si>
  <si>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</si>
  <si>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</si>
  <si>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</si>
  <si>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</si>
  <si>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</si>
  <si>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</si>
  <si>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</si>
  <si>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</si>
  <si>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</si>
  <si>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</si>
  <si>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</si>
  <si>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</si>
  <si>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</si>
  <si>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</si>
  <si>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</si>
  <si>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</si>
  <si>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</si>
  <si>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</si>
  <si>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</si>
  <si>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</si>
  <si>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</si>
  <si>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</si>
  <si>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</si>
  <si>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</si>
  <si>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</si>
  <si>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</si>
  <si>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</si>
  <si>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</si>
  <si>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</si>
  <si>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</si>
  <si>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</si>
  <si>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</si>
  <si>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</si>
  <si>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</si>
  <si>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</si>
  <si>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</si>
  <si>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</si>
  <si>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</si>
  <si>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</si>
  <si>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</si>
  <si>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</si>
  <si>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</si>
  <si>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</si>
  <si>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</si>
  <si>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</si>
  <si>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</si>
  <si>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</si>
  <si>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</si>
  <si>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</si>
  <si>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</si>
  <si>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</si>
  <si>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</si>
  <si>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</si>
  <si>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</si>
  <si>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</si>
  <si>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</si>
  <si>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</si>
  <si>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</si>
  <si>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</si>
  <si>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</si>
  <si>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</si>
  <si>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</si>
  <si>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</si>
  <si>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</si>
  <si>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</si>
  <si>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</si>
  <si>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</si>
  <si>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</si>
  <si>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</si>
  <si>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</si>
  <si>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</si>
  <si>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</si>
  <si>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</si>
  <si>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</si>
  <si>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</si>
  <si>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</si>
  <si>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</si>
  <si>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</si>
  <si>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</si>
  <si>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</si>
  <si>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</si>
  <si>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</si>
  <si>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</si>
  <si>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</si>
  <si>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</si>
  <si>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</si>
  <si>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</si>
  <si>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</si>
  <si>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</si>
  <si>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</si>
  <si>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</si>
  <si>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</si>
  <si>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</si>
  <si>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</si>
  <si>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</si>
  <si>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</si>
  <si>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</si>
  <si>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</si>
  <si>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</si>
  <si>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</si>
  <si>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</si>
  <si>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</si>
  <si>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</si>
  <si>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</si>
  <si>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</si>
  <si>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</si>
  <si>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</si>
  <si>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</si>
  <si>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</si>
  <si>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</si>
  <si>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</si>
  <si>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</si>
  <si>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</si>
  <si>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</si>
  <si>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</si>
  <si>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</si>
  <si>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</si>
  <si>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</si>
  <si>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</si>
  <si>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</si>
  <si>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</si>
  <si>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</si>
  <si>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</si>
  <si>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</si>
  <si>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</si>
  <si>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</si>
  <si>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</si>
  <si>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</si>
  <si>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</si>
  <si>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</si>
  <si>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</si>
  <si>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</si>
  <si>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</si>
  <si>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</si>
  <si>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</si>
  <si>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</si>
  <si>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</si>
  <si>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</si>
  <si>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</si>
  <si>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</si>
  <si>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</si>
  <si>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</si>
  <si>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</si>
  <si>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</si>
  <si>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</si>
  <si>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</si>
  <si>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</si>
  <si>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</si>
  <si>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</si>
  <si>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</si>
  <si>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</si>
  <si>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</si>
  <si>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</si>
  <si>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</si>
  <si>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</si>
  <si>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</si>
  <si>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</si>
  <si>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</si>
  <si>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</si>
  <si>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</si>
  <si>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</si>
  <si>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</si>
  <si>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</si>
  <si>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</si>
  <si>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</si>
  <si>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</si>
  <si>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</si>
  <si>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</si>
  <si>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</si>
  <si>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</si>
  <si>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</si>
  <si>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</si>
  <si>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</si>
  <si>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</si>
  <si>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</si>
  <si>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</si>
  <si>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</si>
  <si>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</si>
  <si>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</si>
  <si>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</si>
  <si>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</si>
  <si>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</si>
  <si>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</si>
  <si>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</si>
  <si>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</si>
  <si>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</si>
  <si>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</si>
  <si>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</si>
  <si>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</si>
  <si>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</si>
  <si>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</si>
  <si>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</si>
  <si>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</si>
  <si>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</si>
  <si>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</si>
  <si>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</si>
  <si>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</si>
  <si>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</si>
  <si>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</si>
  <si>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</si>
  <si>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</si>
  <si>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</si>
  <si>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</si>
  <si>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</si>
  <si>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</si>
  <si>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</si>
  <si>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</si>
  <si>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</si>
  <si>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</si>
  <si>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</si>
  <si>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</si>
  <si>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</si>
  <si>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</si>
  <si>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</si>
  <si>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</si>
  <si>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</si>
  <si>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</si>
  <si>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</si>
  <si>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</si>
  <si>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</si>
  <si>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</si>
  <si>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</si>
  <si>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</si>
  <si>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</si>
  <si>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</si>
  <si>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</si>
  <si>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</si>
  <si>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</si>
  <si>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</si>
  <si>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</si>
  <si>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</si>
  <si>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Stock</t>
  </si>
  <si>
    <t>01-Aug-10</t>
  </si>
  <si>
    <t>08-Aug-10</t>
  </si>
  <si>
    <t>15-Aug-10</t>
  </si>
  <si>
    <t>22-Aug-10</t>
  </si>
  <si>
    <t>29-Aug-10</t>
  </si>
  <si>
    <t>05-Sep-10</t>
  </si>
  <si>
    <t>12-Sep-10</t>
  </si>
  <si>
    <t>19-Sep-10</t>
  </si>
  <si>
    <t>26-Sep-10</t>
  </si>
  <si>
    <t>03-Oct-10</t>
  </si>
  <si>
    <t>10-Oct-10</t>
  </si>
  <si>
    <t>17-Oct-10</t>
  </si>
  <si>
    <t>24-Oct-10</t>
  </si>
  <si>
    <t>31-Oct-10</t>
  </si>
  <si>
    <t>07-Nov-10</t>
  </si>
  <si>
    <t>14-Nov-10</t>
  </si>
  <si>
    <t>21-Nov-10</t>
  </si>
  <si>
    <t>28-Nov-10</t>
  </si>
  <si>
    <t>05-Dec-10</t>
  </si>
  <si>
    <t>12-Dec-10</t>
  </si>
  <si>
    <t>19-Dec-10</t>
  </si>
  <si>
    <t>26-Dec-10</t>
  </si>
  <si>
    <t>02-Jan-11</t>
  </si>
  <si>
    <t>09-Jan-11</t>
  </si>
  <si>
    <t>16-Jan-11</t>
  </si>
  <si>
    <t>23-Jan-11</t>
  </si>
  <si>
    <t>30-Jan-11</t>
  </si>
  <si>
    <t>06-Feb-11</t>
  </si>
  <si>
    <t>13-Feb-11</t>
  </si>
  <si>
    <t>20-Feb-11</t>
  </si>
  <si>
    <t>27-Feb-11</t>
  </si>
  <si>
    <t>06-Mar-11</t>
  </si>
  <si>
    <t>13-Mar-11</t>
  </si>
  <si>
    <t>20-Mar-11</t>
  </si>
  <si>
    <t>27-Mar-11</t>
  </si>
  <si>
    <t>03-Apr-11</t>
  </si>
  <si>
    <t>10-Apr-11</t>
  </si>
  <si>
    <t>17-Apr-11</t>
  </si>
  <si>
    <t>24-Apr-11</t>
  </si>
  <si>
    <t>01-May-11</t>
  </si>
  <si>
    <t>08-May-11</t>
  </si>
  <si>
    <t>15-May-11</t>
  </si>
  <si>
    <t>22-May-11</t>
  </si>
  <si>
    <t>29-May-11</t>
  </si>
  <si>
    <t>05-Jun-11</t>
  </si>
  <si>
    <t>12-Jun-11</t>
  </si>
  <si>
    <t>19-Jun-11</t>
  </si>
  <si>
    <t>26-Jun-11</t>
  </si>
  <si>
    <t>03-Jul-11</t>
  </si>
  <si>
    <t>10-Jul-11</t>
  </si>
  <si>
    <t>17-Jul-11</t>
  </si>
  <si>
    <t>24-Jul-11</t>
  </si>
  <si>
    <t>31-Jul-11</t>
  </si>
  <si>
    <t>07-Aug-11</t>
  </si>
  <si>
    <t>14-Aug-11</t>
  </si>
  <si>
    <t>21-Aug-11</t>
  </si>
  <si>
    <t>28-Aug-11</t>
  </si>
  <si>
    <t>04-Sep-11</t>
  </si>
  <si>
    <t>11-Sep-11</t>
  </si>
  <si>
    <t>18-Sep-11</t>
  </si>
  <si>
    <t>25-Sep-11</t>
  </si>
  <si>
    <t>02-Oct-11</t>
  </si>
  <si>
    <t>09-Oct-11</t>
  </si>
  <si>
    <t>16-Oct-11</t>
  </si>
  <si>
    <t>23-Oct-11</t>
  </si>
  <si>
    <t>30-Oct-11</t>
  </si>
  <si>
    <t>06-Nov-11</t>
  </si>
  <si>
    <t>13-Nov-11</t>
  </si>
  <si>
    <t>20-Nov-11</t>
  </si>
  <si>
    <t>27-Nov-11</t>
  </si>
  <si>
    <t>04-Dec-11</t>
  </si>
  <si>
    <t>11-Dec-11</t>
  </si>
  <si>
    <t>18-Dec-11</t>
  </si>
  <si>
    <t>25-Dec-11</t>
  </si>
  <si>
    <t>01-Jan-12</t>
  </si>
  <si>
    <t>08-Jan-12</t>
  </si>
  <si>
    <t>15-Jan-12</t>
  </si>
  <si>
    <t>22-Jan-12</t>
  </si>
  <si>
    <t>29-Jan-12</t>
  </si>
  <si>
    <t>05-Feb-12</t>
  </si>
  <si>
    <t>12-Feb-12</t>
  </si>
  <si>
    <t>19-Feb-12</t>
  </si>
  <si>
    <t>26-Feb-12</t>
  </si>
  <si>
    <t>04-Mar-12</t>
  </si>
  <si>
    <t>11-Mar-12</t>
  </si>
  <si>
    <t>18-Mar-12</t>
  </si>
  <si>
    <t>25-Mar-12</t>
  </si>
  <si>
    <t>01-Apr-12</t>
  </si>
  <si>
    <t>08-Apr-12</t>
  </si>
  <si>
    <t>15-Apr-12</t>
  </si>
  <si>
    <t>22-Apr-12</t>
  </si>
  <si>
    <t>29-Apr-12</t>
  </si>
  <si>
    <t>06-May-12</t>
  </si>
  <si>
    <t>13-May-12</t>
  </si>
  <si>
    <t>20-May-12</t>
  </si>
  <si>
    <t>27-May-12</t>
  </si>
  <si>
    <t>03-Jun-12</t>
  </si>
  <si>
    <t>10-Jun-12</t>
  </si>
  <si>
    <t>17-Jun-12</t>
  </si>
  <si>
    <t>24-Jun-12</t>
  </si>
  <si>
    <t>01-Jul-12</t>
  </si>
  <si>
    <t>08-Jul-12</t>
  </si>
  <si>
    <t>15-Jul-12</t>
  </si>
  <si>
    <t>22-Jul-12</t>
  </si>
  <si>
    <t>29-Jul-12</t>
  </si>
  <si>
    <t>05-Aug-12</t>
  </si>
  <si>
    <t>12-Aug-12</t>
  </si>
  <si>
    <t>19-Aug-12</t>
  </si>
  <si>
    <t>26-Aug-12</t>
  </si>
  <si>
    <t>02-Sep-12</t>
  </si>
  <si>
    <t>09-Sep-12</t>
  </si>
  <si>
    <t>16-Sep-12</t>
  </si>
  <si>
    <t>23-Sep-12</t>
  </si>
  <si>
    <t>30-Sep-12</t>
  </si>
  <si>
    <t>07-Oct-12</t>
  </si>
  <si>
    <t>14-Oct-12</t>
  </si>
  <si>
    <t>21-Oct-12</t>
  </si>
  <si>
    <t>28-Oct-12</t>
  </si>
  <si>
    <t>04-Nov-12</t>
  </si>
  <si>
    <t>11-Nov-12</t>
  </si>
  <si>
    <t>18-Nov-12</t>
  </si>
  <si>
    <t>25-Nov-12</t>
  </si>
  <si>
    <t>02-Dec-12</t>
  </si>
  <si>
    <t>09-Dec-12</t>
  </si>
  <si>
    <t>16-Dec-12</t>
  </si>
  <si>
    <t>23-Dec-12</t>
  </si>
  <si>
    <t>30-Dec-12</t>
  </si>
  <si>
    <t>06-Jan-13</t>
  </si>
  <si>
    <t>13-Jan-13</t>
  </si>
  <si>
    <t>20-Jan-13</t>
  </si>
  <si>
    <t>27-Jan-13</t>
  </si>
  <si>
    <t>03-Feb-13</t>
  </si>
  <si>
    <t>10-Feb-13</t>
  </si>
  <si>
    <t>17-Feb-13</t>
  </si>
  <si>
    <t>24-Feb-13</t>
  </si>
  <si>
    <t>03-Mar-13</t>
  </si>
  <si>
    <t>10-Mar-13</t>
  </si>
  <si>
    <t>17-Mar-13</t>
  </si>
  <si>
    <t>24-Mar-13</t>
  </si>
  <si>
    <t>31-Mar-13</t>
  </si>
  <si>
    <t>07-Apr-13</t>
  </si>
  <si>
    <t>14-Apr-13</t>
  </si>
  <si>
    <t>21-Apr-13</t>
  </si>
  <si>
    <t>28-Apr-13</t>
  </si>
  <si>
    <t>05-May-13</t>
  </si>
  <si>
    <t>12-May-13</t>
  </si>
  <si>
    <t>19-May-13</t>
  </si>
  <si>
    <t>26-May-13</t>
  </si>
  <si>
    <t>02-Jun-13</t>
  </si>
  <si>
    <t>09-Jun-13</t>
  </si>
  <si>
    <t>16-Jun-13</t>
  </si>
  <si>
    <t>23-Jun-13</t>
  </si>
  <si>
    <t>30-Jun-13</t>
  </si>
  <si>
    <t>07-Jul-13</t>
  </si>
  <si>
    <t>14-Jul-13</t>
  </si>
  <si>
    <t>21-Jul-13</t>
  </si>
  <si>
    <t>28-Jul-13</t>
  </si>
  <si>
    <t>04-Aug-13</t>
  </si>
  <si>
    <t>11-Aug-13</t>
  </si>
  <si>
    <t>18-Aug-13</t>
  </si>
  <si>
    <t>25-Aug-13</t>
  </si>
  <si>
    <t>01-Sep-13</t>
  </si>
  <si>
    <t>08-Sep-13</t>
  </si>
  <si>
    <t>15-Sep-13</t>
  </si>
  <si>
    <t>22-Sep-13</t>
  </si>
  <si>
    <t>29-Sep-13</t>
  </si>
  <si>
    <t>06-Oct-13</t>
  </si>
  <si>
    <t>13-Oct-13</t>
  </si>
  <si>
    <t>20-Oct-13</t>
  </si>
  <si>
    <t>27-Oct-13</t>
  </si>
  <si>
    <t>03-Nov-13</t>
  </si>
  <si>
    <t>10-Nov-13</t>
  </si>
  <si>
    <t>17-Nov-13</t>
  </si>
  <si>
    <t>24-Nov-13</t>
  </si>
  <si>
    <t>01-Dec-13</t>
  </si>
  <si>
    <t>08-Dec-13</t>
  </si>
  <si>
    <t>15-Dec-13</t>
  </si>
  <si>
    <t>22-Dec-13</t>
  </si>
  <si>
    <t>29-Dec-13</t>
  </si>
  <si>
    <t>05-Jan-14</t>
  </si>
  <si>
    <t>12-Jan-14</t>
  </si>
  <si>
    <t>19-Jan-14</t>
  </si>
  <si>
    <t>26-Jan-14</t>
  </si>
  <si>
    <t>02-Feb-14</t>
  </si>
  <si>
    <t>09-Feb-14</t>
  </si>
  <si>
    <t>16-Feb-14</t>
  </si>
  <si>
    <t>23-Feb-14</t>
  </si>
  <si>
    <t>02-Mar-14</t>
  </si>
  <si>
    <t>09-Mar-14</t>
  </si>
  <si>
    <t>16-Mar-14</t>
  </si>
  <si>
    <t>23-Mar-14</t>
  </si>
  <si>
    <t>30-Mar-14</t>
  </si>
  <si>
    <t>06-Apr-14</t>
  </si>
  <si>
    <t>13-Apr-14</t>
  </si>
  <si>
    <t>20-Apr-14</t>
  </si>
  <si>
    <t>27-Apr-14</t>
  </si>
  <si>
    <t>04-May-14</t>
  </si>
  <si>
    <t>11-May-14</t>
  </si>
  <si>
    <t>18-May-14</t>
  </si>
  <si>
    <t>25-May-14</t>
  </si>
  <si>
    <t>01-Jun-14</t>
  </si>
  <si>
    <t>08-Jun-14</t>
  </si>
  <si>
    <t>15-Jun-14</t>
  </si>
  <si>
    <t>22-Jun-14</t>
  </si>
  <si>
    <t>29-Jun-14</t>
  </si>
  <si>
    <t>06-Jul-14</t>
  </si>
  <si>
    <t>13-Jul-14</t>
  </si>
  <si>
    <t>20-Jul-14</t>
  </si>
  <si>
    <t>27-Jul-14</t>
  </si>
  <si>
    <t>03-Aug-14</t>
  </si>
  <si>
    <t>10-Aug-14</t>
  </si>
  <si>
    <t>17-Aug-14</t>
  </si>
  <si>
    <t>24-Aug-14</t>
  </si>
  <si>
    <t>31-Aug-14</t>
  </si>
  <si>
    <t>07-Sep-14</t>
  </si>
  <si>
    <t>14-Sep-14</t>
  </si>
  <si>
    <t>21-Sep-14</t>
  </si>
  <si>
    <t>28-Sep-14</t>
  </si>
  <si>
    <t>05-Oct-14</t>
  </si>
  <si>
    <t>12-Oct-14</t>
  </si>
  <si>
    <t>19-Oct-14</t>
  </si>
  <si>
    <t>26-Oct-14</t>
  </si>
  <si>
    <t>02-Nov-14</t>
  </si>
  <si>
    <t>09-Nov-14</t>
  </si>
  <si>
    <t>16-Nov-14</t>
  </si>
  <si>
    <t>23-Nov-14</t>
  </si>
  <si>
    <t>30-Nov-14</t>
  </si>
  <si>
    <t>07-Dec-14</t>
  </si>
  <si>
    <t>14-Dec-14</t>
  </si>
  <si>
    <t>21-Dec-14</t>
  </si>
  <si>
    <t>28-Dec-14</t>
  </si>
  <si>
    <t>04-Jan-15</t>
  </si>
  <si>
    <t>11-Jan-15</t>
  </si>
  <si>
    <t>18-Jan-15</t>
  </si>
  <si>
    <t>25-Jan-15</t>
  </si>
  <si>
    <t>01-Feb-15</t>
  </si>
  <si>
    <t>08-Feb-15</t>
  </si>
  <si>
    <t>15-Feb-15</t>
  </si>
  <si>
    <t>22-Feb-15</t>
  </si>
  <si>
    <t>01-Mar-15</t>
  </si>
  <si>
    <t>08-Mar-15</t>
  </si>
  <si>
    <t>15-Mar-15</t>
  </si>
  <si>
    <t>22-Mar-15</t>
  </si>
  <si>
    <t>29-Mar-15</t>
  </si>
  <si>
    <t>05-Apr-15</t>
  </si>
  <si>
    <t>12-Apr-15</t>
  </si>
  <si>
    <t>19-Apr-15</t>
  </si>
  <si>
    <t>26-Apr-15</t>
  </si>
  <si>
    <t>03-May-15</t>
  </si>
  <si>
    <t>10-May-15</t>
  </si>
  <si>
    <t>17-May-15</t>
  </si>
  <si>
    <t>24-May-15</t>
  </si>
  <si>
    <t>31-May-15</t>
  </si>
  <si>
    <t>07-Jun-15</t>
  </si>
  <si>
    <t>14-Jun-15</t>
  </si>
  <si>
    <t>21-Jun-15</t>
  </si>
  <si>
    <t>28-Jun-15</t>
  </si>
  <si>
    <t>05-Jul-15</t>
  </si>
  <si>
    <t>12-Jul-15</t>
  </si>
  <si>
    <t>19-Jul-15</t>
  </si>
  <si>
    <t>26-Jul-15</t>
  </si>
  <si>
    <t>02-Aug-15</t>
  </si>
  <si>
    <t>09-Aug-15</t>
  </si>
  <si>
    <t>16-Aug-15</t>
  </si>
  <si>
    <t>23-Aug-15</t>
  </si>
  <si>
    <t>30-Aug-15</t>
  </si>
  <si>
    <t>06-Sep-15</t>
  </si>
  <si>
    <t>13-Sep-15</t>
  </si>
  <si>
    <t>20-Sep-15</t>
  </si>
  <si>
    <t>27-Sep-15</t>
  </si>
  <si>
    <t>04-Oct-15</t>
  </si>
  <si>
    <t>11-Oct-15</t>
  </si>
  <si>
    <t>18-Oct-15</t>
  </si>
  <si>
    <t>25-Oct-15</t>
  </si>
  <si>
    <t>01-Nov-15</t>
  </si>
  <si>
    <t>08-Nov-15</t>
  </si>
  <si>
    <t>15-Nov-15</t>
  </si>
  <si>
    <t>22-Nov-15</t>
  </si>
  <si>
    <t>29-Nov-15</t>
  </si>
  <si>
    <t>06-Dec-15</t>
  </si>
  <si>
    <t>13-Dec-15</t>
  </si>
  <si>
    <t>20-Dec-15</t>
  </si>
  <si>
    <t>27-Dec-15</t>
  </si>
  <si>
    <t>03-Jan-16</t>
  </si>
  <si>
    <t>10-Jan-16</t>
  </si>
  <si>
    <t>17-Jan-16</t>
  </si>
  <si>
    <t>24-Jan-16</t>
  </si>
  <si>
    <t>31-Jan-16</t>
  </si>
  <si>
    <t>07-Feb-16</t>
  </si>
  <si>
    <t>14-Feb-16</t>
  </si>
  <si>
    <t>21-Feb-16</t>
  </si>
  <si>
    <t>28-Feb-16</t>
  </si>
  <si>
    <t>06-Mar-16</t>
  </si>
  <si>
    <t>13-Mar-16</t>
  </si>
  <si>
    <t>20-Mar-16</t>
  </si>
  <si>
    <t>27-Mar-16</t>
  </si>
  <si>
    <t>03-Apr-16</t>
  </si>
  <si>
    <t>10-Apr-16</t>
  </si>
  <si>
    <t>17-Apr-16</t>
  </si>
  <si>
    <t>24-Apr-16</t>
  </si>
  <si>
    <t>01-May-16</t>
  </si>
  <si>
    <t>08-May-16</t>
  </si>
  <si>
    <t>15-May-16</t>
  </si>
  <si>
    <t>22-May-16</t>
  </si>
  <si>
    <t>29-May-16</t>
  </si>
  <si>
    <t>05-Jun-16</t>
  </si>
  <si>
    <t>12-Jun-16</t>
  </si>
  <si>
    <t>19-Jun-16</t>
  </si>
  <si>
    <t>26-Jun-16</t>
  </si>
  <si>
    <t>03-Jul-16</t>
  </si>
  <si>
    <t>10-Jul-16</t>
  </si>
  <si>
    <t>17-Jul-16</t>
  </si>
  <si>
    <t>24-Jul-16</t>
  </si>
  <si>
    <t>31-Jul-16</t>
  </si>
  <si>
    <t>07-Aug-16</t>
  </si>
  <si>
    <t>14-Aug-16</t>
  </si>
  <si>
    <t>21-Aug-16</t>
  </si>
  <si>
    <t>28-Aug-16</t>
  </si>
  <si>
    <t>04-Sep-16</t>
  </si>
  <si>
    <t>11-Sep-16</t>
  </si>
  <si>
    <t>18-Sep-16</t>
  </si>
  <si>
    <t>25-Sep-16</t>
  </si>
  <si>
    <t>02-Oct-16</t>
  </si>
  <si>
    <t>09-Oct-16</t>
  </si>
  <si>
    <t>16-Oct-16</t>
  </si>
  <si>
    <t>23-Oct-16</t>
  </si>
  <si>
    <t>30-Oct-16</t>
  </si>
  <si>
    <t>06-Nov-16</t>
  </si>
  <si>
    <t>13-Nov-16</t>
  </si>
  <si>
    <t>20-Nov-16</t>
  </si>
  <si>
    <t>27-Nov-16</t>
  </si>
  <si>
    <t>04-Dec-16</t>
  </si>
  <si>
    <t>11-Dec-16</t>
  </si>
  <si>
    <t>18-Dec-16</t>
  </si>
  <si>
    <t>25-Dec-16</t>
  </si>
  <si>
    <t>01-Jan-17</t>
  </si>
  <si>
    <t>08-Jan-17</t>
  </si>
  <si>
    <t>15-Jan-17</t>
  </si>
  <si>
    <t>22-Jan-17</t>
  </si>
  <si>
    <t>29-Jan-17</t>
  </si>
  <si>
    <t>05-Feb-17</t>
  </si>
  <si>
    <t>12-Feb-17</t>
  </si>
  <si>
    <t>19-Feb-17</t>
  </si>
  <si>
    <t>26-Feb-17</t>
  </si>
  <si>
    <t>05-Mar-17</t>
  </si>
  <si>
    <t>12-Mar-17</t>
  </si>
  <si>
    <t>19-Mar-17</t>
  </si>
  <si>
    <t>26-Mar-17</t>
  </si>
  <si>
    <t>02-Apr-17</t>
  </si>
  <si>
    <t>09-Apr-17</t>
  </si>
  <si>
    <t>16-Apr-17</t>
  </si>
  <si>
    <t>23-Apr-17</t>
  </si>
  <si>
    <t>30-Apr-17</t>
  </si>
  <si>
    <t>07-May-17</t>
  </si>
  <si>
    <t>14-May-17</t>
  </si>
  <si>
    <t>21-May-17</t>
  </si>
  <si>
    <t>28-May-17</t>
  </si>
  <si>
    <t>04-Jun-17</t>
  </si>
  <si>
    <t>11-Jun-17</t>
  </si>
  <si>
    <t>18-Jun-17</t>
  </si>
  <si>
    <t>25-Jun-17</t>
  </si>
  <si>
    <t>02-Jul-17</t>
  </si>
  <si>
    <t>09-Jul-17</t>
  </si>
  <si>
    <t>16-Jul-17</t>
  </si>
  <si>
    <t>23-Jul-17</t>
  </si>
  <si>
    <t>30-Jul-17</t>
  </si>
  <si>
    <t>06-Aug-17</t>
  </si>
  <si>
    <t>13-Aug-17</t>
  </si>
  <si>
    <t>20-Aug-17</t>
  </si>
  <si>
    <t>27-Aug-17</t>
  </si>
  <si>
    <t>03-Sep-17</t>
  </si>
  <si>
    <t>10-Sep-17</t>
  </si>
  <si>
    <t>17-Sep-17</t>
  </si>
  <si>
    <t>24-Sep-17</t>
  </si>
  <si>
    <t>01-Oct-17</t>
  </si>
  <si>
    <t>08-Oct-17</t>
  </si>
  <si>
    <t>15-Oct-17</t>
  </si>
  <si>
    <t>22-Oct-17</t>
  </si>
  <si>
    <t>29-Oct-17</t>
  </si>
  <si>
    <t>05-Nov-17</t>
  </si>
  <si>
    <t>12-Nov-17</t>
  </si>
  <si>
    <t>19-Nov-17</t>
  </si>
  <si>
    <t>26-Nov-17</t>
  </si>
  <si>
    <t>03-Dec-17</t>
  </si>
  <si>
    <t>10-Dec-17</t>
  </si>
  <si>
    <t>17-Dec-17</t>
  </si>
  <si>
    <t>24-Dec-17</t>
  </si>
  <si>
    <t>31-Dec-17</t>
  </si>
  <si>
    <t>07-Jan-18</t>
  </si>
  <si>
    <t>14-Jan-18</t>
  </si>
  <si>
    <t>21-Jan-18</t>
  </si>
  <si>
    <t>28-Jan-18</t>
  </si>
  <si>
    <t>04-Feb-18</t>
  </si>
  <si>
    <t>11-Feb-18</t>
  </si>
  <si>
    <t>18-Feb-18</t>
  </si>
  <si>
    <t>25-Feb-18</t>
  </si>
  <si>
    <t>04-Mar-18</t>
  </si>
  <si>
    <t>11-Mar-18</t>
  </si>
  <si>
    <t>18-Mar-18</t>
  </si>
  <si>
    <t>25-Mar-18</t>
  </si>
  <si>
    <t>01-Apr-18</t>
  </si>
  <si>
    <t>08-Apr-18</t>
  </si>
  <si>
    <t>15-Apr-18</t>
  </si>
  <si>
    <t>22-Apr-18</t>
  </si>
  <si>
    <t>29-Apr-18</t>
  </si>
  <si>
    <t>06-May-18</t>
  </si>
  <si>
    <t>13-May-18</t>
  </si>
  <si>
    <t>20-May-18</t>
  </si>
  <si>
    <t>27-May-18</t>
  </si>
  <si>
    <t>03-Jun-18</t>
  </si>
  <si>
    <t>10-Jun-18</t>
  </si>
  <si>
    <t>17-Jun-18</t>
  </si>
  <si>
    <t>24-Jun-18</t>
  </si>
  <si>
    <t>01-Jul-18</t>
  </si>
  <si>
    <t>08-Jul-18</t>
  </si>
  <si>
    <t>15-Jul-18</t>
  </si>
  <si>
    <t>22-Jul-18</t>
  </si>
  <si>
    <t>29-Jul-18</t>
  </si>
  <si>
    <t>05-Aug-18</t>
  </si>
  <si>
    <t>12-Aug-18</t>
  </si>
  <si>
    <t>19-Aug-18</t>
  </si>
  <si>
    <t>26-Aug-18</t>
  </si>
  <si>
    <t>02-Sep-18</t>
  </si>
  <si>
    <t>09-Sep-18</t>
  </si>
  <si>
    <t>16-Sep-18</t>
  </si>
  <si>
    <t>23-Sep-18</t>
  </si>
  <si>
    <t>30-Sep-18</t>
  </si>
  <si>
    <t>07-Oct-18</t>
  </si>
  <si>
    <t>14-Oct-18</t>
  </si>
  <si>
    <t>21-Oct-18</t>
  </si>
  <si>
    <t>28-Oct-18</t>
  </si>
  <si>
    <t>04-Nov-18</t>
  </si>
  <si>
    <t>11-Nov-18</t>
  </si>
  <si>
    <t>18-Nov-18</t>
  </si>
  <si>
    <t>25-Nov-18</t>
  </si>
  <si>
    <t>02-Dec-18</t>
  </si>
  <si>
    <t>09-Dec-18</t>
  </si>
  <si>
    <t>16-Dec-18</t>
  </si>
  <si>
    <t>23-Dec-18</t>
  </si>
  <si>
    <t>30-Dec-18</t>
  </si>
  <si>
    <t>06-Jan-19</t>
  </si>
  <si>
    <t>13-Jan-19</t>
  </si>
  <si>
    <t>20-Jan-19</t>
  </si>
  <si>
    <t>27-Jan-19</t>
  </si>
  <si>
    <t>03-Feb-19</t>
  </si>
  <si>
    <t>10-Feb-19</t>
  </si>
  <si>
    <t>17-Feb-19</t>
  </si>
  <si>
    <t>24-Feb-19</t>
  </si>
  <si>
    <t>03-Mar-19</t>
  </si>
  <si>
    <t>10-Mar-19</t>
  </si>
  <si>
    <t>17-Mar-19</t>
  </si>
  <si>
    <t>24-Mar-19</t>
  </si>
  <si>
    <t>31-Mar-19</t>
  </si>
  <si>
    <t>07-Apr-19</t>
  </si>
  <si>
    <t>14-Apr-19</t>
  </si>
  <si>
    <t>21-Apr-19</t>
  </si>
  <si>
    <t>28-Apr-19</t>
  </si>
  <si>
    <t>05-May-19</t>
  </si>
  <si>
    <t>12-May-19</t>
  </si>
  <si>
    <t>19-May-19</t>
  </si>
  <si>
    <t>26-May-19</t>
  </si>
  <si>
    <t>02-Jun-19</t>
  </si>
  <si>
    <t>09-Jun-19</t>
  </si>
  <si>
    <t>16-Jun-19</t>
  </si>
  <si>
    <t>23-Jun-19</t>
  </si>
  <si>
    <t>30-Jun-19</t>
  </si>
  <si>
    <t>07-Jul-19</t>
  </si>
  <si>
    <t>14-Jul-19</t>
  </si>
  <si>
    <t>21-Jul-19</t>
  </si>
  <si>
    <t>28-Jul-19</t>
  </si>
  <si>
    <t>04-Aug-19</t>
  </si>
  <si>
    <t>11-Aug-19</t>
  </si>
  <si>
    <t>18-Aug-19</t>
  </si>
  <si>
    <t>25-Aug-19</t>
  </si>
  <si>
    <t>01-Sep-19</t>
  </si>
  <si>
    <t>08-Sep-19</t>
  </si>
  <si>
    <t>15-Sep-19</t>
  </si>
  <si>
    <t>22-Sep-19</t>
  </si>
  <si>
    <t>29-Sep-19</t>
  </si>
  <si>
    <t>06-Oct-19</t>
  </si>
  <si>
    <t>13-Oct-19</t>
  </si>
  <si>
    <t>20-Oct-19</t>
  </si>
  <si>
    <t>27-Oct-19</t>
  </si>
  <si>
    <t>03-Nov-19</t>
  </si>
  <si>
    <t>10-Nov-19</t>
  </si>
  <si>
    <t>17-Nov-19</t>
  </si>
  <si>
    <t>24-Nov-19</t>
  </si>
  <si>
    <t>01-Dec-19</t>
  </si>
  <si>
    <t>08-Dec-19</t>
  </si>
  <si>
    <t>15-Dec-19</t>
  </si>
  <si>
    <t>22-Dec-19</t>
  </si>
  <si>
    <t>29-Dec-19</t>
  </si>
  <si>
    <t>05-Jan-20</t>
  </si>
  <si>
    <t>12-Jan-20</t>
  </si>
  <si>
    <t>19-Jan-20</t>
  </si>
  <si>
    <t>26-Jan-20</t>
  </si>
  <si>
    <t>02-Feb-20</t>
  </si>
  <si>
    <t>09-Feb-20</t>
  </si>
  <si>
    <t>16-Feb-20</t>
  </si>
  <si>
    <t>23-Feb-20</t>
  </si>
  <si>
    <t>01-Mar-20</t>
  </si>
  <si>
    <t>08-Mar-20</t>
  </si>
  <si>
    <t>15-Mar-20</t>
  </si>
  <si>
    <t>22-Mar-20</t>
  </si>
  <si>
    <t>29-Mar-20</t>
  </si>
  <si>
    <t>05-Apr-20</t>
  </si>
  <si>
    <t>12-Apr-20</t>
  </si>
  <si>
    <t>19-Apr-20</t>
  </si>
  <si>
    <t>26-Apr-20</t>
  </si>
  <si>
    <t>03-May-20</t>
  </si>
  <si>
    <t>10-May-20</t>
  </si>
  <si>
    <t>17-May-20</t>
  </si>
  <si>
    <t>24-May-20</t>
  </si>
  <si>
    <t>31-May-20</t>
  </si>
  <si>
    <t>07-Jun-20</t>
  </si>
  <si>
    <t>14-Jun-20</t>
  </si>
  <si>
    <t>21-Jun-20</t>
  </si>
  <si>
    <t>28-Jun-20</t>
  </si>
  <si>
    <t>05-Jul-20</t>
  </si>
  <si>
    <t>12-Jul-20</t>
  </si>
  <si>
    <t>19-Jul-20</t>
  </si>
  <si>
    <t>26-Jul-20</t>
  </si>
  <si>
    <t>02-Aug-20</t>
  </si>
  <si>
    <t>09-Aug-20</t>
  </si>
  <si>
    <t>16-Aug-20</t>
  </si>
  <si>
    <t>23-Aug-20</t>
  </si>
  <si>
    <t>30-Aug-20</t>
  </si>
  <si>
    <t>06-Sep-20</t>
  </si>
  <si>
    <t>13-Sep-20</t>
  </si>
  <si>
    <t>20-Sep-20</t>
  </si>
  <si>
    <t>27-Sep-20</t>
  </si>
  <si>
    <t>04-Oct-20</t>
  </si>
  <si>
    <t>11-Oct-20</t>
  </si>
  <si>
    <t>18-Oct-20</t>
  </si>
  <si>
    <t>25-Oct-20</t>
  </si>
  <si>
    <t>01-Nov-20</t>
  </si>
  <si>
    <t>08-Nov-20</t>
  </si>
  <si>
    <t>15-Nov-20</t>
  </si>
  <si>
    <t>22-Nov-20</t>
  </si>
  <si>
    <t>29-Nov-20</t>
  </si>
  <si>
    <t>06-Dec-20</t>
  </si>
  <si>
    <t>13-Dec-20</t>
  </si>
  <si>
    <t>20-Dec-20</t>
  </si>
  <si>
    <t>27-Dec-20</t>
  </si>
  <si>
    <t>03-Jan-21</t>
  </si>
  <si>
    <t>10-Jan-21</t>
  </si>
  <si>
    <t>17-Jan-21</t>
  </si>
  <si>
    <t>24-Jan-21</t>
  </si>
  <si>
    <t>31-Jan-21</t>
  </si>
  <si>
    <t>07-Feb-21</t>
  </si>
  <si>
    <t>14-Feb-21</t>
  </si>
  <si>
    <t>21-Feb-21</t>
  </si>
  <si>
    <t>28-Feb-21</t>
  </si>
  <si>
    <t>07-Mar-21</t>
  </si>
  <si>
    <t>14-Mar-21</t>
  </si>
  <si>
    <t>21-Mar-21</t>
  </si>
  <si>
    <t>28-Mar-21</t>
  </si>
  <si>
    <t>04-Apr-21</t>
  </si>
  <si>
    <t>11-Apr-21</t>
  </si>
  <si>
    <t>18-Apr-21</t>
  </si>
  <si>
    <t>25-Apr-21</t>
  </si>
  <si>
    <t>02-May-21</t>
  </si>
  <si>
    <t>09-May-21</t>
  </si>
  <si>
    <t>16-May-21</t>
  </si>
  <si>
    <t>23-May-21</t>
  </si>
  <si>
    <t>30-May-21</t>
  </si>
  <si>
    <t>06-Jun-21</t>
  </si>
  <si>
    <t>13-Jun-21</t>
  </si>
  <si>
    <t>20-Jun-21</t>
  </si>
  <si>
    <t>27-Jun-21</t>
  </si>
  <si>
    <t>04-Jul-21</t>
  </si>
  <si>
    <t>11-Jul-21</t>
  </si>
  <si>
    <t>18-Jul-21</t>
  </si>
  <si>
    <t>25-Jul-21</t>
  </si>
  <si>
    <t>01-Aug-21</t>
  </si>
  <si>
    <t>08-Aug-21</t>
  </si>
  <si>
    <t>15-Aug-21</t>
  </si>
  <si>
    <t>22-Aug-21</t>
  </si>
  <si>
    <t>29-Aug-21</t>
  </si>
  <si>
    <t>05-Sep-21</t>
  </si>
  <si>
    <t>12-Sep-21</t>
  </si>
  <si>
    <t>19-Sep-21</t>
  </si>
  <si>
    <t>26-Sep-21</t>
  </si>
  <si>
    <t>03-Oct-21</t>
  </si>
  <si>
    <t>10-Oct-21</t>
  </si>
  <si>
    <t>17-Oct-21</t>
  </si>
  <si>
    <t>24-Oct-21</t>
  </si>
  <si>
    <t>31-Oct-21</t>
  </si>
  <si>
    <t>07-Nov-21</t>
  </si>
  <si>
    <t>14-Nov-21</t>
  </si>
  <si>
    <t>21-Nov-21</t>
  </si>
  <si>
    <t>28-Nov-21</t>
  </si>
  <si>
    <t>05-Dec-21</t>
  </si>
  <si>
    <t>12-Dec-21</t>
  </si>
  <si>
    <t>19-Dec-21</t>
  </si>
  <si>
    <t>26-Dec-21</t>
  </si>
  <si>
    <t>02-Jan-22</t>
  </si>
  <si>
    <t>09-Jan-22</t>
  </si>
  <si>
    <t>16-Jan-22</t>
  </si>
  <si>
    <t>23-Jan-22</t>
  </si>
  <si>
    <t>30-Jan-22</t>
  </si>
  <si>
    <t>06-Feb-22</t>
  </si>
  <si>
    <t>13-Feb-22</t>
  </si>
  <si>
    <t>20-Feb-22</t>
  </si>
  <si>
    <t>27-Feb-22</t>
  </si>
  <si>
    <t>06-Mar-22</t>
  </si>
  <si>
    <t>13-Mar-22</t>
  </si>
  <si>
    <t>20-Mar-22</t>
  </si>
  <si>
    <t>27-Mar-22</t>
  </si>
  <si>
    <t>03-Apr-22</t>
  </si>
  <si>
    <t>10-Apr-22</t>
  </si>
  <si>
    <t>17-Apr-22</t>
  </si>
  <si>
    <t>24-Apr-22</t>
  </si>
  <si>
    <t>01-May-22</t>
  </si>
  <si>
    <t>08-May-22</t>
  </si>
  <si>
    <t>15-May-22</t>
  </si>
  <si>
    <t>22-May-22</t>
  </si>
  <si>
    <t>29-May-22</t>
  </si>
  <si>
    <t>05-Jun-22</t>
  </si>
  <si>
    <t>12-Jun-22</t>
  </si>
  <si>
    <t>19-Jun-22</t>
  </si>
  <si>
    <t>26-Jun-22</t>
  </si>
  <si>
    <t>03-Jul-22</t>
  </si>
  <si>
    <t>10-Jul-22</t>
  </si>
  <si>
    <t>17-Jul-22</t>
  </si>
  <si>
    <t>24-Jul-22</t>
  </si>
  <si>
    <t>31-Jul-22</t>
  </si>
  <si>
    <t>07-Aug-22</t>
  </si>
  <si>
    <t>14-Aug-22</t>
  </si>
  <si>
    <t>21-Aug-22</t>
  </si>
  <si>
    <t>28-Aug-22</t>
  </si>
  <si>
    <t>04-Sep-22</t>
  </si>
  <si>
    <t>11-Sep-22</t>
  </si>
  <si>
    <t>18-Sep-22</t>
  </si>
  <si>
    <t>25-Sep-22</t>
  </si>
  <si>
    <t>02-Oct-22</t>
  </si>
  <si>
    <t>09-Oct-22</t>
  </si>
  <si>
    <t>16-Oct-22</t>
  </si>
  <si>
    <t>23-Oct-22</t>
  </si>
  <si>
    <t>30-Oct-22</t>
  </si>
  <si>
    <t>06-Nov-22</t>
  </si>
  <si>
    <t>13-Nov-22</t>
  </si>
  <si>
    <t>20-Nov-22</t>
  </si>
  <si>
    <t>27-Nov-22</t>
  </si>
  <si>
    <t>04-Dec-22</t>
  </si>
  <si>
    <t>11-Dec-22</t>
  </si>
  <si>
    <t>18-Dec-22</t>
  </si>
  <si>
    <t>25-Dec-22</t>
  </si>
  <si>
    <t>01-Jan-23</t>
  </si>
  <si>
    <t>08-Jan-23</t>
  </si>
  <si>
    <t>15-Jan-23</t>
  </si>
  <si>
    <t>22-Jan-23</t>
  </si>
  <si>
    <t>29-Jan-23</t>
  </si>
  <si>
    <t>05-Feb-23</t>
  </si>
  <si>
    <t>12-Feb-23</t>
  </si>
  <si>
    <t>19-Feb-23</t>
  </si>
  <si>
    <t>26-Feb-23</t>
  </si>
  <si>
    <t>05-Mar-23</t>
  </si>
  <si>
    <t>12-Mar-23</t>
  </si>
  <si>
    <t>19-Mar-23</t>
  </si>
  <si>
    <t>26-Mar-23</t>
  </si>
  <si>
    <t>02-Apr-23</t>
  </si>
  <si>
    <t>09-Apr-23</t>
  </si>
  <si>
    <t>16-Apr-23</t>
  </si>
  <si>
    <t>23-Apr-23</t>
  </si>
  <si>
    <t>30-Apr-23</t>
  </si>
  <si>
    <t>07-May-23</t>
  </si>
  <si>
    <t>14-May-23</t>
  </si>
  <si>
    <t>21-May-23</t>
  </si>
  <si>
    <t>28-May-23</t>
  </si>
  <si>
    <t>04-Jun-23</t>
  </si>
  <si>
    <t>11-Jun-23</t>
  </si>
  <si>
    <t>18-Jun-23</t>
  </si>
  <si>
    <t>25-Jun-23</t>
  </si>
  <si>
    <t>02-Jul-23</t>
  </si>
  <si>
    <t>09-Jul-23</t>
  </si>
  <si>
    <t>16-Jul-23</t>
  </si>
  <si>
    <t>23-Jul-23</t>
  </si>
  <si>
    <t>30-Jul-23</t>
  </si>
  <si>
    <t>06-Aug-23</t>
  </si>
  <si>
    <t>13-Aug-23</t>
  </si>
  <si>
    <t>20-Aug-23</t>
  </si>
  <si>
    <t>27-Aug-23</t>
  </si>
  <si>
    <t>03-Sep-23</t>
  </si>
  <si>
    <t>10-Sep-23</t>
  </si>
  <si>
    <t>17-Sep-23</t>
  </si>
  <si>
    <t>24-Sep-23</t>
  </si>
  <si>
    <t>01-Oct-23</t>
  </si>
  <si>
    <t>08-Oct-23</t>
  </si>
  <si>
    <t>15-Oct-23</t>
  </si>
  <si>
    <t>22-Oct-23</t>
  </si>
  <si>
    <t>29-Oct-23</t>
  </si>
  <si>
    <t>05-Nov-23</t>
  </si>
  <si>
    <t>12-Nov-23</t>
  </si>
  <si>
    <t>19-Nov-23</t>
  </si>
  <si>
    <t>26-Nov-23</t>
  </si>
  <si>
    <t>03-Dec-23</t>
  </si>
  <si>
    <t>10-Dec-23</t>
  </si>
  <si>
    <t>17-Dec-23</t>
  </si>
  <si>
    <t>24-Dec-23</t>
  </si>
  <si>
    <t>Cluster</t>
  </si>
  <si>
    <t>5</t>
  </si>
  <si>
    <t>4</t>
  </si>
  <si>
    <t>1</t>
  </si>
  <si>
    <t>3</t>
  </si>
  <si>
    <t>2</t>
  </si>
  <si>
    <t>6</t>
  </si>
  <si>
    <t>7</t>
  </si>
  <si>
    <t>KRO SJ Equity</t>
  </si>
  <si>
    <t>BLU SJ Equity</t>
  </si>
  <si>
    <t>PAN SJ Equity</t>
  </si>
  <si>
    <t>DRD SJ Equity</t>
  </si>
  <si>
    <t>PMR SJ Equity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</si>
  <si>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</si>
  <si>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</si>
  <si>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</si>
  <si>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</si>
  <si>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</si>
  <si>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</si>
  <si>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</si>
  <si>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</si>
  <si>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</si>
  <si>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</si>
  <si>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</si>
  <si>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</si>
  <si>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</si>
  <si>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</si>
  <si>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</si>
  <si>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</si>
  <si>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</si>
  <si>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</si>
  <si>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</si>
  <si>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</si>
  <si>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</si>
  <si>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</si>
  <si>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</si>
  <si>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</si>
  <si>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</si>
  <si>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</si>
  <si>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</si>
  <si>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</si>
  <si>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</si>
  <si>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</si>
  <si>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</si>
  <si>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</si>
  <si>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</si>
  <si>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</si>
  <si>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</si>
  <si>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</si>
  <si>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</si>
  <si>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</si>
  <si>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</si>
  <si>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</si>
  <si>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</si>
  <si>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</si>
  <si>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</si>
  <si>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</si>
  <si>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</si>
  <si>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</si>
  <si>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</si>
  <si>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</si>
  <si>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</si>
  <si>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</si>
  <si>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</si>
  <si>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</si>
  <si>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</si>
  <si>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</si>
  <si>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</si>
  <si>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</si>
  <si>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</si>
  <si>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</si>
  <si>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</si>
  <si>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</si>
  <si>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</si>
  <si>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</si>
  <si>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</si>
  <si>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</si>
  <si>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</si>
  <si>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</si>
  <si>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</si>
  <si>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</si>
  <si>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</si>
  <si>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</si>
  <si>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</si>
  <si>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</si>
  <si>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</si>
  <si>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</si>
  <si>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</si>
  <si>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</si>
  <si>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31-Dec-23</t>
  </si>
  <si>
    <t>07-Jan-24</t>
  </si>
  <si>
    <t>14-Jan-24</t>
  </si>
  <si>
    <t>21-Jan-24</t>
  </si>
  <si>
    <t>28-Jan-24</t>
  </si>
  <si>
    <t>04-Feb-24</t>
  </si>
  <si>
    <t>11-Feb-24</t>
  </si>
  <si>
    <t>18-Feb-24</t>
  </si>
  <si>
    <t>25-Feb-24</t>
  </si>
  <si>
    <t>03-Mar-24</t>
  </si>
  <si>
    <t>10-Mar-24</t>
  </si>
  <si>
    <t>17-Mar-24</t>
  </si>
  <si>
    <t>24-Mar-24</t>
  </si>
  <si>
    <t>31-Mar-24</t>
  </si>
  <si>
    <t>07-Apr-24</t>
  </si>
  <si>
    <t>14-Apr-24</t>
  </si>
  <si>
    <t>21-Apr-24</t>
  </si>
  <si>
    <t>28-Apr-24</t>
  </si>
  <si>
    <t>05-May-24</t>
  </si>
  <si>
    <t>12-May-24</t>
  </si>
  <si>
    <t>19-May-24</t>
  </si>
  <si>
    <t>26-May-24</t>
  </si>
  <si>
    <t>02-Jun-24</t>
  </si>
  <si>
    <t>09-Jun-24</t>
  </si>
  <si>
    <t>16-Jun-24</t>
  </si>
  <si>
    <t>23-Jun-24</t>
  </si>
  <si>
    <t>30-Jun-24</t>
  </si>
  <si>
    <t>07-Jul-24</t>
  </si>
  <si>
    <t>14-Jul-24</t>
  </si>
  <si>
    <t>21-Jul-24</t>
  </si>
  <si>
    <t>28-Jul-24</t>
  </si>
  <si>
    <t>04-Aug-24</t>
  </si>
  <si>
    <t>11-Aug-24</t>
  </si>
  <si>
    <t>18-Aug-24</t>
  </si>
  <si>
    <t>25-Aug-24</t>
  </si>
  <si>
    <t>01-Sep-24</t>
  </si>
  <si>
    <t>08-Sep-24</t>
  </si>
  <si>
    <t>15-Sep-24</t>
  </si>
  <si>
    <t>22-Sep-24</t>
  </si>
  <si>
    <t>29-Sep-24</t>
  </si>
  <si>
    <t>06-Oct-24</t>
  </si>
  <si>
    <t>13-Oct-24</t>
  </si>
  <si>
    <t>20-Oct-24</t>
  </si>
  <si>
    <t>27-Oct-24</t>
  </si>
  <si>
    <t>03-Nov-24</t>
  </si>
  <si>
    <t>10-Nov-24</t>
  </si>
  <si>
    <t>17-Nov-24</t>
  </si>
  <si>
    <t>24-Nov-24</t>
  </si>
  <si>
    <t>01-Dec-24</t>
  </si>
  <si>
    <t>08-Dec-24</t>
  </si>
  <si>
    <t>15-Dec-24</t>
  </si>
  <si>
    <t>22-Dec-24</t>
  </si>
  <si>
    <t>29-Dec-24</t>
  </si>
  <si>
    <t>05-Jan-25</t>
  </si>
  <si>
    <t>12-Jan-25</t>
  </si>
  <si>
    <t>19-Jan-25</t>
  </si>
  <si>
    <t>26-Jan-25</t>
  </si>
  <si>
    <t>02-Feb-25</t>
  </si>
  <si>
    <t>09-Feb-25</t>
  </si>
  <si>
    <t>16-Feb-25</t>
  </si>
  <si>
    <t>23-Feb-25</t>
  </si>
  <si>
    <t>02-Mar-25</t>
  </si>
  <si>
    <t>09-Mar-25</t>
  </si>
  <si>
    <t>16-Mar-25</t>
  </si>
  <si>
    <t>23-Mar-25</t>
  </si>
  <si>
    <t>30-Mar-25</t>
  </si>
  <si>
    <t>06-Apr-25</t>
  </si>
  <si>
    <t>13-Apr-25</t>
  </si>
  <si>
    <t>20-Apr-25</t>
  </si>
  <si>
    <t>27-Apr-25</t>
  </si>
  <si>
    <t>04-May-25</t>
  </si>
  <si>
    <t>11-May-25</t>
  </si>
  <si>
    <t>18-May-25</t>
  </si>
  <si>
    <t>25-May-25</t>
  </si>
  <si>
    <t>01-Jun-25</t>
  </si>
  <si>
    <t>1.1376576682648987</t>
  </si>
  <si>
    <t>-2.0953233750645412</t>
  </si>
  <si>
    <t>0.7098142461199161</t>
  </si>
  <si>
    <t>-1.6657755120325528</t>
  </si>
  <si>
    <t>1.0749323255191143</t>
  </si>
  <si>
    <t>0.09379212580025945</t>
  </si>
  <si>
    <t>0.7720349488386826</t>
  </si>
  <si>
    <t>-1.1588790242840767</t>
  </si>
  <si>
    <t>0.3440568528709694</t>
  </si>
  <si>
    <t>1.4707462099363409</t>
  </si>
  <si>
    <t>-0.896613991562758</t>
  </si>
  <si>
    <t>-0.3542447059323953</t>
  </si>
  <si>
    <t>-0.04533164754948235</t>
  </si>
  <si>
    <t>1.0600739126407381</t>
  </si>
  <si>
    <t>0.96903177248174</t>
  </si>
  <si>
    <t>-0.3984211927724086</t>
  </si>
  <si>
    <t>-0.852512349981484</t>
  </si>
  <si>
    <t>-1.5874669518468865</t>
  </si>
  <si>
    <t>1.3015276963328375</t>
  </si>
  <si>
    <t>-1.0600392060613304</t>
  </si>
  <si>
    <t>-2.035407262151595</t>
  </si>
  <si>
    <t>0.9813790766899898</t>
  </si>
  <si>
    <t>0.8311519022653594</t>
  </si>
  <si>
    <t>-0.1828250258478926</t>
  </si>
  <si>
    <t>-1.1414519434859678</t>
  </si>
  <si>
    <t>-2.375300931188553</t>
  </si>
  <si>
    <t>-0.2707569515578073</t>
  </si>
  <si>
    <t>-0.5882204703717987</t>
  </si>
  <si>
    <t>-0.36998044306583106</t>
  </si>
  <si>
    <t>2.818647415178485</t>
  </si>
  <si>
    <t>0.9668948869194122</t>
  </si>
  <si>
    <t>2.0572771495516586</t>
  </si>
  <si>
    <t>-0.19398081574090453</t>
  </si>
  <si>
    <t>0.30064681912583496</t>
  </si>
  <si>
    <t>0.34007789856019394</t>
  </si>
  <si>
    <t>-0.37637007007158146</t>
  </si>
  <si>
    <t>-0.33432264306091136</t>
  </si>
  <si>
    <t>1.128101485369746</t>
  </si>
  <si>
    <t>0.021441134459081242</t>
  </si>
  <si>
    <t>1.3444291623827058</t>
  </si>
  <si>
    <t>0.16750903801430483</t>
  </si>
  <si>
    <t>0.0035240136936368874</t>
  </si>
  <si>
    <t>-0.4899644152602104</t>
  </si>
  <si>
    <t>-0.02436461452069674</t>
  </si>
  <si>
    <t>1.064739899401513</t>
  </si>
  <si>
    <t>0.4681552252899426</t>
  </si>
  <si>
    <t>-0.3581353981828831</t>
  </si>
  <si>
    <t>0.14047116088790357</t>
  </si>
  <si>
    <t>-0.17227432996854178</t>
  </si>
  <si>
    <t>0.07396096337930848</t>
  </si>
  <si>
    <t>1.1316483163815567</t>
  </si>
  <si>
    <t>1.556737126770107</t>
  </si>
  <si>
    <t>0.8229037402903601</t>
  </si>
  <si>
    <t>0.3855345445944753</t>
  </si>
  <si>
    <t>0.028227729067646357</t>
  </si>
  <si>
    <t>0.6214894304150854</t>
  </si>
  <si>
    <t>1.6889577520648276</t>
  </si>
  <si>
    <t>2.6847281809904655</t>
  </si>
  <si>
    <t>2.48050041093041</t>
  </si>
  <si>
    <t>-0.569133138371529</t>
  </si>
  <si>
    <t>-1.4573138426979293</t>
  </si>
  <si>
    <t>0.4122240080382364</t>
  </si>
  <si>
    <t>2.130368821869441</t>
  </si>
  <si>
    <t>0.5689206797776998</t>
  </si>
  <si>
    <t>-1.0170500843754229</t>
  </si>
  <si>
    <t>2.0330966775865376</t>
  </si>
  <si>
    <t>-0.8572147083979479</t>
  </si>
  <si>
    <t>-0.059809399725000136</t>
  </si>
  <si>
    <t>-0.11825201537563955</t>
  </si>
  <si>
    <t>-0.6070463537833659</t>
  </si>
  <si>
    <t>-0.05404189910085204</t>
  </si>
  <si>
    <t>0.5262607656869455</t>
  </si>
  <si>
    <t>-1.422890382411031</t>
  </si>
  <si>
    <t>0.8123073985234346</t>
  </si>
  <si>
    <t>-0.4698586895477042</t>
  </si>
  <si>
    <t>0.16435089807151393</t>
  </si>
  <si>
    <t>0.8530897893752276</t>
  </si>
  <si>
    <t>0.7980642496778735</t>
  </si>
  <si>
    <t>-0.8579540130925423</t>
  </si>
  <si>
    <t>-0.824123165012225</t>
  </si>
  <si>
    <t>-0.15332568647176625</t>
  </si>
  <si>
    <t>0.5536741980225565</t>
  </si>
  <si>
    <t>0.46545146930707776</t>
  </si>
  <si>
    <t>1.8213715543794136</t>
  </si>
  <si>
    <t>-0.3182598625995113</t>
  </si>
  <si>
    <t>-0.20942050323114345</t>
  </si>
  <si>
    <t>0.4385768567047015</t>
  </si>
  <si>
    <t>1.8243255364307676</t>
  </si>
  <si>
    <t>1.1544062453387245</t>
  </si>
  <si>
    <t>-0.8480434720187825</t>
  </si>
  <si>
    <t>0.3435381013193204</t>
  </si>
  <si>
    <t>-0.5085799735565056</t>
  </si>
  <si>
    <t>1.1996427415910507</t>
  </si>
  <si>
    <t>-0.3797378958674168</t>
  </si>
  <si>
    <t>-0.3893438602859637</t>
  </si>
  <si>
    <t>-0.022956997375737514</t>
  </si>
  <si>
    <t>0.1686535922058399</t>
  </si>
  <si>
    <t>0.43779939655176875</t>
  </si>
  <si>
    <t>-1.037928706988268</t>
  </si>
  <si>
    <t>0.88317219654252</t>
  </si>
  <si>
    <t>0.20158196571045095</t>
  </si>
  <si>
    <t>1.4019294627344874</t>
  </si>
  <si>
    <t>-0.28838061348632843</t>
  </si>
  <si>
    <t>-0.3636713136688544</t>
  </si>
  <si>
    <t>0.33538707442179144</t>
  </si>
  <si>
    <t>0.5402351853894797</t>
  </si>
  <si>
    <t>0.825405752010724</t>
  </si>
  <si>
    <t>-1.0117550813955498</t>
  </si>
  <si>
    <t>2.502201790084663</t>
  </si>
  <si>
    <t>0.5038611511145034</t>
  </si>
  <si>
    <t>-0.7791255314808131</t>
  </si>
  <si>
    <t>-0.1911314724435053</t>
  </si>
  <si>
    <t>0.7615754135353939</t>
  </si>
  <si>
    <t>0.9980618778964144</t>
  </si>
  <si>
    <t>-0.273694432924571</t>
  </si>
  <si>
    <t>2.2625392286547785</t>
  </si>
  <si>
    <t>0.4959504741745341</t>
  </si>
  <si>
    <t>-0.9197320454637772</t>
  </si>
  <si>
    <t>1.4429176199846532</t>
  </si>
  <si>
    <t>1.1870309111540418</t>
  </si>
  <si>
    <t>-0.5614441567976857</t>
  </si>
  <si>
    <t>0.1742981268680336</t>
  </si>
  <si>
    <t>0.625177663877061</t>
  </si>
  <si>
    <t>0.5677004135990285</t>
  </si>
  <si>
    <t>-1.0992134960982434</t>
  </si>
  <si>
    <t>-1.3043521188815317</t>
  </si>
  <si>
    <t>0.7019803069755455</t>
  </si>
  <si>
    <t>-0.44971155630954895</t>
  </si>
  <si>
    <t>-0.878399442062151</t>
  </si>
  <si>
    <t>-1.8669207805560557</t>
  </si>
  <si>
    <t>0.6288712074500833</t>
  </si>
  <si>
    <t>-0.5300022588792856</t>
  </si>
  <si>
    <t>0.8562415702041205</t>
  </si>
  <si>
    <t>-0.09690695058665828</t>
  </si>
  <si>
    <t>0.5964468265674153</t>
  </si>
  <si>
    <t>-0.21640979259798468</t>
  </si>
  <si>
    <t>2.381796019466724</t>
  </si>
  <si>
    <t>-1.1207769931869112</t>
  </si>
  <si>
    <t>0.46260823372965254</t>
  </si>
  <si>
    <t>0.07053488408141513</t>
  </si>
  <si>
    <t>-1.0002896803182766</t>
  </si>
  <si>
    <t>0.9503518810526951</t>
  </si>
  <si>
    <t>0.5769902336445109</t>
  </si>
  <si>
    <t>-0.6927894312909093</t>
  </si>
  <si>
    <t>1.370416860634798</t>
  </si>
  <si>
    <t>-0.3062626223076082</t>
  </si>
  <si>
    <t>1.214681895358141</t>
  </si>
  <si>
    <t>-0.3235827411956962</t>
  </si>
  <si>
    <t>-1.263732250160118</t>
  </si>
  <si>
    <t>-1.1439529728433733</t>
  </si>
  <si>
    <t>-0.4550001670914294</t>
  </si>
  <si>
    <t>-1.687366778218169</t>
  </si>
  <si>
    <t>0.8851443475628604</t>
  </si>
  <si>
    <t>0.7508213381526349</t>
  </si>
  <si>
    <t>-0.011457814222447507</t>
  </si>
  <si>
    <t>-1.1918183967732388</t>
  </si>
  <si>
    <t>-0.1272724282009335</t>
  </si>
  <si>
    <t>0.6680452770953879</t>
  </si>
  <si>
    <t>-1.1744273479937712</t>
  </si>
  <si>
    <t>-0.7341192266472306</t>
  </si>
  <si>
    <t>-1.2039616941916187</t>
  </si>
  <si>
    <t>3.484311536699721</t>
  </si>
  <si>
    <t>0.4722669100601649</t>
  </si>
  <si>
    <t>1.0857404856721369</t>
  </si>
  <si>
    <t>0.10923653096180272</t>
  </si>
  <si>
    <t>-0.8644861183380848</t>
  </si>
  <si>
    <t>0.7417535173914817</t>
  </si>
  <si>
    <t>-0.08524759731927772</t>
  </si>
  <si>
    <t>0.3686017036533327</t>
  </si>
  <si>
    <t>-0.07585529598719366</t>
  </si>
  <si>
    <t>-1.3878275792767318</t>
  </si>
  <si>
    <t>-0.9435088545411286</t>
  </si>
  <si>
    <t>0.5095011781725559</t>
  </si>
  <si>
    <t>1.1154253647376187</t>
  </si>
  <si>
    <t>-0.5522400348366644</t>
  </si>
  <si>
    <t>0.9263296384219631</t>
  </si>
  <si>
    <t>-0.6936449875012438</t>
  </si>
  <si>
    <t>0.61839839042558</t>
  </si>
  <si>
    <t>-0.5476336818580729</t>
  </si>
  <si>
    <t>-1.0377545394655523</t>
  </si>
  <si>
    <t>-0.27395441684900046</t>
  </si>
  <si>
    <t>-1.5455664084329948</t>
  </si>
  <si>
    <t>-0.1087680155396973</t>
  </si>
  <si>
    <t>-2.2502086439674267</t>
  </si>
  <si>
    <t>0.9402741335190425</t>
  </si>
  <si>
    <t>-1.1425357355990506</t>
  </si>
  <si>
    <t>1.0357956455988377</t>
  </si>
  <si>
    <t>0.5781691301156398</t>
  </si>
  <si>
    <t>0.5068764658546133</t>
  </si>
  <si>
    <t>0.7023994355529879</t>
  </si>
  <si>
    <t>1.5938051661156303</t>
  </si>
  <si>
    <t>0.5604534911763736</t>
  </si>
  <si>
    <t>-0.6441221251981721</t>
  </si>
  <si>
    <t>-2.1923118581469394</t>
  </si>
  <si>
    <t>-0.1608174067835282</t>
  </si>
  <si>
    <t>0.841140632909281</t>
  </si>
  <si>
    <t>0.2896487855993192</t>
  </si>
  <si>
    <t>0.44479642520278995</t>
  </si>
  <si>
    <t>1.7665291019844942</t>
  </si>
  <si>
    <t>-0.09478286581129816</t>
  </si>
  <si>
    <t>-0.6158323092746694</t>
  </si>
  <si>
    <t>0.02839425646463804</t>
  </si>
  <si>
    <t>0.798133937893031</t>
  </si>
  <si>
    <t>-0.39318726610871946</t>
  </si>
  <si>
    <t>0.13665720299544967</t>
  </si>
  <si>
    <t>-0.18617723013528859</t>
  </si>
  <si>
    <t>1.095603253989631</t>
  </si>
  <si>
    <t>0.5538022413926688</t>
  </si>
  <si>
    <t>0.08604284148111223</t>
  </si>
  <si>
    <t>-0.14191466592998503</t>
  </si>
  <si>
    <t>-1.1446746036521722</t>
  </si>
  <si>
    <t>-0.6384946045665912</t>
  </si>
  <si>
    <t>0.19634051996056</t>
  </si>
  <si>
    <t>0.20839842086765875</t>
  </si>
  <si>
    <t>0.10172165288105191</t>
  </si>
  <si>
    <t>-0.8786113921113634</t>
  </si>
  <si>
    <t>-0.03384500386374425</t>
  </si>
  <si>
    <t>-1.3187945895837534</t>
  </si>
  <si>
    <t>0.97548851187192</t>
  </si>
  <si>
    <t>-0.4708594804090518</t>
  </si>
  <si>
    <t>0.41955919810975656</t>
  </si>
  <si>
    <t>0.7646900993151259</t>
  </si>
  <si>
    <t>1.1571035882387317</t>
  </si>
  <si>
    <t>-0.5489480357271874</t>
  </si>
  <si>
    <t>0.9551619586965162</t>
  </si>
  <si>
    <t>-0.7594064969851773</t>
  </si>
  <si>
    <t>-0.0010593808590241343</t>
  </si>
  <si>
    <t>-0.7073666450117693</t>
  </si>
  <si>
    <t>0.058142578403657434</t>
  </si>
  <si>
    <t>-0.8936470984702797</t>
  </si>
  <si>
    <t>1.0092792539748143</t>
  </si>
  <si>
    <t>-0.08412265674291333</t>
  </si>
  <si>
    <t>0.24558368625276206</t>
  </si>
  <si>
    <t>0.5390852225598338</t>
  </si>
  <si>
    <t>0.7763699663781319</t>
  </si>
  <si>
    <t>0.2777201851359339</t>
  </si>
  <si>
    <t>-1.5614499522640386</t>
  </si>
  <si>
    <t>1.7926269577382026</t>
  </si>
  <si>
    <t>1.1262282838829143</t>
  </si>
  <si>
    <t>-1.2994802919015418</t>
  </si>
  <si>
    <t>0.3241604675940137</t>
  </si>
  <si>
    <t>-0.7024800219195741</t>
  </si>
  <si>
    <t>-0.5559491853056286</t>
  </si>
  <si>
    <t>0.4607289378619571</t>
  </si>
  <si>
    <t>0.8862569215765976</t>
  </si>
  <si>
    <t>0.17568102514844672</t>
  </si>
  <si>
    <t>-0.13619747733648566</t>
  </si>
  <si>
    <t>-0.13374866387998896</t>
  </si>
  <si>
    <t>-0.8498226635777173</t>
  </si>
  <si>
    <t>0.8802431436361097</t>
  </si>
  <si>
    <t>1.0436317135249462</t>
  </si>
  <si>
    <t>1.1582570737663354</t>
  </si>
  <si>
    <t>0.23323871338180294</t>
  </si>
  <si>
    <t>-1.262139545391294</t>
  </si>
  <si>
    <t>1.4907281247431827</t>
  </si>
  <si>
    <t>1.6777019579640862</t>
  </si>
  <si>
    <t>-0.10241107520087843</t>
  </si>
  <si>
    <t>0.34022249270702387</t>
  </si>
  <si>
    <t>-0.6991207421120271</t>
  </si>
  <si>
    <t>0.0897988758677111</t>
  </si>
  <si>
    <t>0.2581774076796268</t>
  </si>
  <si>
    <t>0.5743756101674546</t>
  </si>
  <si>
    <t>0.7593796276008722</t>
  </si>
  <si>
    <t>0.2052429278029768</t>
  </si>
  <si>
    <t>-0.5083199173782345</t>
  </si>
  <si>
    <t>0.00136193631503827</t>
  </si>
  <si>
    <t>0.12559146423131243</t>
  </si>
  <si>
    <t>0.24151799183874276</t>
  </si>
  <si>
    <t>0.22136904501387125</t>
  </si>
  <si>
    <t>0.05025887667325953</t>
  </si>
  <si>
    <t>0.22879509566258538</t>
  </si>
  <si>
    <t>-0.48645610398511496</t>
  </si>
  <si>
    <t>0.30481296943483377</t>
  </si>
  <si>
    <t>-0.09972633661151563</t>
  </si>
  <si>
    <t>0.3646054357665956</t>
  </si>
  <si>
    <t>0.8280022020605804</t>
  </si>
  <si>
    <t>-0.3360691580626552</t>
  </si>
  <si>
    <t>0.30361903113513034</t>
  </si>
  <si>
    <t>0.7894272846551588</t>
  </si>
  <si>
    <t>-0.24202391157317596</t>
  </si>
  <si>
    <t>-0.6502068168341578</t>
  </si>
  <si>
    <t>1.3908887883951424</t>
  </si>
  <si>
    <t>-0.4513458990540116</t>
  </si>
  <si>
    <t>0.12165701445269841</t>
  </si>
  <si>
    <t>-0.3578218021542777</t>
  </si>
  <si>
    <t>-0.20965584808251728</t>
  </si>
  <si>
    <t>-0.07148319533092952</t>
  </si>
  <si>
    <t>-0.7921429516260583</t>
  </si>
  <si>
    <t>-0.39186349390137015</t>
  </si>
  <si>
    <t>-1.312414945817867</t>
  </si>
  <si>
    <t>-0.643386505641843</t>
  </si>
  <si>
    <t>-0.3625209379125974</t>
  </si>
  <si>
    <t>-0.3974841153824984</t>
  </si>
  <si>
    <t>-0.2855788105969303</t>
  </si>
  <si>
    <t>0.5557077141077172</t>
  </si>
  <si>
    <t>-0.4746437003215639</t>
  </si>
  <si>
    <t>0.9204934228685544</t>
  </si>
  <si>
    <t>-1.3956603372207772</t>
  </si>
  <si>
    <t>-0.15663550005054874</t>
  </si>
  <si>
    <t>-0.5196043300084466</t>
  </si>
  <si>
    <t>1.252240382385543</t>
  </si>
  <si>
    <t>-0.33168323366587416</t>
  </si>
  <si>
    <t>0.3400977676418236</t>
  </si>
  <si>
    <t>-1.0420380769291817</t>
  </si>
  <si>
    <t>0.26159739170577795</t>
  </si>
  <si>
    <t>-0.5042219578253557</t>
  </si>
  <si>
    <t>-1.1719928024434205</t>
  </si>
  <si>
    <t>-0.2441122639825075</t>
  </si>
  <si>
    <t>1.428168170677965</t>
  </si>
  <si>
    <t>-0.9641936986391146</t>
  </si>
  <si>
    <t>-0.3244789862746397</t>
  </si>
  <si>
    <t>0.4482321357271232</t>
  </si>
  <si>
    <t>0.40984847726087936</t>
  </si>
  <si>
    <t>0.8318032750574208</t>
  </si>
  <si>
    <t>-0.1401997531473242</t>
  </si>
  <si>
    <t>1.2240204378528727</t>
  </si>
  <si>
    <t>-0.9806882404341408</t>
  </si>
  <si>
    <t>-1.1368334345573747</t>
  </si>
  <si>
    <t>-0.498344961077006</t>
  </si>
  <si>
    <t>-0.25802781051083445</t>
  </si>
  <si>
    <t>0.4050228510101015</t>
  </si>
  <si>
    <t>0.016664594324218285</t>
  </si>
  <si>
    <t>-1.231629990843756</t>
  </si>
  <si>
    <t>0.3380426333744896</t>
  </si>
  <si>
    <t>-0.588471931380363</t>
  </si>
  <si>
    <t>0.30536054500865817</t>
  </si>
  <si>
    <t>-0.1390118861626473</t>
  </si>
  <si>
    <t>-1.73438943921483</t>
  </si>
  <si>
    <t>-0.7108882949557611</t>
  </si>
  <si>
    <t>0.1537374612227697</t>
  </si>
  <si>
    <t>-1.4000971795988444</t>
  </si>
  <si>
    <t>0.2754290973502135</t>
  </si>
  <si>
    <t>0.10266033748005217</t>
  </si>
  <si>
    <t>0.7079681626755718</t>
  </si>
  <si>
    <t>0.6690339694463765</t>
  </si>
  <si>
    <t>0.24883873736263484</t>
  </si>
  <si>
    <t>-0.8927215746911548</t>
  </si>
  <si>
    <t>-1.11135666388543</t>
  </si>
  <si>
    <t>2.747957355572824</t>
  </si>
  <si>
    <t>0.037067431300262084</t>
  </si>
  <si>
    <t>-0.7686593112524265</t>
  </si>
  <si>
    <t>0.22879087041911605</t>
  </si>
  <si>
    <t>-1.7629235673319885</t>
  </si>
  <si>
    <t>0.33676393300489654</t>
  </si>
  <si>
    <t>0.8969054370416969</t>
  </si>
  <si>
    <t>0.38827825034480384</t>
  </si>
  <si>
    <t>-0.050383339795836195</t>
  </si>
  <si>
    <t>0.8126051749662786</t>
  </si>
  <si>
    <t>-0.7563162444601272</t>
  </si>
  <si>
    <t>-0.10415031286269903</t>
  </si>
  <si>
    <t>0.5192938000927512</t>
  </si>
  <si>
    <t>0.33306736195982556</t>
  </si>
  <si>
    <t>-0.21725051992178987</t>
  </si>
  <si>
    <t>-0.16643406091372914</t>
  </si>
  <si>
    <t>-1.3602516188814846</t>
  </si>
  <si>
    <t>0.1834615946775321</t>
  </si>
  <si>
    <t>-0.8963549630520801</t>
  </si>
  <si>
    <t>0.2763737122572157</t>
  </si>
  <si>
    <t>-0.6762842408356912</t>
  </si>
  <si>
    <t>-0.4325401901760482</t>
  </si>
  <si>
    <t>0.31949088347762333</t>
  </si>
  <si>
    <t>-0.6800508976862848</t>
  </si>
  <si>
    <t>-1.1227840939556306</t>
  </si>
  <si>
    <t>-0.4796956947667959</t>
  </si>
  <si>
    <t>0.7295120256761822</t>
  </si>
  <si>
    <t>0.11110053238166852</t>
  </si>
  <si>
    <t>0.031392272770289005</t>
  </si>
  <si>
    <t>-0.25410679518136</t>
  </si>
  <si>
    <t>-0.0731535329130366</t>
  </si>
  <si>
    <t>-1.3671878487042817</t>
  </si>
  <si>
    <t>-1.439919339486294</t>
  </si>
  <si>
    <t>0.22858898071304118</t>
  </si>
  <si>
    <t>0.7558881703900076</t>
  </si>
  <si>
    <t>0.40388246389068205</t>
  </si>
  <si>
    <t>0.11279658061153636</t>
  </si>
  <si>
    <t>-0.8944972734084963</t>
  </si>
  <si>
    <t>0.7828885270231317</t>
  </si>
  <si>
    <t>-2.268471992097386</t>
  </si>
  <si>
    <t>-0.10688612950564463</t>
  </si>
  <si>
    <t>-1.0514930666999998</t>
  </si>
  <si>
    <t>-0.650695845670888</t>
  </si>
  <si>
    <t>0.13730372150252926</t>
  </si>
  <si>
    <t>0.7949246269947108</t>
  </si>
  <si>
    <t>0.487351561691746</t>
  </si>
  <si>
    <t>0.17817568321868874</t>
  </si>
  <si>
    <t>0.04363226539094292</t>
  </si>
  <si>
    <t>1.0904560995886585</t>
  </si>
  <si>
    <t>0.6505525346228361</t>
  </si>
  <si>
    <t>-0.7047861150531396</t>
  </si>
  <si>
    <t>-0.03787244431834047</t>
  </si>
  <si>
    <t>1.0862946346848272</t>
  </si>
  <si>
    <t>-0.41463463956764307</t>
  </si>
  <si>
    <t>-0.36839784704106154</t>
  </si>
  <si>
    <t>1.0968115349815568</t>
  </si>
  <si>
    <t>0.04763269255925172</t>
  </si>
  <si>
    <t>-0.38416176674446073</t>
  </si>
  <si>
    <t>-0.0722452068900732</t>
  </si>
  <si>
    <t>0.047887447740649465</t>
  </si>
  <si>
    <t>-0.8006472612936899</t>
  </si>
  <si>
    <t>0.2609699611557284</t>
  </si>
  <si>
    <t>-0.2918016470514661</t>
  </si>
  <si>
    <t>0.39641048661227346</t>
  </si>
  <si>
    <t>0.816582333918762</t>
  </si>
  <si>
    <t>-0.3381372220958937</t>
  </si>
  <si>
    <t>-0.13953096624332229</t>
  </si>
  <si>
    <t>-0.33950831168634826</t>
  </si>
  <si>
    <t>-0.37984844292886305</t>
  </si>
  <si>
    <t>-0.25653065734666125</t>
  </si>
  <si>
    <t>1.0494345327957473</t>
  </si>
  <si>
    <t>-1.1889080595959671</t>
  </si>
  <si>
    <t>-0.8840287925307799</t>
  </si>
  <si>
    <t>-0.417746742523865</t>
  </si>
  <si>
    <t>-0.5307902886499763</t>
  </si>
  <si>
    <t>0.8957274862893724</t>
  </si>
  <si>
    <t>-0.4243190519104655</t>
  </si>
  <si>
    <t>0.6915205707052142</t>
  </si>
  <si>
    <t>-0.6416896158361838</t>
  </si>
  <si>
    <t>-1.0485267442693489</t>
  </si>
  <si>
    <t>-0.4769971671674458</t>
  </si>
  <si>
    <t>-1.216161332819595</t>
  </si>
  <si>
    <t>0.5602795002717607</t>
  </si>
  <si>
    <t>-0.8125209955775256</t>
  </si>
  <si>
    <t>1.7250768566607035</t>
  </si>
  <si>
    <t>-0.7272671910728322</t>
  </si>
  <si>
    <t>0.4967388944566782</t>
  </si>
  <si>
    <t>-0.15749203203389686</t>
  </si>
  <si>
    <t>-0.4348566877780118</t>
  </si>
  <si>
    <t>-0.6455139411513227</t>
  </si>
  <si>
    <t>0.638802024254513</t>
  </si>
  <si>
    <t>-0.33071538317260196</t>
  </si>
  <si>
    <t>0.6964666998989193</t>
  </si>
  <si>
    <t>0.7806638852297756</t>
  </si>
  <si>
    <t>1.6526440105062978</t>
  </si>
  <si>
    <t>-0.5917371009068131</t>
  </si>
  <si>
    <t>1.1692604789972931</t>
  </si>
  <si>
    <t>0.6054675905652035</t>
  </si>
  <si>
    <t>-0.2971008771546763</t>
  </si>
  <si>
    <t>-0.7886592758601344</t>
  </si>
  <si>
    <t>0.32838445112326675</t>
  </si>
  <si>
    <t>-0.4998171569731456</t>
  </si>
  <si>
    <t>-0.2447403581750047</t>
  </si>
  <si>
    <t>0.6815105423215714</t>
  </si>
  <si>
    <t>-2.045621566191927</t>
  </si>
  <si>
    <t>-0.4455117243367598</t>
  </si>
  <si>
    <t>0.04221625985150714</t>
  </si>
  <si>
    <t>-0.9438106915854405</t>
  </si>
  <si>
    <t>-1.1017373697107864</t>
  </si>
  <si>
    <t>-0.6150573801061736</t>
  </si>
  <si>
    <t>0.5660054339870829</t>
  </si>
  <si>
    <t>0.9587179099488086</t>
  </si>
  <si>
    <t>-0.7456913613310786</t>
  </si>
  <si>
    <t>-0.26354017133037766</t>
  </si>
  <si>
    <t>1.3278738888669415</t>
  </si>
  <si>
    <t>-0.5945358657732361</t>
  </si>
  <si>
    <t>0.20905544568442544</t>
  </si>
  <si>
    <t>-0.2598471978508808</t>
  </si>
  <si>
    <t>0.10333122650853338</t>
  </si>
  <si>
    <t>0.7727629073162684</t>
  </si>
  <si>
    <t>-0.13441987007370157</t>
  </si>
  <si>
    <t>-0.755569731564131</t>
  </si>
  <si>
    <t>-0.18749109140537412</t>
  </si>
  <si>
    <t>-0.03989982965283152</t>
  </si>
  <si>
    <t>-0.440041818216621</t>
  </si>
  <si>
    <t>1.3956368545096745</t>
  </si>
  <si>
    <t>0.14533701960100723</t>
  </si>
  <si>
    <t>0.08785382921801649</t>
  </si>
  <si>
    <t>-0.9433992776718755</t>
  </si>
  <si>
    <t>3.3644143907913264</t>
  </si>
  <si>
    <t>0.05541405692022823</t>
  </si>
  <si>
    <t>0.49238073409596306</t>
  </si>
  <si>
    <t>0.6837398540182379</t>
  </si>
  <si>
    <t>0.32092638078185615</t>
  </si>
  <si>
    <t>0.09312277955816244</t>
  </si>
  <si>
    <t>-0.3165462502398159</t>
  </si>
  <si>
    <t>0.38512629952793354</t>
  </si>
  <si>
    <t>-0.19224399156989294</t>
  </si>
  <si>
    <t>0.18453650389508722</t>
  </si>
  <si>
    <t>0.6116675920173205</t>
  </si>
  <si>
    <t>-0.930223263435388</t>
  </si>
  <si>
    <t>-0.611079105514652</t>
  </si>
  <si>
    <t>-0.08784052563438247</t>
  </si>
  <si>
    <t>0.08777724438920273</t>
  </si>
  <si>
    <t>0.6507201349569736</t>
  </si>
  <si>
    <t>-0.3827822473026388</t>
  </si>
  <si>
    <t>0.6832379608982939</t>
  </si>
  <si>
    <t>-0.8991207139362997</t>
  </si>
  <si>
    <t>-0.0668968668643551</t>
  </si>
  <si>
    <t>-2.434574721580826</t>
  </si>
  <si>
    <t>-1.0257135409892626</t>
  </si>
  <si>
    <t>-0.9000940973132499</t>
  </si>
  <si>
    <t>0.10411544718992181</t>
  </si>
  <si>
    <t>0.3462705354293744</t>
  </si>
  <si>
    <t>0.2362632011902999</t>
  </si>
  <si>
    <t>-0.7581689563599717</t>
  </si>
  <si>
    <t>0.43521533000165435</t>
  </si>
  <si>
    <t>-0.3262858994548295</t>
  </si>
  <si>
    <t>-1.1999231124836927</t>
  </si>
  <si>
    <t>-0.285690123460027</t>
  </si>
  <si>
    <t>0.04963247949887169</t>
  </si>
  <si>
    <t>-1.180842154943483</t>
  </si>
  <si>
    <t>-0.18234394351153263</t>
  </si>
  <si>
    <t>-0.3824463385514066</t>
  </si>
  <si>
    <t>0.42348269764215535</t>
  </si>
  <si>
    <t>0.127448083376555</t>
  </si>
  <si>
    <t>-0.29392823771230453</t>
  </si>
  <si>
    <t>-0.5353306897486104</t>
  </si>
  <si>
    <t>-0.05251280605426094</t>
  </si>
  <si>
    <t>-0.04049793438573517</t>
  </si>
  <si>
    <t>-0.6522816024999278</t>
  </si>
  <si>
    <t>0.8028031551551682</t>
  </si>
  <si>
    <t>-0.5149220416407757</t>
  </si>
  <si>
    <t>0.45368327117870294</t>
  </si>
  <si>
    <t>0.15018772299159153</t>
  </si>
  <si>
    <t>-0.5298915345192511</t>
  </si>
  <si>
    <t>0.3145897917802721</t>
  </si>
  <si>
    <t>-0.41738971572314165</t>
  </si>
  <si>
    <t>-0.005553219295826216</t>
  </si>
  <si>
    <t>-0.0983192138952521</t>
  </si>
  <si>
    <t>0.48807586156876953</t>
  </si>
  <si>
    <t>-0.4871489866954572</t>
  </si>
  <si>
    <t>-0.6360517655130818</t>
  </si>
  <si>
    <t>-1.0666533533512559</t>
  </si>
  <si>
    <t>0.8725192938539117</t>
  </si>
  <si>
    <t>0.9011130897845028</t>
  </si>
  <si>
    <t>-0.12279037508346657</t>
  </si>
  <si>
    <t>-0.13688058139480702</t>
  </si>
  <si>
    <t>-0.13531479263883675</t>
  </si>
  <si>
    <t>-0.6988256025124117</t>
  </si>
  <si>
    <t>2.1218754576493106</t>
  </si>
  <si>
    <t>-0.26734760578841854</t>
  </si>
  <si>
    <t>0.26246306007219333</t>
  </si>
  <si>
    <t>0.9224487978278589</t>
  </si>
  <si>
    <t>-1.0176051194499802</t>
  </si>
  <si>
    <t>-0.5211241466000219</t>
  </si>
  <si>
    <t>1.0409591752200142</t>
  </si>
  <si>
    <t>-0.7550908013183417</t>
  </si>
  <si>
    <t>-0.28159797288374583</t>
  </si>
  <si>
    <t>0.10634003011378063</t>
  </si>
  <si>
    <t>-1.112038582409821</t>
  </si>
  <si>
    <t>-0.996296561907216</t>
  </si>
  <si>
    <t>-0.42337626977457776</t>
  </si>
  <si>
    <t>-0.4920108962153439</t>
  </si>
  <si>
    <t>0.29719949755363007</t>
  </si>
  <si>
    <t>1.832862877008502</t>
  </si>
  <si>
    <t>1.13053566189776</t>
  </si>
  <si>
    <t>-0.22253000596554381</t>
  </si>
  <si>
    <t>-0.8816883965049939</t>
  </si>
  <si>
    <t>0.7639769370393116</t>
  </si>
  <si>
    <t>2.477130982280176</t>
  </si>
  <si>
    <t>-0.4349928186261438</t>
  </si>
  <si>
    <t>-0.016361622366676563</t>
  </si>
  <si>
    <t>-0.56215723280497</t>
  </si>
  <si>
    <t>0.4332564402429513</t>
  </si>
  <si>
    <t>0.9140181588143171</t>
  </si>
  <si>
    <t>0.5946193973443664</t>
  </si>
  <si>
    <t>-0.9071036433812301</t>
  </si>
  <si>
    <t>-0.05300945636366714</t>
  </si>
  <si>
    <t>-0.24993019702475822</t>
  </si>
  <si>
    <t>-0.4603965936327335</t>
  </si>
  <si>
    <t>1.9194739567891925</t>
  </si>
  <si>
    <t>-0.7114199069123186</t>
  </si>
  <si>
    <t>-1.2307459811154147</t>
  </si>
  <si>
    <t>0.14208301627620204</t>
  </si>
  <si>
    <t>0.3505920454494558</t>
  </si>
  <si>
    <t>0.8137615133907257</t>
  </si>
  <si>
    <t>0.729016914866833</t>
  </si>
  <si>
    <t>-0.09252564110996311</t>
  </si>
  <si>
    <t>-0.07239667949504947</t>
  </si>
  <si>
    <t>0.5114432149412079</t>
  </si>
  <si>
    <t>-0.6362892129526385</t>
  </si>
  <si>
    <t>-0.39674290347566676</t>
  </si>
  <si>
    <t>0.33407978167024677</t>
  </si>
  <si>
    <t>-0.7761989312116409</t>
  </si>
  <si>
    <t>0.27316625787030113</t>
  </si>
  <si>
    <t>0.5312512631062382</t>
  </si>
  <si>
    <t>1.10340929576708</t>
  </si>
  <si>
    <t>-0.9315805897355844</t>
  </si>
  <si>
    <t>0.6024399396276305</t>
  </si>
  <si>
    <t>1.1874185946474167</t>
  </si>
  <si>
    <t>-0.6195154926217841</t>
  </si>
  <si>
    <t>0.2336698702369298</t>
  </si>
  <si>
    <t>0.2219188808064046</t>
  </si>
  <si>
    <t>-1.2981284236688164</t>
  </si>
  <si>
    <t>-0.5196888343416871</t>
  </si>
  <si>
    <t>-0.6276275634516215</t>
  </si>
  <si>
    <t>-0.6052080843890665</t>
  </si>
  <si>
    <t>-0.8681526456174221</t>
  </si>
  <si>
    <t>-0.815326030260676</t>
  </si>
  <si>
    <t>0.2900073634382096</t>
  </si>
  <si>
    <t>0.40376777050100743</t>
  </si>
  <si>
    <t>-1.8720774414615389</t>
  </si>
  <si>
    <t>-0.22790663557465002</t>
  </si>
  <si>
    <t>0.7756533001923362</t>
  </si>
  <si>
    <t>-0.9807436215207074</t>
  </si>
  <si>
    <t>-0.35701700482255716</t>
  </si>
  <si>
    <t>-0.14375503311491716</t>
  </si>
  <si>
    <t>-0.7724424197585164</t>
  </si>
  <si>
    <t>0.17069037930445988</t>
  </si>
  <si>
    <t>-0.432161079216275</t>
  </si>
  <si>
    <t>0.09136288935325627</t>
  </si>
  <si>
    <t>0.4699559609121918</t>
  </si>
  <si>
    <t>-0.7142710357455418</t>
  </si>
  <si>
    <t>0.5425999888707469</t>
  </si>
  <si>
    <t>-0.8840368652369855</t>
  </si>
  <si>
    <t>-0.360821268468878</t>
  </si>
  <si>
    <t>1.703612443216279</t>
  </si>
  <si>
    <t>-1.25836421481231</t>
  </si>
  <si>
    <t>0.47235927744448547</t>
  </si>
  <si>
    <t>-0.2978592264502917</t>
  </si>
  <si>
    <t>0.28211798870349925</t>
  </si>
  <si>
    <t>1.6043200440818945</t>
  </si>
  <si>
    <t>-0.893474394048764</t>
  </si>
  <si>
    <t>0.23094821053955888</t>
  </si>
  <si>
    <t>-0.11387659203740579</t>
  </si>
  <si>
    <t>-0.7331087683865397</t>
  </si>
  <si>
    <t>0.598521736715809</t>
  </si>
  <si>
    <t>-1.6659457628194538</t>
  </si>
  <si>
    <t>0.2685044427382642</t>
  </si>
  <si>
    <t>0.0017845308357549985</t>
  </si>
  <si>
    <t>0.42618386646200146</t>
  </si>
  <si>
    <t>1.1757521147603334</t>
  </si>
  <si>
    <t>0.7297515626916865</t>
  </si>
  <si>
    <t>-0.8498944981886666</t>
  </si>
  <si>
    <t>0.06873218788512818</t>
  </si>
  <si>
    <t>0.10935152113629354</t>
  </si>
  <si>
    <t>-0.75568018841594</t>
  </si>
  <si>
    <t>-1.0473321922810677</t>
  </si>
  <si>
    <t>-0.4764222304338886</t>
  </si>
  <si>
    <t>0.1894869704211447</t>
  </si>
  <si>
    <t>-0.17403607646083016</t>
  </si>
  <si>
    <t>0.19676327172868074</t>
  </si>
  <si>
    <t>3.6387490422610935</t>
  </si>
  <si>
    <t>1.0820066136077244</t>
  </si>
  <si>
    <t>0.1423712644877964</t>
  </si>
  <si>
    <t>1.172509888250097</t>
  </si>
  <si>
    <t>-0.6011262256301992</t>
  </si>
  <si>
    <t>-0.1250757841978671</t>
  </si>
  <si>
    <t>-0.4157086491415509</t>
  </si>
  <si>
    <t>0.13395346545100092</t>
  </si>
  <si>
    <t>0.40597729050624864</t>
  </si>
  <si>
    <t>0.039492468934322345</t>
  </si>
  <si>
    <t>-0.23807542768496553</t>
  </si>
  <si>
    <t>0.4777522965735846</t>
  </si>
  <si>
    <t>-0.3513154681548255</t>
  </si>
  <si>
    <t>-0.6034347533613434</t>
  </si>
  <si>
    <t>1.233345174453706</t>
  </si>
  <si>
    <t>0.21442220220903874</t>
  </si>
  <si>
    <t>-0.14462079297556163</t>
  </si>
  <si>
    <t>-0.38670100449584893</t>
  </si>
  <si>
    <t>-0.2454395995770263</t>
  </si>
  <si>
    <t>0.09533093411481638</t>
  </si>
  <si>
    <t>2.644146317450028</t>
  </si>
  <si>
    <t>0.2891094672273301</t>
  </si>
  <si>
    <t>0.18354706774271368</t>
  </si>
  <si>
    <t>-0.2683635220680659</t>
  </si>
  <si>
    <t>1.3130355142314905</t>
  </si>
  <si>
    <t>0.3738005918184563</t>
  </si>
  <si>
    <t>-2.7782247477927187</t>
  </si>
  <si>
    <t>-0.36490927475512913</t>
  </si>
  <si>
    <t>-0.07760626647297152</t>
  </si>
  <si>
    <t>-0.07806769677668884</t>
  </si>
  <si>
    <t>-1.0732797529314828</t>
  </si>
  <si>
    <t>-0.10903610720251121</t>
  </si>
  <si>
    <t>-0.027237460839888848</t>
  </si>
  <si>
    <t>0.030833353137073062</t>
  </si>
  <si>
    <t>-0.37439373385103075</t>
  </si>
  <si>
    <t>0.0282297441280385</t>
  </si>
  <si>
    <t>0.08873636131190511</t>
  </si>
  <si>
    <t>-1.079125317589502</t>
  </si>
  <si>
    <t>0.6073393360406386</t>
  </si>
  <si>
    <t>0.15030442814878384</t>
  </si>
  <si>
    <t>1.2385990029839924</t>
  </si>
  <si>
    <t>0.8158583970986888</t>
  </si>
  <si>
    <t>0.6021270065233633</t>
  </si>
  <si>
    <t>-0.19505669988889915</t>
  </si>
  <si>
    <t>1.3538783950046096</t>
  </si>
  <si>
    <t>-0.172786584586187</t>
  </si>
  <si>
    <t>1.4653252856234338</t>
  </si>
  <si>
    <t>-0.294541129260219</t>
  </si>
  <si>
    <t>1.0132311504233051</t>
  </si>
  <si>
    <t>-1.0745708909819143</t>
  </si>
  <si>
    <t>0.6101452577602617</t>
  </si>
  <si>
    <t>-0.07161384285654461</t>
  </si>
  <si>
    <t>-1.0649168708014216</t>
  </si>
  <si>
    <t>-0.21867816908771645</t>
  </si>
  <si>
    <t>-0.5718169916747117</t>
  </si>
  <si>
    <t>0.022648059854895552</t>
  </si>
  <si>
    <t>-0.4386699325692974</t>
  </si>
  <si>
    <t>-0.373369300666654</t>
  </si>
  <si>
    <t>-0.09221799666164208</t>
  </si>
  <si>
    <t>0.005832545779330067</t>
  </si>
  <si>
    <t>0.7529160645552688</t>
  </si>
  <si>
    <t>1.1845498250124458</t>
  </si>
  <si>
    <t>-0.3605302920436305</t>
  </si>
  <si>
    <t>-2.126470649973446</t>
  </si>
  <si>
    <t>0.2647797934470342</t>
  </si>
  <si>
    <t>-0.7363152123485169</t>
  </si>
  <si>
    <t>0.6528781617807479</t>
  </si>
  <si>
    <t>0.12398896103067236</t>
  </si>
  <si>
    <t>-0.311574484693675</t>
  </si>
  <si>
    <t>0.3150607898965346</t>
  </si>
  <si>
    <t>-0.1538848625313968</t>
  </si>
  <si>
    <t>-0.11638634576672052</t>
  </si>
  <si>
    <t>-0.5820753426077843</t>
  </si>
  <si>
    <t>0.2503998308824888</t>
  </si>
  <si>
    <t>-0.4393050154985591</t>
  </si>
  <si>
    <t>-0.39989797459016807</t>
  </si>
  <si>
    <t>0.646187929966651</t>
  </si>
  <si>
    <t>-0.08351689552578659</t>
  </si>
  <si>
    <t>-1.7288792351539732</t>
  </si>
  <si>
    <t>-0.08672553286161531</t>
  </si>
  <si>
    <t>-0.5729353614880572</t>
  </si>
  <si>
    <t>0.2891768329903382</t>
  </si>
  <si>
    <t>-1.2888765807101727</t>
  </si>
  <si>
    <t>-0.2320352287663521</t>
  </si>
  <si>
    <t>-0.5681379453325077</t>
  </si>
  <si>
    <t>-0.3496609213630036</t>
  </si>
  <si>
    <t>0.7717144520357891</t>
  </si>
  <si>
    <t>0.4175992884732625</t>
  </si>
  <si>
    <t>-0.6931256912493834</t>
  </si>
  <si>
    <t>0.7045038744214683</t>
  </si>
  <si>
    <t>-0.8644323127170106</t>
  </si>
  <si>
    <t>-2.3193167787463986</t>
  </si>
  <si>
    <t>0.015291860683839401</t>
  </si>
  <si>
    <t>1.058686112733913</t>
  </si>
  <si>
    <t>-0.30893240539439654</t>
  </si>
  <si>
    <t>0.8894796867534109</t>
  </si>
  <si>
    <t>-0.2263923775116408</t>
  </si>
  <si>
    <t>-1.782905020950821</t>
  </si>
  <si>
    <t>-0.24573250913382882</t>
  </si>
  <si>
    <t>-1.1320506953711789</t>
  </si>
  <si>
    <t>0.46773231569156354</t>
  </si>
  <si>
    <t>1.738386023507273</t>
  </si>
  <si>
    <t>1.4939215397475964</t>
  </si>
  <si>
    <t>-0.5010632846879056</t>
  </si>
  <si>
    <t>-0.09337900103026422</t>
  </si>
  <si>
    <t>0.2978875587165553</t>
  </si>
  <si>
    <t>-0.8866298850605974</t>
  </si>
  <si>
    <t>0.5526908543862102</t>
  </si>
  <si>
    <t>-0.07453491454914256</t>
  </si>
  <si>
    <t>-0.33274933462017814</t>
  </si>
  <si>
    <t>0.20227046877375818</t>
  </si>
  <si>
    <t>-0.610961950878424</t>
  </si>
  <si>
    <t>-0.8063077953497032</t>
  </si>
  <si>
    <t>1.5646753158617965</t>
  </si>
  <si>
    <t>-0.39817456396902</t>
  </si>
  <si>
    <t>1.2863030032617473</t>
  </si>
  <si>
    <t>-0.20188648576066703</t>
  </si>
  <si>
    <t>-1.9715943168656096</t>
  </si>
  <si>
    <t>0.27497351029798295</t>
  </si>
  <si>
    <t>-0.1100154240459457</t>
  </si>
  <si>
    <t>-0.34862290802676776</t>
  </si>
  <si>
    <t>-0.3269045807001914</t>
  </si>
  <si>
    <t>-0.20380602936435366</t>
  </si>
  <si>
    <t>-0.6257948355470653</t>
  </si>
  <si>
    <t>0.13377470966116906</t>
  </si>
  <si>
    <t>-0.7903223517596971</t>
  </si>
  <si>
    <t>-0.26117185951997834</t>
  </si>
  <si>
    <t>0.10113360003976533</t>
  </si>
  <si>
    <t>-0.8588109987933337</t>
  </si>
  <si>
    <t>-0.11030448021935127</t>
  </si>
  <si>
    <t>0.8821445440083938</t>
  </si>
  <si>
    <t>-0.874807815173272</t>
  </si>
  <si>
    <t>-0.4519705186206218</t>
  </si>
  <si>
    <t>-0.10782449011510907</t>
  </si>
  <si>
    <t>-0.6435752393816783</t>
  </si>
  <si>
    <t>0.3636783789026756</t>
  </si>
  <si>
    <t>-0.023795047821941747</t>
  </si>
  <si>
    <t>1.5271426854947194</t>
  </si>
  <si>
    <t>-0.07062506118349984</t>
  </si>
  <si>
    <t>0.30255689094816574</t>
  </si>
  <si>
    <t>-0.675712089643887</t>
  </si>
  <si>
    <t>0.028833107049738887</t>
  </si>
  <si>
    <t>-0.25247473682938437</t>
  </si>
  <si>
    <t>0.11945019573253932</t>
  </si>
  <si>
    <t>2.3204847854744157</t>
  </si>
  <si>
    <t>-0.18037811288422517</t>
  </si>
  <si>
    <t>2.3979931195858097</t>
  </si>
  <si>
    <t>-1.1931548491582653</t>
  </si>
  <si>
    <t>-0.16437305779539146</t>
  </si>
  <si>
    <t>-1.0335652957289483</t>
  </si>
  <si>
    <t>-0.4750566993118556</t>
  </si>
  <si>
    <t>0.748404676315237</t>
  </si>
  <si>
    <t>-0.5103507200908062</t>
  </si>
  <si>
    <t>0.7223644035407119</t>
  </si>
  <si>
    <t>0.41239467727716</t>
  </si>
  <si>
    <t>0.38345177925864327</t>
  </si>
  <si>
    <t>0.25021706477470557</t>
  </si>
  <si>
    <t>1.9945366790666583</t>
  </si>
  <si>
    <t>-1.4714664409177487</t>
  </si>
  <si>
    <t>-0.028110325558266938</t>
  </si>
  <si>
    <t>0.8543617035668382</t>
  </si>
  <si>
    <t>-1.070688436317477</t>
  </si>
  <si>
    <t>0.198139844914454</t>
  </si>
  <si>
    <t>0.36518892711925527</t>
  </si>
  <si>
    <t>0.5140086314998903</t>
  </si>
  <si>
    <t>-0.10159250783188238</t>
  </si>
  <si>
    <t>0.2982549289256737</t>
  </si>
  <si>
    <t>0.19770725017680763</t>
  </si>
  <si>
    <t>-0.7982657428102639</t>
  </si>
  <si>
    <t>-0.7054435747783228</t>
  </si>
  <si>
    <t>-1.942890367824411</t>
  </si>
  <si>
    <t>-1.650472782744134</t>
  </si>
  <si>
    <t>0.746281451415843</t>
  </si>
  <si>
    <t>0.4528002315966146</t>
  </si>
  <si>
    <t>-2.310337131957755</t>
  </si>
  <si>
    <t>-0.549697368459503</t>
  </si>
  <si>
    <t>-0.19968973146688668</t>
  </si>
  <si>
    <t>-0.3774292798199951</t>
  </si>
  <si>
    <t>-1.8399097429955136</t>
  </si>
  <si>
    <t>-0.0168456004612166</t>
  </si>
  <si>
    <t>2.744441167565107</t>
  </si>
  <si>
    <t>0.25758745879306455</t>
  </si>
  <si>
    <t>-0.6780892955658683</t>
  </si>
  <si>
    <t>-0.7882788563455563</t>
  </si>
  <si>
    <t>-0.2526601273269762</t>
  </si>
  <si>
    <t>-0.42785604625774865</t>
  </si>
  <si>
    <t>-0.9561648628347978</t>
  </si>
  <si>
    <t>-0.9574894984924158</t>
  </si>
  <si>
    <t>1.0811918070268918</t>
  </si>
  <si>
    <t>1.1695280768376195</t>
  </si>
  <si>
    <t>0.09380051320647202</t>
  </si>
  <si>
    <t>0.14262785345067755</t>
  </si>
  <si>
    <t>-1.048976085686117</t>
  </si>
  <si>
    <t>0.4001943874569795</t>
  </si>
  <si>
    <t>-0.9070885498822157</t>
  </si>
  <si>
    <t>-0.23494609550671738</t>
  </si>
  <si>
    <t>0.31427307369582463</t>
  </si>
  <si>
    <t>0.702989355060103</t>
  </si>
  <si>
    <t>-1.694410914790361</t>
  </si>
  <si>
    <t>-0.7869506503967729</t>
  </si>
  <si>
    <t>-0.9789277250701173</t>
  </si>
  <si>
    <t>-1.2061612946404991</t>
  </si>
  <si>
    <t>0.8740743493268892</t>
  </si>
  <si>
    <t>0.8348113430555544</t>
  </si>
  <si>
    <t>0.07631003632551206</t>
  </si>
  <si>
    <t>1.3956236437727834</t>
  </si>
  <si>
    <t>-0.9039467947062879</t>
  </si>
  <si>
    <t>0.9362832620791339</t>
  </si>
  <si>
    <t>0.2336364899444498</t>
  </si>
  <si>
    <t>-0.2768630736031252</t>
  </si>
  <si>
    <t>0.8332770063460917</t>
  </si>
  <si>
    <t>-1.3515931125982277</t>
  </si>
  <si>
    <t>-0.5681193494924104</t>
  </si>
  <si>
    <t>0.3600289850810888</t>
  </si>
  <si>
    <t>-0.46454358123444106</t>
  </si>
  <si>
    <t>-0.6413124343598241</t>
  </si>
  <si>
    <t>0.31307461602418984</t>
  </si>
  <si>
    <t>0.8408605572929582</t>
  </si>
  <si>
    <t>-0.4543321468802612</t>
  </si>
  <si>
    <t>0.1553927061871051</t>
  </si>
  <si>
    <t>0.430419430817798</t>
  </si>
  <si>
    <t>-0.1989235311645183</t>
  </si>
  <si>
    <t>-0.47825786374752544</t>
  </si>
  <si>
    <t>-0.08886727101595845</t>
  </si>
  <si>
    <t>1.177962328635246</t>
  </si>
  <si>
    <t>0.9907334416740624</t>
  </si>
  <si>
    <t>-0.0354423922703694</t>
  </si>
  <si>
    <t>0.16823199797302343</t>
  </si>
  <si>
    <t>2.1036791902913765</t>
  </si>
  <si>
    <t>-0.2113688779213247</t>
  </si>
  <si>
    <t>2.2943298907576737</t>
  </si>
  <si>
    <t>-0.45001856849891797</t>
  </si>
  <si>
    <t>2.0740048548410837</t>
  </si>
  <si>
    <t>1.0032346891176047</t>
  </si>
  <si>
    <t>-0.757739835753796</t>
  </si>
  <si>
    <t>-1.0280227081539683</t>
  </si>
  <si>
    <t>-0.42177627130797996</t>
  </si>
  <si>
    <t>-1.4188502808483783</t>
  </si>
  <si>
    <t>-0.42506016616533027</t>
  </si>
  <si>
    <t>0.9093348834070976</t>
  </si>
  <si>
    <t>1.6218368210312266</t>
  </si>
  <si>
    <t>-1.0195343543915591</t>
  </si>
  <si>
    <t>-0.31477118511229263</t>
  </si>
  <si>
    <t>-0.7612157958028046</t>
  </si>
  <si>
    <t>0.23493366056800732</t>
  </si>
  <si>
    <t>-1.1960428085600219</t>
  </si>
  <si>
    <t>0.06554133045982728</t>
  </si>
  <si>
    <t>-0.36978545495341963</t>
  </si>
  <si>
    <t>0.910341402103284</t>
  </si>
  <si>
    <t>-1.4276273186797352</t>
  </si>
  <si>
    <t>-1.0946633220662385</t>
  </si>
  <si>
    <t>1.5536066159217747</t>
  </si>
  <si>
    <t>-0.6053239732938492</t>
  </si>
  <si>
    <t>0.5047284446799029</t>
  </si>
  <si>
    <t>1.8044256493641697</t>
  </si>
  <si>
    <t>-0.19212646040834974</t>
  </si>
  <si>
    <t>-1.8778226307890398</t>
  </si>
  <si>
    <t>0.31063938212180525</t>
  </si>
  <si>
    <t>0.6266297695837117</t>
  </si>
  <si>
    <t>-1.2326215452962448</t>
  </si>
  <si>
    <t>0.4904911963394686</t>
  </si>
  <si>
    <t>0.45121344730623997</t>
  </si>
  <si>
    <t>-0.07228078417369514</t>
  </si>
  <si>
    <t>1.5101615396022952</t>
  </si>
  <si>
    <t>-0.281670616997852</t>
  </si>
  <si>
    <t>-1.234649928552901</t>
  </si>
  <si>
    <t>-1.0560211287125512</t>
  </si>
  <si>
    <t>-0.027659396554570177</t>
  </si>
  <si>
    <t>1.2360497524687686</t>
  </si>
  <si>
    <t>-0.1341281544829815</t>
  </si>
  <si>
    <t>0.052919749041076755</t>
  </si>
  <si>
    <t>0.6639627548733266</t>
  </si>
  <si>
    <t>0.24704083810374583</t>
  </si>
  <si>
    <t>0.003561102597139038</t>
  </si>
  <si>
    <t>-2.104910362792505</t>
  </si>
  <si>
    <t>0.15816392500466536</t>
  </si>
  <si>
    <t>-1.6852999559910524</t>
  </si>
  <si>
    <t>1.5158636311559406</t>
  </si>
  <si>
    <t>-0.24530702003630084</t>
  </si>
  <si>
    <t>1.1052592974912405</t>
  </si>
  <si>
    <t>1.062603605775247</t>
  </si>
  <si>
    <t>-0.2005706106974664</t>
  </si>
  <si>
    <t>-1.2235794780097524</t>
  </si>
  <si>
    <t>0.10094865343151262</t>
  </si>
  <si>
    <t>0.8733814571739749</t>
  </si>
  <si>
    <t>0.35673922802029007</t>
  </si>
  <si>
    <t>0.3147798733445689</t>
  </si>
  <si>
    <t>-1.0318548317121412</t>
  </si>
  <si>
    <t>0.1484568908466599</t>
  </si>
  <si>
    <t>1.3241664719690271</t>
  </si>
  <si>
    <t>-0.8125855231732673</t>
  </si>
  <si>
    <t>0.09522653132171517</t>
  </si>
  <si>
    <t>-0.4088401537228855</t>
  </si>
  <si>
    <t>-1.7318806621920453</t>
  </si>
  <si>
    <t>1.9279546074207594</t>
  </si>
  <si>
    <t>0.6615148654621832</t>
  </si>
  <si>
    <t>0.08135889494338024</t>
  </si>
  <si>
    <t>-0.9733513678470416</t>
  </si>
  <si>
    <t>-0.6854908934319471</t>
  </si>
  <si>
    <t>-0.5029180561187887</t>
  </si>
  <si>
    <t>1.9210634948045395</t>
  </si>
  <si>
    <t>0.3332256181087467</t>
  </si>
  <si>
    <t>-1.1640560635046142</t>
  </si>
  <si>
    <t>-0.7378816841846106</t>
  </si>
  <si>
    <t>-0.5198430370107847</t>
  </si>
  <si>
    <t>-1.2265324978176084</t>
  </si>
  <si>
    <t>4.820885176985482</t>
  </si>
  <si>
    <t>-0.5870460840588353</t>
  </si>
  <si>
    <t>-0.649885278873419</t>
  </si>
  <si>
    <t>-0.5333147739273902</t>
  </si>
  <si>
    <t>0.7733487519763439</t>
  </si>
  <si>
    <t>-0.07287402672952095</t>
  </si>
  <si>
    <t>-0.703405299445643</t>
  </si>
  <si>
    <t>0.5725548854715007</t>
  </si>
  <si>
    <t>1.626777942920414</t>
  </si>
  <si>
    <t>0.3165330889298575</t>
  </si>
  <si>
    <t>-0.2280143462787455</t>
  </si>
  <si>
    <t>-0.4174584785096856</t>
  </si>
  <si>
    <t>-2.551311301996667</t>
  </si>
  <si>
    <t>-0.5569079039517794</t>
  </si>
  <si>
    <t>1.014931379651834</t>
  </si>
  <si>
    <t>-1.5620207256507401</t>
  </si>
  <si>
    <t>-1.6213838278678703</t>
  </si>
  <si>
    <t>-1.058067134786521</t>
  </si>
  <si>
    <t>0.8584827827156587</t>
  </si>
  <si>
    <t>-0.16616640919868056</t>
  </si>
  <si>
    <t>-0.7245600568313819</t>
  </si>
  <si>
    <t>0.6902932246654974</t>
  </si>
  <si>
    <t>0.9447048261118409</t>
  </si>
  <si>
    <t>-1.128144982474091</t>
  </si>
  <si>
    <t>-1.4500996254924208</t>
  </si>
  <si>
    <t>-1.7744903471805489</t>
  </si>
  <si>
    <t>-0.7472616996726957</t>
  </si>
  <si>
    <t>0.2599875493852173</t>
  </si>
  <si>
    <t>-0.5199829325559095</t>
  </si>
  <si>
    <t>0.5613433533023815</t>
  </si>
  <si>
    <t>0.8340599136883391</t>
  </si>
  <si>
    <t>-1.166376104551191</t>
  </si>
  <si>
    <t>0.6648382647934322</t>
  </si>
  <si>
    <t>-0.5377791160484449</t>
  </si>
  <si>
    <t>-0.2862447314076869</t>
  </si>
  <si>
    <t>-0.8622838627340251</t>
  </si>
  <si>
    <t>-0.1532177734963899</t>
  </si>
  <si>
    <t>0.21264711430769437</t>
  </si>
  <si>
    <t>-0.26698760806489485</t>
  </si>
  <si>
    <t>-0.833873926165616</t>
  </si>
  <si>
    <t>-0.6520988132913546</t>
  </si>
  <si>
    <t>-0.7651663825365418</t>
  </si>
  <si>
    <t>-0.4042416275387052</t>
  </si>
  <si>
    <t>-2.5786201257260246</t>
  </si>
  <si>
    <t>0.7268348564119107</t>
  </si>
  <si>
    <t>1.4115359459443235</t>
  </si>
  <si>
    <t>-0.27110800113417444</t>
  </si>
  <si>
    <t>-0.15083993031079448</t>
  </si>
  <si>
    <t>-0.765182424860818</t>
  </si>
  <si>
    <t>0.8613100852685036</t>
  </si>
  <si>
    <t>0.9114526870521582</t>
  </si>
  <si>
    <t>0.9452532654349304</t>
  </si>
  <si>
    <t>1.4438615123537046</t>
  </si>
  <si>
    <t>-0.8773352883008012</t>
  </si>
  <si>
    <t>-0.48137267575588283</t>
  </si>
  <si>
    <t>0.2728808109320015</t>
  </si>
  <si>
    <t>-0.06803398026964767</t>
  </si>
  <si>
    <t>-0.47541058950459353</t>
  </si>
  <si>
    <t>1.2874704252065206</t>
  </si>
  <si>
    <t>-1.2689602972907579</t>
  </si>
  <si>
    <t>-1.0799383862723924</t>
  </si>
  <si>
    <t>-1.6368249882685586</t>
  </si>
  <si>
    <t>-0.3515705844554805</t>
  </si>
  <si>
    <t>-1.0331628425046466</t>
  </si>
  <si>
    <t>0.2556600368851216</t>
  </si>
  <si>
    <t>0.18998370717985869</t>
  </si>
  <si>
    <t>0.848079925192161</t>
  </si>
  <si>
    <t>0.33426022165347546</t>
  </si>
  <si>
    <t>-0.5295147632265539</t>
  </si>
  <si>
    <t>0.36288224378181905</t>
  </si>
  <si>
    <t>-0.6345448386103835</t>
  </si>
  <si>
    <t>0.329142398473243</t>
  </si>
  <si>
    <t>-0.2911281848153144</t>
  </si>
  <si>
    <t>-1.3406526130518657</t>
  </si>
  <si>
    <t>0.05820269876053101</t>
  </si>
  <si>
    <t>-2.22894806763479</t>
  </si>
  <si>
    <t>2.724955687421637</t>
  </si>
  <si>
    <t>-2.7827683136923858</t>
  </si>
  <si>
    <t>0.12174439057437199</t>
  </si>
  <si>
    <t>-0.6950791178143596</t>
  </si>
  <si>
    <t>-0.33812910821438924</t>
  </si>
  <si>
    <t>0.4704835295954721</t>
  </si>
  <si>
    <t>1.6485553674328974</t>
  </si>
  <si>
    <t>-1.3673026380202946</t>
  </si>
  <si>
    <t>-0.8074484428474858</t>
  </si>
  <si>
    <t>-0.3683300893539661</t>
  </si>
  <si>
    <t>0.14358296940242854</t>
  </si>
  <si>
    <t>1.115442611251565</t>
  </si>
  <si>
    <t>0.22059821221099224</t>
  </si>
  <si>
    <t>0.8496373808292902</t>
  </si>
  <si>
    <t>-0.06107451978267396</t>
  </si>
  <si>
    <t>-0.6166244041517898</t>
  </si>
  <si>
    <t>-0.543432397881123</t>
  </si>
  <si>
    <t>-1.1085018289764859</t>
  </si>
  <si>
    <t>-2.1165504008590417</t>
  </si>
  <si>
    <t>0.6000811073513802</t>
  </si>
  <si>
    <t>-0.10218013335539594</t>
  </si>
  <si>
    <t>0.07204548300645874</t>
  </si>
  <si>
    <t>0.06464925110649003</t>
  </si>
  <si>
    <t>-1.1413224662225152</t>
  </si>
  <si>
    <t>-0.6030768106710973</t>
  </si>
  <si>
    <t>0.45825628585679096</t>
  </si>
  <si>
    <t>0.25886356443064024</t>
  </si>
  <si>
    <t>-0.23455852446810674</t>
  </si>
  <si>
    <t>1.4249080726353376</t>
  </si>
  <si>
    <t>0.22800367782687364</t>
  </si>
  <si>
    <t>2.0646020647391023</t>
  </si>
  <si>
    <t>0.05189226325266686</t>
  </si>
  <si>
    <t>1.0332187675267925</t>
  </si>
  <si>
    <t>0.17097244455178923</t>
  </si>
  <si>
    <t>0.05896830278388868</t>
  </si>
  <si>
    <t>0.8545150496287905</t>
  </si>
  <si>
    <t>0.37776203496143185</t>
  </si>
  <si>
    <t>-0.7087888975487253</t>
  </si>
  <si>
    <t>0.5694944731237166</t>
  </si>
  <si>
    <t>0.07712611096522352</t>
  </si>
  <si>
    <t>-1.0176030734165253</t>
  </si>
  <si>
    <t>-0.03024513186644956</t>
  </si>
  <si>
    <t>-0.06108224177060171</t>
  </si>
  <si>
    <t>0.006517236928250302</t>
  </si>
  <si>
    <t>-0.4554551158823719</t>
  </si>
  <si>
    <t>0.12028426520024345</t>
  </si>
  <si>
    <t>0.3274581757117679</t>
  </si>
  <si>
    <t>-0.3701482699068456</t>
  </si>
  <si>
    <t>-1.3465439682477354</t>
  </si>
  <si>
    <t>-0.29508851026052574</t>
  </si>
  <si>
    <t>0.7589681157638384</t>
  </si>
  <si>
    <t>0.6301451841878106</t>
  </si>
  <si>
    <t>-0.4659175915891936</t>
  </si>
  <si>
    <t>1.2265287459706333</t>
  </si>
  <si>
    <t>-1.1046972504919177</t>
  </si>
  <si>
    <t>0.15870354798660605</t>
  </si>
  <si>
    <t>-1.1016121266363368</t>
  </si>
  <si>
    <t>0.2637943508677487</t>
  </si>
  <si>
    <t>-1.2871487385750005</t>
  </si>
  <si>
    <t>1.088070701029115</t>
  </si>
  <si>
    <t>-1.2791875398367243</t>
  </si>
  <si>
    <t>-0.16366387302212093</t>
  </si>
  <si>
    <t>0.09750549160755778</t>
  </si>
  <si>
    <t>-0.5666479945598593</t>
  </si>
  <si>
    <t>0.35077045144668656</t>
  </si>
  <si>
    <t>1.321315608993541</t>
  </si>
  <si>
    <t>-0.9943476760925993</t>
  </si>
  <si>
    <t>0.5711619127156397</t>
  </si>
  <si>
    <t>-0.11138802655502035</t>
  </si>
  <si>
    <t>1.8591326626714575</t>
  </si>
  <si>
    <t>-0.40982121738949423</t>
  </si>
  <si>
    <t>-0.7599912486424342</t>
  </si>
  <si>
    <t>0.03006607327064047</t>
  </si>
  <si>
    <t>-1.263514084100942</t>
  </si>
  <si>
    <t>-0.5057073227541633</t>
  </si>
  <si>
    <t>-0.16515247735433625</t>
  </si>
  <si>
    <t>0.9951635733247699</t>
  </si>
  <si>
    <t>2.3114441642483325</t>
  </si>
  <si>
    <t>1.6427427604557292</t>
  </si>
  <si>
    <t>1.607254357524819</t>
  </si>
  <si>
    <t>1.7226529468641993</t>
  </si>
  <si>
    <t>2.4758750698052103</t>
  </si>
  <si>
    <t>0.6323305267174134</t>
  </si>
  <si>
    <t>-2.5531378813914034</t>
  </si>
  <si>
    <t>-0.2486871897553119</t>
  </si>
  <si>
    <t>0.35836858735179145</t>
  </si>
  <si>
    <t>-1.935267583876363</t>
  </si>
  <si>
    <t>-0.2885369113132844</t>
  </si>
  <si>
    <t>1.03911799072508</t>
  </si>
  <si>
    <t>1.0594602493973708</t>
  </si>
  <si>
    <t>0.35572267513671796</t>
  </si>
  <si>
    <t>-0.07074887009939113</t>
  </si>
  <si>
    <t>-1.1690237956257696</t>
  </si>
  <si>
    <t>-0.7216582660142543</t>
  </si>
  <si>
    <t>0.3254106345176238</t>
  </si>
  <si>
    <t>1.1882280807849321</t>
  </si>
  <si>
    <t>0.3651247515123978</t>
  </si>
  <si>
    <t>-0.4156450040605155</t>
  </si>
  <si>
    <t>-2.216492804126142</t>
  </si>
  <si>
    <t>-0.8324836069705622</t>
  </si>
  <si>
    <t>2.3081984126709205</t>
  </si>
  <si>
    <t>-1.5194669904074116</t>
  </si>
  <si>
    <t>1.5248671306753314</t>
  </si>
  <si>
    <t>-1.5098471749203983</t>
  </si>
  <si>
    <t>0.48561210489138623</t>
  </si>
  <si>
    <t>-0.17545983689948227</t>
  </si>
  <si>
    <t>0.4587571203394914</t>
  </si>
  <si>
    <t>0.9826624844357663</t>
  </si>
  <si>
    <t>0.6275086007193459</t>
  </si>
  <si>
    <t>0.06606168081163376</t>
  </si>
  <si>
    <t>0.5601215764025804</t>
  </si>
  <si>
    <t>-2.1013960270572216</t>
  </si>
  <si>
    <t>0.8079197084426448</t>
  </si>
  <si>
    <t>-0.5280146022008111</t>
  </si>
  <si>
    <t>0.0349751997720195</t>
  </si>
  <si>
    <t>0.6757240296302132</t>
  </si>
  <si>
    <t>0.014651947617854565</t>
  </si>
  <si>
    <t>-0.5418727346156532</t>
  </si>
  <si>
    <t>-0.32361885841702215</t>
  </si>
  <si>
    <t>0.2800034769251344</t>
  </si>
  <si>
    <t>0.34535801556147144</t>
  </si>
  <si>
    <t>3.3652304797316916</t>
  </si>
  <si>
    <t>-2.899917921128385</t>
  </si>
  <si>
    <t>0.31549687940171633</t>
  </si>
  <si>
    <t>-1.1199543680343795</t>
  </si>
  <si>
    <t>-0.4751945831984525</t>
  </si>
  <si>
    <t>-0.7454476601425898</t>
  </si>
  <si>
    <t>-0.46544062088958393</t>
  </si>
  <si>
    <t>0.03649724741973999</t>
  </si>
  <si>
    <t>-0.6303661897940953</t>
  </si>
  <si>
    <t>0.9432531760348035</t>
  </si>
  <si>
    <t>-0.24554906319015524</t>
  </si>
  <si>
    <t>-0.5237639778603862</t>
  </si>
  <si>
    <t>1.3990637063542237</t>
  </si>
  <si>
    <t>-1.018474680562357</t>
  </si>
  <si>
    <t>1.648061933598488</t>
  </si>
  <si>
    <t>0.5550539911767302</t>
  </si>
  <si>
    <t>-0.2746758554018266</t>
  </si>
  <si>
    <t>-0.7288908099961523</t>
  </si>
  <si>
    <t>-0.23965497732532276</t>
  </si>
  <si>
    <t>1.340269551153735</t>
  </si>
  <si>
    <t>-0.6185548769127258</t>
  </si>
  <si>
    <t>-0.3204163497189779</t>
  </si>
  <si>
    <t>-0.3523484282005602</t>
  </si>
  <si>
    <t>-0.34599023033912235</t>
  </si>
  <si>
    <t>0.4783832799128151</t>
  </si>
  <si>
    <t>0.3741911101384085</t>
  </si>
  <si>
    <t>-0.4816694424906561</t>
  </si>
  <si>
    <t>0.8993635438017674</t>
  </si>
  <si>
    <t>-1.258775401180439</t>
  </si>
  <si>
    <t>-1.6962320674640483</t>
  </si>
  <si>
    <t>-0.24054637793048408</t>
  </si>
  <si>
    <t>0.41720097283300395</t>
  </si>
  <si>
    <t>0.8711298017234501</t>
  </si>
  <si>
    <t>0.8341981733057564</t>
  </si>
  <si>
    <t>0.6651047185606447</t>
  </si>
  <si>
    <t>0.31249192184885993</t>
  </si>
  <si>
    <t>0.6344103941361134</t>
  </si>
  <si>
    <t>-0.7049086883395066</t>
  </si>
  <si>
    <t>-1.5550663095026278</t>
  </si>
  <si>
    <t>-0.33568509186314605</t>
  </si>
  <si>
    <t>-0.11638246576603567</t>
  </si>
  <si>
    <t>0.9746030854101327</t>
  </si>
  <si>
    <t>-0.6169609331869013</t>
  </si>
  <si>
    <t>0.2537703341750701</t>
  </si>
  <si>
    <t>0.1259771317554258</t>
  </si>
  <si>
    <t>0.13653964912241184</t>
  </si>
  <si>
    <t>0.5989315141884101</t>
  </si>
  <si>
    <t>-0.3903812160290718</t>
  </si>
  <si>
    <t>0.1340216667811986</t>
  </si>
  <si>
    <t>0.7594716796647983</t>
  </si>
  <si>
    <t>0.10383806386714488</t>
  </si>
  <si>
    <t>-1.1640383758361337</t>
  </si>
  <si>
    <t>0.6716038619155875</t>
  </si>
  <si>
    <t>0.4610966693880886</t>
  </si>
  <si>
    <t>-0.7319027121565757</t>
  </si>
  <si>
    <t>1.0380241061753153</t>
  </si>
  <si>
    <t>0.6921678113701165</t>
  </si>
  <si>
    <t>-1.2217738210552538</t>
  </si>
  <si>
    <t>-1.6303656637164419</t>
  </si>
  <si>
    <t>1.5742688218524832</t>
  </si>
  <si>
    <t>-0.13678315977846983</t>
  </si>
  <si>
    <t>0.9686739701173721</t>
  </si>
  <si>
    <t>-1.760093502887638</t>
  </si>
  <si>
    <t>0.18757337445709155</t>
  </si>
  <si>
    <t>-0.5015571897771026</t>
  </si>
  <si>
    <t>0.033767353754527295</t>
  </si>
  <si>
    <t>0.38525852059519594</t>
  </si>
  <si>
    <t>0.6065060344741867</t>
  </si>
  <si>
    <t>1.0078287772856347</t>
  </si>
  <si>
    <t>-0.0004328494309985978</t>
  </si>
  <si>
    <t>-0.0213044112212922</t>
  </si>
  <si>
    <t>-0.21975571161696986</t>
  </si>
  <si>
    <t>-0.827729163295616</t>
  </si>
  <si>
    <t>0.018439967440769683</t>
  </si>
  <si>
    <t>0.4459094711161128</t>
  </si>
  <si>
    <t>-1.0130602693301818</t>
  </si>
  <si>
    <t>0.14298078321548396</t>
  </si>
  <si>
    <t>-1.801792708981523</t>
  </si>
  <si>
    <t>0.20726871665155921</t>
  </si>
  <si>
    <t>-1.4124248712236323</t>
  </si>
  <si>
    <t>0.41756234700981776</t>
  </si>
  <si>
    <t>2.3877390002476986</t>
  </si>
  <si>
    <t>1.0247255564584055</t>
  </si>
  <si>
    <t>-0.3610069976342107</t>
  </si>
  <si>
    <t>-0.4512158258439348</t>
  </si>
  <si>
    <t>-0.7162192581714254</t>
  </si>
  <si>
    <t>0.2918990980034304</t>
  </si>
  <si>
    <t>-3.901769058001351</t>
  </si>
  <si>
    <t>-0.840826011606924</t>
  </si>
  <si>
    <t>1.408814790408052</t>
  </si>
  <si>
    <t>0.10913136623808194</t>
  </si>
  <si>
    <t>-0.5038961044763881</t>
  </si>
  <si>
    <t>-1.613227098693279</t>
  </si>
  <si>
    <t>0.3425339443616267</t>
  </si>
  <si>
    <t>-0.8258243328878025</t>
  </si>
  <si>
    <t>-1.1289758016629972</t>
  </si>
  <si>
    <t>0.9734373970149272</t>
  </si>
  <si>
    <t>1.0652105532920542</t>
  </si>
  <si>
    <t>1.3664018308494046</t>
  </si>
  <si>
    <t>-0.1156990239108282</t>
  </si>
  <si>
    <t>0.8326973020085048</t>
  </si>
  <si>
    <t>-0.472089001992791</t>
  </si>
  <si>
    <t>-0.7979647584822517</t>
  </si>
  <si>
    <t>-0.6387651478250935</t>
  </si>
  <si>
    <t>-1.1843219265546767</t>
  </si>
  <si>
    <t>0.14099371800286017</t>
  </si>
  <si>
    <t>0.9142485820172804</t>
  </si>
  <si>
    <t>2.4312423110886154</t>
  </si>
  <si>
    <t>-0.8768069469063037</t>
  </si>
  <si>
    <t>-1.366500223351215</t>
  </si>
  <si>
    <t>1.451715995375425</t>
  </si>
  <si>
    <t>0.14871969316819714</t>
  </si>
  <si>
    <t>0.10780392689257709</t>
  </si>
  <si>
    <t>-0.32893795882019916</t>
  </si>
  <si>
    <t>0.025318725991364536</t>
  </si>
  <si>
    <t>-1.8450661382526419</t>
  </si>
  <si>
    <t>3.854094512515126</t>
  </si>
  <si>
    <t>1.6960943946162312</t>
  </si>
  <si>
    <t>-1.3869845728935664</t>
  </si>
  <si>
    <t>2.954500162925222</t>
  </si>
  <si>
    <t>0.18703724411768818</t>
  </si>
  <si>
    <t>-0.37837707761196626</t>
  </si>
  <si>
    <t>0.42759988210932176</t>
  </si>
  <si>
    <t>-0.6646167656467693</t>
  </si>
  <si>
    <t>-0.6914439711414905</t>
  </si>
  <si>
    <t>0.2990467533972177</t>
  </si>
  <si>
    <t>0.0697447107177762</t>
  </si>
  <si>
    <t>-0.19688494119284075</t>
  </si>
  <si>
    <t>-0.14408933590159173</t>
  </si>
  <si>
    <t>0.05796483453485071</t>
  </si>
  <si>
    <t>-0.6684896481595517</t>
  </si>
  <si>
    <t>0.3868336053160636</t>
  </si>
  <si>
    <t>0.3371425505733664</t>
  </si>
  <si>
    <t>-1.9536143219867854</t>
  </si>
  <si>
    <t>0.4627664953958578</t>
  </si>
  <si>
    <t>0.47496628678414504</t>
  </si>
  <si>
    <t>-0.8124669617098957</t>
  </si>
  <si>
    <t>0.028677649450198243</t>
  </si>
  <si>
    <t>1.4107643855229943</t>
  </si>
  <si>
    <t>-1.5296051924057001</t>
  </si>
  <si>
    <t>-1.635587456021366</t>
  </si>
  <si>
    <t>-0.3518783043296687</t>
  </si>
  <si>
    <t>-1.3765111841207858</t>
  </si>
  <si>
    <t>0.9287076788367196</t>
  </si>
  <si>
    <t>0.18303312048981146</t>
  </si>
  <si>
    <t>0.12966725298201404</t>
  </si>
  <si>
    <t>0.22579655668704643</t>
  </si>
  <si>
    <t>-0.7853020006029104</t>
  </si>
  <si>
    <t>0.22622925888968218</t>
  </si>
  <si>
    <t>0.4885812803278871</t>
  </si>
  <si>
    <t>0.011144431922483083</t>
  </si>
  <si>
    <t>-0.4964911665965786</t>
  </si>
  <si>
    <t>-0.0021419849801644626</t>
  </si>
  <si>
    <t>0.03581531560499849</t>
  </si>
  <si>
    <t>0.6650933745398901</t>
  </si>
  <si>
    <t>-0.6085324788947128</t>
  </si>
  <si>
    <t>1.1508462508884925</t>
  </si>
  <si>
    <t>-0.6938407587277328</t>
  </si>
  <si>
    <t>-0.10906320417457786</t>
  </si>
  <si>
    <t>0.3226200938358335</t>
  </si>
  <si>
    <t>-0.16605024124550782</t>
  </si>
  <si>
    <t>0.9032849911842016</t>
  </si>
  <si>
    <t>0.41585815678365456</t>
  </si>
  <si>
    <t>0.8866944361528749</t>
  </si>
  <si>
    <t>1.4681039487434198</t>
  </si>
  <si>
    <t>-1.5327696832910658</t>
  </si>
  <si>
    <t>1.2909641986448146</t>
  </si>
  <si>
    <t>-1.4146593829261747</t>
  </si>
  <si>
    <t>1.2222815350778242</t>
  </si>
  <si>
    <t>-0.5967005264377866</t>
  </si>
  <si>
    <t>-0.6203899409313479</t>
  </si>
  <si>
    <t>0.2765410411177019</t>
  </si>
  <si>
    <t>0.32587066642220686</t>
  </si>
  <si>
    <t>-0.8387167321183112</t>
  </si>
  <si>
    <t>-0.15961003800362486</t>
  </si>
  <si>
    <t>-0.998316946675737</t>
  </si>
  <si>
    <t>-1.3560619693967533</t>
  </si>
  <si>
    <t>-0.602075998314865</t>
  </si>
  <si>
    <t>-0.2013504271144107</t>
  </si>
  <si>
    <t>2.569503835868586</t>
  </si>
  <si>
    <t>-0.1414572765858915</t>
  </si>
  <si>
    <t>-1.7591492179692498</t>
  </si>
  <si>
    <t>0.459279375824105</t>
  </si>
  <si>
    <t>-2.184662765091519</t>
  </si>
  <si>
    <t>1.0602655994522698</t>
  </si>
  <si>
    <t>-0.6003562757166389</t>
  </si>
  <si>
    <t>-1.6189824585045616</t>
  </si>
  <si>
    <t>0.509323126790981</t>
  </si>
  <si>
    <t>-0.2589209132163133</t>
  </si>
  <si>
    <t>-0.5997835514102065</t>
  </si>
  <si>
    <t>0.03762177590042292</t>
  </si>
  <si>
    <t>-0.6951243600075568</t>
  </si>
  <si>
    <t>0.8310801007641043</t>
  </si>
  <si>
    <t>2.186709652275431</t>
  </si>
  <si>
    <t>0.11710540966645804</t>
  </si>
  <si>
    <t>0.05998360421192706</t>
  </si>
  <si>
    <t>-0.684661863863363</t>
  </si>
  <si>
    <t>1.9123781464521814</t>
  </si>
  <si>
    <t>-1.7848371264085061</t>
  </si>
  <si>
    <t>1.0270616176768022</t>
  </si>
  <si>
    <t>1.2434524142031818</t>
  </si>
  <si>
    <t>2.710498982418891</t>
  </si>
  <si>
    <t>-2.8615506551683354</t>
  </si>
  <si>
    <t>-0.8101527952502846</t>
  </si>
  <si>
    <t>-0.3447713114985184</t>
  </si>
  <si>
    <t>1.5741322370809805</t>
  </si>
  <si>
    <t>0.527421246345098</t>
  </si>
  <si>
    <t>-0.4897384702011112</t>
  </si>
  <si>
    <t>-0.5588239980105599</t>
  </si>
  <si>
    <t>0.5119246836118935</t>
  </si>
  <si>
    <t>0.370658753337319</t>
  </si>
  <si>
    <t>0.3221264925154549</t>
  </si>
  <si>
    <t>-1.9736943045768744</t>
  </si>
  <si>
    <t>0.2509766805345216</t>
  </si>
  <si>
    <t>-0.9261850433301065</t>
  </si>
  <si>
    <t>0.04326416313510922</t>
  </si>
  <si>
    <t>-0.44507245201460727</t>
  </si>
  <si>
    <t>-0.04429217947604381</t>
  </si>
  <si>
    <t>1.3751773443863717</t>
  </si>
  <si>
    <t>-0.16097852874250893</t>
  </si>
  <si>
    <t>0.3715355136236851</t>
  </si>
  <si>
    <t>0.2375556760874811</t>
  </si>
  <si>
    <t>-0.8065302345876516</t>
  </si>
  <si>
    <t>0.43834825161321855</t>
  </si>
  <si>
    <t>-0.5283097148797847</t>
  </si>
  <si>
    <t>-0.8045771918686276</t>
  </si>
  <si>
    <t>-0.0946218424894738</t>
  </si>
  <si>
    <t>-0.8517126691416685</t>
  </si>
  <si>
    <t>-1.1079500625000387</t>
  </si>
  <si>
    <t>0.9292066056610755</t>
  </si>
  <si>
    <t>1.11631995916305</t>
  </si>
  <si>
    <t>-1.8467081839746438</t>
  </si>
  <si>
    <t>-0.0052573639729094285</t>
  </si>
  <si>
    <t>-0.6260498765743778</t>
  </si>
  <si>
    <t>-0.048972853121706496</t>
  </si>
  <si>
    <t>1.0218472140305297</t>
  </si>
  <si>
    <t>0.7345534792008449</t>
  </si>
  <si>
    <t>-1.8755608084069517</t>
  </si>
  <si>
    <t>0.17433795678820155</t>
  </si>
  <si>
    <t>-0.15926216953425112</t>
  </si>
  <si>
    <t>-0.18001626363040107</t>
  </si>
  <si>
    <t>0.001291655924624022</t>
  </si>
  <si>
    <t>-0.7289866053332512</t>
  </si>
  <si>
    <t>-0.17160943959788083</t>
  </si>
  <si>
    <t>-0.24212307558907714</t>
  </si>
  <si>
    <t>-4.310356060151598</t>
  </si>
  <si>
    <t>-1.3801723287586312</t>
  </si>
  <si>
    <t>1.0747821487550748</t>
  </si>
  <si>
    <t>-0.6041335757075227</t>
  </si>
  <si>
    <t>-0.29292488698480507</t>
  </si>
  <si>
    <t>0.554617890720557</t>
  </si>
  <si>
    <t>0.09498298239095906</t>
  </si>
  <si>
    <t>-1.2066475590829195</t>
  </si>
  <si>
    <t>0.04727031326867279</t>
  </si>
  <si>
    <t>-0.4091042865049008</t>
  </si>
  <si>
    <t>1.2207614855316855</t>
  </si>
  <si>
    <t>-0.13034547418951947</t>
  </si>
  <si>
    <t>2.412944374477929</t>
  </si>
  <si>
    <t>-0.898884658594142</t>
  </si>
  <si>
    <t>1.7161061731031486</t>
  </si>
  <si>
    <t>-0.08232673816348814</t>
  </si>
  <si>
    <t>0.1090541882767597</t>
  </si>
  <si>
    <t>1.487151245402991</t>
  </si>
  <si>
    <t>-0.7045179318359089</t>
  </si>
  <si>
    <t>1.1341948914133286</t>
  </si>
  <si>
    <t>1.2039801011161895</t>
  </si>
  <si>
    <t>0.5091429017686384</t>
  </si>
  <si>
    <t>-1.2741392911295475</t>
  </si>
  <si>
    <t>0.5867237533865952</t>
  </si>
  <si>
    <t>-1.428747249896096</t>
  </si>
  <si>
    <t>-1.1734040368646397</t>
  </si>
  <si>
    <t>1.3990008940379495</t>
  </si>
  <si>
    <t>0.7219316457646606</t>
  </si>
  <si>
    <t>-3.121962483050239</t>
  </si>
  <si>
    <t>-1.6727254809034924</t>
  </si>
  <si>
    <t>2.2590101836621876</t>
  </si>
  <si>
    <t>1.638784331653037</t>
  </si>
  <si>
    <t>0.7195634183338203</t>
  </si>
  <si>
    <t>0.2949445778633364</t>
  </si>
  <si>
    <t>-0.11787132966934434</t>
  </si>
  <si>
    <t>0.43875853604573867</t>
  </si>
  <si>
    <t>-0.7553499641196368</t>
  </si>
  <si>
    <t>-0.392187469761668</t>
  </si>
  <si>
    <t>1.94377394571503</t>
  </si>
  <si>
    <t>-2.2727369033066904</t>
  </si>
  <si>
    <t>-1.7041406714733944</t>
  </si>
  <si>
    <t>0.9169265983842003</t>
  </si>
  <si>
    <t>-0.055455694374535715</t>
  </si>
  <si>
    <t>-0.7220128179792655</t>
  </si>
  <si>
    <t>1.0973763269411454</t>
  </si>
  <si>
    <t>0.44439563304271656</t>
  </si>
  <si>
    <t>-2.3216105858362863</t>
  </si>
  <si>
    <t>1.4142453513356408</t>
  </si>
  <si>
    <t>0.8745963441041572</t>
  </si>
  <si>
    <t>0.47315082184081375</t>
  </si>
  <si>
    <t>2.349561349158905</t>
  </si>
  <si>
    <t>-0.39204383200907356</t>
  </si>
  <si>
    <t>1.363671185711343</t>
  </si>
  <si>
    <t>0.07431822745405965</t>
  </si>
  <si>
    <t>1.5708147859521318</t>
  </si>
  <si>
    <t>-0.4185746200671159</t>
  </si>
  <si>
    <t>-2.052261442743189</t>
  </si>
  <si>
    <t>1.8735640231772381</t>
  </si>
  <si>
    <t>-0.39482756199888014</t>
  </si>
  <si>
    <t>-0.30597498359933534</t>
  </si>
  <si>
    <t>-0.5842494961581309</t>
  </si>
  <si>
    <t>1.5524183565180254</t>
  </si>
  <si>
    <t>-0.17653393937745912</t>
  </si>
  <si>
    <t>0.08062300329216056</t>
  </si>
  <si>
    <t>0.6691712654329929</t>
  </si>
  <si>
    <t>-2.700359787704174</t>
  </si>
  <si>
    <t>0.35628536196941946</t>
  </si>
  <si>
    <t>-0.34954067336594974</t>
  </si>
  <si>
    <t>1.5426349146292104</t>
  </si>
  <si>
    <t>0.8252506615499887</t>
  </si>
  <si>
    <t>-0.8197636971152462</t>
  </si>
  <si>
    <t>4.781838941836622</t>
  </si>
  <si>
    <t>-1.794611709090708</t>
  </si>
  <si>
    <t>-0.8499138167753588</t>
  </si>
  <si>
    <t>-0.787244340851018</t>
  </si>
  <si>
    <t>1.0231050217051672</t>
  </si>
  <si>
    <t>1.8866507490816808</t>
  </si>
  <si>
    <t>0.6173001714655048</t>
  </si>
  <si>
    <t>-0.6287012478308053</t>
  </si>
  <si>
    <t>-0.8072820736650375</t>
  </si>
  <si>
    <t>0.0620266358576084</t>
  </si>
  <si>
    <t>0.6700883213602435</t>
  </si>
  <si>
    <t>1.1650834933958676</t>
  </si>
  <si>
    <t>0.2559887785154685</t>
  </si>
  <si>
    <t>-0.36570282225917405</t>
  </si>
  <si>
    <t>-0.5792023955391654</t>
  </si>
  <si>
    <t>0.49188489653643874</t>
  </si>
  <si>
    <t>0.23925767265672174</t>
  </si>
  <si>
    <t>-0.11078592557105088</t>
  </si>
  <si>
    <t>-0.3563101686499452</t>
  </si>
  <si>
    <t>1.2518405840246627</t>
  </si>
  <si>
    <t>-1.1391200175743665</t>
  </si>
  <si>
    <t>1.4042614259509265</t>
  </si>
  <si>
    <t>-0.5807761268875995</t>
  </si>
  <si>
    <t>-0.7132227208844849</t>
  </si>
  <si>
    <t>0.33980937776611986</t>
  </si>
  <si>
    <t>-1.7353980605758734</t>
  </si>
  <si>
    <t>0.8943161319318454</t>
  </si>
  <si>
    <t>0.23120524955583713</t>
  </si>
  <si>
    <t>0.0004404207202580024</t>
  </si>
  <si>
    <t>-0.19342711265592288</t>
  </si>
  <si>
    <t>-0.13919589160647267</t>
  </si>
  <si>
    <t>1.2661098225052239</t>
  </si>
  <si>
    <t>-1.1157259077180228</t>
  </si>
  <si>
    <t>0.7780435520144782</t>
  </si>
  <si>
    <t>0.3111295871082583</t>
  </si>
  <si>
    <t>0.509322802689919</t>
  </si>
  <si>
    <t>-0.5664747180528756</t>
  </si>
  <si>
    <t>0.49978582409782213</t>
  </si>
  <si>
    <t>-0.9615614976345922</t>
  </si>
  <si>
    <t>0.014109534917211248</t>
  </si>
  <si>
    <t>-0.2706657484670303</t>
  </si>
  <si>
    <t>0.5049494456811332</t>
  </si>
  <si>
    <t>-0.1511157167948364</t>
  </si>
  <si>
    <t>-0.13021370450629927</t>
  </si>
  <si>
    <t>0.3083382212751471</t>
  </si>
  <si>
    <t>0.15436385904883576</t>
  </si>
  <si>
    <t>0.7820396667242888</t>
  </si>
  <si>
    <t>1.0569068606969874</t>
  </si>
  <si>
    <t>-0.0017197525853633652</t>
  </si>
  <si>
    <t>0.0948551432476722</t>
  </si>
  <si>
    <t>-0.5157167121066746</t>
  </si>
  <si>
    <t>0.884270469284103</t>
  </si>
  <si>
    <t>1.1865784069557215</t>
  </si>
  <si>
    <t>-0.025676320825064332</t>
  </si>
  <si>
    <t>1.3944016193322595</t>
  </si>
  <si>
    <t>0.16845297584805244</t>
  </si>
  <si>
    <t>0.14467114276812543</t>
  </si>
  <si>
    <t>0.43889773034295165</t>
  </si>
  <si>
    <t>-0.15119295580561723</t>
  </si>
  <si>
    <t>0.5483912676708418</t>
  </si>
  <si>
    <t>1.2094528131801585</t>
  </si>
  <si>
    <t>0.7938425486458659</t>
  </si>
  <si>
    <t>-0.4366148264970151</t>
  </si>
  <si>
    <t>0.9477765408039663</t>
  </si>
  <si>
    <t>0.14661902771359978</t>
  </si>
  <si>
    <t>-1.3187289229209227</t>
  </si>
  <si>
    <t>-0.4417566862786883</t>
  </si>
  <si>
    <t>0.4826540110224633</t>
  </si>
  <si>
    <t>-0.5862190847516072</t>
  </si>
  <si>
    <t>0.23615866808918676</t>
  </si>
  <si>
    <t>-0.06118400700523438</t>
  </si>
  <si>
    <t>-0.2106403004780215</t>
  </si>
  <si>
    <t>0.0405600365433831</t>
  </si>
  <si>
    <t>-1.1520369790556018</t>
  </si>
  <si>
    <t>-0.35953260484425426</t>
  </si>
  <si>
    <t>2.8548305165197685</t>
  </si>
  <si>
    <t>-0.6375275614249212</t>
  </si>
  <si>
    <t>0.8702841248268925</t>
  </si>
  <si>
    <t>-1.7994591176796035</t>
  </si>
  <si>
    <t>-0.4390547594444348</t>
  </si>
  <si>
    <t>-0.142022028410064</t>
  </si>
  <si>
    <t>0.44962048214129985</t>
  </si>
  <si>
    <t>-0.8378803462942058</t>
  </si>
  <si>
    <t>-0.15229096121177932</t>
  </si>
  <si>
    <t>-0.09059650893196035</t>
  </si>
  <si>
    <t>-1.1744155707372728</t>
  </si>
  <si>
    <t>-0.9231028103159917</t>
  </si>
  <si>
    <t>-0.22735625521159553</t>
  </si>
  <si>
    <t>0.24929960843254026</t>
  </si>
  <si>
    <t>-0.12045379908595541</t>
  </si>
  <si>
    <t>-0.01819683373298776</t>
  </si>
  <si>
    <t>-0.540898853909069</t>
  </si>
  <si>
    <t>0.3621150610783147</t>
  </si>
  <si>
    <t>-0.9220327724561896</t>
  </si>
  <si>
    <t>1.104517854657563</t>
  </si>
  <si>
    <t>-0.7089778283131563</t>
  </si>
  <si>
    <t>-0.6791817493414304</t>
  </si>
  <si>
    <t>-0.16771719810743396</t>
  </si>
  <si>
    <t>-0.7026473213617331</t>
  </si>
  <si>
    <t>-0.6507555137584652</t>
  </si>
  <si>
    <t>-0.791179901200018</t>
  </si>
  <si>
    <t>-1.3330930830374326</t>
  </si>
  <si>
    <t>-0.9322641639892677</t>
  </si>
  <si>
    <t>0.17493855532754926</t>
  </si>
  <si>
    <t>0.14503755937811588</t>
  </si>
  <si>
    <t>-0.47407734628363674</t>
  </si>
  <si>
    <t>-0.0674955652548932</t>
  </si>
  <si>
    <t>-0.5947619451983366</t>
  </si>
  <si>
    <t>0.34872912245387727</t>
  </si>
  <si>
    <t>-0.04008391486439353</t>
  </si>
  <si>
    <t>-0.47665955664155696</t>
  </si>
  <si>
    <t>1.1225460562764304</t>
  </si>
  <si>
    <t>-0.8939612850752909</t>
  </si>
  <si>
    <t>0.10722415113162825</t>
  </si>
  <si>
    <t>-0.4177044815956186</t>
  </si>
  <si>
    <t>-0.6886706474828272</t>
  </si>
  <si>
    <t>-0.5071322644031118</t>
  </si>
  <si>
    <t>0.41391218462297896</t>
  </si>
  <si>
    <t>-0.5432339533735556</t>
  </si>
  <si>
    <t>-0.10696121291699273</t>
  </si>
  <si>
    <t>0.9302370168607776</t>
  </si>
  <si>
    <t>0.4275419161928299</t>
  </si>
  <si>
    <t>0.8333444741402403</t>
  </si>
  <si>
    <t>-0.19831700975784702</t>
  </si>
  <si>
    <t>-0.06263521919668012</t>
  </si>
  <si>
    <t>-0.28980234054037646</t>
  </si>
  <si>
    <t>-0.26250824907052667</t>
  </si>
  <si>
    <t>-0.6002168955751629</t>
  </si>
  <si>
    <t>-0.01367626586411756</t>
  </si>
  <si>
    <t>-0.901943631311442</t>
  </si>
  <si>
    <t>0.14207949627011893</t>
  </si>
  <si>
    <t>-0.5492759808940599</t>
  </si>
  <si>
    <t>0.8600560524682861</t>
  </si>
  <si>
    <t>0.3490169468223702</t>
  </si>
  <si>
    <t>-0.0015396226949850275</t>
  </si>
  <si>
    <t>0.701696207050479</t>
  </si>
  <si>
    <t>-0.3209740843622251</t>
  </si>
  <si>
    <t>-0.6293648680393032</t>
  </si>
  <si>
    <t>0.7170913129777373</t>
  </si>
  <si>
    <t>-1.3201943243888814</t>
  </si>
  <si>
    <t>0.6065367801591117</t>
  </si>
  <si>
    <t>-0.4275225591101219</t>
  </si>
  <si>
    <t>-0.006926143484428437</t>
  </si>
  <si>
    <t>0.4371437484017219</t>
  </si>
  <si>
    <t>-0.4149574771313586</t>
  </si>
  <si>
    <t>0.11636377079623664</t>
  </si>
  <si>
    <t>0.09458952268247624</t>
  </si>
  <si>
    <t>-0.34635199676946316</t>
  </si>
  <si>
    <t>0.26247379006459454</t>
  </si>
  <si>
    <t>-0.2628731644925698</t>
  </si>
  <si>
    <t>-0.2250292247595845</t>
  </si>
  <si>
    <t>-0.8403863930528617</t>
  </si>
  <si>
    <t>0.314115239199439</t>
  </si>
  <si>
    <t>0.41037914533819264</t>
  </si>
  <si>
    <t>1.3774622197749917</t>
  </si>
  <si>
    <t>0.3359766763074432</t>
  </si>
  <si>
    <t>0.7354535067802512</t>
  </si>
  <si>
    <t>-1.0133463600255639</t>
  </si>
  <si>
    <t>-0.12974275803069407</t>
  </si>
  <si>
    <t>-2.4467892659608346</t>
  </si>
  <si>
    <t>-0.03323787604253034</t>
  </si>
  <si>
    <t>0.10072125618765736</t>
  </si>
  <si>
    <t>1.3700424775672158</t>
  </si>
  <si>
    <t>-1.1591002154030718</t>
  </si>
  <si>
    <t>-1.1486858727354712</t>
  </si>
  <si>
    <t>-0.606963729827853</t>
  </si>
  <si>
    <t>-0.1700204485666861</t>
  </si>
  <si>
    <t>0.7439399379139823</t>
  </si>
  <si>
    <t>-0.0974669820138639</t>
  </si>
  <si>
    <t>0.36064085179134964</t>
  </si>
  <si>
    <t>-0.6618868604158347</t>
  </si>
  <si>
    <t>0.1292615061312052</t>
  </si>
  <si>
    <t>0.09122625900572125</t>
  </si>
  <si>
    <t>0.11753736547133845</t>
  </si>
  <si>
    <t>0.47852812209903767</t>
  </si>
  <si>
    <t>-0.08322580700755795</t>
  </si>
  <si>
    <t>0.009662842403552353</t>
  </si>
  <si>
    <t>-0.19765778387342206</t>
  </si>
  <si>
    <t>0.642536825884923</t>
  </si>
  <si>
    <t>-0.6069292561280771</t>
  </si>
  <si>
    <t>0.28136503320248996</t>
  </si>
  <si>
    <t>0.18522565799338428</t>
  </si>
  <si>
    <t>-0.03615106639333985</t>
  </si>
  <si>
    <t>0.16841392412741704</t>
  </si>
  <si>
    <t>0.09041857609135322</t>
  </si>
  <si>
    <t>0.19591666969473814</t>
  </si>
  <si>
    <t>-0.035143886801072534</t>
  </si>
  <si>
    <t>-0.06738622378461864</t>
  </si>
  <si>
    <t>-0.37437430728481086</t>
  </si>
  <si>
    <t>0.5411907006843855</t>
  </si>
  <si>
    <t>-0.021100016688860707</t>
  </si>
  <si>
    <t>-0.7681166680469075</t>
  </si>
  <si>
    <t>0.8041438696912132</t>
  </si>
  <si>
    <t>-0.03905008789561571</t>
  </si>
  <si>
    <t>-0.23854493387340808</t>
  </si>
  <si>
    <t>0.008771026393693402</t>
  </si>
  <si>
    <t>1.2599321076088295</t>
  </si>
  <si>
    <t>0.24323533071610887</t>
  </si>
  <si>
    <t>-0.31417093160351467</t>
  </si>
  <si>
    <t>0.40293271916405965</t>
  </si>
  <si>
    <t>-0.95252251730168</t>
  </si>
  <si>
    <t>-1.195149236909866</t>
  </si>
  <si>
    <t>1.4920240777259055</t>
  </si>
  <si>
    <t>0.5573037830543099</t>
  </si>
  <si>
    <t>-0.7860637496613241</t>
  </si>
  <si>
    <t>-0.6441652984379348</t>
  </si>
  <si>
    <t>-0.5171435768046522</t>
  </si>
  <si>
    <t>0.638531347844832</t>
  </si>
  <si>
    <t>0.6383288749575605</t>
  </si>
  <si>
    <t>-0.294737827310042</t>
  </si>
  <si>
    <t>-0.07666347657360556</t>
  </si>
  <si>
    <t>-0.1921616319521396</t>
  </si>
  <si>
    <t>0.1697560467259711</t>
  </si>
  <si>
    <t>1.7294491941841548</t>
  </si>
  <si>
    <t>-1.7646867135353115</t>
  </si>
  <si>
    <t>-0.1332331315880121</t>
  </si>
  <si>
    <t>-0.18955058421845994</t>
  </si>
  <si>
    <t>0.10902750742488164</t>
  </si>
  <si>
    <t>-0.2620177907811718</t>
  </si>
  <si>
    <t>0.13223016845674057</t>
  </si>
  <si>
    <t>0.9089195177327367</t>
  </si>
  <si>
    <t>0.02353728618181621</t>
  </si>
  <si>
    <t>0.6094944895338196</t>
  </si>
  <si>
    <t>0.8871100799320469</t>
  </si>
  <si>
    <t>1.0718112017898245</t>
  </si>
  <si>
    <t>1.8276798954625342</t>
  </si>
  <si>
    <t>-0.594724735727321</t>
  </si>
  <si>
    <t>1.5990313932795697</t>
  </si>
  <si>
    <t>-0.03424636471213371</t>
  </si>
  <si>
    <t>0.004498651497444375</t>
  </si>
  <si>
    <t>0.6549840649457459</t>
  </si>
  <si>
    <t>0.15770787069293354</t>
  </si>
  <si>
    <t>-0.8879779808200872</t>
  </si>
  <si>
    <t>0.5232273865162739</t>
  </si>
  <si>
    <t>0.18026417296875877</t>
  </si>
  <si>
    <t>-0.36811424070079324</t>
  </si>
  <si>
    <t>-0.23903501785925257</t>
  </si>
  <si>
    <t>-0.35597286663662864</t>
  </si>
  <si>
    <t>-0.5259787219098029</t>
  </si>
  <si>
    <t>1.5945455979011218</t>
  </si>
  <si>
    <t>0.5040290824411918</t>
  </si>
  <si>
    <t>0.3578300084924326</t>
  </si>
  <si>
    <t>0.041306840658163105</t>
  </si>
  <si>
    <t>-1.207672426565507</t>
  </si>
  <si>
    <t>0.1492882860125133</t>
  </si>
  <si>
    <t>0.24836000298397265</t>
  </si>
  <si>
    <t>0.0011673843391421326</t>
  </si>
  <si>
    <t>-0.28505842829590455</t>
  </si>
  <si>
    <t>-0.7511508812314633</t>
  </si>
  <si>
    <t>0.0016894933650944827</t>
  </si>
  <si>
    <t>0.5810953068636104</t>
  </si>
  <si>
    <t>0.14317526818013054</t>
  </si>
  <si>
    <t>0.2838097687818464</t>
  </si>
  <si>
    <t>-0.7960354908767326</t>
  </si>
  <si>
    <t>-0.3519903753432085</t>
  </si>
  <si>
    <t>-0.3288426560689998</t>
  </si>
  <si>
    <t>0.8915917493822502</t>
  </si>
  <si>
    <t>-1.3805070680824616</t>
  </si>
  <si>
    <t>-0.2675047694528884</t>
  </si>
  <si>
    <t>-0.8214863124373473</t>
  </si>
  <si>
    <t>-0.8665170648219359</t>
  </si>
  <si>
    <t>-2.1090231183559434</t>
  </si>
  <si>
    <t>-0.45392369168604624</t>
  </si>
  <si>
    <t>-0.3082981304614233</t>
  </si>
  <si>
    <t>-0.15393177594273583</t>
  </si>
  <si>
    <t>0.5820261721673577</t>
  </si>
  <si>
    <t>1.1287565082737119</t>
  </si>
  <si>
    <t>0.3753223527713687</t>
  </si>
  <si>
    <t>0.38405425641315283</t>
  </si>
  <si>
    <t>-0.6866006783582436</t>
  </si>
  <si>
    <t>0.8773598696503995</t>
  </si>
  <si>
    <t>-0.1491356936107148</t>
  </si>
  <si>
    <t>-0.4102236693324372</t>
  </si>
  <si>
    <t>-0.10905039493128674</t>
  </si>
  <si>
    <t>-0.13871355162087423</t>
  </si>
  <si>
    <t>0.9304080712376096</t>
  </si>
  <si>
    <t>-2.8153959380567133</t>
  </si>
  <si>
    <t>0.2047885293626921</t>
  </si>
  <si>
    <t>-0.8299310543939411</t>
  </si>
  <si>
    <t>0.42814609206601756</t>
  </si>
  <si>
    <t>0.29298713839954393</t>
  </si>
  <si>
    <t>-0.3657890599851237</t>
  </si>
  <si>
    <t>-0.724247166262579</t>
  </si>
  <si>
    <t>0.46525861380660666</t>
  </si>
  <si>
    <t>-1.2317247493209431</t>
  </si>
  <si>
    <t>0.5651424730580868</t>
  </si>
  <si>
    <t>-0.5711253747666084</t>
  </si>
  <si>
    <t>-0.14363831355260104</t>
  </si>
  <si>
    <t>-0.10757561889079524</t>
  </si>
  <si>
    <t>0.2602386150492061</t>
  </si>
  <si>
    <t>0.8856899202732357</t>
  </si>
  <si>
    <t>0.21928674284813457</t>
  </si>
  <si>
    <t>0.6911635452262905</t>
  </si>
  <si>
    <t>0.7438476583664626</t>
  </si>
  <si>
    <t>-1.1807882741310594</t>
  </si>
  <si>
    <t>0.7097246906425181</t>
  </si>
  <si>
    <t>-1.1696049593028393</t>
  </si>
  <si>
    <t>0.7090562714731762</t>
  </si>
  <si>
    <t>-0.533785181185585</t>
  </si>
  <si>
    <t>0.7337650939691348</t>
  </si>
  <si>
    <t>-1.0768246120917455</t>
  </si>
  <si>
    <t>0.21370366156041473</t>
  </si>
  <si>
    <t>-0.47156966930875</t>
  </si>
  <si>
    <t>-0.41461699239036576</t>
  </si>
  <si>
    <t>1.4202876008182268</t>
  </si>
  <si>
    <t>0.19044133129581792</t>
  </si>
  <si>
    <t>0.5376575513445087</t>
  </si>
  <si>
    <t>-0.6866026350733343</t>
  </si>
  <si>
    <t>-0.0962179599825315</t>
  </si>
  <si>
    <t>-0.15115542691788622</t>
  </si>
  <si>
    <t>0.050825544451674</t>
  </si>
  <si>
    <t>-0.32024105309404244</t>
  </si>
  <si>
    <t>0.7346752595053376</t>
  </si>
  <si>
    <t>0.5770679487979636</t>
  </si>
  <si>
    <t>-0.025821787280613736</t>
  </si>
  <si>
    <t>-0.679942937611994</t>
  </si>
  <si>
    <t>-0.25001349502804393</t>
  </si>
  <si>
    <t>-0.047065507538697544</t>
  </si>
  <si>
    <t>0.19409558126098647</t>
  </si>
  <si>
    <t>1.1573141928508428</t>
  </si>
  <si>
    <t>0.28029031158104784</t>
  </si>
  <si>
    <t>0.32674258901916114</t>
  </si>
  <si>
    <t>0.1411532994652781</t>
  </si>
  <si>
    <t>-0.5513212300394477</t>
  </si>
  <si>
    <t>0.7536151989279699</t>
  </si>
  <si>
    <t>0.12828429396369773</t>
  </si>
  <si>
    <t>0.37041037020376155</t>
  </si>
  <si>
    <t>1.2123303816775794</t>
  </si>
  <si>
    <t>0.17575371814585344</t>
  </si>
  <si>
    <t>-0.6019365520624951</t>
  </si>
  <si>
    <t>0.6325997777060804</t>
  </si>
  <si>
    <t>-0.540800036995219</t>
  </si>
  <si>
    <t>-0.02512548803984948</t>
  </si>
  <si>
    <t>-0.34939948900838874</t>
  </si>
  <si>
    <t>0.9228267764613315</t>
  </si>
  <si>
    <t>0.7647854986341136</t>
  </si>
  <si>
    <t>-0.8878977575480164</t>
  </si>
  <si>
    <t>-0.5997070440312658</t>
  </si>
  <si>
    <t>0.3603928365590192</t>
  </si>
  <si>
    <t>0.4005741748444377</t>
  </si>
  <si>
    <t>1.0451864875126635</t>
  </si>
  <si>
    <t>-0.29796278958235534</t>
  </si>
  <si>
    <t>-1.0304231460962836</t>
  </si>
  <si>
    <t>1.995200017364166</t>
  </si>
  <si>
    <t>-0.08279628521074432</t>
  </si>
  <si>
    <t>0.016680585835264595</t>
  </si>
  <si>
    <t>-0.32493458329963</t>
  </si>
  <si>
    <t>-0.03285842297788459</t>
  </si>
  <si>
    <t>-3.0372087359328703</t>
  </si>
  <si>
    <t>2.993843471130001</t>
  </si>
  <si>
    <t>-0.05453846413548304</t>
  </si>
  <si>
    <t>-0.8130112860036743</t>
  </si>
  <si>
    <t>-0.06068433665949307</t>
  </si>
  <si>
    <t>0.3418998379871363</t>
  </si>
  <si>
    <t>0.47130571362151313</t>
  </si>
  <si>
    <t>-0.5858060729403922</t>
  </si>
  <si>
    <t>0.17231273698457142</t>
  </si>
  <si>
    <t>0.47224746646182775</t>
  </si>
  <si>
    <t>0.6376969542911329</t>
  </si>
  <si>
    <t>-1.2583544546873782</t>
  </si>
  <si>
    <t>0.966318023413425</t>
  </si>
  <si>
    <t>-0.8038625055059475</t>
  </si>
  <si>
    <t>0.9067796124021156</t>
  </si>
  <si>
    <t>0.5944635982327189</t>
  </si>
  <si>
    <t>-0.19190745429314168</t>
  </si>
  <si>
    <t>-0.6064120025969012</t>
  </si>
  <si>
    <t>-0.096089312881411</t>
  </si>
  <si>
    <t>-0.46708830242126503</t>
  </si>
  <si>
    <t>0.3138431823126709</t>
  </si>
  <si>
    <t>0.05195000136572267</t>
  </si>
  <si>
    <t>0.31937757501192215</t>
  </si>
  <si>
    <t>-0.6425503122145666</t>
  </si>
  <si>
    <t>-0.8519873913066891</t>
  </si>
  <si>
    <t>5.00152094420514</t>
  </si>
  <si>
    <t>-2.3876462179158064</t>
  </si>
  <si>
    <t>0.1927303031896752</t>
  </si>
  <si>
    <t>0.10921891329953974</t>
  </si>
  <si>
    <t>0.07682746035324205</t>
  </si>
  <si>
    <t>-0.7174199525734302</t>
  </si>
  <si>
    <t>-0.13724302258606125</t>
  </si>
  <si>
    <t>-0.31839576009895854</t>
  </si>
  <si>
    <t>-2.001996653810169</t>
  </si>
  <si>
    <t>2.258877730725994</t>
  </si>
  <si>
    <t>-0.20896661210504078</t>
  </si>
  <si>
    <t>-0.018507176559327956</t>
  </si>
  <si>
    <t>-0.7701674361670147</t>
  </si>
  <si>
    <t>-0.7020725997322761</t>
  </si>
  <si>
    <t>-0.13667415656647774</t>
  </si>
  <si>
    <t>-0.46033329137121104</t>
  </si>
  <si>
    <t>1.1180325810392429</t>
  </si>
  <si>
    <t>-0.11635771393149695</t>
  </si>
  <si>
    <t>-1.0542438096693099</t>
  </si>
  <si>
    <t>-0.5688320251748901</t>
  </si>
  <si>
    <t>-0.8844967273760443</t>
  </si>
  <si>
    <t>0.38599199446033944</t>
  </si>
  <si>
    <t>-0.29515447760852215</t>
  </si>
  <si>
    <t>1.2171165869860765</t>
  </si>
  <si>
    <t>-0.5811989635275381</t>
  </si>
  <si>
    <t>0.20169378264762314</t>
  </si>
  <si>
    <t>-0.0735905466989108</t>
  </si>
  <si>
    <t>-0.19031644935948347</t>
  </si>
  <si>
    <t>-0.008969834056193622</t>
  </si>
  <si>
    <t>1.1374350169421978</t>
  </si>
  <si>
    <t>0.2990636906352132</t>
  </si>
  <si>
    <t>0.1383729775866342</t>
  </si>
  <si>
    <t>0.6792383815740286</t>
  </si>
  <si>
    <t>-0.752269808281034</t>
  </si>
  <si>
    <t>0.11310880852157508</t>
  </si>
  <si>
    <t>-0.10222207200790294</t>
  </si>
  <si>
    <t>-0.9653160542648545</t>
  </si>
  <si>
    <t>-0.15563783572233741</t>
  </si>
  <si>
    <t>-0.291456021896473</t>
  </si>
  <si>
    <t>0.7491353756317735</t>
  </si>
  <si>
    <t>-0.03851054136275596</t>
  </si>
  <si>
    <t>0.804556830861773</t>
  </si>
  <si>
    <t>-0.06940679125156754</t>
  </si>
  <si>
    <t>0.47581939980973</t>
  </si>
  <si>
    <t>-0.7296535727558806</t>
  </si>
  <si>
    <t>0.06171338022559482</t>
  </si>
  <si>
    <t>0.4342721006569981</t>
  </si>
  <si>
    <t>0.24042662392881795</t>
  </si>
  <si>
    <t>0.19825082344680806</t>
  </si>
  <si>
    <t>-0.2485069945373895</t>
  </si>
  <si>
    <t>0.5510960220239154</t>
  </si>
  <si>
    <t>-0.7117862982743753</t>
  </si>
  <si>
    <t>0.3223295373591158</t>
  </si>
  <si>
    <t>0.5941438597167755</t>
  </si>
  <si>
    <t>0.35798027687819695</t>
  </si>
  <si>
    <t>-0.2551024747277928</t>
  </si>
  <si>
    <t>0.6657810493083408</t>
  </si>
  <si>
    <t>0.11276685171979534</t>
  </si>
  <si>
    <t>0.7477951362051483</t>
  </si>
  <si>
    <t>1.2100186975162837</t>
  </si>
  <si>
    <t>0.22344878668930304</t>
  </si>
  <si>
    <t>0.06479267098529731</t>
  </si>
  <si>
    <t>0.2569570871845965</t>
  </si>
  <si>
    <t>-0.26339772269503975</t>
  </si>
  <si>
    <t>-0.39793698448699644</t>
  </si>
  <si>
    <t>-0.4655651440649744</t>
  </si>
  <si>
    <t>-0.2969124139778353</t>
  </si>
  <si>
    <t>0.3702215648798053</t>
  </si>
  <si>
    <t>0.4075991161521537</t>
  </si>
  <si>
    <t>0.16069958321458186</t>
  </si>
  <si>
    <t>-0.039521893002580355</t>
  </si>
  <si>
    <t>-0.20416057706564478</t>
  </si>
  <si>
    <t>0.08328009087326825</t>
  </si>
  <si>
    <t>0.04997229675367774</t>
  </si>
  <si>
    <t>0.6234380652257185</t>
  </si>
  <si>
    <t>-0.9545185764266656</t>
  </si>
  <si>
    <t>0.2907887529034334</t>
  </si>
  <si>
    <t>0.40862361151631155</t>
  </si>
  <si>
    <t>0.4595499177518289</t>
  </si>
  <si>
    <t>-0.21754065722050434</t>
  </si>
  <si>
    <t>-0.2907043180021034</t>
  </si>
  <si>
    <t>-0.3298948705995597</t>
  </si>
  <si>
    <t>-0.00570535762983514</t>
  </si>
  <si>
    <t>0.4463048011262928</t>
  </si>
  <si>
    <t>0.43693300295715853</t>
  </si>
  <si>
    <t>-1.1878582769622335</t>
  </si>
  <si>
    <t>0.7895273236633832</t>
  </si>
  <si>
    <t>-0.22364618561549254</t>
  </si>
  <si>
    <t>-0.4351778823211189</t>
  </si>
  <si>
    <t>-0.19499971779692432</t>
  </si>
  <si>
    <t>-0.10173711428442468</t>
  </si>
  <si>
    <t>-0.7462908454757492</t>
  </si>
  <si>
    <t>-0.7560865124101483</t>
  </si>
  <si>
    <t>-0.2906876340684308</t>
  </si>
  <si>
    <t>0.2702938462076295</t>
  </si>
  <si>
    <t>-0.06939010846302708</t>
  </si>
  <si>
    <t>0.31281176625746215</t>
  </si>
  <si>
    <t>-0.6758036918506812</t>
  </si>
  <si>
    <t>0.06962450983862355</t>
  </si>
  <si>
    <t>-0.42273594943750115</t>
  </si>
  <si>
    <t>0.5579956157405832</t>
  </si>
  <si>
    <t>0.24813839773104443</t>
  </si>
  <si>
    <t>0.4377511784278138</t>
  </si>
  <si>
    <t>0.3645706977490941</t>
  </si>
  <si>
    <t>-0.4609797011509832</t>
  </si>
  <si>
    <t>-0.7114202357134058</t>
  </si>
  <si>
    <t>-0.36177756126193567</t>
  </si>
  <si>
    <t>0.5663960469332799</t>
  </si>
  <si>
    <t>0.7522618271657956</t>
  </si>
  <si>
    <t>-0.253023778934093</t>
  </si>
  <si>
    <t>0.5549020150414501</t>
  </si>
  <si>
    <t>-1.5496173670407367</t>
  </si>
  <si>
    <t>0.5613864289254181</t>
  </si>
  <si>
    <t>-0.8920577558978019</t>
  </si>
  <si>
    <t>0.018157675766624314</t>
  </si>
  <si>
    <t>0.056364048051537656</t>
  </si>
  <si>
    <t>0.6217912619464946</t>
  </si>
  <si>
    <t>0.8088813521280791</t>
  </si>
  <si>
    <t>0.6607073107765061</t>
  </si>
  <si>
    <t>0.23499510699393633</t>
  </si>
  <si>
    <t>0.8788312713150104</t>
  </si>
  <si>
    <t>0.18527878744522677</t>
  </si>
  <si>
    <t>0.22623913969658654</t>
  </si>
  <si>
    <t>-0.051657548515398555</t>
  </si>
  <si>
    <t>0.36561010339232036</t>
  </si>
  <si>
    <t>0.500279919643342</t>
  </si>
  <si>
    <t>-0.36773503221951753</t>
  </si>
  <si>
    <t>0.0409439096563344</t>
  </si>
  <si>
    <t>-0.6165375352735364</t>
  </si>
  <si>
    <t>-0.8857337484401928</t>
  </si>
  <si>
    <t>0.1258234784808143</t>
  </si>
  <si>
    <t>-0.38069465569911093</t>
  </si>
  <si>
    <t>-0.023763059270342963</t>
  </si>
  <si>
    <t>-0.6334493228204489</t>
  </si>
  <si>
    <t>-0.5281864264808156</t>
  </si>
  <si>
    <t>0.5653620560784738</t>
  </si>
  <si>
    <t>-0.5081023132636315</t>
  </si>
  <si>
    <t>-0.0012793861900139765</t>
  </si>
  <si>
    <t>1.0297652591298372</t>
  </si>
  <si>
    <t>-0.30404448433356757</t>
  </si>
  <si>
    <t>-0.9469114131166101</t>
  </si>
  <si>
    <t>-0.029397633802649436</t>
  </si>
  <si>
    <t>-0.25309102788910176</t>
  </si>
  <si>
    <t>0.20191011121267724</t>
  </si>
  <si>
    <t>0.20932895389381442</t>
  </si>
  <si>
    <t>-0.3825005024727502</t>
  </si>
  <si>
    <t>-0.49749178508089226</t>
  </si>
  <si>
    <t>0.014744246146954458</t>
  </si>
  <si>
    <t>0.5501356752639041</t>
  </si>
  <si>
    <t>-0.4868880120397188</t>
  </si>
  <si>
    <t>-0.501361102286762</t>
  </si>
  <si>
    <t>0.03401019968615014</t>
  </si>
  <si>
    <t>-0.16542988647181028</t>
  </si>
  <si>
    <t>-0.4496218531018329</t>
  </si>
  <si>
    <t>-0.2511606893166221</t>
  </si>
  <si>
    <t>0.7069332092959666</t>
  </si>
  <si>
    <t>-0.35770001568362764</t>
  </si>
  <si>
    <t>0.9858396974538215</t>
  </si>
  <si>
    <t>0.1412934249060193</t>
  </si>
  <si>
    <t>0.37786461731623605</t>
  </si>
  <si>
    <t>0.09161122521644934</t>
  </si>
  <si>
    <t>0.22638750610515057</t>
  </si>
  <si>
    <t>1.0260154725317998</t>
  </si>
  <si>
    <t>0.42491007236250683</t>
  </si>
  <si>
    <t>-0.2958534979219564</t>
  </si>
  <si>
    <t>0.1966991856061722</t>
  </si>
  <si>
    <t>-0.8263393565438891</t>
  </si>
  <si>
    <t>-0.0015689791437397493</t>
  </si>
  <si>
    <t>0.5480291634147617</t>
  </si>
  <si>
    <t>-0.11267900541202651</t>
  </si>
  <si>
    <t>0.2830699601406157</t>
  </si>
  <si>
    <t>-0.27668891117820776</t>
  </si>
  <si>
    <t>0.49737064932136804</t>
  </si>
  <si>
    <t>-0.1902699960381348</t>
  </si>
  <si>
    <t>-0.2643869702195764</t>
  </si>
  <si>
    <t>0.017408774411921856</t>
  </si>
  <si>
    <t>-0.17217291639576632</t>
  </si>
  <si>
    <t>-0.7282480255772401</t>
  </si>
  <si>
    <t>-0.7784625271688635</t>
  </si>
  <si>
    <t>-0.3116631485329426</t>
  </si>
  <si>
    <t>0.452385980022019</t>
  </si>
  <si>
    <t>-0.7670399759808715</t>
  </si>
  <si>
    <t>-0.03779489692593509</t>
  </si>
  <si>
    <t>-0.06255514411034924</t>
  </si>
  <si>
    <t>0.7471638370354176</t>
  </si>
  <si>
    <t>0.36083082718803244</t>
  </si>
  <si>
    <t>0.09195297991827654</t>
  </si>
  <si>
    <t>-0.1326388530521467</t>
  </si>
  <si>
    <t>-0.1100394734959625</t>
  </si>
  <si>
    <t>-0.6390778115956356</t>
  </si>
  <si>
    <t>0.33927180532113477</t>
  </si>
  <si>
    <t>-0.2480755880917015</t>
  </si>
  <si>
    <t>0.3525304236567283</t>
  </si>
  <si>
    <t>-0.022726567742719556</t>
  </si>
  <si>
    <t>0.09306637238299993</t>
  </si>
  <si>
    <t>-0.6692653034180245</t>
  </si>
  <si>
    <t>-0.5747103496212996</t>
  </si>
  <si>
    <t>-0.14992109408629173</t>
  </si>
  <si>
    <t>-0.0313343803159102</t>
  </si>
  <si>
    <t>0.3756414979202433</t>
  </si>
  <si>
    <t>-0.1502286882293611</t>
  </si>
  <si>
    <t>-0.6975686185586358</t>
  </si>
  <si>
    <t>-0.860296523246177</t>
  </si>
  <si>
    <t>0.14273368727856628</t>
  </si>
  <si>
    <t>-0.16386354914917417</t>
  </si>
  <si>
    <t>-0.334231565731083</t>
  </si>
  <si>
    <t>-0.8120219694475225</t>
  </si>
  <si>
    <t>0.15145074713374732</t>
  </si>
  <si>
    <t>-0.7098535685521223</t>
  </si>
  <si>
    <t>-0.13867293227774752</t>
  </si>
  <si>
    <t>-0.9058712996210113</t>
  </si>
  <si>
    <t>0.5533169285701361</t>
  </si>
  <si>
    <t>0.06924335124435854</t>
  </si>
  <si>
    <t>-0.3323784794425431</t>
  </si>
  <si>
    <t>-0.4834850646757537</t>
  </si>
  <si>
    <t>0.05794630189762641</t>
  </si>
  <si>
    <t>-0.10791044467478855</t>
  </si>
  <si>
    <t>1.3262095756573637</t>
  </si>
  <si>
    <t>0.05436017657793627</t>
  </si>
  <si>
    <t>-0.7054606257961216</t>
  </si>
  <si>
    <t>-0.8466593429965764</t>
  </si>
  <si>
    <t>-1.198664379406228</t>
  </si>
  <si>
    <t>0.31108196698212887</t>
  </si>
  <si>
    <t>-0.9541310061248817</t>
  </si>
  <si>
    <t>1.7339367218001738</t>
  </si>
  <si>
    <t>-1.6802202556457404</t>
  </si>
  <si>
    <t>-0.8110142973062758</t>
  </si>
  <si>
    <t>0.9009968357357404</t>
  </si>
  <si>
    <t>-0.8107560165586489</t>
  </si>
  <si>
    <t>0.8974050113733779</t>
  </si>
  <si>
    <t>-0.38489726817184683</t>
  </si>
  <si>
    <t>-1.3552047021901867</t>
  </si>
  <si>
    <t>-0.6916297653685881</t>
  </si>
  <si>
    <t>0.24394367950052928</t>
  </si>
  <si>
    <t>1.4387418987618696</t>
  </si>
  <si>
    <t>-0.4772680114896125</t>
  </si>
  <si>
    <t>0.8417738757086536</t>
  </si>
  <si>
    <t>0.18002812473466834</t>
  </si>
  <si>
    <t>-0.10360396307347854</t>
  </si>
  <si>
    <t>-0.7080051782868928</t>
  </si>
  <si>
    <t>1.1546890257986355</t>
  </si>
  <si>
    <t>-0.43611651248803307</t>
  </si>
  <si>
    <t>-0.8451767148626054</t>
  </si>
  <si>
    <t>-0.05966331299984563</t>
  </si>
  <si>
    <t>-0.693033750627486</t>
  </si>
  <si>
    <t>0.04872959852727591</t>
  </si>
  <si>
    <t>-0.22003435716499703</t>
  </si>
  <si>
    <t>-0.12482324175343705</t>
  </si>
  <si>
    <t>-0.07845776912612037</t>
  </si>
  <si>
    <t>-0.7392458052841074</t>
  </si>
  <si>
    <t>-1.2449829403679644</t>
  </si>
  <si>
    <t>-0.32907051918587776</t>
  </si>
  <si>
    <t>0.7220433210976772</t>
  </si>
  <si>
    <t>-0.7658034452361704</t>
  </si>
  <si>
    <t>0.1508877732770206</t>
  </si>
  <si>
    <t>-0.5411952317656595</t>
  </si>
  <si>
    <t>2.2093793586077477</t>
  </si>
  <si>
    <t>-0.09109138374473993</t>
  </si>
  <si>
    <t>0.7743358250980417</t>
  </si>
  <si>
    <t>-0.965559113200787</t>
  </si>
  <si>
    <t>-0.21778231380598884</t>
  </si>
  <si>
    <t>0.46832422289791964</t>
  </si>
  <si>
    <t>-0.8015883789673289</t>
  </si>
  <si>
    <t>-0.3983488007669423</t>
  </si>
  <si>
    <t>0.5373424359006801</t>
  </si>
  <si>
    <t>1.546466089017882</t>
  </si>
  <si>
    <t>1.6789811736046736</t>
  </si>
  <si>
    <t>-0.038624144247144915</t>
  </si>
  <si>
    <t>-0.30197306947033514</t>
  </si>
  <si>
    <t>-1.5644080466096835</t>
  </si>
  <si>
    <t>0.40862356519162774</t>
  </si>
  <si>
    <t>1.5566744138195672</t>
  </si>
  <si>
    <t>0.30458314583810236</t>
  </si>
  <si>
    <t>-2.6500587352172023</t>
  </si>
  <si>
    <t>2.0812112181473705</t>
  </si>
  <si>
    <t>0.5772219750242943</t>
  </si>
  <si>
    <t>-0.5414639234357963</t>
  </si>
  <si>
    <t>-0.18053556515363942</t>
  </si>
  <si>
    <t>-0.7116183436298162</t>
  </si>
  <si>
    <t>0.3780791912868347</t>
  </si>
  <si>
    <t>0.05104396156105893</t>
  </si>
  <si>
    <t>2.961943300713763</t>
  </si>
  <si>
    <t>0.5684054071562453</t>
  </si>
  <si>
    <t>-1.0907779989875839</t>
  </si>
  <si>
    <t>-0.14842733687321094</t>
  </si>
  <si>
    <t>-1.1612391640471567</t>
  </si>
  <si>
    <t>1.3536170875063267</t>
  </si>
  <si>
    <t>0.11803457597847564</t>
  </si>
  <si>
    <t>0.12979439076434995</t>
  </si>
  <si>
    <t>3.5865780290330664</t>
  </si>
  <si>
    <t>0.6625832915523454</t>
  </si>
  <si>
    <t>1.8327041537753603</t>
  </si>
  <si>
    <t>0.9113173824503091</t>
  </si>
  <si>
    <t>-0.49105812495670337</t>
  </si>
  <si>
    <t>-0.23451455786623943</t>
  </si>
  <si>
    <t>-0.31358469856053683</t>
  </si>
  <si>
    <t>0.7884970009509924</t>
  </si>
  <si>
    <t>-0.2748772698220973</t>
  </si>
  <si>
    <t>0.5547488543058291</t>
  </si>
  <si>
    <t>-1.100881755298363</t>
  </si>
  <si>
    <t>1.857571111779987</t>
  </si>
  <si>
    <t>-0.19874286053708246</t>
  </si>
  <si>
    <t>1.0349113253533901</t>
  </si>
  <si>
    <t>0.15219234715669094</t>
  </si>
  <si>
    <t>-0.02710548497553898</t>
  </si>
  <si>
    <t>1.089524365636472</t>
  </si>
  <si>
    <t>-0.7635988330788689</t>
  </si>
  <si>
    <t>1.0337716319508286</t>
  </si>
  <si>
    <t>-0.8752465045959831</t>
  </si>
  <si>
    <t>-0.7178893337648546</t>
  </si>
  <si>
    <t>0.39312621651596275</t>
  </si>
  <si>
    <t>-0.36627327176179153</t>
  </si>
  <si>
    <t>-0.3564186221063769</t>
  </si>
  <si>
    <t>-0.004037050265808861</t>
  </si>
  <si>
    <t>-0.33204776869076535</t>
  </si>
  <si>
    <t>-0.0005329615903516117</t>
  </si>
  <si>
    <t>-0.004788899303807193</t>
  </si>
  <si>
    <t>0.38878121218336825</t>
  </si>
  <si>
    <t>-0.15597490600716427</t>
  </si>
  <si>
    <t>0.3014710804615297</t>
  </si>
  <si>
    <t>-0.4369110360972809</t>
  </si>
  <si>
    <t>-0.5981399643351087</t>
  </si>
  <si>
    <t>0.7331565994211624</t>
  </si>
  <si>
    <t>-0.03122517155022347</t>
  </si>
  <si>
    <t>0.6090441491955683</t>
  </si>
  <si>
    <t>-0.16013912126007096</t>
  </si>
  <si>
    <t>1.7392530086784403</t>
  </si>
  <si>
    <t>0.07914664913315755</t>
  </si>
  <si>
    <t>-2.037738740054404</t>
  </si>
  <si>
    <t>0.3633096193597805</t>
  </si>
  <si>
    <t>-0.31627361669043347</t>
  </si>
  <si>
    <t>0.5210969356057172</t>
  </si>
  <si>
    <t>-0.2860673948844277</t>
  </si>
  <si>
    <t>0.10505280888459838</t>
  </si>
  <si>
    <t>0.2855831558534796</t>
  </si>
  <si>
    <t>-0.21428022116486867</t>
  </si>
  <si>
    <t>-0.2620700429355051</t>
  </si>
  <si>
    <t>-0.1557429704102091</t>
  </si>
  <si>
    <t>0.26336447961427345</t>
  </si>
  <si>
    <t>-0.7853006763209911</t>
  </si>
  <si>
    <t>0.4720438828839632</t>
  </si>
  <si>
    <t>0.8455699847126545</t>
  </si>
  <si>
    <t>0.29577410076409716</t>
  </si>
  <si>
    <t>0.07896903168730243</t>
  </si>
  <si>
    <t>-0.04858094226998743</t>
  </si>
  <si>
    <t>0.5632195002763749</t>
  </si>
  <si>
    <t>-0.9708881381071398</t>
  </si>
  <si>
    <t>0.606300917656557</t>
  </si>
  <si>
    <t>0.4257687494497881</t>
  </si>
  <si>
    <t>-0.5579419758148715</t>
  </si>
  <si>
    <t>-0.4812855501868124</t>
  </si>
  <si>
    <t>0.5943089027364838</t>
  </si>
  <si>
    <t>-0.005040503092739365</t>
  </si>
  <si>
    <t>0.3785626326593113</t>
  </si>
  <si>
    <t>-0.36810255325958535</t>
  </si>
  <si>
    <t>0.46779820253183957</t>
  </si>
  <si>
    <t>-0.10964910430451547</t>
  </si>
  <si>
    <t>0.1870585213891284</t>
  </si>
  <si>
    <t>0.7969689469930865</t>
  </si>
  <si>
    <t>-0.07220962999070862</t>
  </si>
  <si>
    <t>-0.12206783290068779</t>
  </si>
  <si>
    <t>1.265815269728929</t>
  </si>
  <si>
    <t>-0.34984126222004713</t>
  </si>
  <si>
    <t>-0.6165673451193379</t>
  </si>
  <si>
    <t>0.5276521557298176</t>
  </si>
  <si>
    <t>-0.037834710487793445</t>
  </si>
  <si>
    <t>0.302577702736645</t>
  </si>
  <si>
    <t>0.4305724836037976</t>
  </si>
  <si>
    <t>-0.3918638941808786</t>
  </si>
  <si>
    <t>0.11863944595451219</t>
  </si>
  <si>
    <t>-0.723806171194354</t>
  </si>
  <si>
    <t>-0.6681614453505241</t>
  </si>
  <si>
    <t>0.614324939246008</t>
  </si>
  <si>
    <t>-0.6039089442242903</t>
  </si>
  <si>
    <t>0.11565956607095627</t>
  </si>
  <si>
    <t>0.5980866836345721</t>
  </si>
  <si>
    <t>-0.7174214053169776</t>
  </si>
  <si>
    <t>-0.1404315589816985</t>
  </si>
  <si>
    <t>0.4885162812337245</t>
  </si>
  <si>
    <t>0.39665706334970413</t>
  </si>
  <si>
    <t>-0.16514011485453733</t>
  </si>
  <si>
    <t>-0.6936499833040268</t>
  </si>
  <si>
    <t>0.40367992331870484</t>
  </si>
  <si>
    <t>0.24353596189297155</t>
  </si>
  <si>
    <t>-0.2754134180028982</t>
  </si>
  <si>
    <t>-0.11824264467076588</t>
  </si>
  <si>
    <t>-0.3639275277465112</t>
  </si>
  <si>
    <t>-0.4104671958702457</t>
  </si>
  <si>
    <t>-0.18882409725128052</t>
  </si>
  <si>
    <t>-0.5819539806701449</t>
  </si>
  <si>
    <t>0.6226589495111623</t>
  </si>
  <si>
    <t>-0.9800142855530662</t>
  </si>
  <si>
    <t>0.12442228846302197</t>
  </si>
  <si>
    <t>-0.6824606625560887</t>
  </si>
  <si>
    <t>-0.5161337527219955</t>
  </si>
  <si>
    <t>0.08242586096991208</t>
  </si>
  <si>
    <t>0.29786510769305913</t>
  </si>
  <si>
    <t>-0.21604801710494723</t>
  </si>
  <si>
    <t>0.3527017285818732</t>
  </si>
  <si>
    <t>-0.5582054950195724</t>
  </si>
  <si>
    <t>0.22614234465331137</t>
  </si>
  <si>
    <t>0.5596106305079305</t>
  </si>
  <si>
    <t>0.672900475568989</t>
  </si>
  <si>
    <t>-0.09670419204304882</t>
  </si>
  <si>
    <t>0.1383430779233754</t>
  </si>
  <si>
    <t>-0.21037776791791718</t>
  </si>
  <si>
    <t>0.33481925165864806</t>
  </si>
  <si>
    <t>0.17262856595540288</t>
  </si>
  <si>
    <t>0.5290197670461885</t>
  </si>
  <si>
    <t>0.5329684831602063</t>
  </si>
  <si>
    <t>0.12506615354141828</t>
  </si>
  <si>
    <t>-0.8610525887846293</t>
  </si>
  <si>
    <t>0.3123079148117554</t>
  </si>
  <si>
    <t>1.2605228583383472</t>
  </si>
  <si>
    <t>-0.28575102482276243</t>
  </si>
  <si>
    <t>-0.593909074789607</t>
  </si>
  <si>
    <t>-0.15926515428256846</t>
  </si>
  <si>
    <t>0.08293282742665066</t>
  </si>
  <si>
    <t>0.5807015369918779</t>
  </si>
  <si>
    <t>0.10733502528967462</t>
  </si>
  <si>
    <t>0.4004740517119169</t>
  </si>
  <si>
    <t>-0.34813889226428363</t>
  </si>
  <si>
    <t>-0.28950952654513357</t>
  </si>
  <si>
    <t>-0.02739179264205941</t>
  </si>
  <si>
    <t>-0.5111968408997393</t>
  </si>
  <si>
    <t>-0.3413383818684943</t>
  </si>
  <si>
    <t>-0.09851299819621043</t>
  </si>
  <si>
    <t>0.19440871347204855</t>
  </si>
  <si>
    <t>0.19747311318219563</t>
  </si>
  <si>
    <t>0.459489129289461</t>
  </si>
  <si>
    <t>-0.2885235762842499</t>
  </si>
  <si>
    <t>0.8358543236649155</t>
  </si>
  <si>
    <t>0.4658995799762673</t>
  </si>
  <si>
    <t>0.24146483144989267</t>
  </si>
  <si>
    <t>0.6426512106068363</t>
  </si>
  <si>
    <t>-0.3683427075526443</t>
  </si>
  <si>
    <t>-0.3715230619892287</t>
  </si>
  <si>
    <t>-0.23042437212723166</t>
  </si>
  <si>
    <t>-0.5662463426237049</t>
  </si>
  <si>
    <t>-0.3069650054187774</t>
  </si>
  <si>
    <t>-0.20593547839236787</t>
  </si>
  <si>
    <t>-0.4974508588633873</t>
  </si>
  <si>
    <t>-0.7807267415069958</t>
  </si>
  <si>
    <t>0.5051691012790663</t>
  </si>
  <si>
    <t>-1.2559174052945714</t>
  </si>
  <si>
    <t>1.7909148282340097</t>
  </si>
  <si>
    <t>-0.35408166522213275</t>
  </si>
  <si>
    <t>3.121703558205641</t>
  </si>
  <si>
    <t>-0.03032452778729874</t>
  </si>
  <si>
    <t>0.7770764469560053</t>
  </si>
  <si>
    <t>1.5429190022304338</t>
  </si>
  <si>
    <t>-0.2265833788193834</t>
  </si>
  <si>
    <t>0.7831089628186592</t>
  </si>
  <si>
    <t>-0.824565819194546</t>
  </si>
  <si>
    <t>-0.2214476153854845</t>
  </si>
  <si>
    <t>-2.120586579340562</t>
  </si>
  <si>
    <t>0.7419053272641276</t>
  </si>
  <si>
    <t>0.690769587657352</t>
  </si>
  <si>
    <t>-0.1681308333931055</t>
  </si>
  <si>
    <t>0.11374788096780362</t>
  </si>
  <si>
    <t>-0.15103954933466676</t>
  </si>
  <si>
    <t>2.6527102658150947</t>
  </si>
  <si>
    <t>0.43438958564780394</t>
  </si>
  <si>
    <t>0.7936681950046066</t>
  </si>
  <si>
    <t>-0.671857659549839</t>
  </si>
  <si>
    <t>-0.6281015853474375</t>
  </si>
  <si>
    <t>-1.1356069532020445</t>
  </si>
  <si>
    <t>0.41310323952201405</t>
  </si>
  <si>
    <t>0.8788611883128862</t>
  </si>
  <si>
    <t>2.694620965595708</t>
  </si>
  <si>
    <t>-0.33473094801167147</t>
  </si>
  <si>
    <t>1.9151644957845044</t>
  </si>
  <si>
    <t>0.9605363935912855</t>
  </si>
  <si>
    <t>1.8882416459422557</t>
  </si>
  <si>
    <t>0.7753665950505869</t>
  </si>
  <si>
    <t>2.3979151785628687</t>
  </si>
  <si>
    <t>0.5944253849178701</t>
  </si>
  <si>
    <t>-1.0186524473206995</t>
  </si>
  <si>
    <t>-1.2208764239216772</t>
  </si>
  <si>
    <t>0.06934550169256014</t>
  </si>
  <si>
    <t>-0.7363880684170317</t>
  </si>
  <si>
    <t>0.5907754966390871</t>
  </si>
  <si>
    <t>-0.14153904077543705</t>
  </si>
  <si>
    <t>-1.2823655103146205</t>
  </si>
  <si>
    <t>-0.8384918136334192</t>
  </si>
  <si>
    <t>3.0636173128980473</t>
  </si>
  <si>
    <t>-0.09040614055785076</t>
  </si>
  <si>
    <t>0.1623252524712777</t>
  </si>
  <si>
    <t>0.08459633923459099</t>
  </si>
  <si>
    <t>-0.6137496942690452</t>
  </si>
  <si>
    <t>-0.4368032596835557</t>
  </si>
  <si>
    <t>-1.3044854826753451</t>
  </si>
  <si>
    <t>0.9262344397338408</t>
  </si>
  <si>
    <t>-0.8957172585475589</t>
  </si>
  <si>
    <t>-0.038129365374070946</t>
  </si>
  <si>
    <t>-1.2299866811589715</t>
  </si>
  <si>
    <t>1.7703574583914257</t>
  </si>
  <si>
    <t>-0.019376091808049143</t>
  </si>
  <si>
    <t>0.46180404367412453</t>
  </si>
  <si>
    <t>0.4458153502368896</t>
  </si>
  <si>
    <t>-0.12347961319799462</t>
  </si>
  <si>
    <t>0.6574068544294037</t>
  </si>
  <si>
    <t>-0.4088287395397798</t>
  </si>
  <si>
    <t>0.9744212910329746</t>
  </si>
  <si>
    <t>-0.1091046355910598</t>
  </si>
  <si>
    <t>-1.6555136304241749</t>
  </si>
  <si>
    <t>0.4551174978744039</t>
  </si>
  <si>
    <t>0.08900691035795238</t>
  </si>
  <si>
    <t>-0.058137369119804834</t>
  </si>
  <si>
    <t>-0.33679706618216293</t>
  </si>
  <si>
    <t>1.2057357618335574</t>
  </si>
  <si>
    <t>1.098178093482675</t>
  </si>
  <si>
    <t>-0.9108786050015297</t>
  </si>
  <si>
    <t>-1.094275966566963</t>
  </si>
  <si>
    <t>-0.6118284720900381</t>
  </si>
  <si>
    <t>0.11105505054218141</t>
  </si>
  <si>
    <t>-0.424865547467965</t>
  </si>
  <si>
    <t>0.61855025307609</t>
  </si>
  <si>
    <t>0.8524979292912389</t>
  </si>
  <si>
    <t>-0.09009610172695587</t>
  </si>
  <si>
    <t>1.3071261432903245</t>
  </si>
  <si>
    <t>1.3069653998688868</t>
  </si>
  <si>
    <t>1.3161188661322385</t>
  </si>
  <si>
    <t>-2.7423741528082695</t>
  </si>
  <si>
    <t>2.437490493779521</t>
  </si>
  <si>
    <t>-0.5874670879903607</t>
  </si>
  <si>
    <t>-0.4202614635873546</t>
  </si>
  <si>
    <t>-1.124086047530807</t>
  </si>
  <si>
    <t>0.2941467183296503</t>
  </si>
  <si>
    <t>2.031360307096179</t>
  </si>
  <si>
    <t>-1.1428867477024665</t>
  </si>
  <si>
    <t>-0.5654505803618645</t>
  </si>
  <si>
    <t>0.14505329649589993</t>
  </si>
  <si>
    <t>0.19392466197358124</t>
  </si>
  <si>
    <t>0.5091611214169377</t>
  </si>
  <si>
    <t>-0.15399116727264128</t>
  </si>
  <si>
    <t>-0.012139549101287473</t>
  </si>
  <si>
    <t>0.7015867448675598</t>
  </si>
  <si>
    <t>-0.7644230010670627</t>
  </si>
  <si>
    <t>-0.6365911578718557</t>
  </si>
  <si>
    <t>1.0667117564386326</t>
  </si>
  <si>
    <t>0.2774211018147574</t>
  </si>
  <si>
    <t>0.6026076274925867</t>
  </si>
  <si>
    <t>0.45010529439569313</t>
  </si>
  <si>
    <t>0.9385120143877871</t>
  </si>
  <si>
    <t>0.4385396789710126</t>
  </si>
  <si>
    <t>1.5737070199394418</t>
  </si>
  <si>
    <t>-0.2343773098287648</t>
  </si>
  <si>
    <t>0.94435449628218</t>
  </si>
  <si>
    <t>0.1417895195357583</t>
  </si>
  <si>
    <t>-0.6108863478390597</t>
  </si>
  <si>
    <t>-0.5921062483878508</t>
  </si>
  <si>
    <t>0.7948500974384731</t>
  </si>
  <si>
    <t>1.5735844096141103</t>
  </si>
  <si>
    <t>-0.6923224885059185</t>
  </si>
  <si>
    <t>0.40020321349012716</t>
  </si>
  <si>
    <t>0.35999108531374757</t>
  </si>
  <si>
    <t>0.33791828940245716</t>
  </si>
  <si>
    <t>-0.5975518210063209</t>
  </si>
  <si>
    <t>1.1240907847479258</t>
  </si>
  <si>
    <t>-0.330360545615747</t>
  </si>
  <si>
    <t>0.8357516901698684</t>
  </si>
  <si>
    <t>-0.8000521977297218</t>
  </si>
  <si>
    <t>1.3909951757506265</t>
  </si>
  <si>
    <t>-0.9030818893809578</t>
  </si>
  <si>
    <t>-0.9629170391761913</t>
  </si>
  <si>
    <t>-0.6966878156850312</t>
  </si>
  <si>
    <t>0.0528878419179331</t>
  </si>
  <si>
    <t>0.15727569705412633</t>
  </si>
  <si>
    <t>-0.06114050478529564</t>
  </si>
  <si>
    <t>0.363962545004456</t>
  </si>
  <si>
    <t>1.3030664724912777</t>
  </si>
  <si>
    <t>-0.4579283618718966</t>
  </si>
  <si>
    <t>-0.25150540790779563</t>
  </si>
  <si>
    <t>-0.5582758377803937</t>
  </si>
  <si>
    <t>-0.13601509878429974</t>
  </si>
  <si>
    <t>0.7827143888017595</t>
  </si>
  <si>
    <t>0.6354785749494415</t>
  </si>
  <si>
    <t>-0.830868783042539</t>
  </si>
  <si>
    <t>-0.21284234410414282</t>
  </si>
  <si>
    <t>1.013445622526758</t>
  </si>
  <si>
    <t>2.3192451169198316</t>
  </si>
  <si>
    <t>-0.6092954305434046</t>
  </si>
  <si>
    <t>0.5742804201916654</t>
  </si>
  <si>
    <t>-0.5084952175374998</t>
  </si>
  <si>
    <t>0.16623144373155516</t>
  </si>
  <si>
    <t>0.8933530255066117</t>
  </si>
  <si>
    <t>0.196742900332108</t>
  </si>
  <si>
    <t>-0.03191645525997839</t>
  </si>
  <si>
    <t>1.0711296856567756</t>
  </si>
  <si>
    <t>-0.163959977037846</t>
  </si>
  <si>
    <t>-0.3842419858683303</t>
  </si>
  <si>
    <t>-0.39084081877184895</t>
  </si>
  <si>
    <t>0.5312062799996473</t>
  </si>
  <si>
    <t>-0.8351466703780087</t>
  </si>
  <si>
    <t>0.3076974248542924</t>
  </si>
  <si>
    <t>-1.9133988442304446</t>
  </si>
  <si>
    <t>0.8974228701084486</t>
  </si>
  <si>
    <t>-0.9145974643789291</t>
  </si>
  <si>
    <t>-2.4579562821382526</t>
  </si>
  <si>
    <t>0.03171641947211181</t>
  </si>
  <si>
    <t>-0.10325987455850014</t>
  </si>
  <si>
    <t>-0.11764060226377852</t>
  </si>
  <si>
    <t>0.7615692886241431</t>
  </si>
  <si>
    <t>-0.6466897780383581</t>
  </si>
  <si>
    <t>-0.36740881022995187</t>
  </si>
  <si>
    <t>-0.22446067249877483</t>
  </si>
  <si>
    <t>0.9269443242086701</t>
  </si>
  <si>
    <t>0.8281382320337491</t>
  </si>
  <si>
    <t>0.08820952241778386</t>
  </si>
  <si>
    <t>0.6377029912018016</t>
  </si>
  <si>
    <t>1.189674399206755</t>
  </si>
  <si>
    <t>-0.07547194927839626</t>
  </si>
  <si>
    <t>0.06266919153777058</t>
  </si>
  <si>
    <t>-1.2902073089422421</t>
  </si>
  <si>
    <t>-1.1158033169933923</t>
  </si>
  <si>
    <t>-0.27153433960604506</t>
  </si>
  <si>
    <t>0.5172465561854858</t>
  </si>
  <si>
    <t>0.03938075254266304</t>
  </si>
  <si>
    <t>0.792717753337811</t>
  </si>
  <si>
    <t>1.4452168594670132</t>
  </si>
  <si>
    <t>-0.6407377549487123</t>
  </si>
  <si>
    <t>1.5635617645009443</t>
  </si>
  <si>
    <t>0.9097269420981302</t>
  </si>
  <si>
    <t>0.1994052870762291</t>
  </si>
  <si>
    <t>-0.33791723646978244</t>
  </si>
  <si>
    <t>-0.42417157479125017</t>
  </si>
  <si>
    <t>1.0458300369003048</t>
  </si>
  <si>
    <t>0.05349036529759992</t>
  </si>
  <si>
    <t>0.6673758513686346</t>
  </si>
  <si>
    <t>-1.7221320311176995</t>
  </si>
  <si>
    <t>1.3103649183657526</t>
  </si>
  <si>
    <t>-0.39033740610113826</t>
  </si>
  <si>
    <t>-0.5378888312702803</t>
  </si>
  <si>
    <t>-2.007556412236889</t>
  </si>
  <si>
    <t>-0.8774678362575271</t>
  </si>
  <si>
    <t>1.4523294395269746</t>
  </si>
  <si>
    <t>1.4282432034984192</t>
  </si>
  <si>
    <t>-1.5323137398124809</t>
  </si>
  <si>
    <t>-2.0572108779045113</t>
  </si>
  <si>
    <t>0.17668092067262273</t>
  </si>
  <si>
    <t>-0.5078823094923095</t>
  </si>
  <si>
    <t>0.49433182778414414</t>
  </si>
  <si>
    <t>-0.2797259262495133</t>
  </si>
  <si>
    <t>-0.2375299814727783</t>
  </si>
  <si>
    <t>-1.3897040246572405</t>
  </si>
  <si>
    <t>0.6375063525919973</t>
  </si>
  <si>
    <t>0.5107188898090724</t>
  </si>
  <si>
    <t>0.8119170582914267</t>
  </si>
  <si>
    <t>-0.6824375914940696</t>
  </si>
  <si>
    <t>-0.237383177995116</t>
  </si>
  <si>
    <t>0.8728714715205264</t>
  </si>
  <si>
    <t>0.2338007917487037</t>
  </si>
  <si>
    <t>0.6560304673658273</t>
  </si>
  <si>
    <t>-0.9320130889544074</t>
  </si>
  <si>
    <t>0.0687992662548237</t>
  </si>
  <si>
    <t>-0.34920525749217424</t>
  </si>
  <si>
    <t>1.9417542167951591</t>
  </si>
  <si>
    <t>0.8957929930905459</t>
  </si>
  <si>
    <t>0.672925377691825</t>
  </si>
  <si>
    <t>0.6242818508846047</t>
  </si>
  <si>
    <t>-0.7364191689372022</t>
  </si>
  <si>
    <t>-0.5164923378868809</t>
  </si>
  <si>
    <t>-0.048098861606808</t>
  </si>
  <si>
    <t>-0.9926367463986054</t>
  </si>
  <si>
    <t>-0.3081935757281923</t>
  </si>
  <si>
    <t>1.0933446571956622</t>
  </si>
  <si>
    <t>0.4173996082634103</t>
  </si>
  <si>
    <t>-0.6560963405079507</t>
  </si>
  <si>
    <t>-2.167225743454544</t>
  </si>
  <si>
    <t>-1.07151748638807</t>
  </si>
  <si>
    <t>0.2504092018465278</t>
  </si>
  <si>
    <t>0.12112619011170554</t>
  </si>
  <si>
    <t>-0.0007919132805543185</t>
  </si>
  <si>
    <t>4.504067576040881</t>
  </si>
  <si>
    <t>-0.4204831624731724</t>
  </si>
  <si>
    <t>-0.14342058557330986</t>
  </si>
  <si>
    <t>0.1851492485580574</t>
  </si>
  <si>
    <t>1.012555319444195</t>
  </si>
  <si>
    <t>1.1586461086937403</t>
  </si>
  <si>
    <t>-0.03037060885404704</t>
  </si>
  <si>
    <t>-0.058883869197131025</t>
  </si>
  <si>
    <t>0.2924144694993997</t>
  </si>
  <si>
    <t>-0.5587978960033809</t>
  </si>
  <si>
    <t>-1.0403225546011656</t>
  </si>
  <si>
    <t>-1.1169087570732639</t>
  </si>
  <si>
    <t>0.5802181935873917</t>
  </si>
  <si>
    <t>-0.5694792648378101</t>
  </si>
  <si>
    <t>-0.03370586473617255</t>
  </si>
  <si>
    <t>0.29310046143969337</t>
  </si>
  <si>
    <t>0.8407096633497523</t>
  </si>
  <si>
    <t>0.032469487946565914</t>
  </si>
  <si>
    <t>1.239278260486352</t>
  </si>
  <si>
    <t>0.1048800312942533</t>
  </si>
  <si>
    <t>-0.045166037228679734</t>
  </si>
  <si>
    <t>0.9244771209689233</t>
  </si>
  <si>
    <t>-2.6186661309001518</t>
  </si>
  <si>
    <t>-2.335140876512484</t>
  </si>
  <si>
    <t>1.476237415778277</t>
  </si>
  <si>
    <t>1.8140929610306469</t>
  </si>
  <si>
    <t>-0.9049162200825327</t>
  </si>
  <si>
    <t>-1.1649440202115187</t>
  </si>
  <si>
    <t>1.0205930134044088</t>
  </si>
  <si>
    <t>-0.8247234669898243</t>
  </si>
  <si>
    <t>-0.6502808061793773</t>
  </si>
  <si>
    <t>2.053127547555635</t>
  </si>
  <si>
    <t>0.12479288534278543</t>
  </si>
  <si>
    <t>-0.19742737585082437</t>
  </si>
  <si>
    <t>-1.1725943506787277</t>
  </si>
  <si>
    <t>-1.5338423700756094</t>
  </si>
  <si>
    <t>0.08183469487250432</t>
  </si>
  <si>
    <t>-0.1473705661746149</t>
  </si>
  <si>
    <t>0.06313384406433707</t>
  </si>
  <si>
    <t>-0.03394592333363114</t>
  </si>
  <si>
    <t>0.9087273750415669</t>
  </si>
  <si>
    <t>-0.5277277365274882</t>
  </si>
  <si>
    <t>0.9070718848087956</t>
  </si>
  <si>
    <t>-1.2725258102563626</t>
  </si>
  <si>
    <t>0.20568539610059186</t>
  </si>
  <si>
    <t>0.5952463213377364</t>
  </si>
  <si>
    <t>0.19223951297722744</t>
  </si>
  <si>
    <t>-0.06542010078373822</t>
  </si>
  <si>
    <t>0.13448574942109198</t>
  </si>
  <si>
    <t>-0.10735620897702568</t>
  </si>
  <si>
    <t>0.3440119787978175</t>
  </si>
  <si>
    <t>-0.27895301358105695</t>
  </si>
  <si>
    <t>-1.4633633167713067</t>
  </si>
  <si>
    <t>0.7804255551929004</t>
  </si>
  <si>
    <t>1.1539947730480156</t>
  </si>
  <si>
    <t>-0.4022151973469234</t>
  </si>
  <si>
    <t>-0.22044274978714254</t>
  </si>
  <si>
    <t>-0.2818567355113459</t>
  </si>
  <si>
    <t>-0.5334838262102517</t>
  </si>
  <si>
    <t>-0.538784792159437</t>
  </si>
  <si>
    <t>-0.28259581935822464</t>
  </si>
  <si>
    <t>0.529159318666877</t>
  </si>
  <si>
    <t>0.24386957474199625</t>
  </si>
  <si>
    <t>-0.272377314647352</t>
  </si>
  <si>
    <t>-0.21127173324384596</t>
  </si>
  <si>
    <t>-0.219300604949621</t>
  </si>
  <si>
    <t>0.35113237293589594</t>
  </si>
  <si>
    <t>-0.4527987745227769</t>
  </si>
  <si>
    <t>0.120667070474132</t>
  </si>
  <si>
    <t>-0.16881632259851695</t>
  </si>
  <si>
    <t>-0.10254204360578877</t>
  </si>
  <si>
    <t>0.1618174602350321</t>
  </si>
  <si>
    <t>0.6510383179881551</t>
  </si>
  <si>
    <t>0.17260803515784112</t>
  </si>
  <si>
    <t>0.8144270878231916</t>
  </si>
  <si>
    <t>0.5314201318046655</t>
  </si>
  <si>
    <t>-0.18389278809958498</t>
  </si>
  <si>
    <t>0.1760933457243706</t>
  </si>
  <si>
    <t>-0.6061271064488161</t>
  </si>
  <si>
    <t>-1.821322730017168</t>
  </si>
  <si>
    <t>0.545337518886527</t>
  </si>
  <si>
    <t>-0.6192116101218617</t>
  </si>
  <si>
    <t>1.4880537439844645</t>
  </si>
  <si>
    <t>0.9816090810028267</t>
  </si>
  <si>
    <t>0.4631521344750834</t>
  </si>
  <si>
    <t>0.854503492034433</t>
  </si>
  <si>
    <t>0.19168167854410795</t>
  </si>
  <si>
    <t>-1.9157121138479896</t>
  </si>
  <si>
    <t>1.4642326871567026</t>
  </si>
  <si>
    <t>0.8979364853350861</t>
  </si>
  <si>
    <t>-0.3324395493865162</t>
  </si>
  <si>
    <t>0.19248094141532485</t>
  </si>
  <si>
    <t>-0.1253122978321463</t>
  </si>
  <si>
    <t>-0.4875199278725116</t>
  </si>
  <si>
    <t>-0.3115439894368332</t>
  </si>
  <si>
    <t>-0.46135740254050145</t>
  </si>
  <si>
    <t>0.4058544928975106</t>
  </si>
  <si>
    <t>0.7915561755965286</t>
  </si>
  <si>
    <t>-0.3894319853189586</t>
  </si>
  <si>
    <t>-0.3631633533785694</t>
  </si>
  <si>
    <t>0.05330258228063512</t>
  </si>
  <si>
    <t>0.6150660975014951</t>
  </si>
  <si>
    <t>0.37264789699832596</t>
  </si>
  <si>
    <t>0.060516425499728486</t>
  </si>
  <si>
    <t>0.9427602280057361</t>
  </si>
  <si>
    <t>-0.3556782157919224</t>
  </si>
  <si>
    <t>0.4860797123517777</t>
  </si>
  <si>
    <t>0.3982585310840026</t>
  </si>
  <si>
    <t>0.11426297491902145</t>
  </si>
  <si>
    <t>0.5100154963607784</t>
  </si>
  <si>
    <t>-0.4538578108744944</t>
  </si>
  <si>
    <t>0.12081787034864384</t>
  </si>
  <si>
    <t>0.2146241039509534</t>
  </si>
  <si>
    <t>-0.3699571368055577</t>
  </si>
  <si>
    <t>-0.43156510681943744</t>
  </si>
  <si>
    <t>-0.7772282909678432</t>
  </si>
  <si>
    <t>0.0663417297205013</t>
  </si>
  <si>
    <t>-0.3423000402827782</t>
  </si>
  <si>
    <t>-0.11751852124277015</t>
  </si>
  <si>
    <t>-0.005580832550571365</t>
  </si>
  <si>
    <t>-1.1073974184998854</t>
  </si>
  <si>
    <t>0.1661134714684235</t>
  </si>
  <si>
    <t>0.3793707521439928</t>
  </si>
  <si>
    <t>0.2663286672162177</t>
  </si>
  <si>
    <t>0.6531998015729136</t>
  </si>
  <si>
    <t>-0.01687744914392323</t>
  </si>
  <si>
    <t>0.08097585360413827</t>
  </si>
  <si>
    <t>-0.3421982915648397</t>
  </si>
  <si>
    <t>-0.4762939508777625</t>
  </si>
  <si>
    <t>0.5540961390538194</t>
  </si>
  <si>
    <t>0.12196832884021926</t>
  </si>
  <si>
    <t>0.30764332120620824</t>
  </si>
  <si>
    <t>0.011450544409473866</t>
  </si>
  <si>
    <t>-0.07582691783235308</t>
  </si>
  <si>
    <t>-0.10862330799552453</t>
  </si>
  <si>
    <t>-0.2394114042521682</t>
  </si>
  <si>
    <t>0.8172491115592689</t>
  </si>
  <si>
    <t>-0.3489968972212808</t>
  </si>
  <si>
    <t>0.40648241710961813</t>
  </si>
  <si>
    <t>-1.0165143318617385</t>
  </si>
  <si>
    <t>-1.1423733427344114</t>
  </si>
  <si>
    <t>-0.674839624540812</t>
  </si>
  <si>
    <t>-0.9058355212743446</t>
  </si>
  <si>
    <t>0.11847445555098554</t>
  </si>
  <si>
    <t>-0.3984771954847183</t>
  </si>
  <si>
    <t>-0.04025632029041009</t>
  </si>
  <si>
    <t>0.39134796073266787</t>
  </si>
  <si>
    <t>-0.5914927349599086</t>
  </si>
  <si>
    <t>1.6871773437761899</t>
  </si>
  <si>
    <t>-0.942497243937028</t>
  </si>
  <si>
    <t>-0.5766170948123684</t>
  </si>
  <si>
    <t>-0.41756812373608737</t>
  </si>
  <si>
    <t>-0.03746576113577226</t>
  </si>
  <si>
    <t>-0.6000513213662442</t>
  </si>
  <si>
    <t>0.1527248113421259</t>
  </si>
  <si>
    <t>0.3624647086981329</t>
  </si>
  <si>
    <t>-0.254170757679928</t>
  </si>
  <si>
    <t>0.1664392809118837</t>
  </si>
  <si>
    <t>-0.23598677930627354</t>
  </si>
  <si>
    <t>0.5100160202982292</t>
  </si>
  <si>
    <t>-0.5597672391411778</t>
  </si>
  <si>
    <t>0.706688896749155</t>
  </si>
  <si>
    <t>0.06636518342702767</t>
  </si>
  <si>
    <t>0.5897944051449829</t>
  </si>
  <si>
    <t>-0.5800449960823639</t>
  </si>
  <si>
    <t>-0.24825636548715882</t>
  </si>
  <si>
    <t>0.17998136481162258</t>
  </si>
  <si>
    <t>-0.4078298739347937</t>
  </si>
  <si>
    <t>-0.11815969950815912</t>
  </si>
  <si>
    <t>0.23145302504018048</t>
  </si>
  <si>
    <t>-0.4788720718273003</t>
  </si>
  <si>
    <t>-0.186196995947744</t>
  </si>
  <si>
    <t>0.01520886440911842</t>
  </si>
  <si>
    <t>0.9846387835381901</t>
  </si>
  <si>
    <t>-0.059268442072629914</t>
  </si>
  <si>
    <t>0.4389747409892755</t>
  </si>
  <si>
    <t>-0.19370108195983413</t>
  </si>
  <si>
    <t>-0.6096068771030708</t>
  </si>
  <si>
    <t>-0.2674529176688642</t>
  </si>
  <si>
    <t>0.3244061606840284</t>
  </si>
  <si>
    <t>0.03508412932230708</t>
  </si>
  <si>
    <t>0.6705209642204455</t>
  </si>
  <si>
    <t>-0.3286748779277142</t>
  </si>
  <si>
    <t>2.323444215269951</t>
  </si>
  <si>
    <t>0.932331863518877</t>
  </si>
  <si>
    <t>0.2785925410890234</t>
  </si>
  <si>
    <t>0.09001547375221648</t>
  </si>
  <si>
    <t>0.26615927049945104</t>
  </si>
  <si>
    <t>0.6717402286680972</t>
  </si>
  <si>
    <t>0.06731889809266114</t>
  </si>
  <si>
    <t>0.2662276160004118</t>
  </si>
  <si>
    <t>0.2696524981363273</t>
  </si>
  <si>
    <t>1.4404839414392825</t>
  </si>
  <si>
    <t>-0.758254330625951</t>
  </si>
  <si>
    <t>0.3618782144134183</t>
  </si>
  <si>
    <t>-0.26374824193796315</t>
  </si>
  <si>
    <t>-0.07093154400927246</t>
  </si>
  <si>
    <t>0.03148107566627513</t>
  </si>
  <si>
    <t>-0.5250201677565127</t>
  </si>
  <si>
    <t>-2.4361852558829673</t>
  </si>
  <si>
    <t>-0.7253279324027995</t>
  </si>
  <si>
    <t>0.09150426510181431</t>
  </si>
  <si>
    <t>0.10228012800351574</t>
  </si>
  <si>
    <t>-1.804264673979685</t>
  </si>
  <si>
    <t>-0.22508285243610548</t>
  </si>
  <si>
    <t>-0.2505349902517618</t>
  </si>
  <si>
    <t>-0.1178192668128522</t>
  </si>
  <si>
    <t>-0.6381642986089746</t>
  </si>
  <si>
    <t>-0.31952008816676875</t>
  </si>
  <si>
    <t>0.12751989600146998</t>
  </si>
  <si>
    <t>-1.4622182221187487</t>
  </si>
  <si>
    <t>0.2513621084243417</t>
  </si>
  <si>
    <t>0.18417049482759593</t>
  </si>
  <si>
    <t>0.04136547074467135</t>
  </si>
  <si>
    <t>-0.6364960236099876</t>
  </si>
  <si>
    <t>0.27105840962221783</t>
  </si>
  <si>
    <t>-0.050852493848425266</t>
  </si>
  <si>
    <t>-0.4609922014179986</t>
  </si>
  <si>
    <t>0.8726531355311272</t>
  </si>
  <si>
    <t>1.7080799694166617</t>
  </si>
  <si>
    <t>1.0324575146724717</t>
  </si>
  <si>
    <t>-0.18881893767010538</t>
  </si>
  <si>
    <t>0.18114669889767593</t>
  </si>
  <si>
    <t>-0.1811486931856857</t>
  </si>
  <si>
    <t>-0.38636402776959117</t>
  </si>
  <si>
    <t>0.5149466095088115</t>
  </si>
  <si>
    <t>-0.5671470272503792</t>
  </si>
  <si>
    <t>-0.4932603765417343</t>
  </si>
  <si>
    <t>0.7225404097268655</t>
  </si>
  <si>
    <t>-0.6216168359856729</t>
  </si>
  <si>
    <t>0.005690017609184041</t>
  </si>
  <si>
    <t>-0.10656378694643125</t>
  </si>
  <si>
    <t>0.4592129976428186</t>
  </si>
  <si>
    <t>-0.6483763658356562</t>
  </si>
  <si>
    <t>1.0698877281770671</t>
  </si>
  <si>
    <t>-0.4591767373587715</t>
  </si>
  <si>
    <t>1.0502101714353502</t>
  </si>
  <si>
    <t>-1.1994516534583792</t>
  </si>
  <si>
    <t>-0.6226877016590535</t>
  </si>
  <si>
    <t>-1.7484818743663308</t>
  </si>
  <si>
    <t>-0.5260342061192668</t>
  </si>
  <si>
    <t>-0.7239342033130497</t>
  </si>
  <si>
    <t>1.0355142573527727</t>
  </si>
  <si>
    <t>-0.01704506812171965</t>
  </si>
  <si>
    <t>1.3455899571862648</t>
  </si>
  <si>
    <t>0.5026045607242291</t>
  </si>
  <si>
    <t>-0.48913974302283</t>
  </si>
  <si>
    <t>-1.4881455349426498</t>
  </si>
  <si>
    <t>0.15119846167338705</t>
  </si>
  <si>
    <t>0.1483664209145035</t>
  </si>
  <si>
    <t>-1.067172726128545</t>
  </si>
  <si>
    <t>-0.5037134694049953</t>
  </si>
  <si>
    <t>0.5009384425594671</t>
  </si>
  <si>
    <t>0.11303002264202132</t>
  </si>
  <si>
    <t>0.1897999775946629</t>
  </si>
  <si>
    <t>-0.24091082691016094</t>
  </si>
  <si>
    <t>-0.4239245058828323</t>
  </si>
  <si>
    <t>0.6597753354504676</t>
  </si>
  <si>
    <t>-0.8182066029270805</t>
  </si>
  <si>
    <t>0.6146190478497343</t>
  </si>
  <si>
    <t>0.8339296091095822</t>
  </si>
  <si>
    <t>-0.6056912037408774</t>
  </si>
  <si>
    <t>-0.28815489280649614</t>
  </si>
  <si>
    <t>1.6975756714119925</t>
  </si>
  <si>
    <t>-0.510355168147654</t>
  </si>
  <si>
    <t>0.21101406098955225</t>
  </si>
  <si>
    <t>1.69825842058768</t>
  </si>
  <si>
    <t>-0.042812878063913665</t>
  </si>
  <si>
    <t>-0.6268580815879321</t>
  </si>
  <si>
    <t>-0.39846778745968764</t>
  </si>
  <si>
    <t>0.19256472752370443</t>
  </si>
  <si>
    <t>-2.927893606690961</t>
  </si>
  <si>
    <t>-0.149080489022576</t>
  </si>
  <si>
    <t>-0.9415759099612189</t>
  </si>
  <si>
    <t>0.2805160581513193</t>
  </si>
  <si>
    <t>0.3846658177489521</t>
  </si>
  <si>
    <t>-1.307996695315824</t>
  </si>
  <si>
    <t>0.5332183265220878</t>
  </si>
  <si>
    <t>0.3893448202258086</t>
  </si>
  <si>
    <t>-0.02661136362551876</t>
  </si>
  <si>
    <t>-0.8821424478113288</t>
  </si>
  <si>
    <t>-0.5686824608932712</t>
  </si>
  <si>
    <t>0.761437164015394</t>
  </si>
  <si>
    <t>0.662480720330286</t>
  </si>
  <si>
    <t>-0.3827609249696748</t>
  </si>
  <si>
    <t>0.4484667897613098</t>
  </si>
  <si>
    <t>-1.5505803355153374</t>
  </si>
  <si>
    <t>2.1022525801269913</t>
  </si>
  <si>
    <t>0.5607258340376633</t>
  </si>
  <si>
    <t>-0.04437369064574087</t>
  </si>
  <si>
    <t>0.12418588483193407</t>
  </si>
  <si>
    <t>0.5333175412685554</t>
  </si>
  <si>
    <t>0.14268201474728176</t>
  </si>
  <si>
    <t>-0.7633026139621764</t>
  </si>
  <si>
    <t>-0.257358782637383</t>
  </si>
  <si>
    <t>-0.08000086656282551</t>
  </si>
  <si>
    <t>-0.30932513705195686</t>
  </si>
  <si>
    <t>-0.00187438552186807</t>
  </si>
  <si>
    <t>0.8646354786321272</t>
  </si>
  <si>
    <t>-0.09884407443752208</t>
  </si>
  <si>
    <t>0.3049006770899124</t>
  </si>
  <si>
    <t>-0.32181579769930463</t>
  </si>
  <si>
    <t>-0.12688936986320884</t>
  </si>
  <si>
    <t>0.4326813276583571</t>
  </si>
  <si>
    <t>0.3239050951752794</t>
  </si>
  <si>
    <t>0.1464528757756559</t>
  </si>
  <si>
    <t>-0.9313730627573458</t>
  </si>
  <si>
    <t>-0.07796298903509762</t>
  </si>
  <si>
    <t>0.16212761461692898</t>
  </si>
  <si>
    <t>0.428143522643784</t>
  </si>
  <si>
    <t>0.38747238038136145</t>
  </si>
  <si>
    <t>0.9150669659195038</t>
  </si>
  <si>
    <t>0.10930238458957939</t>
  </si>
  <si>
    <t>-0.9077907509895716</t>
  </si>
  <si>
    <t>-0.19910340510305283</t>
  </si>
  <si>
    <t>-0.653027511161077</t>
  </si>
  <si>
    <t>-1.0260340269079475</t>
  </si>
  <si>
    <t>0.056065562779569145</t>
  </si>
  <si>
    <t>-0.17712826871139364</t>
  </si>
  <si>
    <t>-0.08299885247610082</t>
  </si>
  <si>
    <t>-0.39113570894280597</t>
  </si>
  <si>
    <t>0.4581609955500603</t>
  </si>
  <si>
    <t>0.7107699544291207</t>
  </si>
  <si>
    <t>0.39329372736774415</t>
  </si>
  <si>
    <t>-0.21705875798351587</t>
  </si>
  <si>
    <t>0.4413168812120918</t>
  </si>
  <si>
    <t>0.504010645610808</t>
  </si>
  <si>
    <t>0.060986208820970236</t>
  </si>
  <si>
    <t>0.1601349994761215</t>
  </si>
  <si>
    <t>-0.10180113490433419</t>
  </si>
  <si>
    <t>0.4377379119291598</t>
  </si>
  <si>
    <t>1.7702362901121986</t>
  </si>
  <si>
    <t>-0.46001346959021416</t>
  </si>
  <si>
    <t>0.21818932614606124</t>
  </si>
  <si>
    <t>-0.8659999183342598</t>
  </si>
  <si>
    <t>-0.32847965036278715</t>
  </si>
  <si>
    <t>0.4876332501942405</t>
  </si>
  <si>
    <t>-0.6429585412357937</t>
  </si>
  <si>
    <t>0.1202224712403268</t>
  </si>
  <si>
    <t>1.3676740287015259</t>
  </si>
  <si>
    <t>-0.10215972914104204</t>
  </si>
  <si>
    <t>-0.8016043433298169</t>
  </si>
  <si>
    <t>-0.6648721335227189</t>
  </si>
  <si>
    <t>0.05078810946449355</t>
  </si>
  <si>
    <t>-0.3493174026332928</t>
  </si>
  <si>
    <t>0.69091870404915</t>
  </si>
  <si>
    <t>-0.16986451894451013</t>
  </si>
  <si>
    <t>-0.48856409469485423</t>
  </si>
  <si>
    <t>0.02317370325563568</t>
  </si>
  <si>
    <t>0.7867379674591682</t>
  </si>
  <si>
    <t>0.27126888456377163</t>
  </si>
  <si>
    <t>0.14345642958398327</t>
  </si>
  <si>
    <t>0.6764789416238705</t>
  </si>
  <si>
    <t>0.15078287487137199</t>
  </si>
  <si>
    <t>-0.5569948274954231</t>
  </si>
  <si>
    <t>-0.27462035336175333</t>
  </si>
  <si>
    <t>-0.7575225055814823</t>
  </si>
  <si>
    <t>0.07520237128377098</t>
  </si>
  <si>
    <t>0.4551337819594352</t>
  </si>
  <si>
    <t>-0.7209502752383272</t>
  </si>
  <si>
    <t>-0.2654453140334014</t>
  </si>
  <si>
    <t>0.18760502279721866</t>
  </si>
  <si>
    <t>-0.2779690458630738</t>
  </si>
  <si>
    <t>1.1270513113653242</t>
  </si>
  <si>
    <t>-1.209261360623045</t>
  </si>
  <si>
    <t>-0.09848680974737575</t>
  </si>
  <si>
    <t>-0.49899780247645975</t>
  </si>
  <si>
    <t>-0.48337567402286385</t>
  </si>
  <si>
    <t>-0.2590947138663098</t>
  </si>
  <si>
    <t>-0.11155049023925309</t>
  </si>
  <si>
    <t>0.2967478109506407</t>
  </si>
  <si>
    <t>-0.8995033870352807</t>
  </si>
  <si>
    <t>0.2645196212772018</t>
  </si>
  <si>
    <t>0.405557100219198</t>
  </si>
  <si>
    <t>-1.4409144033461057</t>
  </si>
  <si>
    <t>-0.05610907235999989</t>
  </si>
  <si>
    <t>0.05752416539826651</t>
  </si>
  <si>
    <t>0.03806862024712884</t>
  </si>
  <si>
    <t>-0.4679617209894341</t>
  </si>
  <si>
    <t>-0.370072316855865</t>
  </si>
  <si>
    <t>-0.14262596873140929</t>
  </si>
  <si>
    <t>-0.6697374599067945</t>
  </si>
  <si>
    <t>-0.46498395364016976</t>
  </si>
  <si>
    <t>1.5260376529238024</t>
  </si>
  <si>
    <t>-0.3541125168680254</t>
  </si>
  <si>
    <t>-1.4777145900721254</t>
  </si>
  <si>
    <t>-0.16473831123402993</t>
  </si>
  <si>
    <t>-0.4107729231953055</t>
  </si>
  <si>
    <t>-0.40040305681150556</t>
  </si>
  <si>
    <t>0.12944571688021025</t>
  </si>
  <si>
    <t>-0.5707062385739566</t>
  </si>
  <si>
    <t>0.11935665118172019</t>
  </si>
  <si>
    <t>0.025732488404808126</t>
  </si>
  <si>
    <t>0.3389906396867195</t>
  </si>
  <si>
    <t>0.24453385554488163</t>
  </si>
  <si>
    <t>-0.07237529263048366</t>
  </si>
  <si>
    <t>0.5117375305968679</t>
  </si>
  <si>
    <t>-0.38291934719998777</t>
  </si>
  <si>
    <t>-0.037045057963034915</t>
  </si>
  <si>
    <t>-0.3250305245079827</t>
  </si>
  <si>
    <t>0.7530656466275937</t>
  </si>
  <si>
    <t>-0.12834603188202084</t>
  </si>
  <si>
    <t>-0.19692986809738178</t>
  </si>
  <si>
    <t>0.21877400675650951</t>
  </si>
  <si>
    <t>0.24880197575967064</t>
  </si>
  <si>
    <t>0.6071512874723216</t>
  </si>
  <si>
    <t>-0.4257953235389173</t>
  </si>
  <si>
    <t>0.12133876197720928</t>
  </si>
  <si>
    <t>-0.0027783655114980064</t>
  </si>
  <si>
    <t>0.8449057761305498</t>
  </si>
  <si>
    <t>0.22075767273249985</t>
  </si>
  <si>
    <t>-0.6876187865841886</t>
  </si>
  <si>
    <t>-0.7997489874400294</t>
  </si>
  <si>
    <t>-0.6126342787041817</t>
  </si>
  <si>
    <t>-0.2933734398313763</t>
  </si>
  <si>
    <t>-0.5253428117138635</t>
  </si>
  <si>
    <t>0.5018619219955425</t>
  </si>
  <si>
    <t>-0.1246764092410732</t>
  </si>
  <si>
    <t>-0.36684112098775423</t>
  </si>
  <si>
    <t>0.4478151947044048</t>
  </si>
  <si>
    <t>-0.4233733391428056</t>
  </si>
  <si>
    <t>-0.04923052753761816</t>
  </si>
  <si>
    <t>-0.3398712127449178</t>
  </si>
  <si>
    <t>-0.16791135226503937</t>
  </si>
  <si>
    <t>-0.2170930068421477</t>
  </si>
  <si>
    <t>-0.6093189625460669</t>
  </si>
  <si>
    <t>0.4457962455089825</t>
  </si>
  <si>
    <t>0.3472506879206105</t>
  </si>
  <si>
    <t>1.403979032585691</t>
  </si>
  <si>
    <t>0.18243257235028779</t>
  </si>
  <si>
    <t>0.0070732694675914596</t>
  </si>
  <si>
    <t>-0.2346206218472211</t>
  </si>
  <si>
    <t>0.1684530546321745</t>
  </si>
  <si>
    <t>0.2691410640935122</t>
  </si>
  <si>
    <t>0.6847380979450105</t>
  </si>
  <si>
    <t>-0.24483337546671055</t>
  </si>
  <si>
    <t>-0.05943219787468986</t>
  </si>
  <si>
    <t>0.010049008675036922</t>
  </si>
  <si>
    <t>-1.155071828768956</t>
  </si>
  <si>
    <t>-0.5773756767218831</t>
  </si>
  <si>
    <t>0.42835975072486077</t>
  </si>
  <si>
    <t>0.17894378459490748</t>
  </si>
  <si>
    <t>0.6638928771724723</t>
  </si>
  <si>
    <t>-0.3135399737897111</t>
  </si>
  <si>
    <t>0.008772020983581597</t>
  </si>
  <si>
    <t>-0.6639874395771239</t>
  </si>
  <si>
    <t>-0.0069279309492997244</t>
  </si>
  <si>
    <t>-0.7991790508602347</t>
  </si>
  <si>
    <t>0.3225988838903943</t>
  </si>
  <si>
    <t>0.7432345065654886</t>
  </si>
  <si>
    <t>0.17568480930775687</t>
  </si>
  <si>
    <t>-0.47651107104297924</t>
  </si>
  <si>
    <t>0.8392486307825325</t>
  </si>
  <si>
    <t>-0.7383345347363884</t>
  </si>
  <si>
    <t>-0.8228320591700247</t>
  </si>
  <si>
    <t>-0.12498977591992746</t>
  </si>
  <si>
    <t>-1.1606312300135577</t>
  </si>
  <si>
    <t>-0.42997993402842216</t>
  </si>
  <si>
    <t>-0.5359331963639461</t>
  </si>
  <si>
    <t>0.2709922267770635</t>
  </si>
  <si>
    <t>0.09274573805071357</t>
  </si>
  <si>
    <t>-0.1196258038250003</t>
  </si>
  <si>
    <t>0.09068714201051</t>
  </si>
  <si>
    <t>-0.4501888051379903</t>
  </si>
  <si>
    <t>-0.5465614881855967</t>
  </si>
  <si>
    <t>0.28949601629475136</t>
  </si>
  <si>
    <t>-0.8374533982007053</t>
  </si>
  <si>
    <t>0.4260160476709922</t>
  </si>
  <si>
    <t>-0.16071030544685572</t>
  </si>
  <si>
    <t>-0.3957456744779803</t>
  </si>
  <si>
    <t>-1.0309743994963307</t>
  </si>
  <si>
    <t>0.19075501441898707</t>
  </si>
  <si>
    <t>0.7335934483407924</t>
  </si>
  <si>
    <t>0.922494218479646</t>
  </si>
  <si>
    <t>-0.6057862525790285</t>
  </si>
  <si>
    <t>-0.15593426611473346</t>
  </si>
  <si>
    <t>-0.3943233159913937</t>
  </si>
  <si>
    <t>-0.5982521487245986</t>
  </si>
  <si>
    <t>0.3895064761080792</t>
  </si>
  <si>
    <t>-1.3652287919289885</t>
  </si>
  <si>
    <t>0.009115905171187122</t>
  </si>
  <si>
    <t>0.19321211080283915</t>
  </si>
  <si>
    <t>0.3010875764492398</t>
  </si>
  <si>
    <t>1.3130599411247077</t>
  </si>
  <si>
    <t>0.1512066310034752</t>
  </si>
  <si>
    <t>0.08417220372336459</t>
  </si>
  <si>
    <t>0.3622074565431364</t>
  </si>
  <si>
    <t>0.2459665616633579</t>
  </si>
  <si>
    <t>-0.5730165643371383</t>
  </si>
  <si>
    <t>-1.3675747787137635</t>
  </si>
  <si>
    <t>0.1680745570196286</t>
  </si>
  <si>
    <t>-0.5845100366095599</t>
  </si>
  <si>
    <t>-0.27922715722041735</t>
  </si>
  <si>
    <t>0.591437295935819</t>
  </si>
  <si>
    <t>-0.832328586149911</t>
  </si>
  <si>
    <t>-1.1943731436152507</t>
  </si>
  <si>
    <t>0.17076981168700503</t>
  </si>
  <si>
    <t>-0.4007226833352383</t>
  </si>
  <si>
    <t>0.5413993731520135</t>
  </si>
  <si>
    <t>0.3558813106591844</t>
  </si>
  <si>
    <t>0.5731913097205087</t>
  </si>
  <si>
    <t>0.37655130859326813</t>
  </si>
  <si>
    <t>-0.1878827305907508</t>
  </si>
  <si>
    <t>-0.35595107439328777</t>
  </si>
  <si>
    <t>-0.7169668922304541</t>
  </si>
  <si>
    <t>-0.18753142731981617</t>
  </si>
  <si>
    <t>0.6953104200440976</t>
  </si>
  <si>
    <t>-0.7515082746585038</t>
  </si>
  <si>
    <t>-0.6939194318605849</t>
  </si>
  <si>
    <t>0.3489190009970466</t>
  </si>
  <si>
    <t>-0.888940912961872</t>
  </si>
  <si>
    <t>-0.3001118784277939</t>
  </si>
  <si>
    <t>0.6144992069518145</t>
  </si>
  <si>
    <t>-0.577434241923632</t>
  </si>
  <si>
    <t>-0.26720421577506853</t>
  </si>
  <si>
    <t>-0.20761258315419667</t>
  </si>
  <si>
    <t>0.08827162511987216</t>
  </si>
  <si>
    <t>-0.7314230913592723</t>
  </si>
  <si>
    <t>0.9841854543890444</t>
  </si>
  <si>
    <t>0.23980864906962726</t>
  </si>
  <si>
    <t>-0.3328104806467804</t>
  </si>
  <si>
    <t>0.9031078229321181</t>
  </si>
  <si>
    <t>-1.6358511623990806</t>
  </si>
  <si>
    <t>0.4887407867316501</t>
  </si>
  <si>
    <t>-0.9355164012058921</t>
  </si>
  <si>
    <t>0.24484900612445606</t>
  </si>
  <si>
    <t>0.6815714240731836</t>
  </si>
  <si>
    <t>-0.09605659580563752</t>
  </si>
  <si>
    <t>-0.37033688568649703</t>
  </si>
  <si>
    <t>0.8932321652423526</t>
  </si>
  <si>
    <t>0.5712213924905079</t>
  </si>
  <si>
    <t>0.5770057692686936</t>
  </si>
  <si>
    <t>-2.177615341510929</t>
  </si>
  <si>
    <t>-1.9537805897829172</t>
  </si>
  <si>
    <t>0.07943421502134335</t>
  </si>
  <si>
    <t>0.05793383540288596</t>
  </si>
  <si>
    <t>-0.3690742220457129</t>
  </si>
  <si>
    <t>0.8988363403586691</t>
  </si>
  <si>
    <t>-0.49551698297788116</t>
  </si>
  <si>
    <t>0.5082455819036481</t>
  </si>
  <si>
    <t>0.5034102102825352</t>
  </si>
  <si>
    <t>0.33221185633391076</t>
  </si>
  <si>
    <t>-0.23782295187283772</t>
  </si>
  <si>
    <t>-1.184981970526909</t>
  </si>
  <si>
    <t>-0.6286612062855532</t>
  </si>
  <si>
    <t>0.21799120595117402</t>
  </si>
  <si>
    <t>0.6926949359257207</t>
  </si>
  <si>
    <t>-0.6885779515150438</t>
  </si>
  <si>
    <t>-0.11132501807708929</t>
  </si>
  <si>
    <t>0.23209103508856993</t>
  </si>
  <si>
    <t>-0.3494946076283342</t>
  </si>
  <si>
    <t>-0.5101871526171208</t>
  </si>
  <si>
    <t>0.25537327086884243</t>
  </si>
  <si>
    <t>0.12978265605447672</t>
  </si>
  <si>
    <t>0.8862953585752746</t>
  </si>
  <si>
    <t>0.0581660620921264</t>
  </si>
  <si>
    <t>-0.7284420391021366</t>
  </si>
  <si>
    <t>-1.2199152104079338</t>
  </si>
  <si>
    <t>1.2157509874884413</t>
  </si>
  <si>
    <t>0.1488051554672208</t>
  </si>
  <si>
    <t>0.7635902981332033</t>
  </si>
  <si>
    <t>0.8367926866582077</t>
  </si>
  <si>
    <t>1.3386177585718797</t>
  </si>
  <si>
    <t>-0.6039493986169492</t>
  </si>
  <si>
    <t>0.5453161415911661</t>
  </si>
  <si>
    <t>0.03995095796306455</t>
  </si>
  <si>
    <t>-0.8255604118671631</t>
  </si>
  <si>
    <t>-0.07000773338186711</t>
  </si>
  <si>
    <t>-1.5675019452907424</t>
  </si>
  <si>
    <t>0.5420635420347942</t>
  </si>
  <si>
    <t>0.26630671909562575</t>
  </si>
  <si>
    <t>0.18434974127062315</t>
  </si>
  <si>
    <t>-0.10509391507801082</t>
  </si>
  <si>
    <t>-1.0816232401911479</t>
  </si>
  <si>
    <t>-0.5113255869852368</t>
  </si>
  <si>
    <t>-0.4483913161506387</t>
  </si>
  <si>
    <t>0.7593369300244038</t>
  </si>
  <si>
    <t>0.9117871962402484</t>
  </si>
  <si>
    <t>-0.11879700329141767</t>
  </si>
  <si>
    <t>-0.9303478469388965</t>
  </si>
  <si>
    <t>0.8718416103733885</t>
  </si>
  <si>
    <t>0.3271395514533834</t>
  </si>
  <si>
    <t>-0.43152816655242293</t>
  </si>
  <si>
    <t>1.0105077979315493</t>
  </si>
  <si>
    <t>0.4485551059982659</t>
  </si>
  <si>
    <t>0.5673695070492979</t>
  </si>
  <si>
    <t>2.0765988293624518</t>
  </si>
  <si>
    <t>-0.6012425980582168</t>
  </si>
  <si>
    <t>-0.10716471439911388</t>
  </si>
  <si>
    <t>0.4841283302333881</t>
  </si>
  <si>
    <t>-0.09979094742137015</t>
  </si>
  <si>
    <t>-0.44301551460596883</t>
  </si>
  <si>
    <t>-0.352261676315042</t>
  </si>
  <si>
    <t>1.557800154410776</t>
  </si>
  <si>
    <t>0.7060615410385974</t>
  </si>
  <si>
    <t>-0.16550994475503192</t>
  </si>
  <si>
    <t>0.6134644024593292</t>
  </si>
  <si>
    <t>0.4349403784786457</t>
  </si>
  <si>
    <t>0.31583185809504954</t>
  </si>
  <si>
    <t>-0.6778330483499743</t>
  </si>
  <si>
    <t>-0.17077552723714196</t>
  </si>
  <si>
    <t>0.17290203495699846</t>
  </si>
  <si>
    <t>-0.13328623376256749</t>
  </si>
  <si>
    <t>0.7570242861789057</t>
  </si>
  <si>
    <t>0.20654447099642195</t>
  </si>
  <si>
    <t>1.554654919295403</t>
  </si>
  <si>
    <t>1.078174932143734</t>
  </si>
  <si>
    <t>-0.1636929225090295</t>
  </si>
  <si>
    <t>-1.029910884399837</t>
  </si>
  <si>
    <t>0.7602690032092057</t>
  </si>
  <si>
    <t>-0.8764241083560627</t>
  </si>
  <si>
    <t>-0.08299725786479542</t>
  </si>
  <si>
    <t>-0.42888859300426163</t>
  </si>
  <si>
    <t>-0.4649409681115779</t>
  </si>
  <si>
    <t>0.01455547682182851</t>
  </si>
  <si>
    <t>0.5319469355788601</t>
  </si>
  <si>
    <t>-0.3599875256129123</t>
  </si>
  <si>
    <t>-0.7772397579603985</t>
  </si>
  <si>
    <t>0.6154773681004061</t>
  </si>
  <si>
    <t>0.5117075010639067</t>
  </si>
  <si>
    <t>-1.0810394724179455</t>
  </si>
  <si>
    <t>-0.17698439046541625</t>
  </si>
  <si>
    <t>0.8339147591992734</t>
  </si>
  <si>
    <t>-0.3446150237920167</t>
  </si>
  <si>
    <t>-1.1507218689113452</t>
  </si>
  <si>
    <t>1.3672956845987827</t>
  </si>
  <si>
    <t>0.6001878304103659</t>
  </si>
  <si>
    <t>-0.05004442848189188</t>
  </si>
  <si>
    <t>-1.1247495461686752</t>
  </si>
  <si>
    <t>-1.3865761620411328</t>
  </si>
  <si>
    <t>-0.3317318305617089</t>
  </si>
  <si>
    <t>-0.38196742271275747</t>
  </si>
  <si>
    <t>-0.56586315343769</t>
  </si>
  <si>
    <t>0.9631559642398294</t>
  </si>
  <si>
    <t>-0.929390335587733</t>
  </si>
  <si>
    <t>0.5096071015522824</t>
  </si>
  <si>
    <t>0.5671539535693928</t>
  </si>
  <si>
    <t>-0.3815895582031551</t>
  </si>
  <si>
    <t>0.34230023840874707</t>
  </si>
  <si>
    <t>-0.3274486160027434</t>
  </si>
  <si>
    <t>0.6934096650424294</t>
  </si>
  <si>
    <t>-0.3283873117256096</t>
  </si>
  <si>
    <t>-0.25382749457562465</t>
  </si>
  <si>
    <t>0.6018838051728188</t>
  </si>
  <si>
    <t>-0.4322602435154226</t>
  </si>
  <si>
    <t>0.4633926067113901</t>
  </si>
  <si>
    <t>1.3686299072401147</t>
  </si>
  <si>
    <t>0.5746012393461617</t>
  </si>
  <si>
    <t>0.8188177797280896</t>
  </si>
  <si>
    <t>1.8018411414020525</t>
  </si>
  <si>
    <t>-1.3255472207291017</t>
  </si>
  <si>
    <t>-1.4850582515388284</t>
  </si>
  <si>
    <t>0.40262579151596944</t>
  </si>
  <si>
    <t>-0.22840773359047048</t>
  </si>
  <si>
    <t>-0.2478121622558845</t>
  </si>
  <si>
    <t>0.8205231106593229</t>
  </si>
  <si>
    <t>1.2787039698513147</t>
  </si>
  <si>
    <t>-0.6629229137579318</t>
  </si>
  <si>
    <t>-0.5040409107574917</t>
  </si>
  <si>
    <t>0.5454721549597608</t>
  </si>
  <si>
    <t>-1.1967012172234848</t>
  </si>
  <si>
    <t>-0.33033415710654884</t>
  </si>
  <si>
    <t>-0.5704229399690445</t>
  </si>
  <si>
    <t>0.2954182877405928</t>
  </si>
  <si>
    <t>1.0662341658992878</t>
  </si>
  <si>
    <t>-0.5238967477940509</t>
  </si>
  <si>
    <t>-0.2000764110071758</t>
  </si>
  <si>
    <t>-0.08365081335706319</t>
  </si>
  <si>
    <t>-0.9375964044200463</t>
  </si>
  <si>
    <t>0.49055992059866793</t>
  </si>
  <si>
    <t>-0.38337193729946994</t>
  </si>
  <si>
    <t>-1.047433927930316</t>
  </si>
  <si>
    <t>1.7765972048670304</t>
  </si>
  <si>
    <t>-1.6370491266405054</t>
  </si>
  <si>
    <t>1.2912976998709462</t>
  </si>
  <si>
    <t>0.3272026624461176</t>
  </si>
  <si>
    <t>-0.1382456697409868</t>
  </si>
  <si>
    <t>0.7815014562708507</t>
  </si>
  <si>
    <t>-1.2702364328089124</t>
  </si>
  <si>
    <t>0.010659119293978475</t>
  </si>
  <si>
    <t>0.4728905344887795</t>
  </si>
  <si>
    <t>-0.1076129923912672</t>
  </si>
  <si>
    <t>-0.1087092150376856</t>
  </si>
  <si>
    <t>-0.16021566118602348</t>
  </si>
  <si>
    <t>-0.2350523414073163</t>
  </si>
  <si>
    <t>-0.506929062130488</t>
  </si>
  <si>
    <t>-0.2487421517916897</t>
  </si>
  <si>
    <t>0.08751541972209795</t>
  </si>
  <si>
    <t>-0.6178137330671087</t>
  </si>
  <si>
    <t>0.4345190464721301</t>
  </si>
  <si>
    <t>-0.07627314848776535</t>
  </si>
  <si>
    <t>0.7244730560871098</t>
  </si>
  <si>
    <t>0.5398258172877626</t>
  </si>
  <si>
    <t>0.34540226832747756</t>
  </si>
  <si>
    <t>0.5311793319043981</t>
  </si>
  <si>
    <t>0.3893494744707634</t>
  </si>
  <si>
    <t>0.9979952745752279</t>
  </si>
  <si>
    <t>1.0938354350061001</t>
  </si>
  <si>
    <t>-0.006618207636982527</t>
  </si>
  <si>
    <t>0.17125281796188938</t>
  </si>
  <si>
    <t>-0.6522480370429029</t>
  </si>
  <si>
    <t>0.03038987141867098</t>
  </si>
  <si>
    <t>0.2277851525724018</t>
  </si>
  <si>
    <t>1.5778041330895787</t>
  </si>
  <si>
    <t>-0.2241246235439331</t>
  </si>
  <si>
    <t>0.06681242475403715</t>
  </si>
  <si>
    <t>1.1167574101514335</t>
  </si>
  <si>
    <t>0.9059646245634165</t>
  </si>
  <si>
    <t>0.9276052065414263</t>
  </si>
  <si>
    <t>-1.0967500841092654</t>
  </si>
  <si>
    <t>0.08798553966624043</t>
  </si>
  <si>
    <t>0.015787353814756162</t>
  </si>
  <si>
    <t>1.1896066462882946</t>
  </si>
  <si>
    <t>-1.7211185257752362</t>
  </si>
  <si>
    <t>-0.7004797423548009</t>
  </si>
  <si>
    <t>2.2208294275284133</t>
  </si>
  <si>
    <t>-3.244560143311903</t>
  </si>
  <si>
    <t>-0.5707405647093619</t>
  </si>
  <si>
    <t>-0.36328874777228937</t>
  </si>
  <si>
    <t>0.0398072309817624</t>
  </si>
  <si>
    <t>-0.5764494468625412</t>
  </si>
  <si>
    <t>-1.5929963976184707</t>
  </si>
  <si>
    <t>-0.3357106505432845</t>
  </si>
  <si>
    <t>1.0334545886590898</t>
  </si>
  <si>
    <t>0.1891494452472874</t>
  </si>
  <si>
    <t>-0.2159241415283635</t>
  </si>
  <si>
    <t>-0.9485356576710358</t>
  </si>
  <si>
    <t>-0.7562249091915596</t>
  </si>
  <si>
    <t>0.6539664555447781</t>
  </si>
  <si>
    <t>-0.5939875516012472</t>
  </si>
  <si>
    <t>-1.2026962520057993</t>
  </si>
  <si>
    <t>0.24692162676063537</t>
  </si>
  <si>
    <t>0.5180248008460512</t>
  </si>
  <si>
    <t>-0.7371830545781833</t>
  </si>
  <si>
    <t>-0.18634707763728367</t>
  </si>
  <si>
    <t>-0.09543136184692873</t>
  </si>
  <si>
    <t>0.71024909143719</t>
  </si>
  <si>
    <t>0.8846294573712324</t>
  </si>
  <si>
    <t>0.11730299318181578</t>
  </si>
  <si>
    <t>0.09535203863718311</t>
  </si>
  <si>
    <t>1.0445009598864372</t>
  </si>
  <si>
    <t>-0.3808508505057686</t>
  </si>
  <si>
    <t>0.6837592542679707</t>
  </si>
  <si>
    <t>0.8627061286315296</t>
  </si>
  <si>
    <t>0.9668042053062926</t>
  </si>
  <si>
    <t>0.03544368083040704</t>
  </si>
  <si>
    <t>0.3721965531448071</t>
  </si>
  <si>
    <t>0.3865730293259371</t>
  </si>
  <si>
    <t>-1.1050730388642542</t>
  </si>
  <si>
    <t>0.201265005759934</t>
  </si>
  <si>
    <t>-1.4485448592180992</t>
  </si>
  <si>
    <t>-1.9487296405313286</t>
  </si>
  <si>
    <t>2.029597056688378</t>
  </si>
  <si>
    <t>-0.4419699929371146</t>
  </si>
  <si>
    <t>-0.9015867472229947</t>
  </si>
  <si>
    <t>0.8879554901070761</t>
  </si>
  <si>
    <t>-0.6381741651836047</t>
  </si>
  <si>
    <t>-1.3498902232869259</t>
  </si>
  <si>
    <t>1.2449071807053993</t>
  </si>
  <si>
    <t>-1.1616761407335294</t>
  </si>
  <si>
    <t>-0.35610721035448556</t>
  </si>
  <si>
    <t>-0.4519499721977373</t>
  </si>
  <si>
    <t>-0.7361252459924104</t>
  </si>
  <si>
    <t>-1.9012962344006148</t>
  </si>
  <si>
    <t>0.8346145766917523</t>
  </si>
  <si>
    <t>0.4635949548527941</t>
  </si>
  <si>
    <t>0.8068523612631279</t>
  </si>
  <si>
    <t>-0.14668699952614958</t>
  </si>
  <si>
    <t>0.41641294864658107</t>
  </si>
  <si>
    <t>0.05001725261468027</t>
  </si>
  <si>
    <t>-0.0786504140353744</t>
  </si>
  <si>
    <t>0.014248552811457633</t>
  </si>
  <si>
    <t>-0.38094128505088326</t>
  </si>
  <si>
    <t>-0.3799944234710714</t>
  </si>
  <si>
    <t>-0.3129344638536131</t>
  </si>
  <si>
    <t>-0.22329589968127644</t>
  </si>
  <si>
    <t>0.8114410651616979</t>
  </si>
  <si>
    <t>-0.14428770795918838</t>
  </si>
  <si>
    <t>0.1848415194716085</t>
  </si>
  <si>
    <t>0.16084593578936712</t>
  </si>
  <si>
    <t>1.1590866507803077</t>
  </si>
  <si>
    <t>-1.6131451633062748</t>
  </si>
  <si>
    <t>-0.5529408008525059</t>
  </si>
  <si>
    <t>-0.5560060975275768</t>
  </si>
  <si>
    <t>-0.3585594971064851</t>
  </si>
  <si>
    <t>-0.7286922454176011</t>
  </si>
  <si>
    <t>-0.6669160824972343</t>
  </si>
  <si>
    <t>1.3054007997332349</t>
  </si>
  <si>
    <t>-0.7586899985540992</t>
  </si>
  <si>
    <t>-0.7357620113355986</t>
  </si>
  <si>
    <t>1.1808507011123688</t>
  </si>
  <si>
    <t>-1.3971169139917992</t>
  </si>
  <si>
    <t>0.4814290645956083</t>
  </si>
  <si>
    <t>0.1852823345089375</t>
  </si>
  <si>
    <t>0.5609279365678711</t>
  </si>
  <si>
    <t>-1.489824728451049</t>
  </si>
  <si>
    <t>1.2731702656434853</t>
  </si>
  <si>
    <t>-0.15799479899860025</t>
  </si>
  <si>
    <t>-0.5587780410359655</t>
  </si>
  <si>
    <t>0.29675450454854513</t>
  </si>
  <si>
    <t>-0.4317452122639287</t>
  </si>
  <si>
    <t>-0.14362894497368847</t>
  </si>
  <si>
    <t>0.23176249138872487</t>
  </si>
  <si>
    <t>0.6943920807840345</t>
  </si>
  <si>
    <t>-0.40352060693318453</t>
  </si>
  <si>
    <t>-0.6499154397293853</t>
  </si>
  <si>
    <t>0.2983392775001189</t>
  </si>
  <si>
    <t>1.169289268049491</t>
  </si>
  <si>
    <t>-0.5916627996656029</t>
  </si>
  <si>
    <t>-0.794316307392847</t>
  </si>
  <si>
    <t>-0.695752702550389</t>
  </si>
  <si>
    <t>0.08237247829807592</t>
  </si>
  <si>
    <t>0.31857455210521174</t>
  </si>
  <si>
    <t>0.06540125964580261</t>
  </si>
  <si>
    <t>1.1466686032199835</t>
  </si>
  <si>
    <t>-0.1539719030547588</t>
  </si>
  <si>
    <t>-0.8959643681300319</t>
  </si>
  <si>
    <t>0.10485418553731168</t>
  </si>
  <si>
    <t>-0.8779310152818541</t>
  </si>
  <si>
    <t>0.43543472236455033</t>
  </si>
  <si>
    <t>0.5957811440603766</t>
  </si>
  <si>
    <t>0.19189759099943213</t>
  </si>
  <si>
    <t>1.5678210897745737</t>
  </si>
  <si>
    <t>0.13413590496167999</t>
  </si>
  <si>
    <t>0.7632840466597092</t>
  </si>
  <si>
    <t>0.14038639427640395</t>
  </si>
  <si>
    <t>-0.550170145341042</t>
  </si>
  <si>
    <t>0.0815108540641744</t>
  </si>
  <si>
    <t>-0.25124643498084404</t>
  </si>
  <si>
    <t>0.014556790419128052</t>
  </si>
  <si>
    <t>0.1798482919618551</t>
  </si>
  <si>
    <t>0.5869259298120991</t>
  </si>
  <si>
    <t>-0.2803381730034748</t>
  </si>
  <si>
    <t>1.0147233114926033</t>
  </si>
  <si>
    <t>-0.9901706944099089</t>
  </si>
  <si>
    <t>0.06653569893411845</t>
  </si>
  <si>
    <t>0.33672269158134244</t>
  </si>
  <si>
    <t>1.5913911909298617</t>
  </si>
  <si>
    <t>-0.7960847422482827</t>
  </si>
  <si>
    <t>-1.2922797723914297</t>
  </si>
  <si>
    <t>-0.4692085037125793</t>
  </si>
  <si>
    <t>0.08661144933102234</t>
  </si>
  <si>
    <t>0.7080317151964503</t>
  </si>
  <si>
    <t>-0.2899246073539874</t>
  </si>
  <si>
    <t>-0.6985341018236308</t>
  </si>
  <si>
    <t>-0.7933843802143242</t>
  </si>
  <si>
    <t>1.6854271076531344</t>
  </si>
  <si>
    <t>-0.09283378209425318</t>
  </si>
  <si>
    <t>-0.1345905662480649</t>
  </si>
  <si>
    <t>-0.15040287029396956</t>
  </si>
  <si>
    <t>-0.5872429256003265</t>
  </si>
  <si>
    <t>0.17443111447219212</t>
  </si>
  <si>
    <t>-0.05873632577147269</t>
  </si>
  <si>
    <t>-0.3311041350752047</t>
  </si>
  <si>
    <t>1.5037958674878598</t>
  </si>
  <si>
    <t>-0.06622747231272792</t>
  </si>
  <si>
    <t>-0.6197315631266965</t>
  </si>
  <si>
    <t>1.488395518589647</t>
  </si>
  <si>
    <t>-0.4122258006224388</t>
  </si>
  <si>
    <t>-0.3944552774762768</t>
  </si>
  <si>
    <t>0.34230961983981395</t>
  </si>
  <si>
    <t>0.19127658124183178</t>
  </si>
  <si>
    <t>-0.25210974728494956</t>
  </si>
  <si>
    <t>0.8627497852397363</t>
  </si>
  <si>
    <t>-0.45343036675881665</t>
  </si>
  <si>
    <t>0.21570536709373447</t>
  </si>
  <si>
    <t>0.19411186956374318</t>
  </si>
  <si>
    <t>-0.12490226409538922</t>
  </si>
  <si>
    <t>0.007904450882361537</t>
  </si>
  <si>
    <t>0.3405806761076291</t>
  </si>
  <si>
    <t>-0.22876357630363064</t>
  </si>
  <si>
    <t>0.5901213072108952</t>
  </si>
  <si>
    <t>0.05112974499373762</t>
  </si>
  <si>
    <t>-0.3885763865497446</t>
  </si>
  <si>
    <t>-0.7680164821343864</t>
  </si>
  <si>
    <t>0.05216393756726554</t>
  </si>
  <si>
    <t>-0.09631082212546467</t>
  </si>
  <si>
    <t>0.602109547778511</t>
  </si>
  <si>
    <t>-0.45511090501201645</t>
  </si>
  <si>
    <t>0.3921168375319603</t>
  </si>
  <si>
    <t>-0.355018204009918</t>
  </si>
  <si>
    <t>0.18610590164859717</t>
  </si>
  <si>
    <t>0.39842028736635776</t>
  </si>
  <si>
    <t>-0.9127049326426558</t>
  </si>
  <si>
    <t>1.2634420979682237</t>
  </si>
  <si>
    <t>-0.7928465618825519</t>
  </si>
  <si>
    <t>1.1085321665921164</t>
  </si>
  <si>
    <t>-0.1306364283063532</t>
  </si>
  <si>
    <t>-0.6899201526395691</t>
  </si>
  <si>
    <t>-0.6165816904183983</t>
  </si>
  <si>
    <t>-0.4640305451103958</t>
  </si>
  <si>
    <t>-0.28114183098999146</t>
  </si>
  <si>
    <t>-0.015977142366086442</t>
  </si>
  <si>
    <t>0.40646231011908224</t>
  </si>
  <si>
    <t>-0.35728888718466967</t>
  </si>
  <si>
    <t>-0.7508602884008567</t>
  </si>
  <si>
    <t>-0.06406989043865122</t>
  </si>
  <si>
    <t>0.00638794961766796</t>
  </si>
  <si>
    <t>1.0117958084541951</t>
  </si>
  <si>
    <t>0.3736266006249991</t>
  </si>
  <si>
    <t>0.5408166347297219</t>
  </si>
  <si>
    <t>-1.514466191738076</t>
  </si>
  <si>
    <t>-0.16129718338748456</t>
  </si>
  <si>
    <t>0.3870597539430368</t>
  </si>
  <si>
    <t>-0.11469895823581487</t>
  </si>
  <si>
    <t>0.12113457945658043</t>
  </si>
  <si>
    <t>0.30922384724571716</t>
  </si>
  <si>
    <t>0.51464418774248</t>
  </si>
  <si>
    <t>-0.07517673872041258</t>
  </si>
  <si>
    <t>-0.10806768013320464</t>
  </si>
  <si>
    <t>-0.24001215434099407</t>
  </si>
  <si>
    <t>0.20200424695620006</t>
  </si>
  <si>
    <t>0.8828067056286305</t>
  </si>
  <si>
    <t>-0.7031703912721664</t>
  </si>
  <si>
    <t>0.1997842998483289</t>
  </si>
  <si>
    <t>0.1096422081001857</t>
  </si>
  <si>
    <t>0.08135156534672872</t>
  </si>
  <si>
    <t>-0.1438406427696972</t>
  </si>
  <si>
    <t>0.48557667359955986</t>
  </si>
  <si>
    <t>0.1851046756117529</t>
  </si>
  <si>
    <t>-1.4144127442148138</t>
  </si>
  <si>
    <t>-0.27359279082102733</t>
  </si>
  <si>
    <t>1.4496296560105604</t>
  </si>
  <si>
    <t>0.6478198892691509</t>
  </si>
  <si>
    <t>0.35046369539664973</t>
  </si>
  <si>
    <t>1.0527266028674618</t>
  </si>
  <si>
    <t>-0.22714704761191173</t>
  </si>
  <si>
    <t>-0.310204260424875</t>
  </si>
  <si>
    <t>0.008955417025067948</t>
  </si>
  <si>
    <t>0.4497963916455641</t>
  </si>
  <si>
    <t>0.3632908236695365</t>
  </si>
  <si>
    <t>-0.10131224717149419</t>
  </si>
  <si>
    <t>-0.08044909662667324</t>
  </si>
  <si>
    <t>-0.4688967930004654</t>
  </si>
  <si>
    <t>0.2663386131104494</t>
  </si>
  <si>
    <t>0.10352008656271817</t>
  </si>
  <si>
    <t>0.2244997223544333</t>
  </si>
  <si>
    <t>0.06665486919391944</t>
  </si>
  <si>
    <t>0.9253443110085882</t>
  </si>
  <si>
    <t>0.07289336228709042</t>
  </si>
  <si>
    <t>-0.5373493299868377</t>
  </si>
  <si>
    <t>0.18100452620488416</t>
  </si>
  <si>
    <t>-0.8523604570398674</t>
  </si>
  <si>
    <t>0.542490576616109</t>
  </si>
  <si>
    <t>-0.46608440439043647</t>
  </si>
  <si>
    <t>1.1436466595230792</t>
  </si>
  <si>
    <t>-0.7282009698359944</t>
  </si>
  <si>
    <t>0.23592348201974503</t>
  </si>
  <si>
    <t>0.3855675133194298</t>
  </si>
  <si>
    <t>-0.5197509697839815</t>
  </si>
  <si>
    <t>1.5542071590341424</t>
  </si>
  <si>
    <t>-0.38232076424471473</t>
  </si>
  <si>
    <t>-0.9383175867887195</t>
  </si>
  <si>
    <t>0.530976633129818</t>
  </si>
  <si>
    <t>0.6078174167492648</t>
  </si>
  <si>
    <t>-0.21739993018299977</t>
  </si>
  <si>
    <t>0.11696015492605334</t>
  </si>
  <si>
    <t>0.3604401125084941</t>
  </si>
  <si>
    <t>-0.5372163658440445</t>
  </si>
  <si>
    <t>0.6716514777587437</t>
  </si>
  <si>
    <t>0.9055138581960605</t>
  </si>
  <si>
    <t>0.09005378239129677</t>
  </si>
  <si>
    <t>0.6081855117987787</t>
  </si>
  <si>
    <t>0.6723309681547738</t>
  </si>
  <si>
    <t>-0.9329406216573563</t>
  </si>
  <si>
    <t>0.7284338695247716</t>
  </si>
  <si>
    <t>0.26930087158536675</t>
  </si>
  <si>
    <t>-0.7343121349553706</t>
  </si>
  <si>
    <t>-0.1770004917415699</t>
  </si>
  <si>
    <t>0.36147941411676443</t>
  </si>
  <si>
    <t>-0.6230031331708042</t>
  </si>
  <si>
    <t>-0.07121550483939279</t>
  </si>
  <si>
    <t>-1.0852798572267688</t>
  </si>
  <si>
    <t>-0.2209647268546616</t>
  </si>
  <si>
    <t>0.5181193499079614</t>
  </si>
  <si>
    <t>0.46442012593718895</t>
  </si>
  <si>
    <t>1.3373527379644208</t>
  </si>
  <si>
    <t>0.10362408638577222</t>
  </si>
  <si>
    <t>-0.2790903125469452</t>
  </si>
  <si>
    <t>0.027069822258221257</t>
  </si>
  <si>
    <t>-0.9196639430797393</t>
  </si>
  <si>
    <t>-0.9954467263721485</t>
  </si>
  <si>
    <t>0.12287700853009069</t>
  </si>
  <si>
    <t>-0.3193399657132108</t>
  </si>
  <si>
    <t>0.36559366090787</t>
  </si>
  <si>
    <t>-0.618475954978234</t>
  </si>
  <si>
    <t>0.713077224101807</t>
  </si>
  <si>
    <t>-0.1890127402025976</t>
  </si>
  <si>
    <t>1.345638848345947</t>
  </si>
  <si>
    <t>0.3231437323293298</t>
  </si>
  <si>
    <t>-0.8784483583149882</t>
  </si>
  <si>
    <t>0.6068737302855739</t>
  </si>
  <si>
    <t>-0.4619919322150457</t>
  </si>
  <si>
    <t>0.4014306280205056</t>
  </si>
  <si>
    <t>0.017783283904904242</t>
  </si>
  <si>
    <t>-0.3663114395350178</t>
  </si>
  <si>
    <t>0.6669593707543493</t>
  </si>
  <si>
    <t>-0.07472965806976899</t>
  </si>
  <si>
    <t>0.6352064731299394</t>
  </si>
  <si>
    <t>0.5909049350591559</t>
  </si>
  <si>
    <t>0.5141564957129512</t>
  </si>
  <si>
    <t>-0.3399602650121836</t>
  </si>
  <si>
    <t>0.26078778057645746</t>
  </si>
  <si>
    <t>0.9776168119337927</t>
  </si>
  <si>
    <t>-0.007343037114641865</t>
  </si>
  <si>
    <t>-0.2540371645072001</t>
  </si>
  <si>
    <t>-0.10622421633274878</t>
  </si>
  <si>
    <t>-0.157423113838558</t>
  </si>
  <si>
    <t>-0.33728153092433605</t>
  </si>
  <si>
    <t>0.3426231872844987</t>
  </si>
  <si>
    <t>-0.061474456699409194</t>
  </si>
  <si>
    <t>0.758879333789041</t>
  </si>
  <si>
    <t>-0.15010878182257748</t>
  </si>
  <si>
    <t>0.7203349506297043</t>
  </si>
  <si>
    <t>-0.40888019405306875</t>
  </si>
  <si>
    <t>-1.1827130267574388</t>
  </si>
  <si>
    <t>-0.07948058018749452</t>
  </si>
  <si>
    <t>0.45265531617117466</t>
  </si>
  <si>
    <t>0.3373850138723285</t>
  </si>
  <si>
    <t>-0.647267982832597</t>
  </si>
  <si>
    <t>-0.11268521965672045</t>
  </si>
  <si>
    <t>-0.14239965067661606</t>
  </si>
  <si>
    <t>0.13484218012533505</t>
  </si>
  <si>
    <t>0.35564203323539895</t>
  </si>
  <si>
    <t>-0.3301971401347688</t>
  </si>
  <si>
    <t>0.1976992130401534</t>
  </si>
  <si>
    <t>-0.28398404890128737</t>
  </si>
  <si>
    <t>-0.4392813389664835</t>
  </si>
  <si>
    <t>0.5264420013796257</t>
  </si>
  <si>
    <t>0.19091405033822648</t>
  </si>
  <si>
    <t>0.3900449183523098</t>
  </si>
  <si>
    <t>-0.2114906509597559</t>
  </si>
  <si>
    <t>0.9972857003275537</t>
  </si>
  <si>
    <t>0.38871812144857865</t>
  </si>
  <si>
    <t>-0.6580264359388451</t>
  </si>
  <si>
    <t>0.5651088475624777</t>
  </si>
  <si>
    <t>-0.391813132266315</t>
  </si>
  <si>
    <t>0.6985331486274649</t>
  </si>
  <si>
    <t>0.5944815302019594</t>
  </si>
  <si>
    <t>-0.7261138965052183</t>
  </si>
  <si>
    <t>-0.7937964757694599</t>
  </si>
  <si>
    <t>1.0096499593263581</t>
  </si>
  <si>
    <t>-0.9741544859521096</t>
  </si>
  <si>
    <t>0.5054116981740445</t>
  </si>
  <si>
    <t>-0.04022618668927559</t>
  </si>
  <si>
    <t>0.0057493285763626405</t>
  </si>
  <si>
    <t>-0.44855296476448037</t>
  </si>
  <si>
    <t>0.41660724602073385</t>
  </si>
  <si>
    <t>0.290192422225901</t>
  </si>
  <si>
    <t>-0.7125381748712982</t>
  </si>
  <si>
    <t>-0.850610429186955</t>
  </si>
  <si>
    <t>-0.056092482738687305</t>
  </si>
  <si>
    <t>0.5337141337182789</t>
  </si>
  <si>
    <t>-0.061866265365991026</t>
  </si>
  <si>
    <t>-0.027814460487207395</t>
  </si>
  <si>
    <t>0.09926037406874054</t>
  </si>
  <si>
    <t>-0.2984045680207866</t>
  </si>
  <si>
    <t>-0.052894426133790945</t>
  </si>
  <si>
    <t>-0.5532882493002226</t>
  </si>
  <si>
    <t>0.1008591940008438</t>
  </si>
  <si>
    <t>0.14121631353916073</t>
  </si>
  <si>
    <t>1.3031657528757679</t>
  </si>
  <si>
    <t>-0.12014435505214296</t>
  </si>
  <si>
    <t>0.052284323275053605</t>
  </si>
  <si>
    <t>0.14388459364766853</t>
  </si>
  <si>
    <t>-1.0143923643791484</t>
  </si>
  <si>
    <t>-0.32321511685041365</t>
  </si>
  <si>
    <t>0.4347081451737398</t>
  </si>
  <si>
    <t>-0.48151462855916655</t>
  </si>
  <si>
    <t>0.7448176324522839</t>
  </si>
  <si>
    <t>-0.07938857262200343</t>
  </si>
  <si>
    <t>0.04174775122341042</t>
  </si>
  <si>
    <t>0.4853820285474193</t>
  </si>
  <si>
    <t>-0.390268828304494</t>
  </si>
  <si>
    <t>0.5269009065472623</t>
  </si>
  <si>
    <t>0.5162148318681163</t>
  </si>
  <si>
    <t>-0.49638506548898714</t>
  </si>
  <si>
    <t>0.04465557790366763</t>
  </si>
  <si>
    <t>0.12141820961379134</t>
  </si>
  <si>
    <t>-0.49882599014120527</t>
  </si>
  <si>
    <t>0.14727146283985973</t>
  </si>
  <si>
    <t>0.5636217129280817</t>
  </si>
  <si>
    <t>0.1957919237240244</t>
  </si>
  <si>
    <t>-0.3666233316067218</t>
  </si>
  <si>
    <t>-0.2541896293387287</t>
  </si>
  <si>
    <t>0.12452697275791248</t>
  </si>
  <si>
    <t>-0.6978423815715911</t>
  </si>
  <si>
    <t>0.1095090636580091</t>
  </si>
  <si>
    <t>0.07636591346471377</t>
  </si>
  <si>
    <t>-0.1995492516995649</t>
  </si>
  <si>
    <t>0.8742247875768525</t>
  </si>
  <si>
    <t>1.5760933040579588</t>
  </si>
  <si>
    <t>-1.6259171487897728</t>
  </si>
  <si>
    <t>-0.1771997539998913</t>
  </si>
  <si>
    <t>-0.08228577487662267</t>
  </si>
  <si>
    <t>-0.07863799305393301</t>
  </si>
  <si>
    <t>-0.14730826160067342</t>
  </si>
  <si>
    <t>-0.7998676180099239</t>
  </si>
  <si>
    <t>-0.08793817298824473</t>
  </si>
  <si>
    <t>0.27434036323635813</t>
  </si>
  <si>
    <t>-0.5282069943561549</t>
  </si>
  <si>
    <t>-1.5312536256564389</t>
  </si>
  <si>
    <t>-0.09425754725840704</t>
  </si>
  <si>
    <t>0.3308732933679436</t>
  </si>
  <si>
    <t>0.03996467370145641</t>
  </si>
  <si>
    <t>-0.8170368133833156</t>
  </si>
  <si>
    <t>-1.2839911691014714</t>
  </si>
  <si>
    <t>-1.1327203988229972</t>
  </si>
  <si>
    <t>-1.6902001902029153</t>
  </si>
  <si>
    <t>0.027976126772032678</t>
  </si>
  <si>
    <t>0.6522645787946741</t>
  </si>
  <si>
    <t>-2.306870697551139</t>
  </si>
  <si>
    <t>-0.2490667959824877</t>
  </si>
  <si>
    <t>-0.8170342787224318</t>
  </si>
  <si>
    <t>1.215363530718583</t>
  </si>
  <si>
    <t>-0.10348745982276734</t>
  </si>
  <si>
    <t>2.004517229191282</t>
  </si>
  <si>
    <t>0.8880619630105413</t>
  </si>
  <si>
    <t>0.5240441588079916</t>
  </si>
  <si>
    <t>-0.17665925712438937</t>
  </si>
  <si>
    <t>-0.7406920239383791</t>
  </si>
  <si>
    <t>2.459184928763439</t>
  </si>
  <si>
    <t>-0.0032626855722289725</t>
  </si>
  <si>
    <t>-1.7389253298282157</t>
  </si>
  <si>
    <t>-1.2522268988893899</t>
  </si>
  <si>
    <t>-4.405857255759218</t>
  </si>
  <si>
    <t>1.27922156318469</t>
  </si>
  <si>
    <t>0.4762552866084548</t>
  </si>
  <si>
    <t>-3.8333212027907555</t>
  </si>
  <si>
    <t>-0.9905013017256679</t>
  </si>
  <si>
    <t>-1.1309949479534829</t>
  </si>
  <si>
    <t>-0.7559488939237826</t>
  </si>
  <si>
    <t>0.07571107161198899</t>
  </si>
  <si>
    <t>0.08590394759983404</t>
  </si>
  <si>
    <t>0.7736762068855223</t>
  </si>
  <si>
    <t>1.063234133124691</t>
  </si>
  <si>
    <t>1.5916706051926326</t>
  </si>
  <si>
    <t>-0.8714773185596342</t>
  </si>
  <si>
    <t>0.08715354551722064</t>
  </si>
  <si>
    <t>0.9362259789844063</t>
  </si>
  <si>
    <t>1.614805033229511</t>
  </si>
  <si>
    <t>-0.294302423547586</t>
  </si>
  <si>
    <t>1.223114680846899</t>
  </si>
  <si>
    <t>1.2398250236797</t>
  </si>
  <si>
    <t>1.0303347941302592</t>
  </si>
  <si>
    <t>0.9170863726167462</t>
  </si>
  <si>
    <t>-1.6826537026663535</t>
  </si>
  <si>
    <t>-2.323734324391723</t>
  </si>
  <si>
    <t>-0.3747164277807382</t>
  </si>
  <si>
    <t>0.5106255466723582</t>
  </si>
  <si>
    <t>-2.1213711476687758</t>
  </si>
  <si>
    <t>-1.2670536482451682</t>
  </si>
  <si>
    <t>1.7752936157197974</t>
  </si>
  <si>
    <t>0.19567934423237693</t>
  </si>
  <si>
    <t>-1.7769854033141725</t>
  </si>
  <si>
    <t>0.43811161980610897</t>
  </si>
  <si>
    <t>0.5153212803891608</t>
  </si>
  <si>
    <t>-0.20060319125615741</t>
  </si>
  <si>
    <t>1.083691933402577</t>
  </si>
  <si>
    <t>-0.3567697100587959</t>
  </si>
  <si>
    <t>2.2043253563949676</t>
  </si>
  <si>
    <t>-0.1643900826919971</t>
  </si>
  <si>
    <t>2.2446704202637386</t>
  </si>
  <si>
    <t>2.399463620791906</t>
  </si>
  <si>
    <t>1.4890705671543714</t>
  </si>
  <si>
    <t>-2.6899476225270464</t>
  </si>
  <si>
    <t>-1.9728507177950143</t>
  </si>
  <si>
    <t>-0.23210524547701736</t>
  </si>
  <si>
    <t>0.9160780856707361</t>
  </si>
  <si>
    <t>0.6073306249308553</t>
  </si>
  <si>
    <t>3.8193204151731535</t>
  </si>
  <si>
    <t>-0.974247604351557</t>
  </si>
  <si>
    <t>-0.13266532682293172</t>
  </si>
  <si>
    <t>2.470537079380072</t>
  </si>
  <si>
    <t>0.9940819593757108</t>
  </si>
  <si>
    <t>-2.5442149013312854</t>
  </si>
  <si>
    <t>1.4629831924448233</t>
  </si>
  <si>
    <t>0.5289718098692849</t>
  </si>
  <si>
    <t>1.7721457214187464</t>
  </si>
  <si>
    <t>-0.34054839021899286</t>
  </si>
  <si>
    <t>0.22403412314453433</t>
  </si>
  <si>
    <t>-0.4251500711074861</t>
  </si>
  <si>
    <t>-0.36678398942792156</t>
  </si>
  <si>
    <t>-0.0030819244187113492</t>
  </si>
  <si>
    <t>1.46452475352223</t>
  </si>
  <si>
    <t>0.8710240537959143</t>
  </si>
  <si>
    <t>-0.8496054418994398</t>
  </si>
  <si>
    <t>-0.7987786590511626</t>
  </si>
  <si>
    <t>-0.3503178948840064</t>
  </si>
  <si>
    <t>1.3995312439849812</t>
  </si>
  <si>
    <t>-0.5252147773117677</t>
  </si>
  <si>
    <t>0.2876827991109885</t>
  </si>
  <si>
    <t>0.22906432458254009</t>
  </si>
  <si>
    <t>0.12775317323602917</t>
  </si>
  <si>
    <t>-0.22964181736424005</t>
  </si>
  <si>
    <t>0.7703765576042786</t>
  </si>
  <si>
    <t>-0.04928231258618876</t>
  </si>
  <si>
    <t>-0.6122254832481072</t>
  </si>
  <si>
    <t>-1.5415627441211672</t>
  </si>
  <si>
    <t>-0.21735944707967442</t>
  </si>
  <si>
    <t>0.1726351483610492</t>
  </si>
  <si>
    <t>-1.0408032078943799</t>
  </si>
  <si>
    <t>-0.43729288755488577</t>
  </si>
  <si>
    <t>0.2355818230729768</t>
  </si>
  <si>
    <t>-0.4202172136437426</t>
  </si>
  <si>
    <t>0.007146680782306117</t>
  </si>
  <si>
    <t>1.309721114413768</t>
  </si>
  <si>
    <t>-0.36745231949395973</t>
  </si>
  <si>
    <t>0.16110767249948105</t>
  </si>
  <si>
    <t>-0.4795811092241682</t>
  </si>
  <si>
    <t>0.8238480662591747</t>
  </si>
  <si>
    <t>0.41100379146687377</t>
  </si>
  <si>
    <t>0.28226057874539745</t>
  </si>
  <si>
    <t>-0.40307052662627557</t>
  </si>
  <si>
    <t>0.3674489636687856</t>
  </si>
  <si>
    <t>-0.1489099832814539</t>
  </si>
  <si>
    <t>-0.11467316208967838</t>
  </si>
  <si>
    <t>0.10286275898244039</t>
  </si>
  <si>
    <t>-0.4962590395947433</t>
  </si>
  <si>
    <t>0.49337583955932857</t>
  </si>
  <si>
    <t>1.4243618608055644</t>
  </si>
  <si>
    <t>-1.4462930900915507</t>
  </si>
  <si>
    <t>3.3184297007574357</t>
  </si>
  <si>
    <t>-0.7429272430610605</t>
  </si>
  <si>
    <t>0.25128274930422934</t>
  </si>
  <si>
    <t>-0.5573175935120235</t>
  </si>
  <si>
    <t>1.1394509288468129</t>
  </si>
  <si>
    <t>0.6565791350431638</t>
  </si>
  <si>
    <t>-0.43143936839938957</t>
  </si>
  <si>
    <t>0.07878117171552276</t>
  </si>
  <si>
    <t>-0.12416079716289669</t>
  </si>
  <si>
    <t>0.193304048501944</t>
  </si>
  <si>
    <t>0.5538181713758524</t>
  </si>
  <si>
    <t>-1.9891341874979347</t>
  </si>
  <si>
    <t>0.2706757089319393</t>
  </si>
  <si>
    <t>-0.6490690859467094</t>
  </si>
  <si>
    <t>1.1732084041705895</t>
  </si>
  <si>
    <t>-0.9931369456991193</t>
  </si>
  <si>
    <t>-0.4488783342928607</t>
  </si>
  <si>
    <t>0.71921311240108</t>
  </si>
  <si>
    <t>0.5206131114467649</t>
  </si>
  <si>
    <t>-0.11292676570292641</t>
  </si>
  <si>
    <t>-0.1945730577969048</t>
  </si>
  <si>
    <t>-0.5557438069315306</t>
  </si>
  <si>
    <t>0.09333680159307182</t>
  </si>
  <si>
    <t>0.7123756212123725</t>
  </si>
  <si>
    <t>0.1913565517413596</t>
  </si>
  <si>
    <t>-1.2644553528329516</t>
  </si>
  <si>
    <t>-1.4931496648498948</t>
  </si>
  <si>
    <t>2.136916600728065</t>
  </si>
  <si>
    <t>-0.15448845186305063</t>
  </si>
  <si>
    <t>0.1054996536629263</t>
  </si>
  <si>
    <t>-0.9461669332193513</t>
  </si>
  <si>
    <t>0.11424460338673925</t>
  </si>
  <si>
    <t>0.17756421803654446</t>
  </si>
  <si>
    <t>-0.5657941771515124</t>
  </si>
  <si>
    <t>0.7395625310326942</t>
  </si>
  <si>
    <t>0.3035592845737163</t>
  </si>
  <si>
    <t>-0.051038625332178615</t>
  </si>
  <si>
    <t>-0.09129717869285028</t>
  </si>
  <si>
    <t>0.8710325438000396</t>
  </si>
  <si>
    <t>0.6031240345394436</t>
  </si>
  <si>
    <t>0.08172379224357076</t>
  </si>
  <si>
    <t>-0.819003443764181</t>
  </si>
  <si>
    <t>-1.6622471793874118</t>
  </si>
  <si>
    <t>-0.11190853962519502</t>
  </si>
  <si>
    <t>-0.027315194878032616</t>
  </si>
  <si>
    <t>0.018764636916172577</t>
  </si>
  <si>
    <t>-0.8390312902961601</t>
  </si>
  <si>
    <t>-0.39926280208001896</t>
  </si>
  <si>
    <t>-0.4268493809905407</t>
  </si>
  <si>
    <t>1.4281070056271323</t>
  </si>
  <si>
    <t>-0.403216479336177</t>
  </si>
  <si>
    <t>0.9221352239710794</t>
  </si>
  <si>
    <t>-0.1704135347547439</t>
  </si>
  <si>
    <t>0.5732250717668845</t>
  </si>
  <si>
    <t>0.6013156371581527</t>
  </si>
  <si>
    <t>-0.1887995336736595</t>
  </si>
  <si>
    <t>-0.6986654041622575</t>
  </si>
  <si>
    <t>-0.9841253735658991</t>
  </si>
  <si>
    <t>1.7902617813326478</t>
  </si>
  <si>
    <t>0.44797469576803867</t>
  </si>
  <si>
    <t>0.7233663763269713</t>
  </si>
  <si>
    <t>0.4067559983796688</t>
  </si>
  <si>
    <t>0.08276009536447371</t>
  </si>
  <si>
    <t>-0.35084066323869206</t>
  </si>
  <si>
    <t>0.4623555437141176</t>
  </si>
  <si>
    <t>-0.49364684036103235</t>
  </si>
  <si>
    <t>0.13819477822871287</t>
  </si>
  <si>
    <t>-0.26681933199802055</t>
  </si>
  <si>
    <t>-0.43962049786768215</t>
  </si>
  <si>
    <t>0.08767272031169222</t>
  </si>
  <si>
    <t>-0.7303295429570351</t>
  </si>
  <si>
    <t>0.2487094921766838</t>
  </si>
  <si>
    <t>-0.7845625276079956</t>
  </si>
  <si>
    <t>0.9727092570914343</t>
  </si>
  <si>
    <t>0.6505664656822127</t>
  </si>
  <si>
    <t>-0.6768358530414991</t>
  </si>
  <si>
    <t>-0.6694335539187144</t>
  </si>
  <si>
    <t>0.6265464341576661</t>
  </si>
  <si>
    <t>0.4514739430239684</t>
  </si>
  <si>
    <t>0.6816055742452927</t>
  </si>
  <si>
    <t>0.12345472695121347</t>
  </si>
  <si>
    <t>-1.0509937485319711</t>
  </si>
  <si>
    <t>0.19607272714770754</t>
  </si>
  <si>
    <t>0.22865866903851526</t>
  </si>
  <si>
    <t>2.0222483409530247</t>
  </si>
  <si>
    <t>-0.41276306603954804</t>
  </si>
  <si>
    <t>0.7697378516106114</t>
  </si>
  <si>
    <t>0.7882551147404059</t>
  </si>
  <si>
    <t>-0.8210482435161396</t>
  </si>
  <si>
    <t>-0.3692089804942272</t>
  </si>
  <si>
    <t>0.31448470163064185</t>
  </si>
  <si>
    <t>0.7151596823279573</t>
  </si>
  <si>
    <t>-0.3540444307421583</t>
  </si>
  <si>
    <t>-0.815459779133152</t>
  </si>
  <si>
    <t>0.979508710826816</t>
  </si>
  <si>
    <t>-0.748309014177347</t>
  </si>
  <si>
    <t>-0.11382128134527433</t>
  </si>
  <si>
    <t>0.21924976322140663</t>
  </si>
  <si>
    <t>0.03404474484550211</t>
  </si>
  <si>
    <t>0.14372828319684838</t>
  </si>
  <si>
    <t>-0.6891591335128237</t>
  </si>
  <si>
    <t>-0.11050039468890169</t>
  </si>
  <si>
    <t>-1.1246321678618518</t>
  </si>
  <si>
    <t>0.4903546598247084</t>
  </si>
  <si>
    <t>1.809001933706034</t>
  </si>
  <si>
    <t>-0.8697709705249318</t>
  </si>
  <si>
    <t>0.34544458018297913</t>
  </si>
  <si>
    <t>0.5449718724451184</t>
  </si>
  <si>
    <t>0.9027098734312315</t>
  </si>
  <si>
    <t>-0.03087774285399267</t>
  </si>
  <si>
    <t>0.7378018588072491</t>
  </si>
  <si>
    <t>-0.09010000739994917</t>
  </si>
  <si>
    <t>0.14963597154826902</t>
  </si>
  <si>
    <t>0.7634892046322266</t>
  </si>
  <si>
    <t>0.17667194181467358</t>
  </si>
  <si>
    <t>-0.2394793803614914</t>
  </si>
  <si>
    <t>0.42914458247226384</t>
  </si>
  <si>
    <t>0.5457014595943772</t>
  </si>
  <si>
    <t>0.510578534667908</t>
  </si>
  <si>
    <t>-1.0226364964141634</t>
  </si>
  <si>
    <t>-0.49808221234137406</t>
  </si>
  <si>
    <t>0.4113120866872155</t>
  </si>
  <si>
    <t>-0.11921246470769481</t>
  </si>
  <si>
    <t>0.0460490523103074</t>
  </si>
  <si>
    <t>-0.31838492926476303</t>
  </si>
  <si>
    <t>0.22949039465536822</t>
  </si>
  <si>
    <t>0.6217409304274156</t>
  </si>
  <si>
    <t>-1.111155956197929</t>
  </si>
  <si>
    <t>0.041735836147636735</t>
  </si>
  <si>
    <t>0.48623802176808517</t>
  </si>
  <si>
    <t>-0.360201169373121</t>
  </si>
  <si>
    <t>0.47816757700015705</t>
  </si>
  <si>
    <t>0.5280532155358597</t>
  </si>
  <si>
    <t>-1.129837852184709</t>
  </si>
  <si>
    <t>0.8587702782812583</t>
  </si>
  <si>
    <t>-0.8422214241007251</t>
  </si>
  <si>
    <t>0.1410596486367931</t>
  </si>
  <si>
    <t>-0.04653982513120714</t>
  </si>
  <si>
    <t>0.009310500756946952</t>
  </si>
  <si>
    <t>-0.3968696357872589</t>
  </si>
  <si>
    <t>0.4154420914310077</t>
  </si>
  <si>
    <t>0.42705774113140876</t>
  </si>
  <si>
    <t>0.48349587231662083</t>
  </si>
  <si>
    <t>-0.7442280950562344</t>
  </si>
  <si>
    <t>-0.4441599264297291</t>
  </si>
  <si>
    <t>1.069027229031528</t>
  </si>
  <si>
    <t>-0.6458917621908473</t>
  </si>
  <si>
    <t>1.2387717775687597</t>
  </si>
  <si>
    <t>-0.16442838067280335</t>
  </si>
  <si>
    <t>0.6118898474135192</t>
  </si>
  <si>
    <t>-0.5640845009045303</t>
  </si>
  <si>
    <t>1.0029694623693028</t>
  </si>
  <si>
    <t>0.4635464422657442</t>
  </si>
  <si>
    <t>0.23744612465742582</t>
  </si>
  <si>
    <t>-0.6954633160578985</t>
  </si>
  <si>
    <t>0.6501821798716713</t>
  </si>
  <si>
    <t>-1.557914106508915</t>
  </si>
  <si>
    <t>0.1993405383380485</t>
  </si>
  <si>
    <t>-1.3323596097012043</t>
  </si>
  <si>
    <t>-1.180490227503258</t>
  </si>
  <si>
    <t>-1.4033206453812417</t>
  </si>
  <si>
    <t>0.35994072415892914</t>
  </si>
  <si>
    <t>-0.4917051521216891</t>
  </si>
  <si>
    <t>0.2300774758551829</t>
  </si>
  <si>
    <t>-0.5069462321753173</t>
  </si>
  <si>
    <t>-1.9370079392132202</t>
  </si>
  <si>
    <t>1.7271341531414923</t>
  </si>
  <si>
    <t>0.012785872981897168</t>
  </si>
  <si>
    <t>-0.6010592091250938</t>
  </si>
  <si>
    <t>-0.3710200738899201</t>
  </si>
  <si>
    <t>-0.05450669410432827</t>
  </si>
  <si>
    <t>0.0015649645265676092</t>
  </si>
  <si>
    <t>-0.5036845308589594</t>
  </si>
  <si>
    <t>-0.5593552440614983</t>
  </si>
  <si>
    <t>0.9467466627362685</t>
  </si>
  <si>
    <t>-1.5185466292963548</t>
  </si>
  <si>
    <t>-0.6778383690557518</t>
  </si>
  <si>
    <t>0.9409018507773868</t>
  </si>
  <si>
    <t>0.2998525645756326</t>
  </si>
  <si>
    <t>-1.0000671173401805</t>
  </si>
  <si>
    <t>3.6019201669023437</t>
  </si>
  <si>
    <t>-0.6990360734545059</t>
  </si>
  <si>
    <t>-1.3768463848448704</t>
  </si>
  <si>
    <t>0.4421168571673195</t>
  </si>
  <si>
    <t>-0.029842744575028717</t>
  </si>
  <si>
    <t>-1.2368786777449727</t>
  </si>
  <si>
    <t>-1.0892953346484588</t>
  </si>
  <si>
    <t>0.581679662519613</t>
  </si>
  <si>
    <t>-0.557312487727172</t>
  </si>
  <si>
    <t>-0.34218398579502657</t>
  </si>
  <si>
    <t>0.751428928813162</t>
  </si>
  <si>
    <t>-0.01665086464242368</t>
  </si>
  <si>
    <t>-1.625648003644813</t>
  </si>
  <si>
    <t>-1.0608888389105298</t>
  </si>
  <si>
    <t>0.018096462855056204</t>
  </si>
  <si>
    <t>-0.26100494620718695</t>
  </si>
  <si>
    <t>-1.104539454633935</t>
  </si>
  <si>
    <t>-0.8615530025657132</t>
  </si>
  <si>
    <t>0.47349562286704694</t>
  </si>
  <si>
    <t>1.3646097882689336</t>
  </si>
  <si>
    <t>0.09578282108100263</t>
  </si>
  <si>
    <t>-0.23520004765232747</t>
  </si>
  <si>
    <t>-0.3189755455099449</t>
  </si>
  <si>
    <t>-0.8338572774938574</t>
  </si>
  <si>
    <t>-0.1763911366596482</t>
  </si>
  <si>
    <t>-0.9295017238529603</t>
  </si>
  <si>
    <t>-0.9020130948955665</t>
  </si>
  <si>
    <t>0.3922603680543155</t>
  </si>
  <si>
    <t>-1.705757828522633</t>
  </si>
  <si>
    <t>-0.7461996717569149</t>
  </si>
  <si>
    <t>-0.6821373978269636</t>
  </si>
  <si>
    <t>1.4557735233862656</t>
  </si>
  <si>
    <t>-0.2177298873717235</t>
  </si>
  <si>
    <t>-1.2214490589186293</t>
  </si>
  <si>
    <t>-1.1337908217755979</t>
  </si>
  <si>
    <t>1.3017741841221342</t>
  </si>
  <si>
    <t>0.9526607983664328</t>
  </si>
  <si>
    <t>-0.8622091639791969</t>
  </si>
  <si>
    <t>-0.5266140859016422</t>
  </si>
  <si>
    <t>-0.9783827386517245</t>
  </si>
  <si>
    <t>-0.36500439106566024</t>
  </si>
  <si>
    <t>1.044426176054679</t>
  </si>
  <si>
    <t>-0.1575737574417288</t>
  </si>
  <si>
    <t>-0.7084328013148159</t>
  </si>
  <si>
    <t>-1.0229168909855606</t>
  </si>
  <si>
    <t>-1.526444281957018</t>
  </si>
  <si>
    <t>0.30958439298161317</t>
  </si>
  <si>
    <t>-0.6497034485936507</t>
  </si>
  <si>
    <t>0.29024327607971456</t>
  </si>
  <si>
    <t>-0.10337517865176449</t>
  </si>
  <si>
    <t>0.17892226665324218</t>
  </si>
  <si>
    <t>0.14863450816850882</t>
  </si>
  <si>
    <t>0.008236287131622713</t>
  </si>
  <si>
    <t>-0.8604399928620251</t>
  </si>
  <si>
    <t>0.6469739185447435</t>
  </si>
  <si>
    <t>-0.40317838600396066</t>
  </si>
  <si>
    <t>-1.0721380089285288</t>
  </si>
  <si>
    <t>1.016164451061046</t>
  </si>
  <si>
    <t>2.353661886050953</t>
  </si>
  <si>
    <t>-1.0715999449152878</t>
  </si>
  <si>
    <t>-0.7108104212845451</t>
  </si>
  <si>
    <t>-1.0275476021221224</t>
  </si>
  <si>
    <t>1.8227472641491778</t>
  </si>
  <si>
    <t>-2.3467019048306845</t>
  </si>
  <si>
    <t>-0.5762608219834298</t>
  </si>
  <si>
    <t>-1.3054151935013718</t>
  </si>
  <si>
    <t>-1.4916183222849615</t>
  </si>
  <si>
    <t>1.0513883037526062</t>
  </si>
  <si>
    <t>-1.2292929437155287</t>
  </si>
  <si>
    <t>0.30295097364380935</t>
  </si>
  <si>
    <t>0.6746614486104567</t>
  </si>
  <si>
    <t>-1.4719385232668087</t>
  </si>
  <si>
    <t>-0.5469475984719898</t>
  </si>
  <si>
    <t>2.2185517360405087</t>
  </si>
  <si>
    <t>0.4042160855938601</t>
  </si>
  <si>
    <t>-2.077536833688967</t>
  </si>
  <si>
    <t>0.599704726704118</t>
  </si>
  <si>
    <t>-4.128129532879492</t>
  </si>
  <si>
    <t>0.06348720456967277</t>
  </si>
  <si>
    <t>-0.7453202033805891</t>
  </si>
  <si>
    <t>-0.7793221589140243</t>
  </si>
  <si>
    <t>0.13351257557297663</t>
  </si>
  <si>
    <t>0.44834024033392444</t>
  </si>
  <si>
    <t>-1.3727955303294934</t>
  </si>
  <si>
    <t>1.572090671980966</t>
  </si>
  <si>
    <t>-0.8651834208897482</t>
  </si>
  <si>
    <t>0.3915635416719324</t>
  </si>
  <si>
    <t>0.3159406801961374</t>
  </si>
  <si>
    <t>-0.1274629707132764</t>
  </si>
  <si>
    <t>-0.7365994605808611</t>
  </si>
  <si>
    <t>-2.3600061106733285</t>
  </si>
  <si>
    <t>0.10128096176855474</t>
  </si>
  <si>
    <t>0.033140098261426394</t>
  </si>
  <si>
    <t>0.11041457611064989</t>
  </si>
  <si>
    <t>-1.2086629795698873</t>
  </si>
  <si>
    <t>-0.6215426286878372</t>
  </si>
  <si>
    <t>-1.3279352928071047</t>
  </si>
  <si>
    <t>2.019170866803681</t>
  </si>
  <si>
    <t>-0.6509360358670421</t>
  </si>
  <si>
    <t>1.5067998085205554</t>
  </si>
  <si>
    <t>0.2636510266183139</t>
  </si>
  <si>
    <t>1.0378172430284365</t>
  </si>
  <si>
    <t>0.05181229452902836</t>
  </si>
  <si>
    <t>0.6573386023530037</t>
  </si>
  <si>
    <t>2.2163070938959075</t>
  </si>
  <si>
    <t>-2.610656822692747</t>
  </si>
  <si>
    <t>-0.7063815696437565</t>
  </si>
  <si>
    <t>0.8494985385590637</t>
  </si>
  <si>
    <t>2.1470403023323157</t>
  </si>
  <si>
    <t>-0.8509035026168648</t>
  </si>
  <si>
    <t>-1.6562292827742275</t>
  </si>
  <si>
    <t>-0.19599183068137846</t>
  </si>
  <si>
    <t>-1.553115279364272</t>
  </si>
  <si>
    <t>-0.5182609433385491</t>
  </si>
  <si>
    <t>-0.9526908709603891</t>
  </si>
  <si>
    <t>-1.0701242157405861</t>
  </si>
  <si>
    <t>-2.0706526075616067</t>
  </si>
  <si>
    <t>-0.5566867875774851</t>
  </si>
  <si>
    <t>-0.22418352328081817</t>
  </si>
  <si>
    <t>-0.6690591278881829</t>
  </si>
  <si>
    <t>0.41529655820112044</t>
  </si>
  <si>
    <t>-1.6238665116839455</t>
  </si>
  <si>
    <t>-2.6380779082305614</t>
  </si>
  <si>
    <t>1.26809834281092</t>
  </si>
  <si>
    <t>1.6442385506267099</t>
  </si>
  <si>
    <t>-0.2944548727682445</t>
  </si>
  <si>
    <t>-0.41212368509144054</t>
  </si>
  <si>
    <t>-0.8843560012581213</t>
  </si>
  <si>
    <t>-0.11692792099123976</t>
  </si>
  <si>
    <t>-1.2981202371112475</t>
  </si>
  <si>
    <t>0.31075235169663346</t>
  </si>
  <si>
    <t>1.2343799037394703</t>
  </si>
  <si>
    <t>3.6287919495741967</t>
  </si>
  <si>
    <t>1.7104602654101582</t>
  </si>
  <si>
    <t>0.6361375583434657</t>
  </si>
  <si>
    <t>1.2625989851888417</t>
  </si>
  <si>
    <t>2.2446084903449113</t>
  </si>
  <si>
    <t>-0.34815617322528225</t>
  </si>
  <si>
    <t>-0.6474894319600834</t>
  </si>
  <si>
    <t>0.5277945866746568</t>
  </si>
  <si>
    <t>0.8286214578601708</t>
  </si>
  <si>
    <t>-0.523786460770181</t>
  </si>
  <si>
    <t>-2.7457243703642358</t>
  </si>
  <si>
    <t>0.533472771898577</t>
  </si>
  <si>
    <t>1.1194076264530455</t>
  </si>
  <si>
    <t>-1.6181513895439579</t>
  </si>
  <si>
    <t>-1.8617615090491424</t>
  </si>
  <si>
    <t>2.5049944866954967</t>
  </si>
  <si>
    <t>-0.5993435769264152</t>
  </si>
  <si>
    <t>-1.6441202596877789</t>
  </si>
  <si>
    <t>0.6733364679384937</t>
  </si>
  <si>
    <t>-1.6693186675970346</t>
  </si>
  <si>
    <t>-0.682920881954881</t>
  </si>
  <si>
    <t>0.33665723175736556</t>
  </si>
  <si>
    <t>1.5336086776524198</t>
  </si>
  <si>
    <t>-0.5777475194315667</t>
  </si>
  <si>
    <t>-1.968215328611404</t>
  </si>
  <si>
    <t>1.614996622691211</t>
  </si>
  <si>
    <t>2.4053355916741537</t>
  </si>
  <si>
    <t>0.6980733872150909</t>
  </si>
  <si>
    <t>-1.954067517395188</t>
  </si>
  <si>
    <t>1.5159230293655852</t>
  </si>
  <si>
    <t>-1.1151933472934685</t>
  </si>
  <si>
    <t>0.6106887781918623</t>
  </si>
  <si>
    <t>-1.0489082732722208</t>
  </si>
  <si>
    <t>0.490103028728832</t>
  </si>
  <si>
    <t>1.2335477429230974</t>
  </si>
  <si>
    <t>-0.8063375847352824</t>
  </si>
  <si>
    <t>0.8614935584080036</t>
  </si>
  <si>
    <t>-0.13643262369167525</t>
  </si>
  <si>
    <t>1.0790129853496357</t>
  </si>
  <si>
    <t>-0.5038442335784594</t>
  </si>
  <si>
    <t>-0.27619035666115116</t>
  </si>
  <si>
    <t>-1.2817181507258393</t>
  </si>
  <si>
    <t>-1.6880789581408266</t>
  </si>
  <si>
    <t>0.53013303536723</t>
  </si>
  <si>
    <t>-1.2213035185053016</t>
  </si>
  <si>
    <t>1.2451862449778157</t>
  </si>
  <si>
    <t>0.06715066935469305</t>
  </si>
  <si>
    <t>0.9756238724201339</t>
  </si>
  <si>
    <t>-2.5048442289076376</t>
  </si>
  <si>
    <t>2.155573335189391</t>
  </si>
  <si>
    <t>-1.539886310873757</t>
  </si>
  <si>
    <t>-1.9327703727752026</t>
  </si>
  <si>
    <t>1.8252991590188323</t>
  </si>
  <si>
    <t>-1.5533169188863447</t>
  </si>
  <si>
    <t>-0.37856220238001387</t>
  </si>
  <si>
    <t>-0.008913500967324415</t>
  </si>
  <si>
    <t>-0.14540958534833295</t>
  </si>
  <si>
    <t>-1.6318146773421978</t>
  </si>
  <si>
    <t>-1.758740926012063</t>
  </si>
  <si>
    <t>-0.4816780917957216</t>
  </si>
  <si>
    <t>-0.7015269526919999</t>
  </si>
  <si>
    <t>-0.6913969936976399</t>
  </si>
  <si>
    <t>-1.3746062121878035</t>
  </si>
  <si>
    <t>1.154041641857075</t>
  </si>
  <si>
    <t>1.2908489232302915</t>
  </si>
  <si>
    <t>-1.270949818746917</t>
  </si>
  <si>
    <t>-1.4857988501784278</t>
  </si>
  <si>
    <t>1.6182001144143192</t>
  </si>
  <si>
    <t>-1.2210849497641876</t>
  </si>
  <si>
    <t>2.05377408991947</t>
  </si>
  <si>
    <t>-0.6319634737034209</t>
  </si>
  <si>
    <t>-1.2530360452884945</t>
  </si>
  <si>
    <t>-2.1198382559495177</t>
  </si>
  <si>
    <t>0.6314317911502889</t>
  </si>
  <si>
    <t>0.6399420142456143</t>
  </si>
  <si>
    <t>1.2628113704012072</t>
  </si>
  <si>
    <t>-0.46717698453348094</t>
  </si>
  <si>
    <t>0.8980077685942394</t>
  </si>
  <si>
    <t>-0.28266336521897656</t>
  </si>
  <si>
    <t>-1.3695311594227049</t>
  </si>
  <si>
    <t>1.4080794592814145</t>
  </si>
  <si>
    <t>-0.7324274030656922</t>
  </si>
  <si>
    <t>0.6389104671983931</t>
  </si>
  <si>
    <t>-1.3621829389266578</t>
  </si>
  <si>
    <t>-1.5176654134211607</t>
  </si>
  <si>
    <t>-0.9540655722291586</t>
  </si>
  <si>
    <t>0.34406080319690524</t>
  </si>
  <si>
    <t>-2.266026471978865</t>
  </si>
  <si>
    <t>-0.8107343856544567</t>
  </si>
  <si>
    <t>-0.7559125116142525</t>
  </si>
  <si>
    <t>0.7839702599095615</t>
  </si>
  <si>
    <t>-0.15248918862645822</t>
  </si>
  <si>
    <t>2.919025567259941</t>
  </si>
  <si>
    <t>0.6461485617554008</t>
  </si>
  <si>
    <t>-1.7040107582835238</t>
  </si>
  <si>
    <t>-0.13029600772476754</t>
  </si>
  <si>
    <t>-0.9688012380695948</t>
  </si>
  <si>
    <t>0.027256167860432653</t>
  </si>
  <si>
    <t>1.144754972611982</t>
  </si>
  <si>
    <t>-0.4106774015106587</t>
  </si>
  <si>
    <t>-0.9802543194484135</t>
  </si>
  <si>
    <t>-0.9326298675507065</t>
  </si>
  <si>
    <t>-1.5776556187465471</t>
  </si>
  <si>
    <t>2.0533106169849447</t>
  </si>
  <si>
    <t>-0.33086377119986765</t>
  </si>
  <si>
    <t>0.5320364217437159</t>
  </si>
  <si>
    <t>0.776616047999262</t>
  </si>
  <si>
    <t>1.2641779534722246</t>
  </si>
  <si>
    <t>2.3147231534359523</t>
  </si>
  <si>
    <t>-0.7216840578966774</t>
  </si>
  <si>
    <t>0.33537061686446884</t>
  </si>
  <si>
    <t>-1.8660345288733855</t>
  </si>
  <si>
    <t>-0.6995325159684197</t>
  </si>
  <si>
    <t>-1.9826972687415494</t>
  </si>
  <si>
    <t>-0.8096399756089804</t>
  </si>
  <si>
    <t>1.2397024082622887</t>
  </si>
  <si>
    <t>0.33038462139792174</t>
  </si>
  <si>
    <t>-1.510240357812405</t>
  </si>
  <si>
    <t>-1.917206858609836</t>
  </si>
  <si>
    <t>-1.4751046012642874</t>
  </si>
  <si>
    <t>-1.096276450013357</t>
  </si>
  <si>
    <t>0.2887965045095878</t>
  </si>
  <si>
    <t>-0.42058275205031725</t>
  </si>
  <si>
    <t>-1.3149036013417983</t>
  </si>
  <si>
    <t>0.27365463193442635</t>
  </si>
  <si>
    <t>-1.2514446136283213</t>
  </si>
  <si>
    <t>2.425577811129429</t>
  </si>
  <si>
    <t>-1.8559654723096466</t>
  </si>
  <si>
    <t>-0.714465281111443</t>
  </si>
  <si>
    <t>1.0694872042175754</t>
  </si>
  <si>
    <t>1.6072969933193875</t>
  </si>
  <si>
    <t>2.086596627980644</t>
  </si>
  <si>
    <t>1.4479122954326649</t>
  </si>
  <si>
    <t>2.738029042606294</t>
  </si>
  <si>
    <t>-1.3375102769554188</t>
  </si>
  <si>
    <t>1.2339319375529858</t>
  </si>
  <si>
    <t>1.757181528772675</t>
  </si>
  <si>
    <t>0.1443223362702204</t>
  </si>
  <si>
    <t>-1.0898327795640042</t>
  </si>
  <si>
    <t>-0.4860820788279157</t>
  </si>
  <si>
    <t>-0.717347756341596</t>
  </si>
  <si>
    <t>0.5174203779666395</t>
  </si>
  <si>
    <t>1.2381358649392193</t>
  </si>
  <si>
    <t>-0.52849864442498</t>
  </si>
  <si>
    <t>0.9575167345216943</t>
  </si>
  <si>
    <t>0.3174528177233803</t>
  </si>
  <si>
    <t>-0.7644454826368144</t>
  </si>
  <si>
    <t>-1.077533487680545</t>
  </si>
  <si>
    <t>-0.4890444602631086</t>
  </si>
  <si>
    <t>0.5648830399603587</t>
  </si>
  <si>
    <t>-0.3302972590550746</t>
  </si>
  <si>
    <t>0.11863850300544991</t>
  </si>
  <si>
    <t>-1.9419742250313807</t>
  </si>
  <si>
    <t>1.4973422873047995</t>
  </si>
  <si>
    <t>0.01818454208567123</t>
  </si>
  <si>
    <t>-0.29866430122576393</t>
  </si>
  <si>
    <t>-1.1138915372268903</t>
  </si>
  <si>
    <t>3.1254611255219773</t>
  </si>
  <si>
    <t>0.22855041242803983</t>
  </si>
  <si>
    <t>1.5705120076676016</t>
  </si>
  <si>
    <t>-1.5676032791261947</t>
  </si>
  <si>
    <t>-1.14561851780462</t>
  </si>
  <si>
    <t>0.6198350566226644</t>
  </si>
  <si>
    <t>-0.9189818859670147</t>
  </si>
  <si>
    <t>-1.997574364093653</t>
  </si>
  <si>
    <t>0.37379472244798356</t>
  </si>
  <si>
    <t>0.4070553229935958</t>
  </si>
  <si>
    <t>-1.93040446006592</t>
  </si>
  <si>
    <t>-0.2953651669562843</t>
  </si>
  <si>
    <t>-1.4967465065561132</t>
  </si>
  <si>
    <t>0.44034593084155776</t>
  </si>
  <si>
    <t>-0.00017690324000863976</t>
  </si>
  <si>
    <t>-0.10399548476388892</t>
  </si>
  <si>
    <t>-1.7719289868590318</t>
  </si>
  <si>
    <t>-0.7043954926446497</t>
  </si>
  <si>
    <t>-0.2445023240235188</t>
  </si>
  <si>
    <t>-0.5579239089398924</t>
  </si>
  <si>
    <t>-1.94864300011765</t>
  </si>
  <si>
    <t>-0.5382757847730503</t>
  </si>
  <si>
    <t>0.26259541457624125</t>
  </si>
  <si>
    <t>2.9777602014716167</t>
  </si>
  <si>
    <t>1.188865970941932</t>
  </si>
  <si>
    <t>0.5916710836972727</t>
  </si>
  <si>
    <t>2.703567019008611</t>
  </si>
  <si>
    <t>0.1947591866284568</t>
  </si>
  <si>
    <t>-0.8093644801527604</t>
  </si>
  <si>
    <t>-2.123462044432284</t>
  </si>
  <si>
    <t>-0.6944672297437197</t>
  </si>
  <si>
    <t>-0.8644196717091542</t>
  </si>
  <si>
    <t>-1.7187811448131987</t>
  </si>
  <si>
    <t>1.0781611269932654</t>
  </si>
  <si>
    <t>-2.166331118681899</t>
  </si>
  <si>
    <t>1.6893809365995884</t>
  </si>
  <si>
    <t>2.6713441717492015</t>
  </si>
  <si>
    <t>0.2910230093037492</t>
  </si>
  <si>
    <t>-1.3856169296138938</t>
  </si>
  <si>
    <t>-1.4802719181961146</t>
  </si>
  <si>
    <t>-0.9717232727134054</t>
  </si>
  <si>
    <t>-0.6764086935781952</t>
  </si>
  <si>
    <t>0.5236423533107611</t>
  </si>
  <si>
    <t>-1.5573024749897266</t>
  </si>
  <si>
    <t>-0.34446304676179146</t>
  </si>
  <si>
    <t>0.8560543829295829</t>
  </si>
  <si>
    <t>-0.7425771211469293</t>
  </si>
  <si>
    <t>1.7337115606575006</t>
  </si>
  <si>
    <t>0.06147635307897236</t>
  </si>
  <si>
    <t>0.7318896669487417</t>
  </si>
  <si>
    <t>-0.09850051484749342</t>
  </si>
  <si>
    <t>-0.7634429974607818</t>
  </si>
  <si>
    <t>0.4108957655318683</t>
  </si>
  <si>
    <t>1.022444526284068</t>
  </si>
  <si>
    <t>0.07870894851462379</t>
  </si>
  <si>
    <t>0.9459954264194522</t>
  </si>
  <si>
    <t>0.03752959646911111</t>
  </si>
  <si>
    <t>0.08728983788004208</t>
  </si>
  <si>
    <t>0.8001452921853694</t>
  </si>
  <si>
    <t>-0.7120436603526631</t>
  </si>
  <si>
    <t>-0.22169725969838522</t>
  </si>
  <si>
    <t>0.08261399986408373</t>
  </si>
  <si>
    <t>0.34282326887515635</t>
  </si>
  <si>
    <t>0.029682767115877792</t>
  </si>
  <si>
    <t>0.7818745800102916</t>
  </si>
  <si>
    <t>1.3267765044804058</t>
  </si>
  <si>
    <t>0.9494676328918794</t>
  </si>
  <si>
    <t>1.3407702459152602</t>
  </si>
  <si>
    <t>-1.7853636597256084</t>
  </si>
  <si>
    <t>-0.6401858353255346</t>
  </si>
  <si>
    <t>-1.1419333293306384</t>
  </si>
  <si>
    <t>-0.177036124581442</t>
  </si>
  <si>
    <t>-0.4844669895351656</t>
  </si>
  <si>
    <t>-0.4435846918737463</t>
  </si>
  <si>
    <t>-0.10536914654549358</t>
  </si>
  <si>
    <t>2.9006929693885235</t>
  </si>
  <si>
    <t>-0.44636315172476765</t>
  </si>
  <si>
    <t>-0.26018892379222913</t>
  </si>
  <si>
    <t>-1.0143114591762512</t>
  </si>
  <si>
    <t>0.23780898200851436</t>
  </si>
  <si>
    <t>-1.6904293174861729</t>
  </si>
  <si>
    <t>0.7025157305265973</t>
  </si>
  <si>
    <t>1.4493458571843099</t>
  </si>
  <si>
    <t>-0.3636332009936996</t>
  </si>
  <si>
    <t>-0.16480646519605632</t>
  </si>
  <si>
    <t>-0.5566784570106241</t>
  </si>
  <si>
    <t>0.2603704862572851</t>
  </si>
  <si>
    <t>-0.8122717751233802</t>
  </si>
  <si>
    <t>-0.19778507035271137</t>
  </si>
  <si>
    <t>-1.0878022959398552</t>
  </si>
  <si>
    <t>-0.11153271997979872</t>
  </si>
  <si>
    <t>2.5882535192265497</t>
  </si>
  <si>
    <t>1.224924548641704</t>
  </si>
  <si>
    <t>0.32976005807696424</t>
  </si>
  <si>
    <t>0.12901847815943246</t>
  </si>
  <si>
    <t>-1.5694247862605715</t>
  </si>
  <si>
    <t>1.1388212139326224</t>
  </si>
  <si>
    <t>-0.09908504908882429</t>
  </si>
  <si>
    <t>0.1477894319721621</t>
  </si>
  <si>
    <t>-0.8451756748331387</t>
  </si>
  <si>
    <t>3.1097450816034127</t>
  </si>
  <si>
    <t>-0.12181383773375948</t>
  </si>
  <si>
    <t>0.33817545530895693</t>
  </si>
  <si>
    <t>-0.09042401949375382</t>
  </si>
  <si>
    <t>3.6024021874671326</t>
  </si>
  <si>
    <t>0.8689065114545934</t>
  </si>
  <si>
    <t>0.6727395009849229</t>
  </si>
  <si>
    <t>-0.2581091940999953</t>
  </si>
  <si>
    <t>0.15781268683989744</t>
  </si>
  <si>
    <t>0.17120972048764055</t>
  </si>
  <si>
    <t>0.38327880658801</t>
  </si>
  <si>
    <t>0.2738709677364168</t>
  </si>
  <si>
    <t>1.3427049768957562</t>
  </si>
  <si>
    <t>-0.6710012586375208</t>
  </si>
  <si>
    <t>1.1992832062850882</t>
  </si>
  <si>
    <t>0.20989878040813123</t>
  </si>
  <si>
    <t>-1.0473898852789454</t>
  </si>
  <si>
    <t>-1.1331010345868004</t>
  </si>
  <si>
    <t>0.6435654339125463</t>
  </si>
  <si>
    <t>1.89717784545684</t>
  </si>
  <si>
    <t>-1.6922598353650458</t>
  </si>
  <si>
    <t>0.50686717572435</t>
  </si>
  <si>
    <t>-0.9772679800196438</t>
  </si>
  <si>
    <t>1.8640218477415242</t>
  </si>
  <si>
    <t>2.4625170301815467</t>
  </si>
  <si>
    <t>0.9899430713255756</t>
  </si>
  <si>
    <t>-0.5263882167533283</t>
  </si>
  <si>
    <t>0.11840127522203084</t>
  </si>
  <si>
    <t>0.2999051224436701</t>
  </si>
  <si>
    <t>0.57708404144801</t>
  </si>
  <si>
    <t>0.9216448220011328</t>
  </si>
  <si>
    <t>0.9762245659876262</t>
  </si>
  <si>
    <t>0.705341779049243</t>
  </si>
  <si>
    <t>1.0576870071365552</t>
  </si>
  <si>
    <t>0.9020803829379307</t>
  </si>
  <si>
    <t>0.579690415099539</t>
  </si>
  <si>
    <t>0.3151532352381981</t>
  </si>
  <si>
    <t>0.6335514701644865</t>
  </si>
  <si>
    <t>1.8111102931810776</t>
  </si>
  <si>
    <t>-2.8491628483449</t>
  </si>
  <si>
    <t>1.6683190892271114</t>
  </si>
  <si>
    <t>-1.1161676466874644</t>
  </si>
  <si>
    <t>-1.4407981866259845</t>
  </si>
  <si>
    <t>0.5784547874365643</t>
  </si>
  <si>
    <t>-1.4348891183940495</t>
  </si>
  <si>
    <t>-0.10157572904542378</t>
  </si>
  <si>
    <t>0.1984183013015972</t>
  </si>
  <si>
    <t>-1.26023255605233</t>
  </si>
  <si>
    <t>1.824125472276682</t>
  </si>
  <si>
    <t>0.6837093885787116</t>
  </si>
  <si>
    <t>0.8094519596627656</t>
  </si>
  <si>
    <t>-0.44565659962123017</t>
  </si>
  <si>
    <t>1.1832424597056923</t>
  </si>
  <si>
    <t>-1.2307607571509913</t>
  </si>
  <si>
    <t>-0.3535470237303841</t>
  </si>
  <si>
    <t>1.4067263278727395</t>
  </si>
  <si>
    <t>0.9555820810370841</t>
  </si>
  <si>
    <t>-0.924690425816226</t>
  </si>
  <si>
    <t>3.0227302889737624</t>
  </si>
  <si>
    <t>-1.5966307088219014</t>
  </si>
  <si>
    <t>0.544543436164956</t>
  </si>
  <si>
    <t>1.7740195593770773</t>
  </si>
  <si>
    <t>-1.1155482018796636</t>
  </si>
  <si>
    <t>0.05405211541509094</t>
  </si>
  <si>
    <t>0.13447450032113856</t>
  </si>
  <si>
    <t>0.5613246091291745</t>
  </si>
  <si>
    <t>3.712658146844217</t>
  </si>
  <si>
    <t>1.1947819878221257</t>
  </si>
  <si>
    <t>-1.2795612375225953</t>
  </si>
  <si>
    <t>-0.40196795469654806</t>
  </si>
  <si>
    <t>1.5754701384735763</t>
  </si>
  <si>
    <t>-0.2752674918925797</t>
  </si>
  <si>
    <t>1.697459102031349</t>
  </si>
  <si>
    <t>0.6215923470910801</t>
  </si>
  <si>
    <t>-0.14435476526693686</t>
  </si>
  <si>
    <t>0.9249314340602602</t>
  </si>
  <si>
    <t>0.7671761984448234</t>
  </si>
  <si>
    <t>-0.17608222527564454</t>
  </si>
  <si>
    <t>0.33025625812019666</t>
  </si>
  <si>
    <t>0.2269966945298537</t>
  </si>
  <si>
    <t>0.16943302657758005</t>
  </si>
  <si>
    <t>0.0024442778074869956</t>
  </si>
  <si>
    <t>-2.260701683426949</t>
  </si>
  <si>
    <t>0.7658514074058116</t>
  </si>
  <si>
    <t>-0.5285072854348964</t>
  </si>
  <si>
    <t>1.6385962695590648</t>
  </si>
  <si>
    <t>1.7711934625036827</t>
  </si>
  <si>
    <t>-2.4009768517566186</t>
  </si>
  <si>
    <t>-1.2378762633692781</t>
  </si>
  <si>
    <t>-0.6921763182932247</t>
  </si>
  <si>
    <t>-1.0528844866905265</t>
  </si>
  <si>
    <t>3.326296165296804</t>
  </si>
  <si>
    <t>0.3464974075072433</t>
  </si>
  <si>
    <t>0.18872987637434857</t>
  </si>
  <si>
    <t>0.3562368566689533</t>
  </si>
  <si>
    <t>0.4904212213338826</t>
  </si>
  <si>
    <t>0.00767954279040486</t>
  </si>
  <si>
    <t>0.14129132370149253</t>
  </si>
  <si>
    <t>1.2164580177518138</t>
  </si>
  <si>
    <t>0.8368481705984991</t>
  </si>
  <si>
    <t>-0.1420666850184621</t>
  </si>
  <si>
    <t>-0.7258135882309167</t>
  </si>
  <si>
    <t>0.5150483551230541</t>
  </si>
  <si>
    <t>0.0004308646155299751</t>
  </si>
  <si>
    <t>1.156120295378564</t>
  </si>
  <si>
    <t>-0.3354842788520529</t>
  </si>
  <si>
    <t>1.449271861771548</t>
  </si>
  <si>
    <t>0.020106330168162913</t>
  </si>
  <si>
    <t>1.1570135605223557</t>
  </si>
  <si>
    <t>-1.542273589739802</t>
  </si>
  <si>
    <t>-0.046807603590377424</t>
  </si>
  <si>
    <t>0.2689639800890459</t>
  </si>
  <si>
    <t>-1.2661479208510544</t>
  </si>
  <si>
    <t>0.11086451921114637</t>
  </si>
  <si>
    <t>0.5743430005258745</t>
  </si>
  <si>
    <t>0.4000150490397558</t>
  </si>
  <si>
    <t>-1.318363630648555</t>
  </si>
  <si>
    <t>-0.2650334080723287</t>
  </si>
  <si>
    <t>-1.018394588333207</t>
  </si>
  <si>
    <t>1.2397325082502542</t>
  </si>
  <si>
    <t>2.3066803099352033</t>
  </si>
  <si>
    <t>-1.2489726535591574</t>
  </si>
  <si>
    <t>-1.754784281028908</t>
  </si>
  <si>
    <t>-0.30640121314642554</t>
  </si>
  <si>
    <t>-0.7092238635240093</t>
  </si>
  <si>
    <t>0.3179843458690928</t>
  </si>
  <si>
    <t>-0.1402998654700154</t>
  </si>
  <si>
    <t>0.06975865906764055</t>
  </si>
  <si>
    <t>1.7912559557625394</t>
  </si>
  <si>
    <t>0.5026634208049421</t>
  </si>
  <si>
    <t>0.6764572731477947</t>
  </si>
  <si>
    <t>1.9844333286499654</t>
  </si>
  <si>
    <t>0.10172555395921978</t>
  </si>
  <si>
    <t>0.5072183778275281</t>
  </si>
  <si>
    <t>1.3997701648473708</t>
  </si>
  <si>
    <t>-1.4734442097577167</t>
  </si>
  <si>
    <t>-0.12116684271269883</t>
  </si>
  <si>
    <t>0.8380067715000878</t>
  </si>
  <si>
    <t>1.2221949009201356</t>
  </si>
  <si>
    <t>1.030681639010816</t>
  </si>
  <si>
    <t>1.4935426213677097</t>
  </si>
  <si>
    <t>-0.47294242600038794</t>
  </si>
  <si>
    <t>1.5275471518230739</t>
  </si>
  <si>
    <t>1.938039041465021</t>
  </si>
  <si>
    <t>-1.4785696094574294</t>
  </si>
  <si>
    <t>-0.4682171007460762</t>
  </si>
  <si>
    <t>-2.0839975853795027</t>
  </si>
  <si>
    <t>-0.08945436093286237</t>
  </si>
  <si>
    <t>-1.2293034571473487</t>
  </si>
  <si>
    <t>-1.2888157285581683</t>
  </si>
  <si>
    <t>-1.7379734365002226</t>
  </si>
  <si>
    <t>-0.5122470800251974</t>
  </si>
  <si>
    <t>-0.6324243776867106</t>
  </si>
  <si>
    <t>-0.1580223016441834</t>
  </si>
  <si>
    <t>-1.2884910612564562</t>
  </si>
  <si>
    <t>-0.726001691207964</t>
  </si>
  <si>
    <t>1.3764967752754984</t>
  </si>
  <si>
    <t>0.6821627759477863</t>
  </si>
  <si>
    <t>-0.324139686623835</t>
  </si>
  <si>
    <t>0.26073787937583287</t>
  </si>
  <si>
    <t>0.2622560071133739</t>
  </si>
  <si>
    <t>2.700453674892875</t>
  </si>
  <si>
    <t>-0.8850096575867922</t>
  </si>
  <si>
    <t>-0.9250963534010993</t>
  </si>
  <si>
    <t>-1.2966136994997701</t>
  </si>
  <si>
    <t>1.9770099472874656</t>
  </si>
  <si>
    <t>-1.318858638008367</t>
  </si>
  <si>
    <t>-2.147748604977216</t>
  </si>
  <si>
    <t>-0.8028447359837145</t>
  </si>
  <si>
    <t>-0.2105563858625942</t>
  </si>
  <si>
    <t>-0.8601336759351726</t>
  </si>
  <si>
    <t>2.14756736864089</t>
  </si>
  <si>
    <t>1.464417262001154</t>
  </si>
  <si>
    <t>-0.8393100975203149</t>
  </si>
  <si>
    <t>-0.8182014233760657</t>
  </si>
  <si>
    <t>0.06783854152328567</t>
  </si>
  <si>
    <t>0.7655451373061687</t>
  </si>
  <si>
    <t>0.6553114699254371</t>
  </si>
  <si>
    <t>-0.4595200942505318</t>
  </si>
  <si>
    <t>1.5536077282293395</t>
  </si>
  <si>
    <t>0.6498581501168004</t>
  </si>
  <si>
    <t>-0.5779711021881533</t>
  </si>
  <si>
    <t>-0.213084500045024</t>
  </si>
  <si>
    <t>-0.21319418979402996</t>
  </si>
  <si>
    <t>0.17708974545731943</t>
  </si>
  <si>
    <t>-1.0711006515809478</t>
  </si>
  <si>
    <t>0.07449546172579605</t>
  </si>
  <si>
    <t>0.23403588728764851</t>
  </si>
  <si>
    <t>-0.13628889246296075</t>
  </si>
  <si>
    <t>0.8975861709325937</t>
  </si>
  <si>
    <t>-0.03627901876625469</t>
  </si>
  <si>
    <t>2.301743699964422</t>
  </si>
  <si>
    <t>1.6712197839757812</t>
  </si>
  <si>
    <t>-2.024925473906838</t>
  </si>
  <si>
    <t>-0.6105260007114434</t>
  </si>
  <si>
    <t>-1.2308452645023469</t>
  </si>
  <si>
    <t>-0.5341101984708279</t>
  </si>
  <si>
    <t>-0.66129402476713</t>
  </si>
  <si>
    <t>0.6846551634861443</t>
  </si>
  <si>
    <t>-2.0605137548326193</t>
  </si>
  <si>
    <t>-0.41023140873906805</t>
  </si>
  <si>
    <t>-0.7566154835319874</t>
  </si>
  <si>
    <t>0.23600830274957948</t>
  </si>
  <si>
    <t>-1.2256596200095276</t>
  </si>
  <si>
    <t>1.1832027459639767</t>
  </si>
  <si>
    <t>-0.8875076792470276</t>
  </si>
  <si>
    <t>-1.0690684540777315</t>
  </si>
  <si>
    <t>0.10823422048251422</t>
  </si>
  <si>
    <t>-0.7022380059230737</t>
  </si>
  <si>
    <t>-0.2655962073171035</t>
  </si>
  <si>
    <t>1.6640617974311522</t>
  </si>
  <si>
    <t>-3.1869589275905015</t>
  </si>
  <si>
    <t>-1.0150094335448163</t>
  </si>
  <si>
    <t>0.7531586825847706</t>
  </si>
  <si>
    <t>-0.13712021290061893</t>
  </si>
  <si>
    <t>1.0147440043395253</t>
  </si>
  <si>
    <t>-1.9230045801219715</t>
  </si>
  <si>
    <t>2.1188960681070643</t>
  </si>
  <si>
    <t>-1.072469596098339</t>
  </si>
  <si>
    <t>0.8343008869257796</t>
  </si>
  <si>
    <t>0.6492219057070567</t>
  </si>
  <si>
    <t>-1.5313903290485928</t>
  </si>
  <si>
    <t>1.9485125944389616</t>
  </si>
  <si>
    <t>1.7749905404727553</t>
  </si>
  <si>
    <t>-0.3911171218942569</t>
  </si>
  <si>
    <t>0.11537117822315357</t>
  </si>
  <si>
    <t>0.25747980068216214</t>
  </si>
  <si>
    <t>1.218314934188864</t>
  </si>
  <si>
    <t>0.5943134524799762</t>
  </si>
  <si>
    <t>-0.3150088403328543</t>
  </si>
  <si>
    <t>-0.3648247769584458</t>
  </si>
  <si>
    <t>0.521877682206153</t>
  </si>
  <si>
    <t>-1.812737227218159</t>
  </si>
  <si>
    <t>-3.0694694752070033</t>
  </si>
  <si>
    <t>1.220120157703507</t>
  </si>
  <si>
    <t>-0.4085773006930148</t>
  </si>
  <si>
    <t>0.6132709160312221</t>
  </si>
  <si>
    <t>-1.7498670578005822</t>
  </si>
  <si>
    <t>-2.5944681741252786</t>
  </si>
  <si>
    <t>-0.8387896154678763</t>
  </si>
  <si>
    <t>0.7588716458547597</t>
  </si>
  <si>
    <t>-1.795853512366668</t>
  </si>
  <si>
    <t>-2.4381568529522335</t>
  </si>
  <si>
    <t>-1.25726660173982</t>
  </si>
  <si>
    <t>-1.2529397092180583</t>
  </si>
  <si>
    <t>0.12679067669404792</t>
  </si>
  <si>
    <t>0.5637976125615259</t>
  </si>
  <si>
    <t>-0.577447587689893</t>
  </si>
  <si>
    <t>-1.072319402726072</t>
  </si>
  <si>
    <t>-0.959699899650268</t>
  </si>
  <si>
    <t>1.3654653814224402</t>
  </si>
  <si>
    <t>3.2495788783268647</t>
  </si>
  <si>
    <t>-1.2886753459201528</t>
  </si>
  <si>
    <t>1.3517848184997567</t>
  </si>
  <si>
    <t>0.5857621260343902</t>
  </si>
  <si>
    <t>0.15842988540479833</t>
  </si>
  <si>
    <t>-0.36423099404221015</t>
  </si>
  <si>
    <t>0.5585761197083696</t>
  </si>
  <si>
    <t>-1.057704669296382</t>
  </si>
  <si>
    <t>-1.1241230293093873</t>
  </si>
  <si>
    <t>-2.9948699887827526</t>
  </si>
  <si>
    <t>-1.7655742544330515</t>
  </si>
  <si>
    <t>-0.6941038818496625</t>
  </si>
  <si>
    <t>2.4862916144878513</t>
  </si>
  <si>
    <t>-0.5268794451432393</t>
  </si>
  <si>
    <t>-0.7859601191842416</t>
  </si>
  <si>
    <t>-2.8061255703085366</t>
  </si>
  <si>
    <t>-0.669239735277111</t>
  </si>
  <si>
    <t>-3.095701550537801</t>
  </si>
  <si>
    <t>0.6969889242210184</t>
  </si>
  <si>
    <t>-2.075944585448194</t>
  </si>
  <si>
    <t>-1.0430045954596747</t>
  </si>
  <si>
    <t>3.522800472348923</t>
  </si>
  <si>
    <t>-1.1333579147222115</t>
  </si>
  <si>
    <t>0.48679094973344145</t>
  </si>
  <si>
    <t>-1.9592598815109823</t>
  </si>
  <si>
    <t>2.0904914595711235</t>
  </si>
  <si>
    <t>-1.228440135927563</t>
  </si>
  <si>
    <t>-1.298534525081906</t>
  </si>
  <si>
    <t>-0.10245191644310785</t>
  </si>
  <si>
    <t>-0.8575498054772037</t>
  </si>
  <si>
    <t>2.465168109603625</t>
  </si>
  <si>
    <t>0.47401397179851706</t>
  </si>
  <si>
    <t>0.6185404298599153</t>
  </si>
  <si>
    <t>0.25796401434914085</t>
  </si>
  <si>
    <t>2.0756959239500685</t>
  </si>
  <si>
    <t>1.8688510368950273</t>
  </si>
  <si>
    <t>0.6435933201598687</t>
  </si>
  <si>
    <t>-2.239817266506726</t>
  </si>
  <si>
    <t>0.23532059882286052</t>
  </si>
  <si>
    <t>-1.7310197923498156</t>
  </si>
  <si>
    <t>0.02514216233201623</t>
  </si>
  <si>
    <t>-1.3514351677217207</t>
  </si>
  <si>
    <t>-2.983893477784851</t>
  </si>
  <si>
    <t>1.8125268131725274</t>
  </si>
  <si>
    <t>0.206121315241319</t>
  </si>
  <si>
    <t>0.013251080680893458</t>
  </si>
  <si>
    <t>0.3009147118750297</t>
  </si>
  <si>
    <t>-0.13070805528116444</t>
  </si>
  <si>
    <t>1.3724838565752477</t>
  </si>
  <si>
    <t>-0.9588993012733448</t>
  </si>
  <si>
    <t>-0.5042590476569334</t>
  </si>
  <si>
    <t>1.8640183945828475</t>
  </si>
  <si>
    <t>-2.035551856506221</t>
  </si>
  <si>
    <t>-3.6510856561534797</t>
  </si>
  <si>
    <t>0.9683596884017986</t>
  </si>
  <si>
    <t>2.3019993806089425</t>
  </si>
  <si>
    <t>1.2255686567079263</t>
  </si>
  <si>
    <t>-2.18394061527455</t>
  </si>
  <si>
    <t>-3.417958798201759</t>
  </si>
  <si>
    <t>-1.302253653686252</t>
  </si>
  <si>
    <t>-0.22619358536912124</t>
  </si>
  <si>
    <t>0.5736192951100585</t>
  </si>
  <si>
    <t>-0.48658116413486896</t>
  </si>
  <si>
    <t>1.7534593870714925</t>
  </si>
  <si>
    <t>-1.4141400771719337</t>
  </si>
  <si>
    <t>-0.2313966771219895</t>
  </si>
  <si>
    <t>3.5604677510644556</t>
  </si>
  <si>
    <t>-2.0503344318322996</t>
  </si>
  <si>
    <t>-1.8364951494772097</t>
  </si>
  <si>
    <t>1.5015353580656257</t>
  </si>
  <si>
    <t>1.0724179817339787</t>
  </si>
  <si>
    <t>-2.6598298659965853</t>
  </si>
  <si>
    <t>-0.21165328254336405</t>
  </si>
  <si>
    <t>-1.3893064664360109</t>
  </si>
  <si>
    <t>0.5546319003403818</t>
  </si>
  <si>
    <t>0.5797021375245563</t>
  </si>
  <si>
    <t>1.157827716492786</t>
  </si>
  <si>
    <t>-1.7497391167149547</t>
  </si>
  <si>
    <t>1.1368794925441312</t>
  </si>
  <si>
    <t>3.178805747496766</t>
  </si>
  <si>
    <t>-2.102966470878608</t>
  </si>
  <si>
    <t>-1.0857678003864357</t>
  </si>
  <si>
    <t>-1.4082953424344848</t>
  </si>
  <si>
    <t>-1.1861660743300222</t>
  </si>
  <si>
    <t>-0.8787078694295914</t>
  </si>
  <si>
    <t>-1.3123595506897967</t>
  </si>
  <si>
    <t>0.4606234728595921</t>
  </si>
  <si>
    <t>0.531496662195051</t>
  </si>
  <si>
    <t>-1.1347311216600713</t>
  </si>
  <si>
    <t>0.32600348886325603</t>
  </si>
  <si>
    <t>2.0195728966393465</t>
  </si>
  <si>
    <t>-0.7106345671066957</t>
  </si>
  <si>
    <t>-0.29063306356452046</t>
  </si>
  <si>
    <t>1.9461213460986861</t>
  </si>
  <si>
    <t>-0.8990224142426424</t>
  </si>
  <si>
    <t>0.6762953998478898</t>
  </si>
  <si>
    <t>-1.705164357472024</t>
  </si>
  <si>
    <t>-1.1184776670523566</t>
  </si>
  <si>
    <t>2.6095100827734057</t>
  </si>
  <si>
    <t>-0.08295899590779181</t>
  </si>
  <si>
    <t>0.8168866586064367</t>
  </si>
  <si>
    <t>0.9231102151350801</t>
  </si>
  <si>
    <t>-2.5031692062508193</t>
  </si>
  <si>
    <t>1.550935321229956</t>
  </si>
  <si>
    <t>2.4885031506389494</t>
  </si>
  <si>
    <t>-1.8820975539721039</t>
  </si>
  <si>
    <t>-0.6925946304929174</t>
  </si>
  <si>
    <t>0.45930912692902703</t>
  </si>
  <si>
    <t>-1.1838722969461082</t>
  </si>
  <si>
    <t>3.343724896581407</t>
  </si>
  <si>
    <t>-2.4706174031333923</t>
  </si>
  <si>
    <t>0</t>
  </si>
  <si>
    <t>0.7438899326826686</t>
  </si>
  <si>
    <t>-0.5568721468188256</t>
  </si>
  <si>
    <t>-0.12976942820900833</t>
  </si>
  <si>
    <t>-0.7591629994842852</t>
  </si>
  <si>
    <t>0.7659088404931869</t>
  </si>
  <si>
    <t>1.2156782504038783</t>
  </si>
  <si>
    <t>1.187020161497706</t>
  </si>
  <si>
    <t>-0.6289532766144627</t>
  </si>
  <si>
    <t>1.6310786864844637</t>
  </si>
  <si>
    <t>2.229319799928724</t>
  </si>
  <si>
    <t>-1.333703107770616</t>
  </si>
  <si>
    <t>-0.35380845274492884</t>
  </si>
  <si>
    <t>-0.04816798251690324</t>
  </si>
  <si>
    <t>-0.3524511736590451</t>
  </si>
  <si>
    <t>1.3150026682509017</t>
  </si>
  <si>
    <t>-0.07928850687527834</t>
  </si>
  <si>
    <t>0.5077075584838168</t>
  </si>
  <si>
    <t>0.38427991768222125</t>
  </si>
  <si>
    <t>-0.5554734781263146</t>
  </si>
  <si>
    <t>0.35486348719776417</t>
  </si>
  <si>
    <t>-2.88308134514384</t>
  </si>
  <si>
    <t>-0.6015246929921931</t>
  </si>
  <si>
    <t>0.8305143237771643</t>
  </si>
  <si>
    <t>-0.17832010822415936</t>
  </si>
  <si>
    <t>-0.7656450783765256</t>
  </si>
  <si>
    <t>-1.5471760012685354</t>
  </si>
  <si>
    <t>-0.27315559368291353</t>
  </si>
  <si>
    <t>-0.32206566027424965</t>
  </si>
  <si>
    <t>-2.2611190938786545</t>
  </si>
  <si>
    <t>2.139592110006357</t>
  </si>
  <si>
    <t>-1.0748809129210275</t>
  </si>
  <si>
    <t>1.679560227104893</t>
  </si>
  <si>
    <t>0.8676855502453374</t>
  </si>
  <si>
    <t>0.5281795188344731</t>
  </si>
  <si>
    <t>-0.03494499783152451</t>
  </si>
  <si>
    <t>0.7013512400060375</t>
  </si>
  <si>
    <t>1.4137220100436152</t>
  </si>
  <si>
    <t>-0.2083609745276733</t>
  </si>
  <si>
    <t>0.02201510223930989</t>
  </si>
  <si>
    <t>0.8144908715897494</t>
  </si>
  <si>
    <t>-0.2647152189478835</t>
  </si>
  <si>
    <t>-0.440130606027593</t>
  </si>
  <si>
    <t>-0.01798192538610571</t>
  </si>
  <si>
    <t>-0.023373551054627108</t>
  </si>
  <si>
    <t>-1.4347646613429779</t>
  </si>
  <si>
    <t>-0.23372066409961212</t>
  </si>
  <si>
    <t>0.4943748519868043</t>
  </si>
  <si>
    <t>-0.3492342395460697</t>
  </si>
  <si>
    <t>1.5771425718812526</t>
  </si>
  <si>
    <t>-0.2559127004948091</t>
  </si>
  <si>
    <t>0.4478013119120418</t>
  </si>
  <si>
    <t>-0.27080400469556853</t>
  </si>
  <si>
    <t>0.320082439884043</t>
  </si>
  <si>
    <t>0.9652268776742834</t>
  </si>
  <si>
    <t>-0.6497974679479204</t>
  </si>
  <si>
    <t>1.1844124973874037</t>
  </si>
  <si>
    <t>-0.5966262842540658</t>
  </si>
  <si>
    <t>1.1425791287599503</t>
  </si>
  <si>
    <t>-0.3300523563128948</t>
  </si>
  <si>
    <t>-0.09961694144964144</t>
  </si>
  <si>
    <t>-1.6763980051912284</t>
  </si>
  <si>
    <t>0.4086391254449721</t>
  </si>
  <si>
    <t>-0.9010518504648778</t>
  </si>
  <si>
    <t>0.953885791025605</t>
  </si>
  <si>
    <t>1.435340816197417</t>
  </si>
  <si>
    <t>1.372527410457357</t>
  </si>
  <si>
    <t>-0.5277896286492963</t>
  </si>
  <si>
    <t>-0.05915380799364704</t>
  </si>
  <si>
    <t>-2.47400974079322</t>
  </si>
  <si>
    <t>0.33750819362114215</t>
  </si>
  <si>
    <t>0.3445651903327142</t>
  </si>
  <si>
    <t>-0.24135768748626146</t>
  </si>
  <si>
    <t>-1.8553360903983855</t>
  </si>
  <si>
    <t>-0.16206575981031807</t>
  </si>
  <si>
    <t>-0.4745332547913495</t>
  </si>
  <si>
    <t>1.5968590504364886</t>
  </si>
  <si>
    <t>-0.8290587603725692</t>
  </si>
  <si>
    <t>-0.24551150580954859</t>
  </si>
  <si>
    <t>-1.2333373214887609</t>
  </si>
  <si>
    <t>0.8949617978359721</t>
  </si>
  <si>
    <t>-1.0455755443541812</t>
  </si>
  <si>
    <t>0.5435252854600165</t>
  </si>
  <si>
    <t>-0.009358439885258142</t>
  </si>
  <si>
    <t>0.16153589747351865</t>
  </si>
  <si>
    <t>-0.3200003715583613</t>
  </si>
  <si>
    <t>-0.6161883275915345</t>
  </si>
  <si>
    <t>-0.02497272549058982</t>
  </si>
  <si>
    <t>0.29097045608145755</t>
  </si>
  <si>
    <t>0.7003574975444977</t>
  </si>
  <si>
    <t>-0.8488617509805241</t>
  </si>
  <si>
    <t>0.7107435550474933</t>
  </si>
  <si>
    <t>1.0506792479090568</t>
  </si>
  <si>
    <t>-0.029612109804068653</t>
  </si>
  <si>
    <t>0.6564724169040035</t>
  </si>
  <si>
    <t>-0.003035261820128639</t>
  </si>
  <si>
    <t>-0.33273223356233084</t>
  </si>
  <si>
    <t>1.2534169817325787</t>
  </si>
  <si>
    <t>1.163757185992328</t>
  </si>
  <si>
    <t>0.7224003763879332</t>
  </si>
  <si>
    <t>-0.11948457655587198</t>
  </si>
  <si>
    <t>-0.14806923905281075</t>
  </si>
  <si>
    <t>0.7385060461114756</t>
  </si>
  <si>
    <t>0.42572863688282614</t>
  </si>
  <si>
    <t>1.4927801965966772</t>
  </si>
  <si>
    <t>1.4637221157006843</t>
  </si>
  <si>
    <t>-0.240978880679466</t>
  </si>
  <si>
    <t>-0.7155713339232513</t>
  </si>
  <si>
    <t>-2.1108302391553107</t>
  </si>
  <si>
    <t>-0.9181444255689231</t>
  </si>
  <si>
    <t>0.04674464725220657</t>
  </si>
  <si>
    <t>-0.5431558620252572</t>
  </si>
  <si>
    <t>-0.954058574408541</t>
  </si>
  <si>
    <t>1.3486209293562337</t>
  </si>
  <si>
    <t>-0.07197610254709921</t>
  </si>
  <si>
    <t>0.6220322074265169</t>
  </si>
  <si>
    <t>-0.819902721988519</t>
  </si>
  <si>
    <t>2.3105242340696552</t>
  </si>
  <si>
    <t>-1.6048210575541202</t>
  </si>
  <si>
    <t>-1.5961342182628442</t>
  </si>
  <si>
    <t>1.4883143049413117</t>
  </si>
  <si>
    <t>-0.3016007653657375</t>
  </si>
  <si>
    <t>-0.5524896005441402</t>
  </si>
  <si>
    <t>-1.4528256605836056</t>
  </si>
  <si>
    <t>2.087221363618544</t>
  </si>
  <si>
    <t>-0.4460964331547479</t>
  </si>
  <si>
    <t>1.0522252295410897</t>
  </si>
  <si>
    <t>0.05482967166208315</t>
  </si>
  <si>
    <t>1.049538414866417</t>
  </si>
  <si>
    <t>-0.5971800941924855</t>
  </si>
  <si>
    <t>-1.874905998788066</t>
  </si>
  <si>
    <t>0.6212778435128371</t>
  </si>
  <si>
    <t>-0.5261179887322649</t>
  </si>
  <si>
    <t>0.8535669049801351</t>
  </si>
  <si>
    <t>-1.2960525090021549</t>
  </si>
  <si>
    <t>-1.3907455590882771</t>
  </si>
  <si>
    <t>-0.547421411760749</t>
  </si>
  <si>
    <t>-0.21471617701458512</t>
  </si>
  <si>
    <t>-1.1177448816443327</t>
  </si>
  <si>
    <t>0.1867275158700751</t>
  </si>
  <si>
    <t>-0.2371261393679601</t>
  </si>
  <si>
    <t>0.47346845237675783</t>
  </si>
  <si>
    <t>0.6288263872938922</t>
  </si>
  <si>
    <t>0.02570364975961531</t>
  </si>
  <si>
    <t>-1.4020446010484673</t>
  </si>
  <si>
    <t>-0.3803359312464035</t>
  </si>
  <si>
    <t>0.22714100447837823</t>
  </si>
  <si>
    <t>0.39919193238635253</t>
  </si>
  <si>
    <t>-0.7163854857967946</t>
  </si>
  <si>
    <t>-0.7500645255593443</t>
  </si>
  <si>
    <t>-1.7189302250429899</t>
  </si>
  <si>
    <t>1.5592267362750933</t>
  </si>
  <si>
    <t>-0.13509959305929387</t>
  </si>
  <si>
    <t>1.2880859427079268</t>
  </si>
  <si>
    <t>-0.31629422311863015</t>
  </si>
  <si>
    <t>-0.009480474796274624</t>
  </si>
  <si>
    <t>-0.49170271278513905</t>
  </si>
  <si>
    <t>-1.8394922542770455</t>
  </si>
  <si>
    <t>1.0084447223448973</t>
  </si>
  <si>
    <t>-1.8944975692919177</t>
  </si>
  <si>
    <t>0.10172983600731499</t>
  </si>
  <si>
    <t>-0.16225851358862667</t>
  </si>
  <si>
    <t>-0.04334591742905901</t>
  </si>
  <si>
    <t>0.840904066439324</t>
  </si>
  <si>
    <t>1.085814715994611</t>
  </si>
  <si>
    <t>0.36181167346145404</t>
  </si>
  <si>
    <t>-0.5497473593211931</t>
  </si>
  <si>
    <t>0.377950256987322</t>
  </si>
  <si>
    <t>0.8065450799314948</t>
  </si>
  <si>
    <t>0.7264189113012357</t>
  </si>
  <si>
    <t>-1.0262839601178437</t>
  </si>
  <si>
    <t>-1.3922941101492918</t>
  </si>
  <si>
    <t>-2.8135667987143504</t>
  </si>
  <si>
    <t>0.512544194230118</t>
  </si>
  <si>
    <t>-0.11944944160008013</t>
  </si>
  <si>
    <t>-1.3596503308895802</t>
  </si>
  <si>
    <t>-0.19023887749380355</t>
  </si>
  <si>
    <t>-0.6954853149785293</t>
  </si>
  <si>
    <t>-1.010988647156261</t>
  </si>
  <si>
    <t>-0.5423204102048025</t>
  </si>
  <si>
    <t>-0.5359952904102849</t>
  </si>
  <si>
    <t>0.008410697898801837</t>
  </si>
  <si>
    <t>-0.1474358028365491</t>
  </si>
  <si>
    <t>0.20088884833819465</t>
  </si>
  <si>
    <t>-0.6755194278772271</t>
  </si>
  <si>
    <t>-1.6004103724711982</t>
  </si>
  <si>
    <t>-1.5230414074718481</t>
  </si>
  <si>
    <t>1.042580772515655</t>
  </si>
  <si>
    <t>-0.020210298084466352</t>
  </si>
  <si>
    <t>1.1386339101661596</t>
  </si>
  <si>
    <t>0.2507466520351512</t>
  </si>
  <si>
    <t>0.1894643742917047</t>
  </si>
  <si>
    <t>1.4724204235072917</t>
  </si>
  <si>
    <t>-0.36670665615863196</t>
  </si>
  <si>
    <t>0.5919476923944973</t>
  </si>
  <si>
    <t>-0.9827729128912989</t>
  </si>
  <si>
    <t>1.8955241078257405</t>
  </si>
  <si>
    <t>1.4640781009328954</t>
  </si>
  <si>
    <t>-0.015393040645904335</t>
  </si>
  <si>
    <t>-0.5063349120844103</t>
  </si>
  <si>
    <t>-0.4308319296721159</t>
  </si>
  <si>
    <t>-1.5960736653175565</t>
  </si>
  <si>
    <t>-2.061337869872272</t>
  </si>
  <si>
    <t>-0.6460137204314483</t>
  </si>
  <si>
    <t>-1.0895177919676795</t>
  </si>
  <si>
    <t>1.1854807527328215</t>
  </si>
  <si>
    <t>-0.5763094883862617</t>
  </si>
  <si>
    <t>-0.4238379789082094</t>
  </si>
  <si>
    <t>-1.5504660915775064</t>
  </si>
  <si>
    <t>0.43838219339557427</t>
  </si>
  <si>
    <t>1.256516088691632</t>
  </si>
  <si>
    <t>-1.9529700860886805</t>
  </si>
  <si>
    <t>-1.5318313811291933</t>
  </si>
  <si>
    <t>2.672583349713558</t>
  </si>
  <si>
    <t>-0.1599390371627745</t>
  </si>
  <si>
    <t>0.36720567845169905</t>
  </si>
  <si>
    <t>-1.2736900719085076</t>
  </si>
  <si>
    <t>-0.7306894680076196</t>
  </si>
  <si>
    <t>-0.03791615659205272</t>
  </si>
  <si>
    <t>0.9741707661995841</t>
  </si>
  <si>
    <t>1.1633963769982676</t>
  </si>
  <si>
    <t>0.4182109196944486</t>
  </si>
  <si>
    <t>-0.39509491667791113</t>
  </si>
  <si>
    <t>0.546124959438389</t>
  </si>
  <si>
    <t>-2.4480313050457774</t>
  </si>
  <si>
    <t>-0.1549920786292449</t>
  </si>
  <si>
    <t>0.5363775740578363</t>
  </si>
  <si>
    <t>2.2644222554056155</t>
  </si>
  <si>
    <t>-0.42202339076806095</t>
  </si>
  <si>
    <t>0.33171221947041085</t>
  </si>
  <si>
    <t>-0.8877946546296663</t>
  </si>
  <si>
    <t>0.23170269784113423</t>
  </si>
  <si>
    <t>0.36906524637698107</t>
  </si>
  <si>
    <t>-0.10010806798796656</t>
  </si>
  <si>
    <t>-0.8119619128660297</t>
  </si>
  <si>
    <t>2.1213900084179436</t>
  </si>
  <si>
    <t>-1.290848500670371</t>
  </si>
  <si>
    <t>0.060943028612407524</t>
  </si>
  <si>
    <t>0.7928784716001422</t>
  </si>
  <si>
    <t>1.645283619227756</t>
  </si>
  <si>
    <t>-0.9992104801706799</t>
  </si>
  <si>
    <t>0.5285136359023369</t>
  </si>
  <si>
    <t>0.0890012247013023</t>
  </si>
  <si>
    <t>0.3703583732989819</t>
  </si>
  <si>
    <t>0.15291779471122216</t>
  </si>
  <si>
    <t>0.38536544143942186</t>
  </si>
  <si>
    <t>1.4075597910104225</t>
  </si>
  <si>
    <t>-0.7727835254400643</t>
  </si>
  <si>
    <t>-0.5783316771422375</t>
  </si>
  <si>
    <t>-1.8894133989123256</t>
  </si>
  <si>
    <t>1.1149207099809473</t>
  </si>
  <si>
    <t>0.4923700392249972</t>
  </si>
  <si>
    <t>0.8183072655519144</t>
  </si>
  <si>
    <t>-0.9914899126814207</t>
  </si>
  <si>
    <t>-2.541862034209052</t>
  </si>
  <si>
    <t>1.8303428898066714</t>
  </si>
  <si>
    <t>0.9804523201103358</t>
  </si>
  <si>
    <t>0.4732268617494944</t>
  </si>
  <si>
    <t>-0.4287881656770634</t>
  </si>
  <si>
    <t>-0.4048044478828727</t>
  </si>
  <si>
    <t>2.0898024444907395</t>
  </si>
  <si>
    <t>-0.7454541875969385</t>
  </si>
  <si>
    <t>0.5816412950756564</t>
  </si>
  <si>
    <t>0.4819655372011956</t>
  </si>
  <si>
    <t>-1.1579245352983367</t>
  </si>
  <si>
    <t>1.5530796702006964</t>
  </si>
  <si>
    <t>-1.4914814691379683</t>
  </si>
  <si>
    <t>0.1268758787993812</t>
  </si>
  <si>
    <t>0.24558673682110496</t>
  </si>
  <si>
    <t>0.40556515479218014</t>
  </si>
  <si>
    <t>0.04976711412849519</t>
  </si>
  <si>
    <t>-0.1755955037718483</t>
  </si>
  <si>
    <t>-0.7513982512600125</t>
  </si>
  <si>
    <t>0.5608449683638195</t>
  </si>
  <si>
    <t>-0.10165501176922252</t>
  </si>
  <si>
    <t>1.0521127181625924</t>
  </si>
  <si>
    <t>2.370507060459431</t>
  </si>
  <si>
    <t>0.035969774586930556</t>
  </si>
  <si>
    <t>0.08811845298846044</t>
  </si>
  <si>
    <t>-0.41052379765011676</t>
  </si>
  <si>
    <t>-0.45524990741068005</t>
  </si>
  <si>
    <t>-0.3901259164132215</t>
  </si>
  <si>
    <t>0.6388294986413482</t>
  </si>
  <si>
    <t>0.39816566687339433</t>
  </si>
  <si>
    <t>-0.865536750057345</t>
  </si>
  <si>
    <t>-0.12545449784467885</t>
  </si>
  <si>
    <t>0.5904957600861683</t>
  </si>
  <si>
    <t>0.2926207996243405</t>
  </si>
  <si>
    <t>-0.011729232190986896</t>
  </si>
  <si>
    <t>-0.7371022102335777</t>
  </si>
  <si>
    <t>-0.4955003119215316</t>
  </si>
  <si>
    <t>-0.6442106395512637</t>
  </si>
  <si>
    <t>-1.4182997319872825</t>
  </si>
  <si>
    <t>0.31458409662100806</t>
  </si>
  <si>
    <t>-0.9748572319284989</t>
  </si>
  <si>
    <t>1.666295999190967</t>
  </si>
  <si>
    <t>-0.10020189012482555</t>
  </si>
  <si>
    <t>0.9151308381786675</t>
  </si>
  <si>
    <t>-0.5555963209005189</t>
  </si>
  <si>
    <t>1.6604233438530882</t>
  </si>
  <si>
    <t>-0.1570678756865343</t>
  </si>
  <si>
    <t>-0.18495099996639258</t>
  </si>
  <si>
    <t>0.3415588710928977</t>
  </si>
  <si>
    <t>-0.5617295067235866</t>
  </si>
  <si>
    <t>-1.0359468295574676</t>
  </si>
  <si>
    <t>0.00913871193427436</t>
  </si>
  <si>
    <t>-0.06823352762856591</t>
  </si>
  <si>
    <t>-0.9563079931141264</t>
  </si>
  <si>
    <t>-1.2942049303828795</t>
  </si>
  <si>
    <t>-0.7253623471376193</t>
  </si>
  <si>
    <t>-1.3744403012508852</t>
  </si>
  <si>
    <t>-0.6900317305082231</t>
  </si>
  <si>
    <t>1.180559514215536</t>
  </si>
  <si>
    <t>-0.5381243373668579</t>
  </si>
  <si>
    <t>0.3232215686658186</t>
  </si>
  <si>
    <t>1.0040483073428181</t>
  </si>
  <si>
    <t>-0.23748780703628522</t>
  </si>
  <si>
    <t>-2.4386559313673843</t>
  </si>
  <si>
    <t>-0.86041633558934</t>
  </si>
  <si>
    <t>-0.5001884751272389</t>
  </si>
  <si>
    <t>-1.6227440619787195</t>
  </si>
  <si>
    <t>0.9359869606277528</t>
  </si>
  <si>
    <t>0.6581395727751802</t>
  </si>
  <si>
    <t>-1.8850615056525746</t>
  </si>
  <si>
    <t>-0.052094763971181804</t>
  </si>
  <si>
    <t>-0.048551587053582194</t>
  </si>
  <si>
    <t>0.30042612775513583</t>
  </si>
  <si>
    <t>-0.13668210276381862</t>
  </si>
  <si>
    <t>-1.3806525636744726</t>
  </si>
  <si>
    <t>-0.5575399363205803</t>
  </si>
  <si>
    <t>2.109602707955209</t>
  </si>
  <si>
    <t>1.1642247730522641</t>
  </si>
  <si>
    <t>0.035552969052390346</t>
  </si>
  <si>
    <t>1.8712769779249143</t>
  </si>
  <si>
    <t>-0.01493076603636194</t>
  </si>
  <si>
    <t>-0.23045259930052084</t>
  </si>
  <si>
    <t>-0.08968445739212855</t>
  </si>
  <si>
    <t>-1.5376180663078804</t>
  </si>
  <si>
    <t>1.5016119496894862</t>
  </si>
  <si>
    <t>-0.6613924710156588</t>
  </si>
  <si>
    <t>0.25951365065798543</t>
  </si>
  <si>
    <t>-2.083226554035727</t>
  </si>
  <si>
    <t>1.2732755402024194</t>
  </si>
  <si>
    <t>3.1060151147329726</t>
  </si>
  <si>
    <t>0.3284476922122712</t>
  </si>
  <si>
    <t>0.01166121222607245</t>
  </si>
  <si>
    <t>0.6895431756359819</t>
  </si>
  <si>
    <t>0.41561072957741846</t>
  </si>
  <si>
    <t>0.8135755432683892</t>
  </si>
  <si>
    <t>-0.9430171968453249</t>
  </si>
  <si>
    <t>-0.5940886022625627</t>
  </si>
  <si>
    <t>0.5126967295950996</t>
  </si>
  <si>
    <t>0.6196375409150082</t>
  </si>
  <si>
    <t>-0.21716615082885266</t>
  </si>
  <si>
    <t>-2.1042669925358575</t>
  </si>
  <si>
    <t>-1.359385465368883</t>
  </si>
  <si>
    <t>-0.8865753417102754</t>
  </si>
  <si>
    <t>0.3649322425812714</t>
  </si>
  <si>
    <t>0.5888833386168385</t>
  </si>
  <si>
    <t>-0.16507028238461027</t>
  </si>
  <si>
    <t>-0.09476856645030239</t>
  </si>
  <si>
    <t>-0.7488480602737098</t>
  </si>
  <si>
    <t>-0.17818273211044128</t>
  </si>
  <si>
    <t>-1.5860633490760827</t>
  </si>
  <si>
    <t>1.012142600405817</t>
  </si>
  <si>
    <t>2.1877998704692034</t>
  </si>
  <si>
    <t>-0.18126514066481997</t>
  </si>
  <si>
    <t>-0.6248753498864048</t>
  </si>
  <si>
    <t>-0.2493582197604932</t>
  </si>
  <si>
    <t>0.4321379873826347</t>
  </si>
  <si>
    <t>1.143001198554802</t>
  </si>
  <si>
    <t>0.38495509582302306</t>
  </si>
  <si>
    <t>-0.6541632438256862</t>
  </si>
  <si>
    <t>-0.438266439232268</t>
  </si>
  <si>
    <t>-0.8413789981939176</t>
  </si>
  <si>
    <t>0.11797611119754049</t>
  </si>
  <si>
    <t>-2.118074703394475</t>
  </si>
  <si>
    <t>1.5392038215473727</t>
  </si>
  <si>
    <t>-1.943427683712845</t>
  </si>
  <si>
    <t>-0.39450959749615644</t>
  </si>
  <si>
    <t>-1.8316633614391564</t>
  </si>
  <si>
    <t>-1.3151720907103799</t>
  </si>
  <si>
    <t>1.563063019970387</t>
  </si>
  <si>
    <t>0.8002766748866248</t>
  </si>
  <si>
    <t>2.1036024352108464</t>
  </si>
  <si>
    <t>0.5476402605555379</t>
  </si>
  <si>
    <t>0.04474870005196158</t>
  </si>
  <si>
    <t>1.090200595695237</t>
  </si>
  <si>
    <t>0.6488165837675737</t>
  </si>
  <si>
    <t>-1.3604263235009653</t>
  </si>
  <si>
    <t>-0.4726679779868041</t>
  </si>
  <si>
    <t>0.6075405461996938</t>
  </si>
  <si>
    <t>1.4794949050927733</t>
  </si>
  <si>
    <t>0.029984928236365234</t>
  </si>
  <si>
    <t>0.6702736603386803</t>
  </si>
  <si>
    <t>0.8100444998771645</t>
  </si>
  <si>
    <t>0.22851810240350948</t>
  </si>
  <si>
    <t>-1.0570542557317173</t>
  </si>
  <si>
    <t>1.1970337343854305</t>
  </si>
  <si>
    <t>-0.34760005962551443</t>
  </si>
  <si>
    <t>1.7691157628748124</t>
  </si>
  <si>
    <t>-0.2898580374301307</t>
  </si>
  <si>
    <t>-0.8376146443172752</t>
  </si>
  <si>
    <t>-1.0107240367261114</t>
  </si>
  <si>
    <t>0.365863170698905</t>
  </si>
  <si>
    <t>-1.0583141322393463</t>
  </si>
  <si>
    <t>0.2820764760194434</t>
  </si>
  <si>
    <t>-0.8620689220052108</t>
  </si>
  <si>
    <t>-1.2474945009874592</t>
  </si>
  <si>
    <t>-0.9895694823871761</t>
  </si>
  <si>
    <t>-0.39771857794702253</t>
  </si>
  <si>
    <t>-0.0752700521791425</t>
  </si>
  <si>
    <t>-0.42275351144259415</t>
  </si>
  <si>
    <t>0.12293827365702056</t>
  </si>
  <si>
    <t>-1.3480833204423666</t>
  </si>
  <si>
    <t>-0.42626300254652594</t>
  </si>
  <si>
    <t>0.3368450620211532</t>
  </si>
  <si>
    <t>1.0703249105108474</t>
  </si>
  <si>
    <t>-0.13856910466441374</t>
  </si>
  <si>
    <t>0.2193599011051645</t>
  </si>
  <si>
    <t>-0.13355096927118695</t>
  </si>
  <si>
    <t>0.7648180704525072</t>
  </si>
  <si>
    <t>0.6187451568501845</t>
  </si>
  <si>
    <t>-0.794747753244187</t>
  </si>
  <si>
    <t>-0.7289372921229504</t>
  </si>
  <si>
    <t>0.024828997587638273</t>
  </si>
  <si>
    <t>0.5328379611270694</t>
  </si>
  <si>
    <t>0.20281114467450592</t>
  </si>
  <si>
    <t>0.2005198232940104</t>
  </si>
  <si>
    <t>-0.42162072526977173</t>
  </si>
  <si>
    <t>-0.6583428149614917</t>
  </si>
  <si>
    <t>0.0969890421771159</t>
  </si>
  <si>
    <t>0.046944569780240114</t>
  </si>
  <si>
    <t>0.8471482430258203</t>
  </si>
  <si>
    <t>-0.1606748777818173</t>
  </si>
  <si>
    <t>1.6506115917897073</t>
  </si>
  <si>
    <t>0.6116712069720998</t>
  </si>
  <si>
    <t>0.3482302329356707</t>
  </si>
  <si>
    <t>-1.2885400190617458</t>
  </si>
  <si>
    <t>0.678177238295301</t>
  </si>
  <si>
    <t>-0.49525738728394775</t>
  </si>
  <si>
    <t>0.8893177727442355</t>
  </si>
  <si>
    <t>0.32855399346085384</t>
  </si>
  <si>
    <t>-2.420850293128477</t>
  </si>
  <si>
    <t>0.9333695154105645</t>
  </si>
  <si>
    <t>-0.5216999709314357</t>
  </si>
  <si>
    <t>-1.5609383232287728</t>
  </si>
  <si>
    <t>0.09623826264817842</t>
  </si>
  <si>
    <t>-0.12791196960271958</t>
  </si>
  <si>
    <t>-0.271352047443074</t>
  </si>
  <si>
    <t>0.32819886931668935</t>
  </si>
  <si>
    <t>-0.9757111817382507</t>
  </si>
  <si>
    <t>-0.9507206131792899</t>
  </si>
  <si>
    <t>1.329159681647965</t>
  </si>
  <si>
    <t>0.21347644314483807</t>
  </si>
  <si>
    <t>-0.6090612870784218</t>
  </si>
  <si>
    <t>1.2522883906045112</t>
  </si>
  <si>
    <t>-0.13690182218423022</t>
  </si>
  <si>
    <t>1.3985708613351004</t>
  </si>
  <si>
    <t>-0.4969572119800871</t>
  </si>
  <si>
    <t>-0.7558377831231985</t>
  </si>
  <si>
    <t>-0.43405194437366185</t>
  </si>
  <si>
    <t>0.3376767098482158</t>
  </si>
  <si>
    <t>-0.4373788227822399</t>
  </si>
  <si>
    <t>-0.3162128116218404</t>
  </si>
  <si>
    <t>1.0217051502892054</t>
  </si>
  <si>
    <t>-1.5910442404063343</t>
  </si>
  <si>
    <t>-0.6167712271138045</t>
  </si>
  <si>
    <t>-0.07284993426326217</t>
  </si>
  <si>
    <t>0.4122016505928907</t>
  </si>
  <si>
    <t>-1.6917065531070652</t>
  </si>
  <si>
    <t>0.5036834912308836</t>
  </si>
  <si>
    <t>-1.553812286167895</t>
  </si>
  <si>
    <t>-1.175279962157009</t>
  </si>
  <si>
    <t>-0.6644362966401347</t>
  </si>
  <si>
    <t>-0.305316889495788</t>
  </si>
  <si>
    <t>0.738722493942796</t>
  </si>
  <si>
    <t>0.320478814835247</t>
  </si>
  <si>
    <t>-0.14985976805735596</t>
  </si>
  <si>
    <t>-0.6306874006090871</t>
  </si>
  <si>
    <t>-0.06085324234466521</t>
  </si>
  <si>
    <t>-0.8763370439443965</t>
  </si>
  <si>
    <t>-1.2766865060396846</t>
  </si>
  <si>
    <t>1.9657505119629646</t>
  </si>
  <si>
    <t>-1.6763796123332728</t>
  </si>
  <si>
    <t>-1.2236932308480815</t>
  </si>
  <si>
    <t>1.3989296562808953</t>
  </si>
  <si>
    <t>-0.3400056927361708</t>
  </si>
  <si>
    <t>-0.1436315748435647</t>
  </si>
  <si>
    <t>-0.37503410270608256</t>
  </si>
  <si>
    <t>-0.6570704963795038</t>
  </si>
  <si>
    <t>0.6674461216658765</t>
  </si>
  <si>
    <t>-0.4983604430531981</t>
  </si>
  <si>
    <t>-1.6346572075475114</t>
  </si>
  <si>
    <t>-0.1571923635420847</t>
  </si>
  <si>
    <t>-0.581773949310857</t>
  </si>
  <si>
    <t>-0.3249038262461737</t>
  </si>
  <si>
    <t>-0.21713734513600538</t>
  </si>
  <si>
    <t>-0.7703876361181778</t>
  </si>
  <si>
    <t>0.2746791981627333</t>
  </si>
  <si>
    <t>2.061996330528221</t>
  </si>
  <si>
    <t>0.5006241335834971</t>
  </si>
  <si>
    <t>-0.522786142891891</t>
  </si>
  <si>
    <t>0.3200807661530149</t>
  </si>
  <si>
    <t>-0.5177408023111052</t>
  </si>
  <si>
    <t>-0.7992623848569947</t>
  </si>
  <si>
    <t>-1.0709062337493416</t>
  </si>
  <si>
    <t>0.8417857837652855</t>
  </si>
  <si>
    <t>0.10343258356842706</t>
  </si>
  <si>
    <t>-0.6530158793076599</t>
  </si>
  <si>
    <t>-0.3764129546956134</t>
  </si>
  <si>
    <t>0.10340694193007206</t>
  </si>
  <si>
    <t>0.4534134517727356</t>
  </si>
  <si>
    <t>0.539176117806489</t>
  </si>
  <si>
    <t>-0.12687425637773206</t>
  </si>
  <si>
    <t>0.37300161920786856</t>
  </si>
  <si>
    <t>0.2150687990835715</t>
  </si>
  <si>
    <t>-0.17950473019675864</t>
  </si>
  <si>
    <t>-1.0500512268762954</t>
  </si>
  <si>
    <t>-0.6617491556208903</t>
  </si>
  <si>
    <t>-0.9715725863734868</t>
  </si>
  <si>
    <t>-0.19466673835500464</t>
  </si>
  <si>
    <t>-0.1397183817864017</t>
  </si>
  <si>
    <t>1.0715567580743497</t>
  </si>
  <si>
    <t>-0.4236096438635134</t>
  </si>
  <si>
    <t>-0.7230984872891631</t>
  </si>
  <si>
    <t>1.8534393326429797</t>
  </si>
  <si>
    <t>-1.0048122182246628</t>
  </si>
  <si>
    <t>1.2313354911049532</t>
  </si>
  <si>
    <t>1.4533319450883149</t>
  </si>
  <si>
    <t>-1.1317134791897723</t>
  </si>
  <si>
    <t>-0.662100546173591</t>
  </si>
  <si>
    <t>0.6231075229277985</t>
  </si>
  <si>
    <t>-1.3937344358976815</t>
  </si>
  <si>
    <t>-0.3486153985537756</t>
  </si>
  <si>
    <t>0.9270723495560255</t>
  </si>
  <si>
    <t>0.27648787133605796</t>
  </si>
  <si>
    <t>1.1011902982722446</t>
  </si>
  <si>
    <t>0.6117565340682325</t>
  </si>
  <si>
    <t>-1.1116664119524318</t>
  </si>
  <si>
    <t>0.027207665850757668</t>
  </si>
  <si>
    <t>-0.9218210720429979</t>
  </si>
  <si>
    <t>-0.682242305158735</t>
  </si>
  <si>
    <t>0.0906616814971354</t>
  </si>
  <si>
    <t>-0.12604822272509442</t>
  </si>
  <si>
    <t>-0.1622491612950431</t>
  </si>
  <si>
    <t>-1.004375044659556</t>
  </si>
  <si>
    <t>0.5129529893389272</t>
  </si>
  <si>
    <t>4.064405214127093</t>
  </si>
  <si>
    <t>0.7087343238701961</t>
  </si>
  <si>
    <t>0.5128815622390147</t>
  </si>
  <si>
    <t>-0.011423158649857308</t>
  </si>
  <si>
    <t>-0.7588441183154141</t>
  </si>
  <si>
    <t>0.8181474618780036</t>
  </si>
  <si>
    <t>-0.8605371292947999</t>
  </si>
  <si>
    <t>0.8605523358940542</t>
  </si>
  <si>
    <t>-0.4652586426261585</t>
  </si>
  <si>
    <t>-0.707041219331444</t>
  </si>
  <si>
    <t>0.9776221639848671</t>
  </si>
  <si>
    <t>-0.4590545428607815</t>
  </si>
  <si>
    <t>0.9277801898511309</t>
  </si>
  <si>
    <t>-0.7113813255574845</t>
  </si>
  <si>
    <t>-0.4151800783170982</t>
  </si>
  <si>
    <t>0.14509474281305665</t>
  </si>
  <si>
    <t>1.0473444215353722</t>
  </si>
  <si>
    <t>-0.21778528649226983</t>
  </si>
  <si>
    <t>0.9239866876273575</t>
  </si>
  <si>
    <t>1.7181158152536435</t>
  </si>
  <si>
    <t>0.17082393967250087</t>
  </si>
  <si>
    <t>0.26364033906724704</t>
  </si>
  <si>
    <t>-0.38704283471577516</t>
  </si>
  <si>
    <t>0.3190500108886823</t>
  </si>
  <si>
    <t>1.9828118621450788</t>
  </si>
  <si>
    <t>-0.5265351808057268</t>
  </si>
  <si>
    <t>0.6727493833136605</t>
  </si>
  <si>
    <t>0.29068252926928667</t>
  </si>
  <si>
    <t>-0.6739432095105252</t>
  </si>
  <si>
    <t>-0.04910087001503292</t>
  </si>
  <si>
    <t>1.5564072059706342</t>
  </si>
  <si>
    <t>-1.2223418858178408</t>
  </si>
  <si>
    <t>-3.3019342435613117</t>
  </si>
  <si>
    <t>0.4713235527002818</t>
  </si>
  <si>
    <t>0.22044808574233357</t>
  </si>
  <si>
    <t>-0.43150306587921017</t>
  </si>
  <si>
    <t>-0.3544332339644311</t>
  </si>
  <si>
    <t>-0.4593593591874999</t>
  </si>
  <si>
    <t>0.1825514841023941</t>
  </si>
  <si>
    <t>-0.3083725598202545</t>
  </si>
  <si>
    <t>-0.5238475081017235</t>
  </si>
  <si>
    <t>0.5058397192789692</t>
  </si>
  <si>
    <t>-1.013885900590042</t>
  </si>
  <si>
    <t>-1.134851137389224</t>
  </si>
  <si>
    <t>-0.22692681188326902</t>
  </si>
  <si>
    <t>0.38097405969039916</t>
  </si>
  <si>
    <t>-0.04983532100652088</t>
  </si>
  <si>
    <t>0.4450277342129851</t>
  </si>
  <si>
    <t>-1.508596105585742</t>
  </si>
  <si>
    <t>0.33305978115379276</t>
  </si>
  <si>
    <t>0.9518312651549484</t>
  </si>
  <si>
    <t>0.7661380246101369</t>
  </si>
  <si>
    <t>0.8795520933775953</t>
  </si>
  <si>
    <t>-0.4644598049431623</t>
  </si>
  <si>
    <t>-1.0117403122743278</t>
  </si>
  <si>
    <t>0.7212003371178509</t>
  </si>
  <si>
    <t>0.8850128159322255</t>
  </si>
  <si>
    <t>-0.17811785551132892</t>
  </si>
  <si>
    <t>0.1765106048407791</t>
  </si>
  <si>
    <t>-0.09607089835296005</t>
  </si>
  <si>
    <t>-0.41510591091771515</t>
  </si>
  <si>
    <t>0.40688738489171045</t>
  </si>
  <si>
    <t>-0.8068923788779034</t>
  </si>
  <si>
    <t>-0.39779627928407485</t>
  </si>
  <si>
    <t>-0.5790322074052695</t>
  </si>
  <si>
    <t>0.42058337258970613</t>
  </si>
  <si>
    <t>0.18030687623013741</t>
  </si>
  <si>
    <t>-0.1669980443260401</t>
  </si>
  <si>
    <t>0.4154613956081143</t>
  </si>
  <si>
    <t>-1.41730747133644</t>
  </si>
  <si>
    <t>0.5027424534195919</t>
  </si>
  <si>
    <t>0.29417128048081026</t>
  </si>
  <si>
    <t>0.43350269954326803</t>
  </si>
  <si>
    <t>0.11046830959884422</t>
  </si>
  <si>
    <t>1.70356837259898</t>
  </si>
  <si>
    <t>-1.4359997926280017</t>
  </si>
  <si>
    <t>-0.4662389111095357</t>
  </si>
  <si>
    <t>-0.6213562807450832</t>
  </si>
  <si>
    <t>0.16311238771179878</t>
  </si>
  <si>
    <t>0.530726283880152</t>
  </si>
  <si>
    <t>-0.11530819886341749</t>
  </si>
  <si>
    <t>1.81272501046254</t>
  </si>
  <si>
    <t>1.059147154212065</t>
  </si>
  <si>
    <t>0.1995853183492229</t>
  </si>
  <si>
    <t>1.1660245900062711</t>
  </si>
  <si>
    <t>-0.4015877214229618</t>
  </si>
  <si>
    <t>-1.1482793187494464</t>
  </si>
  <si>
    <t>0.08803858100322008</t>
  </si>
  <si>
    <t>-0.7572675875575887</t>
  </si>
  <si>
    <t>0.08567050031849713</t>
  </si>
  <si>
    <t>0.2767075737948002</t>
  </si>
  <si>
    <t>-0.1040907602736697</t>
  </si>
  <si>
    <t>-0.015910960381078833</t>
  </si>
  <si>
    <t>0.23841400042399208</t>
  </si>
  <si>
    <t>0.0857003540147413</t>
  </si>
  <si>
    <t>-0.2605309244408685</t>
  </si>
  <si>
    <t>-0.07560843017087164</t>
  </si>
  <si>
    <t>-0.38419647034847104</t>
  </si>
  <si>
    <t>1.2376574575397132</t>
  </si>
  <si>
    <t>-0.6098252296241307</t>
  </si>
  <si>
    <t>0.41983568679504435</t>
  </si>
  <si>
    <t>-0.8817957576300935</t>
  </si>
  <si>
    <t>0.27940395055515094</t>
  </si>
  <si>
    <t>1.174613280100369</t>
  </si>
  <si>
    <t>1.7168622163349794</t>
  </si>
  <si>
    <t>1.1466759883435707</t>
  </si>
  <si>
    <t>0.17878687074370017</t>
  </si>
  <si>
    <t>-1.1420259772493886</t>
  </si>
  <si>
    <t>2.336095067175941</t>
  </si>
  <si>
    <t>-2.2776192411505853</t>
  </si>
  <si>
    <t>-0.9392059423041041</t>
  </si>
  <si>
    <t>-0.6077840199890798</t>
  </si>
  <si>
    <t>0.25581640155381297</t>
  </si>
  <si>
    <t>-0.07690068409273947</t>
  </si>
  <si>
    <t>-0.4841852782458567</t>
  </si>
  <si>
    <t>-0.10741410001195541</t>
  </si>
  <si>
    <t>0.8085816122250743</t>
  </si>
  <si>
    <t>-0.258575155451408</t>
  </si>
  <si>
    <t>-1.333465015310765</t>
  </si>
  <si>
    <t>-0.8435027634883471</t>
  </si>
  <si>
    <t>-0.42008092078776527</t>
  </si>
  <si>
    <t>-0.5732777524596915</t>
  </si>
  <si>
    <t>0.8546223872003258</t>
  </si>
  <si>
    <t>-0.42708399811625697</t>
  </si>
  <si>
    <t>1.767736981681769</t>
  </si>
  <si>
    <t>0.08877981415585849</t>
  </si>
  <si>
    <t>0.15329427850573107</t>
  </si>
  <si>
    <t>1.0742956735963856</t>
  </si>
  <si>
    <t>0.6679087785301353</t>
  </si>
  <si>
    <t>0.6355695570035614</t>
  </si>
  <si>
    <t>0.8088731211512448</t>
  </si>
  <si>
    <t>3.1657847667884917</t>
  </si>
  <si>
    <t>0.12487083265335604</t>
  </si>
  <si>
    <t>-0.7136168578135424</t>
  </si>
  <si>
    <t>0.07679120448718502</t>
  </si>
  <si>
    <t>0.20283265833071606</t>
  </si>
  <si>
    <t>1.9849915071435469</t>
  </si>
  <si>
    <t>0.6110857510099992</t>
  </si>
  <si>
    <t>-0.5690504010230948</t>
  </si>
  <si>
    <t>1.4583342090763498</t>
  </si>
  <si>
    <t>0.4904556013629605</t>
  </si>
  <si>
    <t>-0.8326319472578821</t>
  </si>
  <si>
    <t>0.06965849373584942</t>
  </si>
  <si>
    <t>-0.9739161201376028</t>
  </si>
  <si>
    <t>1.0094632884717145</t>
  </si>
  <si>
    <t>2.0521457375540506</t>
  </si>
  <si>
    <t>-0.8662242045703284</t>
  </si>
  <si>
    <t>-0.21091458684585168</t>
  </si>
  <si>
    <t>0.5004945919572195</t>
  </si>
  <si>
    <t>-1.3199230422463055</t>
  </si>
  <si>
    <t>-0.18066077961293198</t>
  </si>
  <si>
    <t>-2.1072781767144573</t>
  </si>
  <si>
    <t>0.12828709422890328</t>
  </si>
  <si>
    <t>-0.023465894766706526</t>
  </si>
  <si>
    <t>-0.8516660185189096</t>
  </si>
  <si>
    <t>1.2505176272891654</t>
  </si>
  <si>
    <t>-0.8724808376250447</t>
  </si>
  <si>
    <t>0.912943968330643</t>
  </si>
  <si>
    <t>0.7718088341925577</t>
  </si>
  <si>
    <t>1.0162625087861266</t>
  </si>
  <si>
    <t>-0.8181985169508178</t>
  </si>
  <si>
    <t>0.7757991815396189</t>
  </si>
  <si>
    <t>0.02802379617551415</t>
  </si>
  <si>
    <t>1.1259444715665865</t>
  </si>
  <si>
    <t>-0.1439878090530562</t>
  </si>
  <si>
    <t>-0.14788210336570273</t>
  </si>
  <si>
    <t>-0.9661527372716071</t>
  </si>
  <si>
    <t>-0.7404103863107055</t>
  </si>
  <si>
    <t>-0.4126836574790125</t>
  </si>
  <si>
    <t>-0.351531754857457</t>
  </si>
  <si>
    <t>0.7723851493825272</t>
  </si>
  <si>
    <t>0.14283559477402408</t>
  </si>
  <si>
    <t>-0.6953655299030788</t>
  </si>
  <si>
    <t>0.9774739967339412</t>
  </si>
  <si>
    <t>0.21356301180219733</t>
  </si>
  <si>
    <t>-1.2020422206176857</t>
  </si>
  <si>
    <t>1.3081136129581865</t>
  </si>
  <si>
    <t>1.219251750340301</t>
  </si>
  <si>
    <t>1.2030678077844688</t>
  </si>
  <si>
    <t>-0.8176041271658158</t>
  </si>
  <si>
    <t>-0.5094692351728365</t>
  </si>
  <si>
    <t>-0.3893901092182417</t>
  </si>
  <si>
    <t>-1.2273703375957965</t>
  </si>
  <si>
    <t>0.17599976952524563</t>
  </si>
  <si>
    <t>0.47093422831024767</t>
  </si>
  <si>
    <t>0.11201844824232918</t>
  </si>
  <si>
    <t>1.4926149581406598</t>
  </si>
  <si>
    <t>0.5519739117098752</t>
  </si>
  <si>
    <t>-0.6134784509748026</t>
  </si>
  <si>
    <t>-0.4519585201306945</t>
  </si>
  <si>
    <t>-0.6463067542410555</t>
  </si>
  <si>
    <t>2.3252646476291097</t>
  </si>
  <si>
    <t>0.35073129649885293</t>
  </si>
  <si>
    <t>-1.3233695048269405</t>
  </si>
  <si>
    <t>1.5175059882932342</t>
  </si>
  <si>
    <t>-0.16468907834387797</t>
  </si>
  <si>
    <t>-0.038591766511311826</t>
  </si>
  <si>
    <t>1.5603748193496163</t>
  </si>
  <si>
    <t>-1.7595477472796028</t>
  </si>
  <si>
    <t>-1.1129933423401606</t>
  </si>
  <si>
    <t>1.0236977938076626</t>
  </si>
  <si>
    <t>-0.8794075272155948</t>
  </si>
  <si>
    <t>1.2284497061566755</t>
  </si>
  <si>
    <t>-0.10569034790186156</t>
  </si>
  <si>
    <t>-0.6411960729173926</t>
  </si>
  <si>
    <t>-0.72609675736929</t>
  </si>
  <si>
    <t>-0.203506820954266</t>
  </si>
  <si>
    <t>-1.0321711546519154</t>
  </si>
  <si>
    <t>-0.15979920702553285</t>
  </si>
  <si>
    <t>-1.2860283380232245</t>
  </si>
  <si>
    <t>-1.9341949277288844</t>
  </si>
  <si>
    <t>-1.628808473230936</t>
  </si>
  <si>
    <t>-0.3518796895703336</t>
  </si>
  <si>
    <t>-0.37916272012642677</t>
  </si>
  <si>
    <t>0.6782244978335313</t>
  </si>
  <si>
    <t>-0.10277421921352053</t>
  </si>
  <si>
    <t>-0.7996913625352059</t>
  </si>
  <si>
    <t>-0.10402219297589033</t>
  </si>
  <si>
    <t>-0.012543905152089353</t>
  </si>
  <si>
    <t>-0.8700170451770907</t>
  </si>
  <si>
    <t>-0.4193817947079403</t>
  </si>
  <si>
    <t>-0.022257468056242912</t>
  </si>
  <si>
    <t>0.7580223462775119</t>
  </si>
  <si>
    <t>0.6404357899487317</t>
  </si>
  <si>
    <t>-0.6746674816473223</t>
  </si>
  <si>
    <t>-0.17795380093908592</t>
  </si>
  <si>
    <t>-0.6826253974265257</t>
  </si>
  <si>
    <t>0.11511883730979805</t>
  </si>
  <si>
    <t>1.1458168780869504</t>
  </si>
  <si>
    <t>0.5908013587838499</t>
  </si>
  <si>
    <t>0.7215522731070291</t>
  </si>
  <si>
    <t>-0.2895756972842608</t>
  </si>
  <si>
    <t>0.1457909465021504</t>
  </si>
  <si>
    <t>-1.869441004484392</t>
  </si>
  <si>
    <t>-0.05608394060397619</t>
  </si>
  <si>
    <t>0.4672649108361253</t>
  </si>
  <si>
    <t>2.0642361732393404</t>
  </si>
  <si>
    <t>-0.04762441625009459</t>
  </si>
  <si>
    <t>-0.46459257015532246</t>
  </si>
  <si>
    <t>-0.7245683871115737</t>
  </si>
  <si>
    <t>-0.6127050838968858</t>
  </si>
  <si>
    <t>-0.8316009485932385</t>
  </si>
  <si>
    <t>-0.42643686918998663</t>
  </si>
  <si>
    <t>-0.7090114728870469</t>
  </si>
  <si>
    <t>-0.16919581232083278</t>
  </si>
  <si>
    <t>0.40244632264686675</t>
  </si>
  <si>
    <t>-0.1771211265562024</t>
  </si>
  <si>
    <t>-0.5834957421671382</t>
  </si>
  <si>
    <t>1.7238658212769291</t>
  </si>
  <si>
    <t>-0.09047745556651592</t>
  </si>
  <si>
    <t>0.2972346935145636</t>
  </si>
  <si>
    <t>-0.5860747757200537</t>
  </si>
  <si>
    <t>-1.522703686574981</t>
  </si>
  <si>
    <t>0.1211466655895381</t>
  </si>
  <si>
    <t>0.8534388796691968</t>
  </si>
  <si>
    <t>-0.06889247171189214</t>
  </si>
  <si>
    <t>-1.899957730473628</t>
  </si>
  <si>
    <t>1.127721183477959</t>
  </si>
  <si>
    <t>0.14570582462160359</t>
  </si>
  <si>
    <t>-0.18131248829512914</t>
  </si>
  <si>
    <t>0.5096923358830076</t>
  </si>
  <si>
    <t>0.3248581813972381</t>
  </si>
  <si>
    <t>-0.38196275246516154</t>
  </si>
  <si>
    <t>1.0608290675618122</t>
  </si>
  <si>
    <t>-0.3276411062148109</t>
  </si>
  <si>
    <t>0.24937790102994858</t>
  </si>
  <si>
    <t>0.02045315096431169</t>
  </si>
  <si>
    <t>0.27796796996693823</t>
  </si>
  <si>
    <t>-0.25712391255056793</t>
  </si>
  <si>
    <t>0.8900417105211353</t>
  </si>
  <si>
    <t>-0.4856771951221265</t>
  </si>
  <si>
    <t>-1.8857366983617934</t>
  </si>
  <si>
    <t>0.574355611734386</t>
  </si>
  <si>
    <t>0.818828525248653</t>
  </si>
  <si>
    <t>-2.494643808243532</t>
  </si>
  <si>
    <t>0.6306449258726234</t>
  </si>
  <si>
    <t>1.5752200359131905</t>
  </si>
  <si>
    <t>-0.26017989368586514</t>
  </si>
  <si>
    <t>-0.2285081779032698</t>
  </si>
  <si>
    <t>0.964605400863494</t>
  </si>
  <si>
    <t>-0.18774141775709635</t>
  </si>
  <si>
    <t>0.10451190259265188</t>
  </si>
  <si>
    <t>-0.662688012280962</t>
  </si>
  <si>
    <t>0.05757203547952196</t>
  </si>
  <si>
    <t>0.16450572485528794</t>
  </si>
  <si>
    <t>-0.8093361601067934</t>
  </si>
  <si>
    <t>-1.1333732472137674</t>
  </si>
  <si>
    <t>-0.10159895141402246</t>
  </si>
  <si>
    <t>-0.8000492787718303</t>
  </si>
  <si>
    <t>-0.22926689921011184</t>
  </si>
  <si>
    <t>-0.1448522068909439</t>
  </si>
  <si>
    <t>-0.1998744183589908</t>
  </si>
  <si>
    <t>-1.928068386828522</t>
  </si>
  <si>
    <t>-0.9376111813680247</t>
  </si>
  <si>
    <t>-0.17897139353115615</t>
  </si>
  <si>
    <t>-0.7057409686178818</t>
  </si>
  <si>
    <t>-0.10784819805056774</t>
  </si>
  <si>
    <t>-1.0729588980678326</t>
  </si>
  <si>
    <t>-0.06286140174650037</t>
  </si>
  <si>
    <t>-0.6359540099551743</t>
  </si>
  <si>
    <t>0.7692116535713769</t>
  </si>
  <si>
    <t>-0.621560308983062</t>
  </si>
  <si>
    <t>0.15972869393867425</t>
  </si>
  <si>
    <t>-1.2701026866605327</t>
  </si>
  <si>
    <t>0.010688738973140481</t>
  </si>
  <si>
    <t>-0.9047043808802198</t>
  </si>
  <si>
    <t>0.26582040187116684</t>
  </si>
  <si>
    <t>0.23703249069178772</t>
  </si>
  <si>
    <t>-1.5042334649814613</t>
  </si>
  <si>
    <t>-2.252304059217528</t>
  </si>
  <si>
    <t>-1.468321289511006</t>
  </si>
  <si>
    <t>-2.7362482454448025</t>
  </si>
  <si>
    <t>1.6982010824707638</t>
  </si>
  <si>
    <t>-1.0251390639116402</t>
  </si>
  <si>
    <t>-0.9628901726585095</t>
  </si>
  <si>
    <t>-1.604564524800091</t>
  </si>
  <si>
    <t>-1.0573410764944073</t>
  </si>
  <si>
    <t>0.5397852388013098</t>
  </si>
  <si>
    <t>-1.1276823846215547</t>
  </si>
  <si>
    <t>1.5707495668151952</t>
  </si>
  <si>
    <t>-1.2448065937621344</t>
  </si>
  <si>
    <t>2.0330174913366474</t>
  </si>
  <si>
    <t>-0.0322978655577072</t>
  </si>
  <si>
    <t>-0.007075735236907041</t>
  </si>
  <si>
    <t>-4.535821496413607</t>
  </si>
  <si>
    <t>-1.7348313496457581</t>
  </si>
  <si>
    <t>-1.0291285636964533</t>
  </si>
  <si>
    <t>0.22751964735214475</t>
  </si>
  <si>
    <t>-1.4791841107558783</t>
  </si>
  <si>
    <t>-1.208221173394353</t>
  </si>
  <si>
    <t>-1.0030811698488484</t>
  </si>
  <si>
    <t>-0.7377620355485118</t>
  </si>
  <si>
    <t>-1.6392801956391694</t>
  </si>
  <si>
    <t>2.4952536418525524</t>
  </si>
  <si>
    <t>1.9824457646972071</t>
  </si>
  <si>
    <t>0.08794273278223642</t>
  </si>
  <si>
    <t>1.5702661633354578</t>
  </si>
  <si>
    <t>-1.0946832444409973</t>
  </si>
  <si>
    <t>-1.7210765753755304</t>
  </si>
  <si>
    <t>1.3348062122921738</t>
  </si>
  <si>
    <t>-1.5821464235414704</t>
  </si>
  <si>
    <t>-1.1178132553531983</t>
  </si>
  <si>
    <t>0.32599720012262073</t>
  </si>
  <si>
    <t>0.0758690400416477</t>
  </si>
  <si>
    <t>1.399586342436693</t>
  </si>
  <si>
    <t>-1.6032406277047722</t>
  </si>
  <si>
    <t>-0.07409284211019444</t>
  </si>
  <si>
    <t>-2.4803334778598414</t>
  </si>
  <si>
    <t>-1.8757819326519796</t>
  </si>
  <si>
    <t>0.18873357062239657</t>
  </si>
  <si>
    <t>-1.465236288497001</t>
  </si>
  <si>
    <t>-0.6439905666130477</t>
  </si>
  <si>
    <t>3.2055286982075435</t>
  </si>
  <si>
    <t>-0.13075122302494677</t>
  </si>
  <si>
    <t>-1.2415582289832419</t>
  </si>
  <si>
    <t>-0.454261944122939</t>
  </si>
  <si>
    <t>-0.5969708744086586</t>
  </si>
  <si>
    <t>0.2542060957187741</t>
  </si>
  <si>
    <t>-1.082434970633145</t>
  </si>
  <si>
    <t>-0.18615445652527968</t>
  </si>
  <si>
    <t>0.22323917789518002</t>
  </si>
  <si>
    <t>-0.8796301577261595</t>
  </si>
  <si>
    <t>-0.24953141462165426</t>
  </si>
  <si>
    <t>-2.1754250957363657</t>
  </si>
  <si>
    <t>0.09562372101838018</t>
  </si>
  <si>
    <t>-2.986551282664718</t>
  </si>
  <si>
    <t>0.456901561142294</t>
  </si>
  <si>
    <t>2.175827032397474</t>
  </si>
  <si>
    <t>0.4922040011228313</t>
  </si>
  <si>
    <t>-0.9070676028898278</t>
  </si>
  <si>
    <t>-2.429702314811054</t>
  </si>
  <si>
    <t>-0.6857797302310045</t>
  </si>
  <si>
    <t>-0.8592579066496036</t>
  </si>
  <si>
    <t>0.509241487325833</t>
  </si>
  <si>
    <t>0.20116740585074686</t>
  </si>
  <si>
    <t>-0.6858998900522977</t>
  </si>
  <si>
    <t>2.500948405279525</t>
  </si>
  <si>
    <t>2.607719667489917</t>
  </si>
  <si>
    <t>0.568457524804462</t>
  </si>
  <si>
    <t>1.1735559501472097</t>
  </si>
  <si>
    <t>-0.12344571183044083</t>
  </si>
  <si>
    <t>1.825796748185796</t>
  </si>
  <si>
    <t>2.3212672977332134</t>
  </si>
  <si>
    <t>-0.8475254334504705</t>
  </si>
  <si>
    <t>0.553674340444631</t>
  </si>
  <si>
    <t>1.7005914618561395</t>
  </si>
  <si>
    <t>3.491107787105756</t>
  </si>
  <si>
    <t>-0.4021825514694987</t>
  </si>
  <si>
    <t>0.8697870411298257</t>
  </si>
  <si>
    <t>0.5405901982545032</t>
  </si>
  <si>
    <t>-1.7186038315215229</t>
  </si>
  <si>
    <t>-0.029413964714410216</t>
  </si>
  <si>
    <t>-0.14647160965299127</t>
  </si>
  <si>
    <t>1.6903895123968986</t>
  </si>
  <si>
    <t>1.4667091562497714</t>
  </si>
  <si>
    <t>3.5032367657454913</t>
  </si>
  <si>
    <t>0.014025722375238634</t>
  </si>
  <si>
    <t>-1.9559796996037617</t>
  </si>
  <si>
    <t>-0.8801775796733431</t>
  </si>
  <si>
    <t>0.6193336178624507</t>
  </si>
  <si>
    <t>-0.22314499639322805</t>
  </si>
  <si>
    <t>1.1194579155505615</t>
  </si>
  <si>
    <t>-0.9485218909138229</t>
  </si>
  <si>
    <t>1.6719594372277766</t>
  </si>
  <si>
    <t>0.16075467387613532</t>
  </si>
  <si>
    <t>-1.0156089660780625</t>
  </si>
  <si>
    <t>-0.028728462662660798</t>
  </si>
  <si>
    <t>0.43864996760820596</t>
  </si>
  <si>
    <t>4.251092475268682</t>
  </si>
  <si>
    <t>0.03988295946629289</t>
  </si>
  <si>
    <t>-0.7288243992592555</t>
  </si>
  <si>
    <t>-0.8924692098796746</t>
  </si>
  <si>
    <t>0.21704155196657404</t>
  </si>
  <si>
    <t>-0.7589048530501386</t>
  </si>
  <si>
    <t>0.672207897362674</t>
  </si>
  <si>
    <t>0.29137569749661185</t>
  </si>
  <si>
    <t>1.7967961624224396</t>
  </si>
  <si>
    <t>-1.5414918965908186</t>
  </si>
  <si>
    <t>2.2941322636345687</t>
  </si>
  <si>
    <t>-0.35132019160100686</t>
  </si>
  <si>
    <t>2.546722555983338</t>
  </si>
  <si>
    <t>1.2734139109070541</t>
  </si>
  <si>
    <t>-0.5682546561483185</t>
  </si>
  <si>
    <t>-0.9154249799361528</t>
  </si>
  <si>
    <t>1.474997304156543</t>
  </si>
  <si>
    <t>0.016242647127322908</t>
  </si>
  <si>
    <t>-0.143322279268627</t>
  </si>
  <si>
    <t>-2.2062647107081204</t>
  </si>
  <si>
    <t>2.3154358807024127</t>
  </si>
  <si>
    <t>2.532378043292488</t>
  </si>
  <si>
    <t>0.7957101454750991</t>
  </si>
  <si>
    <t>1.3524914220307824</t>
  </si>
  <si>
    <t>1.6910691277656849</t>
  </si>
  <si>
    <t>1.7826508436638504</t>
  </si>
  <si>
    <t>-0.7944703180725161</t>
  </si>
  <si>
    <t>0.14348832546942625</t>
  </si>
  <si>
    <t>0.43274202639958936</t>
  </si>
  <si>
    <t>1.2492035610267922</t>
  </si>
  <si>
    <t>3.3339704356312008</t>
  </si>
  <si>
    <t>-0.03598354810625797</t>
  </si>
  <si>
    <t>0.19997394391377304</t>
  </si>
  <si>
    <t>1.31323669617479</t>
  </si>
  <si>
    <t>1.7082839047492766</t>
  </si>
  <si>
    <t>-0.08856109931376861</t>
  </si>
  <si>
    <t>-2.3350690830200245</t>
  </si>
  <si>
    <t>-1.0026382173556732</t>
  </si>
  <si>
    <t>4.121454908147438</t>
  </si>
  <si>
    <t>0.7514462089060597</t>
  </si>
  <si>
    <t>-4.758717546964836</t>
  </si>
  <si>
    <t>3.084481393324345</t>
  </si>
  <si>
    <t>0.5473761615797254</t>
  </si>
  <si>
    <t>0.806845056151015</t>
  </si>
  <si>
    <t>0.964851589541826</t>
  </si>
  <si>
    <t>-0.5092358924557404</t>
  </si>
  <si>
    <t>1.8335593275770217</t>
  </si>
  <si>
    <t>0.7632836985860065</t>
  </si>
  <si>
    <t>0.049763579035258236</t>
  </si>
  <si>
    <t>-0.5918844950924408</t>
  </si>
  <si>
    <t>0.24006846220962813</t>
  </si>
  <si>
    <t>0.3651716992658277</t>
  </si>
  <si>
    <t>-0.28175172903836454</t>
  </si>
  <si>
    <t>-0.05044511046658247</t>
  </si>
  <si>
    <t>-1.6449318913798134</t>
  </si>
  <si>
    <t>0.5212312940372044</t>
  </si>
  <si>
    <t>2.762148835038568</t>
  </si>
  <si>
    <t>-0.9704719090260835</t>
  </si>
  <si>
    <t>1.1375453161589857</t>
  </si>
  <si>
    <t>0.41905569083344396</t>
  </si>
  <si>
    <t>-2.1366542415309056</t>
  </si>
  <si>
    <t>1.9470535077173834</t>
  </si>
  <si>
    <t>-0.5625794369480227</t>
  </si>
  <si>
    <t>1.380407136123024</t>
  </si>
  <si>
    <t>0.8966153396048728</t>
  </si>
  <si>
    <t>-0.4421068283411356</t>
  </si>
  <si>
    <t>-0.15000508322101364</t>
  </si>
  <si>
    <t>-0.13928443280586825</t>
  </si>
  <si>
    <t>0.1754176863078716</t>
  </si>
  <si>
    <t>-1.7023306600097432</t>
  </si>
  <si>
    <t>-0.8816051237243009</t>
  </si>
  <si>
    <t>0.5053364236774899</t>
  </si>
  <si>
    <t>-0.37174361899280833</t>
  </si>
  <si>
    <t>-0.9392605906286076</t>
  </si>
  <si>
    <t>-3.586002972853341</t>
  </si>
  <si>
    <t>-2.502848482242893</t>
  </si>
  <si>
    <t>3.8980598576710452</t>
  </si>
  <si>
    <t>-0.9374689882613725</t>
  </si>
  <si>
    <t>0.7829541875215892</t>
  </si>
  <si>
    <t>-0.2518446884486905</t>
  </si>
  <si>
    <t>-0.5395741228491112</t>
  </si>
  <si>
    <t>3.2683732557603817</t>
  </si>
  <si>
    <t>2.136752131712771</t>
  </si>
  <si>
    <t>-0.35335761534664656</t>
  </si>
  <si>
    <t>-0.6397787356021876</t>
  </si>
  <si>
    <t>0.25591273947141013</t>
  </si>
  <si>
    <t>-0.962938414028369</t>
  </si>
  <si>
    <t>2.318357170616409</t>
  </si>
  <si>
    <t>0.4058249837062779</t>
  </si>
  <si>
    <t>0.6063294813793736</t>
  </si>
  <si>
    <t>-0.1845688557021294</t>
  </si>
  <si>
    <t>-0.09037023790529733</t>
  </si>
  <si>
    <t>-0.46889420390111297</t>
  </si>
  <si>
    <t>0.3775111859684863</t>
  </si>
  <si>
    <t>0.8324025627249241</t>
  </si>
  <si>
    <t>-2.7726821080754958</t>
  </si>
  <si>
    <t>-0.3433233784131018</t>
  </si>
  <si>
    <t>2.91577126241028</t>
  </si>
  <si>
    <t>-1.916313786363017</t>
  </si>
  <si>
    <t>-0.24309698122895262</t>
  </si>
  <si>
    <t>0.2865289725014428</t>
  </si>
  <si>
    <t>0.25930272021898304</t>
  </si>
  <si>
    <t>0.22514407718245374</t>
  </si>
  <si>
    <t>-0.5374591001400938</t>
  </si>
  <si>
    <t>-0.5915380635007974</t>
  </si>
  <si>
    <t>0.11009075862062123</t>
  </si>
  <si>
    <t>-0.06476406911867501</t>
  </si>
  <si>
    <t>0.3233646220178928</t>
  </si>
  <si>
    <t>-1.906252150798658</t>
  </si>
  <si>
    <t>-0.5040783194449076</t>
  </si>
  <si>
    <t>-0.9914310212681468</t>
  </si>
  <si>
    <t>-0.006493945911734038</t>
  </si>
  <si>
    <t>0.08222216647812813</t>
  </si>
  <si>
    <t>-0.2954578238496073</t>
  </si>
  <si>
    <t>-0.5514897376506681</t>
  </si>
  <si>
    <t>0.6394142400624324</t>
  </si>
  <si>
    <t>-0.1830028193908151</t>
  </si>
  <si>
    <t>0.5411026593374849</t>
  </si>
  <si>
    <t>-0.37600690306060874</t>
  </si>
  <si>
    <t>0.019283572597085796</t>
  </si>
  <si>
    <t>-1.0512804199464256</t>
  </si>
  <si>
    <t>-0.3377609510870839</t>
  </si>
  <si>
    <t>1.693549835600259</t>
  </si>
  <si>
    <t>-1.7335475708072208</t>
  </si>
  <si>
    <t>1.017997948807353</t>
  </si>
  <si>
    <t>0.3584302025109286</t>
  </si>
  <si>
    <t>3.0951903301851744</t>
  </si>
  <si>
    <t>-0.9386452435296798</t>
  </si>
  <si>
    <t>1.124042596997726</t>
  </si>
  <si>
    <t>-0.7594690003337896</t>
  </si>
  <si>
    <t>0.03765350965103543</t>
  </si>
  <si>
    <t>-0.7724784492218425</t>
  </si>
  <si>
    <t>0.4227607065463079</t>
  </si>
  <si>
    <t>-0.9284054276455583</t>
  </si>
  <si>
    <t>-0.1437386886153719</t>
  </si>
  <si>
    <t>0.11952099487493105</t>
  </si>
  <si>
    <t>-0.6900054419133149</t>
  </si>
  <si>
    <t>-0.31469990114653673</t>
  </si>
  <si>
    <t>0.16929072648224577</t>
  </si>
  <si>
    <t>0.088128469941439</t>
  </si>
  <si>
    <t>1.6902647127946966</t>
  </si>
  <si>
    <t>-1.5915015747647703</t>
  </si>
  <si>
    <t>-0.577091430628842</t>
  </si>
  <si>
    <t>-0.611468391610252</t>
  </si>
  <si>
    <t>-0.0385963891137473</t>
  </si>
  <si>
    <t>-0.9067199249338693</t>
  </si>
  <si>
    <t>2.5251813449864113</t>
  </si>
  <si>
    <t>0.3634487081830142</t>
  </si>
  <si>
    <t>-0.1012794439761937</t>
  </si>
  <si>
    <t>1.8813617825140627</t>
  </si>
  <si>
    <t>0.6964611982903446</t>
  </si>
  <si>
    <t>1.0016212180308022</t>
  </si>
  <si>
    <t>0.7669093079692713</t>
  </si>
  <si>
    <t>0.2245309670591134</t>
  </si>
  <si>
    <t>-0.833892766333855</t>
  </si>
  <si>
    <t>0.5890647840623986</t>
  </si>
  <si>
    <t>0.07320999938856647</t>
  </si>
  <si>
    <t>0.33269317595552605</t>
  </si>
  <si>
    <t>-1.0987848150870752</t>
  </si>
  <si>
    <t>-0.4077803770828222</t>
  </si>
  <si>
    <t>-0.4465396827485266</t>
  </si>
  <si>
    <t>-0.11755081603811193</t>
  </si>
  <si>
    <t>-0.1527637486146742</t>
  </si>
  <si>
    <t>-0.9985364314580565</t>
  </si>
  <si>
    <t>0.014847044293593063</t>
  </si>
  <si>
    <t>0.9851118695851689</t>
  </si>
  <si>
    <t>0.1728930489354046</t>
  </si>
  <si>
    <t>0.4392746478480886</t>
  </si>
  <si>
    <t>0.7535596785802042</t>
  </si>
  <si>
    <t>-0.7730439157724968</t>
  </si>
  <si>
    <t>-0.2694918411229958</t>
  </si>
  <si>
    <t>0.3257245663499286</t>
  </si>
  <si>
    <t>0.5401221071953165</t>
  </si>
  <si>
    <t>0.9455330279465827</t>
  </si>
  <si>
    <t>1.3938184330555312</t>
  </si>
  <si>
    <t>-1.9677873375996553</t>
  </si>
  <si>
    <t>0.41481863347041825</t>
  </si>
  <si>
    <t>0.5918572286237367</t>
  </si>
  <si>
    <t>-2.720803652768384</t>
  </si>
  <si>
    <t>-0.0791334637958481</t>
  </si>
  <si>
    <t>-1.4687873642845928</t>
  </si>
  <si>
    <t>0.0677944778939633</t>
  </si>
  <si>
    <t>0.7283916216082477</t>
  </si>
  <si>
    <t>1.0158303906450408</t>
  </si>
  <si>
    <t>-1.0967325866168078</t>
  </si>
  <si>
    <t>-0.17707681466006958</t>
  </si>
  <si>
    <t>-1.9301541537461868</t>
  </si>
  <si>
    <t>1.9006415417240408</t>
  </si>
  <si>
    <t>0.4351161128250372</t>
  </si>
  <si>
    <t>-1.6435326473658451</t>
  </si>
  <si>
    <t>-0.8296287726828275</t>
  </si>
  <si>
    <t>-1.2537893813975933</t>
  </si>
  <si>
    <t>0.4642466242281416</t>
  </si>
  <si>
    <t>-0.5312154561314187</t>
  </si>
  <si>
    <t>0.10388093951476994</t>
  </si>
  <si>
    <t>-2.1103271875497893</t>
  </si>
  <si>
    <t>-0.7299215747112762</t>
  </si>
  <si>
    <t>-0.5866106390119609</t>
  </si>
  <si>
    <t>-0.4091632505025765</t>
  </si>
  <si>
    <t>-0.6428583976866082</t>
  </si>
  <si>
    <t>-1.9822316052246458</t>
  </si>
  <si>
    <t>-1.0551079787080084</t>
  </si>
  <si>
    <t>-0.6182105467091338</t>
  </si>
  <si>
    <t>0.9437183779288315</t>
  </si>
  <si>
    <t>0.3694665279289079</t>
  </si>
  <si>
    <t>-1.5230699073433887</t>
  </si>
  <si>
    <t>-0.4446337803561261</t>
  </si>
  <si>
    <t>0.6535406654061483</t>
  </si>
  <si>
    <t>-1.0362853024059777</t>
  </si>
  <si>
    <t>-0.24671168043298136</t>
  </si>
  <si>
    <t>0.6352180141860113</t>
  </si>
  <si>
    <t>1.9173966277094838</t>
  </si>
  <si>
    <t>-0.16658939956443963</t>
  </si>
  <si>
    <t>-0.18844926488958755</t>
  </si>
  <si>
    <t>-0.07487513754546904</t>
  </si>
  <si>
    <t>1.2473983956251233</t>
  </si>
  <si>
    <t>0.5906080548628764</t>
  </si>
  <si>
    <t>0.283567224585478</t>
  </si>
  <si>
    <t>-0.1121948206042667</t>
  </si>
  <si>
    <t>0.2607928820952676</t>
  </si>
  <si>
    <t>0.4685690271742504</t>
  </si>
  <si>
    <t>0.6076876343273412</t>
  </si>
  <si>
    <t>0.7971490458711932</t>
  </si>
  <si>
    <t>-0.3403898883678349</t>
  </si>
  <si>
    <t>0.15270675061564676</t>
  </si>
  <si>
    <t>-0.3373438864398847</t>
  </si>
  <si>
    <t>-0.14261113164972514</t>
  </si>
  <si>
    <t>-0.25996754205949485</t>
  </si>
  <si>
    <t>0.4676286753506044</t>
  </si>
  <si>
    <t>-0.6738489881551459</t>
  </si>
  <si>
    <t>-0.0847625982237285</t>
  </si>
  <si>
    <t>0.6635921691738944</t>
  </si>
  <si>
    <t>-1.1828291889962963</t>
  </si>
  <si>
    <t>0.56367766671658</t>
  </si>
  <si>
    <t>-0.1297956191277575</t>
  </si>
  <si>
    <t>-0.37158593824330655</t>
  </si>
  <si>
    <t>0.2073204906528686</t>
  </si>
  <si>
    <t>-0.41958142975523555</t>
  </si>
  <si>
    <t>1.238650207804386</t>
  </si>
  <si>
    <t>-0.4060519448449818</t>
  </si>
  <si>
    <t>-0.053172174467906695</t>
  </si>
  <si>
    <t>0.6255155154604574</t>
  </si>
  <si>
    <t>-0.8125189292425206</t>
  </si>
  <si>
    <t>-0.28406686927918506</t>
  </si>
  <si>
    <t>0.9701407369838304</t>
  </si>
  <si>
    <t>-0.8494870176089817</t>
  </si>
  <si>
    <t>1.6690002571177989</t>
  </si>
  <si>
    <t>0.3904057878234575</t>
  </si>
  <si>
    <t>-0.21145295129789501</t>
  </si>
  <si>
    <t>-0.008748071354423648</t>
  </si>
  <si>
    <t>2.4994097058735156</t>
  </si>
  <si>
    <t>-0.8399283990746756</t>
  </si>
  <si>
    <t>1.37518295621907</t>
  </si>
  <si>
    <t>-0.1793775223385155</t>
  </si>
  <si>
    <t>0.20271785259562147</t>
  </si>
  <si>
    <t>1.2576114623066368</t>
  </si>
  <si>
    <t>1.2131063166495373</t>
  </si>
  <si>
    <t>0.2119106206981823</t>
  </si>
  <si>
    <t>1.0098908805543876</t>
  </si>
  <si>
    <t>-0.5076659898659667</t>
  </si>
  <si>
    <t>0.8827458415559549</t>
  </si>
  <si>
    <t>1.7457458204254956</t>
  </si>
  <si>
    <t>-1.2960898106906802</t>
  </si>
  <si>
    <t>0.37783054364897484</t>
  </si>
  <si>
    <t>-0.14864577618316926</t>
  </si>
  <si>
    <t>0.7008224826946401</t>
  </si>
  <si>
    <t>0.8785850599714576</t>
  </si>
  <si>
    <t>-1.097651133991375</t>
  </si>
  <si>
    <t>0.5700478444434844</t>
  </si>
  <si>
    <t>1.1662387410425963</t>
  </si>
  <si>
    <t>0.3877771339600392</t>
  </si>
  <si>
    <t>0.6544993900499466</t>
  </si>
  <si>
    <t>-1.127012352011796</t>
  </si>
  <si>
    <t>-0.5726178590431568</t>
  </si>
  <si>
    <t>1.5728627017115795</t>
  </si>
  <si>
    <t>1.874997479454783</t>
  </si>
  <si>
    <t>-0.14070054058553527</t>
  </si>
  <si>
    <t>0.1415854597951964</t>
  </si>
  <si>
    <t>-0.12471802992988221</t>
  </si>
  <si>
    <t>1.1497437136987334</t>
  </si>
  <si>
    <t>1.3295342186866705</t>
  </si>
  <si>
    <t>0.7070534939902701</t>
  </si>
  <si>
    <t>0.3148871284244393</t>
  </si>
  <si>
    <t>0.24836911490401353</t>
  </si>
  <si>
    <t>-0.44028750510799153</t>
  </si>
  <si>
    <t>-0.7618726549744645</t>
  </si>
  <si>
    <t>-0.9293975197831351</t>
  </si>
  <si>
    <t>-0.6084444863267098</t>
  </si>
  <si>
    <t>0.042130442484224484</t>
  </si>
  <si>
    <t>-0.9731148707577348</t>
  </si>
  <si>
    <t>0.6851418900983485</t>
  </si>
  <si>
    <t>-0.30687051393064996</t>
  </si>
  <si>
    <t>0.9389381961528389</t>
  </si>
  <si>
    <t>-0.6714990561941837</t>
  </si>
  <si>
    <t>-0.987974868519757</t>
  </si>
  <si>
    <t>0.2767651246103167</t>
  </si>
  <si>
    <t>-1.3213197709632376</t>
  </si>
  <si>
    <t>-0.15844494849119925</t>
  </si>
  <si>
    <t>-1.2301676078564006</t>
  </si>
  <si>
    <t>1.2852315192217736</t>
  </si>
  <si>
    <t>-1.6930419833261798</t>
  </si>
  <si>
    <t>-1.619053564466217</t>
  </si>
  <si>
    <t>-0.6644054834050547</t>
  </si>
  <si>
    <t>0.5914238955826185</t>
  </si>
  <si>
    <t>-1.988951928265542</t>
  </si>
  <si>
    <t>-3.200251230831351</t>
  </si>
  <si>
    <t>-2.0993683895615036</t>
  </si>
  <si>
    <t>0.11061763375463271</t>
  </si>
  <si>
    <t>-1.6765068361835116</t>
  </si>
  <si>
    <t>-1.8661673045598812</t>
  </si>
  <si>
    <t>-2.995244287323208</t>
  </si>
  <si>
    <t>-2.6242868970370377</t>
  </si>
  <si>
    <t>-0.7027293361435704</t>
  </si>
  <si>
    <t>-0.7520288397820506</t>
  </si>
  <si>
    <t>2.717114102504208</t>
  </si>
  <si>
    <t>-2.255026947650557</t>
  </si>
  <si>
    <t>0.5200420023127883</t>
  </si>
  <si>
    <t>1.4108828455231455</t>
  </si>
  <si>
    <t>-1.7574161697812278</t>
  </si>
  <si>
    <t>-0.403487383012573</t>
  </si>
  <si>
    <t>-0.6941880942511229</t>
  </si>
  <si>
    <t>2.727989306449578</t>
  </si>
  <si>
    <t>-2.455861941136342</t>
  </si>
  <si>
    <t>0.06707324168011068</t>
  </si>
  <si>
    <t>0.2961819286888004</t>
  </si>
  <si>
    <t>-0.10144180515345864</t>
  </si>
  <si>
    <t>0.43429910251596054</t>
  </si>
  <si>
    <t>-0.3272522262532387</t>
  </si>
  <si>
    <t>-0.8580038548704523</t>
  </si>
  <si>
    <t>0.669245336491247</t>
  </si>
  <si>
    <t>-1.753126383563981</t>
  </si>
  <si>
    <t>2.433274043236002</t>
  </si>
  <si>
    <t>-1.1546889045499802</t>
  </si>
  <si>
    <t>-0.9345139371906207</t>
  </si>
  <si>
    <t>1.2331511291064214</t>
  </si>
  <si>
    <t>-0.2636468856344776</t>
  </si>
  <si>
    <t>2.4171588559884536</t>
  </si>
  <si>
    <t>1.1694017813531112</t>
  </si>
  <si>
    <t>3.4450620127177913</t>
  </si>
  <si>
    <t>-0.6500555421047611</t>
  </si>
  <si>
    <t>0.4640005490320151</t>
  </si>
  <si>
    <t>-1.8083107407805459</t>
  </si>
  <si>
    <t>-0.9498810979270387</t>
  </si>
  <si>
    <t>-0.8028787928630063</t>
  </si>
  <si>
    <t>-0.125609222610945</t>
  </si>
  <si>
    <t>-0.1342414329391349</t>
  </si>
  <si>
    <t>-2.287256515143721</t>
  </si>
  <si>
    <t>-0.9166614969137141</t>
  </si>
  <si>
    <t>0.08761199025031789</t>
  </si>
  <si>
    <t>0.7688693906587245</t>
  </si>
  <si>
    <t>-0.09837126888254231</t>
  </si>
  <si>
    <t>1.3715482334397664</t>
  </si>
  <si>
    <t>-0.26444015028537027</t>
  </si>
  <si>
    <t>0.3622556667610174</t>
  </si>
  <si>
    <t>-0.27639949927745844</t>
  </si>
  <si>
    <t>0.0868259930176881</t>
  </si>
  <si>
    <t>1.8554583013682835</t>
  </si>
  <si>
    <t>0.40580232287418627</t>
  </si>
  <si>
    <t>0.7287100825112259</t>
  </si>
  <si>
    <t>-2.531450675845705</t>
  </si>
  <si>
    <t>0.40730494776619597</t>
  </si>
  <si>
    <t>0.269095604104768</t>
  </si>
  <si>
    <t>-0.32346427145868845</t>
  </si>
  <si>
    <t>-1.2916070190744544</t>
  </si>
  <si>
    <t>-1.4607731391811305</t>
  </si>
  <si>
    <t>0.7167903682471328</t>
  </si>
  <si>
    <t>-0.8831342303688968</t>
  </si>
  <si>
    <t>0.7688314214640443</t>
  </si>
  <si>
    <t>0.49766336295557695</t>
  </si>
  <si>
    <t>0.827782491558545</t>
  </si>
  <si>
    <t>2.8453628734485</t>
  </si>
  <si>
    <t>-0.3686919545762884</t>
  </si>
  <si>
    <t>0.050343014554113934</t>
  </si>
  <si>
    <t>0.12059878342561058</t>
  </si>
  <si>
    <t>-0.9920099194206201</t>
  </si>
  <si>
    <t>-0.021934187366762795</t>
  </si>
  <si>
    <t>-0.35727754452332366</t>
  </si>
  <si>
    <t>-0.25031782014589843</t>
  </si>
  <si>
    <t>-1.0594730256672507</t>
  </si>
  <si>
    <t>-0.7414281336840763</t>
  </si>
  <si>
    <t>-0.400391132665888</t>
  </si>
  <si>
    <t>-0.4145064240939378</t>
  </si>
  <si>
    <t>-0.5697754193754033</t>
  </si>
  <si>
    <t>-0.11327850684751925</t>
  </si>
  <si>
    <t>2.359937929204532</t>
  </si>
  <si>
    <t>2.261028975573737</t>
  </si>
  <si>
    <t>-0.8316334366614518</t>
  </si>
  <si>
    <t>-0.07237854813310061</t>
  </si>
  <si>
    <t>0.01637688906694583</t>
  </si>
  <si>
    <t>-1.135161169925418</t>
  </si>
  <si>
    <t>-0.3955174903205103</t>
  </si>
  <si>
    <t>0.6642769837664653</t>
  </si>
  <si>
    <t>-0.00881594444515641</t>
  </si>
  <si>
    <t>-1.7186107952792815</t>
  </si>
  <si>
    <t>-0.9220997423582483</t>
  </si>
  <si>
    <t>-0.6695973275380214</t>
  </si>
  <si>
    <t>-1.2241960285184088</t>
  </si>
  <si>
    <t>-0.5411110943015479</t>
  </si>
  <si>
    <t>-1.2291091666502127</t>
  </si>
  <si>
    <t>1.336585951046542</t>
  </si>
  <si>
    <t>-1.1972578360917008</t>
  </si>
  <si>
    <t>0.431117463651084</t>
  </si>
  <si>
    <t>2.8222650261803723</t>
  </si>
  <si>
    <t>-0.19883625999241392</t>
  </si>
  <si>
    <t>0.5176357473738658</t>
  </si>
  <si>
    <t>0.1725981768682292</t>
  </si>
  <si>
    <t>-0.012538350276426444</t>
  </si>
  <si>
    <t>1.5117052919327132</t>
  </si>
  <si>
    <t>2.00390564639365</t>
  </si>
  <si>
    <t>-2.4266261332816073</t>
  </si>
  <si>
    <t>-0.6174897992717051</t>
  </si>
  <si>
    <t>0.6740217744799312</t>
  </si>
  <si>
    <t>1.9635010656134275</t>
  </si>
  <si>
    <t>-0.9804000863983929</t>
  </si>
  <si>
    <t>-0.6126442509170574</t>
  </si>
  <si>
    <t>1.2125041837395691</t>
  </si>
  <si>
    <t>-0.2174103683058101</t>
  </si>
  <si>
    <t>-1.1311510758263095</t>
  </si>
  <si>
    <t>-1.635847814249715</t>
  </si>
  <si>
    <t>-0.1753844654912126</t>
  </si>
  <si>
    <t>0.4692999422610355</t>
  </si>
  <si>
    <t>-0.4199975096254577</t>
  </si>
  <si>
    <t>-3.380870377076575</t>
  </si>
  <si>
    <t>0.2079850172294726</t>
  </si>
  <si>
    <t>-0.18830764689579296</t>
  </si>
  <si>
    <t>0.27085909285408133</t>
  </si>
  <si>
    <t>1.2661918789871316</t>
  </si>
  <si>
    <t>-0.24404493056205284</t>
  </si>
  <si>
    <t>-1.001534257295901</t>
  </si>
  <si>
    <t>-0.534440801438919</t>
  </si>
  <si>
    <t>0.09802880394632167</t>
  </si>
  <si>
    <t>0.6824106823575902</t>
  </si>
  <si>
    <t>0.04316405761240008</t>
  </si>
  <si>
    <t>1.6477511070258095</t>
  </si>
  <si>
    <t>0.6651396168237786</t>
  </si>
  <si>
    <t>0.5993150181226237</t>
  </si>
  <si>
    <t>-1.43712142065484</t>
  </si>
  <si>
    <t>-0.43131404150809394</t>
  </si>
  <si>
    <t>1.7229725676850007</t>
  </si>
  <si>
    <t>-2.007419908177606</t>
  </si>
  <si>
    <t>-3.0872552924118932</t>
  </si>
  <si>
    <t>0.7411821365731287</t>
  </si>
  <si>
    <t>0.61566022156078</t>
  </si>
  <si>
    <t>-1.283004654156351</t>
  </si>
  <si>
    <t>3.582596495500647</t>
  </si>
  <si>
    <t>-2.595646092591524</t>
  </si>
  <si>
    <t>1.431054621465284</t>
  </si>
  <si>
    <t>-1.1977599649786146</t>
  </si>
  <si>
    <t>2.3603884545119254</t>
  </si>
  <si>
    <t>-0.4284083905299466</t>
  </si>
  <si>
    <t>-0.050416586748596705</t>
  </si>
  <si>
    <t>1.169344167030818</t>
  </si>
  <si>
    <t>0.8346022974698986</t>
  </si>
  <si>
    <t>-0.11908995994353927</t>
  </si>
  <si>
    <t>0.9031149987476329</t>
  </si>
  <si>
    <t>-0.6098197148611196</t>
  </si>
  <si>
    <t>0.29725750210493607</t>
  </si>
  <si>
    <t>-2.033929231660685</t>
  </si>
  <si>
    <t>-4.454963876052381</t>
  </si>
  <si>
    <t>-0.401071895263375</t>
  </si>
  <si>
    <t>-0.7533602176115606</t>
  </si>
  <si>
    <t>-0.5598632939207242</t>
  </si>
  <si>
    <t>-0.5309997882335559</t>
  </si>
  <si>
    <t>-1.175472240308928</t>
  </si>
  <si>
    <t>-0.1549493310389412</t>
  </si>
  <si>
    <t>0.3196362909806817</t>
  </si>
  <si>
    <t>-2.8006371327122443</t>
  </si>
  <si>
    <t>0.9635566738561595</t>
  </si>
  <si>
    <t>-0.3931630498408928</t>
  </si>
  <si>
    <t>0.6220531129871425</t>
  </si>
  <si>
    <t>2.2936400331199875</t>
  </si>
  <si>
    <t>-1.6742897195359197</t>
  </si>
  <si>
    <t>0.5820621431031344</t>
  </si>
  <si>
    <t>0.19174090061779858</t>
  </si>
  <si>
    <t>0.5984277570223062</t>
  </si>
  <si>
    <t>0.9720323616690842</t>
  </si>
  <si>
    <t>0.8692625749284763</t>
  </si>
  <si>
    <t>0.8714110244144558</t>
  </si>
  <si>
    <t>-0.3622330509762254</t>
  </si>
  <si>
    <t>-0.08320117800150464</t>
  </si>
  <si>
    <t>-1.5578146414741563</t>
  </si>
  <si>
    <t>1.5786706722998314</t>
  </si>
  <si>
    <t>-1.233443971669574</t>
  </si>
  <si>
    <t>-1.1416799223313483</t>
  </si>
  <si>
    <t>0.01910259161508284</t>
  </si>
  <si>
    <t>-0.8393566206086313</t>
  </si>
  <si>
    <t>-0.3994456592083602</t>
  </si>
  <si>
    <t>-0.4267282482441596</t>
  </si>
  <si>
    <t>-5.1055001010001275</t>
  </si>
  <si>
    <t>1.3945647964830765</t>
  </si>
  <si>
    <t>1.4947754158814146</t>
  </si>
  <si>
    <t>1.0590864366329225</t>
  </si>
  <si>
    <t>2.512454723553794</t>
  </si>
  <si>
    <t>-1.1958252130388853</t>
  </si>
  <si>
    <t>0.7656895057113817</t>
  </si>
  <si>
    <t>-3.7805240435888114</t>
  </si>
  <si>
    <t>0.35687841843747564</t>
  </si>
  <si>
    <t>1.1313496077055698</t>
  </si>
  <si>
    <t>-1.5296726612186837</t>
  </si>
  <si>
    <t>1.6086065573612836</t>
  </si>
  <si>
    <t>-1.4308363513334</t>
  </si>
  <si>
    <t>-1.2453465489043751</t>
  </si>
  <si>
    <t>1.5271863242869579</t>
  </si>
  <si>
    <t>-1.31740378675789</t>
  </si>
  <si>
    <t>-1.6015564713984383</t>
  </si>
  <si>
    <t>-1.6489459244604212</t>
  </si>
  <si>
    <t>-0.2667457742124965</t>
  </si>
  <si>
    <t>0.25684769640518146</t>
  </si>
  <si>
    <t>-1.283305256547144</t>
  </si>
  <si>
    <t>0.05818957276593553</t>
  </si>
  <si>
    <t>1.2298799274700007</t>
  </si>
  <si>
    <t>-0.7845413651974533</t>
  </si>
  <si>
    <t>0.7548138708419951</t>
  </si>
  <si>
    <t>0.14608009612335804</t>
  </si>
  <si>
    <t>0.043171602301937985</t>
  </si>
  <si>
    <t>3.503809497752268</t>
  </si>
  <si>
    <t>-2.1060694382346554</t>
  </si>
  <si>
    <t>0.8663450520426795</t>
  </si>
  <si>
    <t>2.076236319887094</t>
  </si>
  <si>
    <t>0.123541210124983</t>
  </si>
  <si>
    <t>-0.029099980255524505</t>
  </si>
  <si>
    <t>0.5445018893439997</t>
  </si>
  <si>
    <t>1.5971235367406802</t>
  </si>
  <si>
    <t>0.28749160417118824</t>
  </si>
  <si>
    <t>-1.5156257711792442</t>
  </si>
  <si>
    <t>-1.3483663699621349</t>
  </si>
  <si>
    <t>-0.39459744115908746</t>
  </si>
  <si>
    <t>0.9375006254762163</t>
  </si>
  <si>
    <t>0.7772125016934198</t>
  </si>
  <si>
    <t>-0.27032108126507</t>
  </si>
  <si>
    <t>-1.3013371863713539</t>
  </si>
  <si>
    <t>-0.3541408883964105</t>
  </si>
  <si>
    <t>1.1640770077642046</t>
  </si>
  <si>
    <t>2.9221736025219593</t>
  </si>
  <si>
    <t>-1.515006218656384</t>
  </si>
  <si>
    <t>-1.1842016043804597</t>
  </si>
  <si>
    <t>-0.9120382167045666</t>
  </si>
  <si>
    <t>-0.33416297576369225</t>
  </si>
  <si>
    <t>-0.6796122817657804</t>
  </si>
  <si>
    <t>-0.3579287736034948</t>
  </si>
  <si>
    <t>-0.38013487118247186</t>
  </si>
  <si>
    <t>0.5012287383387067</t>
  </si>
  <si>
    <t>-0.9112547490580735</t>
  </si>
  <si>
    <t>-0.2510642068517194</t>
  </si>
  <si>
    <t>0.25532283010877127</t>
  </si>
  <si>
    <t>-0.7367702531510205</t>
  </si>
  <si>
    <t>0.2033192163924054</t>
  </si>
  <si>
    <t>-2.7586680301603304</t>
  </si>
  <si>
    <t>2.0642600193134832</t>
  </si>
  <si>
    <t>-1.5470681167428264</t>
  </si>
  <si>
    <t>0.6937690692449955</t>
  </si>
  <si>
    <t>-0.16263128330211718</t>
  </si>
  <si>
    <t>1.4138610708809765</t>
  </si>
  <si>
    <t>-0.8130654311108806</t>
  </si>
  <si>
    <t>2.3910821498337462</t>
  </si>
  <si>
    <t>1.4628985466124746</t>
  </si>
  <si>
    <t>-0.4559996597072066</t>
  </si>
  <si>
    <t>-0.19283702735641517</t>
  </si>
  <si>
    <t>-0.6286737058804518</t>
  </si>
  <si>
    <t>-1.1394366702988823</t>
  </si>
  <si>
    <t>0.4112588350532505</t>
  </si>
  <si>
    <t>0.2105617520041171</t>
  </si>
  <si>
    <t>-0.17500417758139725</t>
  </si>
  <si>
    <t>-0.3178989561025714</t>
  </si>
  <si>
    <t>0.5649773136643147</t>
  </si>
  <si>
    <t>-0.059437313414085875</t>
  </si>
  <si>
    <t>2.486761032281023</t>
  </si>
  <si>
    <t>2.0014950144775674</t>
  </si>
  <si>
    <t>1.8515945264947733</t>
  </si>
  <si>
    <t>0.9116539366947763</t>
  </si>
  <si>
    <t>-0.11746027372422299</t>
  </si>
  <si>
    <t>-0.6388859457414924</t>
  </si>
  <si>
    <t>0.4718159465698465</t>
  </si>
  <si>
    <t>-1.2674272429375277</t>
  </si>
  <si>
    <t>-0.22362351070021322</t>
  </si>
  <si>
    <t>-0.43806485244541377</t>
  </si>
  <si>
    <t>0.20085966570440453</t>
  </si>
  <si>
    <t>0.2892739311427481</t>
  </si>
  <si>
    <t>0.09800831646306013</t>
  </si>
  <si>
    <t>1.4324670863307978</t>
  </si>
  <si>
    <t>0.6942929078967823</t>
  </si>
  <si>
    <t>0.48337499893465763</t>
  </si>
  <si>
    <t>-0.6154405727030525</t>
  </si>
  <si>
    <t>-0.44437864284362677</t>
  </si>
  <si>
    <t>0.5957816835892121</t>
  </si>
  <si>
    <t>1.243342821758964</t>
  </si>
  <si>
    <t>-0.3545649212667612</t>
  </si>
  <si>
    <t>-0.16422167552300132</t>
  </si>
  <si>
    <t>0.6115889233703085</t>
  </si>
  <si>
    <t>0.26758967754163065</t>
  </si>
  <si>
    <t>1.3470622800696617</t>
  </si>
  <si>
    <t>-0.9627873068564744</t>
  </si>
  <si>
    <t>-0.5803439163206812</t>
  </si>
  <si>
    <t>0.029406043667614346</t>
  </si>
  <si>
    <t>-0.3961556691608389</t>
  </si>
  <si>
    <t>-0.010835152652495175</t>
  </si>
  <si>
    <t>-0.3735288182644874</t>
  </si>
  <si>
    <t>-0.40849271733407927</t>
  </si>
  <si>
    <t>-0.7912661373887092</t>
  </si>
  <si>
    <t>-0.7448778854122532</t>
  </si>
  <si>
    <t>0.9591812759040955</t>
  </si>
  <si>
    <t>-0.6066524328483845</t>
  </si>
  <si>
    <t>0.013790354268484264</t>
  </si>
  <si>
    <t>-0.6437412773707583</t>
  </si>
  <si>
    <t>-0.1571765620719558</t>
  </si>
  <si>
    <t>1.2408915040260244</t>
  </si>
  <si>
    <t>0.775860895486564</t>
  </si>
  <si>
    <t>0.3413349704592331</t>
  </si>
  <si>
    <t>-0.12996365601819507</t>
  </si>
  <si>
    <t>0.6598570961662993</t>
  </si>
  <si>
    <t>-0.08305776913707576</t>
  </si>
  <si>
    <t>-0.7617469342383454</t>
  </si>
  <si>
    <t>-0.26294625122192433</t>
  </si>
  <si>
    <t>0.08390512456712505</t>
  </si>
  <si>
    <t>-0.07628026221978057</t>
  </si>
  <si>
    <t>0.060318993967773314</t>
  </si>
  <si>
    <t>1.2522337842533742</t>
  </si>
  <si>
    <t>-0.5038842946688848</t>
  </si>
  <si>
    <t>1.3073330961356142</t>
  </si>
  <si>
    <t>0.992461788329579</t>
  </si>
  <si>
    <t>0.6719087967903266</t>
  </si>
  <si>
    <t>-1.0313957727709577</t>
  </si>
  <si>
    <t>1.2531794144344524</t>
  </si>
  <si>
    <t>0.789665093724108</t>
  </si>
  <si>
    <t>-0.8800048624468545</t>
  </si>
  <si>
    <t>-0.5743007369241914</t>
  </si>
  <si>
    <t>0.4111602752495762</t>
  </si>
  <si>
    <t>-0.9073534229826954</t>
  </si>
  <si>
    <t>0.3105108882614636</t>
  </si>
  <si>
    <t>0.4614668439404399</t>
  </si>
  <si>
    <t>0.9936376453234254</t>
  </si>
  <si>
    <t>0.6116115673852627</t>
  </si>
  <si>
    <t>0.26066779941340684</t>
  </si>
  <si>
    <t>-0.5476294099638811</t>
  </si>
  <si>
    <t>0.17437900678581145</t>
  </si>
  <si>
    <t>-0.7609389490211607</t>
  </si>
  <si>
    <t>-0.20574354542194187</t>
  </si>
  <si>
    <t>-0.569160025750188</t>
  </si>
  <si>
    <t>-0.08636603476650595</t>
  </si>
  <si>
    <t>-1.535113245056991</t>
  </si>
  <si>
    <t>0.6208881510511536</t>
  </si>
  <si>
    <t>1.1181713307023804</t>
  </si>
  <si>
    <t>0.8460358304211443</t>
  </si>
  <si>
    <t>0.9998697798811554</t>
  </si>
  <si>
    <t>0.2749622680616219</t>
  </si>
  <si>
    <t>0.03163214795270186</t>
  </si>
  <si>
    <t>1.0586666791514368</t>
  </si>
  <si>
    <t>-0.6633548930996849</t>
  </si>
  <si>
    <t>-0.9433767466827268</t>
  </si>
  <si>
    <t>0.4363764900389575</t>
  </si>
  <si>
    <t>-0.9281644459829682</t>
  </si>
  <si>
    <t>0.8543627331187851</t>
  </si>
  <si>
    <t>0.9190194319705178</t>
  </si>
  <si>
    <t>-0.2803626536055519</t>
  </si>
  <si>
    <t>0.24838921246028017</t>
  </si>
  <si>
    <t>-0.21125599335771814</t>
  </si>
  <si>
    <t>-1.3750253867914894</t>
  </si>
  <si>
    <t>0.2563731661476633</t>
  </si>
  <si>
    <t>0.7910032063828123</t>
  </si>
  <si>
    <t>-1.2800560618241525</t>
  </si>
  <si>
    <t>1.1057588398414469</t>
  </si>
  <si>
    <t>-0.00018515906907020434</t>
  </si>
  <si>
    <t>-0.04223046949826944</t>
  </si>
  <si>
    <t>0.05230939171764336</t>
  </si>
  <si>
    <t>-0.9724503719624197</t>
  </si>
  <si>
    <t>-0.29547088177506176</t>
  </si>
  <si>
    <t>-0.4987666572312263</t>
  </si>
  <si>
    <t>-0.630704912220189</t>
  </si>
  <si>
    <t>-0.24047682051658964</t>
  </si>
  <si>
    <t>-0.10190872074448244</t>
  </si>
  <si>
    <t>1.2559194551696846</t>
  </si>
  <si>
    <t>-0.41131210710894994</t>
  </si>
  <si>
    <t>1.141576344532166</t>
  </si>
  <si>
    <t>0.526707404437783</t>
  </si>
  <si>
    <t>0.5899198516521172</t>
  </si>
  <si>
    <t>-0.16858437678190752</t>
  </si>
  <si>
    <t>-0.8182466701390031</t>
  </si>
  <si>
    <t>0.20135651958723574</t>
  </si>
  <si>
    <t>0.7651089131159535</t>
  </si>
  <si>
    <t>-1.4188394905800719</t>
  </si>
  <si>
    <t>0.42477020737179316</t>
  </si>
  <si>
    <t>-1.550233694374868</t>
  </si>
  <si>
    <t>-0.2080654064079958</t>
  </si>
  <si>
    <t>0.8823638662165679</t>
  </si>
  <si>
    <t>0.25274838709381997</t>
  </si>
  <si>
    <t>-0.227736774598188</t>
  </si>
  <si>
    <t>0.011615033010535696</t>
  </si>
  <si>
    <t>-0.674815347771756</t>
  </si>
  <si>
    <t>-0.9883674153140991</t>
  </si>
  <si>
    <t>-0.900960786363371</t>
  </si>
  <si>
    <t>0.1447174511324625</t>
  </si>
  <si>
    <t>0.42333786052297256</t>
  </si>
  <si>
    <t>0.827764455573274</t>
  </si>
  <si>
    <t>0.4165429800169982</t>
  </si>
  <si>
    <t>-1.1943211771155426</t>
  </si>
  <si>
    <t>-0.3745807361128671</t>
  </si>
  <si>
    <t>0.38657613276231745</t>
  </si>
  <si>
    <t>-2.2977223152149495</t>
  </si>
  <si>
    <t>-0.2781601356942915</t>
  </si>
  <si>
    <t>-1.3326049265955522</t>
  </si>
  <si>
    <t>-0.9393058889444373</t>
  </si>
  <si>
    <t>2.274088155381646</t>
  </si>
  <si>
    <t>-0.09319301717817459</t>
  </si>
  <si>
    <t>-1.2074262561888878</t>
  </si>
  <si>
    <t>-1.7365615291202103</t>
  </si>
  <si>
    <t>0.9222037684249819</t>
  </si>
  <si>
    <t>1.858865336390949</t>
  </si>
  <si>
    <t>-0.8550936051932374</t>
  </si>
  <si>
    <t>-1.0370313380802636</t>
  </si>
  <si>
    <t>-0.026641224198889174</t>
  </si>
  <si>
    <t>1.5452153273608296</t>
  </si>
  <si>
    <t>0.517831388318615</t>
  </si>
  <si>
    <t>0.1520897773623777</t>
  </si>
  <si>
    <t>0.42680778074052</t>
  </si>
  <si>
    <t>-0.6503214197155655</t>
  </si>
  <si>
    <t>-1.4689502743898155</t>
  </si>
  <si>
    <t>-0.6010134737938223</t>
  </si>
  <si>
    <t>-0.01747737382022278</t>
  </si>
  <si>
    <t>-0.17747924348033292</t>
  </si>
  <si>
    <t>0.043505579949677034</t>
  </si>
  <si>
    <t>1.0173125726016163</t>
  </si>
  <si>
    <t>0.052654393887138884</t>
  </si>
  <si>
    <t>0.7091445046882145</t>
  </si>
  <si>
    <t>-0.15727633156573526</t>
  </si>
  <si>
    <t>-0.40324251342130607</t>
  </si>
  <si>
    <t>-0.354419740018856</t>
  </si>
  <si>
    <t>1.4265171075939451</t>
  </si>
  <si>
    <t>-0.10960338441938035</t>
  </si>
  <si>
    <t>0.7749710121276002</t>
  </si>
  <si>
    <t>-0.4386333669587644</t>
  </si>
  <si>
    <t>-0.20266800929109682</t>
  </si>
  <si>
    <t>-1.1767715770666503</t>
  </si>
  <si>
    <t>0.08832061475849905</t>
  </si>
  <si>
    <t>-0.8416754947844188</t>
  </si>
  <si>
    <t>0.12510289427408153</t>
  </si>
  <si>
    <t>-1.0426936104599789</t>
  </si>
  <si>
    <t>0.2842583990323525</t>
  </si>
  <si>
    <t>0.2484189276761715</t>
  </si>
  <si>
    <t>-0.10385726158464312</t>
  </si>
  <si>
    <t>-0.5011684577987447</t>
  </si>
  <si>
    <t>-0.657516424551723</t>
  </si>
  <si>
    <t>0.05296310085089052</t>
  </si>
  <si>
    <t>0.4597028216364853</t>
  </si>
  <si>
    <t>1.0029261268950023</t>
  </si>
  <si>
    <t>-0.4874234900245852</t>
  </si>
  <si>
    <t>-0.8473067535776985</t>
  </si>
  <si>
    <t>-0.04933742380090895</t>
  </si>
  <si>
    <t>-0.5497645720181252</t>
  </si>
  <si>
    <t>-0.37268581348812296</t>
  </si>
  <si>
    <t>0.5231028581662442</t>
  </si>
  <si>
    <t>-0.15571604140998085</t>
  </si>
  <si>
    <t>0.4827904866200252</t>
  </si>
  <si>
    <t>0.4846450179889355</t>
  </si>
  <si>
    <t>-0.04195045448341897</t>
  </si>
  <si>
    <t>0.6595880047831826</t>
  </si>
  <si>
    <t>0.25792975399110374</t>
  </si>
  <si>
    <t>0.02245997367962115</t>
  </si>
  <si>
    <t>0.2939254380040415</t>
  </si>
  <si>
    <t>-0.23864481618513944</t>
  </si>
  <si>
    <t>0.045658655363626274</t>
  </si>
  <si>
    <t>-0.6504846932424474</t>
  </si>
  <si>
    <t>-0.549530859235555</t>
  </si>
  <si>
    <t>-0.6303360665182139</t>
  </si>
  <si>
    <t>-1.0856624752052566</t>
  </si>
  <si>
    <t>-0.5264335057475431</t>
  </si>
  <si>
    <t>0.2233175082604742</t>
  </si>
  <si>
    <t>0.6303883268957905</t>
  </si>
  <si>
    <t>-1.2072961138721106</t>
  </si>
  <si>
    <t>-1.032317952385181</t>
  </si>
  <si>
    <t>0.4659518885078845</t>
  </si>
  <si>
    <t>0.7450837984795439</t>
  </si>
  <si>
    <t>1.016036325076988</t>
  </si>
  <si>
    <t>-1.0193451564234255</t>
  </si>
  <si>
    <t>1.2797069415515534</t>
  </si>
  <si>
    <t>-0.07045142215643926</t>
  </si>
  <si>
    <t>0.43456935806769237</t>
  </si>
  <si>
    <t>1.1254706902331073</t>
  </si>
  <si>
    <t>-0.254477329581202</t>
  </si>
  <si>
    <t>-0.09673963198885793</t>
  </si>
  <si>
    <t>-0.14278736108740192</t>
  </si>
  <si>
    <t>-0.18511100598013294</t>
  </si>
  <si>
    <t>-0.2224942081793737</t>
  </si>
  <si>
    <t>-1.326540592978289</t>
  </si>
  <si>
    <t>0.21527799813766818</t>
  </si>
  <si>
    <t>-1.7615434862617811</t>
  </si>
  <si>
    <t>0.35776717973941596</t>
  </si>
  <si>
    <t>-0.2367012787532118</t>
  </si>
  <si>
    <t>0.6964514462905642</t>
  </si>
  <si>
    <t>-0.9956168701510879</t>
  </si>
  <si>
    <t>0.25561441977740157</t>
  </si>
  <si>
    <t>-0.3516603605599687</t>
  </si>
  <si>
    <t>0.5999957123067376</t>
  </si>
  <si>
    <t>-0.6310218872112147</t>
  </si>
  <si>
    <t>0.6027519763879294</t>
  </si>
  <si>
    <t>-0.3173200268290612</t>
  </si>
  <si>
    <t>0.06173453177462528</t>
  </si>
  <si>
    <t>0.0005985809733437114</t>
  </si>
  <si>
    <t>-0.2915553064643772</t>
  </si>
  <si>
    <t>0.28493526986603446</t>
  </si>
  <si>
    <t>-0.4077500316922335</t>
  </si>
  <si>
    <t>0.97911139304922</t>
  </si>
  <si>
    <t>-0.40855213952861663</t>
  </si>
  <si>
    <t>0.36543825520361906</t>
  </si>
  <si>
    <t>1.1287146798778405</t>
  </si>
  <si>
    <t>-0.15245329769018173</t>
  </si>
  <si>
    <t>0.659380360842617</t>
  </si>
  <si>
    <t>-0.3170567212959209</t>
  </si>
  <si>
    <t>-0.326456785488887</t>
  </si>
  <si>
    <t>0.20893240862007054</t>
  </si>
  <si>
    <t>-0.6930996900916749</t>
  </si>
  <si>
    <t>0.10963159576414135</t>
  </si>
  <si>
    <t>0.09833610672582137</t>
  </si>
  <si>
    <t>-0.8473218341911796</t>
  </si>
  <si>
    <t>-0.5911924851582524</t>
  </si>
  <si>
    <t>-1.7008975102951462</t>
  </si>
  <si>
    <t>0.7126579890979736</t>
  </si>
  <si>
    <t>-1.4145093762461856</t>
  </si>
  <si>
    <t>-1.0796623327909733</t>
  </si>
  <si>
    <t>0.6696283346940745</t>
  </si>
  <si>
    <t>-0.7900007295718223</t>
  </si>
  <si>
    <t>-0.13219612177569917</t>
  </si>
  <si>
    <t>-0.5350504094913956</t>
  </si>
  <si>
    <t>-0.09797149587141483</t>
  </si>
  <si>
    <t>-0.9014048841955302</t>
  </si>
  <si>
    <t>0.3307463736413846</t>
  </si>
  <si>
    <t>-0.1404178186749006</t>
  </si>
  <si>
    <t>-0.5414910868247353</t>
  </si>
  <si>
    <t>-0.5490788998487457</t>
  </si>
  <si>
    <t>-1.4171388386868633</t>
  </si>
  <si>
    <t>-1.098138835285716</t>
  </si>
  <si>
    <t>-0.5575254345313851</t>
  </si>
  <si>
    <t>1.4092876914809265</t>
  </si>
  <si>
    <t>0.7776982574343424</t>
  </si>
  <si>
    <t>0.49497584014067075</t>
  </si>
  <si>
    <t>0.8296414760248636</t>
  </si>
  <si>
    <t>-0.390723580325833</t>
  </si>
  <si>
    <t>-1.0905960158461085</t>
  </si>
  <si>
    <t>1.3891627014631338</t>
  </si>
  <si>
    <t>-1.0521248659201743</t>
  </si>
  <si>
    <t>-1.5645110631633665</t>
  </si>
  <si>
    <t>-0.5992330621634313</t>
  </si>
  <si>
    <t>1.121558064474224</t>
  </si>
  <si>
    <t>1.1970355426561643</t>
  </si>
  <si>
    <t>-0.39810450631332256</t>
  </si>
  <si>
    <t>0.17632178144031074</t>
  </si>
  <si>
    <t>-0.8798438321688771</t>
  </si>
  <si>
    <t>-0.6431596551281082</t>
  </si>
  <si>
    <t>-0.05907922503535382</t>
  </si>
  <si>
    <t>0.6622973537630048</t>
  </si>
  <si>
    <t>1.4855622835915911</t>
  </si>
  <si>
    <t>-1.1082726413366475</t>
  </si>
  <si>
    <t>-0.2585280442122164</t>
  </si>
  <si>
    <t>-1.7027075705942023</t>
  </si>
  <si>
    <t>-0.8409365503903481</t>
  </si>
  <si>
    <t>-0.26360678759592227</t>
  </si>
  <si>
    <t>-1.8371397863755365</t>
  </si>
  <si>
    <t>1.0533498532602386</t>
  </si>
  <si>
    <t>-1.1502132898504862</t>
  </si>
  <si>
    <t>-2.0105328910535394</t>
  </si>
  <si>
    <t>-0.6432561878939349</t>
  </si>
  <si>
    <t>-0.728723353125883</t>
  </si>
  <si>
    <t>-1.6175562621904824</t>
  </si>
  <si>
    <t>1.9620964416322124</t>
  </si>
  <si>
    <t>-1.4368807943705921</t>
  </si>
  <si>
    <t>-2.446321032187606</t>
  </si>
  <si>
    <t>-1.414889166303057</t>
  </si>
  <si>
    <t>2.9445017899541694</t>
  </si>
  <si>
    <t>-1.3707084024816105</t>
  </si>
  <si>
    <t>-0.09216226272825301</t>
  </si>
  <si>
    <t>-0.7723069416161955</t>
  </si>
  <si>
    <t>0.5801605990321098</t>
  </si>
  <si>
    <t>-1.7319396049521085</t>
  </si>
  <si>
    <t>-1.014622219397805</t>
  </si>
  <si>
    <t>-0.8683096275638609</t>
  </si>
  <si>
    <t>0.5040040611403125</t>
  </si>
  <si>
    <t>0.4937501447010187</t>
  </si>
  <si>
    <t>-1.1866140184811926</t>
  </si>
  <si>
    <t>0.6465588142294861</t>
  </si>
  <si>
    <t>-0.04456505477545687</t>
  </si>
  <si>
    <t>-0.3651562171887098</t>
  </si>
  <si>
    <t>-0.05023572500993432</t>
  </si>
  <si>
    <t>1.5078575390155082</t>
  </si>
  <si>
    <t>1.7574964612307828</t>
  </si>
  <si>
    <t>1.3956432832002459</t>
  </si>
  <si>
    <t>-0.9992723606805228</t>
  </si>
  <si>
    <t>1.7187216968857322</t>
  </si>
  <si>
    <t>0.2632136182501178</t>
  </si>
  <si>
    <t>0.5629307464695169</t>
  </si>
  <si>
    <t>0.2710939623958026</t>
  </si>
  <si>
    <t>0.29532173004432677</t>
  </si>
  <si>
    <t>-1.0410603694551295</t>
  </si>
  <si>
    <t>-0.8666563884863286</t>
  </si>
  <si>
    <t>-1.557330387273434</t>
  </si>
  <si>
    <t>1.5704824612713986</t>
  </si>
  <si>
    <t>1.5502178346764874</t>
  </si>
  <si>
    <t>0.0967797601198804</t>
  </si>
  <si>
    <t>-1.9081904616793468</t>
  </si>
  <si>
    <t>-2.2308157243044313</t>
  </si>
  <si>
    <t>0.6366338872614808</t>
  </si>
  <si>
    <t>0.2645893457098897</t>
  </si>
  <si>
    <t>-1.2726439509000333</t>
  </si>
  <si>
    <t>0.31441319861521316</t>
  </si>
  <si>
    <t>1.6858931876619134</t>
  </si>
  <si>
    <t>-1.4845076845752831</t>
  </si>
  <si>
    <t>0.7794614440050955</t>
  </si>
  <si>
    <t>0.49008713811281646</t>
  </si>
  <si>
    <t>2.5027719560556694</t>
  </si>
  <si>
    <t>0.1257775168398446</t>
  </si>
  <si>
    <t>-0.6676568533273836</t>
  </si>
  <si>
    <t>-0.3386283011795021</t>
  </si>
  <si>
    <t>-0.9866012825543783</t>
  </si>
  <si>
    <t>-0.10789628242973993</t>
  </si>
  <si>
    <t>0.781620635304131</t>
  </si>
  <si>
    <t>0.39483499381357295</t>
  </si>
  <si>
    <t>-0.41492740460363003</t>
  </si>
  <si>
    <t>0.1053581057653722</t>
  </si>
  <si>
    <t>1.171868896602034</t>
  </si>
  <si>
    <t>1.8708987846845664</t>
  </si>
  <si>
    <t>1.898114297024622</t>
  </si>
  <si>
    <t>0.7848216637758443</t>
  </si>
  <si>
    <t>-1.048433122861359</t>
  </si>
  <si>
    <t>1.0377191725582544</t>
  </si>
  <si>
    <t>1.0575486768180535</t>
  </si>
  <si>
    <t>2.492941708238675</t>
  </si>
  <si>
    <t>-1.9064813460474241</t>
  </si>
  <si>
    <t>1.0447397430350593</t>
  </si>
  <si>
    <t>-2.4398057336893997</t>
  </si>
  <si>
    <t>0.878546536128495</t>
  </si>
  <si>
    <t>-0.8621490132563371</t>
  </si>
  <si>
    <t>-0.5361485605685532</t>
  </si>
  <si>
    <t>-0.24614637227449893</t>
  </si>
  <si>
    <t>0.38479988583401653</t>
  </si>
  <si>
    <t>1.485184432765102</t>
  </si>
  <si>
    <t>1.0258460036757318</t>
  </si>
  <si>
    <t>1.2590127173372894</t>
  </si>
  <si>
    <t>-1.6104196673375304</t>
  </si>
  <si>
    <t>1.2797289214414984</t>
  </si>
  <si>
    <t>-1.1390338251142644</t>
  </si>
  <si>
    <t>-0.17046670805056496</t>
  </si>
  <si>
    <t>1.564551927526654</t>
  </si>
  <si>
    <t>-0.6667947930998522</t>
  </si>
  <si>
    <t>0.9710946868376474</t>
  </si>
  <si>
    <t>-1.2353316721573928</t>
  </si>
  <si>
    <t>0.5585658980795947</t>
  </si>
  <si>
    <t>0.7008646970692709</t>
  </si>
  <si>
    <t>-1.721900227850591</t>
  </si>
  <si>
    <t>0.03403297100996859</t>
  </si>
  <si>
    <t>0.28743049515199237</t>
  </si>
  <si>
    <t>-1.6700457406845313</t>
  </si>
  <si>
    <t>-0.3303132196323525</t>
  </si>
  <si>
    <t>1.2447241168836822</t>
  </si>
  <si>
    <t>-1.0803837215479624</t>
  </si>
  <si>
    <t>-0.5033464845495272</t>
  </si>
  <si>
    <t>0.4730359518802568</t>
  </si>
  <si>
    <t>-1.6123168778834671</t>
  </si>
  <si>
    <t>-0.5816176824230586</t>
  </si>
  <si>
    <t>1.5653964812906342</t>
  </si>
  <si>
    <t>1.1926937024953979</t>
  </si>
  <si>
    <t>0.6455141374233567</t>
  </si>
  <si>
    <t>-0.02420632378564489</t>
  </si>
  <si>
    <t>1.4258563225652743</t>
  </si>
  <si>
    <t>1.0195160508780963</t>
  </si>
  <si>
    <t>-0.9937042950745398</t>
  </si>
  <si>
    <t>0.6907172979576487</t>
  </si>
  <si>
    <t>1.4299287728965384</t>
  </si>
  <si>
    <t>0.5418978359995884</t>
  </si>
  <si>
    <t>0.2157111938762883</t>
  </si>
  <si>
    <t>-0.12338210764176193</t>
  </si>
  <si>
    <t>-0.06509326612844687</t>
  </si>
  <si>
    <t>1.0114053577972737</t>
  </si>
  <si>
    <t>2.32108571652517</t>
  </si>
  <si>
    <t>0.280775218132526</t>
  </si>
  <si>
    <t>0.5990825673446538</t>
  </si>
  <si>
    <t>-0.4210128301124484</t>
  </si>
  <si>
    <t>0.5380374873647438</t>
  </si>
  <si>
    <t>0.17804467863847437</t>
  </si>
  <si>
    <t>-0.8288884752008836</t>
  </si>
  <si>
    <t>0.4931499076997509</t>
  </si>
  <si>
    <t>-1.0215350342026712</t>
  </si>
  <si>
    <t>0.2828595584710145</t>
  </si>
  <si>
    <t>0.16965208776194085</t>
  </si>
  <si>
    <t>-0.06018910267888621</t>
  </si>
  <si>
    <t>-0.10867679201042933</t>
  </si>
  <si>
    <t>0.9319593701527901</t>
  </si>
  <si>
    <t>0.515916539827517</t>
  </si>
  <si>
    <t>-0.8652971360111982</t>
  </si>
  <si>
    <t>-1.5530552210265705</t>
  </si>
  <si>
    <t>0.7350153128752847</t>
  </si>
  <si>
    <t>-0.832682341566631</t>
  </si>
  <si>
    <t>0.5055896641357583</t>
  </si>
  <si>
    <t>-0.28414755266992925</t>
  </si>
  <si>
    <t>-0.5381771781951822</t>
  </si>
  <si>
    <t>-2.1293337087548734</t>
  </si>
  <si>
    <t>1.375236597916718</t>
  </si>
  <si>
    <t>-0.5877076469033603</t>
  </si>
  <si>
    <t>0.2097198760092526</t>
  </si>
  <si>
    <t>0.10294862959863278</t>
  </si>
  <si>
    <t>-0.01566469485447395</t>
  </si>
  <si>
    <t>0.9449983829620507</t>
  </si>
  <si>
    <t>0.1304735270632492</t>
  </si>
  <si>
    <t>-0.6459979377140654</t>
  </si>
  <si>
    <t>1.185237451057055</t>
  </si>
  <si>
    <t>1.2250794091745003</t>
  </si>
  <si>
    <t>-0.40522581296033483</t>
  </si>
  <si>
    <t>0.8867167952370243</t>
  </si>
  <si>
    <t>0.8470436014557046</t>
  </si>
  <si>
    <t>0.00415955513285918</t>
  </si>
  <si>
    <t>-0.02955016670956162</t>
  </si>
  <si>
    <t>-0.2534691896414398</t>
  </si>
  <si>
    <t>-1.2902268711702778</t>
  </si>
  <si>
    <t>-0.7256377683292483</t>
  </si>
  <si>
    <t>-0.5116382131928282</t>
  </si>
  <si>
    <t>0.9799231999712399</t>
  </si>
  <si>
    <t>-0.32785763860603334</t>
  </si>
  <si>
    <t>1.2150958132976712</t>
  </si>
  <si>
    <t>0.4575712348854318</t>
  </si>
  <si>
    <t>0.15307230602801658</t>
  </si>
  <si>
    <t>-0.06898298640009448</t>
  </si>
  <si>
    <t>0.2700152450671537</t>
  </si>
  <si>
    <t>0.387390365881508</t>
  </si>
  <si>
    <t>0.2462682823792154</t>
  </si>
  <si>
    <t>-0.13500849669754997</t>
  </si>
  <si>
    <t>0.47923663942668465</t>
  </si>
  <si>
    <t>-0.21312588990610462</t>
  </si>
  <si>
    <t>-0.6969643239108428</t>
  </si>
  <si>
    <t>0.23038016227230415</t>
  </si>
  <si>
    <t>0.447515484473824</t>
  </si>
  <si>
    <t>-1.873847214074913</t>
  </si>
  <si>
    <t>0.5478304933230823</t>
  </si>
  <si>
    <t>-1.8712670206207573</t>
  </si>
  <si>
    <t>-0.523566205768242</t>
  </si>
  <si>
    <t>-0.29281146761218113</t>
  </si>
  <si>
    <t>1.4624810617673087</t>
  </si>
  <si>
    <t>-0.3805382170322572</t>
  </si>
  <si>
    <t>-0.2845689358325971</t>
  </si>
  <si>
    <t>-1.1972476222499153</t>
  </si>
  <si>
    <t>0.8436297166257616</t>
  </si>
  <si>
    <t>0.477778099553146</t>
  </si>
  <si>
    <t>0.2363350323491599</t>
  </si>
  <si>
    <t>0.4135817896342067</t>
  </si>
  <si>
    <t>-0.32346701738182987</t>
  </si>
  <si>
    <t>0.8679954689413585</t>
  </si>
  <si>
    <t>-0.5903095654473159</t>
  </si>
  <si>
    <t>-0.468545552137126</t>
  </si>
  <si>
    <t>-0.10282584719269255</t>
  </si>
  <si>
    <t>1.6361503236574269</t>
  </si>
  <si>
    <t>0.6647027259314321</t>
  </si>
  <si>
    <t>0.09649464770820396</t>
  </si>
  <si>
    <t>0.5497300382734845</t>
  </si>
  <si>
    <t>-0.583903328396411</t>
  </si>
  <si>
    <t>-0.8445551523573263</t>
  </si>
  <si>
    <t>-0.385401306876182</t>
  </si>
  <si>
    <t>-0.8023415546712898</t>
  </si>
  <si>
    <t>0.06613556797115207</t>
  </si>
  <si>
    <t>-0.278305449228535</t>
  </si>
  <si>
    <t>0.03335168325358474</t>
  </si>
  <si>
    <t>-0.23622809540973394</t>
  </si>
  <si>
    <t>0.11914879104205306</t>
  </si>
  <si>
    <t>0.09994335599141906</t>
  </si>
  <si>
    <t>0.2860520209904223</t>
  </si>
  <si>
    <t>-0.6317603991980838</t>
  </si>
  <si>
    <t>-0.5767349855119597</t>
  </si>
  <si>
    <t>-0.21675758573103807</t>
  </si>
  <si>
    <t>0.548754095847125</t>
  </si>
  <si>
    <t>0.3553235060073416</t>
  </si>
  <si>
    <t>-1.3743470079160445</t>
  </si>
  <si>
    <t>-0.30995934459321817</t>
  </si>
  <si>
    <t>-0.43449971625027234</t>
  </si>
  <si>
    <t>-0.4143462693415104</t>
  </si>
  <si>
    <t>0.22124334869106324</t>
  </si>
  <si>
    <t>-0.030593184173873147</t>
  </si>
  <si>
    <t>0.32604371893191125</t>
  </si>
  <si>
    <t>-0.16538729788157802</t>
  </si>
  <si>
    <t>-0.03553551723196694</t>
  </si>
  <si>
    <t>-0.4970774438345795</t>
  </si>
  <si>
    <t>0.41314844170121245</t>
  </si>
  <si>
    <t>-0.7669271422577869</t>
  </si>
  <si>
    <t>-0.13873670576368624</t>
  </si>
  <si>
    <t>1.4064238081936118</t>
  </si>
  <si>
    <t>0.3939548983995319</t>
  </si>
  <si>
    <t>-0.4243434459985926</t>
  </si>
  <si>
    <t>0.21123255875829633</t>
  </si>
  <si>
    <t>0.23765326841508877</t>
  </si>
  <si>
    <t>-0.8094920612774349</t>
  </si>
  <si>
    <t>0.2914486032242675</t>
  </si>
  <si>
    <t>-1.022016418337975</t>
  </si>
  <si>
    <t>-0.30004181222128123</t>
  </si>
  <si>
    <t>0.6981542682353451</t>
  </si>
  <si>
    <t>-0.13963548298961978</t>
  </si>
  <si>
    <t>0.9846625760980514</t>
  </si>
  <si>
    <t>-1.0540920249416057</t>
  </si>
  <si>
    <t>-0.09415824272056582</t>
  </si>
  <si>
    <t>0.31998396775509597</t>
  </si>
  <si>
    <t>0.6190764380636757</t>
  </si>
  <si>
    <t>-0.165768088403934</t>
  </si>
  <si>
    <t>-0.3516422347077061</t>
  </si>
  <si>
    <t>-0.6698308497716082</t>
  </si>
  <si>
    <t>-0.22364887491327448</t>
  </si>
  <si>
    <t>-0.16997646033562536</t>
  </si>
  <si>
    <t>0.9708264829972204</t>
  </si>
  <si>
    <t>0.4941759285486121</t>
  </si>
  <si>
    <t>-0.3386320013522014</t>
  </si>
  <si>
    <t>0.4337834561596353</t>
  </si>
  <si>
    <t>0.33378251071593035</t>
  </si>
  <si>
    <t>-0.5143963904629707</t>
  </si>
  <si>
    <t>0.3646726608415399</t>
  </si>
  <si>
    <t>-0.3064609567491478</t>
  </si>
  <si>
    <t>0.10457182285724306</t>
  </si>
  <si>
    <t>0.6637573170757805</t>
  </si>
  <si>
    <t>-0.1202627326433472</t>
  </si>
  <si>
    <t>0.20415350494198387</t>
  </si>
  <si>
    <t>0.08493651548373604</t>
  </si>
  <si>
    <t>-0.5089081229668649</t>
  </si>
  <si>
    <t>-0.41698200367004784</t>
  </si>
  <si>
    <t>0.39950528801473945</t>
  </si>
  <si>
    <t>0.4622227807724762</t>
  </si>
  <si>
    <t>0.4157868563955873</t>
  </si>
  <si>
    <t>0.17768871790613927</t>
  </si>
  <si>
    <t>0.4268922349215448</t>
  </si>
  <si>
    <t>-0.43018576333753433</t>
  </si>
  <si>
    <t>0.15368296343496624</t>
  </si>
  <si>
    <t>-0.2231009594914027</t>
  </si>
  <si>
    <t>0.1498758482983876</t>
  </si>
  <si>
    <t>-0.4316897262677092</t>
  </si>
  <si>
    <t>-0.1884038519627931</t>
  </si>
  <si>
    <t>0.0029882871572015396</t>
  </si>
  <si>
    <t>-0.8696751733707604</t>
  </si>
  <si>
    <t>0.7717023364221781</t>
  </si>
  <si>
    <t>-0.24555315083703264</t>
  </si>
  <si>
    <t>-0.6444704462882722</t>
  </si>
  <si>
    <t>-0.3139122768411027</t>
  </si>
  <si>
    <t>0.08463436490275511</t>
  </si>
  <si>
    <t>0.25107627178147635</t>
  </si>
  <si>
    <t>-0.29510295817478704</t>
  </si>
  <si>
    <t>0.7121251511435135</t>
  </si>
  <si>
    <t>1.4872313831590394</t>
  </si>
  <si>
    <t>0.17376554767824262</t>
  </si>
  <si>
    <t>-0.6340942385468372</t>
  </si>
  <si>
    <t>-0.30713989967150057</t>
  </si>
  <si>
    <t>-0.16983989170739042</t>
  </si>
  <si>
    <t>2.2029338181652003</t>
  </si>
  <si>
    <t>0.09067838259546329</t>
  </si>
  <si>
    <t>0.3621314492062933</t>
  </si>
  <si>
    <t>-1.8110411166622822</t>
  </si>
  <si>
    <t>-0.43635016476774674</t>
  </si>
  <si>
    <t>1.1785962486845325</t>
  </si>
  <si>
    <t>1.9347407914497001</t>
  </si>
  <si>
    <t>-0.3312564675612099</t>
  </si>
  <si>
    <t>-0.575159179670067</t>
  </si>
  <si>
    <t>-0.20511176809459744</t>
  </si>
  <si>
    <t>-0.4633018840267087</t>
  </si>
  <si>
    <t>0.1481011582715934</t>
  </si>
  <si>
    <t>-0.557645159712534</t>
  </si>
  <si>
    <t>-0.46565998449125623</t>
  </si>
  <si>
    <t>0.24578249858444812</t>
  </si>
  <si>
    <t>-0.24492844139871167</t>
  </si>
  <si>
    <t>-0.2779927698179276</t>
  </si>
  <si>
    <t>1.0725037000765383</t>
  </si>
  <si>
    <t>0.12048840036341195</t>
  </si>
  <si>
    <t>-1.279936226006329</t>
  </si>
  <si>
    <t>-0.4348705146555265</t>
  </si>
  <si>
    <t>0.5831542370931834</t>
  </si>
  <si>
    <t>0.04926020771058913</t>
  </si>
  <si>
    <t>3.7315646815963457</t>
  </si>
  <si>
    <t>3.629367922123332</t>
  </si>
  <si>
    <t>3.1885731900179404</t>
  </si>
  <si>
    <t>0.9945866304821093</t>
  </si>
  <si>
    <t>-1.7751581628682094</t>
  </si>
  <si>
    <t>2.6520885199402904</t>
  </si>
  <si>
    <t>1.9773385182848204</t>
  </si>
  <si>
    <t>-0.6660830588170593</t>
  </si>
  <si>
    <t>3.1962149272236218</t>
  </si>
  <si>
    <t>0.8027979288969274</t>
  </si>
  <si>
    <t>3.0538580587043893</t>
  </si>
  <si>
    <t>2.07833930945633</t>
  </si>
  <si>
    <t>0.23825809028323208</t>
  </si>
  <si>
    <t>1.261021547174983</t>
  </si>
  <si>
    <t>0.6555201189055027</t>
  </si>
  <si>
    <t>5.6512164217969145</t>
  </si>
  <si>
    <t>-1.7939941844846514</t>
  </si>
  <si>
    <t>-1.142287236421062</t>
  </si>
  <si>
    <t>-3.672389201161078</t>
  </si>
  <si>
    <t>-0.5262761538548835</t>
  </si>
  <si>
    <t>-2.2893772984755487</t>
  </si>
  <si>
    <t>-0.6533039495439805</t>
  </si>
  <si>
    <t>-0.10410584643985134</t>
  </si>
  <si>
    <t>3.834518103043161</t>
  </si>
  <si>
    <t>-1.2243272669528567</t>
  </si>
  <si>
    <t>3.9083554503441396</t>
  </si>
  <si>
    <t>0.4865911851288244</t>
  </si>
  <si>
    <t>0.7274102002596228</t>
  </si>
  <si>
    <t>-1.8749442842308828</t>
  </si>
  <si>
    <t>0.43574366099085826</t>
  </si>
  <si>
    <t>0.7293758273502293</t>
  </si>
  <si>
    <t>-0.18175417891951315</t>
  </si>
  <si>
    <t>0.7021604922011837</t>
  </si>
  <si>
    <t>3.193049222815456</t>
  </si>
  <si>
    <t>3.0379343540422354</t>
  </si>
  <si>
    <t>-0.9068265160720796</t>
  </si>
  <si>
    <t>2.3088782543265336</t>
  </si>
  <si>
    <t>3.433423550404284</t>
  </si>
  <si>
    <t>0.4937969971343914</t>
  </si>
  <si>
    <t>-2.029691258653608</t>
  </si>
  <si>
    <t>1.591252902959503</t>
  </si>
  <si>
    <t>3.2769908585329732</t>
  </si>
  <si>
    <t>5.354392009529451</t>
  </si>
  <si>
    <t>1.943568913196499</t>
  </si>
  <si>
    <t>-0.9121954401003732</t>
  </si>
  <si>
    <t>4.584097874666423</t>
  </si>
  <si>
    <t>-1.0299677655829498</t>
  </si>
  <si>
    <t>1.6959260794956408</t>
  </si>
  <si>
    <t>1.684500938914754</t>
  </si>
  <si>
    <t>-2.7560324699475145</t>
  </si>
  <si>
    <t>0.8492426609955973</t>
  </si>
  <si>
    <t>0.3974801244426413</t>
  </si>
  <si>
    <t>-0.7436311105948163</t>
  </si>
  <si>
    <t>1.246023947551199</t>
  </si>
  <si>
    <t>-0.8513625895917319</t>
  </si>
  <si>
    <t>0.8629792719510027</t>
  </si>
  <si>
    <t>1.3863813569729007</t>
  </si>
  <si>
    <t>-0.7221752765641114</t>
  </si>
  <si>
    <t>2.7823581201409304</t>
  </si>
  <si>
    <t>-2.636467244734343</t>
  </si>
  <si>
    <t>-0.07295855581787013</t>
  </si>
  <si>
    <t>4.472795628447536</t>
  </si>
  <si>
    <t>1.881950931443021</t>
  </si>
  <si>
    <t>-0.6254293789601735</t>
  </si>
  <si>
    <t>0.8344407571821851</t>
  </si>
  <si>
    <t>2.4618634507013404</t>
  </si>
  <si>
    <t>0.09234032707680415</t>
  </si>
  <si>
    <t>1.1521764922824702</t>
  </si>
  <si>
    <t>-2.866828397553718</t>
  </si>
  <si>
    <t>0.2974783365448387</t>
  </si>
  <si>
    <t>0.8451463432442319</t>
  </si>
  <si>
    <t>-2.233438150395236</t>
  </si>
  <si>
    <t>-0.3607403971787726</t>
  </si>
  <si>
    <t>-3.6558499321340645</t>
  </si>
  <si>
    <t>1.192720364975149</t>
  </si>
  <si>
    <t>4.287201209899336</t>
  </si>
  <si>
    <t>1.4044644983744663</t>
  </si>
  <si>
    <t>-2.1066160422917206</t>
  </si>
  <si>
    <t>1.865478624941963</t>
  </si>
  <si>
    <t>-0.44591613003326847</t>
  </si>
  <si>
    <t>-0.9002731524495184</t>
  </si>
  <si>
    <t>-2.6931165288415646</t>
  </si>
  <si>
    <t>-1.2252355986264198</t>
  </si>
  <si>
    <t>-0.436704025698485</t>
  </si>
  <si>
    <t>-1.132378060570307</t>
  </si>
  <si>
    <t>-0.8929550528904399</t>
  </si>
  <si>
    <t>-0.8945149719267884</t>
  </si>
  <si>
    <t>-1.0740843311198902</t>
  </si>
  <si>
    <t>1.3688915924878413</t>
  </si>
  <si>
    <t>-0.19189085195790076</t>
  </si>
  <si>
    <t>-0.11749170655597375</t>
  </si>
  <si>
    <t>-0.090353845813712</t>
  </si>
  <si>
    <t>-0.5752239854491463</t>
  </si>
  <si>
    <t>0.1058851403076737</t>
  </si>
  <si>
    <t>-1.5174172938503343</t>
  </si>
  <si>
    <t>0.5297738397427525</t>
  </si>
  <si>
    <t>2.9663405061843653</t>
  </si>
  <si>
    <t>-1.7774308341548042</t>
  </si>
  <si>
    <t>-0.6083425788626973</t>
  </si>
  <si>
    <t>0.5904163645080757</t>
  </si>
  <si>
    <t>-1.8457678584150592</t>
  </si>
  <si>
    <t>-0.6394374517141631</t>
  </si>
  <si>
    <t>-1.550546900459501</t>
  </si>
  <si>
    <t>0.3516114145845636</t>
  </si>
  <si>
    <t>3.239377090981169</t>
  </si>
  <si>
    <t>-2.7693515648827773</t>
  </si>
  <si>
    <t>2.6827933265121673</t>
  </si>
  <si>
    <t>-1.3810916280141183</t>
  </si>
  <si>
    <t>-1.7969346741532337</t>
  </si>
  <si>
    <t>0.13709290628357884</t>
  </si>
  <si>
    <t>-0.5397338880953197</t>
  </si>
  <si>
    <t>-0.7458853334655373</t>
  </si>
  <si>
    <t>2.625461382693981</t>
  </si>
  <si>
    <t>-0.17820636968063655</t>
  </si>
  <si>
    <t>2.8547690448158773</t>
  </si>
  <si>
    <t>1.2272836507473883</t>
  </si>
  <si>
    <t>0.8935932690356295</t>
  </si>
  <si>
    <t>0.3109716614728277</t>
  </si>
  <si>
    <t>0.30367120021272737</t>
  </si>
  <si>
    <t>2.8092856126519035</t>
  </si>
  <si>
    <t>-0.3643169981928306</t>
  </si>
  <si>
    <t>0.6795634017929901</t>
  </si>
  <si>
    <t>0.0005199578586324753</t>
  </si>
  <si>
    <t>0.7512424041102287</t>
  </si>
  <si>
    <t>-2.5038240280337427</t>
  </si>
  <si>
    <t>-1.3643940477540244</t>
  </si>
  <si>
    <t>-0.9058585304086659</t>
  </si>
  <si>
    <t>-0.44594033326079996</t>
  </si>
  <si>
    <t>-0.9392496591300116</t>
  </si>
  <si>
    <t>0.45890376367816016</t>
  </si>
  <si>
    <t>-0.713301742007261</t>
  </si>
  <si>
    <t>0.1197034823253694</t>
  </si>
  <si>
    <t>0.3069410869711549</t>
  </si>
  <si>
    <t>-0.8475337691806225</t>
  </si>
  <si>
    <t>0.2321913208810055</t>
  </si>
  <si>
    <t>-1.7334777975964046</t>
  </si>
  <si>
    <t>-3.9437775452715353</t>
  </si>
  <si>
    <t>1.0707218123305071</t>
  </si>
  <si>
    <t>0.3217987975342432</t>
  </si>
  <si>
    <t>-0.530177436175815</t>
  </si>
  <si>
    <t>-2.374374527513555</t>
  </si>
  <si>
    <t>0.602286982541006</t>
  </si>
  <si>
    <t>0.7093696677684102</t>
  </si>
  <si>
    <t>-0.565306865659552</t>
  </si>
  <si>
    <t>2.257564880305692</t>
  </si>
  <si>
    <t>0.3342214377865342</t>
  </si>
  <si>
    <t>1.8016880253643799</t>
  </si>
  <si>
    <t>1.868829336911715</t>
  </si>
  <si>
    <t>0.5060727071313019</t>
  </si>
  <si>
    <t>-1.256241349701911</t>
  </si>
  <si>
    <t>-0.40446180455639885</t>
  </si>
  <si>
    <t>1.3037073367843737</t>
  </si>
  <si>
    <t>-1.466296717752604</t>
  </si>
  <si>
    <t>1.3277653028101384</t>
  </si>
  <si>
    <t>-0.061910063125633144</t>
  </si>
  <si>
    <t>-1.29249491941318</t>
  </si>
  <si>
    <t>-1.190877603641209</t>
  </si>
  <si>
    <t>-2.461703876272949</t>
  </si>
  <si>
    <t>0.1998679700400972</t>
  </si>
  <si>
    <t>0.6241637869865467</t>
  </si>
  <si>
    <t>-1.0713143138968713</t>
  </si>
  <si>
    <t>0.7430935581376732</t>
  </si>
  <si>
    <t>1.734969413116471</t>
  </si>
  <si>
    <t>-0.16967734567715836</t>
  </si>
  <si>
    <t>0.7643272471336305</t>
  </si>
  <si>
    <t>-0.4802993349460974</t>
  </si>
  <si>
    <t>-1.5565228219742195</t>
  </si>
  <si>
    <t>-1.1149564822144142</t>
  </si>
  <si>
    <t>-1.210598570560978</t>
  </si>
  <si>
    <t>-0.6746378486516793</t>
  </si>
  <si>
    <t>-1.0219200098113956</t>
  </si>
  <si>
    <t>0.5754536873039316</t>
  </si>
  <si>
    <t>3.1348743146034312</t>
  </si>
  <si>
    <t>-0.7688777221800942</t>
  </si>
  <si>
    <t>0.48037818447004244</t>
  </si>
  <si>
    <t>1.1763682070419577</t>
  </si>
  <si>
    <t>-0.7683598262846751</t>
  </si>
  <si>
    <t>2.3224739204340366</t>
  </si>
  <si>
    <t>0.08958698408562703</t>
  </si>
  <si>
    <t>0.2850699474183287</t>
  </si>
  <si>
    <t>-1.6981200842045503</t>
  </si>
  <si>
    <t>-1.9491193371349056</t>
  </si>
  <si>
    <t>1.3626278821438775</t>
  </si>
  <si>
    <t>1.4050519859397197</t>
  </si>
  <si>
    <t>-1.9332296171775585</t>
  </si>
  <si>
    <t>2.9843390432042147</t>
  </si>
  <si>
    <t>-0.4425548704080742</t>
  </si>
  <si>
    <t>-0.13955215559102613</t>
  </si>
  <si>
    <t>0.4501159167651905</t>
  </si>
  <si>
    <t>0.5575186108878203</t>
  </si>
  <si>
    <t>-1.8851387807297273</t>
  </si>
  <si>
    <t>-1.106728414433967</t>
  </si>
  <si>
    <t>-1.975422665374015</t>
  </si>
  <si>
    <t>-0.11570897319785046</t>
  </si>
  <si>
    <t>-0.09792884178668576</t>
  </si>
  <si>
    <t>-0.7779833616374475</t>
  </si>
  <si>
    <t>0.11398032600429474</t>
  </si>
  <si>
    <t>-1.2784287004796575</t>
  </si>
  <si>
    <t>-0.01316713079053982</t>
  </si>
  <si>
    <t>-1.1061560332501637</t>
  </si>
  <si>
    <t>0.9336089400073385</t>
  </si>
  <si>
    <t>0.27459786307841616</t>
  </si>
  <si>
    <t>-1.0494693247938542</t>
  </si>
  <si>
    <t>-2.3914716007820127</t>
  </si>
  <si>
    <t>-0.16629497540044133</t>
  </si>
  <si>
    <t>0.4539942984978434</t>
  </si>
  <si>
    <t>0.39796812077773913</t>
  </si>
  <si>
    <t>-0.02214985711940287</t>
  </si>
  <si>
    <t>-1.329711608864552</t>
  </si>
  <si>
    <t>0.720280851470192</t>
  </si>
  <si>
    <t>-0.7463513624652819</t>
  </si>
  <si>
    <t>0.76479696284448</t>
  </si>
  <si>
    <t>0.0901747340031573</t>
  </si>
  <si>
    <t>0.3534960274497405</t>
  </si>
  <si>
    <t>-0.6094280244547885</t>
  </si>
  <si>
    <t>1.6345226948881084</t>
  </si>
  <si>
    <t>1.0960027032538182</t>
  </si>
  <si>
    <t>-0.019167991829443513</t>
  </si>
  <si>
    <t>0.38423119784393805</t>
  </si>
  <si>
    <t>0.24514961254457368</t>
  </si>
  <si>
    <t>1.0558993467665494</t>
  </si>
  <si>
    <t>0.6257802407800463</t>
  </si>
  <si>
    <t>-0.7112195160328466</t>
  </si>
  <si>
    <t>1.1921984974959365</t>
  </si>
  <si>
    <t>0.40120167709075333</t>
  </si>
  <si>
    <t>0.19321354503684732</t>
  </si>
  <si>
    <t>-0.11151055370088325</t>
  </si>
  <si>
    <t>-1.5909893979205727</t>
  </si>
  <si>
    <t>0.9707175918817235</t>
  </si>
  <si>
    <t>-0.2378988682001545</t>
  </si>
  <si>
    <t>-0.18973950982936494</t>
  </si>
  <si>
    <t>-1.1530378964413974</t>
  </si>
  <si>
    <t>-1.540694119425104</t>
  </si>
  <si>
    <t>1.4130251563505463</t>
  </si>
  <si>
    <t>-1.1189075272539357</t>
  </si>
  <si>
    <t>-1.1395327144911624</t>
  </si>
  <si>
    <t>1.4661573635067064</t>
  </si>
  <si>
    <t>-1.0802327875579285</t>
  </si>
  <si>
    <t>0.9404020893485977</t>
  </si>
  <si>
    <t>1.5699603848083674</t>
  </si>
  <si>
    <t>-0.8857556101353978</t>
  </si>
  <si>
    <t>0.7191260419613582</t>
  </si>
  <si>
    <t>0.7015482363864218</t>
  </si>
  <si>
    <t>-0.3283648266937963</t>
  </si>
  <si>
    <t>-0.6391333458521559</t>
  </si>
  <si>
    <t>0.36937216545267787</t>
  </si>
  <si>
    <t>1.3417133125271286</t>
  </si>
  <si>
    <t>0.17179067135371562</t>
  </si>
  <si>
    <t>-0.43293067302970695</t>
  </si>
  <si>
    <t>-0.48614157166951627</t>
  </si>
  <si>
    <t>-0.4908023088062164</t>
  </si>
  <si>
    <t>0.07452182711981521</t>
  </si>
  <si>
    <t>-0.23426993867085338</t>
  </si>
  <si>
    <t>0.5114094375843431</t>
  </si>
  <si>
    <t>-0.34758831016374386</t>
  </si>
  <si>
    <t>0.7009965404577905</t>
  </si>
  <si>
    <t>-0.922770978275738</t>
  </si>
  <si>
    <t>0.11202492916478929</t>
  </si>
  <si>
    <t>0.35664381902865633</t>
  </si>
  <si>
    <t>1.8291716070467132</t>
  </si>
  <si>
    <t>0.39662334993193277</t>
  </si>
  <si>
    <t>0.3623382627658112</t>
  </si>
  <si>
    <t>0.3386013433052085</t>
  </si>
  <si>
    <t>0.16456266941187075</t>
  </si>
  <si>
    <t>1.514176407832471</t>
  </si>
  <si>
    <t>-0.3303101521679044</t>
  </si>
  <si>
    <t>-1.039038898473572</t>
  </si>
  <si>
    <t>-1.676421945763428</t>
  </si>
  <si>
    <t>0.09389553089018594</t>
  </si>
  <si>
    <t>0.6132953348870899</t>
  </si>
  <si>
    <t>0.9435606118432683</t>
  </si>
  <si>
    <t>1.4515862747196315</t>
  </si>
  <si>
    <t>0.7130114729725268</t>
  </si>
  <si>
    <t>0.48932984341386127</t>
  </si>
  <si>
    <t>-0.705618735148936</t>
  </si>
  <si>
    <t>-1.0488605590902647</t>
  </si>
  <si>
    <t>0.8256012412344756</t>
  </si>
  <si>
    <t>1.5120275370826284</t>
  </si>
  <si>
    <t>-0.24984610755229425</t>
  </si>
  <si>
    <t>-0.9953181562422688</t>
  </si>
  <si>
    <t>1.3083902564895993</t>
  </si>
  <si>
    <t>1.4019390336336714</t>
  </si>
  <si>
    <t>-0.792996125538829</t>
  </si>
  <si>
    <t>0.8521730227126301</t>
  </si>
  <si>
    <t>0.12608084846656376</t>
  </si>
  <si>
    <t>-0.8551025437457731</t>
  </si>
  <si>
    <t>0.5810229065384338</t>
  </si>
  <si>
    <t>-0.15929732489772133</t>
  </si>
  <si>
    <t>0.9726011934772911</t>
  </si>
  <si>
    <t>0.45618717471125697</t>
  </si>
  <si>
    <t>0.5800351958250276</t>
  </si>
  <si>
    <t>0.4897975878548556</t>
  </si>
  <si>
    <t>-1.4323841147194059</t>
  </si>
  <si>
    <t>1.3667417939947828</t>
  </si>
  <si>
    <t>1.0684896367577434</t>
  </si>
  <si>
    <t>0.7224187946505601</t>
  </si>
  <si>
    <t>-1.308927579381736</t>
  </si>
  <si>
    <t>0.7134119140869527</t>
  </si>
  <si>
    <t>1.0509425104982189</t>
  </si>
  <si>
    <t>0.3884576475934555</t>
  </si>
  <si>
    <t>-1.0716301073937782</t>
  </si>
  <si>
    <t>-0.40584849508835913</t>
  </si>
  <si>
    <t>-1.2109920844181328</t>
  </si>
  <si>
    <t>0.17090637789029803</t>
  </si>
  <si>
    <t>0.7924352362952785</t>
  </si>
  <si>
    <t>0.735359751511391</t>
  </si>
  <si>
    <t>-0.10591285007160292</t>
  </si>
  <si>
    <t>0.21699390516253467</t>
  </si>
  <si>
    <t>2.725236385923393</t>
  </si>
  <si>
    <t>-1.3595730776579444</t>
  </si>
  <si>
    <t>2.229958341503383</t>
  </si>
  <si>
    <t>-0.508648766549767</t>
  </si>
  <si>
    <t>-0.24743520319295337</t>
  </si>
  <si>
    <t>-0.7121599183999918</t>
  </si>
  <si>
    <t>-1.742571448942583</t>
  </si>
  <si>
    <t>0.6374828070965659</t>
  </si>
  <si>
    <t>-0.18102115197659338</t>
  </si>
  <si>
    <t>-1.2506714003882768</t>
  </si>
  <si>
    <t>-1.9724534720082758</t>
  </si>
  <si>
    <t>1.3436592298249945</t>
  </si>
  <si>
    <t>-0.055491084191789566</t>
  </si>
  <si>
    <t>-1.4677822037602726</t>
  </si>
  <si>
    <t>0.07471510972911516</t>
  </si>
  <si>
    <t>1.8531253262658742</t>
  </si>
  <si>
    <t>-1.6033489086218038</t>
  </si>
  <si>
    <t>-0.4540439059694281</t>
  </si>
  <si>
    <t>2.7264848169886644</t>
  </si>
  <si>
    <t>-0.5543655222758752</t>
  </si>
  <si>
    <t>-0.8904322371993442</t>
  </si>
  <si>
    <t>-1.047873224190144</t>
  </si>
  <si>
    <t>2.098022535644749</t>
  </si>
  <si>
    <t>-0.757932641662913</t>
  </si>
  <si>
    <t>0.6544645786319225</t>
  </si>
  <si>
    <t>0.701301955567945</t>
  </si>
  <si>
    <t>0.2945341523406575</t>
  </si>
  <si>
    <t>-1.4408738974108375</t>
  </si>
  <si>
    <t>-2.6449326248104588</t>
  </si>
  <si>
    <t>-0.049224652198352196</t>
  </si>
  <si>
    <t>-1.5875657753875256</t>
  </si>
  <si>
    <t>0.8603468461251754</t>
  </si>
  <si>
    <t>-0.8809346068136594</t>
  </si>
  <si>
    <t>-0.2500236291284318</t>
  </si>
  <si>
    <t>-2.5035861431275706</t>
  </si>
  <si>
    <t>0.7471428774722325</t>
  </si>
  <si>
    <t>0.11493912792282893</t>
  </si>
  <si>
    <t>1.0159116921439997</t>
  </si>
  <si>
    <t>-0.5124195452739649</t>
  </si>
  <si>
    <t>0.4909203614850754</t>
  </si>
  <si>
    <t>0.34014097580680835</t>
  </si>
  <si>
    <t>0.5823854701688349</t>
  </si>
  <si>
    <t>-0.33394754996834275</t>
  </si>
  <si>
    <t>-0.8605781592318424</t>
  </si>
  <si>
    <t>-0.8371094237345327</t>
  </si>
  <si>
    <t>-0.20596046197462406</t>
  </si>
  <si>
    <t>0.07521193373904468</t>
  </si>
  <si>
    <t>-0.5795439017398539</t>
  </si>
  <si>
    <t>-0.859565607085523</t>
  </si>
  <si>
    <t>0.9040164632094814</t>
  </si>
  <si>
    <t>-0.9025893936340612</t>
  </si>
  <si>
    <t>0.2807873148366109</t>
  </si>
  <si>
    <t>0.06339994071003434</t>
  </si>
  <si>
    <t>0.31923989617216925</t>
  </si>
  <si>
    <t>-0.49828133736025</t>
  </si>
  <si>
    <t>-0.13185056161928668</t>
  </si>
  <si>
    <t>1.0145373747300823</t>
  </si>
  <si>
    <t>-1.5281086127219994</t>
  </si>
  <si>
    <t>0.26580169070815934</t>
  </si>
  <si>
    <t>-0.8615756994144705</t>
  </si>
  <si>
    <t>-0.34142384272817616</t>
  </si>
  <si>
    <t>0.46475080396512547</t>
  </si>
  <si>
    <t>1.3643832204506585</t>
  </si>
  <si>
    <t>0.10256994102026812</t>
  </si>
  <si>
    <t>-1.1771910036950664</t>
  </si>
  <si>
    <t>1.8192265064398416</t>
  </si>
  <si>
    <t>0.5174822609148342</t>
  </si>
  <si>
    <t>0.3754985884649661</t>
  </si>
  <si>
    <t>-0.6972087675366687</t>
  </si>
  <si>
    <t>-0.3810486926323749</t>
  </si>
  <si>
    <t>-1.24663740883602</t>
  </si>
  <si>
    <t>-0.22257763351937696</t>
  </si>
  <si>
    <t>-1.0379100528080576</t>
  </si>
  <si>
    <t>0.25695772403572326</t>
  </si>
  <si>
    <t>-0.5590267786423014</t>
  </si>
  <si>
    <t>-0.6908203154594477</t>
  </si>
  <si>
    <t>0.07209749448467712</t>
  </si>
  <si>
    <t>-0.027737816206077046</t>
  </si>
  <si>
    <t>-2.0384285642484636</t>
  </si>
  <si>
    <t>0.009441315939466977</t>
  </si>
  <si>
    <t>0.6380323555315348</t>
  </si>
  <si>
    <t>-0.41699947739493737</t>
  </si>
  <si>
    <t>-0.442249794132895</t>
  </si>
  <si>
    <t>-1.5970289878230497</t>
  </si>
  <si>
    <t>-0.947799187266249</t>
  </si>
  <si>
    <t>0.6734729676199943</t>
  </si>
  <si>
    <t>-0.006064209911385238</t>
  </si>
  <si>
    <t>0.5177672376399569</t>
  </si>
  <si>
    <t>0.25616711867577785</t>
  </si>
  <si>
    <t>0.8885636058914607</t>
  </si>
  <si>
    <t>2.385334384686539</t>
  </si>
  <si>
    <t>-1.4924088955067285</t>
  </si>
  <si>
    <t>1.6217482581580798</t>
  </si>
  <si>
    <t>-2.6194559145263856</t>
  </si>
  <si>
    <t>0.861926836802835</t>
  </si>
  <si>
    <t>1.4742491903830661</t>
  </si>
  <si>
    <t>0.9112038714637009</t>
  </si>
  <si>
    <t>-0.1421692842743797</t>
  </si>
  <si>
    <t>-0.11370460231660025</t>
  </si>
  <si>
    <t>1.0169286765945709</t>
  </si>
  <si>
    <t>-1.2405755075963778</t>
  </si>
  <si>
    <t>0.7959726821115154</t>
  </si>
  <si>
    <t>-0.4027519222536674</t>
  </si>
  <si>
    <t>-0.3938017346462593</t>
  </si>
  <si>
    <t>0.20099134805973798</t>
  </si>
  <si>
    <t>0.7212861911835738</t>
  </si>
  <si>
    <t>-0.6970475282013857</t>
  </si>
  <si>
    <t>0.08286168585572569</t>
  </si>
  <si>
    <t>1.7149524457138017</t>
  </si>
  <si>
    <t>0.47598084779447386</t>
  </si>
  <si>
    <t>-1.5151192856491964</t>
  </si>
  <si>
    <t>1.261731954062574</t>
  </si>
  <si>
    <t>-1.2641978086121433</t>
  </si>
  <si>
    <t>0.37168956953718457</t>
  </si>
  <si>
    <t>-0.48332721577745097</t>
  </si>
  <si>
    <t>-0.02728883523079139</t>
  </si>
  <si>
    <t>0.2765633433308576</t>
  </si>
  <si>
    <t>0.45356139777362375</t>
  </si>
  <si>
    <t>0.3434802646330507</t>
  </si>
  <si>
    <t>-0.1539933153458561</t>
  </si>
  <si>
    <t>-0.10696278649346293</t>
  </si>
  <si>
    <t>1.1578092887495925</t>
  </si>
  <si>
    <t>-0.27861105953145837</t>
  </si>
  <si>
    <t>1.8474219296300858</t>
  </si>
  <si>
    <t>0.5245217202630866</t>
  </si>
  <si>
    <t>1.1496252689157744</t>
  </si>
  <si>
    <t>-0.11357434948245979</t>
  </si>
  <si>
    <t>-0.7554344528115159</t>
  </si>
  <si>
    <t>-1.8381395013578365</t>
  </si>
  <si>
    <t>1.4012488964632663</t>
  </si>
  <si>
    <t>-1.4415901297863243</t>
  </si>
  <si>
    <t>1.460871798660759</t>
  </si>
  <si>
    <t>0.14417148688210893</t>
  </si>
  <si>
    <t>2.9389919810460645</t>
  </si>
  <si>
    <t>0.2600311492730676</t>
  </si>
  <si>
    <t>-0.21095752070302093</t>
  </si>
  <si>
    <t>0.7850603669661157</t>
  </si>
  <si>
    <t>-1.2290152849664173</t>
  </si>
  <si>
    <t>-0.7369765886079571</t>
  </si>
  <si>
    <t>0.9410039428431438</t>
  </si>
  <si>
    <t>1.152928636501469</t>
  </si>
  <si>
    <t>0.12998052012962688</t>
  </si>
  <si>
    <t>-0.14451210003561774</t>
  </si>
  <si>
    <t>0.8954933523391243</t>
  </si>
  <si>
    <t>2.0189058926694186</t>
  </si>
  <si>
    <t>-2.4046359504868233</t>
  </si>
  <si>
    <t>-0.5864838291843503</t>
  </si>
  <si>
    <t>-1.2335200778531474</t>
  </si>
  <si>
    <t>0.17603350332102333</t>
  </si>
  <si>
    <t>0.4943988929560006</t>
  </si>
  <si>
    <t>0.5039847100269633</t>
  </si>
  <si>
    <t>-2.204471311696175</t>
  </si>
  <si>
    <t>-2.536782485059856</t>
  </si>
  <si>
    <t>1.8270040093908877</t>
  </si>
  <si>
    <t>-0.4123159010055266</t>
  </si>
  <si>
    <t>1.6094262379737705</t>
  </si>
  <si>
    <t>-1.4495767932588002</t>
  </si>
  <si>
    <t>-0.9926019796319107</t>
  </si>
  <si>
    <t>1.4113673465883336</t>
  </si>
  <si>
    <t>-0.3396377275703006</t>
  </si>
  <si>
    <t>-0.4517153920383855</t>
  </si>
  <si>
    <t>0.7639196085428247</t>
  </si>
  <si>
    <t>-1.1738574746441353</t>
  </si>
  <si>
    <t>0.9053804046500316</t>
  </si>
  <si>
    <t>-0.48935056509644903</t>
  </si>
  <si>
    <t>0.9926752383735592</t>
  </si>
  <si>
    <t>-0.22780319956326922</t>
  </si>
  <si>
    <t>-0.14706758420753685</t>
  </si>
  <si>
    <t>-0.13406103708644743</t>
  </si>
  <si>
    <t>0.22373396378618743</t>
  </si>
  <si>
    <t>-0.7666008735857149</t>
  </si>
  <si>
    <t>-0.4697123850809331</t>
  </si>
  <si>
    <t>-0.5706837131244816</t>
  </si>
  <si>
    <t>-0.09029373886526398</t>
  </si>
  <si>
    <t>1.6042629494596499</t>
  </si>
  <si>
    <t>-0.1586253256910559</t>
  </si>
  <si>
    <t>-1.2265946957118374</t>
  </si>
  <si>
    <t>-0.4142585477459689</t>
  </si>
  <si>
    <t>-0.8845289330636448</t>
  </si>
  <si>
    <t>-0.1411287072030041</t>
  </si>
  <si>
    <t>0.8871258900740286</t>
  </si>
  <si>
    <t>-1.1318643086239264</t>
  </si>
  <si>
    <t>0.1210226620321666</t>
  </si>
  <si>
    <t>-0.4759407911600881</t>
  </si>
  <si>
    <t>1.5501247860441905</t>
  </si>
  <si>
    <t>-1.169514250013202</t>
  </si>
  <si>
    <t>0.4795469184753562</t>
  </si>
  <si>
    <t>-0.7447864865215018</t>
  </si>
  <si>
    <t>-0.8289956041665573</t>
  </si>
  <si>
    <t>1.279925572637289</t>
  </si>
  <si>
    <t>-0.8843984235963426</t>
  </si>
  <si>
    <t>0.6769652131485469</t>
  </si>
  <si>
    <t>-0.29438776401639644</t>
  </si>
  <si>
    <t>0.9346859896726749</t>
  </si>
  <si>
    <t>-0.8501354167935499</t>
  </si>
  <si>
    <t>0.9287243183109407</t>
  </si>
  <si>
    <t>-0.29211818457024064</t>
  </si>
  <si>
    <t>0.30630686218838993</t>
  </si>
  <si>
    <t>0.01956815181291102</t>
  </si>
  <si>
    <t>0.09966503727803244</t>
  </si>
  <si>
    <t>-0.5603397216614594</t>
  </si>
  <si>
    <t>-0.7782379175988741</t>
  </si>
  <si>
    <t>-1.3918996254787603</t>
  </si>
  <si>
    <t>0.7661599148017924</t>
  </si>
  <si>
    <t>1.6593454363816051</t>
  </si>
  <si>
    <t>-0.9617360587451991</t>
  </si>
  <si>
    <t>-0.24055864103012922</t>
  </si>
  <si>
    <t>-0.10581899814348839</t>
  </si>
  <si>
    <t>-0.34883517677161985</t>
  </si>
  <si>
    <t>-0.8871983774044472</t>
  </si>
  <si>
    <t>0.4435997809114241</t>
  </si>
  <si>
    <t>0.4213620994625689</t>
  </si>
  <si>
    <t>0.5852395850668031</t>
  </si>
  <si>
    <t>-0.5240860704011508</t>
  </si>
  <si>
    <t>1.585046725071731</t>
  </si>
  <si>
    <t>-0.39818055687385717</t>
  </si>
  <si>
    <t>-0.8642378579481339</t>
  </si>
  <si>
    <t>-1.159977803903265</t>
  </si>
  <si>
    <t>0.7681644674954812</t>
  </si>
  <si>
    <t>-0.13128432760117373</t>
  </si>
  <si>
    <t>1.3199460989170648</t>
  </si>
  <si>
    <t>-0.9033259650871915</t>
  </si>
  <si>
    <t>-0.8046182995704063</t>
  </si>
  <si>
    <t>-0.31106773806189064</t>
  </si>
  <si>
    <t>0.31293425709556366</t>
  </si>
  <si>
    <t>0.45034630809302256</t>
  </si>
  <si>
    <t>-0.6876169231873788</t>
  </si>
  <si>
    <t>-0.4065298533624976</t>
  </si>
  <si>
    <t>1.880195392625815</t>
  </si>
  <si>
    <t>1.628835628732917</t>
  </si>
  <si>
    <t>0.7575689450826495</t>
  </si>
  <si>
    <t>0.9879565562417185</t>
  </si>
  <si>
    <t>-0.2577042189812861</t>
  </si>
  <si>
    <t>-0.5334836107964397</t>
  </si>
  <si>
    <t>0.2524621725615234</t>
  </si>
  <si>
    <t>-0.25124030853621365</t>
  </si>
  <si>
    <t>0.33331547005051315</t>
  </si>
  <si>
    <t>0.18193526944180527</t>
  </si>
  <si>
    <t>-0.40775051745079016</t>
  </si>
  <si>
    <t>-0.44571318475866606</t>
  </si>
  <si>
    <t>1.2765991566691786</t>
  </si>
  <si>
    <t>0.1725795199115468</t>
  </si>
  <si>
    <t>0.3495283204031775</t>
  </si>
  <si>
    <t>-0.20638961151519233</t>
  </si>
  <si>
    <t>-0.2135396324781627</t>
  </si>
  <si>
    <t>0.4045179583302759</t>
  </si>
  <si>
    <t>1.1827759918285834</t>
  </si>
  <si>
    <t>-1.896045118879978</t>
  </si>
  <si>
    <t>-0.9371088646430547</t>
  </si>
  <si>
    <t>1.329560801803152</t>
  </si>
  <si>
    <t>0.6088243030382973</t>
  </si>
  <si>
    <t>0.035125935264501716</t>
  </si>
  <si>
    <t>-0.712763775978787</t>
  </si>
  <si>
    <t>-2.0504713012806075</t>
  </si>
  <si>
    <t>-1.2518674943363968</t>
  </si>
  <si>
    <t>-1.1241419172310065</t>
  </si>
  <si>
    <t>2.1596656619869594</t>
  </si>
  <si>
    <t>0.3456217904509765</t>
  </si>
  <si>
    <t>0.26331234957329835</t>
  </si>
  <si>
    <t>-0.7546191400233063</t>
  </si>
  <si>
    <t>-0.4322480182391502</t>
  </si>
  <si>
    <t>0.7282327788179861</t>
  </si>
  <si>
    <t>0.268981006081856</t>
  </si>
  <si>
    <t>3.2579253863935276</t>
  </si>
  <si>
    <t>-0.7590169628396307</t>
  </si>
  <si>
    <t>-0.9483447071962164</t>
  </si>
  <si>
    <t>-0.6218822908954044</t>
  </si>
  <si>
    <t>-0.07147381660127672</t>
  </si>
  <si>
    <t>0.8679524036962614</t>
  </si>
  <si>
    <t>-0.5255022793786048</t>
  </si>
  <si>
    <t>-2.1392129517738447</t>
  </si>
  <si>
    <t>0.1659303241240511</t>
  </si>
  <si>
    <t>-1.1539923263820282</t>
  </si>
  <si>
    <t>0.10484665027767312</t>
  </si>
  <si>
    <t>-1.500492766388651</t>
  </si>
  <si>
    <t>1.5408366828570563</t>
  </si>
  <si>
    <t>-1.5885953920172595</t>
  </si>
  <si>
    <t>-0.4081592761812529</t>
  </si>
  <si>
    <t>1.2667653984530525</t>
  </si>
  <si>
    <t>-0.3191761130145352</t>
  </si>
  <si>
    <t>1.5508482209929266</t>
  </si>
  <si>
    <t>1.0674944191636573</t>
  </si>
  <si>
    <t>1.1747290571836735</t>
  </si>
  <si>
    <t>-0.0035010903620620974</t>
  </si>
  <si>
    <t>0.30271541625867726</t>
  </si>
  <si>
    <t>1.6666718977223487</t>
  </si>
  <si>
    <t>2.9513296660209045</t>
  </si>
  <si>
    <t>-2.350569430413038</t>
  </si>
  <si>
    <t>-0.6783726784595834</t>
  </si>
  <si>
    <t>1.336196970825836</t>
  </si>
  <si>
    <t>0.6497211884686915</t>
  </si>
  <si>
    <t>0.032971401178106076</t>
  </si>
  <si>
    <t>1.0949756705897897</t>
  </si>
  <si>
    <t>1.3277112175664474</t>
  </si>
  <si>
    <t>1.04343863145831</t>
  </si>
  <si>
    <t>-0.06305638802251397</t>
  </si>
  <si>
    <t>0.05256121570537486</t>
  </si>
  <si>
    <t>0.3430954595429589</t>
  </si>
  <si>
    <t>0.8263281606211723</t>
  </si>
  <si>
    <t>-0.5493569284599388</t>
  </si>
  <si>
    <t>-1.0335433858037701</t>
  </si>
  <si>
    <t>-0.7766855362326129</t>
  </si>
  <si>
    <t>0.36254582161969157</t>
  </si>
  <si>
    <t>-0.7742960211232602</t>
  </si>
  <si>
    <t>-0.33757832934010057</t>
  </si>
  <si>
    <t>0.34337168478781716</t>
  </si>
  <si>
    <t>-1.2525557683751296</t>
  </si>
  <si>
    <t>-0.1149059790187055</t>
  </si>
  <si>
    <t>-0.6728807850497712</t>
  </si>
  <si>
    <t>-0.3525357396419233</t>
  </si>
  <si>
    <t>0.6626586693997546</t>
  </si>
  <si>
    <t>0.7849471066885367</t>
  </si>
  <si>
    <t>-2.328006441463738</t>
  </si>
  <si>
    <t>-0.1301580639517863</t>
  </si>
  <si>
    <t>-0.7261029146057025</t>
  </si>
  <si>
    <t>0.7775293097523073</t>
  </si>
  <si>
    <t>0.8044088116582859</t>
  </si>
  <si>
    <t>-0.4861763681510865</t>
  </si>
  <si>
    <t>-0.13544688696804913</t>
  </si>
  <si>
    <t>0.15126202873927586</t>
  </si>
  <si>
    <t>0.8640106614884887</t>
  </si>
  <si>
    <t>-1.0639368578422832</t>
  </si>
  <si>
    <t>-0.28437825552016854</t>
  </si>
  <si>
    <t>0.2649927757885776</t>
  </si>
  <si>
    <t>0.2517781382198774</t>
  </si>
  <si>
    <t>-0.019197262265449457</t>
  </si>
  <si>
    <t>-0.23730495479414718</t>
  </si>
  <si>
    <t>-0.2113112089357952</t>
  </si>
  <si>
    <t>-1.0137079403136355</t>
  </si>
  <si>
    <t>-0.5149564952886451</t>
  </si>
  <si>
    <t>0.6108414082421898</t>
  </si>
  <si>
    <t>0.5661384501255335</t>
  </si>
  <si>
    <t>-0.8143805246695949</t>
  </si>
  <si>
    <t>0.9428463164630853</t>
  </si>
  <si>
    <t>1.2587681113568907</t>
  </si>
  <si>
    <t>-0.07994723566985414</t>
  </si>
  <si>
    <t>-1.7986750014254393</t>
  </si>
  <si>
    <t>-0.36894142421587156</t>
  </si>
  <si>
    <t>-0.040553455076051285</t>
  </si>
  <si>
    <t>1.6376248772606121</t>
  </si>
  <si>
    <t>0.6750698485919818</t>
  </si>
  <si>
    <t>0.004965270336054416</t>
  </si>
  <si>
    <t>-0.72358039236831</t>
  </si>
  <si>
    <t>-0.336824454124844</t>
  </si>
  <si>
    <t>-0.5314366619704154</t>
  </si>
  <si>
    <t>0.08403998053806788</t>
  </si>
  <si>
    <t>0.13481127196732948</t>
  </si>
  <si>
    <t>0.7783622468445229</t>
  </si>
  <si>
    <t>0.11254525646052085</t>
  </si>
  <si>
    <t>-0.06306353100837567</t>
  </si>
  <si>
    <t>-1.3939964516317755</t>
  </si>
  <si>
    <t>0.5900984649302161</t>
  </si>
  <si>
    <t>0.5193354566824722</t>
  </si>
  <si>
    <t>0.7589043860326629</t>
  </si>
  <si>
    <t>1.266788596829778</t>
  </si>
  <si>
    <t>-0.14044027676414012</t>
  </si>
  <si>
    <t>1.3797013565669547</t>
  </si>
  <si>
    <t>0.5880332409297168</t>
  </si>
  <si>
    <t>-1.0726336463736614</t>
  </si>
  <si>
    <t>0.054361885855102036</t>
  </si>
  <si>
    <t>-0.6063414835849883</t>
  </si>
  <si>
    <t>-1.0137637973674642</t>
  </si>
  <si>
    <t>0.8202991959432147</t>
  </si>
  <si>
    <t>0.7267036281021182</t>
  </si>
  <si>
    <t>-0.48042254731600653</t>
  </si>
  <si>
    <t>0.4081352766695469</t>
  </si>
  <si>
    <t>0.714927815324081</t>
  </si>
  <si>
    <t>0.04356927669613077</t>
  </si>
  <si>
    <t>-0.9723780237117445</t>
  </si>
  <si>
    <t>-0.3904610835408906</t>
  </si>
  <si>
    <t>-1.1404498351401626</t>
  </si>
  <si>
    <t>-0.5406664885927339</t>
  </si>
  <si>
    <t>0.029955613900073626</t>
  </si>
  <si>
    <t>0.04416177434168042</t>
  </si>
  <si>
    <t>1.20902295045675</t>
  </si>
  <si>
    <t>0.18627189629904392</t>
  </si>
  <si>
    <t>-0.6166660326914222</t>
  </si>
  <si>
    <t>-0.03418375449638949</t>
  </si>
  <si>
    <t>1.013994311376316</t>
  </si>
  <si>
    <t>-0.8955519380013051</t>
  </si>
  <si>
    <t>0.4283521657961551</t>
  </si>
  <si>
    <t>1.1764768103527115</t>
  </si>
  <si>
    <t>-0.6988163804517206</t>
  </si>
  <si>
    <t>-1.6072578736046943</t>
  </si>
  <si>
    <t>0.0773738269349546</t>
  </si>
  <si>
    <t>-0.47134538801464343</t>
  </si>
  <si>
    <t>-0.14390008540595023</t>
  </si>
  <si>
    <t>0.05824684305506708</t>
  </si>
  <si>
    <t>-1.1445310553948438</t>
  </si>
  <si>
    <t>0.668144479080858</t>
  </si>
  <si>
    <t>-0.08163710678038172</t>
  </si>
  <si>
    <t>-0.7024328484014722</t>
  </si>
  <si>
    <t>0.7586652992033265</t>
  </si>
  <si>
    <t>0.4535843916553634</t>
  </si>
  <si>
    <t>-0.32840720862419753</t>
  </si>
  <si>
    <t>-1.4455862336142293</t>
  </si>
  <si>
    <t>-0.04341797841671139</t>
  </si>
  <si>
    <t>0.0512642139650471</t>
  </si>
  <si>
    <t>0.21420693301408858</t>
  </si>
  <si>
    <t>0.15994017253019716</t>
  </si>
  <si>
    <t>0.040231920466637185</t>
  </si>
  <si>
    <t>0.4342589512611318</t>
  </si>
  <si>
    <t>-1.283766974177591</t>
  </si>
  <si>
    <t>-0.8807880435731311</t>
  </si>
  <si>
    <t>-0.7381605861391202</t>
  </si>
  <si>
    <t>0.9219419634533487</t>
  </si>
  <si>
    <t>-0.7463890867411247</t>
  </si>
  <si>
    <t>-0.9616338486570848</t>
  </si>
  <si>
    <t>0.27597019280790414</t>
  </si>
  <si>
    <t>-0.19446609021603556</t>
  </si>
  <si>
    <t>-0.7638264827203408</t>
  </si>
  <si>
    <t>0.15804166144772647</t>
  </si>
  <si>
    <t>-1.2012937275507605</t>
  </si>
  <si>
    <t>0.6007385162288035</t>
  </si>
  <si>
    <t>-0.8934742173323413</t>
  </si>
  <si>
    <t>0.6877213664109006</t>
  </si>
  <si>
    <t>-1.3765729822688448</t>
  </si>
  <si>
    <t>-0.8269335736523465</t>
  </si>
  <si>
    <t>-0.9733393042837929</t>
  </si>
  <si>
    <t>1.7858826633693288</t>
  </si>
  <si>
    <t>1.7136130294039906</t>
  </si>
  <si>
    <t>1.8955955001917402</t>
  </si>
  <si>
    <t>0.7114335030674284</t>
  </si>
  <si>
    <t>0.07534467772148845</t>
  </si>
  <si>
    <t>1.5727753815714094</t>
  </si>
  <si>
    <t>0.3047787321458794</t>
  </si>
  <si>
    <t>-0.059352650854583265</t>
  </si>
  <si>
    <t>2.7871751693625466</t>
  </si>
  <si>
    <t>-2.349540019365736</t>
  </si>
  <si>
    <t>0.45303357798281296</t>
  </si>
  <si>
    <t>1.5209474108994687</t>
  </si>
  <si>
    <t>-0.07414297710690838</t>
  </si>
  <si>
    <t>0.7128951685134003</t>
  </si>
  <si>
    <t>0.20040813663868948</t>
  </si>
  <si>
    <t>-0.5373158597245701</t>
  </si>
  <si>
    <t>-0.28813101370594313</t>
  </si>
  <si>
    <t>-0.09767830156982052</t>
  </si>
  <si>
    <t>0.5241806627572039</t>
  </si>
  <si>
    <t>0.02837851260025378</t>
  </si>
  <si>
    <t>-0.42506458874155817</t>
  </si>
  <si>
    <t>-0.30182194165791243</t>
  </si>
  <si>
    <t>-0.11666251438587424</t>
  </si>
  <si>
    <t>1.055000470203812</t>
  </si>
  <si>
    <t>-0.5976008874876549</t>
  </si>
  <si>
    <t>-1.1549402180284796</t>
  </si>
  <si>
    <t>-0.046696764472584536</t>
  </si>
  <si>
    <t>1.181211661322794</t>
  </si>
  <si>
    <t>0.05578700021298319</t>
  </si>
  <si>
    <t>0.5120042575916891</t>
  </si>
  <si>
    <t>-0.46551465036809564</t>
  </si>
  <si>
    <t>-0.971318647201805</t>
  </si>
  <si>
    <t>0.24364816901598732</t>
  </si>
  <si>
    <t>-0.6686556948425283</t>
  </si>
  <si>
    <t>2.174423568706134</t>
  </si>
  <si>
    <t>0.6413555316712222</t>
  </si>
  <si>
    <t>0.2846042190966004</t>
  </si>
  <si>
    <t>0.36338775174209964</t>
  </si>
  <si>
    <t>-0.4624564733775033</t>
  </si>
  <si>
    <t>-0.07711330513742205</t>
  </si>
  <si>
    <t>-1.9558598652162809</t>
  </si>
  <si>
    <t>-0.4145525785607597</t>
  </si>
  <si>
    <t>1.0796927719313725</t>
  </si>
  <si>
    <t>-1.0431910050255877</t>
  </si>
  <si>
    <t>0.28747196600188824</t>
  </si>
  <si>
    <t>1.6852142596860047</t>
  </si>
  <si>
    <t>0.6099836072215095</t>
  </si>
  <si>
    <t>3.0896244712176633</t>
  </si>
  <si>
    <t>1.0069815442465413</t>
  </si>
  <si>
    <t>-0.13298650625356626</t>
  </si>
  <si>
    <t>0.3208545938633327</t>
  </si>
  <si>
    <t>0.3344398982660265</t>
  </si>
  <si>
    <t>-0.7702198838540883</t>
  </si>
  <si>
    <t>-0.9228400064727785</t>
  </si>
  <si>
    <t>-0.19629206257125692</t>
  </si>
  <si>
    <t>-0.6698950794980264</t>
  </si>
  <si>
    <t>-0.04628021898253324</t>
  </si>
  <si>
    <t>0.2234864171859004</t>
  </si>
  <si>
    <t>-1.4966729873610067</t>
  </si>
  <si>
    <t>-0.8547829241344364</t>
  </si>
  <si>
    <t>0.2354655152482861</t>
  </si>
  <si>
    <t>-0.602491115563134</t>
  </si>
  <si>
    <t>-0.21315849890227045</t>
  </si>
  <si>
    <t>-0.6863326925391995</t>
  </si>
  <si>
    <t>-0.6333673565838377</t>
  </si>
  <si>
    <t>-0.8721892761232166</t>
  </si>
  <si>
    <t>-0.29582601480347936</t>
  </si>
  <si>
    <t>0.056871863590411506</t>
  </si>
  <si>
    <t>0.2879926306945156</t>
  </si>
  <si>
    <t>-0.47941398885507724</t>
  </si>
  <si>
    <t>-0.8672019373131843</t>
  </si>
  <si>
    <t>-0.2294105421462215</t>
  </si>
  <si>
    <t>-0.4218968729762524</t>
  </si>
  <si>
    <t>-0.2821063892982562</t>
  </si>
  <si>
    <t>-0.07389250354149285</t>
  </si>
  <si>
    <t>0.29689677870426934</t>
  </si>
  <si>
    <t>-0.7708663431817109</t>
  </si>
  <si>
    <t>0.6938686444076317</t>
  </si>
  <si>
    <t>1.0449122799945558</t>
  </si>
  <si>
    <t>1.1339796215671838</t>
  </si>
  <si>
    <t>-1.4002227582616893</t>
  </si>
  <si>
    <t>-0.41917147127451876</t>
  </si>
  <si>
    <t>0.7204831638777061</t>
  </si>
  <si>
    <t>0.6498781426079552</t>
  </si>
  <si>
    <t>-1.082404439403316</t>
  </si>
  <si>
    <t>-0.16600752153960993</t>
  </si>
  <si>
    <t>-0.4799607804158916</t>
  </si>
  <si>
    <t>0.2904404614001884</t>
  </si>
  <si>
    <t>3.00017116715582</t>
  </si>
  <si>
    <t>-0.26222335136007197</t>
  </si>
  <si>
    <t>0.3488861640712245</t>
  </si>
  <si>
    <t>-0.5776465436592505</t>
  </si>
  <si>
    <t>-0.34171698279484003</t>
  </si>
  <si>
    <t>-0.11456699055559962</t>
  </si>
  <si>
    <t>-0.4582619033331881</t>
  </si>
  <si>
    <t>1.5122265189959687</t>
  </si>
  <si>
    <t>0.012379848075667303</t>
  </si>
  <si>
    <t>-0.662865358453679</t>
  </si>
  <si>
    <t>0.5713897604855747</t>
  </si>
  <si>
    <t>-0.5534519069450698</t>
  </si>
  <si>
    <t>-0.9559722115253468</t>
  </si>
  <si>
    <t>0.7399440171710957</t>
  </si>
  <si>
    <t>-0.8504690501886853</t>
  </si>
  <si>
    <t>-0.4748314230115692</t>
  </si>
  <si>
    <t>-0.2576033867837297</t>
  </si>
  <si>
    <t>-0.12434397610533111</t>
  </si>
  <si>
    <t>0.5296336085608206</t>
  </si>
  <si>
    <t>0.23451250307616042</t>
  </si>
  <si>
    <t>1.8181887563375896</t>
  </si>
  <si>
    <t>0.06377902338066196</t>
  </si>
  <si>
    <t>-0.5345348369199642</t>
  </si>
  <si>
    <t>0.7197522559030411</t>
  </si>
  <si>
    <t>0.8346159842255526</t>
  </si>
  <si>
    <t>-1.4111510462624466</t>
  </si>
  <si>
    <t>-0.451544589555123</t>
  </si>
  <si>
    <t>-0.6088780668039173</t>
  </si>
  <si>
    <t>-0.12472902689732</t>
  </si>
  <si>
    <t>-0.40923137239523477</t>
  </si>
  <si>
    <t>-0.8358732863317399</t>
  </si>
  <si>
    <t>-0.19690261338578294</t>
  </si>
  <si>
    <t>-0.35777223038364947</t>
  </si>
  <si>
    <t>-1.5399722738533168</t>
  </si>
  <si>
    <t>-0.7782662623443177</t>
  </si>
  <si>
    <t>0.19190375455632233</t>
  </si>
  <si>
    <t>-1.487018078565273</t>
  </si>
  <si>
    <t>0.622535657166121</t>
  </si>
  <si>
    <t>-0.3321418154493578</t>
  </si>
  <si>
    <t>0.6851533723179161</t>
  </si>
  <si>
    <t>-0.3924631039062879</t>
  </si>
  <si>
    <t>0.27398213088493734</t>
  </si>
  <si>
    <t>0.6567049436084144</t>
  </si>
  <si>
    <t>0.7944973812209593</t>
  </si>
  <si>
    <t>-1.4276302058300268</t>
  </si>
  <si>
    <t>0.7384389456280526</t>
  </si>
  <si>
    <t>-0.8717766162466623</t>
  </si>
  <si>
    <t>0.6310062573818221</t>
  </si>
  <si>
    <t>-0.573844937775815</t>
  </si>
  <si>
    <t>-1.2201792471537125</t>
  </si>
  <si>
    <t>-0.6038429264505928</t>
  </si>
  <si>
    <t>-0.908025934804383</t>
  </si>
  <si>
    <t>0.6590101549229473</t>
  </si>
  <si>
    <t>0.10549175244784044</t>
  </si>
  <si>
    <t>0.16887828189667706</t>
  </si>
  <si>
    <t>1.6442455222766783</t>
  </si>
  <si>
    <t>-1.4607441731065716</t>
  </si>
  <si>
    <t>-0.364324347779186</t>
  </si>
  <si>
    <t>-1.0511670100675403</t>
  </si>
  <si>
    <t>-0.17064283346365303</t>
  </si>
  <si>
    <t>-0.5815161092286287</t>
  </si>
  <si>
    <t>0.8789848954213566</t>
  </si>
  <si>
    <t>-0.03370680511769108</t>
  </si>
  <si>
    <t>1.0595073225156058</t>
  </si>
  <si>
    <t>-0.3963558154250121</t>
  </si>
  <si>
    <t>-0.29715800406817866</t>
  </si>
  <si>
    <t>1.4014735676826502</t>
  </si>
  <si>
    <t>0.3283367882759517</t>
  </si>
  <si>
    <t>0.08943739526684077</t>
  </si>
  <si>
    <t>0.4727916714389833</t>
  </si>
  <si>
    <t>2.425475667910649</t>
  </si>
  <si>
    <t>-0.4578520949437773</t>
  </si>
  <si>
    <t>-1.0645942515992948</t>
  </si>
  <si>
    <t>1.1446514978500641</t>
  </si>
  <si>
    <t>-1.422359590942963</t>
  </si>
  <si>
    <t>0.9706027904792615</t>
  </si>
  <si>
    <t>-2.4326568168947427</t>
  </si>
  <si>
    <t>-0.5760633616067868</t>
  </si>
  <si>
    <t>2.028255317124883</t>
  </si>
  <si>
    <t>0.25694777508791466</t>
  </si>
  <si>
    <t>-0.5983038457948634</t>
  </si>
  <si>
    <t>0.21663737370718758</t>
  </si>
  <si>
    <t>-0.48679821815683544</t>
  </si>
  <si>
    <t>1.776742967970516</t>
  </si>
  <si>
    <t>1.407385127367373</t>
  </si>
  <si>
    <t>-0.61079183915747</t>
  </si>
  <si>
    <t>0.7624750530345313</t>
  </si>
  <si>
    <t>0.026990404346964904</t>
  </si>
  <si>
    <t>-0.7393445752382902</t>
  </si>
  <si>
    <t>0.24313743582979697</t>
  </si>
  <si>
    <t>-1.2708372667883021</t>
  </si>
  <si>
    <t>-0.5333100568588817</t>
  </si>
  <si>
    <t>0.6524800975537391</t>
  </si>
  <si>
    <t>-0.5010670337976778</t>
  </si>
  <si>
    <t>-0.11386556235062363</t>
  </si>
  <si>
    <t>-0.8692107621864048</t>
  </si>
  <si>
    <t>1.7932314009359203</t>
  </si>
  <si>
    <t>0.4673226541626625</t>
  </si>
  <si>
    <t>0.0779083643317369</t>
  </si>
  <si>
    <t>-0.8208054922077879</t>
  </si>
  <si>
    <t>0.20389205166020594</t>
  </si>
  <si>
    <t>-0.5623741926578117</t>
  </si>
  <si>
    <t>0.31246897536143514</t>
  </si>
  <si>
    <t>-0.5699498746673789</t>
  </si>
  <si>
    <t>-0.5948641120483085</t>
  </si>
  <si>
    <t>-1.2872459000552887</t>
  </si>
  <si>
    <t>0.01920238653259899</t>
  </si>
  <si>
    <t>-0.8778721140994946</t>
  </si>
  <si>
    <t>-0.346789426407968</t>
  </si>
  <si>
    <t>0.5865645254037961</t>
  </si>
  <si>
    <t>0.692535299585127</t>
  </si>
  <si>
    <t>-0.027004952424273653</t>
  </si>
  <si>
    <t>0.42983389558302326</t>
  </si>
  <si>
    <t>-0.8550479694407683</t>
  </si>
  <si>
    <t>-1.4725416066612909</t>
  </si>
  <si>
    <t>2.3252908725129644</t>
  </si>
  <si>
    <t>2.1840385049586284</t>
  </si>
  <si>
    <t>1.2104170905873943</t>
  </si>
  <si>
    <t>-0.4798492310557761</t>
  </si>
  <si>
    <t>-0.5058243679376914</t>
  </si>
  <si>
    <t>1.714417229787865</t>
  </si>
  <si>
    <t>0.4108286088899204</t>
  </si>
  <si>
    <t>-0.08968780579644768</t>
  </si>
  <si>
    <t>-0.16203429455450866</t>
  </si>
  <si>
    <t>-0.5373851313351513</t>
  </si>
  <si>
    <t>0.8361452591082538</t>
  </si>
  <si>
    <t>0.8129244690767541</t>
  </si>
  <si>
    <t>0.169924887296394</t>
  </si>
  <si>
    <t>-0.20527909672291478</t>
  </si>
  <si>
    <t>-0.6608978171917852</t>
  </si>
  <si>
    <t>1.9321296962878507</t>
  </si>
  <si>
    <t>-0.7123564705936392</t>
  </si>
  <si>
    <t>-1.0732608786541251</t>
  </si>
  <si>
    <t>0.20966366948072565</t>
  </si>
  <si>
    <t>-0.39553865275314726</t>
  </si>
  <si>
    <t>-0.06343306654139699</t>
  </si>
  <si>
    <t>1.2355758582527026</t>
  </si>
  <si>
    <t>0.6219985810237425</t>
  </si>
  <si>
    <t>0.08800415161527354</t>
  </si>
  <si>
    <t>2.246601593624993</t>
  </si>
  <si>
    <t>0.2131415153649692</t>
  </si>
  <si>
    <t>-0.360302941697595</t>
  </si>
  <si>
    <t>0.18126729181723072</t>
  </si>
  <si>
    <t>0.5278528435124095</t>
  </si>
  <si>
    <t>-1.1295531158716174</t>
  </si>
  <si>
    <t>0.3272878129678883</t>
  </si>
  <si>
    <t>-0.4286395444426733</t>
  </si>
  <si>
    <t>-0.7282920872471229</t>
  </si>
  <si>
    <t>-1.5313770597267646</t>
  </si>
  <si>
    <t>-1.3879860709350555</t>
  </si>
  <si>
    <t>-0.14904712140804943</t>
  </si>
  <si>
    <t>0.16078303236801506</t>
  </si>
  <si>
    <t>-1.7118020820416795</t>
  </si>
  <si>
    <t>0.6844031352164202</t>
  </si>
  <si>
    <t>-0.7444604628109475</t>
  </si>
  <si>
    <t>-0.7885113211628926</t>
  </si>
  <si>
    <t>-0.5870946412171233</t>
  </si>
  <si>
    <t>-0.015859763951709675</t>
  </si>
  <si>
    <t>-0.8846933717731107</t>
  </si>
  <si>
    <t>-0.030192834553171847</t>
  </si>
  <si>
    <t>-0.6242080186585875</t>
  </si>
  <si>
    <t>1.0988280058355837</t>
  </si>
  <si>
    <t>0.657009169667536</t>
  </si>
  <si>
    <t>-0.10676121149510963</t>
  </si>
  <si>
    <t>0.44130515066141246</t>
  </si>
  <si>
    <t>-0.9842255715018994</t>
  </si>
  <si>
    <t>0.6491598164890062</t>
  </si>
  <si>
    <t>-0.7992147134505152</t>
  </si>
  <si>
    <t>-0.5617450621224657</t>
  </si>
  <si>
    <t>-0.5274409886792989</t>
  </si>
  <si>
    <t>0.6222047056876931</t>
  </si>
  <si>
    <t>0.1457810753701932</t>
  </si>
  <si>
    <t>0.08968227629394107</t>
  </si>
  <si>
    <t>-0.056233459555364795</t>
  </si>
  <si>
    <t>-0.6078185411708724</t>
  </si>
  <si>
    <t>-0.5124942191750487</t>
  </si>
  <si>
    <t>0.3339562680015753</t>
  </si>
  <si>
    <t>-0.9088653552068771</t>
  </si>
  <si>
    <t>-0.7245782047054694</t>
  </si>
  <si>
    <t>-0.32651341264765943</t>
  </si>
  <si>
    <t>0.5835827391216993</t>
  </si>
  <si>
    <t>-1.4794874851319921</t>
  </si>
  <si>
    <t>-0.37776957033685626</t>
  </si>
  <si>
    <t>0.17125253767957893</t>
  </si>
  <si>
    <t>0.8972021646866577</t>
  </si>
  <si>
    <t>0.5646384632519124</t>
  </si>
  <si>
    <t>0.3614193711684555</t>
  </si>
  <si>
    <t>-0.3451536840008314</t>
  </si>
  <si>
    <t>-0.09063377436992293</t>
  </si>
  <si>
    <t>0.2972490418032492</t>
  </si>
  <si>
    <t>0.6003098492180544</t>
  </si>
  <si>
    <t>-0.049839972998396063</t>
  </si>
  <si>
    <t>0.12120421104976191</t>
  </si>
  <si>
    <t>-0.2665741356864168</t>
  </si>
  <si>
    <t>-0.06897097685645967</t>
  </si>
  <si>
    <t>-1.5205285648678162</t>
  </si>
  <si>
    <t>-0.5659062205137702</t>
  </si>
  <si>
    <t>0.5544357307191691</t>
  </si>
  <si>
    <t>-0.1812317199792467</t>
  </si>
  <si>
    <t>-0.19697806862924092</t>
  </si>
  <si>
    <t>-0.15802180322194734</t>
  </si>
  <si>
    <t>-0.014296086640787381</t>
  </si>
  <si>
    <t>-0.7355008910640355</t>
  </si>
  <si>
    <t>1.8623541018643293</t>
  </si>
  <si>
    <t>0.6932707040368223</t>
  </si>
  <si>
    <t>0.0204402341931856</t>
  </si>
  <si>
    <t>-0.253779568401795</t>
  </si>
  <si>
    <t>0.17237355633391563</t>
  </si>
  <si>
    <t>-0.43233717637672403</t>
  </si>
  <si>
    <t>-0.48562114454882865</t>
  </si>
  <si>
    <t>-0.02609285732609149</t>
  </si>
  <si>
    <t>1.073377358774821</t>
  </si>
  <si>
    <t>0.8188236488472075</t>
  </si>
  <si>
    <t>0.9424287830991778</t>
  </si>
  <si>
    <t>-0.8365087213190106</t>
  </si>
  <si>
    <t>1.575204137237298</t>
  </si>
  <si>
    <t>0.402668263471764</t>
  </si>
  <si>
    <t>-0.22846259548692804</t>
  </si>
  <si>
    <t>0.9647921323053085</t>
  </si>
  <si>
    <t>-0.18777167025504984</t>
  </si>
  <si>
    <t>-0.18878396339560413</t>
  </si>
  <si>
    <t>-0.3214135798708686</t>
  </si>
  <si>
    <t>0.8998578947621632</t>
  </si>
  <si>
    <t>-0.5974643000470082</t>
  </si>
  <si>
    <t>-0.03534844063417185</t>
  </si>
  <si>
    <t>0.07119066419697896</t>
  </si>
  <si>
    <t>-1.039191083588805</t>
  </si>
  <si>
    <t>0.07632493657794212</t>
  </si>
  <si>
    <t>1.3899678895358796</t>
  </si>
  <si>
    <t>0.6131553592178957</t>
  </si>
  <si>
    <t>-0.5808579450965432</t>
  </si>
  <si>
    <t>1.1455754415125117</t>
  </si>
  <si>
    <t>-0.6074688329961083</t>
  </si>
  <si>
    <t>-0.5134905564863359</t>
  </si>
  <si>
    <t>0.5838504462715279</t>
  </si>
  <si>
    <t>-0.10771217986004465</t>
  </si>
  <si>
    <t>0.8266901612939014</t>
  </si>
  <si>
    <t>0.7239901139144068</t>
  </si>
  <si>
    <t>0.13493773865004843</t>
  </si>
  <si>
    <t>-0.5556648560281678</t>
  </si>
  <si>
    <t>2.2759631861067313</t>
  </si>
  <si>
    <t>0.1598338919854042</t>
  </si>
  <si>
    <t>-0.3169559711400349</t>
  </si>
  <si>
    <t>-0.830697622988584</t>
  </si>
  <si>
    <t>0.8168636137359012</t>
  </si>
  <si>
    <t>-0.8547143557525524</t>
  </si>
  <si>
    <t>-0.45543209773797827</t>
  </si>
  <si>
    <t>-0.6081805274858586</t>
  </si>
  <si>
    <t>-0.2353272317191149</t>
  </si>
  <si>
    <t>-0.02591980353020119</t>
  </si>
  <si>
    <t>1.4095020489554797</t>
  </si>
  <si>
    <t>0.8928542641626755</t>
  </si>
  <si>
    <t>-0.21044342456121834</t>
  </si>
  <si>
    <t>-0.03125983963759101</t>
  </si>
  <si>
    <t>0.3055893324272633</t>
  </si>
  <si>
    <t>0.7242373262947785</t>
  </si>
  <si>
    <t>-0.8466165354230423</t>
  </si>
  <si>
    <t>1.0818899820962775</t>
  </si>
  <si>
    <t>0.5311765188859626</t>
  </si>
  <si>
    <t>0.7977393111346135</t>
  </si>
  <si>
    <t>-1.071891315632287</t>
  </si>
  <si>
    <t>-0.40809537214844105</t>
  </si>
  <si>
    <t>-2.4112603995110016</t>
  </si>
  <si>
    <t>-0.5529410180461102</t>
  </si>
  <si>
    <t>1.5134362820940968</t>
  </si>
  <si>
    <t>-0.6759252086059399</t>
  </si>
  <si>
    <t>-0.1047941210159329</t>
  </si>
  <si>
    <t>-1.1393481072069345</t>
  </si>
  <si>
    <t>1.4152011314801987</t>
  </si>
  <si>
    <t>-0.28981012039922777</t>
  </si>
  <si>
    <t>1.1168072689555653</t>
  </si>
  <si>
    <t>0.3403093164442469</t>
  </si>
  <si>
    <t>-0.2479674033958523</t>
  </si>
  <si>
    <t>-0.32697088915288547</t>
  </si>
  <si>
    <t>0.45403280634985616</t>
  </si>
  <si>
    <t>0.6375756561842818</t>
  </si>
  <si>
    <t>-0.4093942856066407</t>
  </si>
  <si>
    <t>-0.5454769858101816</t>
  </si>
  <si>
    <t>-1.7181071782756059</t>
  </si>
  <si>
    <t>1.050706162110504</t>
  </si>
  <si>
    <t>0.6548909187575591</t>
  </si>
  <si>
    <t>0.027090967835968562</t>
  </si>
  <si>
    <t>-0.8029210843415413</t>
  </si>
  <si>
    <t>1.3995493538180992</t>
  </si>
  <si>
    <t>0.7925513309385063</t>
  </si>
  <si>
    <t>-1.5930270698422784</t>
  </si>
  <si>
    <t>-0.335847581749414</t>
  </si>
  <si>
    <t>-0.024491351887359066</t>
  </si>
  <si>
    <t>0.9073237721365108</t>
  </si>
  <si>
    <t>2.2832759892180747</t>
  </si>
  <si>
    <t>0.8798873030878495</t>
  </si>
  <si>
    <t>0.2341072236334105</t>
  </si>
  <si>
    <t>-0.13079871518891548</t>
  </si>
  <si>
    <t>0.7012096074345473</t>
  </si>
  <si>
    <t>-0.45432143531710517</t>
  </si>
  <si>
    <t>-0.8782653737716641</t>
  </si>
  <si>
    <t>-0.7993050734875138</t>
  </si>
  <si>
    <t>-0.7373887260890419</t>
  </si>
  <si>
    <t>-0.5367757523694862</t>
  </si>
  <si>
    <t>1.1797088989870492</t>
  </si>
  <si>
    <t>-0.08470655944271989</t>
  </si>
  <si>
    <t>-0.24947200398723385</t>
  </si>
  <si>
    <t>1.0997313741359283</t>
  </si>
  <si>
    <t>0.42074927492141806</t>
  </si>
  <si>
    <t>-1.1260644698602242</t>
  </si>
  <si>
    <t>-1.4975450624922149</t>
  </si>
  <si>
    <t>0.3850068686428878</t>
  </si>
  <si>
    <t>-0.6181232041878902</t>
  </si>
  <si>
    <t>0.9665525708329079</t>
  </si>
  <si>
    <t>-0.7863087553033907</t>
  </si>
  <si>
    <t>-0.685688086286817</t>
  </si>
  <si>
    <t>1.3827650603970305</t>
  </si>
  <si>
    <t>-0.02883479602447212</t>
  </si>
  <si>
    <t>0.6079726112811237</t>
  </si>
  <si>
    <t>-1.4488482865101988</t>
  </si>
  <si>
    <t>0.6183919360116165</t>
  </si>
  <si>
    <t>-0.8601917836040089</t>
  </si>
  <si>
    <t>-0.10523848785258848</t>
  </si>
  <si>
    <t>0.6548132078895601</t>
  </si>
  <si>
    <t>0.07885450808899787</t>
  </si>
  <si>
    <t>-0.6384693029598498</t>
  </si>
  <si>
    <t>0.6525594059612166</t>
  </si>
  <si>
    <t>0.19869681848384171</t>
  </si>
  <si>
    <t>0.21056670241598277</t>
  </si>
  <si>
    <t>0.32943364280623827</t>
  </si>
  <si>
    <t>-0.45203454659958264</t>
  </si>
  <si>
    <t>-0.9030378248368304</t>
  </si>
  <si>
    <t>0.17698999284213968</t>
  </si>
  <si>
    <t>-1.8122623529581567</t>
  </si>
  <si>
    <t>-0.6274932211789366</t>
  </si>
  <si>
    <t>0.806854371842721</t>
  </si>
  <si>
    <t>-0.3948010878160452</t>
  </si>
  <si>
    <t>-0.22077261086498404</t>
  </si>
  <si>
    <t>1.1126323201793547</t>
  </si>
  <si>
    <t>-0.9742692958355662</t>
  </si>
  <si>
    <t>-0.7104944735829943</t>
  </si>
  <si>
    <t>-0.06613976405309493</t>
  </si>
  <si>
    <t>0.11984625821052047</t>
  </si>
  <si>
    <t>0.30860760296759837</t>
  </si>
  <si>
    <t>0.14049060421414178</t>
  </si>
  <si>
    <t>-0.11302146435825682</t>
  </si>
  <si>
    <t>-1.3504809157134676</t>
  </si>
  <si>
    <t>-2.0459556982703853</t>
  </si>
  <si>
    <t>-1.1160517079451064</t>
  </si>
  <si>
    <t>0.8872851609588852</t>
  </si>
  <si>
    <t>-1.0849501779077064</t>
  </si>
  <si>
    <t>-1.048418908658865</t>
  </si>
  <si>
    <t>0.2922979609564601</t>
  </si>
  <si>
    <t>-0.15932834038889523</t>
  </si>
  <si>
    <t>1.4574881100546804</t>
  </si>
  <si>
    <t>-0.2162018675867063</t>
  </si>
  <si>
    <t>0.21707157154120868</t>
  </si>
  <si>
    <t>-1.323066937373751</t>
  </si>
  <si>
    <t>0.32014684400414056</t>
  </si>
  <si>
    <t>-1.7832946599146655</t>
  </si>
  <si>
    <t>1.7969558430339376</t>
  </si>
  <si>
    <t>0.2566139323905391</t>
  </si>
  <si>
    <t>0.8882482421950776</t>
  </si>
  <si>
    <t>0.33286196941264024</t>
  </si>
  <si>
    <t>-1.778484851618584</t>
  </si>
  <si>
    <t>0.5784667525150119</t>
  </si>
  <si>
    <t>0.25214284683635335</t>
  </si>
  <si>
    <t>-0.20316949139779586</t>
  </si>
  <si>
    <t>0.29664582422968877</t>
  </si>
  <si>
    <t>-0.43206008657884093</t>
  </si>
  <si>
    <t>2.1355865856010396</t>
  </si>
  <si>
    <t>0.9288502693430479</t>
  </si>
  <si>
    <t>0.36990967682459247</t>
  </si>
  <si>
    <t>0.016035241792193483</t>
  </si>
  <si>
    <t>0.7956784571198935</t>
  </si>
  <si>
    <t>-1.1066160984730427</t>
  </si>
  <si>
    <t>0.6479574535293596</t>
  </si>
  <si>
    <t>-0.5915127209156921</t>
  </si>
  <si>
    <t>0.34285123960553704</t>
  </si>
  <si>
    <t>0.14361177702932193</t>
  </si>
  <si>
    <t>0.08242861564939832</t>
  </si>
  <si>
    <t>-0.6118484196917428</t>
  </si>
  <si>
    <t>-0.34287903201086145</t>
  </si>
  <si>
    <t>0.2597461227847296</t>
  </si>
  <si>
    <t>-0.15402907642879846</t>
  </si>
  <si>
    <t>-0.1595654505734741</t>
  </si>
  <si>
    <t>0.6393120868722963</t>
  </si>
  <si>
    <t>-0.08855245324032064</t>
  </si>
  <si>
    <t>-0.4881116343411338</t>
  </si>
  <si>
    <t>0.9155412873670854</t>
  </si>
  <si>
    <t>0.4538367432276311</t>
  </si>
  <si>
    <t>0.34319395891433385</t>
  </si>
  <si>
    <t>0.13409938590885617</t>
  </si>
  <si>
    <t>0.18301605850307556</t>
  </si>
  <si>
    <t>0.3438802247294782</t>
  </si>
  <si>
    <t>1.621018113452821</t>
  </si>
  <si>
    <t>0.9649782705487331</t>
  </si>
  <si>
    <t>0.7817658269487097</t>
  </si>
  <si>
    <t>0.2417479234118082</t>
  </si>
  <si>
    <t>-0.9878478603118985</t>
  </si>
  <si>
    <t>-0.48774971058999766</t>
  </si>
  <si>
    <t>1.2790030695491417</t>
  </si>
  <si>
    <t>-0.14711355687458427</t>
  </si>
  <si>
    <t>-0.5383747939223679</t>
  </si>
  <si>
    <t>-0.28181319088061024</t>
  </si>
  <si>
    <t>-0.05055512692219764</t>
  </si>
  <si>
    <t>0.7822608020797843</t>
  </si>
  <si>
    <t>0.25762303243976015</t>
  </si>
  <si>
    <t>-0.48138316459862834</t>
  </si>
  <si>
    <t>-2.7254985485562377</t>
  </si>
  <si>
    <t>-0.1763816042544812</t>
  </si>
  <si>
    <t>-0.4497153279379829</t>
  </si>
  <si>
    <t>0.5308031276872963</t>
  </si>
  <si>
    <t>-0.4340246432215413</t>
  </si>
  <si>
    <t>-2.407577564367484</t>
  </si>
  <si>
    <t>0.46585022177139696</t>
  </si>
  <si>
    <t>-1.0827443161114865</t>
  </si>
  <si>
    <t>-0.13454957206826132</t>
  </si>
  <si>
    <t>0.8167257371940188</t>
  </si>
  <si>
    <t>-0.13935680674794404</t>
  </si>
  <si>
    <t>-0.884515319211706</t>
  </si>
  <si>
    <t>0.4108570732144142</t>
  </si>
  <si>
    <t>-0.3311258138217616</t>
  </si>
  <si>
    <t>-0.8253003225807476</t>
  </si>
  <si>
    <t>-0.6770201789175644</t>
  </si>
  <si>
    <t>-0.30035618351470567</t>
  </si>
  <si>
    <t>-0.20305674152109784</t>
  </si>
  <si>
    <t>0.6330657362571904</t>
  </si>
  <si>
    <t>0.46410482467752107</t>
  </si>
  <si>
    <t>1.6219978609575527</t>
  </si>
  <si>
    <t>0.4871118081414391</t>
  </si>
  <si>
    <t>-0.584408068753055</t>
  </si>
  <si>
    <t>0.06142439585523314</t>
  </si>
  <si>
    <t>-1.129859628281663</t>
  </si>
  <si>
    <t>1.038993870564355</t>
  </si>
  <si>
    <t>-0.35349906629399813</t>
  </si>
  <si>
    <t>-0.38233688002917027</t>
  </si>
  <si>
    <t>1.0005703670819515</t>
  </si>
  <si>
    <t>0.340615465364007</t>
  </si>
  <si>
    <t>0.002884717347812445</t>
  </si>
  <si>
    <t>0.03724395499521787</t>
  </si>
  <si>
    <t>0.9764899634484786</t>
  </si>
  <si>
    <t>0.2230449608941345</t>
  </si>
  <si>
    <t>0.18043432826808425</t>
  </si>
  <si>
    <t>-0.4687954488618066</t>
  </si>
  <si>
    <t>-0.33332188721132794</t>
  </si>
  <si>
    <t>-0.3199555138532174</t>
  </si>
  <si>
    <t>1.6047772305529229</t>
  </si>
  <si>
    <t>-0.15950591798354868</t>
  </si>
  <si>
    <t>2.6976697975642687</t>
  </si>
  <si>
    <t>-1.0152786210714435</t>
  </si>
  <si>
    <t>-0.6708097990396745</t>
  </si>
  <si>
    <t>-0.1417838812848222</t>
  </si>
  <si>
    <t>0.7613748958932973</t>
  </si>
  <si>
    <t>-1.1321228153423348</t>
  </si>
  <si>
    <t>-0.20826604863577708</t>
  </si>
  <si>
    <t>-0.24583436848581058</t>
  </si>
  <si>
    <t>-0.5299154289158976</t>
  </si>
  <si>
    <t>0.3033312388427848</t>
  </si>
  <si>
    <t>-0.6217813974367279</t>
  </si>
  <si>
    <t>-0.048879630218131805</t>
  </si>
  <si>
    <t>0.6351182252751463</t>
  </si>
  <si>
    <t>-0.9914124746711914</t>
  </si>
  <si>
    <t>-0.7083103621622843</t>
  </si>
  <si>
    <t>0.08226923113611957</t>
  </si>
  <si>
    <t>0.16775810036264074</t>
  </si>
  <si>
    <t>0.0062606236299249905</t>
  </si>
  <si>
    <t>0.6393700662436808</t>
  </si>
  <si>
    <t>0.37348135131199484</t>
  </si>
  <si>
    <t>-0.2933233738280309</t>
  </si>
  <si>
    <t>-0.6036375688942047</t>
  </si>
  <si>
    <t>0.19975428924263347</t>
  </si>
  <si>
    <t>0.3870924933020098</t>
  </si>
  <si>
    <t>-0.3378404103951739</t>
  </si>
  <si>
    <t>1.0196616042268993</t>
  </si>
  <si>
    <t>-0.7121479087357901</t>
  </si>
  <si>
    <t>0.7663193207595883</t>
  </si>
  <si>
    <t>0.79185649328757</t>
  </si>
  <si>
    <t>-0.3215531347599627</t>
  </si>
  <si>
    <t>-0.5893340024183487</t>
  </si>
  <si>
    <t>0.5093304227815593</t>
  </si>
  <si>
    <t>-0.14361688607940493</t>
  </si>
  <si>
    <t>0.40784118366418315</t>
  </si>
  <si>
    <t>0.1998660462827578</t>
  </si>
  <si>
    <t>0.42292951939722084</t>
  </si>
  <si>
    <t>-0.42353562966557334</t>
  </si>
  <si>
    <t>-0.14378495620963094</t>
  </si>
  <si>
    <t>-0.24677880601842633</t>
  </si>
  <si>
    <t>0.1851208904628916</t>
  </si>
  <si>
    <t>0.5099947334284689</t>
  </si>
  <si>
    <t>0.1693322135654494</t>
  </si>
  <si>
    <t>0.08820459809265115</t>
  </si>
  <si>
    <t>-0.39385899086839826</t>
  </si>
  <si>
    <t>0.3503079065574509</t>
  </si>
  <si>
    <t>-1.228953662379877</t>
  </si>
  <si>
    <t>0.7327318927571249</t>
  </si>
  <si>
    <t>-0.31030334586766956</t>
  </si>
  <si>
    <t>-1.8220395230967774</t>
  </si>
  <si>
    <t>1.3392606751345293</t>
  </si>
  <si>
    <t>-0.3377291024482608</t>
  </si>
  <si>
    <t>0.05139254073708904</t>
  </si>
  <si>
    <t>-0.08061854094043906</t>
  </si>
  <si>
    <t>1.628710297312521</t>
  </si>
  <si>
    <t>-0.7135597477527454</t>
  </si>
  <si>
    <t>0.3246447024217483</t>
  </si>
  <si>
    <t>-0.7401885304247707</t>
  </si>
  <si>
    <t>0.36688610827791435</t>
  </si>
  <si>
    <t>-0.08320700491563357</t>
  </si>
  <si>
    <t>-0.2525744861662484</t>
  </si>
  <si>
    <t>-0.5372589278006149</t>
  </si>
  <si>
    <t>1.0344345869512321</t>
  </si>
  <si>
    <t>0.4813602950323526</t>
  </si>
  <si>
    <t>-0.11688941308776471</t>
  </si>
  <si>
    <t>-0.11752130932327094</t>
  </si>
  <si>
    <t>0.17127579318312794</t>
  </si>
  <si>
    <t>0.6211890735759357</t>
  </si>
  <si>
    <t>0.014873389970517112</t>
  </si>
  <si>
    <t>-0.2138594753341241</t>
  </si>
  <si>
    <t>-0.28882343789961484</t>
  </si>
  <si>
    <t>0.43925281034135377</t>
  </si>
  <si>
    <t>-0.9501265606700194</t>
  </si>
  <si>
    <t>-0.44311970612714674</t>
  </si>
  <si>
    <t>0.5307979469154199</t>
  </si>
  <si>
    <t>0.32562856756976627</t>
  </si>
  <si>
    <t>-0.21739764498780076</t>
  </si>
  <si>
    <t>-0.4356641431482402</t>
  </si>
  <si>
    <t>0.0160184502218474</t>
  </si>
  <si>
    <t>-0.1794550556065938</t>
  </si>
  <si>
    <t>0.41523117584849</t>
  </si>
  <si>
    <t>-0.34892548952328256</t>
  </si>
  <si>
    <t>-0.42100853808188066</t>
  </si>
  <si>
    <t>0.6080298934897287</t>
  </si>
  <si>
    <t>-0.04135111083563849</t>
  </si>
  <si>
    <t>-0.43256954706642703</t>
  </si>
  <si>
    <t>0.26598348250955983</t>
  </si>
  <si>
    <t>-0.10403419390783177</t>
  </si>
  <si>
    <t>0.3542121306883961</t>
  </si>
  <si>
    <t>0.9862642031664278</t>
  </si>
  <si>
    <t>-0.6206582225789709</t>
  </si>
  <si>
    <t>0.09809954037666122</t>
  </si>
  <si>
    <t>-0.07124514652808062</t>
  </si>
  <si>
    <t>0.03102457938973248</t>
  </si>
  <si>
    <t>-0.8296068769535029</t>
  </si>
  <si>
    <t>-1.5492085362136139</t>
  </si>
  <si>
    <t>-0.13100258370141601</t>
  </si>
  <si>
    <t>0.7145015930117192</t>
  </si>
  <si>
    <t>0.1037643775518438</t>
  </si>
  <si>
    <t>-0.279167424628761</t>
  </si>
  <si>
    <t>0.27937219248376877</t>
  </si>
  <si>
    <t>-0.25294980380175136</t>
  </si>
  <si>
    <t>-0.4092844309037031</t>
  </si>
  <si>
    <t>-0.26002548544208465</t>
  </si>
  <si>
    <t>-0.31932116335342137</t>
  </si>
  <si>
    <t>0.3657241787107209</t>
  </si>
  <si>
    <t>0.7855915836730649</t>
  </si>
  <si>
    <t>0.7131503574796278</t>
  </si>
  <si>
    <t>0.9281586580597435</t>
  </si>
  <si>
    <t>-0.21911134119257364</t>
  </si>
  <si>
    <t>0.32313681182976933</t>
  </si>
  <si>
    <t>0.6535797318496943</t>
  </si>
  <si>
    <t>-0.3790261087774105</t>
  </si>
  <si>
    <t>0.18431766097551375</t>
  </si>
  <si>
    <t>-0.06742834241572457</t>
  </si>
  <si>
    <t>0.43982688466231235</t>
  </si>
  <si>
    <t>0.6325589727400118</t>
  </si>
  <si>
    <t>-0.8300771450900442</t>
  </si>
  <si>
    <t>0.052748457240289835</t>
  </si>
  <si>
    <t>-1.2012790088387495</t>
  </si>
  <si>
    <t>0.26446866180637457</t>
  </si>
  <si>
    <t>-3.172938254272592</t>
  </si>
  <si>
    <t>-0.34003494407028934</t>
  </si>
  <si>
    <t>0.8263066649333835</t>
  </si>
  <si>
    <t>0.46852528750540146</t>
  </si>
  <si>
    <t>0.40269895475338335</t>
  </si>
  <si>
    <t>1.059551565398148</t>
  </si>
  <si>
    <t>-1.2773416182828143</t>
  </si>
  <si>
    <t>0.1524793812880317</t>
  </si>
  <si>
    <t>-1.2715789008019183</t>
  </si>
  <si>
    <t>-0.6280740687084151</t>
  </si>
  <si>
    <t>-0.2600124754551004</t>
  </si>
  <si>
    <t>-0.406057870525458</t>
  </si>
  <si>
    <t>-0.4119669897666813</t>
  </si>
  <si>
    <t>-0.3532646079319983</t>
  </si>
  <si>
    <t>-0.1408356435754753</t>
  </si>
  <si>
    <t>1.1134720729156453</t>
  </si>
  <si>
    <t>0.5635387734542662</t>
  </si>
  <si>
    <t>0.16142539556996113</t>
  </si>
  <si>
    <t>0.3373797358383356</t>
  </si>
  <si>
    <t>-0.07756115297663187</t>
  </si>
  <si>
    <t>0.806360691142173</t>
  </si>
  <si>
    <t>-0.4874259890222511</t>
  </si>
  <si>
    <t>0.1348624384212462</t>
  </si>
  <si>
    <t>-3.7325601859213022</t>
  </si>
  <si>
    <t>0.14765348871789888</t>
  </si>
  <si>
    <t>-0.05475940362343027</t>
  </si>
  <si>
    <t>0.816784564615474</t>
  </si>
  <si>
    <t>0.030504186864259004</t>
  </si>
  <si>
    <t>-1.1247476603295632</t>
  </si>
  <si>
    <t>-0.23121916651249846</t>
  </si>
  <si>
    <t>-0.6582038638093336</t>
  </si>
  <si>
    <t>0.21300313070423244</t>
  </si>
  <si>
    <t>-0.008924659999829939</t>
  </si>
  <si>
    <t>0.6903160377209868</t>
  </si>
  <si>
    <t>0.24938658818433881</t>
  </si>
  <si>
    <t>0.8351795946107874</t>
  </si>
  <si>
    <t>0.24465740529045593</t>
  </si>
  <si>
    <t>0.45059393334546943</t>
  </si>
  <si>
    <t>-0.9519357944369607</t>
  </si>
  <si>
    <t>0.13575623529938932</t>
  </si>
  <si>
    <t>-0.03954547212212633</t>
  </si>
  <si>
    <t>-0.02502203772792523</t>
  </si>
  <si>
    <t>-0.5077686045134986</t>
  </si>
  <si>
    <t>-0.2489516596279295</t>
  </si>
  <si>
    <t>0.6741930374922337</t>
  </si>
  <si>
    <t>0.935426794829014</t>
  </si>
  <si>
    <t>-0.9993720136721957</t>
  </si>
  <si>
    <t>-0.3371183537166136</t>
  </si>
  <si>
    <t>-0.531206675368447</t>
  </si>
  <si>
    <t>-0.11582610912849245</t>
  </si>
  <si>
    <t>0.13612979126730335</t>
  </si>
  <si>
    <t>-0.6824128777627185</t>
  </si>
  <si>
    <t>0.9553857894504519</t>
  </si>
  <si>
    <t>0.837786221380467</t>
  </si>
  <si>
    <t>-1.6205422071283402</t>
  </si>
  <si>
    <t>0.3445624983741676</t>
  </si>
  <si>
    <t>-0.2987494565923155</t>
  </si>
  <si>
    <t>-0.32403464008768346</t>
  </si>
  <si>
    <t>-0.5534431871801581</t>
  </si>
  <si>
    <t>0.10089700316316481</t>
  </si>
  <si>
    <t>0.4505999355241274</t>
  </si>
  <si>
    <t>2.016815230481592</t>
  </si>
  <si>
    <t>-1.0725776364927122</t>
  </si>
  <si>
    <t>-2.5011040977582732</t>
  </si>
  <si>
    <t>-0.23142881170416088</t>
  </si>
  <si>
    <t>-0.6345638253775593</t>
  </si>
  <si>
    <t>1.1055006156585916</t>
  </si>
  <si>
    <t>-0.14863010059605594</t>
  </si>
  <si>
    <t>0.0797856214038899</t>
  </si>
  <si>
    <t>1.0793596635682852</t>
  </si>
  <si>
    <t>0.18526180932951355</t>
  </si>
  <si>
    <t>1.089168257444444</t>
  </si>
  <si>
    <t>-0.9732038087103354</t>
  </si>
  <si>
    <t>-0.03180718655382173</t>
  </si>
  <si>
    <t>-0.0984418452186798</t>
  </si>
  <si>
    <t>0.0934759392185588</t>
  </si>
  <si>
    <t>-0.14582938132625373</t>
  </si>
  <si>
    <t>-0.8158400046318633</t>
  </si>
  <si>
    <t>-0.03405041168914234</t>
  </si>
  <si>
    <t>0.5977270020419436</t>
  </si>
  <si>
    <t>-0.00557951625563785</t>
  </si>
  <si>
    <t>-1.2301803519699275</t>
  </si>
  <si>
    <t>-0.8932147560267982</t>
  </si>
  <si>
    <t>0.16429980569158173</t>
  </si>
  <si>
    <t>0.4282641833946322</t>
  </si>
  <si>
    <t>-0.13844911888774541</t>
  </si>
  <si>
    <t>-0.05321869535008216</t>
  </si>
  <si>
    <t>1.8264855859923228</t>
  </si>
  <si>
    <t>0.07648157315086686</t>
  </si>
  <si>
    <t>-1.2851580372563525</t>
  </si>
  <si>
    <t>-1.1620720945948937</t>
  </si>
  <si>
    <t>-0.37546720126919203</t>
  </si>
  <si>
    <t>0.537585158674737</t>
  </si>
  <si>
    <t>0.6682020452816129</t>
  </si>
  <si>
    <t>-0.08221133917292003</t>
  </si>
  <si>
    <t>-0.7027651224209217</t>
  </si>
  <si>
    <t>1.0616824930038846</t>
  </si>
  <si>
    <t>-0.5489364022405501</t>
  </si>
  <si>
    <t>0.6344850319959254</t>
  </si>
  <si>
    <t>-0.9541749646625622</t>
  </si>
  <si>
    <t>0.4413380951608077</t>
  </si>
  <si>
    <t>-3.3401610178658543</t>
  </si>
  <si>
    <t>-0.2488786031193872</t>
  </si>
  <si>
    <t>0.16002232879743603</t>
  </si>
  <si>
    <t>0.7473554685518803</t>
  </si>
  <si>
    <t>0.724868981521153</t>
  </si>
  <si>
    <t>1.3593292922568194</t>
  </si>
  <si>
    <t>0.5483723624659729</t>
  </si>
  <si>
    <t>0.11056420034115456</t>
  </si>
  <si>
    <t>-1.8409984062348974</t>
  </si>
  <si>
    <t>0.5124130404274854</t>
  </si>
  <si>
    <t>0.17694356633448857</t>
  </si>
  <si>
    <t>-0.3802069947624327</t>
  </si>
  <si>
    <t>1.0544492859155437</t>
  </si>
  <si>
    <t>-0.3070486436172251</t>
  </si>
  <si>
    <t>-1.4173106732674</t>
  </si>
  <si>
    <t>-0.8009666733916344</t>
  </si>
  <si>
    <t>-0.43458341296041647</t>
  </si>
  <si>
    <t>0.6816644307499524</t>
  </si>
  <si>
    <t>0.3420867358601147</t>
  </si>
  <si>
    <t>0.5326845211592286</t>
  </si>
  <si>
    <t>0.6517843133241417</t>
  </si>
  <si>
    <t>-0.6500712268391778</t>
  </si>
  <si>
    <t>0.02340520521104637</t>
  </si>
  <si>
    <t>-0.6961339514918687</t>
  </si>
  <si>
    <t>0.47335109404621895</t>
  </si>
  <si>
    <t>-0.23503556135653944</t>
  </si>
  <si>
    <t>0.2756510695763067</t>
  </si>
  <si>
    <t>0.15034351724573555</t>
  </si>
  <si>
    <t>0.3058579049324108</t>
  </si>
  <si>
    <t>-0.27401998065407734</t>
  </si>
  <si>
    <t>0.5934315946384692</t>
  </si>
  <si>
    <t>0.4222947219937002</t>
  </si>
  <si>
    <t>0.4539192096819661</t>
  </si>
  <si>
    <t>0.4747196770555126</t>
  </si>
  <si>
    <t>-0.07482254575183533</t>
  </si>
  <si>
    <t>0.7135429185839459</t>
  </si>
  <si>
    <t>-0.1575485881733273</t>
  </si>
  <si>
    <t>0.7098849669451432</t>
  </si>
  <si>
    <t>-0.9017012281342606</t>
  </si>
  <si>
    <t>-0.501047114927188</t>
  </si>
  <si>
    <t>-0.7034899630978748</t>
  </si>
  <si>
    <t>-0.654169055549712</t>
  </si>
  <si>
    <t>-0.09226458052191719</t>
  </si>
  <si>
    <t>-0.11152774518116758</t>
  </si>
  <si>
    <t>0.09005128082950734</t>
  </si>
  <si>
    <t>1.0556162468366375</t>
  </si>
  <si>
    <t>-1.0293654933346155</t>
  </si>
  <si>
    <t>-0.21882933160840284</t>
  </si>
  <si>
    <t>0.7894085835369056</t>
  </si>
  <si>
    <t>-0.88272935350394</t>
  </si>
  <si>
    <t>-0.16409181530520828</t>
  </si>
  <si>
    <t>-0.5935177275161047</t>
  </si>
  <si>
    <t>1.299745868686841</t>
  </si>
  <si>
    <t>0.03351381162792536</t>
  </si>
  <si>
    <t>-0.9186769066722775</t>
  </si>
  <si>
    <t>-0.07686572542245196</t>
  </si>
  <si>
    <t>-0.7282201991937757</t>
  </si>
  <si>
    <t>-0.021925240503735777</t>
  </si>
  <si>
    <t>0.6086395774947196</t>
  </si>
  <si>
    <t>0.36334069803868585</t>
  </si>
  <si>
    <t>-1.35788639275484</t>
  </si>
  <si>
    <t>-0.7415121681439298</t>
  </si>
  <si>
    <t>-0.7114871861040125</t>
  </si>
  <si>
    <t>-0.6864386697032446</t>
  </si>
  <si>
    <t>0.8435053713549077</t>
  </si>
  <si>
    <t>1.0489861345119629</t>
  </si>
  <si>
    <t>0.5455708008723255</t>
  </si>
  <si>
    <t>-0.044422716563884454</t>
  </si>
  <si>
    <t>-0.4720060186988092</t>
  </si>
  <si>
    <t>-0.802071768765017</t>
  </si>
  <si>
    <t>0.016380151194568367</t>
  </si>
  <si>
    <t>-0.13270218267737044</t>
  </si>
  <si>
    <t>-0.3955014694240643</t>
  </si>
  <si>
    <t>-0.6548910988208191</t>
  </si>
  <si>
    <t>0.4983901470200828</t>
  </si>
  <si>
    <t>-0.9232312210917332</t>
  </si>
  <si>
    <t>-1.4058405033650554</t>
  </si>
  <si>
    <t>-0.4475919473112805</t>
  </si>
  <si>
    <t>-0.9296401678826569</t>
  </si>
  <si>
    <t>0.22397127300794012</t>
  </si>
  <si>
    <t>-0.9611376582200177</t>
  </si>
  <si>
    <t>0.3632008852820892</t>
  </si>
  <si>
    <t>-0.2419371911713911</t>
  </si>
  <si>
    <t>0.22448369231920456</t>
  </si>
  <si>
    <t>-0.42983972224955147</t>
  </si>
  <si>
    <t>-0.036234551676596165</t>
  </si>
  <si>
    <t>-0.1405628896807372</t>
  </si>
  <si>
    <t>-0.3502188282596633</t>
  </si>
  <si>
    <t>0.2699378655773051</t>
  </si>
  <si>
    <t>0.34775384477483867</t>
  </si>
  <si>
    <t>0.28771835278178376</t>
  </si>
  <si>
    <t>-0.3020964342974666</t>
  </si>
  <si>
    <t>0.37583436482149246</t>
  </si>
  <si>
    <t>-0.9073265299233779</t>
  </si>
  <si>
    <t>-0.22369002402667768</t>
  </si>
  <si>
    <t>-0.9803955950636973</t>
  </si>
  <si>
    <t>-0.6124542108669584</t>
  </si>
  <si>
    <t>0.7533236180138956</t>
  </si>
  <si>
    <t>-0.7706517822206382</t>
  </si>
  <si>
    <t>-0.0881409495725336</t>
  </si>
  <si>
    <t>1.0433515964185753</t>
  </si>
  <si>
    <t>-0.17544960572856413</t>
  </si>
  <si>
    <t>0.2355921457879152</t>
  </si>
  <si>
    <t>-0.7219968957104286</t>
  </si>
  <si>
    <t>-0.7061153588013808</t>
  </si>
  <si>
    <t>-1.3349797142583704</t>
  </si>
  <si>
    <t>0.16952605988534467</t>
  </si>
  <si>
    <t>-0.05769328271227893</t>
  </si>
  <si>
    <t>-1.6435265136257085</t>
  </si>
  <si>
    <t>1.1799236650378992</t>
  </si>
  <si>
    <t>-0.5306793656997133</t>
  </si>
  <si>
    <t>-1.8956013016056816</t>
  </si>
  <si>
    <t>-0.4030189708131069</t>
  </si>
  <si>
    <t>-0.5775323222080698</t>
  </si>
  <si>
    <t>1.1964295801187426</t>
  </si>
  <si>
    <t>-0.1146609787359754</t>
  </si>
  <si>
    <t>0.102972020165434</t>
  </si>
  <si>
    <t>-0.8614704927195667</t>
  </si>
  <si>
    <t>0.010858469165151355</t>
  </si>
  <si>
    <t>0.7285026216238777</t>
  </si>
  <si>
    <t>-0.8699854344167182</t>
  </si>
  <si>
    <t>0.41342109086827844</t>
  </si>
  <si>
    <t>0.5358148620093283</t>
  </si>
  <si>
    <t>0.7413315784488763</t>
  </si>
  <si>
    <t>0.1757920779894567</t>
  </si>
  <si>
    <t>0.3320015152903075</t>
  </si>
  <si>
    <t>1.2052213850967717</t>
  </si>
  <si>
    <t>-0.12255889433025216</t>
  </si>
  <si>
    <t>0.5295435383969718</t>
  </si>
  <si>
    <t>-1.5557510624676016</t>
  </si>
  <si>
    <t>0.4641445789164445</t>
  </si>
  <si>
    <t>1.0451952570299514</t>
  </si>
  <si>
    <t>-0.0504800950700744</t>
  </si>
  <si>
    <t>0.49532490622933495</t>
  </si>
  <si>
    <t>-2.1327348407453766</t>
  </si>
  <si>
    <t>0.13934789121016553</t>
  </si>
  <si>
    <t>1.7158326473609604</t>
  </si>
  <si>
    <t>0.6796012968712305</t>
  </si>
  <si>
    <t>-0.5466262276669634</t>
  </si>
  <si>
    <t>0.9849230024618806</t>
  </si>
  <si>
    <t>-0.35407346285290686</t>
  </si>
  <si>
    <t>1.8652537440996402</t>
  </si>
  <si>
    <t>-1.3464224222075174</t>
  </si>
  <si>
    <t>0.09326215525226214</t>
  </si>
  <si>
    <t>-0.033670916270657374</t>
  </si>
  <si>
    <t>-0.3553581582525134</t>
  </si>
  <si>
    <t>0.0670390763865876</t>
  </si>
  <si>
    <t>4.246778816527564</t>
  </si>
  <si>
    <t>0.4910512873723349</t>
  </si>
  <si>
    <t>-0.9926641329760405</t>
  </si>
  <si>
    <t>-0.3932475338036007</t>
  </si>
  <si>
    <t>0.44777009214268043</t>
  </si>
  <si>
    <t>-0.9760072070354027</t>
  </si>
  <si>
    <t>0.17752652455881907</t>
  </si>
  <si>
    <t>-1.4269084464740351</t>
  </si>
  <si>
    <t>0.7394335978066743</t>
  </si>
  <si>
    <t>0.30381729763390436</t>
  </si>
  <si>
    <t>0.28998491000982946</t>
  </si>
  <si>
    <t>1.8304491734421353</t>
  </si>
  <si>
    <t>-0.4368940297321034</t>
  </si>
  <si>
    <t>-1.0861580514581264</t>
  </si>
  <si>
    <t>-0.9087051030307661</t>
  </si>
  <si>
    <t>0.6587663054123472</t>
  </si>
  <si>
    <t>0.10552618823195241</t>
  </si>
  <si>
    <t>-0.6726725401622176</t>
  </si>
  <si>
    <t>-0.584497458055879</t>
  </si>
  <si>
    <t>-0.2772742547536645</t>
  </si>
  <si>
    <t>0.11330190204763894</t>
  </si>
  <si>
    <t>-0.1823513943313859</t>
  </si>
  <si>
    <t>-0.6824132017702955</t>
  </si>
  <si>
    <t>0.17170113532533943</t>
  </si>
  <si>
    <t>0.8809931178717175</t>
  </si>
  <si>
    <t>-4.042813252897446</t>
  </si>
  <si>
    <t>1.2346624964197246</t>
  </si>
  <si>
    <t>0.33082569615884994</t>
  </si>
  <si>
    <t>0.6013280468639054</t>
  </si>
  <si>
    <t>-0.5071166542181788</t>
  </si>
  <si>
    <t>0.3285717616627622</t>
  </si>
  <si>
    <t>-0.17953342210140003</t>
  </si>
  <si>
    <t>-1.1753504996554953</t>
  </si>
  <si>
    <t>-0.5408501566998186</t>
  </si>
  <si>
    <t>-1.0474893384567694</t>
  </si>
  <si>
    <t>0.4065799421988364</t>
  </si>
  <si>
    <t>1.676301534764178</t>
  </si>
  <si>
    <t>0.18581857323796333</t>
  </si>
  <si>
    <t>-0.04616030836464263</t>
  </si>
  <si>
    <t>-0.21671390684172176</t>
  </si>
  <si>
    <t>-0.2191858663572379</t>
  </si>
  <si>
    <t>-1.4141414205061082</t>
  </si>
  <si>
    <t>0.25683561683834366</t>
  </si>
  <si>
    <t>-0.5978215553104119</t>
  </si>
  <si>
    <t>0.05809472894487501</t>
  </si>
  <si>
    <t>2.70150433450529</t>
  </si>
  <si>
    <t>0.7521718914552692</t>
  </si>
  <si>
    <t>-0.11603309970626882</t>
  </si>
  <si>
    <t>-0.358314673940653</t>
  </si>
  <si>
    <t>0.04328736625145891</t>
  </si>
  <si>
    <t>0.25801610402349867</t>
  </si>
  <si>
    <t>0.04101837549681544</t>
  </si>
  <si>
    <t>1.2814651852702783</t>
  </si>
  <si>
    <t>0.12375945147659391</t>
  </si>
  <si>
    <t>0.123501963382948</t>
  </si>
  <si>
    <t>-1.050937671710719</t>
  </si>
  <si>
    <t>0.8929915793655505</t>
  </si>
  <si>
    <t>-0.11352239265926876</t>
  </si>
  <si>
    <t>1.1548670175175368</t>
  </si>
  <si>
    <t>0.2490001784645282</t>
  </si>
  <si>
    <t>0.4671664833091764</t>
  </si>
  <si>
    <t>0.5516317384562139</t>
  </si>
  <si>
    <t>0.0582285468058351</t>
  </si>
  <si>
    <t>-1.5156702842639607</t>
  </si>
  <si>
    <t>0.3145433090328765</t>
  </si>
  <si>
    <t>0.9168956268385611</t>
  </si>
  <si>
    <t>0.29224186553507103</t>
  </si>
  <si>
    <t>-0.8153837443943046</t>
  </si>
  <si>
    <t>-0.963237642653773</t>
  </si>
  <si>
    <t>0.5298324673742321</t>
  </si>
  <si>
    <t>-0.7254703401028296</t>
  </si>
  <si>
    <t>0.2191990904030683</t>
  </si>
  <si>
    <t>-0.1500575791119951</t>
  </si>
  <si>
    <t>-0.13072197245103406</t>
  </si>
  <si>
    <t>-0.026536933895393338</t>
  </si>
  <si>
    <t>0.1593777608341111</t>
  </si>
  <si>
    <t>0.230338981085054</t>
  </si>
  <si>
    <t>-0.9111678858446638</t>
  </si>
  <si>
    <t>0.006360548775638488</t>
  </si>
  <si>
    <t>0.09459766092494946</t>
  </si>
  <si>
    <t>0.5617802631829498</t>
  </si>
  <si>
    <t>-2.188829087060203</t>
  </si>
  <si>
    <t>1.46594886547893</t>
  </si>
  <si>
    <t>-0.3801859536604266</t>
  </si>
  <si>
    <t>2.043305497755388</t>
  </si>
  <si>
    <t>-0.351313531815897</t>
  </si>
  <si>
    <t>0.14972269756474402</t>
  </si>
  <si>
    <t>0.11308746490844095</t>
  </si>
  <si>
    <t>-0.48314516751219994</t>
  </si>
  <si>
    <t>0.2866471581839619</t>
  </si>
  <si>
    <t>0.42905941151799387</t>
  </si>
  <si>
    <t>0.5457416816077167</t>
  </si>
  <si>
    <t>0.04160043761241373</t>
  </si>
  <si>
    <t>-0.4316765553674176</t>
  </si>
  <si>
    <t>-0.9256385299249985</t>
  </si>
  <si>
    <t>0.4112830010620829</t>
  </si>
  <si>
    <t>0.21067015119134522</t>
  </si>
  <si>
    <t>-0.17508947971477767</t>
  </si>
  <si>
    <t>-0.5707582328531242</t>
  </si>
  <si>
    <t>0.5650740935378366</t>
  </si>
  <si>
    <t>-0.05946187839547937</t>
  </si>
  <si>
    <t>0.08814270718040354</t>
  </si>
  <si>
    <t>0.531686768712625</t>
  </si>
  <si>
    <t>0.486235246034314</t>
  </si>
  <si>
    <t>0.9116636398947406</t>
  </si>
  <si>
    <t>2.861654050370723</t>
  </si>
  <si>
    <t>1.1114787547009015</t>
  </si>
  <si>
    <t>-0.7294066838833327</t>
  </si>
  <si>
    <t>-0.20432779694004521</t>
  </si>
  <si>
    <t>-0.017651759556513533</t>
  </si>
  <si>
    <t>-0.14851202495722265</t>
  </si>
  <si>
    <t>-0.5414429968586739</t>
  </si>
  <si>
    <t>-0.27025360688007555</t>
  </si>
  <si>
    <t>-0.14942650065165503</t>
  </si>
  <si>
    <t>-0.6017072247817209</t>
  </si>
  <si>
    <t>-0.10760784823656291</t>
  </si>
  <si>
    <t>0.8863950389689303</t>
  </si>
  <si>
    <t>-0.48658207685960075</t>
  </si>
  <si>
    <t>-0.44427938762089475</t>
  </si>
  <si>
    <t>-0.5878891384058058</t>
  </si>
  <si>
    <t>1.2433133839158699</t>
  </si>
  <si>
    <t>0.7077206595092038</t>
  </si>
  <si>
    <t>-0.031063804460340547</t>
  </si>
  <si>
    <t>-0.005607282145001574</t>
  </si>
  <si>
    <t>0.26766134715038287</t>
  </si>
  <si>
    <t>-0.3748758062329552</t>
  </si>
  <si>
    <t>0.7488518464502888</t>
  </si>
  <si>
    <t>0.2373819650329169</t>
  </si>
  <si>
    <t>0.02930177872833331</t>
  </si>
  <si>
    <t>1.9577186830286886</t>
  </si>
  <si>
    <t>0.3684015361760087</t>
  </si>
  <si>
    <t>1.3588992211596045</t>
  </si>
  <si>
    <t>0.7224729396030471</t>
  </si>
  <si>
    <t>0.16694000028195555</t>
  </si>
  <si>
    <t>-0.16373039092739833</t>
  </si>
  <si>
    <t>0.08941712049190488</t>
  </si>
  <si>
    <t>1.1680426756840245</t>
  </si>
  <si>
    <t>-0.3381377424293486</t>
  </si>
  <si>
    <t>0.7760391221141206</t>
  </si>
  <si>
    <t>-0.047031693019949784</t>
  </si>
  <si>
    <t>-0.4655410990186415</t>
  </si>
  <si>
    <t>-0.35505453725227965</t>
  </si>
  <si>
    <t>0.2460613768832366</t>
  </si>
  <si>
    <t>-0.8319681529357318</t>
  </si>
  <si>
    <t>0.6274145732171801</t>
  </si>
  <si>
    <t>0.28551359401455517</t>
  </si>
  <si>
    <t>1.5330784020985275</t>
  </si>
  <si>
    <t>0.4033475999491643</t>
  </si>
  <si>
    <t>-0.9184463943927247</t>
  </si>
  <si>
    <t>0.8341188575310216</t>
  </si>
  <si>
    <t>-0.7568096443104856</t>
  </si>
  <si>
    <t>-0.6213652406051771</t>
  </si>
  <si>
    <t>-0.23769391309601057</t>
  </si>
  <si>
    <t>-0.19118765445442265</t>
  </si>
  <si>
    <t>-0.7872060199703047</t>
  </si>
  <si>
    <t>0.5368329058101049</t>
  </si>
  <si>
    <t>1.4137962205499468</t>
  </si>
  <si>
    <t>-0.3320298170148848</t>
  </si>
  <si>
    <t>-0.0029641286257548285</t>
  </si>
  <si>
    <t>-0.5657273313760739</t>
  </si>
  <si>
    <t>-1.0809114823580026</t>
  </si>
  <si>
    <t>-2.4255954114954346</t>
  </si>
  <si>
    <t>-1.2571190296190897</t>
  </si>
  <si>
    <t>0.32675718794158387</t>
  </si>
  <si>
    <t>-1.1159413292484506</t>
  </si>
  <si>
    <t>0.3423068768575062</t>
  </si>
  <si>
    <t>-1.6410617557961975</t>
  </si>
  <si>
    <t>1.1376252571775147</t>
  </si>
  <si>
    <t>0.369187658559252</t>
  </si>
  <si>
    <t>-0.25397864093445305</t>
  </si>
  <si>
    <t>0.6021220927525837</t>
  </si>
  <si>
    <t>-0.8728318868540812</t>
  </si>
  <si>
    <t>-1.4342872192171081</t>
  </si>
  <si>
    <t>-0.026204358636899388</t>
  </si>
  <si>
    <t>-0.4227962148263155</t>
  </si>
  <si>
    <t>1.169845558323805</t>
  </si>
  <si>
    <t>2.2320303484771604</t>
  </si>
  <si>
    <t>-0.8364356691338253</t>
  </si>
  <si>
    <t>-0.6107633837598164</t>
  </si>
  <si>
    <t>0.07105012365524739</t>
  </si>
  <si>
    <t>0.1126760415791833</t>
  </si>
  <si>
    <t>0.3593111449337054</t>
  </si>
  <si>
    <t>0.820408279528006</t>
  </si>
  <si>
    <t>0.10548729921967707</t>
  </si>
  <si>
    <t>-1.0047085744949784</t>
  </si>
  <si>
    <t>-0.22338636822832467</t>
  </si>
  <si>
    <t>-0.5974986617003356</t>
  </si>
  <si>
    <t>-0.4230973514799498</t>
  </si>
  <si>
    <t>-0.3303428443959826</t>
  </si>
  <si>
    <t>-1.5080608960111794</t>
  </si>
  <si>
    <t>0.0763238740104149</t>
  </si>
  <si>
    <t>-1.2002753683187668</t>
  </si>
  <si>
    <t>-0.5239539708561837</t>
  </si>
  <si>
    <t>0.5613593694934205</t>
  </si>
  <si>
    <t>-0.39045332884568335</t>
  </si>
  <si>
    <t>0.05283597695853004</t>
  </si>
  <si>
    <t>3.168096610534567</t>
  </si>
  <si>
    <t>-1.3506325650426585</t>
  </si>
  <si>
    <t>0.36291054849411103</t>
  </si>
  <si>
    <t>-0.12248941824035287</t>
  </si>
  <si>
    <t>-2.8179370277174143</t>
  </si>
  <si>
    <t>1.2910116543022687</t>
  </si>
  <si>
    <t>0.3264243532410444</t>
  </si>
  <si>
    <t>-0.1375113495352586</t>
  </si>
  <si>
    <t>-1.704263039324191</t>
  </si>
  <si>
    <t>-0.317259405901095</t>
  </si>
  <si>
    <t>0.43129455824462665</t>
  </si>
  <si>
    <t>0.1295463408626764</t>
  </si>
  <si>
    <t>-0.10745429834262907</t>
  </si>
  <si>
    <t>-0.45399241125848244</t>
  </si>
  <si>
    <t>-0.6086182502057399</t>
  </si>
  <si>
    <t>-1.0408847838752908</t>
  </si>
  <si>
    <t>-0.9882904249533626</t>
  </si>
  <si>
    <t>-0.6631813354015761</t>
  </si>
  <si>
    <t>0.0876640958071718</t>
  </si>
  <si>
    <t>-0.6178638406896971</t>
  </si>
  <si>
    <t>0.434323315505162</t>
  </si>
  <si>
    <t>-0.07581803239853149</t>
  </si>
  <si>
    <t>-1.0561660600046379</t>
  </si>
  <si>
    <t>-0.8465244735319886</t>
  </si>
  <si>
    <t>-0.3910240382024565</t>
  </si>
  <si>
    <t>0.5311882034136358</t>
  </si>
  <si>
    <t>-0.018819952245482344</t>
  </si>
  <si>
    <t>-0.03707173408620812</t>
  </si>
  <si>
    <t>1.468472410934624</t>
  </si>
  <si>
    <t>0.29471894064925136</t>
  </si>
  <si>
    <t>0.17137819321145525</t>
  </si>
  <si>
    <t>0.7911172450637907</t>
  </si>
  <si>
    <t>0.030826580700028184</t>
  </si>
  <si>
    <t>1.225545267224608</t>
  </si>
  <si>
    <t>-0.11938830726829919</t>
  </si>
  <si>
    <t>-1.2071936501540517</t>
  </si>
  <si>
    <t>-1.3598365943025263</t>
  </si>
  <si>
    <t>-1.1089327072840314</t>
  </si>
  <si>
    <t>-1.6388991042956942</t>
  </si>
  <si>
    <t>0.14362657449204874</t>
  </si>
  <si>
    <t>0.0580883449098548</t>
  </si>
  <si>
    <t>1.1862712188239983</t>
  </si>
  <si>
    <t>0.3267254802241678</t>
  </si>
  <si>
    <t>0.5043458684416131</t>
  </si>
  <si>
    <t>1.1002939175688775</t>
  </si>
  <si>
    <t>-0.9549142185390117</t>
  </si>
  <si>
    <t>-0.41223440854750404</t>
  </si>
  <si>
    <t>-0.05340054639037476</t>
  </si>
  <si>
    <t>0.02721066177310726</t>
  </si>
  <si>
    <t>-0.3627600739992947</t>
  </si>
  <si>
    <t>0.03966683117327431</t>
  </si>
  <si>
    <t>1.134870797139526</t>
  </si>
  <si>
    <t>2.9639794703225846</t>
  </si>
  <si>
    <t>-0.6416176811852338</t>
  </si>
  <si>
    <t>-0.2884277423027586</t>
  </si>
  <si>
    <t>0.1898658077040105</t>
  </si>
  <si>
    <t>-2.2988775437659488</t>
  </si>
  <si>
    <t>0.270853906205227</t>
  </si>
  <si>
    <t>-0.09525482253004788</t>
  </si>
  <si>
    <t>-0.5234473099042181</t>
  </si>
  <si>
    <t>-0.5940253041835758</t>
  </si>
  <si>
    <t>-0.45461885160051385</t>
  </si>
  <si>
    <t>0.24692819407241512</t>
  </si>
  <si>
    <t>-0.27156124701638074</t>
  </si>
  <si>
    <t>0.987842382632519</t>
  </si>
  <si>
    <t>1.215456655463774</t>
  </si>
  <si>
    <t>0.5424034638328274</t>
  </si>
  <si>
    <t>-1.2760686504556933</t>
  </si>
  <si>
    <t>-0.24917499044881147</t>
  </si>
  <si>
    <t>2.410156628813039</t>
  </si>
  <si>
    <t>-0.5556136372884606</t>
  </si>
  <si>
    <t>-0.19612807856786563</t>
  </si>
  <si>
    <t>-0.10193804335191743</t>
  </si>
  <si>
    <t>0.087532682260537</t>
  </si>
  <si>
    <t>1.6036156564731432</t>
  </si>
  <si>
    <t>1.5920681603777815</t>
  </si>
  <si>
    <t>-0.23814179816875283</t>
  </si>
  <si>
    <t>1.4303187502804673</t>
  </si>
  <si>
    <t>-0.858301880510413</t>
  </si>
  <si>
    <t>-1.3737566361120954</t>
  </si>
  <si>
    <t>-0.6120887017280409</t>
  </si>
  <si>
    <t>-0.3027871786018243</t>
  </si>
  <si>
    <t>-0.0661995843894262</t>
  </si>
  <si>
    <t>0.5844060665515934</t>
  </si>
  <si>
    <t>0.23252012264619026</t>
  </si>
  <si>
    <t>-0.3823855567759409</t>
  </si>
  <si>
    <t>-0.3254958920769366</t>
  </si>
  <si>
    <t>1.1231218124148585</t>
  </si>
  <si>
    <t>-1.6837918082839491</t>
  </si>
  <si>
    <t>0.1984048357864754</t>
  </si>
  <si>
    <t>-0.8188904161716922</t>
  </si>
  <si>
    <t>0.3297040563337516</t>
  </si>
  <si>
    <t>0.6237383718835398</t>
  </si>
  <si>
    <t>-1.2370517888980623</t>
  </si>
  <si>
    <t>0.5230673361966772</t>
  </si>
  <si>
    <t>0.24627628624956208</t>
  </si>
  <si>
    <t>1.5543974693410463</t>
  </si>
  <si>
    <t>-0.30818065565113645</t>
  </si>
  <si>
    <t>-0.14705801812034602</t>
  </si>
  <si>
    <t>-1.175968649639871</t>
  </si>
  <si>
    <t>-0.30346109755666234</t>
  </si>
  <si>
    <t>1.7127037639813618</t>
  </si>
  <si>
    <t>-0.34767827097326653</t>
  </si>
  <si>
    <t>-0.0655129455629693</t>
  </si>
  <si>
    <t>-0.8795745485171589</t>
  </si>
  <si>
    <t>-0.31250534740480496</t>
  </si>
  <si>
    <t>0.14014824442504242</t>
  </si>
  <si>
    <t>0.8116411814903939</t>
  </si>
  <si>
    <t>-2.5562076286503976</t>
  </si>
  <si>
    <t>1.3003253736118978</t>
  </si>
  <si>
    <t>-0.6902287263190522</t>
  </si>
  <si>
    <t>-1.0158381907695575</t>
  </si>
  <si>
    <t>-0.029445813205982035</t>
  </si>
  <si>
    <t>0.4378243075198449</t>
  </si>
  <si>
    <t>0.00957201315353083</t>
  </si>
  <si>
    <t>0.0392977824168534</t>
  </si>
  <si>
    <t>0.20850076836864925</t>
  </si>
  <si>
    <t>0.9111432338363287</t>
  </si>
  <si>
    <t>-0.5083070821829928</t>
  </si>
  <si>
    <t>-1.322579489148451</t>
  </si>
  <si>
    <t>-0.03252488694062176</t>
  </si>
  <si>
    <t>0.5885285592448138</t>
  </si>
  <si>
    <t>-0.43823132176355784</t>
  </si>
  <si>
    <t>-0.19265991473318825</t>
  </si>
  <si>
    <t>0.18515341155756718</t>
  </si>
  <si>
    <t>-0.5793427313840018</t>
  </si>
  <si>
    <t>0.5296555720641292</t>
  </si>
  <si>
    <t>1.6201688710191091</t>
  </si>
  <si>
    <t>-0.9782202827089989</t>
  </si>
  <si>
    <t>0.8662802244922797</t>
  </si>
  <si>
    <t>-0.2921236356276082</t>
  </si>
  <si>
    <t>0.017812166654608122</t>
  </si>
  <si>
    <t>0.9953668258548747</t>
  </si>
  <si>
    <t>-0.1176675026704567</t>
  </si>
  <si>
    <t>0.37074166902626843</t>
  </si>
  <si>
    <t>0.4346017577343804</t>
  </si>
  <si>
    <t>-0.2886467816485493</t>
  </si>
  <si>
    <t>-0.40475510939300363</t>
  </si>
  <si>
    <t>1.168790120719271</t>
  </si>
  <si>
    <t>0.5948833272840032</t>
  </si>
  <si>
    <t>-0.7940510171773686</t>
  </si>
  <si>
    <t>-0.6952841104259493</t>
  </si>
  <si>
    <t>-2.019405175598574</t>
  </si>
  <si>
    <t>2.1793365240244817</t>
  </si>
  <si>
    <t>0.06465480992123254</t>
  </si>
  <si>
    <t>1.4428130755830895</t>
  </si>
  <si>
    <t>0.9083599763070493</t>
  </si>
  <si>
    <t>-0.15955013218332278</t>
  </si>
  <si>
    <t>0.9067640042127286</t>
  </si>
  <si>
    <t>-0.08850922864099944</t>
  </si>
  <si>
    <t>-0.025915734881984023</t>
  </si>
  <si>
    <t>0.5956050765246006</t>
  </si>
  <si>
    <t>0.19201015420497594</t>
  </si>
  <si>
    <t>0.34303980228107755</t>
  </si>
  <si>
    <t>0.1342510763058769</t>
  </si>
  <si>
    <t>1.0533609715494452</t>
  </si>
  <si>
    <t>-0.6735994664243816</t>
  </si>
  <si>
    <t>-1.0930214862761936</t>
  </si>
  <si>
    <t>0.5238016477286627</t>
  </si>
  <si>
    <t>-0.5098673523215024</t>
  </si>
  <si>
    <t>0.015310046024842679</t>
  </si>
  <si>
    <t>1.0560459780283242</t>
  </si>
  <si>
    <t>-0.21959549557070257</t>
  </si>
  <si>
    <t>-1.5281842748945387</t>
  </si>
  <si>
    <t>2.176739511721652</t>
  </si>
  <si>
    <t>0.364978531402206</t>
  </si>
  <si>
    <t>-0.1079090271872432</t>
  </si>
  <si>
    <t>-0.43851536746167785</t>
  </si>
  <si>
    <t>-0.5657572886889817</t>
  </si>
  <si>
    <t>0.5196753260685285</t>
  </si>
  <si>
    <t>-0.21116136283904155</t>
  </si>
  <si>
    <t>1.0347770945646426</t>
  </si>
  <si>
    <t>-0.7012718668673863</t>
  </si>
  <si>
    <t>-0.7404355442191028</t>
  </si>
  <si>
    <t>0.3257094211211223</t>
  </si>
  <si>
    <t>0.0953656636508652</t>
  </si>
  <si>
    <t>0.12874231408707032</t>
  </si>
  <si>
    <t>-0.14356803775820687</t>
  </si>
  <si>
    <t>0.15511714200051763</t>
  </si>
  <si>
    <t>-0.7499024841347232</t>
  </si>
  <si>
    <t>0.17121570362719754</t>
  </si>
  <si>
    <t>0.7558793944673641</t>
  </si>
  <si>
    <t>-1.2399153545193922</t>
  </si>
  <si>
    <t>0.41087066050605753</t>
  </si>
  <si>
    <t>-0.6062664150725371</t>
  </si>
  <si>
    <t>0.5063152315207682</t>
  </si>
  <si>
    <t>-0.6766462923629568</t>
  </si>
  <si>
    <t>-0.6195603908103285</t>
  </si>
  <si>
    <t>-2.5712880443703274</t>
  </si>
  <si>
    <t>0.6331086823818836</t>
  </si>
  <si>
    <t>-0.3947392655024314</t>
  </si>
  <si>
    <t>1.3661864242914865</t>
  </si>
  <si>
    <t>0.19140994222434413</t>
  </si>
  <si>
    <t>0.41231986618686906</t>
  </si>
  <si>
    <t>-0.1386631392299411</t>
  </si>
  <si>
    <t>-1.1306770667393578</t>
  </si>
  <si>
    <t>-0.058498173995674245</t>
  </si>
  <si>
    <t>-1.1758780008742025</t>
  </si>
  <si>
    <t>-0.63999208606217</t>
  </si>
  <si>
    <t>0.7527945199166549</t>
  </si>
  <si>
    <t>-0.9631118242261493</t>
  </si>
  <si>
    <t>-0.22911113273076975</t>
  </si>
  <si>
    <t>-0.5156200690863656</t>
  </si>
  <si>
    <t>-0.13390295577498162</t>
  </si>
  <si>
    <t>-0.7965460788620343</t>
  </si>
  <si>
    <t>0.04428981523373091</t>
  </si>
  <si>
    <t>0.31295905132374596</t>
  </si>
  <si>
    <t>0.14081275289806866</t>
  </si>
  <si>
    <t>0.1414690176665159</t>
  </si>
  <si>
    <t>0.060088036803171076</t>
  </si>
  <si>
    <t>-0.15998005850610125</t>
  </si>
  <si>
    <t>-0.13719126289390435</t>
  </si>
  <si>
    <t>0.7866922614841042</t>
  </si>
  <si>
    <t>0.3983670360200238</t>
  </si>
  <si>
    <t>-0.14213664905733678</t>
  </si>
  <si>
    <t>0.25915614941862647</t>
  </si>
  <si>
    <t>0.05532216562515377</t>
  </si>
  <si>
    <t>0.7792945103180798</t>
  </si>
  <si>
    <t>-0.47654195643837527</t>
  </si>
  <si>
    <t>1.07007505588588</t>
  </si>
  <si>
    <t>-2.272281835425073</t>
  </si>
  <si>
    <t>-1.5662662843798658</t>
  </si>
  <si>
    <t>-0.28140077825739285</t>
  </si>
  <si>
    <t>0.634763587526845</t>
  </si>
  <si>
    <t>-2.738635332251222</t>
  </si>
  <si>
    <t>-0.3570365160067416</t>
  </si>
  <si>
    <t>-0.0365220720319579</t>
  </si>
  <si>
    <t>0.8621300234536311</t>
  </si>
  <si>
    <t>-0.3649735458940338</t>
  </si>
  <si>
    <t>-1.595724225898494</t>
  </si>
  <si>
    <t>0.09590293357206967</t>
  </si>
  <si>
    <t>-1.6844660098743571</t>
  </si>
  <si>
    <t>2.5852704884408557</t>
  </si>
  <si>
    <t>-0.16142756350326118</t>
  </si>
  <si>
    <t>-0.7637635892471575</t>
  </si>
  <si>
    <t>-1.00794891632313</t>
  </si>
  <si>
    <t>1.6939836555486274</t>
  </si>
  <si>
    <t>-1.0533454622744287</t>
  </si>
  <si>
    <t>-0.49207383093238277</t>
  </si>
  <si>
    <t>2.308763963244671</t>
  </si>
  <si>
    <t>-0.5353375062667001</t>
  </si>
  <si>
    <t>1.855740444087262</t>
  </si>
  <si>
    <t>2.353807022907645</t>
  </si>
  <si>
    <t>-1.1700860365739434</t>
  </si>
  <si>
    <t>-0.7035754268554529</t>
  </si>
  <si>
    <t>-0.043576610369454594</t>
  </si>
  <si>
    <t>-0.516698000079071</t>
  </si>
  <si>
    <t>-0.4231084004694636</t>
  </si>
  <si>
    <t>2.1403679773640487</t>
  </si>
  <si>
    <t>0.8515110233064329</t>
  </si>
  <si>
    <t>0.4767668065017785</t>
  </si>
  <si>
    <t>0.23491560016019017</t>
  </si>
  <si>
    <t>-0.05194784731454879</t>
  </si>
  <si>
    <t>0.7692519040185364</t>
  </si>
  <si>
    <t>0.12599186086243888</t>
  </si>
  <si>
    <t>-0.2962716691914642</t>
  </si>
  <si>
    <t>-1.5547293783684157</t>
  </si>
  <si>
    <t>0.34940250329154043</t>
  </si>
  <si>
    <t>-0.3098917713882052</t>
  </si>
  <si>
    <t>-1.8214843679420598</t>
  </si>
  <si>
    <t>-0.1433367406717333</t>
  </si>
  <si>
    <t>1.7652311834071857</t>
  </si>
  <si>
    <t>-1.7809243337922747</t>
  </si>
  <si>
    <t>1.6369412545943165</t>
  </si>
  <si>
    <t>0.2302489186273271</t>
  </si>
  <si>
    <t>0.510909477450442</t>
  </si>
  <si>
    <t>0.5458370881299949</t>
  </si>
  <si>
    <t>0.46562223156508264</t>
  </si>
  <si>
    <t>0.06655950252947741</t>
  </si>
  <si>
    <t>-0.08294140613060379</t>
  </si>
  <si>
    <t>0.07234794085878705</t>
  </si>
  <si>
    <t>-0.8275934318250774</t>
  </si>
  <si>
    <t>0.18066769402183228</t>
  </si>
  <si>
    <t>-0.1855159301006196</t>
  </si>
  <si>
    <t>-0.11738814095760056</t>
  </si>
  <si>
    <t>-0.11737379543341513</t>
  </si>
  <si>
    <t>0.8189337320423873</t>
  </si>
  <si>
    <t>-0.9974136468085445</t>
  </si>
  <si>
    <t>0.4570418668359074</t>
  </si>
  <si>
    <t>0.6851709836283307</t>
  </si>
  <si>
    <t>-4.6746868351194575</t>
  </si>
  <si>
    <t>2.6691049009537524</t>
  </si>
  <si>
    <t>-0.003958109205209123</t>
  </si>
  <si>
    <t>-1.1037747443582893</t>
  </si>
  <si>
    <t>-0.0018873884237873945</t>
  </si>
  <si>
    <t>0.32514863771110697</t>
  </si>
  <si>
    <t>0.03509881409189377</t>
  </si>
  <si>
    <t>-0.4352107494693235</t>
  </si>
  <si>
    <t>-0.672969243184884</t>
  </si>
  <si>
    <t>-1.96819277329172</t>
  </si>
  <si>
    <t>-0.8623252667649448</t>
  </si>
  <si>
    <t>1.5328120813145276</t>
  </si>
  <si>
    <t>-1.954224106609643</t>
  </si>
  <si>
    <t>0.2651592600789869</t>
  </si>
  <si>
    <t>-2.5397103566748815</t>
  </si>
  <si>
    <t>0.0675867269454508</t>
  </si>
  <si>
    <t>-0.6587752911711596</t>
  </si>
  <si>
    <t>-1.2237768120489312</t>
  </si>
  <si>
    <t>-0.009372420916961294</t>
  </si>
  <si>
    <t>0.11395757333718441</t>
  </si>
  <si>
    <t>1.0163413736207776</t>
  </si>
  <si>
    <t>-0.6234087614208988</t>
  </si>
  <si>
    <t>0.9416497518771801</t>
  </si>
  <si>
    <t>1.1475513892644302</t>
  </si>
  <si>
    <t>-1.74242110830485</t>
  </si>
  <si>
    <t>-0.36819691645679187</t>
  </si>
  <si>
    <t>-1.0236008705983357</t>
  </si>
  <si>
    <t>0.40301727187927205</t>
  </si>
  <si>
    <t>-3.572507897153965</t>
  </si>
  <si>
    <t>-1.499577584139914</t>
  </si>
  <si>
    <t>1.2887239354868754</t>
  </si>
  <si>
    <t>-0.25200172248835506</t>
  </si>
  <si>
    <t>-0.9959066977297593</t>
  </si>
  <si>
    <t>-1.4057900700430164</t>
  </si>
  <si>
    <t>-0.9845696889177814</t>
  </si>
  <si>
    <t>0.3651820425981482</t>
  </si>
  <si>
    <t>1.0657739572073952</t>
  </si>
  <si>
    <t>2.095890123167205</t>
  </si>
  <si>
    <t>0.3698651543526533</t>
  </si>
  <si>
    <t>1.606340219493484</t>
  </si>
  <si>
    <t>0.5151067682968725</t>
  </si>
  <si>
    <t>-2.4103751811813687</t>
  </si>
  <si>
    <t>0.2780840176682197</t>
  </si>
  <si>
    <t>2.5549356273844808</t>
  </si>
  <si>
    <t>-1.2377428140018512</t>
  </si>
  <si>
    <t>0.8626759239544881</t>
  </si>
  <si>
    <t>-0.965552194424051</t>
  </si>
  <si>
    <t>0.23912322344643452</t>
  </si>
  <si>
    <t>-0.20203663829044433</t>
  </si>
  <si>
    <t>0.6351626174127117</t>
  </si>
  <si>
    <t>0.26514220472714545</t>
  </si>
  <si>
    <t>-0.4073364612554599</t>
  </si>
  <si>
    <t>-1.7071377739123752</t>
  </si>
  <si>
    <t>0.26077899298440665</t>
  </si>
  <si>
    <t>-0.5499817185363475</t>
  </si>
  <si>
    <t>-0.41717466403734405</t>
  </si>
  <si>
    <t>-0.25500154621966087</t>
  </si>
  <si>
    <t>-1.2774888540037763</t>
  </si>
  <si>
    <t>1.699486880781436</t>
  </si>
  <si>
    <t>1.8427736067076075</t>
  </si>
  <si>
    <t>1.313135456370552</t>
  </si>
  <si>
    <t>2.9172364796457946</t>
  </si>
  <si>
    <t>-0.11478317695884063</t>
  </si>
  <si>
    <t>-0.6745500869367244</t>
  </si>
  <si>
    <t>-2.2326216236884795</t>
  </si>
  <si>
    <t>-0.14027234837142089</t>
  </si>
  <si>
    <t>-0.1984064121954096</t>
  </si>
  <si>
    <t>1.2056965848629437</t>
  </si>
  <si>
    <t>-0.7118876989623636</t>
  </si>
  <si>
    <t>0.33740165938262195</t>
  </si>
  <si>
    <t>-0.07791554875824683</t>
  </si>
  <si>
    <t>0.19454569807271</t>
  </si>
  <si>
    <t>-0.48809882694951634</t>
  </si>
  <si>
    <t>-0.6766185316662024</t>
  </si>
  <si>
    <t>0.15122079026274238</t>
  </si>
  <si>
    <t>-2.002697674767928</t>
  </si>
  <si>
    <t>-0.560765102721145</t>
  </si>
  <si>
    <t>1.6976235417115852</t>
  </si>
  <si>
    <t>0.7354992126954412</t>
  </si>
  <si>
    <t>0.11343178264995414</t>
  </si>
  <si>
    <t>0.4016720450016188</t>
  </si>
  <si>
    <t>0.17973412746087122</t>
  </si>
  <si>
    <t>-0.21155559029669038</t>
  </si>
  <si>
    <t>-0.34528178480876714</t>
  </si>
  <si>
    <t>-0.2145879319685605</t>
  </si>
  <si>
    <t>0.6132921128661878</t>
  </si>
  <si>
    <t>-0.24512155691966073</t>
  </si>
  <si>
    <t>0.24388418799788658</t>
  </si>
  <si>
    <t>-1.0332513525092926</t>
  </si>
  <si>
    <t>0.814892375677479</t>
  </si>
  <si>
    <t>0.5668291624571972</t>
  </si>
  <si>
    <t>0.46290978052239856</t>
  </si>
  <si>
    <t>0.66430043306254</t>
  </si>
  <si>
    <t>-1.907068740069912</t>
  </si>
  <si>
    <t>0.5052054083083384</t>
  </si>
  <si>
    <t>-1.1120429827979812</t>
  </si>
  <si>
    <t>-0.36587389921981783</t>
  </si>
  <si>
    <t>-0.448699660863012</t>
  </si>
  <si>
    <t>-1.4679221444916233</t>
  </si>
  <si>
    <t>1.111655727654623</t>
  </si>
  <si>
    <t>-0.5140886617814298</t>
  </si>
  <si>
    <t>0.13683972642709852</t>
  </si>
  <si>
    <t>0.36161264693348616</t>
  </si>
  <si>
    <t>-0.5204988399575582</t>
  </si>
  <si>
    <t>-0.9612228547087925</t>
  </si>
  <si>
    <t>1.110154578849702</t>
  </si>
  <si>
    <t>-1.6177205437219926</t>
  </si>
  <si>
    <t>-0.8444805799424692</t>
  </si>
  <si>
    <t>-2.762475475571969</t>
  </si>
  <si>
    <t>1.5721986066021911</t>
  </si>
  <si>
    <t>-0.3825179615514186</t>
  </si>
  <si>
    <t>3.8507644090825006</t>
  </si>
  <si>
    <t>-0.12395707076869242</t>
  </si>
  <si>
    <t>-0.43759679816884695</t>
  </si>
  <si>
    <t>-0.203830220619924</t>
  </si>
  <si>
    <t>-0.043990171211911226</t>
  </si>
  <si>
    <t>-1.2044980451829563</t>
  </si>
  <si>
    <t>-1.180619353239167</t>
  </si>
  <si>
    <t>0.43459644565394817</t>
  </si>
  <si>
    <t>-0.4819098483089448</t>
  </si>
  <si>
    <t>-0.593536944286699</t>
  </si>
  <si>
    <t>-0.07959014424708116</t>
  </si>
  <si>
    <t>-1.0061229346728688</t>
  </si>
  <si>
    <t>0.4850444416899697</t>
  </si>
  <si>
    <t>-0.5694411035918089</t>
  </si>
  <si>
    <t>0.10986049215501434</t>
  </si>
  <si>
    <t>-1.5974349049520147</t>
  </si>
  <si>
    <t>0.37960670665518215</t>
  </si>
  <si>
    <t>-1.6760435521710424</t>
  </si>
  <si>
    <t>1.8312357114666145</t>
  </si>
  <si>
    <t>0.7349271588242635</t>
  </si>
  <si>
    <t>-1.0764894505216962</t>
  </si>
  <si>
    <t>1.460482041072541</t>
  </si>
  <si>
    <t>-0.8938499757334842</t>
  </si>
  <si>
    <t>-0.6326297523937031</t>
  </si>
  <si>
    <t>-1.2778892090095415</t>
  </si>
  <si>
    <t>0.12451569400423064</t>
  </si>
  <si>
    <t>-1.6645930765787385</t>
  </si>
  <si>
    <t>-1.416741152437923</t>
  </si>
  <si>
    <t>-1.2347304065896234</t>
  </si>
  <si>
    <t>0.2076833661872876</t>
  </si>
  <si>
    <t>1.3832906770361701</t>
  </si>
  <si>
    <t>0.7087176960589134</t>
  </si>
  <si>
    <t>-1.1453804802510503</t>
  </si>
  <si>
    <t>0.6682330408612244</t>
  </si>
  <si>
    <t>-0.5062100924369356</t>
  </si>
  <si>
    <t>-0.702944029934144</t>
  </si>
  <si>
    <t>-1.6583627715337144</t>
  </si>
  <si>
    <t>-0.5475899450281068</t>
  </si>
  <si>
    <t>-0.32885148797749963</t>
  </si>
  <si>
    <t>0.028639653366678966</t>
  </si>
  <si>
    <t>-1.0129848602235592</t>
  </si>
  <si>
    <t>1.8604845558043241</t>
  </si>
  <si>
    <t>-1.0213195259762573</t>
  </si>
  <si>
    <t>0.6725875093332379</t>
  </si>
  <si>
    <t>-1.0919082463826288</t>
  </si>
  <si>
    <t>-0.6236750826918923</t>
  </si>
  <si>
    <t>-0.22675441047786354</t>
  </si>
  <si>
    <t>-0.4601872115176909</t>
  </si>
  <si>
    <t>-1.9015702970981523</t>
  </si>
  <si>
    <t>0.921801948232436</t>
  </si>
  <si>
    <t>-0.8876248378990682</t>
  </si>
  <si>
    <t>-0.6509185400090396</t>
  </si>
  <si>
    <t>-1.0362508222959623</t>
  </si>
  <si>
    <t>1.0550735824518682</t>
  </si>
  <si>
    <t>-2.1339041264267262</t>
  </si>
  <si>
    <t>-4.044104209907803</t>
  </si>
  <si>
    <t>-2.6715798127479755</t>
  </si>
  <si>
    <t>3.4183096798616672</t>
  </si>
  <si>
    <t>-2.3122289520604995</t>
  </si>
  <si>
    <t>5.18409114004433</t>
  </si>
  <si>
    <t>2.2830928779389135</t>
  </si>
  <si>
    <t>-2.1415244329861425</t>
  </si>
  <si>
    <t>-1.2969770590825898</t>
  </si>
  <si>
    <t>-1.5187057567065263</t>
  </si>
  <si>
    <t>-1.4376002865574073</t>
  </si>
  <si>
    <t>-1.9658307326739375</t>
  </si>
  <si>
    <t>1.279199492627835</t>
  </si>
  <si>
    <t>3.2851954187052543</t>
  </si>
  <si>
    <t>0.7196169062757714</t>
  </si>
  <si>
    <t>0.5225221505402714</t>
  </si>
  <si>
    <t>-1.3454034684623706</t>
  </si>
  <si>
    <t>0.7614013144277066</t>
  </si>
  <si>
    <t>1.2884005249588022</t>
  </si>
  <si>
    <t>0.8225261269615989</t>
  </si>
  <si>
    <t>0.026345440613343086</t>
  </si>
  <si>
    <t>1.0629563205661516</t>
  </si>
  <si>
    <t>-0.8665870089065476</t>
  </si>
  <si>
    <t>-0.3960503321458272</t>
  </si>
  <si>
    <t>0.9182648732501562</t>
  </si>
  <si>
    <t>-2.1275417649084694</t>
  </si>
  <si>
    <t>0.2040680932275542</t>
  </si>
  <si>
    <t>0.7286598353758942</t>
  </si>
  <si>
    <t>-0.48345606870423885</t>
  </si>
  <si>
    <t>-1.4245077324611333</t>
  </si>
  <si>
    <t>0.4593956694550983</t>
  </si>
  <si>
    <t>-0.5302545858065426</t>
  </si>
  <si>
    <t>-0.11763067134835777</t>
  </si>
  <si>
    <t>-3.186750769436974</t>
  </si>
  <si>
    <t>-0.5304797271648368</t>
  </si>
  <si>
    <t>1.625594941180048</t>
  </si>
  <si>
    <t>-0.26305297056377974</t>
  </si>
  <si>
    <t>0.49813668408493467</t>
  </si>
  <si>
    <t>2.406949576667041</t>
  </si>
  <si>
    <t>-0.025529057023641312</t>
  </si>
  <si>
    <t>0.033011328142856726</t>
  </si>
  <si>
    <t>-0.3369194834199301</t>
  </si>
  <si>
    <t>-0.8667728578135383</t>
  </si>
  <si>
    <t>-0.9922929091413106</t>
  </si>
  <si>
    <t>-0.6852443555638914</t>
  </si>
  <si>
    <t>-1.643477159717003</t>
  </si>
  <si>
    <t>0.3633153627413924</t>
  </si>
  <si>
    <t>1.327411103480129</t>
  </si>
  <si>
    <t>-2.732788104553208</t>
  </si>
  <si>
    <t>-0.08930115638640715</t>
  </si>
  <si>
    <t>2.304905162304329</t>
  </si>
  <si>
    <t>1.5498408156848913</t>
  </si>
  <si>
    <t>4.303356744381251</t>
  </si>
  <si>
    <t>-2.5651549037285815</t>
  </si>
  <si>
    <t>1.1079499029033268</t>
  </si>
  <si>
    <t>-0.4732705561442468</t>
  </si>
  <si>
    <t>1.1437786367899567</t>
  </si>
  <si>
    <t>0.7593702209796344</t>
  </si>
  <si>
    <t>-0.1325490932963473</t>
  </si>
  <si>
    <t>-2.1866834171544394</t>
  </si>
  <si>
    <t>-0.9846580428316172</t>
  </si>
  <si>
    <t>1.2595060527308066</t>
  </si>
  <si>
    <t>-0.1280201557748096</t>
  </si>
  <si>
    <t>-1.889697112133444</t>
  </si>
  <si>
    <t>0.21849604713228066</t>
  </si>
  <si>
    <t>-0.045922519798889866</t>
  </si>
  <si>
    <t>0.22423233569811404</t>
  </si>
  <si>
    <t>-1.4974723784709005</t>
  </si>
  <si>
    <t>0.8505472214600711</t>
  </si>
  <si>
    <t>0.23584158867309626</t>
  </si>
  <si>
    <t>-0.6020183158041829</t>
  </si>
  <si>
    <t>0.6542679444257627</t>
  </si>
  <si>
    <t>1.427414500698378</t>
  </si>
  <si>
    <t>3.14958878265635</t>
  </si>
  <si>
    <t>2.785777844727479</t>
  </si>
  <si>
    <t>0.835224383668886</t>
  </si>
  <si>
    <t>2.6755790152309666</t>
  </si>
  <si>
    <t>-1.428587081254986</t>
  </si>
  <si>
    <t>-0.3019478863192308</t>
  </si>
  <si>
    <t>-3.8442035011335713</t>
  </si>
  <si>
    <t>-0.9074367666838781</t>
  </si>
  <si>
    <t>1.3666104035960724</t>
  </si>
  <si>
    <t>1.1146195814482867</t>
  </si>
  <si>
    <t>-0.881667247832788</t>
  </si>
  <si>
    <t>1.210897903552322</t>
  </si>
  <si>
    <t>0.889257311719835</t>
  </si>
  <si>
    <t>-0.08801739765307155</t>
  </si>
  <si>
    <t>-2.2322712256991903</t>
  </si>
  <si>
    <t>-0.17577526345934247</t>
  </si>
  <si>
    <t>-0.23184917155105172</t>
  </si>
  <si>
    <t>2.598401163252325</t>
  </si>
  <si>
    <t>-1.5977343179151426</t>
  </si>
  <si>
    <t>-0.8948237726592349</t>
  </si>
  <si>
    <t>0.527022759350106</t>
  </si>
  <si>
    <t>-0.9341247605621301</t>
  </si>
  <si>
    <t>-0.09147642892644467</t>
  </si>
  <si>
    <t>1.5356431544494744</t>
  </si>
  <si>
    <t>-0.295101498349702</t>
  </si>
  <si>
    <t>4.91021931803637</t>
  </si>
  <si>
    <t>0.5987767585554681</t>
  </si>
  <si>
    <t>-1.5224373012913432</t>
  </si>
  <si>
    <t>-1.4940998503889538</t>
  </si>
  <si>
    <t>1.353956717474458</t>
  </si>
  <si>
    <t>-0.7405970459053545</t>
  </si>
  <si>
    <t>-0.6788191580721308</t>
  </si>
  <si>
    <t>1.9408976329006893</t>
  </si>
  <si>
    <t>1.8881154756304341</t>
  </si>
  <si>
    <t>-0.8704682046953354</t>
  </si>
  <si>
    <t>-0.5558046089639688</t>
  </si>
  <si>
    <t>-0.31671078141923764</t>
  </si>
  <si>
    <t>0.7420786881328121</t>
  </si>
  <si>
    <t>0.17574996317167593</t>
  </si>
  <si>
    <t>0.33162014912878496</t>
  </si>
  <si>
    <t>0.1078909876665779</t>
  </si>
  <si>
    <t>-0.12159774623385076</t>
  </si>
  <si>
    <t>-1.4988830688384922</t>
  </si>
  <si>
    <t>-1.1981913026546969</t>
  </si>
  <si>
    <t>0.19348816760582666</t>
  </si>
  <si>
    <t>1.2902428589346409</t>
  </si>
  <si>
    <t>1.4031356471982266</t>
  </si>
  <si>
    <t>1.3941910964132123</t>
  </si>
  <si>
    <t>-0.896353313725459</t>
  </si>
  <si>
    <t>0.9145834365103473</t>
  </si>
  <si>
    <t>1.174132325144699</t>
  </si>
  <si>
    <t>-1.9000362538137867</t>
  </si>
  <si>
    <t>-0.33562860677979495</t>
  </si>
  <si>
    <t>-0.17566269763120468</t>
  </si>
  <si>
    <t>1.5754323242271433</t>
  </si>
  <si>
    <t>0.630307647727373</t>
  </si>
  <si>
    <t>-0.16049387678707946</t>
  </si>
  <si>
    <t>1.0731673592808415</t>
  </si>
  <si>
    <t>0.2141855645189708</t>
  </si>
  <si>
    <t>1.284713526061272</t>
  </si>
  <si>
    <t>-0.8203698450760569</t>
  </si>
  <si>
    <t>0.31905408498472093</t>
  </si>
  <si>
    <t>0.4912012392015654</t>
  </si>
  <si>
    <t>-0.4344066259991998</t>
  </si>
  <si>
    <t>-1.3913676379077684</t>
  </si>
  <si>
    <t>0.44752945255094395</t>
  </si>
  <si>
    <t>-2.0647681446662443</t>
  </si>
  <si>
    <t>0.48631391423459663</t>
  </si>
  <si>
    <t>-0.278492213318629</t>
  </si>
  <si>
    <t>-0.6289947781280583</t>
  </si>
  <si>
    <t>-0.8748387689867558</t>
  </si>
  <si>
    <t>0.28998626353978857</t>
  </si>
  <si>
    <t>1.3509319307138008</t>
  </si>
  <si>
    <t>-0.1761260431598302</t>
  </si>
  <si>
    <t>-0.6033431390167217</t>
  </si>
  <si>
    <t>3.3831692548361634</t>
  </si>
  <si>
    <t>0.9049246986020975</t>
  </si>
  <si>
    <t>3.051841115296301</t>
  </si>
  <si>
    <t>-0.3924510600274654</t>
  </si>
  <si>
    <t>-1.1416858486308352</t>
  </si>
  <si>
    <t>-0.27804098489546863</t>
  </si>
  <si>
    <t>-0.8384708944269735</t>
  </si>
  <si>
    <t>0.03507474317876958</t>
  </si>
  <si>
    <t>-1.9608379327290453</t>
  </si>
  <si>
    <t>1.176530606983898</t>
  </si>
  <si>
    <t>0.11139246284940559</t>
  </si>
  <si>
    <t>-0.2232074042925674</t>
  </si>
  <si>
    <t>0.18064735817219454</t>
  </si>
  <si>
    <t>-1.8508150420572462</t>
  </si>
  <si>
    <t>0.37663105393392476</t>
  </si>
  <si>
    <t>-1.7796048086330265</t>
  </si>
  <si>
    <t>-0.35614680381872865</t>
  </si>
  <si>
    <t>-0.984455866222507</t>
  </si>
  <si>
    <t>1.1310001495702728</t>
  </si>
  <si>
    <t>0.2008157315096522</t>
  </si>
  <si>
    <t>-0.4568964886340648</t>
  </si>
  <si>
    <t>0.039857229389567234</t>
  </si>
  <si>
    <t>1.4109439240793258</t>
  </si>
  <si>
    <t>0.4533665756680523</t>
  </si>
  <si>
    <t>-0.3002895586497275</t>
  </si>
  <si>
    <t>0.8912665941336021</t>
  </si>
  <si>
    <t>1.2103251919966518</t>
  </si>
  <si>
    <t>2.0277784918473216</t>
  </si>
  <si>
    <t>0.7210696110831696</t>
  </si>
  <si>
    <t>0.08786988413678186</t>
  </si>
  <si>
    <t>-0.2577034749557064</t>
  </si>
  <si>
    <t>-1.223061110045887</t>
  </si>
  <si>
    <t>0.49600340280315125</t>
  </si>
  <si>
    <t>-1.8575025487329453</t>
  </si>
  <si>
    <t>1.407310041779905</t>
  </si>
  <si>
    <t>-0.43630892455494796</t>
  </si>
  <si>
    <t>0.4894158805374395</t>
  </si>
  <si>
    <t>-0.34959135585961826</t>
  </si>
  <si>
    <t>-0.17079460067002789</t>
  </si>
  <si>
    <t>-0.15518019962063775</t>
  </si>
  <si>
    <t>0.5614233722044735</t>
  </si>
  <si>
    <t>-1.7323646662633767</t>
  </si>
  <si>
    <t>0.5446152397334345</t>
  </si>
  <si>
    <t>-1.139747352041538</t>
  </si>
  <si>
    <t>1.7332430763753408</t>
  </si>
  <si>
    <t>-0.6334121293151957</t>
  </si>
  <si>
    <t>1.0722656200144485</t>
  </si>
  <si>
    <t>0.07889824418504021</t>
  </si>
  <si>
    <t>0.3511958180686922</t>
  </si>
  <si>
    <t>-0.3691646170314375</t>
  </si>
  <si>
    <t>-1.1479828422106544</t>
  </si>
  <si>
    <t>-0.09172239520808614</t>
  </si>
  <si>
    <t>-0.13843195126412242</t>
  </si>
  <si>
    <t>-1.6954318293484976</t>
  </si>
  <si>
    <t>-0.3155455876130385</t>
  </si>
  <si>
    <t>0.785124615632243</t>
  </si>
  <si>
    <t>0.49768048498414813</t>
  </si>
  <si>
    <t>0.21940957176382528</t>
  </si>
  <si>
    <t>-0.3342535273367124</t>
  </si>
  <si>
    <t>-0.4051272564334623</t>
  </si>
  <si>
    <t>-1.020309237763789</t>
  </si>
  <si>
    <t>-0.3805639426549157</t>
  </si>
  <si>
    <t>0.23102685599813036</t>
  </si>
  <si>
    <t>1.3315351709972933</t>
  </si>
  <si>
    <t>-0.7668357207922764</t>
  </si>
  <si>
    <t>-0.22684166146760193</t>
  </si>
  <si>
    <t>-0.5199646080567774</t>
  </si>
  <si>
    <t>0.5448379036021395</t>
  </si>
  <si>
    <t>0.057915791986196785</t>
  </si>
  <si>
    <t>-0.3798085502688537</t>
  </si>
  <si>
    <t>-0.5675582679708016</t>
  </si>
  <si>
    <t>-0.09024918147982125</t>
  </si>
  <si>
    <t>0.7742145364934978</t>
  </si>
  <si>
    <t>0.7635224853490818</t>
  </si>
  <si>
    <t>0.17678355137414248</t>
  </si>
  <si>
    <t>0.2865538868467322</t>
  </si>
  <si>
    <t>0.6878906639309238</t>
  </si>
  <si>
    <t>1.5473493701762393</t>
  </si>
  <si>
    <t>1.2137878488731424</t>
  </si>
  <si>
    <t>-0.43163907978816907</t>
  </si>
  <si>
    <t>-0.7116397100503433</t>
  </si>
  <si>
    <t>-0.08336935147575544</t>
  </si>
  <si>
    <t>0.21121207481284535</t>
  </si>
  <si>
    <t>-0.6179983327045707</t>
  </si>
  <si>
    <t>-0.06658330123509715</t>
  </si>
  <si>
    <t>0.9012581091452678</t>
  </si>
  <si>
    <t>-1.0814332488774616</t>
  </si>
  <si>
    <t>-0.21161184580180367</t>
  </si>
  <si>
    <t>-0.20329413504994995</t>
  </si>
  <si>
    <t>-0.3329701763283103</t>
  </si>
  <si>
    <t>0.2757739055188134</t>
  </si>
  <si>
    <t>-0.4159653726364768</t>
  </si>
  <si>
    <t>-0.3470470689095379</t>
  </si>
  <si>
    <t>0.8720515746698024</t>
  </si>
  <si>
    <t>-1.7990207291320204</t>
  </si>
  <si>
    <t>-0.22441056646834454</t>
  </si>
  <si>
    <t>-0.7269697143003346</t>
  </si>
  <si>
    <t>-0.29390974949089677</t>
  </si>
  <si>
    <t>-0.8302498720750412</t>
  </si>
  <si>
    <t>0.09776318635024077</t>
  </si>
  <si>
    <t>-0.34724845748943917</t>
  </si>
  <si>
    <t>-1.4439931301797597</t>
  </si>
  <si>
    <t>0.8866692688156872</t>
  </si>
  <si>
    <t>-0.2287986365752713</t>
  </si>
  <si>
    <t>1.272768587986438</t>
  </si>
  <si>
    <t>1.305419483610998</t>
  </si>
  <si>
    <t>-0.6460035010902672</t>
  </si>
  <si>
    <t>0.3529306468521008</t>
  </si>
  <si>
    <t>-0.1647844394464502</t>
  </si>
  <si>
    <t>-0.3135909484035718</t>
  </si>
  <si>
    <t>0.26801964738232786</t>
  </si>
  <si>
    <t>0.31469386836037766</t>
  </si>
  <si>
    <t>-0.3923741200002608</t>
  </si>
  <si>
    <t>-0.5800241068641426</t>
  </si>
  <si>
    <t>0.02878052358855309</t>
  </si>
  <si>
    <t>0.12749064061444476</t>
  </si>
  <si>
    <t>-0.9075148936484565</t>
  </si>
  <si>
    <t>1.7352590598803193</t>
  </si>
  <si>
    <t>0.33607507321040686</t>
  </si>
  <si>
    <t>-0.7225032778018192</t>
  </si>
  <si>
    <t>-0.6814292769498242</t>
  </si>
  <si>
    <t>-0.29412230209975343</t>
  </si>
  <si>
    <t>0.5943736727158697</t>
  </si>
  <si>
    <t>-0.30426875393175</t>
  </si>
  <si>
    <t>-0.22006052492745332</t>
  </si>
  <si>
    <t>-1.299334100039607</t>
  </si>
  <si>
    <t>0.09572000720271648</t>
  </si>
  <si>
    <t>-0.6033545998451315</t>
  </si>
  <si>
    <t>-0.50447467438817</t>
  </si>
  <si>
    <t>0.5713175881055761</t>
  </si>
  <si>
    <t>0.41573303932035466</t>
  </si>
  <si>
    <t>0.22726150652399194</t>
  </si>
  <si>
    <t>-0.9569572410871455</t>
  </si>
  <si>
    <t>-0.22677364483294654</t>
  </si>
  <si>
    <t>0.824305329187685</t>
  </si>
  <si>
    <t>-0.7301440654095552</t>
  </si>
  <si>
    <t>0.02045812180461993</t>
  </si>
  <si>
    <t>-1.0052078836717226</t>
  </si>
  <si>
    <t>0.1217860135288607</t>
  </si>
  <si>
    <t>-1.9248091513636894</t>
  </si>
  <si>
    <t>0.7753893222739737</t>
  </si>
  <si>
    <t>0.9634175452775199</t>
  </si>
  <si>
    <t>-0.6291129718988926</t>
  </si>
  <si>
    <t>0.790852222797538</t>
  </si>
  <si>
    <t>-0.15925416196952347</t>
  </si>
  <si>
    <t>0.005818518607001695</t>
  </si>
  <si>
    <t>0.27239642090148136</t>
  </si>
  <si>
    <t>-0.2897561594564837</t>
  </si>
  <si>
    <t>0.5019027118807502</t>
  </si>
  <si>
    <t>-0.2556577715063166</t>
  </si>
  <si>
    <t>1.6121293665199987</t>
  </si>
  <si>
    <t>0.34264859168335027</t>
  </si>
  <si>
    <t>-0.1640554366130952</t>
  </si>
  <si>
    <t>-0.31907381032602683</t>
  </si>
  <si>
    <t>0.017851890067899993</t>
  </si>
  <si>
    <t>-1.1479384460613298</t>
  </si>
  <si>
    <t>-1.389640590293234</t>
  </si>
  <si>
    <t>-0.41952843477942225</t>
  </si>
  <si>
    <t>-0.15807394684831974</t>
  </si>
  <si>
    <t>0.7442987725344277</t>
  </si>
  <si>
    <t>0.09789340850400441</t>
  </si>
  <si>
    <t>-1.288431244637191</t>
  </si>
  <si>
    <t>-0.4593171119948398</t>
  </si>
  <si>
    <t>-0.670561903541422</t>
  </si>
  <si>
    <t>-0.7595956472248468</t>
  </si>
  <si>
    <t>0.06415528027494778</t>
  </si>
  <si>
    <t>1.8261360291615831</t>
  </si>
  <si>
    <t>-0.21061848280622128</t>
  </si>
  <si>
    <t>-2.2104962409221907</t>
  </si>
  <si>
    <t>1.4089074153264043</t>
  </si>
  <si>
    <t>1.0227493431745684</t>
  </si>
  <si>
    <t>-0.32303838575504573</t>
  </si>
  <si>
    <t>0.0361276882395817</t>
  </si>
  <si>
    <t>-0.4499237244617067</t>
  </si>
  <si>
    <t>0.7399354876914069</t>
  </si>
  <si>
    <t>-0.10489977462097463</t>
  </si>
  <si>
    <t>1.0256879763137916</t>
  </si>
  <si>
    <t>-1.1845124362122785</t>
  </si>
  <si>
    <t>-1.032247961567846</t>
  </si>
  <si>
    <t>-0.47226257241436276</t>
  </si>
  <si>
    <t>-0.25982356528277295</t>
  </si>
  <si>
    <t>1.5947792197106494</t>
  </si>
  <si>
    <t>0.8485561739023691</t>
  </si>
  <si>
    <t>0.365959652333576</t>
  </si>
  <si>
    <t>-1.0203414526166732</t>
  </si>
  <si>
    <t>-0.099574846007108</t>
  </si>
  <si>
    <t>0.43856228444638456</t>
  </si>
  <si>
    <t>-1.4220974481194542</t>
  </si>
  <si>
    <t>-1.0383106547793943</t>
  </si>
  <si>
    <t>-0.5826004816590948</t>
  </si>
  <si>
    <t>-1.4765283939760945</t>
  </si>
  <si>
    <t>0.9418247856813957</t>
  </si>
  <si>
    <t>-0.8333911441599294</t>
  </si>
  <si>
    <t>-1.659131495636565</t>
  </si>
  <si>
    <t>1.1457995671897034</t>
  </si>
  <si>
    <t>-1.0904782698031328</t>
  </si>
  <si>
    <t>0.8678418928583909</t>
  </si>
  <si>
    <t>-0.45845985757692587</t>
  </si>
  <si>
    <t>0.7482707071405091</t>
  </si>
  <si>
    <t>-2.314654321856807</t>
  </si>
  <si>
    <t>-0.9785307706795999</t>
  </si>
  <si>
    <t>-1.8425063961248238</t>
  </si>
  <si>
    <t>1.2006496263392405</t>
  </si>
  <si>
    <t>-1.835089244255432</t>
  </si>
  <si>
    <t>-1.3147950756273892</t>
  </si>
  <si>
    <t>-1.1510198298688512</t>
  </si>
  <si>
    <t>-1.859427887720377</t>
  </si>
  <si>
    <t>1.5712202504015975</t>
  </si>
  <si>
    <t>-1.363847023860691</t>
  </si>
  <si>
    <t>1.5673696859681359</t>
  </si>
  <si>
    <t>1.0456349795553521</t>
  </si>
  <si>
    <t>0.6358360997050724</t>
  </si>
  <si>
    <t>0.9019859784038535</t>
  </si>
  <si>
    <t>-0.30969746961354383</t>
  </si>
  <si>
    <t>-0.0643898656174764</t>
  </si>
  <si>
    <t>-1.96444402640586</t>
  </si>
  <si>
    <t>-0.5280500858292189</t>
  </si>
  <si>
    <t>-1.8295419104356538</t>
  </si>
  <si>
    <t>-0.05574368236296254</t>
  </si>
  <si>
    <t>-1.240667437582492</t>
  </si>
  <si>
    <t>1.578459164011202</t>
  </si>
  <si>
    <t>-0.91258747630573</t>
  </si>
  <si>
    <t>0.1923084789869916</t>
  </si>
  <si>
    <t>-0.39623931332398055</t>
  </si>
  <si>
    <t>0.22504595034429972</t>
  </si>
  <si>
    <t>-1.8549254987987795</t>
  </si>
  <si>
    <t>1.0181996784273288</t>
  </si>
  <si>
    <t>0.40061599734841463</t>
  </si>
  <si>
    <t>0.2617617352397945</t>
  </si>
  <si>
    <t>-1.0883399162582774</t>
  </si>
  <si>
    <t>-1.1638320838027676</t>
  </si>
  <si>
    <t>0.8363593350678313</t>
  </si>
  <si>
    <t>-1.4783353790733362</t>
  </si>
  <si>
    <t>0.3388314603078526</t>
  </si>
  <si>
    <t>-0.701860543754101</t>
  </si>
  <si>
    <t>0.7080800157924815</t>
  </si>
  <si>
    <t>-1.7667288965174572</t>
  </si>
  <si>
    <t>1.0648756915166369</t>
  </si>
  <si>
    <t>-0.23636654382516317</t>
  </si>
  <si>
    <t>-0.8278502291211148</t>
  </si>
  <si>
    <t>0.26673392558617076</t>
  </si>
  <si>
    <t>-0.27111921662160804</t>
  </si>
  <si>
    <t>1.3468091602101864</t>
  </si>
  <si>
    <t>-0.8403942635573344</t>
  </si>
  <si>
    <t>-0.22156080210968773</t>
  </si>
  <si>
    <t>-0.3242573621196776</t>
  </si>
  <si>
    <t>-1.2779382376432813</t>
  </si>
  <si>
    <t>-0.787981370317877</t>
  </si>
  <si>
    <t>1.8293768245270179</t>
  </si>
  <si>
    <t>-1.5102274281298762</t>
  </si>
  <si>
    <t>-4.490179261650216</t>
  </si>
  <si>
    <t>1.115532241316298</t>
  </si>
  <si>
    <t>0.7212921726720033</t>
  </si>
  <si>
    <t>-0.8296454611766202</t>
  </si>
  <si>
    <t>-2.350083554105955</t>
  </si>
  <si>
    <t>1.6203168576954599</t>
  </si>
  <si>
    <t>-0.5870761105255369</t>
  </si>
  <si>
    <t>-2.4261392049337642</t>
  </si>
  <si>
    <t>-5.974286298966116</t>
  </si>
  <si>
    <t>0.39045044467208606</t>
  </si>
  <si>
    <t>-3.8163173909831842</t>
  </si>
  <si>
    <t>1.0690896848877427</t>
  </si>
  <si>
    <t>-3.654141552795335</t>
  </si>
  <si>
    <t>2.4176725772719814</t>
  </si>
  <si>
    <t>1.9864162598679798</t>
  </si>
  <si>
    <t>3.1721121966820047</t>
  </si>
  <si>
    <t>1.2756655694266437</t>
  </si>
  <si>
    <t>-3.217318480655212</t>
  </si>
  <si>
    <t>-2.7456899718650924</t>
  </si>
  <si>
    <t>1.5231071426640606</t>
  </si>
  <si>
    <t>2.979771218599703</t>
  </si>
  <si>
    <t>0.5357536085722172</t>
  </si>
  <si>
    <t>-0.4889651835485754</t>
  </si>
  <si>
    <t>-1.3737423633712922</t>
  </si>
  <si>
    <t>-0.7964274190907263</t>
  </si>
  <si>
    <t>3.7662652125274194</t>
  </si>
  <si>
    <t>1.897133324367343</t>
  </si>
  <si>
    <t>1.1216862898440985</t>
  </si>
  <si>
    <t>-0.28583576814782724</t>
  </si>
  <si>
    <t>0.2490062874518733</t>
  </si>
  <si>
    <t>2.5643928200204082</t>
  </si>
  <si>
    <t>2.026164090601889</t>
  </si>
  <si>
    <t>0.09265617227807614</t>
  </si>
  <si>
    <t>-0.9574698093371599</t>
  </si>
  <si>
    <t>1.4836329852376937</t>
  </si>
  <si>
    <t>1.533746886472947</t>
  </si>
  <si>
    <t>1.6398733448707432</t>
  </si>
  <si>
    <t>0.9529397315197672</t>
  </si>
  <si>
    <t>-0.6006402331921427</t>
  </si>
  <si>
    <t>-1.6431220120481251</t>
  </si>
  <si>
    <t>-2.541513391385949</t>
  </si>
  <si>
    <t>-0.9252249508880118</t>
  </si>
  <si>
    <t>-0.6821367020132463</t>
  </si>
  <si>
    <t>-1.023303607474765</t>
  </si>
  <si>
    <t>2.059395717004926</t>
  </si>
  <si>
    <t>2.8891528642636657</t>
  </si>
  <si>
    <t>-1.4024987025741065</t>
  </si>
  <si>
    <t>2.8078323004906545</t>
  </si>
  <si>
    <t>1.1571839769434107</t>
  </si>
  <si>
    <t>1.8263921852520149</t>
  </si>
  <si>
    <t>1.311380180737991</t>
  </si>
  <si>
    <t>3.3986344846872427</t>
  </si>
  <si>
    <t>3.1048157515977337</t>
  </si>
  <si>
    <t>0.020267874576182923</t>
  </si>
  <si>
    <t>2.787233135252381</t>
  </si>
  <si>
    <t>2.738586334960658</t>
  </si>
  <si>
    <t>-2.6331830233370033</t>
  </si>
  <si>
    <t>-2.6306931108135623</t>
  </si>
  <si>
    <t>3.461430921273291</t>
  </si>
  <si>
    <t>1.251147002995828</t>
  </si>
  <si>
    <t>0.6695113315271131</t>
  </si>
  <si>
    <t>0.21387711279125665</t>
  </si>
  <si>
    <t>0.3147402782431538</t>
  </si>
  <si>
    <t>0.966057161929713</t>
  </si>
  <si>
    <t>1.3480166861857068</t>
  </si>
  <si>
    <t>-0.8686277183195265</t>
  </si>
  <si>
    <t>-1.542434528522082</t>
  </si>
  <si>
    <t>0.4034385162383357</t>
  </si>
  <si>
    <t>-2.8245608492781256</t>
  </si>
  <si>
    <t>4.485778956117741</t>
  </si>
  <si>
    <t>0.6216063746477012</t>
  </si>
  <si>
    <t>-1.4078459918743236</t>
  </si>
  <si>
    <t>-0.7803951763221538</t>
  </si>
  <si>
    <t>1.427619374140623</t>
  </si>
  <si>
    <t>-2.729051979164279</t>
  </si>
  <si>
    <t>-2.019709803159733</t>
  </si>
  <si>
    <t>4.519918006916402</t>
  </si>
  <si>
    <t>-3.257498550380841</t>
  </si>
  <si>
    <t>0.9176414292600132</t>
  </si>
  <si>
    <t>-0.5271527522196995</t>
  </si>
  <si>
    <t>-1.2234813774531645</t>
  </si>
  <si>
    <t>0.3078745856522393</t>
  </si>
  <si>
    <t>-0.007133846172141477</t>
  </si>
  <si>
    <t>-1.3316839078852694</t>
  </si>
  <si>
    <t>2.031628266636237</t>
  </si>
  <si>
    <t>-0.887649284991329</t>
  </si>
  <si>
    <t>-0.4354424188766057</t>
  </si>
  <si>
    <t>0.7597250901285361</t>
  </si>
  <si>
    <t>-3.1136532056883586</t>
  </si>
  <si>
    <t>-2.1816406861787274</t>
  </si>
  <si>
    <t>-0.5559713914158311</t>
  </si>
  <si>
    <t>3.084666716893471</t>
  </si>
  <si>
    <t>-1.5379258958752369</t>
  </si>
  <si>
    <t>-0.08273166883718192</t>
  </si>
  <si>
    <t>2.4460193651988025</t>
  </si>
  <si>
    <t>2.188120737730586</t>
  </si>
  <si>
    <t>-4.0057624723065235</t>
  </si>
  <si>
    <t>2.165716007635347</t>
  </si>
  <si>
    <t>3.3643107671932784</t>
  </si>
  <si>
    <t>2.63927070289317</t>
  </si>
  <si>
    <t>0.2581353373005638</t>
  </si>
  <si>
    <t>-0.8477441455179037</t>
  </si>
  <si>
    <t>-0.7545358961451621</t>
  </si>
  <si>
    <t>0.7705074397372592</t>
  </si>
  <si>
    <t>-1.7236228105564917</t>
  </si>
  <si>
    <t>0.9493090291543587</t>
  </si>
  <si>
    <t>-3.1588105330133707</t>
  </si>
  <si>
    <t>0.10516311937908343</t>
  </si>
  <si>
    <t>2.6485588067972303</t>
  </si>
  <si>
    <t>0.1742196089194008</t>
  </si>
  <si>
    <t>-1.5504808409012072</t>
  </si>
  <si>
    <t>-0.4489661106435915</t>
  </si>
  <si>
    <t>2.392071121232417</t>
  </si>
  <si>
    <t>-1.7211560936921755</t>
  </si>
  <si>
    <t>1.8510630280660123</t>
  </si>
  <si>
    <t>-3.814968343476306</t>
  </si>
  <si>
    <t>0.22294483205080318</t>
  </si>
  <si>
    <t>-1.458006688108158</t>
  </si>
  <si>
    <t>-0.051331135432261775</t>
  </si>
  <si>
    <t>-1.2496085898102365</t>
  </si>
  <si>
    <t>-1.900484574752679</t>
  </si>
  <si>
    <t>0.9832210877172988</t>
  </si>
  <si>
    <t>-0.12320089341917498</t>
  </si>
  <si>
    <t>1.371368621392664</t>
  </si>
  <si>
    <t>0.19827471237879385</t>
  </si>
  <si>
    <t>-2.270727164632519</t>
  </si>
  <si>
    <t>-2.132850332101221</t>
  </si>
  <si>
    <t>-0.8243116665989947</t>
  </si>
  <si>
    <t>-3.6134228769372863</t>
  </si>
  <si>
    <t>-0.38184389992310713</t>
  </si>
  <si>
    <t>1.7990949614729357</t>
  </si>
  <si>
    <t>-1.7128758100171317</t>
  </si>
  <si>
    <t>1.421142303290038</t>
  </si>
  <si>
    <t>3.6891458757729114</t>
  </si>
  <si>
    <t>-1.6209497750535107</t>
  </si>
  <si>
    <t>0.053334059665038853</t>
  </si>
  <si>
    <t>-0.19951300271849967</t>
  </si>
  <si>
    <t>2.5918445357767808</t>
  </si>
  <si>
    <t>3.717717927201459</t>
  </si>
  <si>
    <t>-0.7985420553783807</t>
  </si>
  <si>
    <t>0.1588859705567042</t>
  </si>
  <si>
    <t>-4.048999344275221</t>
  </si>
  <si>
    <t>0.005401593420996875</t>
  </si>
  <si>
    <t>-1.0205526955362567</t>
  </si>
  <si>
    <t>1.6812821929945698</t>
  </si>
  <si>
    <t>2.534119860714607</t>
  </si>
  <si>
    <t>2.1565846359821954</t>
  </si>
  <si>
    <t>-1.3774313579280846</t>
  </si>
  <si>
    <t>0.5588469514307501</t>
  </si>
  <si>
    <t>-2.1853439323773247</t>
  </si>
  <si>
    <t>2.2812012787666625</t>
  </si>
  <si>
    <t>3.9494369760101016</t>
  </si>
  <si>
    <t>0.1369304440034955</t>
  </si>
  <si>
    <t>-0.27355161962883956</t>
  </si>
  <si>
    <t>1.9109807644513717</t>
  </si>
  <si>
    <t>3.0621908794786905</t>
  </si>
  <si>
    <t>-1.5118906639699954</t>
  </si>
  <si>
    <t>3.165368835859794</t>
  </si>
  <si>
    <t>-0.5034326309392574</t>
  </si>
  <si>
    <t>-0.7848133505543852</t>
  </si>
  <si>
    <t>0.2133409648330463</t>
  </si>
  <si>
    <t>0.2580393288765515</t>
  </si>
  <si>
    <t>-0.9932444558196472</t>
  </si>
  <si>
    <t>0.23686392974602258</t>
  </si>
  <si>
    <t>-0.8094531826035278</t>
  </si>
  <si>
    <t>-0.7096540899053646</t>
  </si>
  <si>
    <t>-0.4813984322183146</t>
  </si>
  <si>
    <t>1.655370819112675</t>
  </si>
  <si>
    <t>-0.7630763020699682</t>
  </si>
  <si>
    <t>-3.463714752942105</t>
  </si>
  <si>
    <t>-1.243806777526708</t>
  </si>
  <si>
    <t>0.34707397739066836</t>
  </si>
  <si>
    <t>0.5229641094378079</t>
  </si>
  <si>
    <t>-2.674448049954335</t>
  </si>
  <si>
    <t>2.9768682418937256</t>
  </si>
  <si>
    <t>0.676057272782112</t>
  </si>
  <si>
    <t>1.497341614080265</t>
  </si>
  <si>
    <t>1.4017713999626136</t>
  </si>
  <si>
    <t>-0.1702236767796026</t>
  </si>
  <si>
    <t>0.6031575131799719</t>
  </si>
  <si>
    <t>2.892789305463562</t>
  </si>
  <si>
    <t>-0.9944960446619445</t>
  </si>
  <si>
    <t>-0.10929202824956383</t>
  </si>
  <si>
    <t>-1.9709894720524102</t>
  </si>
  <si>
    <t>-0.9297916859443122</t>
  </si>
  <si>
    <t>-1.9385405103358437</t>
  </si>
  <si>
    <t>-2.262318292401226</t>
  </si>
  <si>
    <t>0.37624557417158083</t>
  </si>
  <si>
    <t>-0.2441874788195565</t>
  </si>
  <si>
    <t>-3.847886261413971</t>
  </si>
  <si>
    <t>1.8805078946656528</t>
  </si>
  <si>
    <t>0.9465044766444284</t>
  </si>
  <si>
    <t>-3.7111856492087254</t>
  </si>
  <si>
    <t>2.101784937605561</t>
  </si>
  <si>
    <t>-1.6311460611195299</t>
  </si>
  <si>
    <t>-1.2787330319311712</t>
  </si>
  <si>
    <t>-2.103044973032146</t>
  </si>
  <si>
    <t>-0.7367083341536277</t>
  </si>
  <si>
    <t>-4.759334584901994</t>
  </si>
  <si>
    <t>-0.9842061559425702</t>
  </si>
  <si>
    <t>-0.5387515058114144</t>
  </si>
  <si>
    <t>3.9613883826158043</t>
  </si>
  <si>
    <t>1.6724762830819708</t>
  </si>
  <si>
    <t>-0.8422692079597679</t>
  </si>
  <si>
    <t>1.0166524795690934</t>
  </si>
  <si>
    <t>0.7029241560987337</t>
  </si>
  <si>
    <t>1.841620443338879</t>
  </si>
  <si>
    <t>-0.8088057848396615</t>
  </si>
  <si>
    <t>-0.8294008742442476</t>
  </si>
  <si>
    <t>-0.151077487599223</t>
  </si>
  <si>
    <t>-2.632067893338974</t>
  </si>
  <si>
    <t>-1.1199649413722215</t>
  </si>
  <si>
    <t>2.230341463517371</t>
  </si>
  <si>
    <t>0.8065370835059124</t>
  </si>
  <si>
    <t>0.9311089027442897</t>
  </si>
  <si>
    <t>3.3292410193434216</t>
  </si>
  <si>
    <t>0.8272616300203386</t>
  </si>
  <si>
    <t>-3.928174138841045</t>
  </si>
  <si>
    <t>-2.742837624471333</t>
  </si>
  <si>
    <t>-0.6937485133989629</t>
  </si>
  <si>
    <t>3.112118579875254</t>
  </si>
  <si>
    <t>-2.6967569954315755</t>
  </si>
  <si>
    <t>0.24197524556044234</t>
  </si>
  <si>
    <t>-3.166419323807081</t>
  </si>
  <si>
    <t>2.9002567501231358</t>
  </si>
  <si>
    <t>-1.0836459825093336</t>
  </si>
  <si>
    <t>-0.05161791043942739</t>
  </si>
  <si>
    <t>-1.9404969141816004</t>
  </si>
  <si>
    <t>-0.1926019353641099</t>
  </si>
  <si>
    <t>0.648673645976044</t>
  </si>
  <si>
    <t>-1.1292796869746757</t>
  </si>
  <si>
    <t>1.2840313666207175</t>
  </si>
  <si>
    <t>3.642022121020121</t>
  </si>
  <si>
    <t>2.239607703501638</t>
  </si>
  <si>
    <t>-0.5726959161295314</t>
  </si>
  <si>
    <t>0.8754690841497856</t>
  </si>
  <si>
    <t>0.3920123213429749</t>
  </si>
  <si>
    <t>-1.8593612052502648</t>
  </si>
  <si>
    <t>-1.6035447407421959</t>
  </si>
  <si>
    <t>-4.581942241310665</t>
  </si>
  <si>
    <t>-0.37905423711722314</t>
  </si>
  <si>
    <t>1.2595842339768315</t>
  </si>
  <si>
    <t>0.029957248834747745</t>
  </si>
  <si>
    <t>2.1193501255119753</t>
  </si>
  <si>
    <t>1.3244820124465206</t>
  </si>
  <si>
    <t>2.8683949765166767</t>
  </si>
  <si>
    <t>1.3404744493990604</t>
  </si>
  <si>
    <t>-2.0242403836579967</t>
  </si>
  <si>
    <t>1.042240699044512</t>
  </si>
  <si>
    <t>-0.9125765980061472</t>
  </si>
  <si>
    <t>-1.479237950093681</t>
  </si>
  <si>
    <t>-2.3105198793956214</t>
  </si>
  <si>
    <t>-1.4031818721838003</t>
  </si>
  <si>
    <t>1.8104644445790299</t>
  </si>
  <si>
    <t>1.5853942897284021</t>
  </si>
  <si>
    <t>-0.22925007980259568</t>
  </si>
  <si>
    <t>-1.1930221279713018</t>
  </si>
  <si>
    <t>-1.43405272378776</t>
  </si>
  <si>
    <t>-0.9603717841079622</t>
  </si>
  <si>
    <t>-1.2632050114188822</t>
  </si>
  <si>
    <t>0.9588809320934819</t>
  </si>
  <si>
    <t>-3.0400936359745625</t>
  </si>
  <si>
    <t>1.2702883790552735</t>
  </si>
  <si>
    <t>0.7582441253332817</t>
  </si>
  <si>
    <t>-1.4671122993146584</t>
  </si>
  <si>
    <t>0.6373373827536735</t>
  </si>
  <si>
    <t>0.9689046250273154</t>
  </si>
  <si>
    <t>-0.4013182987432302</t>
  </si>
  <si>
    <t>-0.3046431930677824</t>
  </si>
  <si>
    <t>0.12214020795658158</t>
  </si>
  <si>
    <t>-1.1315976752312122</t>
  </si>
  <si>
    <t>-0.33164517306396457</t>
  </si>
  <si>
    <t>-4.282811123167187</t>
  </si>
  <si>
    <t>-0.07042441336713047</t>
  </si>
  <si>
    <t>-3.3166522919625017</t>
  </si>
  <si>
    <t>1.9226050572972049</t>
  </si>
  <si>
    <t>3.657357730207172</t>
  </si>
  <si>
    <t>-2.2636985996346937</t>
  </si>
  <si>
    <t>4.076355064226606</t>
  </si>
  <si>
    <t>-4.285684923072922</t>
  </si>
  <si>
    <t>-0.7033400377496475</t>
  </si>
  <si>
    <t>-2.143106022036982</t>
  </si>
  <si>
    <t>-0.6613877710060223</t>
  </si>
  <si>
    <t>0.5420528395361551</t>
  </si>
  <si>
    <t>5.698994711181389</t>
  </si>
  <si>
    <t>-0.4094416301926892</t>
  </si>
  <si>
    <t>-2.097856419925845</t>
  </si>
  <si>
    <t>0.6367908153942576</t>
  </si>
  <si>
    <t>1.178969064208461</t>
  </si>
  <si>
    <t>2.5856181502479263</t>
  </si>
  <si>
    <t>-0.8998515617691106</t>
  </si>
  <si>
    <t>-0.3095307715079279</t>
  </si>
  <si>
    <t>-0.4617060298028694</t>
  </si>
  <si>
    <t>3.2930741605699074</t>
  </si>
  <si>
    <t>2.5441773883489747</t>
  </si>
  <si>
    <t>0.6266379914289281</t>
  </si>
  <si>
    <t>-0.5315992018352518</t>
  </si>
  <si>
    <t>-3.3467119152346143</t>
  </si>
  <si>
    <t>-2.1539698311277635</t>
  </si>
  <si>
    <t>2.1225180006450657</t>
  </si>
  <si>
    <t>-0.22995856440029291</t>
  </si>
  <si>
    <t>-1.2008521611055134</t>
  </si>
  <si>
    <t>2.2954377636799754</t>
  </si>
  <si>
    <t>2.2098901298756184</t>
  </si>
  <si>
    <t>-2.461472363681732</t>
  </si>
  <si>
    <t>1.336718332438343</t>
  </si>
  <si>
    <t>1.6262297701594959</t>
  </si>
  <si>
    <t>0.2981170696155108</t>
  </si>
  <si>
    <t>-0.7231749440310926</t>
  </si>
  <si>
    <t>0.3700474884867865</t>
  </si>
  <si>
    <t>2.86003446819304</t>
  </si>
  <si>
    <t>3.785945603052477</t>
  </si>
  <si>
    <t>-0.1375269560009936</t>
  </si>
  <si>
    <t>0.6580414133134114</t>
  </si>
  <si>
    <t>0.7894433654968324</t>
  </si>
  <si>
    <t>-0.7397107280865846</t>
  </si>
  <si>
    <t>0.4107653757038937</t>
  </si>
  <si>
    <t>3.4056881745150314</t>
  </si>
  <si>
    <t>-2.1139088429520756</t>
  </si>
  <si>
    <t>0.5794174389100586</t>
  </si>
  <si>
    <t>-4.366010828266321</t>
  </si>
  <si>
    <t>0.3830663263535038</t>
  </si>
  <si>
    <t>0.09460206258786202</t>
  </si>
  <si>
    <t>-2.6747890447164187</t>
  </si>
  <si>
    <t>-1.1698772732231746</t>
  </si>
  <si>
    <t>-2.023794862057062</t>
  </si>
  <si>
    <t>0.7789183656795071</t>
  </si>
  <si>
    <t>3.3246789111886152</t>
  </si>
  <si>
    <t>0.8724528674525732</t>
  </si>
  <si>
    <t>0.23691623618773314</t>
  </si>
  <si>
    <t>0.42884670149874904</t>
  </si>
  <si>
    <t>2.8647957661679144</t>
  </si>
  <si>
    <t>-1.8968193665118815</t>
  </si>
  <si>
    <t>1.7621392027637437</t>
  </si>
  <si>
    <t>2.799719980766152</t>
  </si>
  <si>
    <t>0.9538980841047839</t>
  </si>
  <si>
    <t>0.5095914580181565</t>
  </si>
  <si>
    <t>1.7713706427023583</t>
  </si>
  <si>
    <t>0.3057559193875488</t>
  </si>
  <si>
    <t>0.5434375381662173</t>
  </si>
  <si>
    <t>-0.11805461655503333</t>
  </si>
  <si>
    <t>-1.891999988050116</t>
  </si>
  <si>
    <t>-1.7274144849472286</t>
  </si>
  <si>
    <t>2.1213037906404346</t>
  </si>
  <si>
    <t>3.550778977872372</t>
  </si>
  <si>
    <t>2.621092703353832</t>
  </si>
  <si>
    <t>-0.13524256405347096</t>
  </si>
  <si>
    <t>3.4973561979923176</t>
  </si>
  <si>
    <t>0.3869147869740809</t>
  </si>
  <si>
    <t>2.2219639126178374</t>
  </si>
  <si>
    <t>-1.2294707594974081</t>
  </si>
  <si>
    <t>1.6956395574309986</t>
  </si>
  <si>
    <t>-0.3275424495827927</t>
  </si>
  <si>
    <t>1.3828249119298068</t>
  </si>
  <si>
    <t>1.3585452373831042</t>
  </si>
  <si>
    <t>2.2083374021689877</t>
  </si>
  <si>
    <t>0.10583825476394083</t>
  </si>
  <si>
    <t>-0.09460432285000889</t>
  </si>
  <si>
    <t>2.4109148017850632</t>
  </si>
  <si>
    <t>-1.038134375054299</t>
  </si>
  <si>
    <t>2.268842206182877</t>
  </si>
  <si>
    <t>0.14666197144657744</t>
  </si>
  <si>
    <t>1.0115653828022277</t>
  </si>
  <si>
    <t>-1.013310372265403</t>
  </si>
  <si>
    <t>2.995708216434828</t>
  </si>
  <si>
    <t>2.08143220201322</t>
  </si>
  <si>
    <t>-3.938372147619654</t>
  </si>
  <si>
    <t>2.2984419263513347</t>
  </si>
  <si>
    <t>-2.231280597538298</t>
  </si>
  <si>
    <t>-0.289670737642582</t>
  </si>
  <si>
    <t>1.7296577019484007</t>
  </si>
  <si>
    <t>-0.39254888298849905</t>
  </si>
  <si>
    <t>1.0011470318407683</t>
  </si>
  <si>
    <t>1.8940947775925554</t>
  </si>
  <si>
    <t>1.732651179366808</t>
  </si>
  <si>
    <t>-0.6487979197467513</t>
  </si>
  <si>
    <t>-0.6361916531320366</t>
  </si>
  <si>
    <t>0.7598515303784944</t>
  </si>
  <si>
    <t>-0.4746560505615144</t>
  </si>
  <si>
    <t>-1.3453909602541185</t>
  </si>
  <si>
    <t>-0.5536768214704366</t>
  </si>
  <si>
    <t>0.6716635780061581</t>
  </si>
  <si>
    <t>-0.3449807655682893</t>
  </si>
  <si>
    <t>0.6772586177484807</t>
  </si>
  <si>
    <t>0.8145387058611588</t>
  </si>
  <si>
    <t>1.1255611694265595</t>
  </si>
  <si>
    <t>0.46033925558090144</t>
  </si>
  <si>
    <t>2.6398689076355826</t>
  </si>
  <si>
    <t>0.8992068870136648</t>
  </si>
  <si>
    <t>1.0887803931196611</t>
  </si>
  <si>
    <t>1.0708604724792958</t>
  </si>
  <si>
    <t>-2.119145945277304</t>
  </si>
  <si>
    <t>0.5452316070840019</t>
  </si>
  <si>
    <t>1.6445980355780128</t>
  </si>
  <si>
    <t>0.39743086901663915</t>
  </si>
  <si>
    <t>-1.6657295656122113</t>
  </si>
  <si>
    <t>-1.1835525261053468</t>
  </si>
  <si>
    <t>-0.12138862501863139</t>
  </si>
  <si>
    <t>1.2383466856507923</t>
  </si>
  <si>
    <t>0.5519138037942822</t>
  </si>
  <si>
    <t>-0.656310609984615</t>
  </si>
  <si>
    <t>0.11676124082980804</t>
  </si>
  <si>
    <t>1.83616800724136</t>
  </si>
  <si>
    <t>-1.4152179095121498</t>
  </si>
  <si>
    <t>0.3178257607198975</t>
  </si>
  <si>
    <t>-0.6520861092960816</t>
  </si>
  <si>
    <t>0.5688347253872441</t>
  </si>
  <si>
    <t>-0.4925072439491113</t>
  </si>
  <si>
    <t>1.9498905825953519</t>
  </si>
  <si>
    <t>-0.49586546630766665</t>
  </si>
  <si>
    <t>1.1208914627214928</t>
  </si>
  <si>
    <t>-0.05331475215323552</t>
  </si>
  <si>
    <t>0.5068604653525408</t>
  </si>
  <si>
    <t>-0.04419933159704722</t>
  </si>
  <si>
    <t>-1.2513390014209618</t>
  </si>
  <si>
    <t>0.036607064756138216</t>
  </si>
  <si>
    <t>0.6151158955416455</t>
  </si>
  <si>
    <t>1.4214449290142732</t>
  </si>
  <si>
    <t>0.45040089855377985</t>
  </si>
  <si>
    <t>-0.08671065963156306</t>
  </si>
  <si>
    <t>-2.320693803763855</t>
  </si>
  <si>
    <t>1.3065952751931227</t>
  </si>
  <si>
    <t>0.011029350094259946</t>
  </si>
  <si>
    <t>-0.865001978649446</t>
  </si>
  <si>
    <t>-0.17040579543332132</t>
  </si>
  <si>
    <t>2.559741510006295</t>
  </si>
  <si>
    <t>-1.3338515415514807</t>
  </si>
  <si>
    <t>-0.6853223423382998</t>
  </si>
  <si>
    <t>-0.8189828628552976</t>
  </si>
  <si>
    <t>-1.0403677770712043</t>
  </si>
  <si>
    <t>-0.25527050357272063</t>
  </si>
  <si>
    <t>-0.8257561786381709</t>
  </si>
  <si>
    <t>1.6365901748904392</t>
  </si>
  <si>
    <t>-0.8020242677648158</t>
  </si>
  <si>
    <t>-0.9735978448470132</t>
  </si>
  <si>
    <t>0.12404113064173489</t>
  </si>
  <si>
    <t>0.324213715535128</t>
  </si>
  <si>
    <t>-0.3240397117570605</t>
  </si>
  <si>
    <t>0.262397770838806</t>
  </si>
  <si>
    <t>-0.13625263856097872</t>
  </si>
  <si>
    <t>1.2487698204398345</t>
  </si>
  <si>
    <t>-1.32826805526748</t>
  </si>
  <si>
    <t>0.54803189009461</t>
  </si>
  <si>
    <t>-1.6781400224336098</t>
  </si>
  <si>
    <t>0.903840430248504</t>
  </si>
  <si>
    <t>-1.073231567892502</t>
  </si>
  <si>
    <t>-1.908426522223735</t>
  </si>
  <si>
    <t>-0.3888842758631102</t>
  </si>
  <si>
    <t>0.4401256051178084</t>
  </si>
  <si>
    <t>-1.3492199880012758</t>
  </si>
  <si>
    <t>2.475031138542589</t>
  </si>
  <si>
    <t>0.9401240626173342</t>
  </si>
  <si>
    <t>-0.8372010407243331</t>
  </si>
  <si>
    <t>-0.8184116810610217</t>
  </si>
  <si>
    <t>-0.5762799422426315</t>
  </si>
  <si>
    <t>0.5890660836820546</t>
  </si>
  <si>
    <t>-0.8311623679506157</t>
  </si>
  <si>
    <t>-1.1376488576200676</t>
  </si>
  <si>
    <t>0.1605318587961212</t>
  </si>
  <si>
    <t>-0.979495593069353</t>
  </si>
  <si>
    <t>-0.574372786148451</t>
  </si>
  <si>
    <t>0.24075873636129413</t>
  </si>
  <si>
    <t>-0.7660211648558444</t>
  </si>
  <si>
    <t>0.17755768700774083</t>
  </si>
  <si>
    <t>3.3913291930025307</t>
  </si>
  <si>
    <t>1.382086466014398</t>
  </si>
  <si>
    <t>-1.1683218270615265</t>
  </si>
  <si>
    <t>1.069422002704723</t>
  </si>
  <si>
    <t>0.005878486685669114</t>
  </si>
  <si>
    <t>1.2836740286882202</t>
  </si>
  <si>
    <t>0.8684762757478246</t>
  </si>
  <si>
    <t>1.5593753725107693</t>
  </si>
  <si>
    <t>-1.8302564297493886</t>
  </si>
  <si>
    <t>-0.7896162830289724</t>
  </si>
  <si>
    <t>-0.28856932717523087</t>
  </si>
  <si>
    <t>-2.167470663700853</t>
  </si>
  <si>
    <t>1.3419146621427303</t>
  </si>
  <si>
    <t>-0.5750672147037754</t>
  </si>
  <si>
    <t>-1.2906151202437761</t>
  </si>
  <si>
    <t>-0.7041567363506988</t>
  </si>
  <si>
    <t>-2.4445648161977322</t>
  </si>
  <si>
    <t>-0.6767927487814394</t>
  </si>
  <si>
    <t>-0.021975666020688855</t>
  </si>
  <si>
    <t>1.414211353120729</t>
  </si>
  <si>
    <t>-0.8893361273493082</t>
  </si>
  <si>
    <t>-1.0721870740892998</t>
  </si>
  <si>
    <t>-0.5312718359212529</t>
  </si>
  <si>
    <t>-0.6994083965948011</t>
  </si>
  <si>
    <t>-0.4123756198170646</t>
  </si>
  <si>
    <t>1.3934369993019526</t>
  </si>
  <si>
    <t>-2.2729259508567354</t>
  </si>
  <si>
    <t>1.1524139017345587</t>
  </si>
  <si>
    <t>0.07684896857136031</t>
  </si>
  <si>
    <t>0.935276040487229</t>
  </si>
  <si>
    <t>-1.422427753190074</t>
  </si>
  <si>
    <t>-1.188312233168849</t>
  </si>
  <si>
    <t>2.360015775806103</t>
  </si>
  <si>
    <t>-1.2966320490073076</t>
  </si>
  <si>
    <t>1.8233814358281852</t>
  </si>
  <si>
    <t>-0.38542433702726825</t>
  </si>
  <si>
    <t>-1.260118582895832</t>
  </si>
  <si>
    <t>2.7523197117339526</t>
  </si>
  <si>
    <t>0.5092535856613695</t>
  </si>
  <si>
    <t>-1.5503793991996593</t>
  </si>
  <si>
    <t>0.5964785219620171</t>
  </si>
  <si>
    <t>-0.3563429853731571</t>
  </si>
  <si>
    <t>-0.5613175783884617</t>
  </si>
  <si>
    <t>0.9220194942993447</t>
  </si>
  <si>
    <t>-0.8159173972638396</t>
  </si>
  <si>
    <t>-0.36581261962218575</t>
  </si>
  <si>
    <t>2.07651890198003</t>
  </si>
  <si>
    <t>0.6021880832415538</t>
  </si>
  <si>
    <t>-1.6973772023737084</t>
  </si>
  <si>
    <t>0.3794192415102467</t>
  </si>
  <si>
    <t>-1.407874704141233</t>
  </si>
  <si>
    <t>1.3092990616886298</t>
  </si>
  <si>
    <t>0.43460892440900367</t>
  </si>
  <si>
    <t>-1.6679827216664926</t>
  </si>
  <si>
    <t>-1.6983384649239344</t>
  </si>
  <si>
    <t>-0.06047834985733275</t>
  </si>
  <si>
    <t>-1.2111203689090506</t>
  </si>
  <si>
    <t>-1.415080142979739</t>
  </si>
  <si>
    <t>-1.4938094102659245</t>
  </si>
  <si>
    <t>-0.7329385347944346</t>
  </si>
  <si>
    <t>1.0927331545025285</t>
  </si>
  <si>
    <t>0.39732645094993424</t>
  </si>
  <si>
    <t>0.16092420771909832</t>
  </si>
  <si>
    <t>-1.0722491789330693</t>
  </si>
  <si>
    <t>-0.39958311764882415</t>
  </si>
  <si>
    <t>0.8082632253072426</t>
  </si>
  <si>
    <t>2.061781038804796</t>
  </si>
  <si>
    <t>-0.8096244599976857</t>
  </si>
  <si>
    <t>2.2214011738393062</t>
  </si>
  <si>
    <t>-3.2497284610005948</t>
  </si>
  <si>
    <t>-0.0942537507185124</t>
  </si>
  <si>
    <t>-1.1308176398055472</t>
  </si>
  <si>
    <t>-0.012360740632839711</t>
  </si>
  <si>
    <t>-1.058666565715922</t>
  </si>
  <si>
    <t>-0.8817755733225319</t>
  </si>
  <si>
    <t>-1.197901646216869</t>
  </si>
  <si>
    <t>-1.1276258460625437</t>
  </si>
  <si>
    <t>0.33364291645154204</t>
  </si>
  <si>
    <t>2.4846430058184255</t>
  </si>
  <si>
    <t>0.13105815970351925</t>
  </si>
  <si>
    <t>-0.2913362518494107</t>
  </si>
  <si>
    <t>-0.7389544719906554</t>
  </si>
  <si>
    <t>0.06843796626091242</t>
  </si>
  <si>
    <t>-1.5011838733920544</t>
  </si>
  <si>
    <t>1.7673292461830783</t>
  </si>
  <si>
    <t>-3.0924860029186174</t>
  </si>
  <si>
    <t>-1.596451508651494</t>
  </si>
  <si>
    <t>3.8790771830186057</t>
  </si>
  <si>
    <t>-0.8471494033293667</t>
  </si>
  <si>
    <t>-0.9063209230588666</t>
  </si>
  <si>
    <t>-2.6437081199747183</t>
  </si>
  <si>
    <t>1.142723493687391</t>
  </si>
  <si>
    <t>-0.7384657104757231</t>
  </si>
  <si>
    <t>-2.579318749466442</t>
  </si>
  <si>
    <t>-0.10103471853241004</t>
  </si>
  <si>
    <t>-2.370278501843923</t>
  </si>
  <si>
    <t>1.5070099771048449</t>
  </si>
  <si>
    <t>-3.7006894640439367</t>
  </si>
  <si>
    <t>0.8128932631609672</t>
  </si>
  <si>
    <t>1.089520654815003</t>
  </si>
  <si>
    <t>0.9599404674727897</t>
  </si>
  <si>
    <t>1.6490491107232534</t>
  </si>
  <si>
    <t>-1.741468106229029</t>
  </si>
  <si>
    <t>-0.49710554002329693</t>
  </si>
  <si>
    <t>-0.1061161640335495</t>
  </si>
  <si>
    <t>-2.886931939826643</t>
  </si>
  <si>
    <t>1.1277026610709218</t>
  </si>
  <si>
    <t>-0.14138719325162077</t>
  </si>
  <si>
    <t>-2.746041374013132</t>
  </si>
  <si>
    <t>2.691337518471981</t>
  </si>
  <si>
    <t>-1.7999400492688498</t>
  </si>
  <si>
    <t>-0.2801274664365114</t>
  </si>
  <si>
    <t>1.3080828928665693</t>
  </si>
  <si>
    <t>0.0855670966429966</t>
  </si>
  <si>
    <t>0.4915554300468916</t>
  </si>
  <si>
    <t>-0.3108740691857388</t>
  </si>
  <si>
    <t>2.05065485176981</t>
  </si>
  <si>
    <t>2.16880122524304</t>
  </si>
  <si>
    <t>-2.0347546776787584</t>
  </si>
  <si>
    <t>-1.9942870339425702</t>
  </si>
  <si>
    <t>-1.7759183307172246</t>
  </si>
  <si>
    <t>1.971612362226062</t>
  </si>
  <si>
    <t>2.8429669184635045</t>
  </si>
  <si>
    <t>-2.181335352201969</t>
  </si>
  <si>
    <t>0.5076563123162714</t>
  </si>
  <si>
    <t>-2.592136122672971</t>
  </si>
  <si>
    <t>-1.190497094479083</t>
  </si>
  <si>
    <t>-0.07438793574548477</t>
  </si>
  <si>
    <t>-1.5124407354475342</t>
  </si>
  <si>
    <t>1.7540720841926885</t>
  </si>
  <si>
    <t>-0.3650586405976499</t>
  </si>
  <si>
    <t>-0.8831335330600676</t>
  </si>
  <si>
    <t>-1.4042320584840962</t>
  </si>
  <si>
    <t>0.13528346943777927</t>
  </si>
  <si>
    <t>-2.4867203209767186</t>
  </si>
  <si>
    <t>0.18252866481256613</t>
  </si>
  <si>
    <t>0.8090126832467603</t>
  </si>
  <si>
    <t>-2.658489966545851</t>
  </si>
  <si>
    <t>-1.4645045006276685</t>
  </si>
  <si>
    <t>1.6576118335785877</t>
  </si>
  <si>
    <t>0.35778418125874556</t>
  </si>
  <si>
    <t>0.1531563139384618</t>
  </si>
  <si>
    <t>2.1478316210527977</t>
  </si>
  <si>
    <t>-3.7277651260294062</t>
  </si>
  <si>
    <t>0.4715407392389875</t>
  </si>
  <si>
    <t>4.690462389380307</t>
  </si>
  <si>
    <t>-1.7654338101796971</t>
  </si>
  <si>
    <t>-0.745616739056187</t>
  </si>
  <si>
    <t>-2.3075002583854163</t>
  </si>
  <si>
    <t>0.03833679318989035</t>
  </si>
  <si>
    <t>-1.4248088365917007</t>
  </si>
  <si>
    <t>-0.9942067033603443</t>
  </si>
  <si>
    <t>0.7567016850751992</t>
  </si>
  <si>
    <t>-1.5102114770741393</t>
  </si>
  <si>
    <t>-1.9360421330837727</t>
  </si>
  <si>
    <t>-1.268783275739105</t>
  </si>
  <si>
    <t>1.8109859256475984</t>
  </si>
  <si>
    <t>-0.998341950125953</t>
  </si>
  <si>
    <t>1.6892418327514767</t>
  </si>
  <si>
    <t>0.5453763539522418</t>
  </si>
  <si>
    <t>0.337173717566073</t>
  </si>
  <si>
    <t>-0.8486718107379745</t>
  </si>
  <si>
    <t>-2.7737528366596567</t>
  </si>
  <si>
    <t>-1.7218868268069167</t>
  </si>
  <si>
    <t>2.609929566693273</t>
  </si>
  <si>
    <t>1.292161766089592</t>
  </si>
  <si>
    <t>1.525417618168418</t>
  </si>
  <si>
    <t>1.5522760623514125</t>
  </si>
  <si>
    <t>-1.620289713332603</t>
  </si>
  <si>
    <t>2.481920908516263</t>
  </si>
  <si>
    <t>1.8737561126865048</t>
  </si>
  <si>
    <t>-1.54800768159607</t>
  </si>
  <si>
    <t>-0.6898086683749323</t>
  </si>
  <si>
    <t>2.455803781935078</t>
  </si>
  <si>
    <t>-1.591699232192999</t>
  </si>
  <si>
    <t>3.776534453013817</t>
  </si>
  <si>
    <t>-0.37652565911230984</t>
  </si>
  <si>
    <t>0.17004844792094165</t>
  </si>
  <si>
    <t>0.3518945212500725</t>
  </si>
  <si>
    <t>1.1333319302502194</t>
  </si>
  <si>
    <t>0.27680469034776223</t>
  </si>
  <si>
    <t>-0.16337511783612957</t>
  </si>
  <si>
    <t>-0.7483209678412215</t>
  </si>
  <si>
    <t>0.2036136562041162</t>
  </si>
  <si>
    <t>-0.3443765553964372</t>
  </si>
  <si>
    <t>-0.13766416868311399</t>
  </si>
  <si>
    <t>-1.2904036801960663</t>
  </si>
  <si>
    <t>0.5949216663785961</t>
  </si>
  <si>
    <t>-0.3085045974466354</t>
  </si>
  <si>
    <t>-0.18542769372243814</t>
  </si>
  <si>
    <t>-0.41698546431823175</t>
  </si>
  <si>
    <t>-1.1758602667088236</t>
  </si>
  <si>
    <t>0.15180574487155352</t>
  </si>
  <si>
    <t>0.5532135826295785</t>
  </si>
  <si>
    <t>0.892546281358889</t>
  </si>
  <si>
    <t>-0.596187039265065</t>
  </si>
  <si>
    <t>0.35975293889937804</t>
  </si>
  <si>
    <t>0.05486935730070094</t>
  </si>
  <si>
    <t>0.11294206583894656</t>
  </si>
  <si>
    <t>-0.23821032407074202</t>
  </si>
  <si>
    <t>0.4551410532735159</t>
  </si>
  <si>
    <t>-0.6890274881759179</t>
  </si>
  <si>
    <t>0.4309265288042065</t>
  </si>
  <si>
    <t>0.6418073650417627</t>
  </si>
  <si>
    <t>-0.16503784970960322</t>
  </si>
  <si>
    <t>-0.28216780056225754</t>
  </si>
  <si>
    <t>-0.31296570928792944</t>
  </si>
  <si>
    <t>0.607005432569569</t>
  </si>
  <si>
    <t>-0.8852247116560386</t>
  </si>
  <si>
    <t>0.9083327634469318</t>
  </si>
  <si>
    <t>0.647562300757688</t>
  </si>
  <si>
    <t>-1.2598482208493467</t>
  </si>
  <si>
    <t>-0.6457385076256105</t>
  </si>
  <si>
    <t>0.05297287877691749</t>
  </si>
  <si>
    <t>1.1334698380650252</t>
  </si>
  <si>
    <t>-0.5459789513481971</t>
  </si>
  <si>
    <t>-0.252545481050136</t>
  </si>
  <si>
    <t>0.760900674837469</t>
  </si>
  <si>
    <t>0.17180144104400313</t>
  </si>
  <si>
    <t>0.34296975191079293</t>
  </si>
  <si>
    <t>-0.4322036091922731</t>
  </si>
  <si>
    <t>-0.30208049359502864</t>
  </si>
  <si>
    <t>0.9506171353274598</t>
  </si>
  <si>
    <t>0.34702099780416595</t>
  </si>
  <si>
    <t>0.08001857694596426</t>
  </si>
  <si>
    <t>-0.6101911726136284</t>
  </si>
  <si>
    <t>0.4037619060319331</t>
  </si>
  <si>
    <t>-0.35771680928640753</t>
  </si>
  <si>
    <t>0.3525904712705338</t>
  </si>
  <si>
    <t>1.0735798988240437</t>
  </si>
  <si>
    <t>0.5765056940159378</t>
  </si>
  <si>
    <t>-0.2327645932013161</t>
  </si>
  <si>
    <t>0.40946780136934213</t>
  </si>
  <si>
    <t>0.4980707446839174</t>
  </si>
  <si>
    <t>-0.07947612306231942</t>
  </si>
  <si>
    <t>-0.8321630554589451</t>
  </si>
  <si>
    <t>-0.5112967578852647</t>
  </si>
  <si>
    <t>1.74692027679848</t>
  </si>
  <si>
    <t>0.1326231754404925</t>
  </si>
  <si>
    <t>0.1872348410143504</t>
  </si>
  <si>
    <t>-1.2445778132790248</t>
  </si>
  <si>
    <t>0.641661951359093</t>
  </si>
  <si>
    <t>-0.855278392515629</t>
  </si>
  <si>
    <t>0.4031249929855549</t>
  </si>
  <si>
    <t>0.020104989968292037</t>
  </si>
  <si>
    <t>0.12304373745497028</t>
  </si>
  <si>
    <t>1.060496982680018</t>
  </si>
  <si>
    <t>-0.5512574598966795</t>
  </si>
  <si>
    <t>-0.6818792943242675</t>
  </si>
  <si>
    <t>0.609777451536821</t>
  </si>
  <si>
    <t>-0.6877235075990141</t>
  </si>
  <si>
    <t>1.011192423429258</t>
  </si>
  <si>
    <t>0.28067970852332225</t>
  </si>
  <si>
    <t>-0.6725236199095993</t>
  </si>
  <si>
    <t>-0.2664836286625773</t>
  </si>
  <si>
    <t>0.3579478775294623</t>
  </si>
  <si>
    <t>-0.5076540150539361</t>
  </si>
  <si>
    <t>0.6827349561235331</t>
  </si>
  <si>
    <t>0.21136280681327863</t>
  </si>
  <si>
    <t>-0.5025558634606269</t>
  </si>
  <si>
    <t>0.2165281746647059</t>
  </si>
  <si>
    <t>0.13659098310500473</t>
  </si>
  <si>
    <t>0.8592710495649368</t>
  </si>
  <si>
    <t>-0.08789184431874372</t>
  </si>
  <si>
    <t>-0.5576419023658024</t>
  </si>
  <si>
    <t>0.6624991367892258</t>
  </si>
  <si>
    <t>0.19262789772685404</t>
  </si>
  <si>
    <t>-0.11568306188622084</t>
  </si>
  <si>
    <t>0.206236776485228</t>
  </si>
  <si>
    <t>-0.1750647982198833</t>
  </si>
  <si>
    <t>0.22268083922565346</t>
  </si>
  <si>
    <t>0.7730153511817328</t>
  </si>
  <si>
    <t>0.17454022971930466</t>
  </si>
  <si>
    <t>-0.01084912706476994</t>
  </si>
  <si>
    <t>-0.19811631902892435</t>
  </si>
  <si>
    <t>1.1742227170464006</t>
  </si>
  <si>
    <t>-0.44096252697566696</t>
  </si>
  <si>
    <t>0.38189382900701746</t>
  </si>
  <si>
    <t>0.4671622381655774</t>
  </si>
  <si>
    <t>0.7806958624361996</t>
  </si>
  <si>
    <t>-0.643789072491863</t>
  </si>
  <si>
    <t>-0.0858434933895906</t>
  </si>
  <si>
    <t>0.29264473282673625</t>
  </si>
  <si>
    <t>-0.23168255632264775</t>
  </si>
  <si>
    <t>-0.37022819998498574</t>
  </si>
  <si>
    <t>-0.17884720381115773</t>
  </si>
  <si>
    <t>0.6754551468715487</t>
  </si>
  <si>
    <t>-0.5154965164696748</t>
  </si>
  <si>
    <t>0.3491739604336091</t>
  </si>
  <si>
    <t>-0.2643769845011781</t>
  </si>
  <si>
    <t>0.3401575823226399</t>
  </si>
  <si>
    <t>-0.23521493944450103</t>
  </si>
  <si>
    <t>-0.2579067485495146</t>
  </si>
  <si>
    <t>-0.07231004071517039</t>
  </si>
  <si>
    <t>0.022074495463091818</t>
  </si>
  <si>
    <t>-0.2647271241848191</t>
  </si>
  <si>
    <t>0.2733042231325351</t>
  </si>
  <si>
    <t>0.5342595226230645</t>
  </si>
  <si>
    <t>-0.041427154970659644</t>
  </si>
  <si>
    <t>-0.004363502668427306</t>
  </si>
  <si>
    <t>-0.3040155837969958</t>
  </si>
  <si>
    <t>-0.018570853034152762</t>
  </si>
  <si>
    <t>-0.7669949922351353</t>
  </si>
  <si>
    <t>-0.6746164109354557</t>
  </si>
  <si>
    <t>-0.21863294237527217</t>
  </si>
  <si>
    <t>0.3171899806355476</t>
  </si>
  <si>
    <t>-0.014606210269385092</t>
  </si>
  <si>
    <t>0.2919413648922936</t>
  </si>
  <si>
    <t>0.6928019218222312</t>
  </si>
  <si>
    <t>-0.4560228257675644</t>
  </si>
  <si>
    <t>0.3574698079306216</t>
  </si>
  <si>
    <t>0.032194243337883156</t>
  </si>
  <si>
    <t>0.11476432352756802</t>
  </si>
  <si>
    <t>0.8311313585760539</t>
  </si>
  <si>
    <t>0.9691747058344833</t>
  </si>
  <si>
    <t>0.1450436953511569</t>
  </si>
  <si>
    <t>0.6771249332192742</t>
  </si>
  <si>
    <t>0.5338272768824402</t>
  </si>
  <si>
    <t>0.2575438811739255</t>
  </si>
  <si>
    <t>0.10136830178499368</t>
  </si>
  <si>
    <t>0.5896156970857297</t>
  </si>
  <si>
    <t>-0.05447540030353862</t>
  </si>
  <si>
    <t>-0.2339877164058105</t>
  </si>
  <si>
    <t>-0.003541435395554924</t>
  </si>
  <si>
    <t>0.06973953689292403</t>
  </si>
  <si>
    <t>-0.9003137175993297</t>
  </si>
  <si>
    <t>0.5507099289355298</t>
  </si>
  <si>
    <t>-0.026137547071091206</t>
  </si>
  <si>
    <t>0.19786701756873876</t>
  </si>
  <si>
    <t>-0.04866793294874371</t>
  </si>
  <si>
    <t>0.938259643539997</t>
  </si>
  <si>
    <t>-0.6392756283001589</t>
  </si>
  <si>
    <t>-0.32263345504802254</t>
  </si>
  <si>
    <t>-0.08751343424571686</t>
  </si>
  <si>
    <t>-0.5292501436400195</t>
  </si>
  <si>
    <t>0.9348739409338311</t>
  </si>
  <si>
    <t>-0.5683612602071519</t>
  </si>
  <si>
    <t>-0.2974577937449193</t>
  </si>
  <si>
    <t>0.39459772346607597</t>
  </si>
  <si>
    <t>-0.7150129558720578</t>
  </si>
  <si>
    <t>0.4933048911312525</t>
  </si>
  <si>
    <t>-0.3917717766379441</t>
  </si>
  <si>
    <t>-0.10397169993626813</t>
  </si>
  <si>
    <t>0.043125212123678563</t>
  </si>
  <si>
    <t>0.17984321565961905</t>
  </si>
  <si>
    <t>-0.6230507664195175</t>
  </si>
  <si>
    <t>0.7173555371361936</t>
  </si>
  <si>
    <t>0.36671190672570403</t>
  </si>
  <si>
    <t>0.42166858145984226</t>
  </si>
  <si>
    <t>0.3244649965508845</t>
  </si>
  <si>
    <t>0.6556771789351376</t>
  </si>
  <si>
    <t>-0.04620042883701306</t>
  </si>
  <si>
    <t>-0.14133766664403646</t>
  </si>
  <si>
    <t>0.7979364514834111</t>
  </si>
  <si>
    <t>-0.47076807601694554</t>
  </si>
  <si>
    <t>0.6349215465262467</t>
  </si>
  <si>
    <t>-0.48655443508528096</t>
  </si>
  <si>
    <t>0.25666793356857437</t>
  </si>
  <si>
    <t>-0.08163773074512838</t>
  </si>
  <si>
    <t>0.1673020689072065</t>
  </si>
  <si>
    <t>0.5423547877582631</t>
  </si>
  <si>
    <t>-0.6454241574547965</t>
  </si>
  <si>
    <t>-0.22108036100758985</t>
  </si>
  <si>
    <t>0.192913496194402</t>
  </si>
  <si>
    <t>0.5469585979286725</t>
  </si>
  <si>
    <t>-1.0828313947077854</t>
  </si>
  <si>
    <t>0.05845997378186711</t>
  </si>
  <si>
    <t>0.5817711789153682</t>
  </si>
  <si>
    <t>-0.7220964211572196</t>
  </si>
  <si>
    <t>-0.48848447911078235</t>
  </si>
  <si>
    <t>0.40818430885903306</t>
  </si>
  <si>
    <t>-0.2616948204869899</t>
  </si>
  <si>
    <t>-0.3016086221967609</t>
  </si>
  <si>
    <t>-0.4426787787338667</t>
  </si>
  <si>
    <t>0.7373133933123436</t>
  </si>
  <si>
    <t>0.6205342741162586</t>
  </si>
  <si>
    <t>-0.02058822747020775</t>
  </si>
  <si>
    <t>0.6484988447700026</t>
  </si>
  <si>
    <t>-0.08386269502880155</t>
  </si>
  <si>
    <t>0.3449243616453274</t>
  </si>
  <si>
    <t>-0.6192584698168713</t>
  </si>
  <si>
    <t>0.5868466558182022</t>
  </si>
  <si>
    <t>0.2531572038055626</t>
  </si>
  <si>
    <t>0.4354561569851061</t>
  </si>
  <si>
    <t>0.40213362476614156</t>
  </si>
  <si>
    <t>0.434140907442532</t>
  </si>
  <si>
    <t>-0.43550633183116244</t>
  </si>
  <si>
    <t>-0.33678438195854155</t>
  </si>
  <si>
    <t>1.7330544401576244</t>
  </si>
  <si>
    <t>0.06578030009911254</t>
  </si>
  <si>
    <t>0.5307170304792462</t>
  </si>
  <si>
    <t>0.03675934173186322</t>
  </si>
  <si>
    <t>0.7005685577420213</t>
  </si>
  <si>
    <t>0.2303394340654515</t>
  </si>
  <si>
    <t>0.5573114980014299</t>
  </si>
  <si>
    <t>0.02720855958009811</t>
  </si>
  <si>
    <t>0.6503156652334282</t>
  </si>
  <si>
    <t>-0.40648655070537615</t>
  </si>
  <si>
    <t>0.4737145601352792</t>
  </si>
  <si>
    <t>0.16549155471325175</t>
  </si>
  <si>
    <t>0.2984429700525585</t>
  </si>
  <si>
    <t>-0.3367645087760392</t>
  </si>
  <si>
    <t>-0.4415237578055692</t>
  </si>
  <si>
    <t>0.6051714197493854</t>
  </si>
  <si>
    <t>0.5034770969950455</t>
  </si>
  <si>
    <t>1.329382949779553</t>
  </si>
  <si>
    <t>-0.5099752774424816</t>
  </si>
  <si>
    <t>0.6736511762484462</t>
  </si>
  <si>
    <t>-1.2714822780912254</t>
  </si>
  <si>
    <t>0.024961627257303626</t>
  </si>
  <si>
    <t>0.2918384323079273</t>
  </si>
  <si>
    <t>-0.46736354918908035</t>
  </si>
  <si>
    <t>0.7923587735886322</t>
  </si>
  <si>
    <t>0.7691648912499615</t>
  </si>
  <si>
    <t>0.7238899572972033</t>
  </si>
  <si>
    <t>0.24610726539848846</t>
  </si>
  <si>
    <t>1.041526181455323</t>
  </si>
  <si>
    <t>0.7610571964555259</t>
  </si>
  <si>
    <t>0.7549854566089333</t>
  </si>
  <si>
    <t>-0.588806398098902</t>
  </si>
  <si>
    <t>0.19703690184510358</t>
  </si>
  <si>
    <t>-0.28277149146043745</t>
  </si>
  <si>
    <t>-0.3641874693263854</t>
  </si>
  <si>
    <t>0.2180007531093654</t>
  </si>
  <si>
    <t>-0.4729630674599598</t>
  </si>
  <si>
    <t>-0.429187656651369</t>
  </si>
  <si>
    <t>-0.7338690402562535</t>
  </si>
  <si>
    <t>1.3196998575748022</t>
  </si>
  <si>
    <t>0.7083806644918811</t>
  </si>
  <si>
    <t>-0.297648786620667</t>
  </si>
  <si>
    <t>-0.661112142477082</t>
  </si>
  <si>
    <t>-0.49814846489288184</t>
  </si>
  <si>
    <t>0.2408113017920809</t>
  </si>
  <si>
    <t>0.35911478757736454</t>
  </si>
  <si>
    <t>0.5654067393295161</t>
  </si>
  <si>
    <t>0.6709463817235068</t>
  </si>
  <si>
    <t>0.49975985961669134</t>
  </si>
  <si>
    <t>0.8362290992040609</t>
  </si>
  <si>
    <t>0.7359294819624871</t>
  </si>
  <si>
    <t>0.9340098170949312</t>
  </si>
  <si>
    <t>-0.00675200944420837</t>
  </si>
  <si>
    <t>-0.13984965951084627</t>
  </si>
  <si>
    <t>0.03625164021634522</t>
  </si>
  <si>
    <t>0.17856343223940493</t>
  </si>
  <si>
    <t>0.034664724560783435</t>
  </si>
  <si>
    <t>0.5670156807380029</t>
  </si>
  <si>
    <t>0.559728891489492</t>
  </si>
  <si>
    <t>0.4037082589143448</t>
  </si>
  <si>
    <t>-0.9668758120093705</t>
  </si>
  <si>
    <t>0.40706234574761024</t>
  </si>
  <si>
    <t>0.3169697287020448</t>
  </si>
  <si>
    <t>0.5992396271855448</t>
  </si>
  <si>
    <t>0.1224681251561074</t>
  </si>
  <si>
    <t>1.7285344537544745</t>
  </si>
  <si>
    <t>0.4099795328577457</t>
  </si>
  <si>
    <t>0.03699534046423651</t>
  </si>
  <si>
    <t>0.02463552174685749</t>
  </si>
  <si>
    <t>-0.37513026873943417</t>
  </si>
  <si>
    <t>0.228654417124851</t>
  </si>
  <si>
    <t>-0.8767776367412367</t>
  </si>
  <si>
    <t>1.2734327880514675</t>
  </si>
  <si>
    <t>0.18765217063978315</t>
  </si>
  <si>
    <t>-0.3298112872177749</t>
  </si>
  <si>
    <t>-0.6654108250922902</t>
  </si>
  <si>
    <t>-0.193636978355562</t>
  </si>
  <si>
    <t>-0.27894545721181857</t>
  </si>
  <si>
    <t>-0.21713392120599323</t>
  </si>
  <si>
    <t>-0.33674392502703276</t>
  </si>
  <si>
    <t>-0.4910325274941564</t>
  </si>
  <si>
    <t>-0.7821322008969329</t>
  </si>
  <si>
    <t>0.3455153110319384</t>
  </si>
  <si>
    <t>0.46768581993910535</t>
  </si>
  <si>
    <t>0.5476193646263905</t>
  </si>
  <si>
    <t>0.022014035965685873</t>
  </si>
  <si>
    <t>-0.2197759473621999</t>
  </si>
  <si>
    <t>-0.32235331469185896</t>
  </si>
  <si>
    <t>-0.34069637333221325</t>
  </si>
  <si>
    <t>-0.3312645336399986</t>
  </si>
  <si>
    <t>1.1714725159277743</t>
  </si>
  <si>
    <t>-0.16201040396009767</t>
  </si>
  <si>
    <t>0.05825298783634406</t>
  </si>
  <si>
    <t>0.010699858925579389</t>
  </si>
  <si>
    <t>-0.5068439150981029</t>
  </si>
  <si>
    <t>0.48072830809757994</t>
  </si>
  <si>
    <t>-0.9402079133161491</t>
  </si>
  <si>
    <t>-1.182562528648653</t>
  </si>
  <si>
    <t>-0.14338925929147558</t>
  </si>
  <si>
    <t>-1.1626028827970687</t>
  </si>
  <si>
    <t>-0.2842352104282633</t>
  </si>
  <si>
    <t>0.33932508492731694</t>
  </si>
  <si>
    <t>0.07860023847815817</t>
  </si>
  <si>
    <t>-0.9989951310493554</t>
  </si>
  <si>
    <t>-0.9768643338899347</t>
  </si>
  <si>
    <t>1.4253198088058183</t>
  </si>
  <si>
    <t>0.2361366734170725</t>
  </si>
  <si>
    <t>-0.3303003496639461</t>
  </si>
  <si>
    <t>-0.08432142832482366</t>
  </si>
  <si>
    <t>0.5248138737273715</t>
  </si>
  <si>
    <t>-0.13912362901592426</t>
  </si>
  <si>
    <t>0.23674366291436713</t>
  </si>
  <si>
    <t>0.05643254895851686</t>
  </si>
  <si>
    <t>-0.3128547719865366</t>
  </si>
  <si>
    <t>-0.45233506629214526</t>
  </si>
  <si>
    <t>-0.5861503068223815</t>
  </si>
  <si>
    <t>-0.16023202445363688</t>
  </si>
  <si>
    <t>0.09002561299738278</t>
  </si>
  <si>
    <t>-0.08498169092132893</t>
  </si>
  <si>
    <t>-0.526728621647147</t>
  </si>
  <si>
    <t>0.14755314020837887</t>
  </si>
  <si>
    <t>-0.007400546474493252</t>
  </si>
  <si>
    <t>0.46613255295634026</t>
  </si>
  <si>
    <t>0.2175642628959867</t>
  </si>
  <si>
    <t>-0.7571784166008161</t>
  </si>
  <si>
    <t>-0.24812120200372811</t>
  </si>
  <si>
    <t>0.2624561496235789</t>
  </si>
  <si>
    <t>1.1438501782679644</t>
  </si>
  <si>
    <t>-0.5188153188555558</t>
  </si>
  <si>
    <t>0.3808273357919414</t>
  </si>
  <si>
    <t>-0.37988473161537517</t>
  </si>
  <si>
    <t>0.5808523800687653</t>
  </si>
  <si>
    <t>-0.8017071476600585</t>
  </si>
  <si>
    <t>0.014056890369351862</t>
  </si>
  <si>
    <t>0.46161011682845143</t>
  </si>
  <si>
    <t>-1.151305114837584</t>
  </si>
  <si>
    <t>-0.8608811433937867</t>
  </si>
  <si>
    <t>0.42404750325652046</t>
  </si>
  <si>
    <t>-0.19201855365008572</t>
  </si>
  <si>
    <t>-0.5406582801156415</t>
  </si>
  <si>
    <t>0.32860374129336795</t>
  </si>
  <si>
    <t>0.41392607616065463</t>
  </si>
  <si>
    <t>0.6665554753460204</t>
  </si>
  <si>
    <t>-0.4139338543454498</t>
  </si>
  <si>
    <t>-0.3562006128629976</t>
  </si>
  <si>
    <t>0.146521974581411</t>
  </si>
  <si>
    <t>0.12071598525587496</t>
  </si>
  <si>
    <t>0.02627746224256353</t>
  </si>
  <si>
    <t>0.6899020173582165</t>
  </si>
  <si>
    <t>0.22789065852012877</t>
  </si>
  <si>
    <t>0.13137423822154964</t>
  </si>
  <si>
    <t>0.03417563870607509</t>
  </si>
  <si>
    <t>0.26831901961967813</t>
  </si>
  <si>
    <t>-0.5477205816067622</t>
  </si>
  <si>
    <t>-0.6143555015516137</t>
  </si>
  <si>
    <t>0.03300050243959396</t>
  </si>
  <si>
    <t>0.46189846175455</t>
  </si>
  <si>
    <t>-0.07200841282222467</t>
  </si>
  <si>
    <t>-0.4584885393338839</t>
  </si>
  <si>
    <t>-0.06951571856841136</t>
  </si>
  <si>
    <t>0.5204984040617224</t>
  </si>
  <si>
    <t>0.08980521262212662</t>
  </si>
  <si>
    <t>0.32553680197615975</t>
  </si>
  <si>
    <t>0.10737684105067931</t>
  </si>
  <si>
    <t>-0.8152226193822207</t>
  </si>
  <si>
    <t>0.34200287851190964</t>
  </si>
  <si>
    <t>0.7415864461846892</t>
  </si>
  <si>
    <t>-0.4787808894607127</t>
  </si>
  <si>
    <t>0.016249934785018832</t>
  </si>
  <si>
    <t>-0.6514222199397902</t>
  </si>
  <si>
    <t>0.19146740558841488</t>
  </si>
  <si>
    <t>0.08736308199592212</t>
  </si>
  <si>
    <t>-0.3798759467015531</t>
  </si>
  <si>
    <t>0.4605780007420803</t>
  </si>
  <si>
    <t>0.5640575306098975</t>
  </si>
  <si>
    <t>0.7068410317632277</t>
  </si>
  <si>
    <t>-1.6457436714282456</t>
  </si>
  <si>
    <t>-0.2957088932054061</t>
  </si>
  <si>
    <t>-1.4882722519019438</t>
  </si>
  <si>
    <t>-1.1874076196015697</t>
  </si>
  <si>
    <t>0.013602763649533441</t>
  </si>
  <si>
    <t>-1.416012493753063</t>
  </si>
  <si>
    <t>0.45395900066384515</t>
  </si>
  <si>
    <t>-1.4162097252209274</t>
  </si>
  <si>
    <t>0.32949522313070484</t>
  </si>
  <si>
    <t>0.3418617749001712</t>
  </si>
  <si>
    <t>0.33912154910965964</t>
  </si>
  <si>
    <t>1.9370637994878384</t>
  </si>
  <si>
    <t>-0.8701698795374404</t>
  </si>
  <si>
    <t>-0.5484074788817247</t>
  </si>
  <si>
    <t>1.4255330244176607</t>
  </si>
  <si>
    <t>-0.11452904798809065</t>
  </si>
  <si>
    <t>0.18751218380071139</t>
  </si>
  <si>
    <t>-0.07269566616325523</t>
  </si>
  <si>
    <t>-0.5717584046214638</t>
  </si>
  <si>
    <t>0.04155102488477459</t>
  </si>
  <si>
    <t>-0.10967583461044232</t>
  </si>
  <si>
    <t>0.24894705018540028</t>
  </si>
  <si>
    <t>-0.40834520308687816</t>
  </si>
  <si>
    <t>0.3873328966678249</t>
  </si>
  <si>
    <t>-0.4795528172961996</t>
  </si>
  <si>
    <t>-0.6103480794190855</t>
  </si>
  <si>
    <t>0.005347661891950989</t>
  </si>
  <si>
    <t>0.30565822091679234</t>
  </si>
  <si>
    <t>-0.7261981054383293</t>
  </si>
  <si>
    <t>-0.5737830094294231</t>
  </si>
  <si>
    <t>-0.19606155868774816</t>
  </si>
  <si>
    <t>-0.8284432648536504</t>
  </si>
  <si>
    <t>-0.06746512100617251</t>
  </si>
  <si>
    <t>1.0200684058992253</t>
  </si>
  <si>
    <t>0.20565805966495215</t>
  </si>
  <si>
    <t>0.2655895556399639</t>
  </si>
  <si>
    <t>0.1551314430581553</t>
  </si>
  <si>
    <t>-0.147128963357491</t>
  </si>
  <si>
    <t>-0.09110515711382292</t>
  </si>
  <si>
    <t>-0.8615988856567406</t>
  </si>
  <si>
    <t>-0.024060949891725237</t>
  </si>
  <si>
    <t>0.8502431362572304</t>
  </si>
  <si>
    <t>-0.5905318862846497</t>
  </si>
  <si>
    <t>0.08977125382856567</t>
  </si>
  <si>
    <t>-0.39126422446079023</t>
  </si>
  <si>
    <t>-0.8489818496798696</t>
  </si>
  <si>
    <t>0.1434033239870313</t>
  </si>
  <si>
    <t>0.007742101743132467</t>
  </si>
  <si>
    <t>-0.5609627438344438</t>
  </si>
  <si>
    <t>-0.6191688565084977</t>
  </si>
  <si>
    <t>-1.0430854968489303</t>
  </si>
  <si>
    <t>-0.7115027030748668</t>
  </si>
  <si>
    <t>1.4770267086912912</t>
  </si>
  <si>
    <t>-0.813088910659794</t>
  </si>
  <si>
    <t>-1.37650880204144</t>
  </si>
  <si>
    <t>0.8401332953842918</t>
  </si>
  <si>
    <t>-0.516166893552231</t>
  </si>
  <si>
    <t>0.27629564262333867</t>
  </si>
  <si>
    <t>0.34073052953923827</t>
  </si>
  <si>
    <t>0.13610586666829225</t>
  </si>
  <si>
    <t>0.1317287722542667</t>
  </si>
  <si>
    <t>-0.05779400644663826</t>
  </si>
  <si>
    <t>1.220230921128402</t>
  </si>
  <si>
    <t>-0.8528575056279778</t>
  </si>
  <si>
    <t>-0.5430817224553448</t>
  </si>
  <si>
    <t>0.10019197680319072</t>
  </si>
  <si>
    <t>-0.9915848766712462</t>
  </si>
  <si>
    <t>-0.5986013747171308</t>
  </si>
  <si>
    <t>-0.2538616252672611</t>
  </si>
  <si>
    <t>-0.01894389896442344</t>
  </si>
  <si>
    <t>-0.8582317630557358</t>
  </si>
  <si>
    <t>0.5852799328785464</t>
  </si>
  <si>
    <t>0.03839910221163838</t>
  </si>
  <si>
    <t>-0.26054179037304626</t>
  </si>
  <si>
    <t>-0.04220547037759009</t>
  </si>
  <si>
    <t>-0.727645621749958</t>
  </si>
  <si>
    <t>-0.749978345790505</t>
  </si>
  <si>
    <t>-0.4394049227494777</t>
  </si>
  <si>
    <t>-0.2911040898722927</t>
  </si>
  <si>
    <t>2.02217973089857</t>
  </si>
  <si>
    <t>0.010516633614050626</t>
  </si>
  <si>
    <t>-0.941694002612593</t>
  </si>
  <si>
    <t>0.8529186383905709</t>
  </si>
  <si>
    <t>0.11699294241492329</t>
  </si>
  <si>
    <t>-0.3754098825594228</t>
  </si>
  <si>
    <t>0.19901804350169233</t>
  </si>
  <si>
    <t>0.23567324248998336</t>
  </si>
  <si>
    <t>-0.9607055945027315</t>
  </si>
  <si>
    <t>0.04255535008257334</t>
  </si>
  <si>
    <t>0.8939298325280283</t>
  </si>
  <si>
    <t>0.04759959643767962</t>
  </si>
  <si>
    <t>0.11557766343305592</t>
  </si>
  <si>
    <t>-0.7531319609927455</t>
  </si>
  <si>
    <t>-0.5380371363826758</t>
  </si>
  <si>
    <t>0.6560386580404981</t>
  </si>
  <si>
    <t>-0.05069714023409989</t>
  </si>
  <si>
    <t>-0.05609669250481885</t>
  </si>
  <si>
    <t>-0.4304366772974161</t>
  </si>
  <si>
    <t>1.990943307422218</t>
  </si>
  <si>
    <t>-0.5626482774020602</t>
  </si>
  <si>
    <t>1.128839004058487</t>
  </si>
  <si>
    <t>0.6365653663952939</t>
  </si>
  <si>
    <t>-0.3419696011567807</t>
  </si>
  <si>
    <t>-1.0697758059888685</t>
  </si>
  <si>
    <t>1.8263084146363826</t>
  </si>
  <si>
    <t>-1.1177695089890838</t>
  </si>
  <si>
    <t>-0.40178595022831126</t>
  </si>
  <si>
    <t>-0.054772595470009885</t>
  </si>
  <si>
    <t>0.23412353082860196</t>
  </si>
  <si>
    <t>0.1924205987915331</t>
  </si>
  <si>
    <t>-0.002984186617478832</t>
  </si>
  <si>
    <t>-0.5145296729166694</t>
  </si>
  <si>
    <t>-0.22498938034057742</t>
  </si>
  <si>
    <t>0.4160085759587007</t>
  </si>
  <si>
    <t>-0.07710834627289491</t>
  </si>
  <si>
    <t>-0.17958374635472318</t>
  </si>
  <si>
    <t>-1.009183531436562</t>
  </si>
  <si>
    <t>-0.4189677215127574</t>
  </si>
  <si>
    <t>-0.31729200803655144</t>
  </si>
  <si>
    <t>0.5700268753749893</t>
  </si>
  <si>
    <t>0.6084889722543587</t>
  </si>
  <si>
    <t>-0.28928745856229554</t>
  </si>
  <si>
    <t>-0.5760090697613672</t>
  </si>
  <si>
    <t>0.32272154339417325</t>
  </si>
  <si>
    <t>0.8091934059769051</t>
  </si>
  <si>
    <t>-0.9610899021927765</t>
  </si>
  <si>
    <t>-0.6435511053613592</t>
  </si>
  <si>
    <t>0.955809213331382</t>
  </si>
  <si>
    <t>-0.8661308417858533</t>
  </si>
  <si>
    <t>0.8313235590437816</t>
  </si>
  <si>
    <t>-0.526133556959332</t>
  </si>
  <si>
    <t>-0.27906507548559445</t>
  </si>
  <si>
    <t>-0.43397598921653713</t>
  </si>
  <si>
    <t>-0.600182331653101</t>
  </si>
  <si>
    <t>-1.7773367147316772</t>
  </si>
  <si>
    <t>0.8431007212750669</t>
  </si>
  <si>
    <t>-0.5503270508143543</t>
  </si>
  <si>
    <t>0.9790632223431012</t>
  </si>
  <si>
    <t>-1.273478051501935</t>
  </si>
  <si>
    <t>0.15820033345446988</t>
  </si>
  <si>
    <t>-0.9152474194270498</t>
  </si>
  <si>
    <t>-1.116967602574895</t>
  </si>
  <si>
    <t>-0.3849092089004358</t>
  </si>
  <si>
    <t>-0.9908796438632013</t>
  </si>
  <si>
    <t>-0.6466029537541591</t>
  </si>
  <si>
    <t>-0.7364720297603939</t>
  </si>
  <si>
    <t>1.150402686856512</t>
  </si>
  <si>
    <t>-0.9471079887400548</t>
  </si>
  <si>
    <t>0.8090965531842091</t>
  </si>
  <si>
    <t>-0.7710907620236909</t>
  </si>
  <si>
    <t>1.8342939949397912</t>
  </si>
  <si>
    <t>-0.7373301944905205</t>
  </si>
  <si>
    <t>0.568579442578727</t>
  </si>
  <si>
    <t>0.8798396556580779</t>
  </si>
  <si>
    <t>0.9352369116352299</t>
  </si>
  <si>
    <t>-0.21993398116787297</t>
  </si>
  <si>
    <t>-0.18521640000520417</t>
  </si>
  <si>
    <t>-0.3092192732380081</t>
  </si>
  <si>
    <t>-0.6881431590132138</t>
  </si>
  <si>
    <t>0.046633647487089695</t>
  </si>
  <si>
    <t>-0.024475347278371404</t>
  </si>
  <si>
    <t>-0.5342225283561791</t>
  </si>
  <si>
    <t>-0.46167519336883633</t>
  </si>
  <si>
    <t>-0.6838887728493032</t>
  </si>
  <si>
    <t>0.03662879944197029</t>
  </si>
  <si>
    <t>1.017574185629469</t>
  </si>
  <si>
    <t>0.22077996266804178</t>
  </si>
  <si>
    <t>1.8236649636347668</t>
  </si>
  <si>
    <t>0.8622826047674812</t>
  </si>
  <si>
    <t>-0.8470327608829303</t>
  </si>
  <si>
    <t>0.10780459541997675</t>
  </si>
  <si>
    <t>0.2344265011088334</t>
  </si>
  <si>
    <t>-0.7389077900840207</t>
  </si>
  <si>
    <t>0.2218252780306838</t>
  </si>
  <si>
    <t>0.3558169754132088</t>
  </si>
  <si>
    <t>-0.37144425553271054</t>
  </si>
  <si>
    <t>-0.26864917038757213</t>
  </si>
  <si>
    <t>-0.2715573236130556</t>
  </si>
  <si>
    <t>-0.07445135931662487</t>
  </si>
  <si>
    <t>0.015673561120230457</t>
  </si>
  <si>
    <t>2.441002918849958</t>
  </si>
  <si>
    <t>2.3277529761474347</t>
  </si>
  <si>
    <t>-0.8854724859544402</t>
  </si>
  <si>
    <t>-0.45570672034784726</t>
  </si>
  <si>
    <t>-0.7649858500401592</t>
  </si>
  <si>
    <t>-0.22274451452720273</t>
  </si>
  <si>
    <t>0.20492201471559468</t>
  </si>
  <si>
    <t>-0.27628191814596237</t>
  </si>
  <si>
    <t>0.06922293941466365</t>
  </si>
  <si>
    <t>0.2477070298965787</t>
  </si>
  <si>
    <t>0.4136104341859333</t>
  </si>
  <si>
    <t>-0.8253895303835741</t>
  </si>
  <si>
    <t>0.23782834739612935</t>
  </si>
  <si>
    <t>0.3145018826522604</t>
  </si>
  <si>
    <t>0.49901371382189436</t>
  </si>
  <si>
    <t>-0.4302625255681305</t>
  </si>
  <si>
    <t>-0.08864437183640558</t>
  </si>
  <si>
    <t>-0.08311184339399835</t>
  </si>
  <si>
    <t>-0.347667886711355</t>
  </si>
  <si>
    <t>0.078242567304489</t>
  </si>
  <si>
    <t>-1.1553249506008412</t>
  </si>
  <si>
    <t>1.039452868372059</t>
  </si>
  <si>
    <t>-0.06696175668029888</t>
  </si>
  <si>
    <t>-0.16745017540762244</t>
  </si>
  <si>
    <t>-0.6807394013232975</t>
  </si>
  <si>
    <t>-0.48671779343528787</t>
  </si>
  <si>
    <t>0.8428848025460721</t>
  </si>
  <si>
    <t>-0.25812641099080597</t>
  </si>
  <si>
    <t>2.2913308647601394</t>
  </si>
  <si>
    <t>-0.6791572006939276</t>
  </si>
  <si>
    <t>-0.8276882046176884</t>
  </si>
  <si>
    <t>-0.8865378252157299</t>
  </si>
  <si>
    <t>0.2628440076306597</t>
  </si>
  <si>
    <t>0.3137576931165911</t>
  </si>
  <si>
    <t>-0.6685902952532846</t>
  </si>
  <si>
    <t>0.0073516682710481444</t>
  </si>
  <si>
    <t>-0.11870024044144006</t>
  </si>
  <si>
    <t>-0.33491285111696656</t>
  </si>
  <si>
    <t>-0.8019006580893707</t>
  </si>
  <si>
    <t>0.9094695431272878</t>
  </si>
  <si>
    <t>0.02468177579210608</t>
  </si>
  <si>
    <t>0.017576220784912968</t>
  </si>
  <si>
    <t>-0.44375099246309585</t>
  </si>
  <si>
    <t>0.18281434130275276</t>
  </si>
  <si>
    <t>0.10456221471091189</t>
  </si>
  <si>
    <t>-0.37500408335865265</t>
  </si>
  <si>
    <t>0.27729762036267697</t>
  </si>
  <si>
    <t>1.2299391015034467</t>
  </si>
  <si>
    <t>0.35553798513348583</t>
  </si>
  <si>
    <t>-0.14496825741272143</t>
  </si>
  <si>
    <t>1.0393800203099666</t>
  </si>
  <si>
    <t>-0.7229447948968559</t>
  </si>
  <si>
    <t>0.2571252305397833</t>
  </si>
  <si>
    <t>0.07427830658214152</t>
  </si>
  <si>
    <t>0.1647666316261561</t>
  </si>
  <si>
    <t>-0.23936991288782158</t>
  </si>
  <si>
    <t>-0.3385853475498072</t>
  </si>
  <si>
    <t>0.8705017757354594</t>
  </si>
  <si>
    <t>-0.07699858403140736</t>
  </si>
  <si>
    <t>-0.9726581249708256</t>
  </si>
  <si>
    <t>-0.0025396276834920234</t>
  </si>
  <si>
    <t>-0.3952052797843679</t>
  </si>
  <si>
    <t>0.43469247367987207</t>
  </si>
  <si>
    <t>-0.37160813460437603</t>
  </si>
  <si>
    <t>0.23234485193613724</t>
  </si>
  <si>
    <t>0.8346518439303406</t>
  </si>
  <si>
    <t>0.18363657873644065</t>
  </si>
  <si>
    <t>0.04467722812956423</t>
  </si>
  <si>
    <t>0.28014416411872795</t>
  </si>
  <si>
    <t>-0.12483938787980317</t>
  </si>
  <si>
    <t>-0.5661009327584826</t>
  </si>
  <si>
    <t>-0.03020531181351963</t>
  </si>
  <si>
    <t>0.6223138395408071</t>
  </si>
  <si>
    <t>-0.785467296908101</t>
  </si>
  <si>
    <t>0.25460588725765104</t>
  </si>
  <si>
    <t>0.8425341249771103</t>
  </si>
  <si>
    <t>0.1930362332124921</t>
  </si>
  <si>
    <t>0.02817523719591483</t>
  </si>
  <si>
    <t>-0.1809454050438459</t>
  </si>
  <si>
    <t>1.3587537928863787</t>
  </si>
  <si>
    <t>-0.2901723843396981</t>
  </si>
  <si>
    <t>1.189058864517134</t>
  </si>
  <si>
    <t>-1.0607738216725537</t>
  </si>
  <si>
    <t>-0.5293050470560906</t>
  </si>
  <si>
    <t>0.6395021581967386</t>
  </si>
  <si>
    <t>0.0057169464440544205</t>
  </si>
  <si>
    <t>0.005999502435638686</t>
  </si>
  <si>
    <t>0.457659115008233</t>
  </si>
  <si>
    <t>-0.5625831337737776</t>
  </si>
  <si>
    <t>0.3428573180226813</t>
  </si>
  <si>
    <t>-1.129242050439968</t>
  </si>
  <si>
    <t>2.6129975332271203</t>
  </si>
  <si>
    <t>0.7719377732986438</t>
  </si>
  <si>
    <t>-0.6950130564610371</t>
  </si>
  <si>
    <t>-2.0552061027317596</t>
  </si>
  <si>
    <t>0.35660660721093324</t>
  </si>
  <si>
    <t>0.2513083346024978</t>
  </si>
  <si>
    <t>-0.2725211531705261</t>
  </si>
  <si>
    <t>0.10872635382109923</t>
  </si>
  <si>
    <t>0.42994214677539605</t>
  </si>
  <si>
    <t>0.0009704008489990424</t>
  </si>
  <si>
    <t>0.2577341115583585</t>
  </si>
  <si>
    <t>1.4308936037718267</t>
  </si>
  <si>
    <t>-0.5769554434734989</t>
  </si>
  <si>
    <t>0.21174689445020428</t>
  </si>
  <si>
    <t>-1.4467048199039059</t>
  </si>
  <si>
    <t>0.6765294092187188</t>
  </si>
  <si>
    <t>-0.7217285674137517</t>
  </si>
  <si>
    <t>0.9555621153278646</t>
  </si>
  <si>
    <t>-0.9366284255139612</t>
  </si>
  <si>
    <t>0.528976127677133</t>
  </si>
  <si>
    <t>-0.2528044016187414</t>
  </si>
  <si>
    <t>0.13095413616721624</t>
  </si>
  <si>
    <t>0.46328887210934333</t>
  </si>
  <si>
    <t>1.4091991762270137</t>
  </si>
  <si>
    <t>-0.7040087734009657</t>
  </si>
  <si>
    <t>-0.046872289352903676</t>
  </si>
  <si>
    <t>0.29026679143621076</t>
  </si>
  <si>
    <t>0.259351131709577</t>
  </si>
  <si>
    <t>-0.2179378543433247</t>
  </si>
  <si>
    <t>-0.052319605149161244</t>
  </si>
  <si>
    <t>0.009841305423910209</t>
  </si>
  <si>
    <t>0.9281752406063704</t>
  </si>
  <si>
    <t>-0.24086068589487244</t>
  </si>
  <si>
    <t>0.410975557318339</t>
  </si>
  <si>
    <t>-0.8078325248064364</t>
  </si>
  <si>
    <t>-3.217599875456585</t>
  </si>
  <si>
    <t>-0.9206504320385621</t>
  </si>
  <si>
    <t>0.10616383330295012</t>
  </si>
  <si>
    <t>-0.05520199578941697</t>
  </si>
  <si>
    <t>-0.588634705653341</t>
  </si>
  <si>
    <t>0.3098011405461137</t>
  </si>
  <si>
    <t>-0.4229287303940964</t>
  </si>
  <si>
    <t>1.448217869658396</t>
  </si>
  <si>
    <t>1.6474260841540684</t>
  </si>
  <si>
    <t>-2.167487308432746</t>
  </si>
  <si>
    <t>-0.6289113909571002</t>
  </si>
  <si>
    <t>-0.8165791161083448</t>
  </si>
  <si>
    <t>0.4676877581175833</t>
  </si>
  <si>
    <t>-0.16013585680544912</t>
  </si>
  <si>
    <t>-0.23413714340515032</t>
  </si>
  <si>
    <t>0.5857874288518422</t>
  </si>
  <si>
    <t>-0.5125744345603807</t>
  </si>
  <si>
    <t>-0.6945312669831705</t>
  </si>
  <si>
    <t>0.14725437003422576</t>
  </si>
  <si>
    <t>-0.11697116489575571</t>
  </si>
  <si>
    <t>0.43909517864322295</t>
  </si>
  <si>
    <t>-0.4054265486921724</t>
  </si>
  <si>
    <t>-0.2649212445507822</t>
  </si>
  <si>
    <t>0.5478262124767935</t>
  </si>
  <si>
    <t>-0.1802765496380003</t>
  </si>
  <si>
    <t>-0.5426089602040273</t>
  </si>
  <si>
    <t>-0.4698876874479264</t>
  </si>
  <si>
    <t>-0.2880591706906637</t>
  </si>
  <si>
    <t>1.3553553450872613</t>
  </si>
  <si>
    <t>0.4408441338633322</t>
  </si>
  <si>
    <t>0.6108593634871741</t>
  </si>
  <si>
    <t>-0.49485525327545793</t>
  </si>
  <si>
    <t>-1.24369359584841</t>
  </si>
  <si>
    <t>0.31828790082562813</t>
  </si>
  <si>
    <t>-0.22488780460731875</t>
  </si>
  <si>
    <t>0.6069236169863343</t>
  </si>
  <si>
    <t>2.803172343881677</t>
  </si>
  <si>
    <t>0.12888263172666092</t>
  </si>
  <si>
    <t>0.412310902974699</t>
  </si>
  <si>
    <t>-0.15818059503797083</t>
  </si>
  <si>
    <t>-0.4290746328548762</t>
  </si>
  <si>
    <t>-0.4580887541993218</t>
  </si>
  <si>
    <t>0.9007416509451943</t>
  </si>
  <si>
    <t>0.755480463711029</t>
  </si>
  <si>
    <t>0.04561504892360336</t>
  </si>
  <si>
    <t>-0.36624565526373015</t>
  </si>
  <si>
    <t>-1.1409416054881445</t>
  </si>
  <si>
    <t>-0.41408789083124053</t>
  </si>
  <si>
    <t>-0.4527154983942027</t>
  </si>
  <si>
    <t>-0.1724458141872443</t>
  </si>
  <si>
    <t>0.0676734929316915</t>
  </si>
  <si>
    <t>-0.44502583007375945</t>
  </si>
  <si>
    <t>0.054838163376490466</t>
  </si>
  <si>
    <t>0.7872815934626056</t>
  </si>
  <si>
    <t>-1.1825407356893556</t>
  </si>
  <si>
    <t>1.1233325120227662</t>
  </si>
  <si>
    <t>0.06344526185379082</t>
  </si>
  <si>
    <t>-0.511769303429102</t>
  </si>
  <si>
    <t>0.23571389198490966</t>
  </si>
  <si>
    <t>0.07223165106629385</t>
  </si>
  <si>
    <t>0.8589870654472169</t>
  </si>
  <si>
    <t>-0.6318947551473016</t>
  </si>
  <si>
    <t>0.7169996562349116</t>
  </si>
  <si>
    <t>-1.2843397403130472</t>
  </si>
  <si>
    <t>0.8521993454138119</t>
  </si>
  <si>
    <t>0.3466277252804836</t>
  </si>
  <si>
    <t>0.15999098614504234</t>
  </si>
  <si>
    <t>1.7624965890428497</t>
  </si>
  <si>
    <t>0.4817298508171152</t>
  </si>
  <si>
    <t>-0.22959600035950012</t>
  </si>
  <si>
    <t>2.2991273408149953</t>
  </si>
  <si>
    <t>1.0717821289379255</t>
  </si>
  <si>
    <t>-0.9598056193956569</t>
  </si>
  <si>
    <t>1.420035980845469</t>
  </si>
  <si>
    <t>0.1050950375061854</t>
  </si>
  <si>
    <t>-0.62717234009971</t>
  </si>
  <si>
    <t>0.7645394426390899</t>
  </si>
  <si>
    <t>-2.101521058757861</t>
  </si>
  <si>
    <t>-0.9620822532538408</t>
  </si>
  <si>
    <t>0.6445661571889152</t>
  </si>
  <si>
    <t>-0.9819623101369197</t>
  </si>
  <si>
    <t>0.1239824277960809</t>
  </si>
  <si>
    <t>0.3635644953786034</t>
  </si>
  <si>
    <t>-0.17596376801552133</t>
  </si>
  <si>
    <t>-0.5336324618497229</t>
  </si>
  <si>
    <t>-1.2057175259490593</t>
  </si>
  <si>
    <t>0.45564144790246597</t>
  </si>
  <si>
    <t>-0.18806020319777464</t>
  </si>
  <si>
    <t>0.3581401606395143</t>
  </si>
  <si>
    <t>-0.07718375063509929</t>
  </si>
  <si>
    <t>-0.5137278033140968</t>
  </si>
  <si>
    <t>1.0929339822062805</t>
  </si>
  <si>
    <t>-0.902486507889186</t>
  </si>
  <si>
    <t>-1.0937548582868317</t>
  </si>
  <si>
    <t>0.8154227076642665</t>
  </si>
  <si>
    <t>1.0578004831439467</t>
  </si>
  <si>
    <t>0.2711714534102672</t>
  </si>
  <si>
    <t>-0.05754674207067286</t>
  </si>
  <si>
    <t>0.510357735542339</t>
  </si>
  <si>
    <t>0.891141083654142</t>
  </si>
  <si>
    <t>-0.17956258716806509</t>
  </si>
  <si>
    <t>-0.11318068061787828</t>
  </si>
  <si>
    <t>-1.6048905196504484</t>
  </si>
  <si>
    <t>1.5055229083667458</t>
  </si>
  <si>
    <t>-0.2383445332016949</t>
  </si>
  <si>
    <t>-0.18659058909741885</t>
  </si>
  <si>
    <t>-1.147761545008888</t>
  </si>
  <si>
    <t>-0.7117994984182421</t>
  </si>
  <si>
    <t>0.8513150167727873</t>
  </si>
  <si>
    <t>0.19686271572141603</t>
  </si>
  <si>
    <t>-0.755219843617616</t>
  </si>
  <si>
    <t>0.4488480260966014</t>
  </si>
  <si>
    <t>0.5563526794871421</t>
  </si>
  <si>
    <t>0.18963755877644345</t>
  </si>
  <si>
    <t>-0.19541750613982498</t>
  </si>
  <si>
    <t>-0.6539891245415507</t>
  </si>
  <si>
    <t>0.7138656830928267</t>
  </si>
  <si>
    <t>-0.017038768738779648</t>
  </si>
  <si>
    <t>-0.7690596429412244</t>
  </si>
  <si>
    <t>0.244835201137499</t>
  </si>
  <si>
    <t>-0.3278506324044941</t>
  </si>
  <si>
    <t>-0.25217301967343747</t>
  </si>
  <si>
    <t>0.16984077545039308</t>
  </si>
  <si>
    <t>-1.7573588747701618</t>
  </si>
  <si>
    <t>-0.013409385355205807</t>
  </si>
  <si>
    <t>-0.9550260951829216</t>
  </si>
  <si>
    <t>0.071059583678521</t>
  </si>
  <si>
    <t>0.11692781302043825</t>
  </si>
  <si>
    <t>0.0770969496564298</t>
  </si>
  <si>
    <t>-0.34804217818016975</t>
  </si>
  <si>
    <t>1.1386679689038772</t>
  </si>
  <si>
    <t>-0.5902331883504099</t>
  </si>
  <si>
    <t>0.7924306273690896</t>
  </si>
  <si>
    <t>0.35084384732974444</t>
  </si>
  <si>
    <t>-0.1865511194629361</t>
  </si>
  <si>
    <t>0.6850318543482653</t>
  </si>
  <si>
    <t>0.02426828345713361</t>
  </si>
  <si>
    <t>0.0587926017455145</t>
  </si>
  <si>
    <t>-0.5971869957412854</t>
  </si>
  <si>
    <t>0.35725344587328595</t>
  </si>
  <si>
    <t>0.4728050689039981</t>
  </si>
  <si>
    <t>-0.5697419304016178</t>
  </si>
  <si>
    <t>0.07633351167610788</t>
  </si>
  <si>
    <t>1.0628821792151826</t>
  </si>
  <si>
    <t>-0.5232703739875042</t>
  </si>
  <si>
    <t>-0.9580515056989942</t>
  </si>
  <si>
    <t>0.21770671887537327</t>
  </si>
  <si>
    <t>-0.6077393853724431</t>
  </si>
  <si>
    <t>0.15105067977456235</t>
  </si>
  <si>
    <t>1.229248773874451</t>
  </si>
  <si>
    <t>0.356742832508414</t>
  </si>
  <si>
    <t>1.296841476917371</t>
  </si>
  <si>
    <t>1.5156089697753392</t>
  </si>
  <si>
    <t>0.5234616975963177</t>
  </si>
  <si>
    <t>-1.4305064432737606</t>
  </si>
  <si>
    <t>-0.146283669200344</t>
  </si>
  <si>
    <t>0.7771305793891025</t>
  </si>
  <si>
    <t>-0.3145072017241238</t>
  </si>
  <si>
    <t>-0.40946885364611224</t>
  </si>
  <si>
    <t>0.4628103793685913</t>
  </si>
  <si>
    <t>-1.6034521735107155</t>
  </si>
  <si>
    <t>0.22570195504662713</t>
  </si>
  <si>
    <t>-0.15657778485777585</t>
  </si>
  <si>
    <t>1.3688568277555482</t>
  </si>
  <si>
    <t>0.46040622119365615</t>
  </si>
  <si>
    <t>-0.25019097484634417</t>
  </si>
  <si>
    <t>0.08588798487539115</t>
  </si>
  <si>
    <t>-0.6172652461262167</t>
  </si>
  <si>
    <t>-0.4950203463295034</t>
  </si>
  <si>
    <t>0.3007518611174579</t>
  </si>
  <si>
    <t>1.161680988139748</t>
  </si>
  <si>
    <t>0.07692063571458477</t>
  </si>
  <si>
    <t>0.34441799635085596</t>
  </si>
  <si>
    <t>-0.5084931623587741</t>
  </si>
  <si>
    <t>-0.4311677385390612</t>
  </si>
  <si>
    <t>-2.105716525419726</t>
  </si>
  <si>
    <t>0.3527789010214534</t>
  </si>
  <si>
    <t>-0.015245016716533721</t>
  </si>
  <si>
    <t>-0.19219660252609058</t>
  </si>
  <si>
    <t>1.1562300225567639</t>
  </si>
  <si>
    <t>-0.3274787291088306</t>
  </si>
  <si>
    <t>-0.10965527829788888</t>
  </si>
  <si>
    <t>0.20997516366422403</t>
  </si>
  <si>
    <t>0.4245719107665496</t>
  </si>
  <si>
    <t>0.06757892150269992</t>
  </si>
  <si>
    <t>0.3766343099820039</t>
  </si>
  <si>
    <t>-0.22783237333656153</t>
  </si>
  <si>
    <t>-0.24565486053422927</t>
  </si>
  <si>
    <t>0.05671502425238937</t>
  </si>
  <si>
    <t>-0.6449628908738527</t>
  </si>
  <si>
    <t>0.637172203698101</t>
  </si>
  <si>
    <t>0.7325071060841543</t>
  </si>
  <si>
    <t>-0.07446146163944385</t>
  </si>
  <si>
    <t>-0.44579075587226885</t>
  </si>
  <si>
    <t>1.052483356915831</t>
  </si>
  <si>
    <t>-0.060036857942480926</t>
  </si>
  <si>
    <t>-1.767456027923551</t>
  </si>
  <si>
    <t>0.07038899745262185</t>
  </si>
  <si>
    <t>0.041344072234281756</t>
  </si>
  <si>
    <t>-0.5769924753373697</t>
  </si>
  <si>
    <t>0.3046443966250046</t>
  </si>
  <si>
    <t>0.5785789284726721</t>
  </si>
  <si>
    <t>-1.3509549674505708</t>
  </si>
  <si>
    <t>0.5405087516746424</t>
  </si>
  <si>
    <t>0.20485286119423532</t>
  </si>
  <si>
    <t>-0.3430070720221153</t>
  </si>
  <si>
    <t>0.5577142490143352</t>
  </si>
  <si>
    <t>-0.9137049533852304</t>
  </si>
  <si>
    <t>1.3492034772868184</t>
  </si>
  <si>
    <t>0.2963819784975472</t>
  </si>
  <si>
    <t>-1.1596314078751782</t>
  </si>
  <si>
    <t>-1.069977955761983</t>
  </si>
  <si>
    <t>0.29034297537022585</t>
  </si>
  <si>
    <t>-0.8837829191948379</t>
  </si>
  <si>
    <t>-0.41673544094926657</t>
  </si>
  <si>
    <t>-0.4884419423849618</t>
  </si>
  <si>
    <t>-1.1023914201737364</t>
  </si>
  <si>
    <t>-0.213480993965541</t>
  </si>
  <si>
    <t>0.7509723758564528</t>
  </si>
  <si>
    <t>0.7372435788263416</t>
  </si>
  <si>
    <t>-0.09855494514455365</t>
  </si>
  <si>
    <t>-0.5188200111564121</t>
  </si>
  <si>
    <t>0.856268679690121</t>
  </si>
  <si>
    <t>0.021411899831791186</t>
  </si>
  <si>
    <t>0.5799284289506154</t>
  </si>
  <si>
    <t>0.01579738975625697</t>
  </si>
  <si>
    <t>0.6290479234262761</t>
  </si>
  <si>
    <t>-0.302266929233368</t>
  </si>
  <si>
    <t>-0.20733618127186174</t>
  </si>
  <si>
    <t>-0.31421881868506835</t>
  </si>
  <si>
    <t>0.27633214973254855</t>
  </si>
  <si>
    <t>-0.5684838892365974</t>
  </si>
  <si>
    <t>0.5619425281555569</t>
  </si>
  <si>
    <t>1.1697947394540902</t>
  </si>
  <si>
    <t>0.07741323296818364</t>
  </si>
  <si>
    <t>-1.000435749901788</t>
  </si>
  <si>
    <t>-1.6817740225363902</t>
  </si>
  <si>
    <t>0.20105316782492388</t>
  </si>
  <si>
    <t>-0.12976563680446374</t>
  </si>
  <si>
    <t>0.3272513602835984</t>
  </si>
  <si>
    <t>-0.8133434653957747</t>
  </si>
  <si>
    <t>-0.2342362952747107</t>
  </si>
  <si>
    <t>-0.16702301005391082</t>
  </si>
  <si>
    <t>0.5419789531791626</t>
  </si>
  <si>
    <t>0.10443343851609435</t>
  </si>
  <si>
    <t>0.8069217691296386</t>
  </si>
  <si>
    <t>-0.6390892291658602</t>
  </si>
  <si>
    <t>-0.542766388181351</t>
  </si>
  <si>
    <t>1.1039955946952087</t>
  </si>
  <si>
    <t>-0.3806396909155809</t>
  </si>
  <si>
    <t>-0.352263635596825</t>
  </si>
  <si>
    <t>0.2437541314513094</t>
  </si>
  <si>
    <t>-0.38417078116744247</t>
  </si>
  <si>
    <t>-0.31763164875553324</t>
  </si>
  <si>
    <t>1.5980698319436293</t>
  </si>
  <si>
    <t>0.19298450578365822</t>
  </si>
  <si>
    <t>-0.14741243674129362</t>
  </si>
  <si>
    <t>-0.18806158368877937</t>
  </si>
  <si>
    <t>0.5847410996435375</t>
  </si>
  <si>
    <t>2.248064077193461</t>
  </si>
  <si>
    <t>-2.136228146054762</t>
  </si>
  <si>
    <t>-0.5472226023328255</t>
  </si>
  <si>
    <t>-1.1219296400084255</t>
  </si>
  <si>
    <t>-0.9518480684689722</t>
  </si>
  <si>
    <t>-0.10654046058772056</t>
  </si>
  <si>
    <t>0.006378220115371076</t>
  </si>
  <si>
    <t>-0.14690394763908918</t>
  </si>
  <si>
    <t>-1.1389141973174872</t>
  </si>
  <si>
    <t>-0.025600970790002845</t>
  </si>
  <si>
    <t>-0.6027638608116983</t>
  </si>
  <si>
    <t>-0.12604551073143952</t>
  </si>
  <si>
    <t>0.4794296284868668</t>
  </si>
  <si>
    <t>0.5381560621496602</t>
  </si>
  <si>
    <t>-0.12349870038084403</t>
  </si>
  <si>
    <t>0.5184835123850183</t>
  </si>
  <si>
    <t>0.23550937889083012</t>
  </si>
  <si>
    <t>-0.5696659404521349</t>
  </si>
  <si>
    <t>-0.5714408370233827</t>
  </si>
  <si>
    <t>-0.29621817267699724</t>
  </si>
  <si>
    <t>0.4545136087330607</t>
  </si>
  <si>
    <t>0.6218359988615433</t>
  </si>
  <si>
    <t>0.2432894681431771</t>
  </si>
  <si>
    <t>0.03891325612256323</t>
  </si>
  <si>
    <t>0.022470139154045138</t>
  </si>
  <si>
    <t>-0.2872098799061414</t>
  </si>
  <si>
    <t>-0.3983960883100983</t>
  </si>
  <si>
    <t>-0.3897172358431275</t>
  </si>
  <si>
    <t>-0.19080873765371925</t>
  </si>
  <si>
    <t>-0.039052443616682773</t>
  </si>
  <si>
    <t>0.978144130584381</t>
  </si>
  <si>
    <t>-0.6162231233188392</t>
  </si>
  <si>
    <t>0.3210871031979525</t>
  </si>
  <si>
    <t>0.0735720309737982</t>
  </si>
  <si>
    <t>0.25376013973876305</t>
  </si>
  <si>
    <t>0.19810491972985506</t>
  </si>
  <si>
    <t>-0.527890375260079</t>
  </si>
  <si>
    <t>0.10320022208021956</t>
  </si>
  <si>
    <t>-0.8782902512536841</t>
  </si>
  <si>
    <t>-0.7228475715731217</t>
  </si>
  <si>
    <t>0.2780040955809602</t>
  </si>
  <si>
    <t>0.714615142710408</t>
  </si>
  <si>
    <t>-0.06378338575000424</t>
  </si>
  <si>
    <t>0.13287521896234755</t>
  </si>
  <si>
    <t>-0.10640780383340108</t>
  </si>
  <si>
    <t>-0.06354979690090837</t>
  </si>
  <si>
    <t>0.2646637107487282</t>
  </si>
  <si>
    <t>3.3898219560880203</t>
  </si>
  <si>
    <t>-0.5050945860556499</t>
  </si>
  <si>
    <t>0.9160314355097593</t>
  </si>
  <si>
    <t>0.46561619868913096</t>
  </si>
  <si>
    <t>0.8601793308029692</t>
  </si>
  <si>
    <t>-0.27486593972585815</t>
  </si>
  <si>
    <t>0.23734647123200966</t>
  </si>
  <si>
    <t>0.3664385530332379</t>
  </si>
  <si>
    <t>0.24330081081200688</t>
  </si>
  <si>
    <t>-0.04611646297276655</t>
  </si>
  <si>
    <t>0.7791936544049636</t>
  </si>
  <si>
    <t>0.7947847113246317</t>
  </si>
  <si>
    <t>-0.7511005640077298</t>
  </si>
  <si>
    <t>-0.4663246559290637</t>
  </si>
  <si>
    <t>-0.18235101476810886</t>
  </si>
  <si>
    <t>-0.7294552562449108</t>
  </si>
  <si>
    <t>0.11967035364101399</t>
  </si>
  <si>
    <t>0.8868013329244955</t>
  </si>
  <si>
    <t>0.3632868700700071</t>
  </si>
  <si>
    <t>0.7680580873207294</t>
  </si>
  <si>
    <t>0.39641322521668587</t>
  </si>
  <si>
    <t>0.4820072402394502</t>
  </si>
  <si>
    <t>-0.46520626509518553</t>
  </si>
  <si>
    <t>-0.5842358584532321</t>
  </si>
  <si>
    <t>-0.16012856530588127</t>
  </si>
  <si>
    <t>0.6455457565367003</t>
  </si>
  <si>
    <t>-0.6070831630531818</t>
  </si>
  <si>
    <t>0.498917103296872</t>
  </si>
  <si>
    <t>-0.06933481169603894</t>
  </si>
  <si>
    <t>0.017254065696063355</t>
  </si>
  <si>
    <t>0.13643677495003426</t>
  </si>
  <si>
    <t>0.6327191538276995</t>
  </si>
  <si>
    <t>-0.6775033787247456</t>
  </si>
  <si>
    <t>1.1090397238436895</t>
  </si>
  <si>
    <t>1.0774493290458786</t>
  </si>
  <si>
    <t>0.08533110470129818</t>
  </si>
  <si>
    <t>0.8608385155120232</t>
  </si>
  <si>
    <t>-0.4466367052009857</t>
  </si>
  <si>
    <t>0.4873958521236094</t>
  </si>
  <si>
    <t>-0.6216827548780486</t>
  </si>
  <si>
    <t>-0.38090210027494725</t>
  </si>
  <si>
    <t>0.00445003198261863</t>
  </si>
  <si>
    <t>0.34178164724602195</t>
  </si>
  <si>
    <t>-0.688035339654445</t>
  </si>
  <si>
    <t>-0.51571750102288</t>
  </si>
  <si>
    <t>0.6058940532628835</t>
  </si>
  <si>
    <t>0.22603885062017343</t>
  </si>
  <si>
    <t>-0.22052965598199</t>
  </si>
  <si>
    <t>-0.47277976584732234</t>
  </si>
  <si>
    <t>0.6127622780149232</t>
  </si>
  <si>
    <t>0.36791639018472444</t>
  </si>
  <si>
    <t>0.315070800703269</t>
  </si>
  <si>
    <t>0.21214507793551843</t>
  </si>
  <si>
    <t>-0.5706840328129946</t>
  </si>
  <si>
    <t>0.4878396383830296</t>
  </si>
  <si>
    <t>-0.24254499688484604</t>
  </si>
  <si>
    <t>0.203656846461635</t>
  </si>
  <si>
    <t>1.138933038233532</t>
  </si>
  <si>
    <t>-1.300654420441545</t>
  </si>
  <si>
    <t>-0.20789080032356164</t>
  </si>
  <si>
    <t>-0.1288878054368288</t>
  </si>
  <si>
    <t>-0.36978030395951944</t>
  </si>
  <si>
    <t>-0.06822037081845204</t>
  </si>
  <si>
    <t>0.3168603973975932</t>
  </si>
  <si>
    <t>-0.7426675333793323</t>
  </si>
  <si>
    <t>-0.33853477295750706</t>
  </si>
  <si>
    <t>0.4056917169912938</t>
  </si>
  <si>
    <t>-0.36005138694420197</t>
  </si>
  <si>
    <t>-0.633789184263937</t>
  </si>
  <si>
    <t>0.17296899701259427</t>
  </si>
  <si>
    <t>0.3737555358228242</t>
  </si>
  <si>
    <t>-0.4762844472023547</t>
  </si>
  <si>
    <t>1.2031576360899503</t>
  </si>
  <si>
    <t>1.380505940549624</t>
  </si>
  <si>
    <t>-0.8357918815428277</t>
  </si>
  <si>
    <t>-0.5208801505828048</t>
  </si>
  <si>
    <t>0.3881899599120536</t>
  </si>
  <si>
    <t>0.33507667393252494</t>
  </si>
  <si>
    <t>0.7920906550761218</t>
  </si>
  <si>
    <t>-1.3876418661290326</t>
  </si>
  <si>
    <t>-0.24115652293652862</t>
  </si>
  <si>
    <t>0.36064890267781397</t>
  </si>
  <si>
    <t>-0.7466958050921667</t>
  </si>
  <si>
    <t>-0.59143613204215</t>
  </si>
  <si>
    <t>0.814992550906724</t>
  </si>
  <si>
    <t>-0.5538935316455238</t>
  </si>
  <si>
    <t>-0.513589609067659</t>
  </si>
  <si>
    <t>-0.04049680891186768</t>
  </si>
  <si>
    <t>0.4161186881324041</t>
  </si>
  <si>
    <t>-0.17459127056657636</t>
  </si>
  <si>
    <t>-0.5226489758515036</t>
  </si>
  <si>
    <t>0.48874283538593394</t>
  </si>
  <si>
    <t>-0.3977621026872994</t>
  </si>
  <si>
    <t>-1.1380935867657844</t>
  </si>
  <si>
    <t>-0.2753165389180925</t>
  </si>
  <si>
    <t>-0.5955335427554949</t>
  </si>
  <si>
    <t>0.6571603025562288</t>
  </si>
  <si>
    <t>-0.30214102236132273</t>
  </si>
  <si>
    <t>0.07344640937112251</t>
  </si>
  <si>
    <t>0.15114886999914906</t>
  </si>
  <si>
    <t>0.22995374431890137</t>
  </si>
  <si>
    <t>-0.605945526296564</t>
  </si>
  <si>
    <t>-0.14095930173796595</t>
  </si>
  <si>
    <t>-0.6853914623879246</t>
  </si>
  <si>
    <t>-0.8641280891791695</t>
  </si>
  <si>
    <t>1.1400271537797009</t>
  </si>
  <si>
    <t>0.46392664695800684</t>
  </si>
  <si>
    <t>0.2711383487843286</t>
  </si>
  <si>
    <t>0.7664794393945206</t>
  </si>
  <si>
    <t>0.46626517947626067</t>
  </si>
  <si>
    <t>0.06769876964939647</t>
  </si>
  <si>
    <t>0.25081202625281596</t>
  </si>
  <si>
    <t>-0.5724179441515256</t>
  </si>
  <si>
    <t>-0.8241875244378913</t>
  </si>
  <si>
    <t>0.6113531793691551</t>
  </si>
  <si>
    <t>-0.6299246420261977</t>
  </si>
  <si>
    <t>-1.1021146811626685</t>
  </si>
  <si>
    <t>-2.2103034229795564</t>
  </si>
  <si>
    <t>0.8253007207790086</t>
  </si>
  <si>
    <t>0.3437152988940179</t>
  </si>
  <si>
    <t>-0.20720792137808086</t>
  </si>
  <si>
    <t>0.38699877053962056</t>
  </si>
  <si>
    <t>0.17676780695417127</t>
  </si>
  <si>
    <t>-1.046506987900625</t>
  </si>
  <si>
    <t>-0.3798980542529857</t>
  </si>
  <si>
    <t>-0.27345047876872786</t>
  </si>
  <si>
    <t>1.0582356988744295</t>
  </si>
  <si>
    <t>0.04719729103130538</t>
  </si>
  <si>
    <t>-0.21732104222259438</t>
  </si>
  <si>
    <t>0.3894496109751129</t>
  </si>
  <si>
    <t>-0.6720853725707691</t>
  </si>
  <si>
    <t>-0.534408476972014</t>
  </si>
  <si>
    <t>-0.11326058578102176</t>
  </si>
  <si>
    <t>-1.917929890241485</t>
  </si>
  <si>
    <t>-0.6764076491438208</t>
  </si>
  <si>
    <t>-0.08422069868377324</t>
  </si>
  <si>
    <t>0.6744597341822749</t>
  </si>
  <si>
    <t>-0.1810077259959801</t>
  </si>
  <si>
    <t>0.265209961872719</t>
  </si>
  <si>
    <t>0.6413321241236745</t>
  </si>
  <si>
    <t>0.723509154859401</t>
  </si>
  <si>
    <t>-0.46926617689120115</t>
  </si>
  <si>
    <t>0.032676976979920155</t>
  </si>
  <si>
    <t>-0.6185630542658153</t>
  </si>
  <si>
    <t>0.4341471122379582</t>
  </si>
  <si>
    <t>0.3086650976237191</t>
  </si>
  <si>
    <t>-0.5261823716500288</t>
  </si>
  <si>
    <t>-0.6601914550884997</t>
  </si>
  <si>
    <t>0.16348473118008267</t>
  </si>
  <si>
    <t>0.4034928812133639</t>
  </si>
  <si>
    <t>0.10846712297135609</t>
  </si>
  <si>
    <t>0.023430292037968495</t>
  </si>
  <si>
    <t>0.02646751214737613</t>
  </si>
  <si>
    <t>-0.5940721726645581</t>
  </si>
  <si>
    <t>-0.9904117981556094</t>
  </si>
  <si>
    <t>-0.6563065765521843</t>
  </si>
  <si>
    <t>0.013894329402990688</t>
  </si>
  <si>
    <t>3.211980506289647</t>
  </si>
  <si>
    <t>-0.8942561238135162</t>
  </si>
  <si>
    <t>1.1766163990941572</t>
  </si>
  <si>
    <t>0.3668522142576655</t>
  </si>
  <si>
    <t>0.8250892762655855</t>
  </si>
  <si>
    <t>-1.212624856942063</t>
  </si>
  <si>
    <t>1.4180411332098513</t>
  </si>
  <si>
    <t>-1.3634670121103842</t>
  </si>
  <si>
    <t>-0.03465188913259741</t>
  </si>
  <si>
    <t>1.0947960157201984</t>
  </si>
  <si>
    <t>0.01238820366348476</t>
  </si>
  <si>
    <t>-0.16763258883797857</t>
  </si>
  <si>
    <t>0.026476802523971974</t>
  </si>
  <si>
    <t>1.070545461829587</t>
  </si>
  <si>
    <t>0.6356865256038008</t>
  </si>
  <si>
    <t>-0.06724106215173127</t>
  </si>
  <si>
    <t>-0.6408820631158193</t>
  </si>
  <si>
    <t>-0.34253828485983395</t>
  </si>
  <si>
    <t>0.260883971120586</t>
  </si>
  <si>
    <t>-0.5479983525341128</t>
  </si>
  <si>
    <t>-0.42085455879680994</t>
  </si>
  <si>
    <t>0.2818323048354313</t>
  </si>
  <si>
    <t>0.36346058665307784</t>
  </si>
  <si>
    <t>0.16165270024334816</t>
  </si>
  <si>
    <t>-0.6498783652951222</t>
  </si>
  <si>
    <t>-0.13980330549867015</t>
  </si>
  <si>
    <t>-0.8539759156880725</t>
  </si>
  <si>
    <t>0.46729042240259755</t>
  </si>
  <si>
    <t>0.37874447621077373</t>
  </si>
  <si>
    <t>-0.08167398329867742</t>
  </si>
  <si>
    <t>-0.41356169262641257</t>
  </si>
  <si>
    <t>0.45527423546185186</t>
  </si>
  <si>
    <t>-0.0737096997562571</t>
  </si>
  <si>
    <t>0.45083765646346874</t>
  </si>
  <si>
    <t>0.33720280915877815</t>
  </si>
  <si>
    <t>-0.3595118745923301</t>
  </si>
  <si>
    <t>-0.12141963892601514</t>
  </si>
  <si>
    <t>0.8987572149312792</t>
  </si>
  <si>
    <t>0.13554152329145583</t>
  </si>
  <si>
    <t>-0.25746886956568693</t>
  </si>
  <si>
    <t>0.6233126258928515</t>
  </si>
  <si>
    <t>0.709076299115806</t>
  </si>
  <si>
    <t>-0.505708419839459</t>
  </si>
  <si>
    <t>-0.2062945405528001</t>
  </si>
  <si>
    <t>-0.5722344943325417</t>
  </si>
  <si>
    <t>-0.22732083114663654</t>
  </si>
  <si>
    <t>-1.070975028977929</t>
  </si>
  <si>
    <t>-0.2107798134380606</t>
  </si>
  <si>
    <t>0.6691484880045181</t>
  </si>
  <si>
    <t>0.09051370345336611</t>
  </si>
  <si>
    <t>-0.12058314479527163</t>
  </si>
  <si>
    <t>1.109092688569788</t>
  </si>
  <si>
    <t>0.03880260266918137</t>
  </si>
  <si>
    <t>0.6856476401200652</t>
  </si>
  <si>
    <t>1.7049859459252066</t>
  </si>
  <si>
    <t>0.35023814526118713</t>
  </si>
  <si>
    <t>0.2144791850011336</t>
  </si>
  <si>
    <t>0.6692580667449729</t>
  </si>
  <si>
    <t>-0.5036285698783428</t>
  </si>
  <si>
    <t>0.13045539913673462</t>
  </si>
  <si>
    <t>-0.7506081317432104</t>
  </si>
  <si>
    <t>-0.1833101094081014</t>
  </si>
  <si>
    <t>-0.446947203202305</t>
  </si>
  <si>
    <t>-0.33584128655414575</t>
  </si>
  <si>
    <t>-0.326863703308211</t>
  </si>
  <si>
    <t>1.0817065530276375</t>
  </si>
  <si>
    <t>-1.1032384238273045</t>
  </si>
  <si>
    <t>-0.05828834745798381</t>
  </si>
  <si>
    <t>0.5355008054056252</t>
  </si>
  <si>
    <t>-0.7414514922190537</t>
  </si>
  <si>
    <t>-0.7146936765829807</t>
  </si>
  <si>
    <t>0.5909972293213386</t>
  </si>
  <si>
    <t>-0.5838924268253088</t>
  </si>
  <si>
    <t>1.0263332821467896</t>
  </si>
  <si>
    <t>-0.5586369098184328</t>
  </si>
  <si>
    <t>-0.8643514148080168</t>
  </si>
  <si>
    <t>0.1481766680047195</t>
  </si>
  <si>
    <t>0.9409945776831384</t>
  </si>
  <si>
    <t>0.8320310287370861</t>
  </si>
  <si>
    <t>-0.45021103286279196</t>
  </si>
  <si>
    <t>-0.22942819133566394</t>
  </si>
  <si>
    <t>-0.6321459634935002</t>
  </si>
  <si>
    <t>0.25060669857728846</t>
  </si>
  <si>
    <t>0.43593082796619476</t>
  </si>
  <si>
    <t>-1.0383634148382759</t>
  </si>
  <si>
    <t>0.4024494284451124</t>
  </si>
  <si>
    <t>0.7165772663208685</t>
  </si>
  <si>
    <t>0.04896350048968469</t>
  </si>
  <si>
    <t>-0.7265000864152695</t>
  </si>
  <si>
    <t>0.5051788345756593</t>
  </si>
  <si>
    <t>0.11129284797278756</t>
  </si>
  <si>
    <t>0.3046587652299512</t>
  </si>
  <si>
    <t>-1.194929108685189</t>
  </si>
  <si>
    <t>-0.3014761313251184</t>
  </si>
  <si>
    <t>0.5862109292283947</t>
  </si>
  <si>
    <t>0.1854815823531987</t>
  </si>
  <si>
    <t>0.45609414874336</t>
  </si>
  <si>
    <t>0.2651816512590435</t>
  </si>
  <si>
    <t>-0.07121872106754354</t>
  </si>
  <si>
    <t>-0.3595355741219563</t>
  </si>
  <si>
    <t>-0.2537959189741472</t>
  </si>
  <si>
    <t>0.6506097679281159</t>
  </si>
  <si>
    <t>0.2654024228155729</t>
  </si>
  <si>
    <t>-0.08051892760341374</t>
  </si>
  <si>
    <t>2.0464559792064514</t>
  </si>
  <si>
    <t>-0.7439370098835423</t>
  </si>
  <si>
    <t>0.6197863635940042</t>
  </si>
  <si>
    <t>0.05835717593636802</t>
  </si>
  <si>
    <t>-0.42154044328864526</t>
  </si>
  <si>
    <t>0.10434573149971352</t>
  </si>
  <si>
    <t>-0.9270952903862537</t>
  </si>
  <si>
    <t>-0.38923620834816325</t>
  </si>
  <si>
    <t>-0.45291545742916206</t>
  </si>
  <si>
    <t>0.6964743207263508</t>
  </si>
  <si>
    <t>1.117330396581218</t>
  </si>
  <si>
    <t>-0.9541985105192847</t>
  </si>
  <si>
    <t>0.19901953904442027</t>
  </si>
  <si>
    <t>-1.758357490434371</t>
  </si>
  <si>
    <t>-0.25131150198081675</t>
  </si>
  <si>
    <t>0.8430265990705984</t>
  </si>
  <si>
    <t>0.1824953644840794</t>
  </si>
  <si>
    <t>0.5257323420955454</t>
  </si>
  <si>
    <t>1.7126309841147305</t>
  </si>
  <si>
    <t>-0.293093857547225</t>
  </si>
  <si>
    <t>-0.0007221536876788372</t>
  </si>
  <si>
    <t>-1.1092604611819985</t>
  </si>
  <si>
    <t>0.23610066244285602</t>
  </si>
  <si>
    <t>0.383263060392814</t>
  </si>
  <si>
    <t>-1.4283727380628668</t>
  </si>
  <si>
    <t>0.8934416196277304</t>
  </si>
  <si>
    <t>-1.0684960587037902</t>
  </si>
  <si>
    <t>0.9426756740929928</t>
  </si>
  <si>
    <t>-0.6653489171716775</t>
  </si>
  <si>
    <t>-0.4337622268217772</t>
  </si>
  <si>
    <t>-0.41924344207277425</t>
  </si>
  <si>
    <t>-0.5234686562748827</t>
  </si>
  <si>
    <t>0.3764603316427962</t>
  </si>
  <si>
    <t>-0.005142468974743787</t>
  </si>
  <si>
    <t>-0.16431785481785918</t>
  </si>
  <si>
    <t>-0.4164384596998521</t>
  </si>
  <si>
    <t>-0.6960261295266991</t>
  </si>
  <si>
    <t>0.26617107916755345</t>
  </si>
  <si>
    <t>0.1437650593417093</t>
  </si>
  <si>
    <t>0.2771379309421103</t>
  </si>
  <si>
    <t>0.14895144199544014</t>
  </si>
  <si>
    <t>-0.3470809184712944</t>
  </si>
  <si>
    <t>0.37057092519814927</t>
  </si>
  <si>
    <t>1.104894021288952</t>
  </si>
  <si>
    <t>0.7706053023211946</t>
  </si>
  <si>
    <t>0.8182009820287016</t>
  </si>
  <si>
    <t>-0.8708955605603674</t>
  </si>
  <si>
    <t>0.11782114463714835</t>
  </si>
  <si>
    <t>-0.5185329268224913</t>
  </si>
  <si>
    <t>-0.2719028870687852</t>
  </si>
  <si>
    <t>0.28861422881383514</t>
  </si>
  <si>
    <t>-0.7446664294242161</t>
  </si>
  <si>
    <t>-0.19729474567908314</t>
  </si>
  <si>
    <t>1.1382372385948947</t>
  </si>
  <si>
    <t>-0.8252494530821707</t>
  </si>
  <si>
    <t>-0.2577807877670679</t>
  </si>
  <si>
    <t>-0.3017664605147262</t>
  </si>
  <si>
    <t>-0.11650701337491752</t>
  </si>
  <si>
    <t>-0.12063792954136011</t>
  </si>
  <si>
    <t>0.26636183500957844</t>
  </si>
  <si>
    <t>0.09113301201759229</t>
  </si>
  <si>
    <t>-0.04610963877213863</t>
  </si>
  <si>
    <t>-0.26593086434576557</t>
  </si>
  <si>
    <t>0.05333646269727048</t>
  </si>
  <si>
    <t>-0.11943934870602775</t>
  </si>
  <si>
    <t>-0.4620626825230169</t>
  </si>
  <si>
    <t>-0.3647373386791741</t>
  </si>
  <si>
    <t>-0.5335335133769775</t>
  </si>
  <si>
    <t>-0.6671296995626154</t>
  </si>
  <si>
    <t>-0.9901539865181517</t>
  </si>
  <si>
    <t>1.0833201999152715</t>
  </si>
  <si>
    <t>-0.04444951469203542</t>
  </si>
  <si>
    <t>-0.8637820137031357</t>
  </si>
  <si>
    <t>-0.16313521975020132</t>
  </si>
  <si>
    <t>-0.7381217596329886</t>
  </si>
  <si>
    <t>-0.40035697104287316</t>
  </si>
  <si>
    <t>-0.6866634292438591</t>
  </si>
  <si>
    <t>0.3751236737872518</t>
  </si>
  <si>
    <t>-0.1138082942106523</t>
  </si>
  <si>
    <t>-0.2272730293836947</t>
  </si>
  <si>
    <t>-0.23394691712270724</t>
  </si>
  <si>
    <t>0.6178400881823558</t>
  </si>
  <si>
    <t>-0.5588501799796531</t>
  </si>
  <si>
    <t>0.5115643800537717</t>
  </si>
  <si>
    <t>-1.1363660049456</t>
  </si>
  <si>
    <t>0.3203569768306851</t>
  </si>
  <si>
    <t>0.004482557142082958</t>
  </si>
  <si>
    <t>-0.2658243713814103</t>
  </si>
  <si>
    <t>-0.5238204416040472</t>
  </si>
  <si>
    <t>0.2883194540294632</t>
  </si>
  <si>
    <t>0.21686640672865198</t>
  </si>
  <si>
    <t>1.1310652581515173</t>
  </si>
  <si>
    <t>0.6043795272131048</t>
  </si>
  <si>
    <t>-0.42282486433500244</t>
  </si>
  <si>
    <t>0.35840430505369697</t>
  </si>
  <si>
    <t>0.47347134098952803</t>
  </si>
  <si>
    <t>0.22314828660323263</t>
  </si>
  <si>
    <t>-0.8640059177905486</t>
  </si>
  <si>
    <t>-1.009838695856922</t>
  </si>
  <si>
    <t>-0.4662247810242789</t>
  </si>
  <si>
    <t>-0.346897983997675</t>
  </si>
  <si>
    <t>0.5478087394910682</t>
  </si>
  <si>
    <t>-0.5247533974790658</t>
  </si>
  <si>
    <t>0.2889101588459942</t>
  </si>
  <si>
    <t>-0.48033690684931496</t>
  </si>
  <si>
    <t>-2.1139811517645404</t>
  </si>
  <si>
    <t>-0.6805331501894495</t>
  </si>
  <si>
    <t>-0.8174730066214475</t>
  </si>
  <si>
    <t>0.41608501521801483</t>
  </si>
  <si>
    <t>-0.6201214631394151</t>
  </si>
  <si>
    <t>0.7641258365442082</t>
  </si>
  <si>
    <t>-0.21831958084218528</t>
  </si>
  <si>
    <t>0.17160831885756278</t>
  </si>
  <si>
    <t>-0.1406968425920025</t>
  </si>
  <si>
    <t>1.136002909822382</t>
  </si>
  <si>
    <t>-0.698858702229049</t>
  </si>
  <si>
    <t>-1.3217736818250032</t>
  </si>
  <si>
    <t>0.007411222964305971</t>
  </si>
  <si>
    <t>0.6539399176805656</t>
  </si>
  <si>
    <t>-0.7218691263981193</t>
  </si>
  <si>
    <t>-0.1621219446488433</t>
  </si>
  <si>
    <t>0.1008657882792181</t>
  </si>
  <si>
    <t>-1.3098056098597186</t>
  </si>
  <si>
    <t>1.1158469150525487</t>
  </si>
  <si>
    <t>0.2821852918307747</t>
  </si>
  <si>
    <t>0.35021665706664556</t>
  </si>
  <si>
    <t>-0.5780286429537842</t>
  </si>
  <si>
    <t>0.2330931860606204</t>
  </si>
  <si>
    <t>-0.11425257660756376</t>
  </si>
  <si>
    <t>-0.4554422166730452</t>
  </si>
  <si>
    <t>0.7815064414160889</t>
  </si>
  <si>
    <t>-1.6720317939930611</t>
  </si>
  <si>
    <t>-0.19733544163347305</t>
  </si>
  <si>
    <t>-0.28989796725879635</t>
  </si>
  <si>
    <t>-0.7904366401934035</t>
  </si>
  <si>
    <t>0.10986755567600566</t>
  </si>
  <si>
    <t>0.9804166248793836</t>
  </si>
  <si>
    <t>-0.11710786135646829</t>
  </si>
  <si>
    <t>-1.0108228398682906</t>
  </si>
  <si>
    <t>-0.07417978114570814</t>
  </si>
  <si>
    <t>0.17879634719529733</t>
  </si>
  <si>
    <t>-1.047692503457466</t>
  </si>
  <si>
    <t>0.23674567859193352</t>
  </si>
  <si>
    <t>2.629378853697774</t>
  </si>
  <si>
    <t>0.3129529818540721</t>
  </si>
  <si>
    <t>0.6790487978047355</t>
  </si>
  <si>
    <t>0.2695351174343419</t>
  </si>
  <si>
    <t>-0.6490004469080689</t>
  </si>
  <si>
    <t>-1.668416024087179</t>
  </si>
  <si>
    <t>0.36054246687725994</t>
  </si>
  <si>
    <t>0.20061136255060671</t>
  </si>
  <si>
    <t>-0.5468313503835595</t>
  </si>
  <si>
    <t>0.748879301379721</t>
  </si>
  <si>
    <t>-0.10994508903182573</t>
  </si>
  <si>
    <t>0.41422693071671746</t>
  </si>
  <si>
    <t>-0.15922498426553772</t>
  </si>
  <si>
    <t>0.25402576836557494</t>
  </si>
  <si>
    <t>-4.006493546850195</t>
  </si>
  <si>
    <t>-0.07986452276389344</t>
  </si>
  <si>
    <t>-0.8231144573537871</t>
  </si>
  <si>
    <t>1.2297406302496847</t>
  </si>
  <si>
    <t>-2.527512405947568</t>
  </si>
  <si>
    <t>-0.9876049760562027</t>
  </si>
  <si>
    <t>-1.8863856008721358</t>
  </si>
  <si>
    <t>0.9724167535213947</t>
  </si>
  <si>
    <t>0.10425826924501076</t>
  </si>
  <si>
    <t>1.4107862734613195</t>
  </si>
  <si>
    <t>0.29199674922528984</t>
  </si>
  <si>
    <t>1.0089043715860146</t>
  </si>
  <si>
    <t>0.6068623239401832</t>
  </si>
  <si>
    <t>1.99509329279946</t>
  </si>
  <si>
    <t>-0.3396748251650991</t>
  </si>
  <si>
    <t>0.3549155814962006</t>
  </si>
  <si>
    <t>-0.8462496865156885</t>
  </si>
  <si>
    <t>0.08476298605270899</t>
  </si>
  <si>
    <t>0.1672465125224212</t>
  </si>
  <si>
    <t>0.1053765561455708</t>
  </si>
  <si>
    <t>-0.6711998416697298</t>
  </si>
  <si>
    <t>0.2513175744029625</t>
  </si>
  <si>
    <t>-0.5673100937858718</t>
  </si>
  <si>
    <t>0.10734540214914763</t>
  </si>
  <si>
    <t>-0.8367331894237586</t>
  </si>
  <si>
    <t>-1.4470853197959321</t>
  </si>
  <si>
    <t>0.1746519719816109</t>
  </si>
  <si>
    <t>2.156736805478607</t>
  </si>
  <si>
    <t>-5.574559466519492</t>
  </si>
  <si>
    <t>0.7098315117198163</t>
  </si>
  <si>
    <t>0.08854093555238533</t>
  </si>
  <si>
    <t>0.8263894829373062</t>
  </si>
  <si>
    <t>0.44433954738554615</t>
  </si>
  <si>
    <t>0.6699732851145878</t>
  </si>
  <si>
    <t>-0.44418297065059076</t>
  </si>
  <si>
    <t>-1.1730003971175673</t>
  </si>
  <si>
    <t>0.4474954886576739</t>
  </si>
  <si>
    <t>-0.16480081539686436</t>
  </si>
  <si>
    <t>-0.33422970019000114</t>
  </si>
  <si>
    <t>-0.7160539770057756</t>
  </si>
  <si>
    <t>0.7279399149605427</t>
  </si>
  <si>
    <t>-0.555575375256039</t>
  </si>
  <si>
    <t>-0.7716635141923469</t>
  </si>
  <si>
    <t>0.4982372138288778</t>
  </si>
  <si>
    <t>-0.26543237966523225</t>
  </si>
  <si>
    <t>3.7395308526117645</t>
  </si>
  <si>
    <t>0.5424690353939844</t>
  </si>
  <si>
    <t>-0.7263888741163457</t>
  </si>
  <si>
    <t>-0.7311271765175018</t>
  </si>
  <si>
    <t>0.7525593557997065</t>
  </si>
  <si>
    <t>0.7518689684425256</t>
  </si>
  <si>
    <t>-0.10725658564716961</t>
  </si>
  <si>
    <t>-0.44155821628043046</t>
  </si>
  <si>
    <t>-1.1294791876757433</t>
  </si>
  <si>
    <t>0.04281038144600451</t>
  </si>
  <si>
    <t>0.033201803813777186</t>
  </si>
  <si>
    <t>-0.991820426272841</t>
  </si>
  <si>
    <t>0.12508539104410438</t>
  </si>
  <si>
    <t>-0.027266802892144507</t>
  </si>
  <si>
    <t>0.19528770672803514</t>
  </si>
  <si>
    <t>-0.11501355071547673</t>
  </si>
  <si>
    <t>-0.8701124914275471</t>
  </si>
  <si>
    <t>0.24972892747005576</t>
  </si>
  <si>
    <t>1.3756199212117384</t>
  </si>
  <si>
    <t>-0.397324022284198</t>
  </si>
  <si>
    <t>-1.406252570192875</t>
  </si>
  <si>
    <t>-1.5161418276427274</t>
  </si>
  <si>
    <t>-1.7306878897719424</t>
  </si>
  <si>
    <t>-1.5006167915730548</t>
  </si>
  <si>
    <t>-0.571309493312787</t>
  </si>
  <si>
    <t>-0.15303576668411223</t>
  </si>
  <si>
    <t>0.3309427869732716</t>
  </si>
  <si>
    <t>1.2992591838082994</t>
  </si>
  <si>
    <t>-0.2643897521826926</t>
  </si>
  <si>
    <t>-0.6308959333952121</t>
  </si>
  <si>
    <t>0.21879235984732553</t>
  </si>
  <si>
    <t>2.8878423449676327</t>
  </si>
  <si>
    <t>-0.6912534585419997</t>
  </si>
  <si>
    <t>0.9716394901057321</t>
  </si>
  <si>
    <t>-1.6724037389991018</t>
  </si>
  <si>
    <t>1.3275963770179389</t>
  </si>
  <si>
    <t>-1.7917693452443915</t>
  </si>
  <si>
    <t>2.82683979366644</t>
  </si>
  <si>
    <t>-0.7393373927627883</t>
  </si>
  <si>
    <t>0.888168749075704</t>
  </si>
  <si>
    <t>-0.5068294466973969</t>
  </si>
  <si>
    <t>0.31520304159016194</t>
  </si>
  <si>
    <t>0.40910899157904906</t>
  </si>
  <si>
    <t>0.695315354218141</t>
  </si>
  <si>
    <t>-0.47222220731977993</t>
  </si>
  <si>
    <t>-0.21246187239282865</t>
  </si>
  <si>
    <t>0.5053411035743605</t>
  </si>
  <si>
    <t>-0.7648082939270374</t>
  </si>
  <si>
    <t>0.4262043684936584</t>
  </si>
  <si>
    <t>-0.4546847833872388</t>
  </si>
  <si>
    <t>0.046826703555558964</t>
  </si>
  <si>
    <t>1.3409278999956686</t>
  </si>
  <si>
    <t>-0.5001670697395769</t>
  </si>
  <si>
    <t>-1.0740114869391657</t>
  </si>
  <si>
    <t>-0.1237163458745388</t>
  </si>
  <si>
    <t>-0.8353715251824497</t>
  </si>
  <si>
    <t>-0.5618605095844986</t>
  </si>
  <si>
    <t>1.2325698271205185</t>
  </si>
  <si>
    <t>0.622761581595486</t>
  </si>
  <si>
    <t>-0.5121176632925916</t>
  </si>
  <si>
    <t>1.512236048999657</t>
  </si>
  <si>
    <t>1.3053591517871945</t>
  </si>
  <si>
    <t>0.27533391597548756</t>
  </si>
  <si>
    <t>0.4822116697327758</t>
  </si>
  <si>
    <t>0.5272594663938104</t>
  </si>
  <si>
    <t>0.07248557878032205</t>
  </si>
  <si>
    <t>-0.7356092209496904</t>
  </si>
  <si>
    <t>-0.6306676422974975</t>
  </si>
  <si>
    <t>-0.4417072713763958</t>
  </si>
  <si>
    <t>-0.2947517928614424</t>
  </si>
  <si>
    <t>0.01418010282803653</t>
  </si>
  <si>
    <t>0.8417978271683573</t>
  </si>
  <si>
    <t>-0.3489030135468522</t>
  </si>
  <si>
    <t>-0.10901188816141376</t>
  </si>
  <si>
    <t>-0.9291613822481825</t>
  </si>
  <si>
    <t>-0.8739849327393651</t>
  </si>
  <si>
    <t>-1.4782149441592032</t>
  </si>
  <si>
    <t>-0.5844368496012173</t>
  </si>
  <si>
    <t>-0.3298070291038062</t>
  </si>
  <si>
    <t>0.0047002149804964985</t>
  </si>
  <si>
    <t>-0.9600409509430992</t>
  </si>
  <si>
    <t>-0.3197833092207479</t>
  </si>
  <si>
    <t>-0.06796303896466045</t>
  </si>
  <si>
    <t>0.6524390301103837</t>
  </si>
  <si>
    <t>0.4645231861348945</t>
  </si>
  <si>
    <t>-0.3780231808185418</t>
  </si>
  <si>
    <t>-0.401275367277825</t>
  </si>
  <si>
    <t>-1.4461139005943913</t>
  </si>
  <si>
    <t>-0.39780290036118654</t>
  </si>
  <si>
    <t>0.9702902649885689</t>
  </si>
  <si>
    <t>-0.09324260965270102</t>
  </si>
  <si>
    <t>-0.7320905811747002</t>
  </si>
  <si>
    <t>-0.7837512671364188</t>
  </si>
  <si>
    <t>-0.1963575386361684</t>
  </si>
  <si>
    <t>0.3347493210091466</t>
  </si>
  <si>
    <t>0.7563767533785147</t>
  </si>
  <si>
    <t>-0.5089445461691634</t>
  </si>
  <si>
    <t>-0.036055624448825756</t>
  </si>
  <si>
    <t>1.2933527291264855</t>
  </si>
  <si>
    <t>-0.3561452311590713</t>
  </si>
  <si>
    <t>0.25315261049588106</t>
  </si>
  <si>
    <t>-0.838768055213625</t>
  </si>
  <si>
    <t>0.6401255694921983</t>
  </si>
  <si>
    <t>0.3151220090270296</t>
  </si>
  <si>
    <t>-0.1653918478666226</t>
  </si>
  <si>
    <t>-0.5691737417721255</t>
  </si>
  <si>
    <t>-0.5407039160029928</t>
  </si>
  <si>
    <t>0.8400924951733632</t>
  </si>
  <si>
    <t>0.5345915190728392</t>
  </si>
  <si>
    <t>0.4211683425704274</t>
  </si>
  <si>
    <t>0.8339294957262523</t>
  </si>
  <si>
    <t>-0.9934412479012785</t>
  </si>
  <si>
    <t>1.7717305318332959</t>
  </si>
  <si>
    <t>1.78924898498556</t>
  </si>
  <si>
    <t>-1.9404078247863472</t>
  </si>
  <si>
    <t>2.023245888743349</t>
  </si>
  <si>
    <t>-0.019887114685338766</t>
  </si>
  <si>
    <t>-1.9166825822102502</t>
  </si>
  <si>
    <t>2.592806754168638</t>
  </si>
  <si>
    <t>-0.17185490783883908</t>
  </si>
  <si>
    <t>-1.2614162177791068</t>
  </si>
  <si>
    <t>0.6035213150034109</t>
  </si>
  <si>
    <t>0.005365616616211122</t>
  </si>
  <si>
    <t>-0.016765167680488916</t>
  </si>
  <si>
    <t>0.9965322880883974</t>
  </si>
  <si>
    <t>-1.9559893965915696</t>
  </si>
  <si>
    <t>0.018940659329126187</t>
  </si>
  <si>
    <t>-0.7901101760376267</t>
  </si>
  <si>
    <t>-1.1086423701325032</t>
  </si>
  <si>
    <t>0.015897924680662045</t>
  </si>
  <si>
    <t>-0.47911394317370914</t>
  </si>
  <si>
    <t>0.9011509163978142</t>
  </si>
  <si>
    <t>-1.9071434503118208</t>
  </si>
  <si>
    <t>0.11616494568404041</t>
  </si>
  <si>
    <t>0.5303708317622978</t>
  </si>
  <si>
    <t>-0.3457562071384806</t>
  </si>
  <si>
    <t>0.6990031623141987</t>
  </si>
  <si>
    <t>-0.5957536876174199</t>
  </si>
  <si>
    <t>0.11774005871910814</t>
  </si>
  <si>
    <t>-0.22635828743447944</t>
  </si>
  <si>
    <t>-1.703780627575511</t>
  </si>
  <si>
    <t>-0.46336717380513803</t>
  </si>
  <si>
    <t>-0.3337893412504254</t>
  </si>
  <si>
    <t>-0.22683275976530995</t>
  </si>
  <si>
    <t>-0.5982622509749441</t>
  </si>
  <si>
    <t>0.7228368633681351</t>
  </si>
  <si>
    <t>-0.3305971077146824</t>
  </si>
  <si>
    <t>2.2404211537177727</t>
  </si>
  <si>
    <t>-0.14279334548077433</t>
  </si>
  <si>
    <t>0.42784145221723735</t>
  </si>
  <si>
    <t>-0.14661747919719187</t>
  </si>
  <si>
    <t>1.6938512572999762</t>
  </si>
  <si>
    <t>0.5476194015619017</t>
  </si>
  <si>
    <t>0.05358097401961203</t>
  </si>
  <si>
    <t>0.50403421222618</t>
  </si>
  <si>
    <t>-0.06266546739311847</t>
  </si>
  <si>
    <t>0.8479643326834764</t>
  </si>
  <si>
    <t>-0.5843432773302809</t>
  </si>
  <si>
    <t>0.31712034178634885</t>
  </si>
  <si>
    <t>0.5116724418305421</t>
  </si>
  <si>
    <t>-1.021026997326389</t>
  </si>
  <si>
    <t>0.36686938915374595</t>
  </si>
  <si>
    <t>1.4151287790261782</t>
  </si>
  <si>
    <t>-0.8006060791945344</t>
  </si>
  <si>
    <t>0.009114787425872448</t>
  </si>
  <si>
    <t>1.1892943881101352</t>
  </si>
  <si>
    <t>-1.2233861386589275</t>
  </si>
  <si>
    <t>-0.7683757870521243</t>
  </si>
  <si>
    <t>0.2777951104535795</t>
  </si>
  <si>
    <t>0.1945379748823098</t>
  </si>
  <si>
    <t>-0.5225351546767778</t>
  </si>
  <si>
    <t>0.1698356839442078</t>
  </si>
  <si>
    <t>-1.1160633696654962</t>
  </si>
  <si>
    <t>-1.8413936725710525</t>
  </si>
  <si>
    <t>-0.9689282706313507</t>
  </si>
  <si>
    <t>-0.06249749920751574</t>
  </si>
  <si>
    <t>0.30162984329340914</t>
  </si>
  <si>
    <t>-0.38233859880631155</t>
  </si>
  <si>
    <t>-0.3883922432698715</t>
  </si>
  <si>
    <t>0.5314478585566845</t>
  </si>
  <si>
    <t>-1.2348501358691557</t>
  </si>
  <si>
    <t>0.9947630963465053</t>
  </si>
  <si>
    <t>-0.8117448913871511</t>
  </si>
  <si>
    <t>0.017236691304966367</t>
  </si>
  <si>
    <t>0.5371247705969044</t>
  </si>
  <si>
    <t>-0.6628489234372207</t>
  </si>
  <si>
    <t>0.04360837553161721</t>
  </si>
  <si>
    <t>-1.0881087745627558</t>
  </si>
  <si>
    <t>-0.7735040436379669</t>
  </si>
  <si>
    <t>-0.5323531824842229</t>
  </si>
  <si>
    <t>0.06469290381528989</t>
  </si>
  <si>
    <t>0.37015366913288117</t>
  </si>
  <si>
    <t>-0.7834737607283748</t>
  </si>
  <si>
    <t>1.3129003191145503</t>
  </si>
  <si>
    <t>-1.4781782790177267</t>
  </si>
  <si>
    <t>1.1884293777905108</t>
  </si>
  <si>
    <t>0.016936263977717685</t>
  </si>
  <si>
    <t>0.7334263877700875</t>
  </si>
  <si>
    <t>0.39280776306555026</t>
  </si>
  <si>
    <t>0.8251990508145197</t>
  </si>
  <si>
    <t>-1.87984847151593</t>
  </si>
  <si>
    <t>0.671881709080672</t>
  </si>
  <si>
    <t>0.6277308650546783</t>
  </si>
  <si>
    <t>0.9711074839417543</t>
  </si>
  <si>
    <t>-0.4176749854716194</t>
  </si>
  <si>
    <t>-1.2594561156159294</t>
  </si>
  <si>
    <t>-0.07110875972503776</t>
  </si>
  <si>
    <t>-0.6289782716933163</t>
  </si>
  <si>
    <t>0.2520130764518408</t>
  </si>
  <si>
    <t>0.9292340861449799</t>
  </si>
  <si>
    <t>-1.0607411626015883</t>
  </si>
  <si>
    <t>-1.242274906580783</t>
  </si>
  <si>
    <t>-1.0676944040237573</t>
  </si>
  <si>
    <t>-0.13631232649566166</t>
  </si>
  <si>
    <t>0.05246233115829819</t>
  </si>
  <si>
    <t>-0.08707646892853547</t>
  </si>
  <si>
    <t>-0.03417582056029465</t>
  </si>
  <si>
    <t>0.2752483496519747</t>
  </si>
  <si>
    <t>0.6619514923228992</t>
  </si>
  <si>
    <t>0.8552115546470817</t>
  </si>
  <si>
    <t>0.5490905005040085</t>
  </si>
  <si>
    <t>0.33095545972273527</t>
  </si>
  <si>
    <t>0.04093277332556141</t>
  </si>
  <si>
    <t>0.4538701909899115</t>
  </si>
  <si>
    <t>0.08118686969691913</t>
  </si>
  <si>
    <t>1.346753759451373</t>
  </si>
  <si>
    <t>0.16896928491801233</t>
  </si>
  <si>
    <t>-0.7850875226264977</t>
  </si>
  <si>
    <t>0.14018556945096683</t>
  </si>
  <si>
    <t>-0.25811586773991113</t>
  </si>
  <si>
    <t>0.04453218288923696</t>
  </si>
  <si>
    <t>-0.32245721979423286</t>
  </si>
  <si>
    <t>0.40488162770746067</t>
  </si>
  <si>
    <t>0.7909300505672441</t>
  </si>
  <si>
    <t>0.2063537391407995</t>
  </si>
  <si>
    <t>1.25162162369082</t>
  </si>
  <si>
    <t>0.9600345228750828</t>
  </si>
  <si>
    <t>-0.001060228080956554</t>
  </si>
  <si>
    <t>-0.7598765251660848</t>
  </si>
  <si>
    <t>0.40649210487097776</t>
  </si>
  <si>
    <t>0.083001817728011</t>
  </si>
  <si>
    <t>-0.6100007419253566</t>
  </si>
  <si>
    <t>1.314858674410051</t>
  </si>
  <si>
    <t>-0.5056040804351083</t>
  </si>
  <si>
    <t>0.5458143685767616</t>
  </si>
  <si>
    <t>0.6785161992985945</t>
  </si>
  <si>
    <t>-0.08540274969384014</t>
  </si>
  <si>
    <t>-0.40516754599792304</t>
  </si>
  <si>
    <t>1.2093175844848814</t>
  </si>
  <si>
    <t>0.24235499712938469</t>
  </si>
  <si>
    <t>0.08719348858557939</t>
  </si>
  <si>
    <t>-0.8658795798676675</t>
  </si>
  <si>
    <t>-0.9026123473549668</t>
  </si>
  <si>
    <t>0.10770332193877595</t>
  </si>
  <si>
    <t>0.42890292947680714</t>
  </si>
  <si>
    <t>0.8264995603482178</t>
  </si>
  <si>
    <t>0.3881773034279638</t>
  </si>
  <si>
    <t>-0.681488552608994</t>
  </si>
  <si>
    <t>0.6314773848453918</t>
  </si>
  <si>
    <t>0.32173235015576673</t>
  </si>
  <si>
    <t>0.8599484426210146</t>
  </si>
  <si>
    <t>-0.41503382881063516</t>
  </si>
  <si>
    <t>-0.13564719109707218</t>
  </si>
  <si>
    <t>1.3032904603545155</t>
  </si>
  <si>
    <t>-1.536859515354409</t>
  </si>
  <si>
    <t>0.0673069246809686</t>
  </si>
  <si>
    <t>-0.042729734524712334</t>
  </si>
  <si>
    <t>-0.07310904388796184</t>
  </si>
  <si>
    <t>0.010588508796262209</t>
  </si>
  <si>
    <t>0.6258027327776174</t>
  </si>
  <si>
    <t>0.8398070403380079</t>
  </si>
  <si>
    <t>-0.43348907474092935</t>
  </si>
  <si>
    <t>-0.5049720321201941</t>
  </si>
  <si>
    <t>0.1929448827134484</t>
  </si>
  <si>
    <t>0.30241970648109223</t>
  </si>
  <si>
    <t>-0.2867174563102369</t>
  </si>
  <si>
    <t>1.8154939923085287</t>
  </si>
  <si>
    <t>-0.41207093723136723</t>
  </si>
  <si>
    <t>0.18138003923908277</t>
  </si>
  <si>
    <t>0.33356192393803125</t>
  </si>
  <si>
    <t>-0.8847905358847878</t>
  </si>
  <si>
    <t>-0.12920626466977594</t>
  </si>
  <si>
    <t>0.6664878882362122</t>
  </si>
  <si>
    <t>-0.5237628093533298</t>
  </si>
  <si>
    <t>0.8963498587548121</t>
  </si>
  <si>
    <t>0.04687658167845008</t>
  </si>
  <si>
    <t>-0.9193007766888254</t>
  </si>
  <si>
    <t>0.8966419022242159</t>
  </si>
  <si>
    <t>0.06494820737168323</t>
  </si>
  <si>
    <t>0.41688252832715283</t>
  </si>
  <si>
    <t>1.8761664099624382</t>
  </si>
  <si>
    <t>-0.771615908128008</t>
  </si>
  <si>
    <t>-0.410289397013022</t>
  </si>
  <si>
    <t>-0.6059890990539688</t>
  </si>
  <si>
    <t>-0.4072025003893398</t>
  </si>
  <si>
    <t>-0.26181262339878253</t>
  </si>
  <si>
    <t>-0.2732530802991169</t>
  </si>
  <si>
    <t>-0.6188689220943835</t>
  </si>
  <si>
    <t>-0.36570958057377595</t>
  </si>
  <si>
    <t>-0.018610345559465176</t>
  </si>
  <si>
    <t>0.20553630742025944</t>
  </si>
  <si>
    <t>-0.1592097248602988</t>
  </si>
  <si>
    <t>0.37668064054599104</t>
  </si>
  <si>
    <t>-0.8769376540372398</t>
  </si>
  <si>
    <t>0.4464788632191709</t>
  </si>
  <si>
    <t>-0.04895677376667638</t>
  </si>
  <si>
    <t>-0.0666701418251566</t>
  </si>
  <si>
    <t>-2.1097143744301183</t>
  </si>
  <si>
    <t>0.13762196067872257</t>
  </si>
  <si>
    <t>-0.1092030532090491</t>
  </si>
  <si>
    <t>-0.8759562428277603</t>
  </si>
  <si>
    <t>-0.2805582494038782</t>
  </si>
  <si>
    <t>-1.0084594202468429</t>
  </si>
  <si>
    <t>-0.005117957437373275</t>
  </si>
  <si>
    <t>-2.9192330684622863</t>
  </si>
  <si>
    <t>-1.5545297918565801</t>
  </si>
  <si>
    <t>-1.575274957753466</t>
  </si>
  <si>
    <t>3.758405063228107</t>
  </si>
  <si>
    <t>-1.688086682397695</t>
  </si>
  <si>
    <t>-0.5421128525118865</t>
  </si>
  <si>
    <t>-1.8568515016189697</t>
  </si>
  <si>
    <t>-0.45073773875353773</t>
  </si>
  <si>
    <t>0.5214069755092985</t>
  </si>
  <si>
    <t>0.7542107640254891</t>
  </si>
  <si>
    <t>2.4901846990266137</t>
  </si>
  <si>
    <t>0.024233416639037438</t>
  </si>
  <si>
    <t>-1.7360943112806664</t>
  </si>
  <si>
    <t>-1.6358663878726307</t>
  </si>
  <si>
    <t>-0.698142342947563</t>
  </si>
  <si>
    <t>0.10093643733554379</t>
  </si>
  <si>
    <t>1.502795768228735</t>
  </si>
  <si>
    <t>-0.44109994250771867</t>
  </si>
  <si>
    <t>-0.819585282478854</t>
  </si>
  <si>
    <t>1.399452771882574</t>
  </si>
  <si>
    <t>3.051894822474492</t>
  </si>
  <si>
    <t>0.5239394444295674</t>
  </si>
  <si>
    <t>-0.23016923239146067</t>
  </si>
  <si>
    <t>-0.5280207410536348</t>
  </si>
  <si>
    <t>-0.6042653624071158</t>
  </si>
  <si>
    <t>-0.1409591216674722</t>
  </si>
  <si>
    <t>-0.36298638792384974</t>
  </si>
  <si>
    <t>0.9825978326076555</t>
  </si>
  <si>
    <t>-1.2213908232060913</t>
  </si>
  <si>
    <t>0.9824969956129755</t>
  </si>
  <si>
    <t>1.0277322741981296</t>
  </si>
  <si>
    <t>0.0894128267745307</t>
  </si>
  <si>
    <t>-0.9881968456775839</t>
  </si>
  <si>
    <t>-0.5983726676623531</t>
  </si>
  <si>
    <t>0.2670823202274948</t>
  </si>
  <si>
    <t>1.2193489077537738</t>
  </si>
  <si>
    <t>-1.1489278777192133</t>
  </si>
  <si>
    <t>-0.09603024803248841</t>
  </si>
  <si>
    <t>-0.9014203349424734</t>
  </si>
  <si>
    <t>2.747563080339511</t>
  </si>
  <si>
    <t>0.11999594686145498</t>
  </si>
  <si>
    <t>-0.9338978301739406</t>
  </si>
  <si>
    <t>0.03749340766046653</t>
  </si>
  <si>
    <t>-0.5028228959943795</t>
  </si>
  <si>
    <t>0.41827397060547133</t>
  </si>
  <si>
    <t>1.5194629460055553</t>
  </si>
  <si>
    <t>-1.7594317829511448</t>
  </si>
  <si>
    <t>-0.09132411538633277</t>
  </si>
  <si>
    <t>1.0733299649612944</t>
  </si>
  <si>
    <t>-0.19125286540389727</t>
  </si>
  <si>
    <t>-0.9061656776217571</t>
  </si>
  <si>
    <t>0.9466703816682567</t>
  </si>
  <si>
    <t>-0.11805963392210861</t>
  </si>
  <si>
    <t>-0.6724385188428964</t>
  </si>
  <si>
    <t>0.7921571379267572</t>
  </si>
  <si>
    <t>-0.8732754189866695</t>
  </si>
  <si>
    <t>1.0701583835859934</t>
  </si>
  <si>
    <t>-0.20934583619319722</t>
  </si>
  <si>
    <t>-0.3659689168741599</t>
  </si>
  <si>
    <t>-0.21030077217529117</t>
  </si>
  <si>
    <t>0.6815370834820041</t>
  </si>
  <si>
    <t>-0.12993395716455622</t>
  </si>
  <si>
    <t>-0.6372498970029407</t>
  </si>
  <si>
    <t>-0.34963220448333004</t>
  </si>
  <si>
    <t>0.7580562740258776</t>
  </si>
  <si>
    <t>-0.17417928197797125</t>
  </si>
  <si>
    <t>0.4448129962412349</t>
  </si>
  <si>
    <t>-0.5422540228691708</t>
  </si>
  <si>
    <t>-0.35322074429726563</t>
  </si>
  <si>
    <t>-0.8556739361906226</t>
  </si>
  <si>
    <t>-1.2815985786955582</t>
  </si>
  <si>
    <t>-0.5864912966809898</t>
  </si>
  <si>
    <t>0.775504979584134</t>
  </si>
  <si>
    <t>0.19576654637543425</t>
  </si>
  <si>
    <t>-0.19142554368696726</t>
  </si>
  <si>
    <t>-0.3470652530407768</t>
  </si>
  <si>
    <t>0.1294425481187106</t>
  </si>
  <si>
    <t>1.3150112989018046</t>
  </si>
  <si>
    <t>1.0200082619165394</t>
  </si>
  <si>
    <t>-0.08165550535313645</t>
  </si>
  <si>
    <t>-2.6761257389337874</t>
  </si>
  <si>
    <t>-1.631062478948258</t>
  </si>
  <si>
    <t>-0.10048868360905044</t>
  </si>
  <si>
    <t>-0.144469575633592</t>
  </si>
  <si>
    <t>-0.7154301822867405</t>
  </si>
  <si>
    <t>-0.29422530356726406</t>
  </si>
  <si>
    <t>0.12903738727590416</t>
  </si>
  <si>
    <t>-2.1803596484874643</t>
  </si>
  <si>
    <t>-0.529887107655839</t>
  </si>
  <si>
    <t>1.5754923795791496</t>
  </si>
  <si>
    <t>0.18355682948371269</t>
  </si>
  <si>
    <t>-0.04376307702352854</t>
  </si>
  <si>
    <t>-0.0473388046772891</t>
  </si>
  <si>
    <t>-0.24329064849581927</t>
  </si>
  <si>
    <t>0.8824790905109132</t>
  </si>
  <si>
    <t>-0.9291182903900697</t>
  </si>
  <si>
    <t>1.3826431633937657</t>
  </si>
  <si>
    <t>1.132737913099362</t>
  </si>
  <si>
    <t>0.2428328572320424</t>
  </si>
  <si>
    <t>-0.2834298955265545</t>
  </si>
  <si>
    <t>-0.7420956444019503</t>
  </si>
  <si>
    <t>-1.397706474728337</t>
  </si>
  <si>
    <t>0.20235117865581448</t>
  </si>
  <si>
    <t>-0.06427418865263722</t>
  </si>
  <si>
    <t>-0.004316339314774651</t>
  </si>
  <si>
    <t>-0.2369523406853593</t>
  </si>
  <si>
    <t>0.5470508652589505</t>
  </si>
  <si>
    <t>1.4287523117418035</t>
  </si>
  <si>
    <t>0.0637682700306336</t>
  </si>
  <si>
    <t>-0.7493641500862233</t>
  </si>
  <si>
    <t>0.056384312213981</t>
  </si>
  <si>
    <t>0.9038159960534019</t>
  </si>
  <si>
    <t>-0.2558524832292598</t>
  </si>
  <si>
    <t>-1.075060604438159</t>
  </si>
  <si>
    <t>-0.4582209671992728</t>
  </si>
  <si>
    <t>-0.811292939238015</t>
  </si>
  <si>
    <t>-1.4659252293553635</t>
  </si>
  <si>
    <t>0.10307035246265919</t>
  </si>
  <si>
    <t>0.01793199606536713</t>
  </si>
  <si>
    <t>-0.21785865560240902</t>
  </si>
  <si>
    <t>-0.06944753998379259</t>
  </si>
  <si>
    <t>-0.6782630507145824</t>
  </si>
  <si>
    <t>1.8824838511503137</t>
  </si>
  <si>
    <t>0.698639304663317</t>
  </si>
  <si>
    <t>0.28131998442125483</t>
  </si>
  <si>
    <t>-0.532429601041888</t>
  </si>
  <si>
    <t>0.2873938307449755</t>
  </si>
  <si>
    <t>0.4036373429075485</t>
  </si>
  <si>
    <t>-0.675134747955237</t>
  </si>
  <si>
    <t>0.17037918956902842</t>
  </si>
  <si>
    <t>-0.8164935219570821</t>
  </si>
  <si>
    <t>-0.03246792455159744</t>
  </si>
  <si>
    <t>-0.9324605861526754</t>
  </si>
  <si>
    <t>-0.06399345119836483</t>
  </si>
  <si>
    <t>-0.4041711234953914</t>
  </si>
  <si>
    <t>0.3139042859186211</t>
  </si>
  <si>
    <t>-0.19421800166755837</t>
  </si>
  <si>
    <t>0.2728046851095255</t>
  </si>
  <si>
    <t>-1.4784335372086146</t>
  </si>
  <si>
    <t>1.8627650550917443</t>
  </si>
  <si>
    <t>0.36545329455621706</t>
  </si>
  <si>
    <t>0.08569319182102374</t>
  </si>
  <si>
    <t>-2.600315389166868</t>
  </si>
  <si>
    <t>-0.5229872198318097</t>
  </si>
  <si>
    <t>-0.2184490913971867</t>
  </si>
  <si>
    <t>1.1003200349642441</t>
  </si>
  <si>
    <t>0.17580230908234581</t>
  </si>
  <si>
    <t>-1.4667392895143276</t>
  </si>
  <si>
    <t>-0.36922909730297127</t>
  </si>
  <si>
    <t>0.6438185416183132</t>
  </si>
  <si>
    <t>-0.22358448428478345</t>
  </si>
  <si>
    <t>0.76948024870924</t>
  </si>
  <si>
    <t>0.45567177715281243</t>
  </si>
  <si>
    <t>1.309620017804605</t>
  </si>
  <si>
    <t>1.0092060395046336</t>
  </si>
  <si>
    <t>-0.3573356784529219</t>
  </si>
  <si>
    <t>-0.35152948485916263</t>
  </si>
  <si>
    <t>-0.2159330100200386</t>
  </si>
  <si>
    <t>0.00482980844338385</t>
  </si>
  <si>
    <t>0.5603620242628379</t>
  </si>
  <si>
    <t>-1.019784120753771</t>
  </si>
  <si>
    <t>-0.10792239716626473</t>
  </si>
  <si>
    <t>0.2739431408313813</t>
  </si>
  <si>
    <t>0.8407978760192921</t>
  </si>
  <si>
    <t>-0.743731411341083</t>
  </si>
  <si>
    <t>0.24380173050612358</t>
  </si>
  <si>
    <t>-0.7628261799757428</t>
  </si>
  <si>
    <t>-1.0470691203939018</t>
  </si>
  <si>
    <t>0.06041302921366522</t>
  </si>
  <si>
    <t>-0.18234292075192693</t>
  </si>
  <si>
    <t>0.9326580051939892</t>
  </si>
  <si>
    <t>0.7524679207900546</t>
  </si>
  <si>
    <t>-0.3328315106409052</t>
  </si>
  <si>
    <t>0.07201642798318199</t>
  </si>
  <si>
    <t>0.7180194070128385</t>
  </si>
  <si>
    <t>0.6171903348317197</t>
  </si>
  <si>
    <t>0.5047422792014776</t>
  </si>
  <si>
    <t>-0.5780690368360268</t>
  </si>
  <si>
    <t>1.054969415027355</t>
  </si>
  <si>
    <t>-0.02260929084174569</t>
  </si>
  <si>
    <t>0.5771199165441965</t>
  </si>
  <si>
    <t>1.7206919689753957</t>
  </si>
  <si>
    <t>-0.6962915143459854</t>
  </si>
  <si>
    <t>0.8844601094844582</t>
  </si>
  <si>
    <t>0.4428924595368922</t>
  </si>
  <si>
    <t>-0.6641150512519319</t>
  </si>
  <si>
    <t>-0.19254995748740966</t>
  </si>
  <si>
    <t>2.475970490404906</t>
  </si>
  <si>
    <t>-0.12467301612191684</t>
  </si>
  <si>
    <t>0.692369491721672</t>
  </si>
  <si>
    <t>-0.085790979408515</t>
  </si>
  <si>
    <t>0.8307661695592771</t>
  </si>
  <si>
    <t>-0.5030507217234913</t>
  </si>
  <si>
    <t>0.40337396014613935</t>
  </si>
  <si>
    <t>0.35531034331640543</t>
  </si>
  <si>
    <t>0.393112481125496</t>
  </si>
  <si>
    <t>0.9387210934112502</t>
  </si>
  <si>
    <t>-0.05950313134763027</t>
  </si>
  <si>
    <t>0.5057495983559037</t>
  </si>
  <si>
    <t>-0.8555696058068571</t>
  </si>
  <si>
    <t>0.6020622860862397</t>
  </si>
  <si>
    <t>0.37122964957534005</t>
  </si>
  <si>
    <t>-1.0624026435125127</t>
  </si>
  <si>
    <t>-0.7003743492814851</t>
  </si>
  <si>
    <t>-1.730918101874936</t>
  </si>
  <si>
    <t>-0.6383148925807705</t>
  </si>
  <si>
    <t>-0.2560272363092934</t>
  </si>
  <si>
    <t>-0.8337723298196765</t>
  </si>
  <si>
    <t>-1.7414953035692327</t>
  </si>
  <si>
    <t>-0.08438059125178726</t>
  </si>
  <si>
    <t>1.2159883984670043</t>
  </si>
  <si>
    <t>-0.2985152503350752</t>
  </si>
  <si>
    <t>-1.0725185354452247</t>
  </si>
  <si>
    <t>0.8791054603235222</t>
  </si>
  <si>
    <t>0.12195324334407316</t>
  </si>
  <si>
    <t>0.6632297610464144</t>
  </si>
  <si>
    <t>-1.2873364942635765</t>
  </si>
  <si>
    <t>0.09787233868588036</t>
  </si>
  <si>
    <t>-1.0945568472402727</t>
  </si>
  <si>
    <t>-0.3229886985166223</t>
  </si>
  <si>
    <t>1.0647648057318546</t>
  </si>
  <si>
    <t>-0.09411178297189564</t>
  </si>
  <si>
    <t>0.576236320297243</t>
  </si>
  <si>
    <t>0.1071537194088818</t>
  </si>
  <si>
    <t>0.4011435453773501</t>
  </si>
  <si>
    <t>1.8042906571664212</t>
  </si>
  <si>
    <t>0.09593587875358311</t>
  </si>
  <si>
    <t>0.5552635414801982</t>
  </si>
  <si>
    <t>-0.31068027869753134</t>
  </si>
  <si>
    <t>-0.5384981044204502</t>
  </si>
  <si>
    <t>0.8221368596264811</t>
  </si>
  <si>
    <t>-1.4239404820912964</t>
  </si>
  <si>
    <t>-0.46676667357149</t>
  </si>
  <si>
    <t>-0.4369266318283355</t>
  </si>
  <si>
    <t>-3.800913578388966</t>
  </si>
  <si>
    <t>0.13818743437284767</t>
  </si>
  <si>
    <t>0.11799152900341836</t>
  </si>
  <si>
    <t>-1.7583963096169486</t>
  </si>
  <si>
    <t>0.7230140081094749</t>
  </si>
  <si>
    <t>-1.3352397075438862</t>
  </si>
  <si>
    <t>0.09632466016630827</t>
  </si>
  <si>
    <t>-1.408422162679657</t>
  </si>
  <si>
    <t>0.37086521689678903</t>
  </si>
  <si>
    <t>-1.2266445564316073</t>
  </si>
  <si>
    <t>-0.029679157011457135</t>
  </si>
  <si>
    <t>-0.93595009894482</t>
  </si>
  <si>
    <t>-0.962828465916295</t>
  </si>
  <si>
    <t>0.37311799124099715</t>
  </si>
  <si>
    <t>0.3942402797315472</t>
  </si>
  <si>
    <t>-1.7395853091339661</t>
  </si>
  <si>
    <t>0.7377539195261764</t>
  </si>
  <si>
    <t>0.4449874375704237</t>
  </si>
  <si>
    <t>-1.8295990165875347</t>
  </si>
  <si>
    <t>-1.1802558151523588</t>
  </si>
  <si>
    <t>2.532725583916031</t>
  </si>
  <si>
    <t>-0.596499523303614</t>
  </si>
  <si>
    <t>-1.453692425187784</t>
  </si>
  <si>
    <t>0.602297731171754</t>
  </si>
  <si>
    <t>1.252086223883138</t>
  </si>
  <si>
    <t>-1.2454063523898307</t>
  </si>
  <si>
    <t>-0.3308018549366137</t>
  </si>
  <si>
    <t>-1.4168863121585926</t>
  </si>
  <si>
    <t>-0.1590390625517643</t>
  </si>
  <si>
    <t>0.7710626736614535</t>
  </si>
  <si>
    <t>3.7687557871997375</t>
  </si>
  <si>
    <t>-0.0893912989902068</t>
  </si>
  <si>
    <t>-0.0827495358512314</t>
  </si>
  <si>
    <t>-0.13808532584294395</t>
  </si>
  <si>
    <t>-3.2814778807580307</t>
  </si>
  <si>
    <t>-0.09151160719567862</t>
  </si>
  <si>
    <t>-1.9369189111862335</t>
  </si>
  <si>
    <t>-0.5283984022009961</t>
  </si>
  <si>
    <t>0.5064835213485281</t>
  </si>
  <si>
    <t>-1.3237172157828294</t>
  </si>
  <si>
    <t>-0.5223116836455945</t>
  </si>
  <si>
    <t>-2.3679871877543075</t>
  </si>
  <si>
    <t>-5.232409652526625</t>
  </si>
  <si>
    <t>-1.9913256009646125</t>
  </si>
  <si>
    <t>1.30748423530855</t>
  </si>
  <si>
    <t>2.4565654700348443</t>
  </si>
  <si>
    <t>6.04011032202168</t>
  </si>
  <si>
    <t>-3.276858735897353</t>
  </si>
  <si>
    <t>1.8347514068584183</t>
  </si>
  <si>
    <t>3.4203322532296654</t>
  </si>
  <si>
    <t>-0.6467175898944305</t>
  </si>
  <si>
    <t>-0.30634370091318897</t>
  </si>
  <si>
    <t>-0.22162563293004245</t>
  </si>
  <si>
    <t>1.8651663604314384</t>
  </si>
  <si>
    <t>2.8984819772562203</t>
  </si>
  <si>
    <t>-0.7421714680297342</t>
  </si>
  <si>
    <t>0.3447696844064213</t>
  </si>
  <si>
    <t>-0.9082166163346506</t>
  </si>
  <si>
    <t>-0.006356921354042907</t>
  </si>
  <si>
    <t>-0.32847843938123766</t>
  </si>
  <si>
    <t>2.2241803596497687</t>
  </si>
  <si>
    <t>-1.252533943103559</t>
  </si>
  <si>
    <t>0.07789075677014909</t>
  </si>
  <si>
    <t>2.035685583476389</t>
  </si>
  <si>
    <t>-0.9325188520918031</t>
  </si>
  <si>
    <t>-0.13020119341656297</t>
  </si>
  <si>
    <t>0.10326824395633899</t>
  </si>
  <si>
    <t>0.7916540432501368</t>
  </si>
  <si>
    <t>-1.6148894253605373</t>
  </si>
  <si>
    <t>0.24390735715210723</t>
  </si>
  <si>
    <t>-0.4553323832422179</t>
  </si>
  <si>
    <t>-1.16844913794929</t>
  </si>
  <si>
    <t>-0.27301038049744464</t>
  </si>
  <si>
    <t>-2.4393152833891487</t>
  </si>
  <si>
    <t>-0.8846077548270764</t>
  </si>
  <si>
    <t>-1.9721360497540006</t>
  </si>
  <si>
    <t>-0.1469706573214455</t>
  </si>
  <si>
    <t>1.006044463877253</t>
  </si>
  <si>
    <t>1.546124597334458</t>
  </si>
  <si>
    <t>2.5895971033485994</t>
  </si>
  <si>
    <t>-0.2616533427961529</t>
  </si>
  <si>
    <t>0.8398187899620014</t>
  </si>
  <si>
    <t>-0.9443313337690545</t>
  </si>
  <si>
    <t>-1.6750341121138568</t>
  </si>
  <si>
    <t>1.5552593080885038</t>
  </si>
  <si>
    <t>3.529384945659411</t>
  </si>
  <si>
    <t>0.5084537910266955</t>
  </si>
  <si>
    <t>-1.0818141808696649</t>
  </si>
  <si>
    <t>0.5069016605659856</t>
  </si>
  <si>
    <t>2.090241531264416</t>
  </si>
  <si>
    <t>0.18291064640412227</t>
  </si>
  <si>
    <t>0.4241513489715614</t>
  </si>
  <si>
    <t>-1.2991466545428756</t>
  </si>
  <si>
    <t>2.878661230749955</t>
  </si>
  <si>
    <t>0.3216511298845964</t>
  </si>
  <si>
    <t>-0.9053716773758191</t>
  </si>
  <si>
    <t>0.3134992324232721</t>
  </si>
  <si>
    <t>0.36275235836270203</t>
  </si>
  <si>
    <t>-1.6597758620035212</t>
  </si>
  <si>
    <t>2.235015566400558</t>
  </si>
  <si>
    <t>0.8438879404068368</t>
  </si>
  <si>
    <t>0.4019593481299777</t>
  </si>
  <si>
    <t>-0.8132698674755915</t>
  </si>
  <si>
    <t>-0.3441520531027795</t>
  </si>
  <si>
    <t>-1.8005394527048646</t>
  </si>
  <si>
    <t>-0.2439952256788498</t>
  </si>
  <si>
    <t>1.298030518929957</t>
  </si>
  <si>
    <t>-0.07235079105676552</t>
  </si>
  <si>
    <t>-1.469188654159464</t>
  </si>
  <si>
    <t>1.6251025187376722</t>
  </si>
  <si>
    <t>-1.1101463371833464</t>
  </si>
  <si>
    <t>0.3351019095647559</t>
  </si>
  <si>
    <t>-1.2663468789307173</t>
  </si>
  <si>
    <t>1.0604314672769684</t>
  </si>
  <si>
    <t>-0.1999239203091653</t>
  </si>
  <si>
    <t>0.0005192648945029823</t>
  </si>
  <si>
    <t>-0.6322021580961326</t>
  </si>
  <si>
    <t>-1.8737992006046569</t>
  </si>
  <si>
    <t>3.3208048540697566</t>
  </si>
  <si>
    <t>-0.35312478553001403</t>
  </si>
  <si>
    <t>0.7164136527303777</t>
  </si>
  <si>
    <t>0.22832635977239324</t>
  </si>
  <si>
    <t>1.5230151327678103</t>
  </si>
  <si>
    <t>1.7462456680134184</t>
  </si>
  <si>
    <t>0.3432527590992873</t>
  </si>
  <si>
    <t>-1.666611388099205</t>
  </si>
  <si>
    <t>-1.411319626311223</t>
  </si>
  <si>
    <t>-0.8174756729835142</t>
  </si>
  <si>
    <t>0.2842888973596006</t>
  </si>
  <si>
    <t>-0.47568849865061613</t>
  </si>
  <si>
    <t>-0.8456508390283914</t>
  </si>
  <si>
    <t>0.897343541916999</t>
  </si>
  <si>
    <t>1.7568197157253471</t>
  </si>
  <si>
    <t>0.18401067326384093</t>
  </si>
  <si>
    <t>-3.021859471055811</t>
  </si>
  <si>
    <t>-0.19558571437616634</t>
  </si>
  <si>
    <t>-0.21470448002705494</t>
  </si>
  <si>
    <t>0.17547454283592434</t>
  </si>
  <si>
    <t>2.5123749656506518</t>
  </si>
  <si>
    <t>2.172871852190906</t>
  </si>
  <si>
    <t>2.8052878491564406</t>
  </si>
  <si>
    <t>-0.12977261510371785</t>
  </si>
  <si>
    <t>-1.5984416638424663</t>
  </si>
  <si>
    <t>-0.027732347188189493</t>
  </si>
  <si>
    <t>0.875579142409094</t>
  </si>
  <si>
    <t>1.0225411473273083</t>
  </si>
  <si>
    <t>-0.6694058223407928</t>
  </si>
  <si>
    <t>-0.6067738733263437</t>
  </si>
  <si>
    <t>0.650255573672143</t>
  </si>
  <si>
    <t>-1.350926012074856</t>
  </si>
  <si>
    <t>0.8445203784316336</t>
  </si>
  <si>
    <t>0.36886233443330324</t>
  </si>
  <si>
    <t>0.6265300929579957</t>
  </si>
  <si>
    <t>0.7653648142350518</t>
  </si>
  <si>
    <t>0.6545096614089057</t>
  </si>
  <si>
    <t>0.6005294427547225</t>
  </si>
  <si>
    <t>-0.00816421152356173</t>
  </si>
  <si>
    <t>0.026665746308149534</t>
  </si>
  <si>
    <t>0.8473778994506554</t>
  </si>
  <si>
    <t>0.6364001383091838</t>
  </si>
  <si>
    <t>-1.3831399362227457</t>
  </si>
  <si>
    <t>-0.46689067459373873</t>
  </si>
  <si>
    <t>-0.41166554394297833</t>
  </si>
  <si>
    <t>0.8615061966933741</t>
  </si>
  <si>
    <t>-1.5399389007993303</t>
  </si>
  <si>
    <t>0.20887288370920098</t>
  </si>
  <si>
    <t>-0.1477086977797981</t>
  </si>
  <si>
    <t>-0.8482596282635407</t>
  </si>
  <si>
    <t>0.46977595636115577</t>
  </si>
  <si>
    <t>-1.669906088157418</t>
  </si>
  <si>
    <t>1.153757929530586</t>
  </si>
  <si>
    <t>0.0491474411855521</t>
  </si>
  <si>
    <t>-0.4019809298016106</t>
  </si>
  <si>
    <t>-0.3821355419274371</t>
  </si>
  <si>
    <t>-0.7199778368146488</t>
  </si>
  <si>
    <t>-0.4619366356573011</t>
  </si>
  <si>
    <t>1.774658257021587</t>
  </si>
  <si>
    <t>-0.6295361306275902</t>
  </si>
  <si>
    <t>-1.5685701291716785</t>
  </si>
  <si>
    <t>1.2730108291319446</t>
  </si>
  <si>
    <t>-0.7566369161023097</t>
  </si>
  <si>
    <t>-0.7158668530603265</t>
  </si>
  <si>
    <t>-0.5520268295122365</t>
  </si>
  <si>
    <t>-0.36141502191839503</t>
  </si>
  <si>
    <t>-0.8136454774081209</t>
  </si>
  <si>
    <t>-1.5042993346323392</t>
  </si>
  <si>
    <t>-0.05407624873195897</t>
  </si>
  <si>
    <t>0.38998900866655667</t>
  </si>
  <si>
    <t>-0.4030557146296376</t>
  </si>
  <si>
    <t>-0.6032273917950791</t>
  </si>
  <si>
    <t>1.2318213986038857</t>
  </si>
  <si>
    <t>0.7984240247105804</t>
  </si>
  <si>
    <t>2.313205872616413</t>
  </si>
  <si>
    <t>-1.1646791927565834</t>
  </si>
  <si>
    <t>-0.30986244185668893</t>
  </si>
  <si>
    <t>-0.392031380537065</t>
  </si>
  <si>
    <t>-1.9907981517688669</t>
  </si>
  <si>
    <t>0.32804573405683846</t>
  </si>
  <si>
    <t>-0.3581360533027771</t>
  </si>
  <si>
    <t>-0.9171971362876387</t>
  </si>
  <si>
    <t>-0.5757311359535383</t>
  </si>
  <si>
    <t>0.695216035898882</t>
  </si>
  <si>
    <t>0.16430162914863172</t>
  </si>
  <si>
    <t>-0.5846121399407719</t>
  </si>
  <si>
    <t>-1.1837498047029338</t>
  </si>
  <si>
    <t>0.6066973404019781</t>
  </si>
  <si>
    <t>-0.38972886725703404</t>
  </si>
  <si>
    <t>0.8449848265323892</t>
  </si>
  <si>
    <t>0.16321001997132314</t>
  </si>
  <si>
    <t>0.9061030849950068</t>
  </si>
  <si>
    <t>0.17001265127735266</t>
  </si>
  <si>
    <t>0.8775109976779459</t>
  </si>
  <si>
    <t>-0.3967229527424466</t>
  </si>
  <si>
    <t>-1.4216779922449838</t>
  </si>
  <si>
    <t>-0.17966396916036698</t>
  </si>
  <si>
    <t>0.6739323113882663</t>
  </si>
  <si>
    <t>-0.45780409568838043</t>
  </si>
  <si>
    <t>-0.5230724548943712</t>
  </si>
  <si>
    <t>0.6965025445977601</t>
  </si>
  <si>
    <t>0.4359233235689806</t>
  </si>
  <si>
    <t>3.363194091079798</t>
  </si>
  <si>
    <t>-1.5052700694636558</t>
  </si>
  <si>
    <t>-0.903364645832294</t>
  </si>
  <si>
    <t>0.7192390742936982</t>
  </si>
  <si>
    <t>0.3401558882290004</t>
  </si>
  <si>
    <t>0.8459527493097193</t>
  </si>
  <si>
    <t>0.016186026237945458</t>
  </si>
  <si>
    <t>1.4161691974079254</t>
  </si>
  <si>
    <t>-1.7341774617300234</t>
  </si>
  <si>
    <t>1.4660420348037326</t>
  </si>
  <si>
    <t>-0.49062034100195573</t>
  </si>
  <si>
    <t>-0.27342495495828123</t>
  </si>
  <si>
    <t>-2.284648229742873</t>
  </si>
  <si>
    <t>-0.6072068586321927</t>
  </si>
  <si>
    <t>-0.42344803056099173</t>
  </si>
  <si>
    <t>-1.3749704853884472</t>
  </si>
  <si>
    <t>-0.9401073675341504</t>
  </si>
  <si>
    <t>-2.6524131649797975</t>
  </si>
  <si>
    <t>-1.5501334684799228</t>
  </si>
  <si>
    <t>0.9951808385159621</t>
  </si>
  <si>
    <t>-0.37515269399762113</t>
  </si>
  <si>
    <t>0.8951850622198317</t>
  </si>
  <si>
    <t>-1.4777778547951936</t>
  </si>
  <si>
    <t>-2.022032646025358</t>
  </si>
  <si>
    <t>-0.635418823452352</t>
  </si>
  <si>
    <t>-0.44256104774422217</t>
  </si>
  <si>
    <t>-1.5691827718930245</t>
  </si>
  <si>
    <t>0.9347905219330651</t>
  </si>
  <si>
    <t>-1.2277015957476747</t>
  </si>
  <si>
    <t>0.3088901241752315</t>
  </si>
  <si>
    <t>-0.30011528563023687</t>
  </si>
  <si>
    <t>-0.995354233752357</t>
  </si>
  <si>
    <t>1.156679633309862</t>
  </si>
  <si>
    <t>0.3346831350321438</t>
  </si>
  <si>
    <t>1.28922354787549</t>
  </si>
  <si>
    <t>1.561873351937606</t>
  </si>
  <si>
    <t>-2.0383034936085</t>
  </si>
  <si>
    <t>-3.281858208529703</t>
  </si>
  <si>
    <t>-0.4043218012109661</t>
  </si>
  <si>
    <t>0.973339273329521</t>
  </si>
  <si>
    <t>-1.197885730332386</t>
  </si>
  <si>
    <t>-0.29574179649863436</t>
  </si>
  <si>
    <t>-0.9010834854810441</t>
  </si>
  <si>
    <t>-0.5221006066442118</t>
  </si>
  <si>
    <t>-1.0300778376669477</t>
  </si>
  <si>
    <t>2.7334971441223663</t>
  </si>
  <si>
    <t>0.8826472758299378</t>
  </si>
  <si>
    <t>0.6247886524278343</t>
  </si>
  <si>
    <t>-2.1175086012235997</t>
  </si>
  <si>
    <t>0.41777008959250944</t>
  </si>
  <si>
    <t>0.6891672031058301</t>
  </si>
  <si>
    <t>-1.7331989949151676</t>
  </si>
  <si>
    <t>-0.861481407641929</t>
  </si>
  <si>
    <t>0.8398319075625583</t>
  </si>
  <si>
    <t>1.3366893661121102</t>
  </si>
  <si>
    <t>-1.6305449220299584</t>
  </si>
  <si>
    <t>-1.4616875955028679</t>
  </si>
  <si>
    <t>-0.911706300939942</t>
  </si>
  <si>
    <t>-1.2187649100217002</t>
  </si>
  <si>
    <t>-1.7748049262123367</t>
  </si>
  <si>
    <t>2.8879543905008673</t>
  </si>
  <si>
    <t>-1.7568237209675965</t>
  </si>
  <si>
    <t>-1.0699574446703206</t>
  </si>
  <si>
    <t>-2.3648328497016817</t>
  </si>
  <si>
    <t>-0.7664909528737133</t>
  </si>
  <si>
    <t>-0.7435461289646336</t>
  </si>
  <si>
    <t>-1.109441476273258</t>
  </si>
  <si>
    <t>0.039775216945474666</t>
  </si>
  <si>
    <t>-2.5172925014586096</t>
  </si>
  <si>
    <t>0.27685189073493205</t>
  </si>
  <si>
    <t>-0.7246998328576356</t>
  </si>
  <si>
    <t>-1.2200975015880267</t>
  </si>
  <si>
    <t>-0.33215987110417833</t>
  </si>
  <si>
    <t>1.92110283625544</t>
  </si>
  <si>
    <t>2.2342500088307533</t>
  </si>
  <si>
    <t>1.8884572909870554</t>
  </si>
  <si>
    <t>-3.5085720627115227</t>
  </si>
  <si>
    <t>-0.28386011746557654</t>
  </si>
  <si>
    <t>-2.3807157167947377</t>
  </si>
  <si>
    <t>0.9281869952536638</t>
  </si>
  <si>
    <t>2.0349271336318218</t>
  </si>
  <si>
    <t>-0.9205800990618872</t>
  </si>
  <si>
    <t>-0.7416827337321593</t>
  </si>
  <si>
    <t>-0.08944598156741705</t>
  </si>
  <si>
    <t>-1.0712572979096995</t>
  </si>
  <si>
    <t>-0.01955068471864193</t>
  </si>
  <si>
    <t>-2.1405149488474584</t>
  </si>
  <si>
    <t>-0.04195404509600898</t>
  </si>
  <si>
    <t>0.3189132552930925</t>
  </si>
  <si>
    <t>-0.3894838430412104</t>
  </si>
  <si>
    <t>-1.3910450773645593</t>
  </si>
  <si>
    <t>-0.10970867565306422</t>
  </si>
  <si>
    <t>1.470079569958971</t>
  </si>
  <si>
    <t>2.0461880131329684</t>
  </si>
  <si>
    <t>0.1383196416980803</t>
  </si>
  <si>
    <t>-0.4090063596431259</t>
  </si>
  <si>
    <t>-0.17801861462027468</t>
  </si>
  <si>
    <t>-0.9421246461353375</t>
  </si>
  <si>
    <t>-0.7440363566225414</t>
  </si>
  <si>
    <t>-0.4732524173946202</t>
  </si>
  <si>
    <t>0.36897755549640743</t>
  </si>
  <si>
    <t>-0.8745708256124887</t>
  </si>
  <si>
    <t>-0.06827150064458945</t>
  </si>
  <si>
    <t>0.7762246892409276</t>
  </si>
  <si>
    <t>0.335049812712467</t>
  </si>
  <si>
    <t>-0.9106153435131513</t>
  </si>
  <si>
    <t>0.014458627306475067</t>
  </si>
  <si>
    <t>-0.32580691368944364</t>
  </si>
  <si>
    <t>0.1111569670631036</t>
  </si>
  <si>
    <t>0.277053961312331</t>
  </si>
  <si>
    <t>-0.7057950768507847</t>
  </si>
  <si>
    <t>0.17161210895381218</t>
  </si>
  <si>
    <t>-0.584951861131649</t>
  </si>
  <si>
    <t>0.5653252828948667</t>
  </si>
  <si>
    <t>0.36201452414205765</t>
  </si>
  <si>
    <t>0.48758682980526147</t>
  </si>
  <si>
    <t>-0.6223139607128407</t>
  </si>
  <si>
    <t>0.8324225421636617</t>
  </si>
  <si>
    <t>-0.19180294492336888</t>
  </si>
  <si>
    <t>-0.4199786078240556</t>
  </si>
  <si>
    <t>0.5371821570455882</t>
  </si>
  <si>
    <t>0.2940568365529027</t>
  </si>
  <si>
    <t>-0.5951726422367334</t>
  </si>
  <si>
    <t>-0.38347012020469146</t>
  </si>
  <si>
    <t>0.11195511274477565</t>
  </si>
  <si>
    <t>0.14513241091276358</t>
  </si>
  <si>
    <t>-0.18033773837222417</t>
  </si>
  <si>
    <t>0.5092255274111888</t>
  </si>
  <si>
    <t>-0.1545182311382101</t>
  </si>
  <si>
    <t>-0.012421547531835145</t>
  </si>
  <si>
    <t>-0.37621519176688595</t>
  </si>
  <si>
    <t>-0.3265868823947745</t>
  </si>
  <si>
    <t>0.6945486339378915</t>
  </si>
  <si>
    <t>0.020297265311357893</t>
  </si>
  <si>
    <t>1.3409028428063134</t>
  </si>
  <si>
    <t>-0.2563662860013538</t>
  </si>
  <si>
    <t>0.009184591895423411</t>
  </si>
  <si>
    <t>-0.010527605440024453</t>
  </si>
  <si>
    <t>-0.026339720025436407</t>
  </si>
  <si>
    <t>0.07679057734533658</t>
  </si>
  <si>
    <t>0.11667709808716621</t>
  </si>
  <si>
    <t>0.08487234144591725</t>
  </si>
  <si>
    <t>0.14176518848316158</t>
  </si>
  <si>
    <t>-0.6108598749891229</t>
  </si>
  <si>
    <t>0.07083595511768417</t>
  </si>
  <si>
    <t>-0.2279580679210382</t>
  </si>
  <si>
    <t>0.3604444434859027</t>
  </si>
  <si>
    <t>-0.18810651909325432</t>
  </si>
  <si>
    <t>-1.067359755918641</t>
  </si>
  <si>
    <t>1.3843116825794513</t>
  </si>
  <si>
    <t>-0.223574643670044</t>
  </si>
  <si>
    <t>-0.9785219522041013</t>
  </si>
  <si>
    <t>0.737256891391149</t>
  </si>
  <si>
    <t>0.4726873986640661</t>
  </si>
  <si>
    <t>-0.10179675970830407</t>
  </si>
  <si>
    <t>-0.5809582368538281</t>
  </si>
  <si>
    <t>1.0670300205812282</t>
  </si>
  <si>
    <t>-0.5240454663223639</t>
  </si>
  <si>
    <t>0.5608030369848801</t>
  </si>
  <si>
    <t>1.1471717965514543</t>
  </si>
  <si>
    <t>-0.2772589665297299</t>
  </si>
  <si>
    <t>-0.8468289065343997</t>
  </si>
  <si>
    <t>-0.061115938490466454</t>
  </si>
  <si>
    <t>0.36373606141734693</t>
  </si>
  <si>
    <t>0.3531053026033568</t>
  </si>
  <si>
    <t>0.32923045305109744</t>
  </si>
  <si>
    <t>-0.6368634812642917</t>
  </si>
  <si>
    <t>0.32517989408600523</t>
  </si>
  <si>
    <t>-0.13633722555369432</t>
  </si>
  <si>
    <t>0.16099827331295602</t>
  </si>
  <si>
    <t>1.112183343428405</t>
  </si>
  <si>
    <t>0.010526518925798927</t>
  </si>
  <si>
    <t>-0.2132463112629217</t>
  </si>
  <si>
    <t>-0.4807260802005729</t>
  </si>
  <si>
    <t>0.2405079167456858</t>
  </si>
  <si>
    <t>-0.6091496408658859</t>
  </si>
  <si>
    <t>-0.6361489389615437</t>
  </si>
  <si>
    <t>0.9342682771649512</t>
  </si>
  <si>
    <t>0.16617338143727656</t>
  </si>
  <si>
    <t>1.6986737925859798</t>
  </si>
  <si>
    <t>0.19676488121518942</t>
  </si>
  <si>
    <t>0.4340103560898291</t>
  </si>
  <si>
    <t>0.30691645593445543</t>
  </si>
  <si>
    <t>0.7264051729426717</t>
  </si>
  <si>
    <t>0.07786741465034512</t>
  </si>
  <si>
    <t>0.7138940747005976</t>
  </si>
  <si>
    <t>-1.0281606894157203</t>
  </si>
  <si>
    <t>0.39018827410513907</t>
  </si>
  <si>
    <t>0.3077442680753638</t>
  </si>
  <si>
    <t>-0.41077384349559204</t>
  </si>
  <si>
    <t>0.8970771465048292</t>
  </si>
  <si>
    <t>0.5336556997383258</t>
  </si>
  <si>
    <t>0.4296283766040806</t>
  </si>
  <si>
    <t>-0.6746517595523727</t>
  </si>
  <si>
    <t>1.226276527429093</t>
  </si>
  <si>
    <t>0.5612032026161066</t>
  </si>
  <si>
    <t>0.1054713444815781</t>
  </si>
  <si>
    <t>0.06663043714978804</t>
  </si>
  <si>
    <t>0.37450445940310784</t>
  </si>
  <si>
    <t>-0.5073558704311437</t>
  </si>
  <si>
    <t>-0.6404823643491655</t>
  </si>
  <si>
    <t>0.8280878025733986</t>
  </si>
  <si>
    <t>0.0881771760627224</t>
  </si>
  <si>
    <t>-0.6059143358242542</t>
  </si>
  <si>
    <t>0.0475261437019706</t>
  </si>
  <si>
    <t>-0.07544025011235263</t>
  </si>
  <si>
    <t>-0.7005462456447962</t>
  </si>
  <si>
    <t>-0.11995768004862829</t>
  </si>
  <si>
    <t>0.6565108140706137</t>
  </si>
  <si>
    <t>0.027355968921634645</t>
  </si>
  <si>
    <t>-1.2408441681103841</t>
  </si>
  <si>
    <t>0.9459074116943702</t>
  </si>
  <si>
    <t>0.4504418641967138</t>
  </si>
  <si>
    <t>-0.45352521426758885</t>
  </si>
  <si>
    <t>-0.028249443420639335</t>
  </si>
  <si>
    <t>1.034478436473474</t>
  </si>
  <si>
    <t>-0.1681895186088893</t>
  </si>
  <si>
    <t>0.1995761783863699</t>
  </si>
  <si>
    <t>0.5761922813626912</t>
  </si>
  <si>
    <t>-0.09426665175114626</t>
  </si>
  <si>
    <t>1.8307314471534215</t>
  </si>
  <si>
    <t>-0.594085667785084</t>
  </si>
  <si>
    <t>-0.08082830449886659</t>
  </si>
  <si>
    <t>0.5282349242555774</t>
  </si>
  <si>
    <t>0.5197975432304742</t>
  </si>
  <si>
    <t>-0.39062194418834484</t>
  </si>
  <si>
    <t>-1.2388110458755746</t>
  </si>
  <si>
    <t>-1.051247107642231</t>
  </si>
  <si>
    <t>-0.48034692724721717</t>
  </si>
  <si>
    <t>1.1687230259733827</t>
  </si>
  <si>
    <t>1.7556196689450223</t>
  </si>
  <si>
    <t>0.7446334712244772</t>
  </si>
  <si>
    <t>-0.8167272264654819</t>
  </si>
  <si>
    <t>-0.10239085137635168</t>
  </si>
  <si>
    <t>0.08878331572816683</t>
  </si>
  <si>
    <t>-0.6164082976491715</t>
  </si>
  <si>
    <t>0.34439631490641</t>
  </si>
  <si>
    <t>0.8578812706037012</t>
  </si>
  <si>
    <t>0.0205091645369399</t>
  </si>
  <si>
    <t>0.13904909655852873</t>
  </si>
  <si>
    <t>-0.027644094157214024</t>
  </si>
  <si>
    <t>1.2186042222671254</t>
  </si>
  <si>
    <t>-1.064457621333914</t>
  </si>
  <si>
    <t>-0.40851500381247347</t>
  </si>
  <si>
    <t>0.5839967646150515</t>
  </si>
  <si>
    <t>-2.4619213111434206</t>
  </si>
  <si>
    <t>0.13703295630980006</t>
  </si>
  <si>
    <t>1.292836890340019</t>
  </si>
  <si>
    <t>-0.2836820831029452</t>
  </si>
  <si>
    <t>0.652066873076111</t>
  </si>
  <si>
    <t>-0.15070984681387914</t>
  </si>
  <si>
    <t>-0.4762572913706416</t>
  </si>
  <si>
    <t>0.33003233543915567</t>
  </si>
  <si>
    <t>-1.1682045193167072</t>
  </si>
  <si>
    <t>-0.06860368042955348</t>
  </si>
  <si>
    <t>0.17634355449961725</t>
  </si>
  <si>
    <t>-0.6362444032548508</t>
  </si>
  <si>
    <t>0.09876756099032197</t>
  </si>
  <si>
    <t>-0.5869474631946441</t>
  </si>
  <si>
    <t>0.10058048299569888</t>
  </si>
  <si>
    <t>-0.2198254452104982</t>
  </si>
  <si>
    <t>-0.30216188148993306</t>
  </si>
  <si>
    <t>-0.07782338578751274</t>
  </si>
  <si>
    <t>2.551420726046686</t>
  </si>
  <si>
    <t>0.25020043117644936</t>
  </si>
  <si>
    <t>1.1208821420445225</t>
  </si>
  <si>
    <t>-0.3118192217752784</t>
  </si>
  <si>
    <t>-0.5876755400700949</t>
  </si>
  <si>
    <t>0.5038281275345778</t>
  </si>
  <si>
    <t>-0.14354581061131882</t>
  </si>
  <si>
    <t>0.18510480801866577</t>
  </si>
  <si>
    <t>-0.2643614383915769</t>
  </si>
  <si>
    <t>0.34316729989762157</t>
  </si>
  <si>
    <t>-0.03017151025090823</t>
  </si>
  <si>
    <t>-0.05865470958780099</t>
  </si>
  <si>
    <t>0.2923992343246566</t>
  </si>
  <si>
    <t>-1.5542042792868405</t>
  </si>
  <si>
    <t>-0.4157788326315519</t>
  </si>
  <si>
    <t>0.00997067882336472</t>
  </si>
  <si>
    <t>0.2174038422748598</t>
  </si>
  <si>
    <t>1.1231371446424752</t>
  </si>
  <si>
    <t>-1.441085046842085</t>
  </si>
  <si>
    <t>1.1820896081117205</t>
  </si>
  <si>
    <t>-0.11783570390904519</t>
  </si>
  <si>
    <t>0.03238935956417718</t>
  </si>
  <si>
    <t>-0.1665152408618385</t>
  </si>
  <si>
    <t>1.701280966543515</t>
  </si>
  <si>
    <t>-0.9106670419869186</t>
  </si>
  <si>
    <t>-0.11759365767605161</t>
  </si>
  <si>
    <t>0.2525398623675254</t>
  </si>
  <si>
    <t>0.5121545397147838</t>
  </si>
  <si>
    <t>0.29764528323991696</t>
  </si>
  <si>
    <t>0.019399947821722746</t>
  </si>
  <si>
    <t>0.6146808618603251</t>
  </si>
  <si>
    <t>0.9257795362020496</t>
  </si>
  <si>
    <t>0.04746959449718192</t>
  </si>
  <si>
    <t>1.69172541426495</t>
  </si>
  <si>
    <t>-0.6502280419694659</t>
  </si>
  <si>
    <t>-0.40560622739118013</t>
  </si>
  <si>
    <t>0.6465019344405876</t>
  </si>
  <si>
    <t>-0.197219748064887</t>
  </si>
  <si>
    <t>-0.03545906002505527</t>
  </si>
  <si>
    <t>-0.6945348660954991</t>
  </si>
  <si>
    <t>-0.2683544100204633</t>
  </si>
  <si>
    <t>0.31797800273338583</t>
  </si>
  <si>
    <t>-0.3450556875935757</t>
  </si>
  <si>
    <t>1.4437135424744783</t>
  </si>
  <si>
    <t>0.20054723149236414</t>
  </si>
  <si>
    <t>0.945072372303414</t>
  </si>
  <si>
    <t>0.6397526950655705</t>
  </si>
  <si>
    <t>-0.08845675444369465</t>
  </si>
  <si>
    <t>-0.025332329369227143</t>
  </si>
  <si>
    <t>-0.6834937025626789</t>
  </si>
  <si>
    <t>0.19219013448883548</t>
  </si>
  <si>
    <t>-1.2900330004124716</t>
  </si>
  <si>
    <t>0.13443522681154974</t>
  </si>
  <si>
    <t>1.3433972761633017</t>
  </si>
  <si>
    <t>0.7510073177276886</t>
  </si>
  <si>
    <t>0.5352614334621986</t>
  </si>
  <si>
    <t>-0.35904939467494706</t>
  </si>
  <si>
    <t>0.005936630431799434</t>
  </si>
  <si>
    <t>0.47137440371933326</t>
  </si>
  <si>
    <t>-1.2780994630627278</t>
  </si>
  <si>
    <t>0.3171433986241887</t>
  </si>
  <si>
    <t>-0.28163743307968925</t>
  </si>
  <si>
    <t>-0.14634781981444522</t>
  </si>
  <si>
    <t>-0.08697403148612402</t>
  </si>
  <si>
    <t>-1.1535506388937633</t>
  </si>
  <si>
    <t>-0.43918307231446013</t>
  </si>
  <si>
    <t>1.0527818808925697</t>
  </si>
  <si>
    <t>0.25475234936893354</t>
  </si>
  <si>
    <t>0.3293383165334743</t>
  </si>
  <si>
    <t>1.786480373779206</t>
  </si>
  <si>
    <t>-0.17474394182521638</t>
  </si>
  <si>
    <t>-1.031414814494701</t>
  </si>
  <si>
    <t>0.1206358033005679</t>
  </si>
  <si>
    <t>2.212228477775823</t>
  </si>
  <si>
    <t>-0.5636255689046737</t>
  </si>
  <si>
    <t>-0.14316692276504145</t>
  </si>
  <si>
    <t>0.6508128227109394</t>
  </si>
  <si>
    <t>-0.44251788426481764</t>
  </si>
  <si>
    <t>-0.7967912294155046</t>
  </si>
  <si>
    <t>0.08374163017296134</t>
  </si>
  <si>
    <t>-0.5363090642901084</t>
  </si>
  <si>
    <t>-0.29350784980285916</t>
  </si>
  <si>
    <t>-0.33092644912717106</t>
  </si>
  <si>
    <t>0.5073054279680017</t>
  </si>
  <si>
    <t>-1.2868950925468623</t>
  </si>
  <si>
    <t>0.9778615796664767</t>
  </si>
  <si>
    <t>-1.2182775976569296</t>
  </si>
  <si>
    <t>-0.06370709884800482</t>
  </si>
  <si>
    <t>0.17712002783197955</t>
  </si>
  <si>
    <t>0.342571263790181</t>
  </si>
  <si>
    <t>1.3751332310455835</t>
  </si>
  <si>
    <t>0.07914674089564601</t>
  </si>
  <si>
    <t>-0.33870146299440756</t>
  </si>
  <si>
    <t>-1.1316694282091506</t>
  </si>
  <si>
    <t>0.49081823276342246</t>
  </si>
  <si>
    <t>-0.90284589453608</t>
  </si>
  <si>
    <t>-0.897685336829874</t>
  </si>
  <si>
    <t>1.4978735994731696</t>
  </si>
  <si>
    <t>-1.6150786442354408</t>
  </si>
  <si>
    <t>-0.22966684988640237</t>
  </si>
  <si>
    <t>0.4058509151169299</t>
  </si>
  <si>
    <t>-0.13383578988382652</t>
  </si>
  <si>
    <t>0.8337556444384603</t>
  </si>
  <si>
    <t>-0.09199908623290369</t>
  </si>
  <si>
    <t>-0.7281226453860121</t>
  </si>
  <si>
    <t>-0.332841476045049</t>
  </si>
  <si>
    <t>-0.08847941811474302</t>
  </si>
  <si>
    <t>-0.45456450199947124</t>
  </si>
  <si>
    <t>-0.5283802623618199</t>
  </si>
  <si>
    <t>1.8248593174933487</t>
  </si>
  <si>
    <t>1.0868471361968624</t>
  </si>
  <si>
    <t>-0.45711568623261045</t>
  </si>
  <si>
    <t>-1.2559948614521328</t>
  </si>
  <si>
    <t>1.890821845527523</t>
  </si>
  <si>
    <t>0.5641178361754151</t>
  </si>
  <si>
    <t>0.1208333572264864</t>
  </si>
  <si>
    <t>-0.8225431614791131</t>
  </si>
  <si>
    <t>-0.04995016151217758</t>
  </si>
  <si>
    <t>0.6723110115251641</t>
  </si>
  <si>
    <t>-0.30484788436799404</t>
  </si>
  <si>
    <t>-0.9783550936752091</t>
  </si>
  <si>
    <t>-0.6676869179990056</t>
  </si>
  <si>
    <t>0.057182154679019825</t>
  </si>
  <si>
    <t>-0.707574445039842</t>
  </si>
  <si>
    <t>0.3208433549689408</t>
  </si>
  <si>
    <t>0.6296736116307841</t>
  </si>
  <si>
    <t>1.680365268780024</t>
  </si>
  <si>
    <t>-0.4785555965620354</t>
  </si>
  <si>
    <t>0.6529988551145647</t>
  </si>
  <si>
    <t>-0.29476006342366373</t>
  </si>
  <si>
    <t>0.5362738272520061</t>
  </si>
  <si>
    <t>0.19937409939522796</t>
  </si>
  <si>
    <t>-0.47624865731941</t>
  </si>
  <si>
    <t>-0.785194078220547</t>
  </si>
  <si>
    <t>-0.7767661336367611</t>
  </si>
  <si>
    <t>-0.032640675139221406</t>
  </si>
  <si>
    <t>1.0182051426617695</t>
  </si>
  <si>
    <t>-0.5092157035767279</t>
  </si>
  <si>
    <t>-0.5356299766747896</t>
  </si>
  <si>
    <t>0.10976097658341322</t>
  </si>
  <si>
    <t>-0.7197083957404085</t>
  </si>
  <si>
    <t>-0.5542711538350779</t>
  </si>
  <si>
    <t>-0.5190758582170384</t>
  </si>
  <si>
    <t>0.6853204874676386</t>
  </si>
  <si>
    <t>1.3652694903313314</t>
  </si>
  <si>
    <t>-0.1701975784645736</t>
  </si>
  <si>
    <t>0.6171643459136216</t>
  </si>
  <si>
    <t>0.8510485367758365</t>
  </si>
  <si>
    <t>-1.2735945675105576</t>
  </si>
  <si>
    <t>-0.04019982840047249</t>
  </si>
  <si>
    <t>0.16979141206312542</t>
  </si>
  <si>
    <t>0.08904722018049342</t>
  </si>
  <si>
    <t>-0.13585987126101834</t>
  </si>
  <si>
    <t>0.028127250103975435</t>
  </si>
  <si>
    <t>-0.25072621958317826</t>
  </si>
  <si>
    <t>0.3502383193988075</t>
  </si>
  <si>
    <t>-0.30939212440985986</t>
  </si>
  <si>
    <t>0.010050872447022683</t>
  </si>
  <si>
    <t>0.44927917274714096</t>
  </si>
  <si>
    <t>-1.0396283111321478</t>
  </si>
  <si>
    <t>-0.40683284151679255</t>
  </si>
  <si>
    <t>0.41147000010478935</t>
  </si>
  <si>
    <t>-0.002898653925415937</t>
  </si>
  <si>
    <t>-0.4698290256469144</t>
  </si>
  <si>
    <t>0.10362786540511784</t>
  </si>
  <si>
    <t>-0.25799281206850855</t>
  </si>
  <si>
    <t>0.06640701824960916</t>
  </si>
  <si>
    <t>-0.0826189720706371</t>
  </si>
  <si>
    <t>0.7227574384374411</t>
  </si>
  <si>
    <t>-0.2481312977758375</t>
  </si>
  <si>
    <t>-0.2465325040906148</t>
  </si>
  <si>
    <t>0.25903433435338263</t>
  </si>
  <si>
    <t>-1.4369937053910917</t>
  </si>
  <si>
    <t>0.5800025021119821</t>
  </si>
  <si>
    <t>1.1422615022204647</t>
  </si>
  <si>
    <t>1.1631066729080843</t>
  </si>
  <si>
    <t>-0.20585338674721917</t>
  </si>
  <si>
    <t>0.6849619175000596</t>
  </si>
  <si>
    <t>0.1717045406960149</t>
  </si>
  <si>
    <t>-0.30430931861938854</t>
  </si>
  <si>
    <t>-0.7614799671980553</t>
  </si>
  <si>
    <t>0.05066391633904416</t>
  </si>
  <si>
    <t>1.0658687527312813</t>
  </si>
  <si>
    <t>0.32456600803978025</t>
  </si>
  <si>
    <t>0.5400991931370807</t>
  </si>
  <si>
    <t>-0.1584027620477869</t>
  </si>
  <si>
    <t>0.36024782383226855</t>
  </si>
  <si>
    <t>-0.5378830366025442</t>
  </si>
  <si>
    <t>0.4197973884045436</t>
  </si>
  <si>
    <t>-0.34865328274207846</t>
  </si>
  <si>
    <t>-0.42104531330465056</t>
  </si>
  <si>
    <t>-0.7646071120161971</t>
  </si>
  <si>
    <t>0.31495366788951584</t>
  </si>
  <si>
    <t>-0.4329528371744814</t>
  </si>
  <si>
    <t>0.7286230035547272</t>
  </si>
  <si>
    <t>-0.8502933630750686</t>
  </si>
  <si>
    <t>1.077976463503237</t>
  </si>
  <si>
    <t>-1.0491385983223565</t>
  </si>
  <si>
    <t>-0.2929100496700588</t>
  </si>
  <si>
    <t>0.09691672395110268</t>
  </si>
  <si>
    <t>0.4354133353034834</t>
  </si>
  <si>
    <t>0.8686820706449275</t>
  </si>
  <si>
    <t>-0.5250566262868073</t>
  </si>
  <si>
    <t>-1.254681172610759</t>
  </si>
  <si>
    <t>-0.13013109190159394</t>
  </si>
  <si>
    <t>1.0258173832729272</t>
  </si>
  <si>
    <t>-0.8164481705935891</t>
  </si>
  <si>
    <t>-0.278458277234097</t>
  </si>
  <si>
    <t>0.7841722805162337</t>
  </si>
  <si>
    <t>0.08262043164400515</t>
  </si>
  <si>
    <t>-0.7036339352575238</t>
  </si>
  <si>
    <t>-0.25624231017316434</t>
  </si>
  <si>
    <t>0.3456763497065865</t>
  </si>
  <si>
    <t>1.3118176279454952</t>
  </si>
  <si>
    <t>0.22268941918702692</t>
  </si>
  <si>
    <t>0.020956028412432284</t>
  </si>
  <si>
    <t>0.5564769805345852</t>
  </si>
  <si>
    <t>0.04140730571867793</t>
  </si>
  <si>
    <t>1.0909652971967396</t>
  </si>
  <si>
    <t>-0.11202541722458793</t>
  </si>
  <si>
    <t>-1.6940315972403615</t>
  </si>
  <si>
    <t>-0.2456652598222536</t>
  </si>
  <si>
    <t>1.575147262802198</t>
  </si>
  <si>
    <t>0.2301641673614938</t>
  </si>
  <si>
    <t>0.43307197291646043</t>
  </si>
  <si>
    <t>0.4528268452753716</t>
  </si>
  <si>
    <t>0.6912670698362982</t>
  </si>
  <si>
    <t>-0.3851849423961643</t>
  </si>
  <si>
    <t>0.5922339981835953</t>
  </si>
  <si>
    <t>-0.4069205625578178</t>
  </si>
  <si>
    <t>0.1164561706975144</t>
  </si>
  <si>
    <t>-0.11624578969362691</t>
  </si>
  <si>
    <t>-1.3139634332013461</t>
  </si>
  <si>
    <t>-0.8268217979557232</t>
  </si>
  <si>
    <t>0.26876965412525644</t>
  </si>
  <si>
    <t>-0.34074531773942607</t>
  </si>
  <si>
    <t>-1.3981814435346784</t>
  </si>
  <si>
    <t>0.2858398279740566</t>
  </si>
  <si>
    <t>0.34191919478540544</t>
  </si>
  <si>
    <t>-0.6576940183679418</t>
  </si>
  <si>
    <t>1.0501958565866807</t>
  </si>
  <si>
    <t>0.37273610158770526</t>
  </si>
  <si>
    <t>-1.6962510307894323</t>
  </si>
  <si>
    <t>-0.40776867634455294</t>
  </si>
  <si>
    <t>1.114055550964184</t>
  </si>
  <si>
    <t>-1.045129024981571</t>
  </si>
  <si>
    <t>-0.711622190378551</t>
  </si>
  <si>
    <t>0.33742827432889244</t>
  </si>
  <si>
    <t>0.7760864836308508</t>
  </si>
  <si>
    <t>1.7279864259196833</t>
  </si>
  <si>
    <t>-0.4889156449351983</t>
  </si>
  <si>
    <t>-0.13578947086572596</t>
  </si>
  <si>
    <t>0.3556135534725395</t>
  </si>
  <si>
    <t>0.8651502174656855</t>
  </si>
  <si>
    <t>-0.3090215345768832</t>
  </si>
  <si>
    <t>-0.283613281461777</t>
  </si>
  <si>
    <t>0.5008609375300599</t>
  </si>
  <si>
    <t>0.25072086579347364</t>
  </si>
  <si>
    <t>-0.23228864520738332</t>
  </si>
  <si>
    <t>-1.0793948505067203</t>
  </si>
  <si>
    <t>-0.21165942351855588</t>
  </si>
  <si>
    <t>-0.6818278247348727</t>
  </si>
  <si>
    <t>-0.516572053243848</t>
  </si>
  <si>
    <t>1.1589050833624197</t>
  </si>
  <si>
    <t>0.024235267255648136</t>
  </si>
  <si>
    <t>0.45504030640713955</t>
  </si>
  <si>
    <t>-0.5362372388516834</t>
  </si>
  <si>
    <t>0.5931043087633364</t>
  </si>
  <si>
    <t>-0.9413460292596724</t>
  </si>
  <si>
    <t>0.7139043834216063</t>
  </si>
  <si>
    <t>-0.0262321749408874</t>
  </si>
  <si>
    <t>1.356145116132355</t>
  </si>
  <si>
    <t>0.8820899505554796</t>
  </si>
  <si>
    <t>-0.041157763277647204</t>
  </si>
  <si>
    <t>0.19244025504073006</t>
  </si>
  <si>
    <t>-0.1735014351450409</t>
  </si>
  <si>
    <t>0.03941314105660941</t>
  </si>
  <si>
    <t>-0.9416171541168434</t>
  </si>
  <si>
    <t>-0.9124670688437362</t>
  </si>
  <si>
    <t>0.38442936390887317</t>
  </si>
  <si>
    <t>-0.6818279095867319</t>
  </si>
  <si>
    <t>0.744099878333079</t>
  </si>
  <si>
    <t>-1.6353724691585159</t>
  </si>
  <si>
    <t>-0.026785108246447604</t>
  </si>
  <si>
    <t>0.3442422219361908</t>
  </si>
  <si>
    <t>0.7987496459635082</t>
  </si>
  <si>
    <t>0.490243861463137</t>
  </si>
  <si>
    <t>0.6622663701375507</t>
  </si>
  <si>
    <t>-0.6243375753201817</t>
  </si>
  <si>
    <t>0.4487457293792046</t>
  </si>
  <si>
    <t>-0.12318725771184533</t>
  </si>
  <si>
    <t>-0.12008484680250431</t>
  </si>
  <si>
    <t>-0.2050323917253995</t>
  </si>
  <si>
    <t>0.5187685080463501</t>
  </si>
  <si>
    <t>-0.44534894245398354</t>
  </si>
  <si>
    <t>0.5334122357031704</t>
  </si>
  <si>
    <t>0.4344178463400609</t>
  </si>
  <si>
    <t>-0.482541775610662</t>
  </si>
  <si>
    <t>0.07709876356562145</t>
  </si>
  <si>
    <t>-0.6090853758555634</t>
  </si>
  <si>
    <t>0.04003453205565472</t>
  </si>
  <si>
    <t>-0.731072735550183</t>
  </si>
  <si>
    <t>0.5061212539723521</t>
  </si>
  <si>
    <t>-0.724172247601962</t>
  </si>
  <si>
    <t>0.3048930882744522</t>
  </si>
  <si>
    <t>0.20400953610236866</t>
  </si>
  <si>
    <t>-0.12696776321755707</t>
  </si>
  <si>
    <t>0.2771962204072979</t>
  </si>
  <si>
    <t>0.32386272785815556</t>
  </si>
  <si>
    <t>-0.3122381940917434</t>
  </si>
  <si>
    <t>-0.034443140859426236</t>
  </si>
  <si>
    <t>0.1945384815720272</t>
  </si>
  <si>
    <t>0.16241165997328458</t>
  </si>
  <si>
    <t>0.4281593007796822</t>
  </si>
  <si>
    <t>0.12449766010692442</t>
  </si>
  <si>
    <t>-0.696926295809519</t>
  </si>
  <si>
    <t>0.49087777600235577</t>
  </si>
  <si>
    <t>0.07541792964427509</t>
  </si>
  <si>
    <t>-0.33486307245898544</t>
  </si>
  <si>
    <t>-1.1620984797036111</t>
  </si>
  <si>
    <t>0.49185560613218265</t>
  </si>
  <si>
    <t>-0.18421661395222058</t>
  </si>
  <si>
    <t>0.38646758203269627</t>
  </si>
  <si>
    <t>-0.08289587373751423</t>
  </si>
  <si>
    <t>-0.39107612129182595</t>
  </si>
  <si>
    <t>-0.146516356245077</t>
  </si>
  <si>
    <t>-0.7972107321983326</t>
  </si>
  <si>
    <t>0.3933455163337968</t>
  </si>
  <si>
    <t>-0.46276265484178813</t>
  </si>
  <si>
    <t>0.19893388414828897</t>
  </si>
  <si>
    <t>0.051751159653347784</t>
  </si>
  <si>
    <t>-0.24821115579766778</t>
  </si>
  <si>
    <t>-0.01072004878808299</t>
  </si>
  <si>
    <t>-0.5261747850903896</t>
  </si>
  <si>
    <t>0.6302368191263732</t>
  </si>
  <si>
    <t>0.06681527521956382</t>
  </si>
  <si>
    <t>-1.04844280381857</t>
  </si>
  <si>
    <t>1.0654621783440628</t>
  </si>
  <si>
    <t>-0.7847233217341266</t>
  </si>
  <si>
    <t>0.7913420203937656</t>
  </si>
  <si>
    <t>0.48760573541685354</t>
  </si>
  <si>
    <t>0.27533683487557004</t>
  </si>
  <si>
    <t>0.12001454054225501</t>
  </si>
  <si>
    <t>-1.2204243543095796</t>
  </si>
  <si>
    <t>1.211333143540424</t>
  </si>
  <si>
    <t>-0.5343262754323728</t>
  </si>
  <si>
    <t>-0.31979392753982333</t>
  </si>
  <si>
    <t>-0.10668899310371616</t>
  </si>
  <si>
    <t>-0.003506677878919868</t>
  </si>
  <si>
    <t>-0.10476566813013347</t>
  </si>
  <si>
    <t>0.15876839976338697</t>
  </si>
  <si>
    <t>0.4817031504738633</t>
  </si>
  <si>
    <t>0.24349255716620818</t>
  </si>
  <si>
    <t>-0.3254370443765132</t>
  </si>
  <si>
    <t>0.06780380124802263</t>
  </si>
  <si>
    <t>-0.8029489653824714</t>
  </si>
  <si>
    <t>0.27524316045517266</t>
  </si>
  <si>
    <t>-0.7029259163601793</t>
  </si>
  <si>
    <t>-0.12502199331014882</t>
  </si>
  <si>
    <t>-1.1314600660709597</t>
  </si>
  <si>
    <t>0.25461691525906344</t>
  </si>
  <si>
    <t>-0.6177852628458635</t>
  </si>
  <si>
    <t>-0.8334802627064747</t>
  </si>
  <si>
    <t>1.0727098179877914</t>
  </si>
  <si>
    <t>-1.2137774191633068</t>
  </si>
  <si>
    <t>-0.1637286285048885</t>
  </si>
  <si>
    <t>0.43601242975278004</t>
  </si>
  <si>
    <t>-0.9495639586987451</t>
  </si>
  <si>
    <t>0.16943000594800825</t>
  </si>
  <si>
    <t>0.5061161439669662</t>
  </si>
  <si>
    <t>-0.70358266654914</t>
  </si>
  <si>
    <t>0.5405731409406425</t>
  </si>
  <si>
    <t>-0.4255684204975756</t>
  </si>
  <si>
    <t>0.2690740470631911</t>
  </si>
  <si>
    <t>-0.5302849702773178</t>
  </si>
  <si>
    <t>0.27396465702384204</t>
  </si>
  <si>
    <t>0.26457741182974237</t>
  </si>
  <si>
    <t>-0.3742453024897131</t>
  </si>
  <si>
    <t>-0.6046020703100622</t>
  </si>
  <si>
    <t>-0.05621475097888806</t>
  </si>
  <si>
    <t>-0.1632185614976329</t>
  </si>
  <si>
    <t>0.3539243513809458</t>
  </si>
  <si>
    <t>-0.24699011461702852</t>
  </si>
  <si>
    <t>0.233554456768145</t>
  </si>
  <si>
    <t>-0.5303613506855579</t>
  </si>
  <si>
    <t>-0.6696556540291512</t>
  </si>
  <si>
    <t>0.5904421510517571</t>
  </si>
  <si>
    <t>-0.906311336969236</t>
  </si>
  <si>
    <t>-0.6763918083229079</t>
  </si>
  <si>
    <t>-0.864042565876615</t>
  </si>
  <si>
    <t>0.1336951431225369</t>
  </si>
  <si>
    <t>-0.41063299760274197</t>
  </si>
  <si>
    <t>-1.022591981472961</t>
  </si>
  <si>
    <t>0.4013742573120224</t>
  </si>
  <si>
    <t>0.6071970897281596</t>
  </si>
  <si>
    <t>0.11933423060571345</t>
  </si>
  <si>
    <t>-0.49243123725066956</t>
  </si>
  <si>
    <t>-0.04513365329010168</t>
  </si>
  <si>
    <t>2.0443568234368636</t>
  </si>
  <si>
    <t>0.41408661778222994</t>
  </si>
  <si>
    <t>0.01641625795329469</t>
  </si>
  <si>
    <t>-0.13236324443918654</t>
  </si>
  <si>
    <t>-0.7535765509320791</t>
  </si>
  <si>
    <t>-0.6548326569349503</t>
  </si>
  <si>
    <t>-0.007757963843362558</t>
  </si>
  <si>
    <t>-0.9236975826769186</t>
  </si>
  <si>
    <t>-0.43873753270825816</t>
  </si>
  <si>
    <t>0.6626530477397682</t>
  </si>
  <si>
    <t>-0.34030135907765285</t>
  </si>
  <si>
    <t>0.9895794107920354</t>
  </si>
  <si>
    <t>-0.4257021397374525</t>
  </si>
  <si>
    <t>0.12114080225389845</t>
  </si>
  <si>
    <t>-0.24164578310510207</t>
  </si>
  <si>
    <t>0.638183791967331</t>
  </si>
  <si>
    <t>-0.6464966141457076</t>
  </si>
  <si>
    <t>0.2884391789254856</t>
  </si>
  <si>
    <t>-1.12866609803302</t>
  </si>
  <si>
    <t>-1.1352319189819144</t>
  </si>
  <si>
    <t>0.5535355769624749</t>
  </si>
  <si>
    <t>0.3476309353274575</t>
  </si>
  <si>
    <t>0.07287167064395278</t>
  </si>
  <si>
    <t>-1.0099342124840736</t>
  </si>
  <si>
    <t>-0.3671273280943709</t>
  </si>
  <si>
    <t>-1.3593780940960387</t>
  </si>
  <si>
    <t>0.7697150608731409</t>
  </si>
  <si>
    <t>0.64909290156253</t>
  </si>
  <si>
    <t>-0.8805138688862965</t>
  </si>
  <si>
    <t>0.2914472888245596</t>
  </si>
  <si>
    <t>-0.21713148467343746</t>
  </si>
  <si>
    <t>0.4336252993306366</t>
  </si>
  <si>
    <t>1.041491126918709</t>
  </si>
  <si>
    <t>-0.6997003696483903</t>
  </si>
  <si>
    <t>0.4691964345644731</t>
  </si>
  <si>
    <t>-0.11930109441042368</t>
  </si>
  <si>
    <t>0.8986709995463188</t>
  </si>
  <si>
    <t>-0.23440287735025045</t>
  </si>
  <si>
    <t>-0.18932460709734059</t>
  </si>
  <si>
    <t>-0.27802943459885354</t>
  </si>
  <si>
    <t>0.8786614629963149</t>
  </si>
  <si>
    <t>-0.0667345313948133</t>
  </si>
  <si>
    <t>0.4113335942584685</t>
  </si>
  <si>
    <t>0.2822784539487136</t>
  </si>
  <si>
    <t>0.09751184464856794</t>
  </si>
  <si>
    <t>0.6825591459599197</t>
  </si>
  <si>
    <t>0.23606229716375526</t>
  </si>
  <si>
    <t>-1.5834413233670663</t>
  </si>
  <si>
    <t>-0.46010959684595476</t>
  </si>
  <si>
    <t>0.05164172757287222</t>
  </si>
  <si>
    <t>0.49175943555225526</t>
  </si>
  <si>
    <t>0.7279385638003859</t>
  </si>
  <si>
    <t>-0.8710542826058507</t>
  </si>
  <si>
    <t>-1.5252065113626354</t>
  </si>
  <si>
    <t>-0.7429998890342948</t>
  </si>
  <si>
    <t>0.007642630559255967</t>
  </si>
  <si>
    <t>-0.41078078974121207</t>
  </si>
  <si>
    <t>-0.47638405170589765</t>
  </si>
  <si>
    <t>0.4735308201334526</t>
  </si>
  <si>
    <t>-0.4295427906867323</t>
  </si>
  <si>
    <t>-0.3720652154234323</t>
  </si>
  <si>
    <t>0.9488875402722973</t>
  </si>
  <si>
    <t>0.1937825605064259</t>
  </si>
  <si>
    <t>-0.18416971576991575</t>
  </si>
  <si>
    <t>-0.2935052418807642</t>
  </si>
  <si>
    <t>-0.17841795798693488</t>
  </si>
  <si>
    <t>0.09274848879384105</t>
  </si>
  <si>
    <t>0.13891603170170208</t>
  </si>
  <si>
    <t>-0.18024493509593784</t>
  </si>
  <si>
    <t>-0.449999554157894</t>
  </si>
  <si>
    <t>-1.1794865642561694</t>
  </si>
  <si>
    <t>0.05712578487655451</t>
  </si>
  <si>
    <t>0.6100645090284657</t>
  </si>
  <si>
    <t>0.21963680888926565</t>
  </si>
  <si>
    <t>-0.16066371067326352</t>
  </si>
  <si>
    <t>-0.3958489446243525</t>
  </si>
  <si>
    <t>0.2130957162630535</t>
  </si>
  <si>
    <t>-0.08254686607173506</t>
  </si>
  <si>
    <t>-1.263858254283448</t>
  </si>
  <si>
    <t>-2.098297707801653</t>
  </si>
  <si>
    <t>-0.057226458514771504</t>
  </si>
  <si>
    <t>0.6826011350754315</t>
  </si>
  <si>
    <t>0.10466622839291627</t>
  </si>
  <si>
    <t>0.27300243217850256</t>
  </si>
  <si>
    <t>0.3891062688710129</t>
  </si>
  <si>
    <t>0.17787316584894322</t>
  </si>
  <si>
    <t>1.444020987038296</t>
  </si>
  <si>
    <t>1.0144120950635234</t>
  </si>
  <si>
    <t>-0.2873476477013829</t>
  </si>
  <si>
    <t>0.6310117679112432</t>
  </si>
  <si>
    <t>0.3911285527309036</t>
  </si>
  <si>
    <t>0.3460848560392695</t>
  </si>
  <si>
    <t>0.6034691934491146</t>
  </si>
  <si>
    <t>-0.909514730164614</t>
  </si>
  <si>
    <t>0.16589623580923676</t>
  </si>
  <si>
    <t>0.10556723865820813</t>
  </si>
  <si>
    <t>1.0093472373621428</t>
  </si>
  <si>
    <t>-0.02732493968010931</t>
  </si>
  <si>
    <t>-0.2789717870167693</t>
  </si>
  <si>
    <t>0.11493602254771343</t>
  </si>
  <si>
    <t>-0.3984441935323121</t>
  </si>
  <si>
    <t>-0.4273916639329356</t>
  </si>
  <si>
    <t>0.1708915957039914</t>
  </si>
  <si>
    <t>0.3695991259516335</t>
  </si>
  <si>
    <t>0.1593201660472138</t>
  </si>
  <si>
    <t>1.4097270656965148</t>
  </si>
  <si>
    <t>-0.15401251428451365</t>
  </si>
  <si>
    <t>0.15192303058650647</t>
  </si>
  <si>
    <t>-0.1880151302413348</t>
  </si>
  <si>
    <t>1.356119494806428</t>
  </si>
  <si>
    <t>0.6239900150397537</t>
  </si>
  <si>
    <t>0.14208582920062696</t>
  </si>
  <si>
    <t>0.6952912155841927</t>
  </si>
  <si>
    <t>0.428897129520923</t>
  </si>
  <si>
    <t>-1.0616170015431112</t>
  </si>
  <si>
    <t>0.08323831753182023</t>
  </si>
  <si>
    <t>0.452519650035949</t>
  </si>
  <si>
    <t>1.4795585761716712</t>
  </si>
  <si>
    <t>0.33749355512311013</t>
  </si>
  <si>
    <t>-0.5773305724013227</t>
  </si>
  <si>
    <t>0.30653249961672585</t>
  </si>
  <si>
    <t>-0.904034045525115</t>
  </si>
  <si>
    <t>0.31666238726052987</t>
  </si>
  <si>
    <t>0.21470697707746791</t>
  </si>
  <si>
    <t>-0.24214286240221503</t>
  </si>
  <si>
    <t>-0.27241631332466937</t>
  </si>
  <si>
    <t>0.7557171635764102</t>
  </si>
  <si>
    <t>0.14642516854110765</t>
  </si>
  <si>
    <t>-0.43560633737887344</t>
  </si>
  <si>
    <t>-0.20662232435913522</t>
  </si>
  <si>
    <t>-0.3498609259559626</t>
  </si>
  <si>
    <t>-0.17032282728294582</t>
  </si>
  <si>
    <t>1.7972757310269503</t>
  </si>
  <si>
    <t>-1.191285287016695</t>
  </si>
  <si>
    <t>0.3109347606986635</t>
  </si>
  <si>
    <t>0.1962591127856272</t>
  </si>
  <si>
    <t>0.22902327305686856</t>
  </si>
  <si>
    <t>-0.001273492131861317</t>
  </si>
  <si>
    <t>-0.6335217544756031</t>
  </si>
  <si>
    <t>0.16438870200124658</t>
  </si>
  <si>
    <t>0.5523987667939785</t>
  </si>
  <si>
    <t>0.35105535124881426</t>
  </si>
  <si>
    <t>0.20412993528228068</t>
  </si>
  <si>
    <t>0.6064608789444647</t>
  </si>
  <si>
    <t>-0.4954161163220851</t>
  </si>
  <si>
    <t>-0.5690589393069122</t>
  </si>
  <si>
    <t>-0.3762168557251986</t>
  </si>
  <si>
    <t>-0.6391867431421403</t>
  </si>
  <si>
    <t>-0.23771613617777002</t>
  </si>
  <si>
    <t>-0.5731699085360747</t>
  </si>
  <si>
    <t>0.7852626964743504</t>
  </si>
  <si>
    <t>0.5862573188001895</t>
  </si>
  <si>
    <t>0.14379980459020347</t>
  </si>
  <si>
    <t>0.30536241817590776</t>
  </si>
  <si>
    <t>0.6981702973107644</t>
  </si>
  <si>
    <t>-0.03916542187198272</t>
  </si>
  <si>
    <t>-0.3496392433721649</t>
  </si>
  <si>
    <t>0.26262481318866254</t>
  </si>
  <si>
    <t>0.8982825232526741</t>
  </si>
  <si>
    <t>0.34608822652487625</t>
  </si>
  <si>
    <t>0.20289326740963226</t>
  </si>
  <si>
    <t>-0.5051657566351031</t>
  </si>
  <si>
    <t>-0.030133034661968486</t>
  </si>
  <si>
    <t>-0.5672222594676722</t>
  </si>
  <si>
    <t>-0.6130093502793166</t>
  </si>
  <si>
    <t>-0.1635009004765614</t>
  </si>
  <si>
    <t>0.43838010530523747</t>
  </si>
  <si>
    <t>1.4965254461699442</t>
  </si>
  <si>
    <t>-0.5027154691354436</t>
  </si>
  <si>
    <t>1.2052750958974674</t>
  </si>
  <si>
    <t>-0.7068466629993393</t>
  </si>
  <si>
    <t>0.04016665125094701</t>
  </si>
  <si>
    <t>-0.2346039304421854</t>
  </si>
  <si>
    <t>-0.28383924719434944</t>
  </si>
  <si>
    <t>-0.5779958511373823</t>
  </si>
  <si>
    <t>0.21186996424352342</t>
  </si>
  <si>
    <t>0.7089311547177235</t>
  </si>
  <si>
    <t>-0.8258379939634436</t>
  </si>
  <si>
    <t>0.23044511777247031</t>
  </si>
  <si>
    <t>0.6214985995092801</t>
  </si>
  <si>
    <t>0.08830787737052306</t>
  </si>
  <si>
    <t>-0.20339770454132236</t>
  </si>
  <si>
    <t>-0.3329561794489266</t>
  </si>
  <si>
    <t>0.2758327955609209</t>
  </si>
  <si>
    <t>-0.7144772657157399</t>
  </si>
  <si>
    <t>-0.6386553907370017</t>
  </si>
  <si>
    <t>0.47148831908566435</t>
  </si>
  <si>
    <t>0.3271507633733422</t>
  </si>
  <si>
    <t>-0.8435156048455181</t>
  </si>
  <si>
    <t>0.7208933987891193</t>
  </si>
  <si>
    <t>-1.036118279238837</t>
  </si>
  <si>
    <t>-0.27155084628479575</t>
  </si>
  <si>
    <t>0.3449091616577204</t>
  </si>
  <si>
    <t>0.16152569508188347</t>
  </si>
  <si>
    <t>1.496648452615021</t>
  </si>
  <si>
    <t>0.08107180739900693</t>
  </si>
  <si>
    <t>-0.3575005195307789</t>
  </si>
  <si>
    <t>-0.7864911373986636</t>
  </si>
  <si>
    <t>0.12131490464948655</t>
  </si>
  <si>
    <t>-0.3313205441311041</t>
  </si>
  <si>
    <t>-0.35613738090689284</t>
  </si>
  <si>
    <t>-0.0321020757489785</t>
  </si>
  <si>
    <t>0.9219033974960528</t>
  </si>
  <si>
    <t>0.26845461999886294</t>
  </si>
  <si>
    <t>0.6600039056896445</t>
  </si>
  <si>
    <t>-0.39251679460560424</t>
  </si>
  <si>
    <t>0.4423901409455976</t>
  </si>
  <si>
    <t>-0.5515639577451567</t>
  </si>
  <si>
    <t>0.38961299022667495</t>
  </si>
  <si>
    <t>-0.0276938869828468</t>
  </si>
  <si>
    <t>-1.3276344398268143</t>
  </si>
  <si>
    <t>-0.5368416407202529</t>
  </si>
  <si>
    <t>-1.6639293899693548</t>
  </si>
  <si>
    <t>1.6936963414187747</t>
  </si>
  <si>
    <t>0.6526959236591907</t>
  </si>
  <si>
    <t>1.1779493137396553</t>
  </si>
  <si>
    <t>0.45681970415879525</t>
  </si>
  <si>
    <t>-1.3732875201854164</t>
  </si>
  <si>
    <t>-0.4350596249139679</t>
  </si>
  <si>
    <t>-0.45506552948335127</t>
  </si>
  <si>
    <t>0.38474144224511175</t>
  </si>
  <si>
    <t>0.24183221778722178</t>
  </si>
  <si>
    <t>-1.7714093385149177</t>
  </si>
  <si>
    <t>0.6198338293787529</t>
  </si>
  <si>
    <t>-0.39409542535117975</t>
  </si>
  <si>
    <t>0.1692625241361267</t>
  </si>
  <si>
    <t>-0.5958173474162407</t>
  </si>
  <si>
    <t>0.18998855530927955</t>
  </si>
  <si>
    <t>-1.0591664620428283</t>
  </si>
  <si>
    <t>-0.7864628381181872</t>
  </si>
  <si>
    <t>-0.0810580900321366</t>
  </si>
  <si>
    <t>0.29637010286407184</t>
  </si>
  <si>
    <t>-1.3709565357486857</t>
  </si>
  <si>
    <t>-0.7759507648429803</t>
  </si>
  <si>
    <t>-1.128343892091473</t>
  </si>
  <si>
    <t>1.4102196898234998</t>
  </si>
  <si>
    <t>0.46117077823824904</t>
  </si>
  <si>
    <t>-0.752034372154945</t>
  </si>
  <si>
    <t>0.4480997420943819</t>
  </si>
  <si>
    <t>1.3749011158080167</t>
  </si>
  <si>
    <t>0.9362043621448728</t>
  </si>
  <si>
    <t>0.1587072305161077</t>
  </si>
  <si>
    <t>-0.4190102552625432</t>
  </si>
  <si>
    <t>0.3428267595545105</t>
  </si>
  <si>
    <t>1.7792563656178624</t>
  </si>
  <si>
    <t>-0.770886376419748</t>
  </si>
  <si>
    <t>-1.0889112641935248</t>
  </si>
  <si>
    <t>-0.32758051752408635</t>
  </si>
  <si>
    <t>1.3437828460730332</t>
  </si>
  <si>
    <t>0.16852797853254317</t>
  </si>
  <si>
    <t>0.004561504464038089</t>
  </si>
  <si>
    <t>-0.48905465724950187</t>
  </si>
  <si>
    <t>-0.9545596909720313</t>
  </si>
  <si>
    <t>-0.43018170340552103</t>
  </si>
  <si>
    <t>0.1170297880868413</t>
  </si>
  <si>
    <t>0.933164749325719</t>
  </si>
  <si>
    <t>0.14070833483707734</t>
  </si>
  <si>
    <t>1.1390004412296184</t>
  </si>
  <si>
    <t>-0.5894952444741004</t>
  </si>
  <si>
    <t>0.450566654734742</t>
  </si>
  <si>
    <t>-0.25947559137665693</t>
  </si>
  <si>
    <t>1.326578307417881</t>
  </si>
  <si>
    <t>0.38817345179682516</t>
  </si>
  <si>
    <t>0.7092595652231335</t>
  </si>
  <si>
    <t>0.059441327794901036</t>
  </si>
  <si>
    <t>-0.21606168689696614</t>
  </si>
  <si>
    <t>-0.026937880117849953</t>
  </si>
  <si>
    <t>2.881985329946922</t>
  </si>
  <si>
    <t>0.3681765686858693</t>
  </si>
  <si>
    <t>-0.36184925760475095</t>
  </si>
  <si>
    <t>0.7373642755620538</t>
  </si>
  <si>
    <t>0.9930901681104319</t>
  </si>
  <si>
    <t>-1.3370264549250486</t>
  </si>
  <si>
    <t>-0.4000092373928982</t>
  </si>
  <si>
    <t>0.3825273087177242</t>
  </si>
  <si>
    <t>-0.18603827943729023</t>
  </si>
  <si>
    <t>0.26235267537295165</t>
  </si>
  <si>
    <t>1.2937838831024584</t>
  </si>
  <si>
    <t>1.2943889675092397</t>
  </si>
  <si>
    <t>1.5180202235209705</t>
  </si>
  <si>
    <t>0.13955405348346564</t>
  </si>
  <si>
    <t>0.34001010945145843</t>
  </si>
  <si>
    <t>-0.15032925690469032</t>
  </si>
  <si>
    <t>1.3964716334816119</t>
  </si>
  <si>
    <t>-1.743049065683097</t>
  </si>
  <si>
    <t>0.011498697478924052</t>
  </si>
  <si>
    <t>-1.6078535043128879</t>
  </si>
  <si>
    <t>-0.4837499001723513</t>
  </si>
  <si>
    <t>0.21967982103283723</t>
  </si>
  <si>
    <t>-0.6028170602414082</t>
  </si>
  <si>
    <t>0.5573812765913149</t>
  </si>
  <si>
    <t>0.9440925311254652</t>
  </si>
  <si>
    <t>-0.6654917211888804</t>
  </si>
  <si>
    <t>1.2931478652405175</t>
  </si>
  <si>
    <t>-1.024343608532228</t>
  </si>
  <si>
    <t>-1.8914648545282506</t>
  </si>
  <si>
    <t>1.8262716564269519</t>
  </si>
  <si>
    <t>-0.17845169042498074</t>
  </si>
  <si>
    <t>-0.3856045174296581</t>
  </si>
  <si>
    <t>1.8169550561417236</t>
  </si>
  <si>
    <t>-2.067905115853052</t>
  </si>
  <si>
    <t>-0.43294585576661</t>
  </si>
  <si>
    <t>0.6547657111830012</t>
  </si>
  <si>
    <t>-0.017716107855940827</t>
  </si>
  <si>
    <t>0.5815111165845065</t>
  </si>
  <si>
    <t>0.531266749510781</t>
  </si>
  <si>
    <t>1.1581595387784156</t>
  </si>
  <si>
    <t>1.0824685225217228</t>
  </si>
  <si>
    <t>-0.1121749247222807</t>
  </si>
  <si>
    <t>0.20524968976048008</t>
  </si>
  <si>
    <t>1.0768030179780534</t>
  </si>
  <si>
    <t>0.7812542027386664</t>
  </si>
  <si>
    <t>-0.3643436927827331</t>
  </si>
  <si>
    <t>0.9019969601941225</t>
  </si>
  <si>
    <t>-0.24445621790355987</t>
  </si>
  <si>
    <t>-0.7137339656441574</t>
  </si>
  <si>
    <t>-2.4757223658477105</t>
  </si>
  <si>
    <t>1.8805637613942054</t>
  </si>
  <si>
    <t>0.7323842225807016</t>
  </si>
  <si>
    <t>-1.2496819790340414</t>
  </si>
  <si>
    <t>-0.7000586672682552</t>
  </si>
  <si>
    <t>1.6384926578206422</t>
  </si>
  <si>
    <t>0.2914141954775011</t>
  </si>
  <si>
    <t>-0.8711661786608037</t>
  </si>
  <si>
    <t>1.3858704837762175</t>
  </si>
  <si>
    <t>2.308280250113587</t>
  </si>
  <si>
    <t>-0.5772657857962699</t>
  </si>
  <si>
    <t>-0.8351083126574869</t>
  </si>
  <si>
    <t>0.26986089414331565</t>
  </si>
  <si>
    <t>0.23360618112406828</t>
  </si>
  <si>
    <t>-0.1818393758168995</t>
  </si>
  <si>
    <t>2.2895629222842624</t>
  </si>
  <si>
    <t>-0.04025595809337722</t>
  </si>
  <si>
    <t>0.8844854184218806</t>
  </si>
  <si>
    <t>-0.5203006340176682</t>
  </si>
  <si>
    <t>0.7018188733169354</t>
  </si>
  <si>
    <t>-0.8248287663699273</t>
  </si>
  <si>
    <t>-0.878371359607854</t>
  </si>
  <si>
    <t>-1.8640040314765525</t>
  </si>
  <si>
    <t>-0.7478566188541876</t>
  </si>
  <si>
    <t>-1.9335565920969449</t>
  </si>
  <si>
    <t>1.4948248942855304</t>
  </si>
  <si>
    <t>-0.8891175605997208</t>
  </si>
  <si>
    <t>1.164426099875668</t>
  </si>
  <si>
    <t>-1.8526687526182546</t>
  </si>
  <si>
    <t>0.4283017980851707</t>
  </si>
  <si>
    <t>0.11848550416209344</t>
  </si>
  <si>
    <t>0.46139726463228287</t>
  </si>
  <si>
    <t>0.6708882638502331</t>
  </si>
  <si>
    <t>-0.2574534799888149</t>
  </si>
  <si>
    <t>0.017039788511999165</t>
  </si>
  <si>
    <t>-0.7911545233004118</t>
  </si>
  <si>
    <t>-0.6913019565435149</t>
  </si>
  <si>
    <t>-0.12157237954672886</t>
  </si>
  <si>
    <t>0.5027592353719836</t>
  </si>
  <si>
    <t>-0.2082624051026636</t>
  </si>
  <si>
    <t>-0.3194908224796126</t>
  </si>
  <si>
    <t>0.10530632794097045</t>
  </si>
  <si>
    <t>-0.5670735893808415</t>
  </si>
  <si>
    <t>2.24313382654325</t>
  </si>
  <si>
    <t>0.3895381659372545</t>
  </si>
  <si>
    <t>0.6834596775578912</t>
  </si>
  <si>
    <t>-1.0055637245988274</t>
  </si>
  <si>
    <t>0.9890179616953801</t>
  </si>
  <si>
    <t>-3.2853276712215966</t>
  </si>
  <si>
    <t>-1.1574834697926715</t>
  </si>
  <si>
    <t>-0.35948571998929246</t>
  </si>
  <si>
    <t>-1.173286805969954</t>
  </si>
  <si>
    <t>-0.4006464675206558</t>
  </si>
  <si>
    <t>0.5269369676582658</t>
  </si>
  <si>
    <t>-0.04548724286785398</t>
  </si>
  <si>
    <t>-0.2570023093791349</t>
  </si>
  <si>
    <t>1.085713371669932</t>
  </si>
  <si>
    <t>-0.6370451777410783</t>
  </si>
  <si>
    <t>0.09252667228594118</t>
  </si>
  <si>
    <t>0.03664627064573102</t>
  </si>
  <si>
    <t>0.5131251246757532</t>
  </si>
  <si>
    <t>0.007932361060413702</t>
  </si>
  <si>
    <t>0.8710370338643724</t>
  </si>
  <si>
    <t>1.1136122077634782</t>
  </si>
  <si>
    <t>-0.6308348449913523</t>
  </si>
  <si>
    <t>-0.5827225849947033</t>
  </si>
  <si>
    <t>-0.42438404487989545</t>
  </si>
  <si>
    <t>1.4591517854007432</t>
  </si>
  <si>
    <t>-2.047590624565645</t>
  </si>
  <si>
    <t>-0.26735684135580123</t>
  </si>
  <si>
    <t>-0.197764199766959</t>
  </si>
  <si>
    <t>-1.605676596413428</t>
  </si>
  <si>
    <t>-0.0487008381844575</t>
  </si>
  <si>
    <t>-0.2738059075913014</t>
  </si>
  <si>
    <t>-1.3480358284169305</t>
  </si>
  <si>
    <t>-0.1077946014828474</t>
  </si>
  <si>
    <t>-0.8966795915144723</t>
  </si>
  <si>
    <t>0.215232650282917</t>
  </si>
  <si>
    <t>-0.7647801100244418</t>
  </si>
  <si>
    <t>-0.7262245403456646</t>
  </si>
  <si>
    <t>0.28380812226453694</t>
  </si>
  <si>
    <t>0.1900417506760575</t>
  </si>
  <si>
    <t>0.7031805100591768</t>
  </si>
  <si>
    <t>0.8903288510139111</t>
  </si>
  <si>
    <t>0.5605513503326985</t>
  </si>
  <si>
    <t>0.801694806829538</t>
  </si>
  <si>
    <t>0.9326581644330812</t>
  </si>
  <si>
    <t>-0.5704160323697021</t>
  </si>
  <si>
    <t>0.8460873211678369</t>
  </si>
  <si>
    <t>-0.2981064769539068</t>
  </si>
  <si>
    <t>-1.3452146828977614</t>
  </si>
  <si>
    <t>-0.5147777575061755</t>
  </si>
  <si>
    <t>-0.4476627837740334</t>
  </si>
  <si>
    <t>0.03543307581367024</t>
  </si>
  <si>
    <t>-1.6516500474614417</t>
  </si>
  <si>
    <t>-0.28654721458575</t>
  </si>
  <si>
    <t>-1.4493065786691361</t>
  </si>
  <si>
    <t>0.1345228011947611</t>
  </si>
  <si>
    <t>-0.583874286920462</t>
  </si>
  <si>
    <t>1.0967376603649444</t>
  </si>
  <si>
    <t>0.975562517655581</t>
  </si>
  <si>
    <t>0.08528579198514251</t>
  </si>
  <si>
    <t>-0.6081440646587571</t>
  </si>
  <si>
    <t>-1.147866494181855</t>
  </si>
  <si>
    <t>-0.3405051343653827</t>
  </si>
  <si>
    <t>-3.3433936917617326</t>
  </si>
  <si>
    <t>0.9448507595420368</t>
  </si>
  <si>
    <t>-0.43213804329744454</t>
  </si>
  <si>
    <t>0.30561239485538755</t>
  </si>
  <si>
    <t>-0.03228477080898249</t>
  </si>
  <si>
    <t>-0.0407302111817288</t>
  </si>
  <si>
    <t>0.19004531008028472</t>
  </si>
  <si>
    <t>-0.47135997108442274</t>
  </si>
  <si>
    <t>0.13224070588434486</t>
  </si>
  <si>
    <t>0.7644000867466123</t>
  </si>
  <si>
    <t>1.9712966657749391</t>
  </si>
  <si>
    <t>0.26498847940721076</t>
  </si>
  <si>
    <t>0.29450320571536287</t>
  </si>
  <si>
    <t>-0.244672103516961</t>
  </si>
  <si>
    <t>0.22959159097117102</t>
  </si>
  <si>
    <t>-1.8724981650551245</t>
  </si>
  <si>
    <t>0.3250664072182327</t>
  </si>
  <si>
    <t>1.287071002950447</t>
  </si>
  <si>
    <t>-0.5386026578472712</t>
  </si>
  <si>
    <t>1.2706261756672859</t>
  </si>
  <si>
    <t>0.24458609782420432</t>
  </si>
  <si>
    <t>-0.043815804281723145</t>
  </si>
  <si>
    <t>0.5079242530936451</t>
  </si>
  <si>
    <t>0.010161654290353471</t>
  </si>
  <si>
    <t>-1.2913884308793921</t>
  </si>
  <si>
    <t>-0.4648731928886407</t>
  </si>
  <si>
    <t>-0.4482600691745547</t>
  </si>
  <si>
    <t>-1.5929202731590244</t>
  </si>
  <si>
    <t>0.32446525338181376</t>
  </si>
  <si>
    <t>-1.230805757090407</t>
  </si>
  <si>
    <t>0.3650995821638222</t>
  </si>
  <si>
    <t>0.46180166147771434</t>
  </si>
  <si>
    <t>0.8884550017954743</t>
  </si>
  <si>
    <t>1.0979021411656147</t>
  </si>
  <si>
    <t>-1.4283426022561876</t>
  </si>
  <si>
    <t>0.31287564449615285</t>
  </si>
  <si>
    <t>0.20239577224546085</t>
  </si>
  <si>
    <t>-0.2937044185800584</t>
  </si>
  <si>
    <t>-0.05699853007646113</t>
  </si>
  <si>
    <t>-0.5025946638837676</t>
  </si>
  <si>
    <t>0.2344525874154719</t>
  </si>
  <si>
    <t>0.0163110266607476</t>
  </si>
  <si>
    <t>0.13705665172922313</t>
  </si>
  <si>
    <t>1.3294074297733496</t>
  </si>
  <si>
    <t>0.18253124944111648</t>
  </si>
  <si>
    <t>0.8525410490655815</t>
  </si>
  <si>
    <t>0.7808370902524848</t>
  </si>
  <si>
    <t>-0.577039674115967</t>
  </si>
  <si>
    <t>0.4592415463387548</t>
  </si>
  <si>
    <t>-1.1198434600704532</t>
  </si>
  <si>
    <t>-0.0629085702722204</t>
  </si>
  <si>
    <t>-0.8926153310494183</t>
  </si>
  <si>
    <t>0.006057705032244165</t>
  </si>
  <si>
    <t>0.4990943872766584</t>
  </si>
  <si>
    <t>-0.09214148939897752</t>
  </si>
  <si>
    <t>-0.45458245938216396</t>
  </si>
  <si>
    <t>0.037112331760439404</t>
  </si>
  <si>
    <t>0.2355132097012245</t>
  </si>
  <si>
    <t>-0.3839413838953971</t>
  </si>
  <si>
    <t>-0.35317699380878714</t>
  </si>
  <si>
    <t>-0.21442466273290792</t>
  </si>
  <si>
    <t>-1.283815980165051</t>
  </si>
  <si>
    <t>-0.7863949353487141</t>
  </si>
  <si>
    <t>0.3139125162096016</t>
  </si>
  <si>
    <t>-0.3376085203679959</t>
  </si>
  <si>
    <t>0.5207341399091763</t>
  </si>
  <si>
    <t>1.0892452246558197</t>
  </si>
  <si>
    <t>-0.02840222511445344</t>
  </si>
  <si>
    <t>-0.13746137686172033</t>
  </si>
  <si>
    <t>0.7628714867863903</t>
  </si>
  <si>
    <t>-0.4517977943310742</t>
  </si>
  <si>
    <t>-0.2076963007397604</t>
  </si>
  <si>
    <t>-0.35850489712208056</t>
  </si>
  <si>
    <t>-0.04970920774496308</t>
  </si>
  <si>
    <t>0.2979500817190191</t>
  </si>
  <si>
    <t>0.313403428235154</t>
  </si>
  <si>
    <t>-0.5090608235212745</t>
  </si>
  <si>
    <t>0.15120615055654446</t>
  </si>
  <si>
    <t>-0.29362235980589285</t>
  </si>
  <si>
    <t>1.2177947593236729</t>
  </si>
  <si>
    <t>-0.2776936128878465</t>
  </si>
  <si>
    <t>0.40734246175547917</t>
  </si>
  <si>
    <t>0.7433063135277956</t>
  </si>
  <si>
    <t>0.6420760397743136</t>
  </si>
  <si>
    <t>-0.468456516667439</t>
  </si>
  <si>
    <t>-1.119668382763655</t>
  </si>
  <si>
    <t>-0.6103398017800763</t>
  </si>
  <si>
    <t>-0.33965678231802404</t>
  </si>
  <si>
    <t>0.10107877837713862</t>
  </si>
  <si>
    <t>-0.10973585186826097</t>
  </si>
  <si>
    <t>0.3412714548933002</t>
  </si>
  <si>
    <t>-0.7037507708111457</t>
  </si>
  <si>
    <t>0.26187604906488726</t>
  </si>
  <si>
    <t>0.7953108139012206</t>
  </si>
  <si>
    <t>-1.1727749719434732</t>
  </si>
  <si>
    <t>-0.2432665749368364</t>
  </si>
  <si>
    <t>0.5067261726190052</t>
  </si>
  <si>
    <t>-0.3484534523556513</t>
  </si>
  <si>
    <t>-0.32621095722984605</t>
  </si>
  <si>
    <t>0.6902328345086285</t>
  </si>
  <si>
    <t>4.174474366577817</t>
  </si>
  <si>
    <t>0.3284059925617866</t>
  </si>
  <si>
    <t>0.23977998335629425</t>
  </si>
  <si>
    <t>-0.24211080647704902</t>
  </si>
  <si>
    <t>-0.3974803720751993</t>
  </si>
  <si>
    <t>-0.5875650644425642</t>
  </si>
  <si>
    <t>-0.27618411475485866</t>
  </si>
  <si>
    <t>-0.5971255308970873</t>
  </si>
  <si>
    <t>-0.11960068186882288</t>
  </si>
  <si>
    <t>1.3132188723718081</t>
  </si>
  <si>
    <t>0.07272414345953773</t>
  </si>
  <si>
    <t>0.14826896343072235</t>
  </si>
  <si>
    <t>-0.3153464156901756</t>
  </si>
  <si>
    <t>0.0020193844372243053</t>
  </si>
  <si>
    <t>0.45307123703188756</t>
  </si>
  <si>
    <t>-0.6838931372345968</t>
  </si>
  <si>
    <t>-0.4057561734418034</t>
  </si>
  <si>
    <t>1.1370830841841284</t>
  </si>
  <si>
    <t>-0.23498802460845994</t>
  </si>
  <si>
    <t>-0.21646460573749307</t>
  </si>
  <si>
    <t>0.10283766941622163</t>
  </si>
  <si>
    <t>-1.704025274436669</t>
  </si>
  <si>
    <t>-0.8323788264914047</t>
  </si>
  <si>
    <t>-0.758786333450459</t>
  </si>
  <si>
    <t>-0.8950538489681534</t>
  </si>
  <si>
    <t>0.6271781873941282</t>
  </si>
  <si>
    <t>0.18654725948622106</t>
  </si>
  <si>
    <t>0.03700893342910423</t>
  </si>
  <si>
    <t>0.5487216144228404</t>
  </si>
  <si>
    <t>-1.165124640032743</t>
  </si>
  <si>
    <t>-0.46848279202375176</t>
  </si>
  <si>
    <t>3.5788783011158887</t>
  </si>
  <si>
    <t>0.01325952215428849</t>
  </si>
  <si>
    <t>0.6874533578139721</t>
  </si>
  <si>
    <t>0.40963622841278996</t>
  </si>
  <si>
    <t>0.8122507299442734</t>
  </si>
  <si>
    <t>-0.9465546619821658</t>
  </si>
  <si>
    <t>-0.10602081236098772</t>
  </si>
  <si>
    <t>1.0551310526383555</t>
  </si>
  <si>
    <t>0.6138135947749077</t>
  </si>
  <si>
    <t>0.2877305650431078</t>
  </si>
  <si>
    <t>-0.441219628470934</t>
  </si>
  <si>
    <t>-0.6716777522120482</t>
  </si>
  <si>
    <t>-0.17531527221861745</t>
  </si>
  <si>
    <t>1.6695787793729788</t>
  </si>
  <si>
    <t>-0.03682955541510486</t>
  </si>
  <si>
    <t>-0.931871328434936</t>
  </si>
  <si>
    <t>0.2565924868093581</t>
  </si>
  <si>
    <t>-0.3950844576661005</t>
  </si>
  <si>
    <t>0.06988113209359786</t>
  </si>
  <si>
    <t>-1.1224729057578287</t>
  </si>
  <si>
    <t>0.6406943788653033</t>
  </si>
  <si>
    <t>-1.0869940705802166</t>
  </si>
  <si>
    <t>0.11166270901457853</t>
  </si>
  <si>
    <t>0.03195367267444825</t>
  </si>
  <si>
    <t>-2.0582764381864194</t>
  </si>
  <si>
    <t>0.43363209233267036</t>
  </si>
  <si>
    <t>1.9824367845541098</t>
  </si>
  <si>
    <t>0.6905913397934733</t>
  </si>
  <si>
    <t>-0.3633009203888644</t>
  </si>
  <si>
    <t>-0.43348974563490333</t>
  </si>
  <si>
    <t>-0.530583432343728</t>
  </si>
  <si>
    <t>0.11090466098829749</t>
  </si>
  <si>
    <t>0.32727309678435373</t>
  </si>
  <si>
    <t>0.026164364779556647</t>
  </si>
  <si>
    <t>-0.5980379477180561</t>
  </si>
  <si>
    <t>-0.6948694567561203</t>
  </si>
  <si>
    <t>-1.0459453441255635</t>
  </si>
  <si>
    <t>0.3468062303811488</t>
  </si>
  <si>
    <t>1.0828373349183777</t>
  </si>
  <si>
    <t>0.5121851772784617</t>
  </si>
  <si>
    <t>1.177887080589918</t>
  </si>
  <si>
    <t>-0.7517886529299976</t>
  </si>
  <si>
    <t>-0.9999624857067537</t>
  </si>
  <si>
    <t>-1.0208038890270343</t>
  </si>
  <si>
    <t>2.1832617324669115</t>
  </si>
  <si>
    <t>0.28055360588045475</t>
  </si>
  <si>
    <t>-0.6828790530290724</t>
  </si>
  <si>
    <t>2.4957601118760833</t>
  </si>
  <si>
    <t>0.2207727594296106</t>
  </si>
  <si>
    <t>0.43115435430456667</t>
  </si>
  <si>
    <t>0.24090668676516153</t>
  </si>
  <si>
    <t>0.4313769852750665</t>
  </si>
  <si>
    <t>0.6359281397511409</t>
  </si>
  <si>
    <t>1.2350380211438001</t>
  </si>
  <si>
    <t>-0.18143855882586282</t>
  </si>
  <si>
    <t>-0.7996401645574422</t>
  </si>
  <si>
    <t>0.4494377505527411</t>
  </si>
  <si>
    <t>-0.03793950229905465</t>
  </si>
  <si>
    <t>-1.0377611394459874</t>
  </si>
  <si>
    <t>0.024488781708134903</t>
  </si>
  <si>
    <t>-0.10438467336893333</t>
  </si>
  <si>
    <t>-0.14322140248717746</t>
  </si>
  <si>
    <t>-0.02762791172439934</t>
  </si>
  <si>
    <t>0.10438482960050076</t>
  </si>
  <si>
    <t>-0.25725997221706104</t>
  </si>
  <si>
    <t>-0.11535278626078878</t>
  </si>
  <si>
    <t>-0.14280941724069623</t>
  </si>
  <si>
    <t>-0.08003239691846123</t>
  </si>
  <si>
    <t>0.3886225595192687</t>
  </si>
  <si>
    <t>-0.20189915831712418</t>
  </si>
  <si>
    <t>-0.7136573557710364</t>
  </si>
  <si>
    <t>0.15874554682740266</t>
  </si>
  <si>
    <t>0.6915917485018136</t>
  </si>
  <si>
    <t>-2.066893985474358</t>
  </si>
  <si>
    <t>0.4870502105227092</t>
  </si>
  <si>
    <t>0.2111950166356792</t>
  </si>
  <si>
    <t>-0.405037706871255</t>
  </si>
  <si>
    <t>0.1514120722319332</t>
  </si>
  <si>
    <t>0.38318279139148376</t>
  </si>
  <si>
    <t>-2.066840907420207</t>
  </si>
  <si>
    <t>-0.2863316159418215</t>
  </si>
  <si>
    <t>0.027652848596822186</t>
  </si>
  <si>
    <t>-0.7087525574533114</t>
  </si>
  <si>
    <t>0.8303235407935042</t>
  </si>
  <si>
    <t>-0.6481720206403915</t>
  </si>
  <si>
    <t>0.850760932630875</t>
  </si>
  <si>
    <t>0.0018927022700479183</t>
  </si>
  <si>
    <t>-0.5108311698165431</t>
  </si>
  <si>
    <t>-0.30569483717725665</t>
  </si>
  <si>
    <t>0.8411929033432146</t>
  </si>
  <si>
    <t>-0.382152661147258</t>
  </si>
  <si>
    <t>1.421860122295426</t>
  </si>
  <si>
    <t>0.3822608397601862</t>
  </si>
  <si>
    <t>-0.9431261972299996</t>
  </si>
  <si>
    <t>0.21584436657240522</t>
  </si>
  <si>
    <t>-1.053128232992846</t>
  </si>
  <si>
    <t>0.8973044333417544</t>
  </si>
  <si>
    <t>-0.6228368579673412</t>
  </si>
  <si>
    <t>0.32282500677681025</t>
  </si>
  <si>
    <t>-0.3708268460357789</t>
  </si>
  <si>
    <t>-0.7215717928934838</t>
  </si>
  <si>
    <t>-2.408029520578114</t>
  </si>
  <si>
    <t>-0.32738168835237386</t>
  </si>
  <si>
    <t>0.08966833985344894</t>
  </si>
  <si>
    <t>-0.3660246942807539</t>
  </si>
  <si>
    <t>1.1931200289025332</t>
  </si>
  <si>
    <t>0.9580199513094628</t>
  </si>
  <si>
    <t>-1.4186809969637504</t>
  </si>
  <si>
    <t>-1.3994195166390353</t>
  </si>
  <si>
    <t>0.8368696337647107</t>
  </si>
  <si>
    <t>-0.5898848141455569</t>
  </si>
  <si>
    <t>2.6499383964573187</t>
  </si>
  <si>
    <t>-0.25775775755580504</t>
  </si>
  <si>
    <t>-0.13880761294991487</t>
  </si>
  <si>
    <t>0.46086186578709776</t>
  </si>
  <si>
    <t>-0.13236111719767166</t>
  </si>
  <si>
    <t>-0.12052114004080333</t>
  </si>
  <si>
    <t>-0.4460688053645064</t>
  </si>
  <si>
    <t>0.33466840596157016</t>
  </si>
  <si>
    <t>-1.010649141590082</t>
  </si>
  <si>
    <t>-0.319662948687739</t>
  </si>
  <si>
    <t>-0.7302011141872242</t>
  </si>
  <si>
    <t>-0.7555985661278735</t>
  </si>
  <si>
    <t>0.0638589907470915</t>
  </si>
  <si>
    <t>0.45310131745453613</t>
  </si>
  <si>
    <t>-0.29647525114728657</t>
  </si>
  <si>
    <t>-1.6971021408935003</t>
  </si>
  <si>
    <t>1.4010047760055304</t>
  </si>
  <si>
    <t>-0.30496709680996076</t>
  </si>
  <si>
    <t>-0.9636367644176768</t>
  </si>
  <si>
    <t>-2.94613465339035</t>
  </si>
  <si>
    <t>-1.162899590665484</t>
  </si>
  <si>
    <t>0.4300383083147437</t>
  </si>
  <si>
    <t>1.0073872038163958</t>
  </si>
  <si>
    <t>0.15170596339306266</t>
  </si>
  <si>
    <t>-0.6314605461705138</t>
  </si>
  <si>
    <t>0.47601817366996113</t>
  </si>
  <si>
    <t>0.4401084823179996</t>
  </si>
  <si>
    <t>0.08762344246112286</t>
  </si>
  <si>
    <t>-0.13826709796651743</t>
  </si>
  <si>
    <t>0.9081959258663281</t>
  </si>
  <si>
    <t>-0.08014407366950128</t>
  </si>
  <si>
    <t>-0.9006804616807799</t>
  </si>
  <si>
    <t>-0.4733550807942893</t>
  </si>
  <si>
    <t>-0.39831366195693607</t>
  </si>
  <si>
    <t>1.1426341151406267</t>
  </si>
  <si>
    <t>-1.3818216716471914</t>
  </si>
  <si>
    <t>0.10421607859478313</t>
  </si>
  <si>
    <t>-1.3494915483939105</t>
  </si>
  <si>
    <t>-0.700572947915534</t>
  </si>
  <si>
    <t>-0.756866009447163</t>
  </si>
  <si>
    <t>-1.3192008137030036</t>
  </si>
  <si>
    <t>2.0811618412559065</t>
  </si>
  <si>
    <t>-0.462804864669029</t>
  </si>
  <si>
    <t>0.6838259202569803</t>
  </si>
  <si>
    <t>-1.0805283245980755</t>
  </si>
  <si>
    <t>-0.2525725278151097</t>
  </si>
  <si>
    <t>1.867883453106078</t>
  </si>
  <si>
    <t>0.7489163012114308</t>
  </si>
  <si>
    <t>-0.05585776407219927</t>
  </si>
  <si>
    <t>1.0669392692339505</t>
  </si>
  <si>
    <t>0.7991642451160719</t>
  </si>
  <si>
    <t>0.20837841295994244</t>
  </si>
  <si>
    <t>-1.1090554813357183</t>
  </si>
  <si>
    <t>-0.6017849931179112</t>
  </si>
  <si>
    <t>-0.5485203045972237</t>
  </si>
  <si>
    <t>-0.90301139331243</t>
  </si>
  <si>
    <t>0.4229217539498178</t>
  </si>
  <si>
    <t>-0.45966109193272175</t>
  </si>
  <si>
    <t>-0.1106801247207182</t>
  </si>
  <si>
    <t>-0.26350966615772664</t>
  </si>
  <si>
    <t>-0.2608144302999688</t>
  </si>
  <si>
    <t>-0.7333201793713611</t>
  </si>
  <si>
    <t>0.1677464805478048</t>
  </si>
  <si>
    <t>0.05966037362405637</t>
  </si>
  <si>
    <t>-0.3336001215168468</t>
  </si>
  <si>
    <t>-0.16398985642570388</t>
  </si>
  <si>
    <t>-0.6363468527460562</t>
  </si>
  <si>
    <t>-0.6959702429932559</t>
  </si>
  <si>
    <t>1.077383314782921</t>
  </si>
  <si>
    <t>1.8474337907026177</t>
  </si>
  <si>
    <t>0.4785571771280714</t>
  </si>
  <si>
    <t>0.14822989829227487</t>
  </si>
  <si>
    <t>-0.7816778400106982</t>
  </si>
  <si>
    <t>1.4427046742271021</t>
  </si>
  <si>
    <t>3.80618053094151</t>
  </si>
  <si>
    <t>-0.44132898882900035</t>
  </si>
  <si>
    <t>0.4480762634436078</t>
  </si>
  <si>
    <t>-0.8710816661721329</t>
  </si>
  <si>
    <t>0.11935169638034361</t>
  </si>
  <si>
    <t>0.006834417144849277</t>
  </si>
  <si>
    <t>-0.1505477592754695</t>
  </si>
  <si>
    <t>-0.3374045747672994</t>
  </si>
  <si>
    <t>-1.0490037414373599</t>
  </si>
  <si>
    <t>0.4080149419912682</t>
  </si>
  <si>
    <t>-2.3397673847060134</t>
  </si>
  <si>
    <t>-0.3134837640219598</t>
  </si>
  <si>
    <t>-0.0907482054784742</t>
  </si>
  <si>
    <t>-0.49203988852446884</t>
  </si>
  <si>
    <t>0.9173990767321546</t>
  </si>
  <si>
    <t>-0.12202480635774278</t>
  </si>
  <si>
    <t>1.5614146846762578</t>
  </si>
  <si>
    <t>-0.6895885774447387</t>
  </si>
  <si>
    <t>-0.32447463360384676</t>
  </si>
  <si>
    <t>0.1456479791351942</t>
  </si>
  <si>
    <t>0.7135206751271687</t>
  </si>
  <si>
    <t>-1.0668047604882098</t>
  </si>
  <si>
    <t>0.6441941698063811</t>
  </si>
  <si>
    <t>-0.16148233811799867</t>
  </si>
  <si>
    <t>-1.1162727214940393</t>
  </si>
  <si>
    <t>-0.6661023001528777</t>
  </si>
  <si>
    <t>1.3853644481613983</t>
  </si>
  <si>
    <t>2.630982071506128</t>
  </si>
  <si>
    <t>0.9164177953938436</t>
  </si>
  <si>
    <t>-1.1705078304262166</t>
  </si>
  <si>
    <t>-1.057653132789121</t>
  </si>
  <si>
    <t>-1.3999830418787609</t>
  </si>
  <si>
    <t>-0.400338814277971</t>
  </si>
  <si>
    <t>-0.4148421106495495</t>
  </si>
  <si>
    <t>0.140982927293177</t>
  </si>
  <si>
    <t>-0.3465401093259651</t>
  </si>
  <si>
    <t>1.5894098893916013</t>
  </si>
  <si>
    <t>-1.0010662127185652</t>
  </si>
  <si>
    <t>1.3428903012535658</t>
  </si>
  <si>
    <t>-0.8020862896572329</t>
  </si>
  <si>
    <t>1.0068120034840098</t>
  </si>
  <si>
    <t>-0.3851850959366316</t>
  </si>
  <si>
    <t>0.32002194863476124</t>
  </si>
  <si>
    <t>0.004372141345229281</t>
  </si>
  <si>
    <t>0.23946081208913825</t>
  </si>
  <si>
    <t>-0.5229393323570647</t>
  </si>
  <si>
    <t>0.2889252057242756</t>
  </si>
  <si>
    <t>0.4380842962239355</t>
  </si>
  <si>
    <t>-0.04758168400612457</t>
  </si>
  <si>
    <t>0.4120299785438017</t>
  </si>
  <si>
    <t>0.6504553158986736</t>
  </si>
  <si>
    <t>0.5992941187367263</t>
  </si>
  <si>
    <t>0.23409719675309876</t>
  </si>
  <si>
    <t>0.42912298660279924</t>
  </si>
  <si>
    <t>0.002940363257685113</t>
  </si>
  <si>
    <t>-0.845957118354895</t>
  </si>
  <si>
    <t>-0.13540765584729594</t>
  </si>
  <si>
    <t>-0.08380936878266312</t>
  </si>
  <si>
    <t>0.2631145932346882</t>
  </si>
  <si>
    <t>-0.5245211814173891</t>
  </si>
  <si>
    <t>0.9330870561478373</t>
  </si>
  <si>
    <t>-0.6579999408042198</t>
  </si>
  <si>
    <t>1.6067454179118945</t>
  </si>
  <si>
    <t>-0.0023607837659489262</t>
  </si>
  <si>
    <t>0.5757354610750796</t>
  </si>
  <si>
    <t>-0.049562845759232824</t>
  </si>
  <si>
    <t>0.1863937600241809</t>
  </si>
  <si>
    <t>-0.6070136000304044</t>
  </si>
  <si>
    <t>-0.2188028236395731</t>
  </si>
  <si>
    <t>-0.08965484556861808</t>
  </si>
  <si>
    <t>-0.43488930825928346</t>
  </si>
  <si>
    <t>0.09030559681790386</t>
  </si>
  <si>
    <t>0.7035159720082733</t>
  </si>
  <si>
    <t>0.4917094069454129</t>
  </si>
  <si>
    <t>-0.17077305658022754</t>
  </si>
  <si>
    <t>0.4362697175305325</t>
  </si>
  <si>
    <t>0.35364695557756637</t>
  </si>
  <si>
    <t>0.05944559778765549</t>
  </si>
  <si>
    <t>0.2940924423431754</t>
  </si>
  <si>
    <t>-0.5965920506767468</t>
  </si>
  <si>
    <t>-0.5327273213068028</t>
  </si>
  <si>
    <t>-0.26231752552685655</t>
  </si>
  <si>
    <t>1.3531223100596486</t>
  </si>
  <si>
    <t>-0.893274723670193</t>
  </si>
  <si>
    <t>0.616288129517263</t>
  </si>
  <si>
    <t>-1.288975534747714</t>
  </si>
  <si>
    <t>-0.17250541187438742</t>
  </si>
  <si>
    <t>0.41609058759883305</t>
  </si>
  <si>
    <t>-1.9099625740920154</t>
  </si>
  <si>
    <t>0.0357037724765753</t>
  </si>
  <si>
    <t>0.28831286586046967</t>
  </si>
  <si>
    <t>0.4235105269197901</t>
  </si>
  <si>
    <t>0.7493881741016752</t>
  </si>
  <si>
    <t>-0.0031658838128871135</t>
  </si>
  <si>
    <t>-0.8500312297269011</t>
  </si>
  <si>
    <t>0.6058548478996407</t>
  </si>
  <si>
    <t>0.10906413366056557</t>
  </si>
  <si>
    <t>0.4838877823387769</t>
  </si>
  <si>
    <t>0.7555131210012953</t>
  </si>
  <si>
    <t>0.23824919779474296</t>
  </si>
  <si>
    <t>1.273869928291609</t>
  </si>
  <si>
    <t>-0.6671327651376795</t>
  </si>
  <si>
    <t>0.19573246685351972</t>
  </si>
  <si>
    <t>0.2689610488540074</t>
  </si>
  <si>
    <t>-1.1435218147146138</t>
  </si>
  <si>
    <t>-0.11673889103241714</t>
  </si>
  <si>
    <t>1.1728291332748333</t>
  </si>
  <si>
    <t>-0.11939550312343394</t>
  </si>
  <si>
    <t>-0.7579098735530836</t>
  </si>
  <si>
    <t>0.9791053927567936</t>
  </si>
  <si>
    <t>-0.1084443879506756</t>
  </si>
  <si>
    <t>1.0276105182321933</t>
  </si>
  <si>
    <t>-0.7516740222403772</t>
  </si>
  <si>
    <t>-0.4003346293390299</t>
  </si>
  <si>
    <t>1.4698545445440618</t>
  </si>
  <si>
    <t>0.1946152369875379</t>
  </si>
  <si>
    <t>-0.8243802080454972</t>
  </si>
  <si>
    <t>-0.580802076473122</t>
  </si>
  <si>
    <t>-0.33370069620864085</t>
  </si>
  <si>
    <t>0.13278610421862766</t>
  </si>
  <si>
    <t>-1.385770006087323</t>
  </si>
  <si>
    <t>-0.24622086905110027</t>
  </si>
  <si>
    <t>0.64421333465164</t>
  </si>
  <si>
    <t>0.1756080708015276</t>
  </si>
  <si>
    <t>-0.5706495363516083</t>
  </si>
  <si>
    <t>-0.9098853261155525</t>
  </si>
  <si>
    <t>0.316949174940489</t>
  </si>
  <si>
    <t>-0.7331032585517688</t>
  </si>
  <si>
    <t>0.37697652171036433</t>
  </si>
  <si>
    <t>-0.4263726127936337</t>
  </si>
  <si>
    <t>0.1182986188375482</t>
  </si>
  <si>
    <t>0.4164649471029233</t>
  </si>
  <si>
    <t>-0.07849396980677746</t>
  </si>
  <si>
    <t>0.10529899849220602</t>
  </si>
  <si>
    <t>0.17077539144549378</t>
  </si>
  <si>
    <t>-0.5844369463726505</t>
  </si>
  <si>
    <t>0.028344058460660196</t>
  </si>
  <si>
    <t>0.580513457780507</t>
  </si>
  <si>
    <t>-0.8384685048693595</t>
  </si>
  <si>
    <t>-0.6790458215636682</t>
  </si>
  <si>
    <t>-0.3264161030329901</t>
  </si>
  <si>
    <t>0.8677438904294951</t>
  </si>
  <si>
    <t>-0.42090766756614156</t>
  </si>
  <si>
    <t>1.9402818913654967</t>
  </si>
  <si>
    <t>-0.15380073011779705</t>
  </si>
  <si>
    <t>0.8266050997177374</t>
  </si>
  <si>
    <t>-0.5119875147699707</t>
  </si>
  <si>
    <t>-0.35782355595614</t>
  </si>
  <si>
    <t>1.434774511858327</t>
  </si>
  <si>
    <t>0.8053393059856138</t>
  </si>
  <si>
    <t>0.9416597854813825</t>
  </si>
  <si>
    <t>-0.16619980640078916</t>
  </si>
  <si>
    <t>0.39761935638945445</t>
  </si>
  <si>
    <t>0.610932091808267</t>
  </si>
  <si>
    <t>0.19436681886392754</t>
  </si>
  <si>
    <t>-0.047567587928626885</t>
  </si>
  <si>
    <t>-0.49523017033339617</t>
  </si>
  <si>
    <t>-0.5728275402285529</t>
  </si>
  <si>
    <t>-0.838415448355638</t>
  </si>
  <si>
    <t>0.25757557976317813</t>
  </si>
  <si>
    <t>0.08442829608447454</t>
  </si>
  <si>
    <t>-0.4090814567434711</t>
  </si>
  <si>
    <t>0.25061357006283236</t>
  </si>
  <si>
    <t>1.0088806639460115</t>
  </si>
  <si>
    <t>0.09711240127865517</t>
  </si>
  <si>
    <t>0.39656884418745686</t>
  </si>
  <si>
    <t>-0.9241540996066545</t>
  </si>
  <si>
    <t>0.49519919584253735</t>
  </si>
  <si>
    <t>-0.5418422991842953</t>
  </si>
  <si>
    <t>0.654139850977691</t>
  </si>
  <si>
    <t>0.12394088708611949</t>
  </si>
  <si>
    <t>-0.7503291157223773</t>
  </si>
  <si>
    <t>0.6549015898919667</t>
  </si>
  <si>
    <t>0.5433633960286234</t>
  </si>
  <si>
    <t>-0.4579230290812266</t>
  </si>
  <si>
    <t>0.28574224833559</t>
  </si>
  <si>
    <t>-0.41163485027876173</t>
  </si>
  <si>
    <t>0.468196818946203</t>
  </si>
  <si>
    <t>-0.1622332188812913</t>
  </si>
  <si>
    <t>-0.23343666230051488</t>
  </si>
  <si>
    <t>0.20328461609134849</t>
  </si>
  <si>
    <t>0.025069659158907714</t>
  </si>
  <si>
    <t>0.315617311284139</t>
  </si>
  <si>
    <t>-0.7876712040334942</t>
  </si>
  <si>
    <t>-0.37164773871112633</t>
  </si>
  <si>
    <t>-0.31712972375380455</t>
  </si>
  <si>
    <t>-0.23307644554611318</t>
  </si>
  <si>
    <t>-0.5690602213252767</t>
  </si>
  <si>
    <t>-0.3489775647264904</t>
  </si>
  <si>
    <t>1.1397104479063767</t>
  </si>
  <si>
    <t>0.14327543527159578</t>
  </si>
  <si>
    <t>-0.36096611503588377</t>
  </si>
  <si>
    <t>-0.10603319378748162</t>
  </si>
  <si>
    <t>0.22191037001007033</t>
  </si>
  <si>
    <t>-0.9164889009371967</t>
  </si>
  <si>
    <t>0.27096108967964627</t>
  </si>
  <si>
    <t>0.5765592001864358</t>
  </si>
  <si>
    <t>1.423440299850114</t>
  </si>
  <si>
    <t>-0.8197453261994524</t>
  </si>
  <si>
    <t>-0.7891451003049773</t>
  </si>
  <si>
    <t>0.6628417347013279</t>
  </si>
  <si>
    <t>0.0815586649332243</t>
  </si>
  <si>
    <t>0.17361554802595155</t>
  </si>
  <si>
    <t>0.1541367198890721</t>
  </si>
  <si>
    <t>-0.5378408191896096</t>
  </si>
  <si>
    <t>1.1645079330852501</t>
  </si>
  <si>
    <t>-0.7644181447518922</t>
  </si>
  <si>
    <t>0.4247245359084314</t>
  </si>
  <si>
    <t>-0.20354224190563258</t>
  </si>
  <si>
    <t>-0.4195984118033537</t>
  </si>
  <si>
    <t>-0.6291254023825997</t>
  </si>
  <si>
    <t>-0.2874684325688335</t>
  </si>
  <si>
    <t>-0.8271302620931368</t>
  </si>
  <si>
    <t>-0.12598318432887703</t>
  </si>
  <si>
    <t>-0.6123464915638683</t>
  </si>
  <si>
    <t>-0.30460988250567833</t>
  </si>
  <si>
    <t>2.5733466943932553</t>
  </si>
  <si>
    <t>1.3045076579160002</t>
  </si>
  <si>
    <t>-0.8122588796514179</t>
  </si>
  <si>
    <t>-0.4471286640804731</t>
  </si>
  <si>
    <t>-0.6061952975511388</t>
  </si>
  <si>
    <t>0.27513100313664</t>
  </si>
  <si>
    <t>0.7821682588003873</t>
  </si>
  <si>
    <t>-0.34831283199260316</t>
  </si>
  <si>
    <t>-0.32734521061062405</t>
  </si>
  <si>
    <t>-0.20391532078624672</t>
  </si>
  <si>
    <t>-0.21571830865094768</t>
  </si>
  <si>
    <t>-0.4436432023529784</t>
  </si>
  <si>
    <t>-0.29514012347825336</t>
  </si>
  <si>
    <t>-0.26307415688091146</t>
  </si>
  <si>
    <t>-0.6417114650089288</t>
  </si>
  <si>
    <t>-0.8582187557863079</t>
  </si>
  <si>
    <t>0.42488407096517194</t>
  </si>
  <si>
    <t>0.4800696821110501</t>
  </si>
  <si>
    <t>-0.23026651877033077</t>
  </si>
  <si>
    <t>0.5795715543706852</t>
  </si>
  <si>
    <t>-1.2927986034491408</t>
  </si>
  <si>
    <t>0.6153934313328983</t>
  </si>
  <si>
    <t>0.36156356014099605</t>
  </si>
  <si>
    <t>0.10793408623230107</t>
  </si>
  <si>
    <t>0.6033600702804236</t>
  </si>
  <si>
    <t>-0.23582821185967762</t>
  </si>
  <si>
    <t>0.30494506990728415</t>
  </si>
  <si>
    <t>-0.6760936520913862</t>
  </si>
  <si>
    <t>-0.17471980123074404</t>
  </si>
  <si>
    <t>-0.25416706320833005</t>
  </si>
  <si>
    <t>0.38256306893889713</t>
  </si>
  <si>
    <t>-0.791658920416799</t>
  </si>
  <si>
    <t>-1.7170824280564148</t>
  </si>
  <si>
    <t>-0.9329532920563905</t>
  </si>
  <si>
    <t>0.17442779736834554</t>
  </si>
  <si>
    <t>-0.47384234815177995</t>
  </si>
  <si>
    <t>0.36580781899605974</t>
  </si>
  <si>
    <t>-1.2918477715957333</t>
  </si>
  <si>
    <t>-0.32672615419785384</t>
  </si>
  <si>
    <t>-0.08086834019445253</t>
  </si>
  <si>
    <t>0.3409543119399144</t>
  </si>
  <si>
    <t>-0.03183489398567143</t>
  </si>
  <si>
    <t>-0.7252736015894764</t>
  </si>
  <si>
    <t>-1.4665035997354148</t>
  </si>
  <si>
    <t>-1.307745887994772</t>
  </si>
  <si>
    <t>-0.06716325745971512</t>
  </si>
  <si>
    <t>-0.3588920471272271</t>
  </si>
  <si>
    <t>0.1735535826674854</t>
  </si>
  <si>
    <t>0.41323756956099905</t>
  </si>
  <si>
    <t>-1.65605890808062</t>
  </si>
  <si>
    <t>0.3652280006811027</t>
  </si>
  <si>
    <t>0.9282272671155107</t>
  </si>
  <si>
    <t>-0.10170610125118269</t>
  </si>
  <si>
    <t>0.29826535550991934</t>
  </si>
  <si>
    <t>-0.19786175565951816</t>
  </si>
  <si>
    <t>-0.7983891860300149</t>
  </si>
  <si>
    <t>0.5406212597815437</t>
  </si>
  <si>
    <t>0.2972828486298404</t>
  </si>
  <si>
    <t>-0.07453162985256054</t>
  </si>
  <si>
    <t>-1.1517367088655948</t>
  </si>
  <si>
    <t>-0.9021043152523852</t>
  </si>
  <si>
    <t>-0.26648456151018696</t>
  </si>
  <si>
    <t>-0.923766589111902</t>
  </si>
  <si>
    <t>0.5069138851317508</t>
  </si>
  <si>
    <t>0.34759552145822514</t>
  </si>
  <si>
    <t>-0.36979744455678193</t>
  </si>
  <si>
    <t>1.0609546949585027</t>
  </si>
  <si>
    <t>-0.7593479217484224</t>
  </si>
  <si>
    <t>-0.6298833337456063</t>
  </si>
  <si>
    <t>0.3683373169162597</t>
  </si>
  <si>
    <t>0.27510764457048065</t>
  </si>
  <si>
    <t>0.1768201831192297</t>
  </si>
  <si>
    <t>-0.42780959683051234</t>
  </si>
  <si>
    <t>-0.007177841979442242</t>
  </si>
  <si>
    <t>0.4372439024427759</t>
  </si>
  <si>
    <t>-0.9143683090544984</t>
  </si>
  <si>
    <t>-0.5857069078890701</t>
  </si>
  <si>
    <t>0.09391040961029228</t>
  </si>
  <si>
    <t>0.6316945584751852</t>
  </si>
  <si>
    <t>0.2625451840318532</t>
  </si>
  <si>
    <t>-0.2627147009548106</t>
  </si>
  <si>
    <t>-0.2252339153616118</t>
  </si>
  <si>
    <t>-1.4476394419142464</t>
  </si>
  <si>
    <t>0.8184166859197126</t>
  </si>
  <si>
    <t>0.11619060105161456</t>
  </si>
  <si>
    <t>0.3537978164982438</t>
  </si>
  <si>
    <t>0.05534368782554747</t>
  </si>
  <si>
    <t>-0.5979511438800191</t>
  </si>
  <si>
    <t>-0.8191985574787036</t>
  </si>
  <si>
    <t>0.071028552793917</t>
  </si>
  <si>
    <t>0.3660115616031213</t>
  </si>
  <si>
    <t>-0.3618773320697803</t>
  </si>
  <si>
    <t>0.10035897819970632</t>
  </si>
  <si>
    <t>1.3701101751638136</t>
  </si>
  <si>
    <t>-0.5873507930286898</t>
  </si>
  <si>
    <t>-0.6883085854664397</t>
  </si>
  <si>
    <t>0.053277441899520606</t>
  </si>
  <si>
    <t>-1.1744564176207575</t>
  </si>
  <si>
    <t>-0.06199766520607315</t>
  </si>
  <si>
    <t>-0.09807777993857456</t>
  </si>
  <si>
    <t>0.3601142083301372</t>
  </si>
  <si>
    <t>-0.07114396051270985</t>
  </si>
  <si>
    <t>0.5150834655557082</t>
  </si>
  <si>
    <t>-0.12863154136226307</t>
  </si>
  <si>
    <t>-0.6076638793908589</t>
  </si>
  <si>
    <t>0.7888261991245115</t>
  </si>
  <si>
    <t>0.1553486004355896</t>
  </si>
  <si>
    <t>0.009723202913675328</t>
  </si>
  <si>
    <t>0.8340479987612995</t>
  </si>
  <si>
    <t>-0.1047019606331833</t>
  </si>
  <si>
    <t>0.2577182766475679</t>
  </si>
  <si>
    <t>-0.16631203712127446</t>
  </si>
  <si>
    <t>0.18420003789917078</t>
  </si>
  <si>
    <t>-0.03554109924406686</t>
  </si>
  <si>
    <t>-0.6608857474625083</t>
  </si>
  <si>
    <t>0.09024268523099208</t>
  </si>
  <si>
    <t>1.4180392098489965</t>
  </si>
  <si>
    <t>-0.03491232778361371</t>
  </si>
  <si>
    <t>0.31408214348696006</t>
  </si>
  <si>
    <t>-0.15258100074612296</t>
  </si>
  <si>
    <t>0.5411080077514567</t>
  </si>
  <si>
    <t>-0.021206395414342508</t>
  </si>
  <si>
    <t>0.01155437539684209</t>
  </si>
  <si>
    <t>1.620746393349334</t>
  </si>
  <si>
    <t>0.30606298403351173</t>
  </si>
  <si>
    <t>-0.4252360157711989</t>
  </si>
  <si>
    <t>0.007838653049074372</t>
  </si>
  <si>
    <t>0.5356297012875104</t>
  </si>
  <si>
    <t>-0.2977436483081267</t>
  </si>
  <si>
    <t>-1.7270407919215829</t>
  </si>
  <si>
    <t>1.5659115574425593</t>
  </si>
  <si>
    <t>-1.802562333188042</t>
  </si>
  <si>
    <t>0.11570716766175264</t>
  </si>
  <si>
    <t>0.06552792470198424</t>
  </si>
  <si>
    <t>-0.7407377040047959</t>
  </si>
  <si>
    <t>1.193176989458794</t>
  </si>
  <si>
    <t>0.13985315874247833</t>
  </si>
  <si>
    <t>-0.7097334904253344</t>
  </si>
  <si>
    <t>-1.3749444473065477</t>
  </si>
  <si>
    <t>-0.6053167065520368</t>
  </si>
  <si>
    <t>0.0478773264082308</t>
  </si>
  <si>
    <t>-0.07657798788508004</t>
  </si>
  <si>
    <t>-2.227402458680512</t>
  </si>
  <si>
    <t>0.7550419945492621</t>
  </si>
  <si>
    <t>0.3107457330643502</t>
  </si>
  <si>
    <t>-0.8680037036497179</t>
  </si>
  <si>
    <t>0.5253384756963122</t>
  </si>
  <si>
    <t>-0.41600075195709246</t>
  </si>
  <si>
    <t>0.4512229446827757</t>
  </si>
  <si>
    <t>0.3074776626592972</t>
  </si>
  <si>
    <t>-0.32778903670608234</t>
  </si>
  <si>
    <t>-0.28159519726844556</t>
  </si>
  <si>
    <t>-0.5161113103441785</t>
  </si>
  <si>
    <t>-0.6395829410007182</t>
  </si>
  <si>
    <t>0.5819230770118721</t>
  </si>
  <si>
    <t>1.5663441020694195</t>
  </si>
  <si>
    <t>1.4354819963238181</t>
  </si>
  <si>
    <t>-0.5946800726318181</t>
  </si>
  <si>
    <t>-0.45853529784680713</t>
  </si>
  <si>
    <t>-0.5968465932230861</t>
  </si>
  <si>
    <t>0.26711440600328884</t>
  </si>
  <si>
    <t>-0.3804093812095906</t>
  </si>
  <si>
    <t>-0.19243347894267904</t>
  </si>
  <si>
    <t>0.22756284289909945</t>
  </si>
  <si>
    <t>0.3238288195231668</t>
  </si>
  <si>
    <t>0.6052586194728625</t>
  </si>
  <si>
    <t>-0.20471444961994428</t>
  </si>
  <si>
    <t>-0.5637302149849848</t>
  </si>
  <si>
    <t>-0.820805212236097</t>
  </si>
  <si>
    <t>1.009934323284996</t>
  </si>
  <si>
    <t>0.1010983959432734</t>
  </si>
  <si>
    <t>0.5033333320490172</t>
  </si>
  <si>
    <t>-0.579814394372165</t>
  </si>
  <si>
    <t>-0.23293412762019816</t>
  </si>
  <si>
    <t>0.025986102908144633</t>
  </si>
  <si>
    <t>-0.10052326594941428</t>
  </si>
  <si>
    <t>0.5169688560284119</t>
  </si>
  <si>
    <t>-0.40579242361716233</t>
  </si>
  <si>
    <t>-0.28619052031425884</t>
  </si>
  <si>
    <t>-0.066562162946321</t>
  </si>
  <si>
    <t>0.001992336320526375</t>
  </si>
  <si>
    <t>-0.7673714545422013</t>
  </si>
  <si>
    <t>1.1804226687004225</t>
  </si>
  <si>
    <t>0.28364935087953785</t>
  </si>
  <si>
    <t>-1.3252462121314428</t>
  </si>
  <si>
    <t>-0.01805787246559828</t>
  </si>
  <si>
    <t>-0.15420027850047538</t>
  </si>
  <si>
    <t>-0.1372283635155297</t>
  </si>
  <si>
    <t>0.6760679013028088</t>
  </si>
  <si>
    <t>0.2698904916153705</t>
  </si>
  <si>
    <t>-0.23707042735229747</t>
  </si>
  <si>
    <t>0.172853167087013</t>
  </si>
  <si>
    <t>-0.05014951958766206</t>
  </si>
  <si>
    <t>-0.27155869113691683</t>
  </si>
  <si>
    <t>0.24922270908425442</t>
  </si>
  <si>
    <t>0.09473888920222051</t>
  </si>
  <si>
    <t>0.10382997584087156</t>
  </si>
  <si>
    <t>0.4192134060197763</t>
  </si>
  <si>
    <t>-0.07281310532519808</t>
  </si>
  <si>
    <t>0.7459108201338194</t>
  </si>
  <si>
    <t>-0.6871637067597804</t>
  </si>
  <si>
    <t>0.6269276644286248</t>
  </si>
  <si>
    <t>-0.3050628919760491</t>
  </si>
  <si>
    <t>-0.22806410997666254</t>
  </si>
  <si>
    <t>0.19884588320223276</t>
  </si>
  <si>
    <t>-0.13905126789565592</t>
  </si>
  <si>
    <t>1.3020824031523377</t>
  </si>
  <si>
    <t>0.16372961049172954</t>
  </si>
  <si>
    <t>0.8845787975480182</t>
  </si>
  <si>
    <t>-0.5653685744663396</t>
  </si>
  <si>
    <t>-0.5625233937454202</t>
  </si>
  <si>
    <t>0.010174360749753487</t>
  </si>
  <si>
    <t>-0.5644648086212104</t>
  </si>
  <si>
    <t>-1.0368382671589367</t>
  </si>
  <si>
    <t>-0.6620509380346518</t>
  </si>
  <si>
    <t>0.21919790910231196</t>
  </si>
  <si>
    <t>-0.18764148448751763</t>
  </si>
  <si>
    <t>-0.39448550998693094</t>
  </si>
  <si>
    <t>1.1895951214355105</t>
  </si>
  <si>
    <t>0.8499868090766514</t>
  </si>
  <si>
    <t>-0.4142491211771213</t>
  </si>
  <si>
    <t>0.5343799281338998</t>
  </si>
  <si>
    <t>1.4735825770410846</t>
  </si>
  <si>
    <t>-0.030851804805655435</t>
  </si>
  <si>
    <t>0.9180533188184575</t>
  </si>
  <si>
    <t>-0.5656781208506277</t>
  </si>
  <si>
    <t>-0.18158228771379314</t>
  </si>
  <si>
    <t>0.3030417749379528</t>
  </si>
  <si>
    <t>0.932163645122928</t>
  </si>
  <si>
    <t>-0.913001580687506</t>
  </si>
  <si>
    <t>0.9091993806051744</t>
  </si>
  <si>
    <t>-0.26686667386084467</t>
  </si>
  <si>
    <t>0.8434657100435542</t>
  </si>
  <si>
    <t>0.07065603823610811</t>
  </si>
  <si>
    <t>-0.41398724924239383</t>
  </si>
  <si>
    <t>-0.40433718669350704</t>
  </si>
  <si>
    <t>-0.2046718676065664</t>
  </si>
  <si>
    <t>0.3478017560327578</t>
  </si>
  <si>
    <t>-0.2674004703326806</t>
  </si>
  <si>
    <t>0.07912487366806302</t>
  </si>
  <si>
    <t>-0.6161317511344474</t>
  </si>
  <si>
    <t>0.05170862988001141</t>
  </si>
  <si>
    <t>-1.5032325202547954</t>
  </si>
  <si>
    <t>-0.5047148866916797</t>
  </si>
  <si>
    <t>-0.15934841608721723</t>
  </si>
  <si>
    <t>-0.1596269984890969</t>
  </si>
  <si>
    <t>-0.8773290053903319</t>
  </si>
  <si>
    <t>0.9038431688784778</t>
  </si>
  <si>
    <t>-0.6862658413188228</t>
  </si>
  <si>
    <t>-0.32998727491120344</t>
  </si>
  <si>
    <t>-0.06721158238694326</t>
  </si>
  <si>
    <t>0.13624857045516037</t>
  </si>
  <si>
    <t>-0.10839429461329701</t>
  </si>
  <si>
    <t>0.9551319710416325</t>
  </si>
  <si>
    <t>-1.0940438820591638</t>
  </si>
  <si>
    <t>0.3112363868480447</t>
  </si>
  <si>
    <t>-0.0003537494621084822</t>
  </si>
  <si>
    <t>-0.4264856923574236</t>
  </si>
  <si>
    <t>1.3576097076771492</t>
  </si>
  <si>
    <t>-0.22680716674463974</t>
  </si>
  <si>
    <t>0.33416451422313276</t>
  </si>
  <si>
    <t>0.24503791153664473</t>
  </si>
  <si>
    <t>-0.5406554489200978</t>
  </si>
  <si>
    <t>-0.11195520586506619</t>
  </si>
  <si>
    <t>-0.4457580113632395</t>
  </si>
  <si>
    <t>-0.021393311062121036</t>
  </si>
  <si>
    <t>1.2926479657301702</t>
  </si>
  <si>
    <t>-0.4823939594148881</t>
  </si>
  <si>
    <t>-0.474041273890014</t>
  </si>
  <si>
    <t>0.35972842467902116</t>
  </si>
  <si>
    <t>-0.7563769214912796</t>
  </si>
  <si>
    <t>0.7373207879418093</t>
  </si>
  <si>
    <t>0.36323656274372507</t>
  </si>
  <si>
    <t>0.814877553832288</t>
  </si>
  <si>
    <t>1.385154561734307</t>
  </si>
  <si>
    <t>0.1640324672580698</t>
  </si>
  <si>
    <t>0.478220510657385</t>
  </si>
  <si>
    <t>0.15933171737054744</t>
  </si>
  <si>
    <t>0.07941632942401855</t>
  </si>
  <si>
    <t>0.14325762551205246</t>
  </si>
  <si>
    <t>-0.05854708899202974</t>
  </si>
  <si>
    <t>-0.32984999685826444</t>
  </si>
  <si>
    <t>-0.14834398393036866</t>
  </si>
  <si>
    <t>-0.9770742151546375</t>
  </si>
  <si>
    <t>0.34169733301815597</t>
  </si>
  <si>
    <t>-0.20515635087609976</t>
  </si>
  <si>
    <t>-0.41162766918169014</t>
  </si>
  <si>
    <t>1.0311187622299312</t>
  </si>
  <si>
    <t>0.3441563481884422</t>
  </si>
  <si>
    <t>0.19372291151517457</t>
  </si>
  <si>
    <t>-0.925371209590655</t>
  </si>
  <si>
    <t>-0.1356348275799099</t>
  </si>
  <si>
    <t>-0.12650219853643932</t>
  </si>
  <si>
    <t>0.7692525938203316</t>
  </si>
  <si>
    <t>-0.08962768622506469</t>
  </si>
  <si>
    <t>-0.7710719497014193</t>
  </si>
  <si>
    <t>0.2618848833195128</t>
  </si>
  <si>
    <t>-0.3132233110007984</t>
  </si>
  <si>
    <t>-0.2351390378020963</t>
  </si>
  <si>
    <t>0.22168773913514592</t>
  </si>
  <si>
    <t>-0.5033238176613182</t>
  </si>
  <si>
    <t>0.42163280895010413</t>
  </si>
  <si>
    <t>-0.10006516662389385</t>
  </si>
  <si>
    <t>-0.7222207249817563</t>
  </si>
  <si>
    <t>0.6175877644638149</t>
  </si>
  <si>
    <t>-0.3136415188155495</t>
  </si>
  <si>
    <t>-0.4512542978493915</t>
  </si>
  <si>
    <t>0.20160095206486547</t>
  </si>
  <si>
    <t>0.2951287355123403</t>
  </si>
  <si>
    <t>-1.0176271676689126</t>
  </si>
  <si>
    <t>-1.099502298143906</t>
  </si>
  <si>
    <t>-0.9176180999547674</t>
  </si>
  <si>
    <t>0.8851685453279969</t>
  </si>
  <si>
    <t>-0.28582046627107915</t>
  </si>
  <si>
    <t>-0.8673295507037871</t>
  </si>
  <si>
    <t>-0.47931256224587054</t>
  </si>
  <si>
    <t>-0.5301514048441522</t>
  </si>
  <si>
    <t>0.3095534500782407</t>
  </si>
  <si>
    <t>0.49279105916391175</t>
  </si>
  <si>
    <t>-0.7502520602174899</t>
  </si>
  <si>
    <t>0.14183614365560798</t>
  </si>
  <si>
    <t>0.058290559270508226</t>
  </si>
  <si>
    <t>-0.7036009247643124</t>
  </si>
  <si>
    <t>0.561709281202205</t>
  </si>
  <si>
    <t>-0.07306284811803238</t>
  </si>
  <si>
    <t>0.9431615107223157</t>
  </si>
  <si>
    <t>-1.2261533842815586</t>
  </si>
  <si>
    <t>0.6602111702790918</t>
  </si>
  <si>
    <t>-1.414912320784208</t>
  </si>
  <si>
    <t>0.315072504413253</t>
  </si>
  <si>
    <t>0.3778263630506637</t>
  </si>
  <si>
    <t>-0.47787432129201896</t>
  </si>
  <si>
    <t>-1.2364169982786906</t>
  </si>
  <si>
    <t>0.12616948427109353</t>
  </si>
  <si>
    <t>0.6401915018925237</t>
  </si>
  <si>
    <t>1.270926965859373</t>
  </si>
  <si>
    <t>0.5711209351649997</t>
  </si>
  <si>
    <t>-1.1791403184968887</t>
  </si>
  <si>
    <t>0.11287483568754716</t>
  </si>
  <si>
    <t>1.1270963946499903</t>
  </si>
  <si>
    <t>-0.14413712690674826</t>
  </si>
  <si>
    <t>-0.5254530408878686</t>
  </si>
  <si>
    <t>0.6812613904813393</t>
  </si>
  <si>
    <t>0.7483773112978369</t>
  </si>
  <si>
    <t>0.0873017929033566</t>
  </si>
  <si>
    <t>1.7565913652464156</t>
  </si>
  <si>
    <t>1.212717995586856</t>
  </si>
  <si>
    <t>0.18416662947326431</t>
  </si>
  <si>
    <t>-1.691684543109892</t>
  </si>
  <si>
    <t>-0.27070412296396335</t>
  </si>
  <si>
    <t>0.7742636005600317</t>
  </si>
  <si>
    <t>0.3716798037999871</t>
  </si>
  <si>
    <t>1.6539296050790282</t>
  </si>
  <si>
    <t>-0.9005588616222514</t>
  </si>
  <si>
    <t>0.9344954774879086</t>
  </si>
  <si>
    <t>-1.6634184768450255</t>
  </si>
  <si>
    <t>0.016687331252568216</t>
  </si>
  <si>
    <t>0.4461457710184701</t>
  </si>
  <si>
    <t>1.059408183485911</t>
  </si>
  <si>
    <t>0.2030249864969158</t>
  </si>
  <si>
    <t>0.9104139883389094</t>
  </si>
  <si>
    <t>-0.003705357872650136</t>
  </si>
  <si>
    <t>0.01328583658055031</t>
  </si>
  <si>
    <t>0.546556339354734</t>
  </si>
  <si>
    <t>-0.2588402004357623</t>
  </si>
  <si>
    <t>-0.2352955055163822</t>
  </si>
  <si>
    <t>-0.4156063979562762</t>
  </si>
  <si>
    <t>-0.5883932564326185</t>
  </si>
  <si>
    <t>-0.25262019376518285</t>
  </si>
  <si>
    <t>-0.6784974697334847</t>
  </si>
  <si>
    <t>-0.8526114022663418</t>
  </si>
  <si>
    <t>-0.4537055331698068</t>
  </si>
  <si>
    <t>-0.1154312984941744</t>
  </si>
  <si>
    <t>0.16133011541094155</t>
  </si>
  <si>
    <t>-0.1753238379803898</t>
  </si>
  <si>
    <t>2.2269233293859747</t>
  </si>
  <si>
    <t>0.0834347791327503</t>
  </si>
  <si>
    <t>-0.06498997242616723</t>
  </si>
  <si>
    <t>0.06604581197816689</t>
  </si>
  <si>
    <t>-1.1435487255278607</t>
  </si>
  <si>
    <t>-0.9463416893915462</t>
  </si>
  <si>
    <t>1.3414551432353872</t>
  </si>
  <si>
    <t>0.3188288105924037</t>
  </si>
  <si>
    <t>0.5399857223904916</t>
  </si>
  <si>
    <t>-0.15298278450230948</t>
  </si>
  <si>
    <t>0.35908290570509677</t>
  </si>
  <si>
    <t>-0.5419218436018745</t>
  </si>
  <si>
    <t>1.4681473580179059</t>
  </si>
  <si>
    <t>-0.34718352598378854</t>
  </si>
  <si>
    <t>-0.9323101972899239</t>
  </si>
  <si>
    <t>0.6171881941320286</t>
  </si>
  <si>
    <t>-0.4018520476494078</t>
  </si>
  <si>
    <t>0.5656364132427951</t>
  </si>
  <si>
    <t>-0.19508581278056925</t>
  </si>
  <si>
    <t>1.0180210197274842</t>
  </si>
  <si>
    <t>1.4310943964650165</t>
  </si>
  <si>
    <t>0.4070643346973575</t>
  </si>
  <si>
    <t>-0.29084295395494403</t>
  </si>
  <si>
    <t>-0.9909308727583923</t>
  </si>
  <si>
    <t>-0.06950070207160404</t>
  </si>
  <si>
    <t>0.8708245727062904</t>
  </si>
  <si>
    <t>-0.8280559651815228</t>
  </si>
  <si>
    <t>-0.37306155403594354</t>
  </si>
  <si>
    <t>-0.12542554798781955</t>
  </si>
  <si>
    <t>1.3366224271998357</t>
  </si>
  <si>
    <t>-1.2828754831510047</t>
  </si>
  <si>
    <t>-0.2746292977673806</t>
  </si>
  <si>
    <t>1.2896782658459849</t>
  </si>
  <si>
    <t>-0.9064595562815929</t>
  </si>
  <si>
    <t>-1.00388429061167</t>
  </si>
  <si>
    <t>-0.23581538548489464</t>
  </si>
  <si>
    <t>1.0099131492218385</t>
  </si>
  <si>
    <t>-0.11560379719561749</t>
  </si>
  <si>
    <t>-0.06529323964097421</t>
  </si>
  <si>
    <t>0.7088463815197308</t>
  </si>
  <si>
    <t>0.7466565176793265</t>
  </si>
  <si>
    <t>-0.22089096185042684</t>
  </si>
  <si>
    <t>0.7074265116031333</t>
  </si>
  <si>
    <t>1.0393656519308538</t>
  </si>
  <si>
    <t>-1.038962686297431</t>
  </si>
  <si>
    <t>0.190459264541536</t>
  </si>
  <si>
    <t>0.4173672967828644</t>
  </si>
  <si>
    <t>1.0823241014271487</t>
  </si>
  <si>
    <t>0.23487604611025087</t>
  </si>
  <si>
    <t>0.02348419549783997</t>
  </si>
  <si>
    <t>0.8227701971628433</t>
  </si>
  <si>
    <t>0.4303465106388872</t>
  </si>
  <si>
    <t>-0.05226254629389754</t>
  </si>
  <si>
    <t>0.7493661578964529</t>
  </si>
  <si>
    <t>0.12016433903309849</t>
  </si>
  <si>
    <t>-0.11638414810473266</t>
  </si>
  <si>
    <t>0.21085504810191916</t>
  </si>
  <si>
    <t>-0.8219717938454741</t>
  </si>
  <si>
    <t>0.7788988840716405</t>
  </si>
  <si>
    <t>0.5944168697318444</t>
  </si>
  <si>
    <t>-1.7213986084825892</t>
  </si>
  <si>
    <t>-0.023890130556528007</t>
  </si>
  <si>
    <t>0.8230458598536656</t>
  </si>
  <si>
    <t>-1.454747781375827</t>
  </si>
  <si>
    <t>1.6331730697939062</t>
  </si>
  <si>
    <t>0.3657520034392602</t>
  </si>
  <si>
    <t>-0.8956719101985868</t>
  </si>
  <si>
    <t>-0.937395233972162</t>
  </si>
  <si>
    <t>-0.5229715435054152</t>
  </si>
  <si>
    <t>0.5537007273048266</t>
  </si>
  <si>
    <t>-0.1266531730155828</t>
  </si>
  <si>
    <t>1.0466516424601486</t>
  </si>
  <si>
    <t>0.7718499508605782</t>
  </si>
  <si>
    <t>-0.09804802514071825</t>
  </si>
  <si>
    <t>-0.8421472342844563</t>
  </si>
  <si>
    <t>-1.489123428600486</t>
  </si>
  <si>
    <t>-0.05337955125262721</t>
  </si>
  <si>
    <t>-0.08733976430222133</t>
  </si>
  <si>
    <t>-0.31780441019290306</t>
  </si>
  <si>
    <t>-0.5015298779251186</t>
  </si>
  <si>
    <t>0.26872195254802733</t>
  </si>
  <si>
    <t>0.38522077282100686</t>
  </si>
  <si>
    <t>-0.8714374686571631</t>
  </si>
  <si>
    <t>-1.2988711771315293</t>
  </si>
  <si>
    <t>-0.0004452817285892113</t>
  </si>
  <si>
    <t>-0.021432734286746392</t>
  </si>
  <si>
    <t>0.08168899030550396</t>
  </si>
  <si>
    <t>0.8061106414732626</t>
  </si>
  <si>
    <t>0.2883212318994744</t>
  </si>
  <si>
    <t>0.02160748841418247</t>
  </si>
  <si>
    <t>-0.2701370474084037</t>
  </si>
  <si>
    <t>1.0266423922736443</t>
  </si>
  <si>
    <t>-0.5089251897394443</t>
  </si>
  <si>
    <t>0.20722127740070087</t>
  </si>
  <si>
    <t>0.6571028523529387</t>
  </si>
  <si>
    <t>-0.04877459771125343</t>
  </si>
  <si>
    <t>0.12441319973996519</t>
  </si>
  <si>
    <t>-0.04680141570661384</t>
  </si>
  <si>
    <t>-0.17499918801943914</t>
  </si>
  <si>
    <t>1.4767855638573886</t>
  </si>
  <si>
    <t>-0.15091948725916213</t>
  </si>
  <si>
    <t>-0.7347945088840377</t>
  </si>
  <si>
    <t>0.27422431735913555</t>
  </si>
  <si>
    <t>0.39291610027897095</t>
  </si>
  <si>
    <t>-0.4699171629454147</t>
  </si>
  <si>
    <t>-0.5233297322210199</t>
  </si>
  <si>
    <t>0.6209241894071437</t>
  </si>
  <si>
    <t>-0.7030928966215174</t>
  </si>
  <si>
    <t>0.34251291726143124</t>
  </si>
  <si>
    <t>0.8158749942564532</t>
  </si>
  <si>
    <t>0.2261166242618382</t>
  </si>
  <si>
    <t>0.9735309432012834</t>
  </si>
  <si>
    <t>-0.6262149790002801</t>
  </si>
  <si>
    <t>1.3662800967042434</t>
  </si>
  <si>
    <t>0.2412942183348449</t>
  </si>
  <si>
    <t>-0.7546750162317023</t>
  </si>
  <si>
    <t>0.5492177879232172</t>
  </si>
  <si>
    <t>0.14043192599467227</t>
  </si>
  <si>
    <t>-1.0185651068184223</t>
  </si>
  <si>
    <t>-0.04144542493590875</t>
  </si>
  <si>
    <t>1.0160328296531338</t>
  </si>
  <si>
    <t>-1.0499393423591301</t>
  </si>
  <si>
    <t>-0.9162482088522124</t>
  </si>
  <si>
    <t>-0.08308613662749344</t>
  </si>
  <si>
    <t>0.37872604782790514</t>
  </si>
  <si>
    <t>-0.736387955116224</t>
  </si>
  <si>
    <t>-0.38899254181606524</t>
  </si>
  <si>
    <t>-0.3091395411130371</t>
  </si>
  <si>
    <t>1.1506322784711296</t>
  </si>
  <si>
    <t>-0.3252091042476846</t>
  </si>
  <si>
    <t>0.047933693110903605</t>
  </si>
  <si>
    <t>0.4347566415737041</t>
  </si>
  <si>
    <t>0.32538336398323714</t>
  </si>
  <si>
    <t>-0.622354021522481</t>
  </si>
  <si>
    <t>-0.334174337517234</t>
  </si>
  <si>
    <t>-0.3576348918142585</t>
  </si>
  <si>
    <t>0.15221678195507932</t>
  </si>
  <si>
    <t>-0.596070615577251</t>
  </si>
  <si>
    <t>-0.92759859286947</t>
  </si>
  <si>
    <t>-0.3690087624140306</t>
  </si>
  <si>
    <t>0.2990337274450804</t>
  </si>
  <si>
    <t>-0.25800801070979257</t>
  </si>
  <si>
    <t>-0.19685684170279144</t>
  </si>
  <si>
    <t>-0.9077034748871324</t>
  </si>
  <si>
    <t>-0.15887827794970794</t>
  </si>
  <si>
    <t>0.2929919110135421</t>
  </si>
  <si>
    <t>-0.17676806357794111</t>
  </si>
  <si>
    <t>-0.08659195837635086</t>
  </si>
  <si>
    <t>-0.39321482491623017</t>
  </si>
  <si>
    <t>-0.14171885635144477</t>
  </si>
  <si>
    <t>-0.278604114069032</t>
  </si>
  <si>
    <t>0.3914867209696744</t>
  </si>
  <si>
    <t>-0.4627277766499348</t>
  </si>
  <si>
    <t>1.4107631748875293</t>
  </si>
  <si>
    <t>0.053180965598187545</t>
  </si>
  <si>
    <t>-0.3991558104449148</t>
  </si>
  <si>
    <t>0.5023297002773648</t>
  </si>
  <si>
    <t>-0.24475349523275566</t>
  </si>
  <si>
    <t>0.15777451419131536</t>
  </si>
  <si>
    <t>-0.6393407743122345</t>
  </si>
  <si>
    <t>-0.2905963725247902</t>
  </si>
  <si>
    <t>0.014019501919678948</t>
  </si>
  <si>
    <t>-0.05396664637514354</t>
  </si>
  <si>
    <t>-1.3133858618588432</t>
  </si>
  <si>
    <t>-0.3393514291671606</t>
  </si>
  <si>
    <t>0.7981877290968289</t>
  </si>
  <si>
    <t>-0.49640042199036766</t>
  </si>
  <si>
    <t>-0.9155804921664391</t>
  </si>
  <si>
    <t>0.2986359191023598</t>
  </si>
  <si>
    <t>1.0658490090713644</t>
  </si>
  <si>
    <t>0.13904874579659096</t>
  </si>
  <si>
    <t>-0.7399124645493493</t>
  </si>
  <si>
    <t>-1.0396731702762516</t>
  </si>
  <si>
    <t>0.050045014102198276</t>
  </si>
  <si>
    <t>-0.17031553615316028</t>
  </si>
  <si>
    <t>1.289300053833059</t>
  </si>
  <si>
    <t>-0.1981711285772062</t>
  </si>
  <si>
    <t>-0.5109600033714171</t>
  </si>
  <si>
    <t>0.2768487346878398</t>
  </si>
  <si>
    <t>-0.992579476056793</t>
  </si>
  <si>
    <t>0.27304069075583975</t>
  </si>
  <si>
    <t>2.4291910570294237</t>
  </si>
  <si>
    <t>-0.9824085572077643</t>
  </si>
  <si>
    <t>-0.7058187221827756</t>
  </si>
  <si>
    <t>1.595676661771704</t>
  </si>
  <si>
    <t>-0.9669525506933169</t>
  </si>
  <si>
    <t>-0.459649772537167</t>
  </si>
  <si>
    <t>1.2227145893522038</t>
  </si>
  <si>
    <t>-1.4078423023567603</t>
  </si>
  <si>
    <t>0.016049401727504298</t>
  </si>
  <si>
    <t>1.1429735422320337</t>
  </si>
  <si>
    <t>-0.5254068476649112</t>
  </si>
  <si>
    <t>-0.6021456049839892</t>
  </si>
  <si>
    <t>0.8061925767200203</t>
  </si>
  <si>
    <t>-0.2948855906991862</t>
  </si>
  <si>
    <t>0.029211297491933994</t>
  </si>
  <si>
    <t>-0.760077657988352</t>
  </si>
  <si>
    <t>-0.30196504830373055</t>
  </si>
  <si>
    <t>1.1234980663107048</t>
  </si>
  <si>
    <t>-0.8956503291420109</t>
  </si>
  <si>
    <t>-0.6003814965280999</t>
  </si>
  <si>
    <t>-0.05950199128188366</t>
  </si>
  <si>
    <t>-0.3269714676235004</t>
  </si>
  <si>
    <t>-0.6717808536828598</t>
  </si>
  <si>
    <t>0.2827192121483893</t>
  </si>
  <si>
    <t>0.8272230218935034</t>
  </si>
  <si>
    <t>-0.03284546309288926</t>
  </si>
  <si>
    <t>-0.7782180429556135</t>
  </si>
  <si>
    <t>-0.13904140015453864</t>
  </si>
  <si>
    <t>0.11706970814560837</t>
  </si>
  <si>
    <t>-0.46772445417831215</t>
  </si>
  <si>
    <t>-1.5691404869180359</t>
  </si>
  <si>
    <t>-0.018827709413647392</t>
  </si>
  <si>
    <t>-0.557513637179572</t>
  </si>
  <si>
    <t>-0.7632593200870081</t>
  </si>
  <si>
    <t>-0.08384586522843217</t>
  </si>
  <si>
    <t>-1.3337390559860896</t>
  </si>
  <si>
    <t>0.12976937440660638</t>
  </si>
  <si>
    <t>0.1320303311921058</t>
  </si>
  <si>
    <t>0.35258917903766884</t>
  </si>
  <si>
    <t>0.018975586071488228</t>
  </si>
  <si>
    <t>1.1037214365678092</t>
  </si>
  <si>
    <t>-0.13004191780754024</t>
  </si>
  <si>
    <t>0.41410078448507953</t>
  </si>
  <si>
    <t>-0.9740204685183969</t>
  </si>
  <si>
    <t>0.12007391431862802</t>
  </si>
  <si>
    <t>-0.3943666820631446</t>
  </si>
  <si>
    <t>1.6540362795133976</t>
  </si>
  <si>
    <t>-1.7774333217901421</t>
  </si>
  <si>
    <t>-0.5285048071383169</t>
  </si>
  <si>
    <t>0.04324311362256614</t>
  </si>
  <si>
    <t>1.55267863618403</t>
  </si>
  <si>
    <t>-0.3388048016091031</t>
  </si>
  <si>
    <t>0.8014426802935318</t>
  </si>
  <si>
    <t>1.1791181611649435</t>
  </si>
  <si>
    <t>-0.115130070034131</t>
  </si>
  <si>
    <t>0.23757480789326216</t>
  </si>
  <si>
    <t>-0.18650557021769956</t>
  </si>
  <si>
    <t>-0.4288734056298685</t>
  </si>
  <si>
    <t>0.2849484299121219</t>
  </si>
  <si>
    <t>-0.9691669668701047</t>
  </si>
  <si>
    <t>-0.8787836978498528</t>
  </si>
  <si>
    <t>-0.004537239876107741</t>
  </si>
  <si>
    <t>-0.5259879605250761</t>
  </si>
  <si>
    <t>-0.14341345641475653</t>
  </si>
  <si>
    <t>-0.4770334377175967</t>
  </si>
  <si>
    <t>-0.35685486112875275</t>
  </si>
  <si>
    <t>-0.23117713802128875</t>
  </si>
  <si>
    <t>0.5668781413919672</t>
  </si>
  <si>
    <t>0.41658434903966407</t>
  </si>
  <si>
    <t>-0.05866712981715668</t>
  </si>
  <si>
    <t>0.7343589161835111</t>
  </si>
  <si>
    <t>-0.21575044890704773</t>
  </si>
  <si>
    <t>1.217341328246639</t>
  </si>
  <si>
    <t>-0.15938431488728247</t>
  </si>
  <si>
    <t>-0.44182848020948545</t>
  </si>
  <si>
    <t>1.4034807420328117</t>
  </si>
  <si>
    <t>0.17663999044472756</t>
  </si>
  <si>
    <t>-0.3499314920315736</t>
  </si>
  <si>
    <t>0.8598061552419672</t>
  </si>
  <si>
    <t>0.3425163503255492</t>
  </si>
  <si>
    <t>0.1523973990328283</t>
  </si>
  <si>
    <t>-0.08909338297599281</t>
  </si>
  <si>
    <t>0.8198507113309125</t>
  </si>
  <si>
    <t>0.6487423265440875</t>
  </si>
  <si>
    <t>0.01015428259475798</t>
  </si>
  <si>
    <t>-0.6565555540842153</t>
  </si>
  <si>
    <t>-0.5766609664834756</t>
  </si>
  <si>
    <t>0.6239161649807736</t>
  </si>
  <si>
    <t>-0.7028453029185686</t>
  </si>
  <si>
    <t>-0.18449652310058937</t>
  </si>
  <si>
    <t>0.41746051816495405</t>
  </si>
  <si>
    <t>0.24060968926263104</t>
  </si>
  <si>
    <t>0.49291945802803666</t>
  </si>
  <si>
    <t>0.2755574249524459</t>
  </si>
  <si>
    <t>-1.292949278371667</t>
  </si>
  <si>
    <t>0.9615376648397316</t>
  </si>
  <si>
    <t>0.751916800840309</t>
  </si>
  <si>
    <t>-0.8511439599287128</t>
  </si>
  <si>
    <t>-0.7501234037211986</t>
  </si>
  <si>
    <t>-0.0761482909027756</t>
  </si>
  <si>
    <t>0.20017074155044193</t>
  </si>
  <si>
    <t>0.303481078840413</t>
  </si>
  <si>
    <t>1.302509906749634</t>
  </si>
  <si>
    <t>-0.07421744257296731</t>
  </si>
  <si>
    <t>-0.6822478317574745</t>
  </si>
  <si>
    <t>-0.2973007044819838</t>
  </si>
  <si>
    <t>-0.4014595931934951</t>
  </si>
  <si>
    <t>-0.40190615449302974</t>
  </si>
  <si>
    <t>-0.6388463607695505</t>
  </si>
  <si>
    <t>1.1754271701680685</t>
  </si>
  <si>
    <t>-0.29560026476124723</t>
  </si>
  <si>
    <t>-0.5462661080167303</t>
  </si>
  <si>
    <t>0.7594377848865405</t>
  </si>
  <si>
    <t>2.5356402828273024</t>
  </si>
  <si>
    <t>0.23291052263789142</t>
  </si>
  <si>
    <t>-0.1623360775063397</t>
  </si>
  <si>
    <t>-0.2288765436813775</t>
  </si>
  <si>
    <t>0.20236389991453385</t>
  </si>
  <si>
    <t>-0.08566480563193898</t>
  </si>
  <si>
    <t>-1.0383130479828813</t>
  </si>
  <si>
    <t>-0.2915253285213263</t>
  </si>
  <si>
    <t>0.21887097067929379</t>
  </si>
  <si>
    <t>0.3956648657651242</t>
  </si>
  <si>
    <t>-0.8980805469893584</t>
  </si>
  <si>
    <t>-0.775283550645911</t>
  </si>
  <si>
    <t>0.13097976468683079</t>
  </si>
  <si>
    <t>-0.12888599578933446</t>
  </si>
  <si>
    <t>0.3006390250693749</t>
  </si>
  <si>
    <t>0.7470214533352423</t>
  </si>
  <si>
    <t>0.288632958533529</t>
  </si>
  <si>
    <t>-0.7330674964674478</t>
  </si>
  <si>
    <t>1.3638133750479913</t>
  </si>
  <si>
    <t>0.07419341509770311</t>
  </si>
  <si>
    <t>-0.359719759511742</t>
  </si>
  <si>
    <t>-0.4186277744951217</t>
  </si>
  <si>
    <t>-0.08196300760830956</t>
  </si>
  <si>
    <t>0.1057888868521037</t>
  </si>
  <si>
    <t>-0.11445012049065866</t>
  </si>
  <si>
    <t>-0.02738397538001452</t>
  </si>
  <si>
    <t>-0.2881374643194349</t>
  </si>
  <si>
    <t>0.12375931357015274</t>
  </si>
  <si>
    <t>-0.8275074868309211</t>
  </si>
  <si>
    <t>-0.6863068905204701</t>
  </si>
  <si>
    <t>0.4178193369607299</t>
  </si>
  <si>
    <t>-0.13126278427458055</t>
  </si>
  <si>
    <t>-0.025550344925116587</t>
  </si>
  <si>
    <t>1.5823178815823022</t>
  </si>
  <si>
    <t>-0.3965904125144323</t>
  </si>
  <si>
    <t>1.049888615319537</t>
  </si>
  <si>
    <t>0.1349583403433119</t>
  </si>
  <si>
    <t>0.33036429190649746</t>
  </si>
  <si>
    <t>0.08246172030104257</t>
  </si>
  <si>
    <t>0.4681249162366009</t>
  </si>
  <si>
    <t>0.20157501129839875</t>
  </si>
  <si>
    <t>0.7280244363767104</t>
  </si>
  <si>
    <t>0.41694103302318064</t>
  </si>
  <si>
    <t>0.08613547030489305</t>
  </si>
  <si>
    <t>0.4441799107234011</t>
  </si>
  <si>
    <t>-0.29877717746609495</t>
  </si>
  <si>
    <t>0.3390084995822228</t>
  </si>
  <si>
    <t>-1.1172348198691278</t>
  </si>
  <si>
    <t>1.4518998023871654</t>
  </si>
  <si>
    <t>-0.20831438345932018</t>
  </si>
  <si>
    <t>0.7767211870960193</t>
  </si>
  <si>
    <t>-0.42160929241411343</t>
  </si>
  <si>
    <t>0.49186274428583443</t>
  </si>
  <si>
    <t>-0.27299025955652517</t>
  </si>
  <si>
    <t>0.5424598277436943</t>
  </si>
  <si>
    <t>0.14813397212650456</t>
  </si>
  <si>
    <t>-0.6687754261769006</t>
  </si>
  <si>
    <t>0.2518334564143836</t>
  </si>
  <si>
    <t>0.03787227560915998</t>
  </si>
  <si>
    <t>-0.5807196398881772</t>
  </si>
  <si>
    <t>0.40247450197432544</t>
  </si>
  <si>
    <t>-0.3173955664983014</t>
  </si>
  <si>
    <t>0.30815028137872696</t>
  </si>
  <si>
    <t>0.5458590654729081</t>
  </si>
  <si>
    <t>0.5733686852221904</t>
  </si>
  <si>
    <t>-0.8668848647782893</t>
  </si>
  <si>
    <t>-0.19344023844161193</t>
  </si>
  <si>
    <t>0.16338349801048485</t>
  </si>
  <si>
    <t>0.08346032880526114</t>
  </si>
  <si>
    <t>1.228921098309031</t>
  </si>
  <si>
    <t>-0.36839519163328704</t>
  </si>
  <si>
    <t>0.6035507443135524</t>
  </si>
  <si>
    <t>-1.3056885365652708</t>
  </si>
  <si>
    <t>-0.9973355628019819</t>
  </si>
  <si>
    <t>-0.3799923400195927</t>
  </si>
  <si>
    <t>0.009814665106913988</t>
  </si>
  <si>
    <t>-0.752775644764648</t>
  </si>
  <si>
    <t>-0.27070703962145803</t>
  </si>
  <si>
    <t>-0.343416363719944</t>
  </si>
  <si>
    <t>0.4012347857907323</t>
  </si>
  <si>
    <t>0.6931161528086415</t>
  </si>
  <si>
    <t>-0.02296658331640177</t>
  </si>
  <si>
    <t>0.15431188714443617</t>
  </si>
  <si>
    <t>-0.03094239901935043</t>
  </si>
  <si>
    <t>-0.6247316167677238</t>
  </si>
  <si>
    <t>0.5132765217076952</t>
  </si>
  <si>
    <t>1.2199597061421017</t>
  </si>
  <si>
    <t>0.3499875476179417</t>
  </si>
  <si>
    <t>-0.1409464679605439</t>
  </si>
  <si>
    <t>-0.784870862543356</t>
  </si>
  <si>
    <t>0.3235958885953765</t>
  </si>
  <si>
    <t>-0.2375209906219018</t>
  </si>
  <si>
    <t>0.9522068928797891</t>
  </si>
  <si>
    <t>0.14461878056914293</t>
  </si>
  <si>
    <t>-0.21148708516022013</t>
  </si>
  <si>
    <t>1.8281735702456083</t>
  </si>
  <si>
    <t>-0.5038304572284178</t>
  </si>
  <si>
    <t>0.4340718114724572</t>
  </si>
  <si>
    <t>-0.2079564961035194</t>
  </si>
  <si>
    <t>0.03242504692577718</t>
  </si>
  <si>
    <t>0.3568130248746838</t>
  </si>
  <si>
    <t>-0.4945883952558009</t>
  </si>
  <si>
    <t>-0.823938195555937</t>
  </si>
  <si>
    <t>0.5483613326504283</t>
  </si>
  <si>
    <t>-0.4023727746107362</t>
  </si>
  <si>
    <t>-0.33374060683290446</t>
  </si>
  <si>
    <t>1.2433295382932934</t>
  </si>
  <si>
    <t>-0.4018180451551377</t>
  </si>
  <si>
    <t>0.08919969939686088</t>
  </si>
  <si>
    <t>-0.20441756097976096</t>
  </si>
  <si>
    <t>-0.605890668482764</t>
  </si>
  <si>
    <t>-1.3134329195972199</t>
  </si>
  <si>
    <t>-0.422373036064835</t>
  </si>
  <si>
    <t>-0.05406514685644698</t>
  </si>
  <si>
    <t>-0.3309310856434848</t>
  </si>
  <si>
    <t>0.3267483482175501</t>
  </si>
  <si>
    <t>-0.6452530344074172</t>
  </si>
  <si>
    <t>0.43696574833758123</t>
  </si>
  <si>
    <t>-0.5401276667426517</t>
  </si>
  <si>
    <t>0.0011499911074231866</t>
  </si>
  <si>
    <t>0.3424672621536087</t>
  </si>
  <si>
    <t>-0.34484634359304767</t>
  </si>
  <si>
    <t>0.16216897894913795</t>
  </si>
  <si>
    <t>0.28583261059471093</t>
  </si>
  <si>
    <t>0.030332526712988757</t>
  </si>
  <si>
    <t>2.652544207000591</t>
  </si>
  <si>
    <t>-0.12051597962087458</t>
  </si>
  <si>
    <t>-0.01821822556289566</t>
  </si>
  <si>
    <t>-0.5409935363129912</t>
  </si>
  <si>
    <t>-0.4374631573957881</t>
  </si>
  <si>
    <t>0.9300647655183838</t>
  </si>
  <si>
    <t>0.1063714059380776</t>
  </si>
  <si>
    <t>0.32438022648822856</t>
  </si>
  <si>
    <t>-1.2497530527570968</t>
  </si>
  <si>
    <t>0.44557596966467894</t>
  </si>
  <si>
    <t>-0.7027230883885266</t>
  </si>
  <si>
    <t>0.39543837552907435</t>
  </si>
  <si>
    <t>0.7675728795644251</t>
  </si>
  <si>
    <t>0.9709298896611049</t>
  </si>
  <si>
    <t>1.153448127366437</t>
  </si>
  <si>
    <t>-0.7339108734870328</t>
  </si>
  <si>
    <t>-1.4025175247107862</t>
  </si>
  <si>
    <t>0.9240206065676042</t>
  </si>
  <si>
    <t>-1.2962226289966572</t>
  </si>
  <si>
    <t>-0.052840013539070536</t>
  </si>
  <si>
    <t>-0.5094338748951852</t>
  </si>
  <si>
    <t>-0.419118669493899</t>
  </si>
  <si>
    <t>-2.2570343931118355</t>
  </si>
  <si>
    <t>-0.35598811110669004</t>
  </si>
  <si>
    <t>0.2521310819169385</t>
  </si>
  <si>
    <t>-1.309536792822639</t>
  </si>
  <si>
    <t>-2.170145596398046</t>
  </si>
  <si>
    <t>5.606463008186026</t>
  </si>
  <si>
    <t>-0.8467434806775476</t>
  </si>
  <si>
    <t>-1.0661836175142634</t>
  </si>
  <si>
    <t>-1.6542432970594136</t>
  </si>
  <si>
    <t>-1.99535206760267</t>
  </si>
  <si>
    <t>-0.30035785805253185</t>
  </si>
  <si>
    <t>0.9536200337316149</t>
  </si>
  <si>
    <t>-1.3063588803160826</t>
  </si>
  <si>
    <t>0.5901625742157723</t>
  </si>
  <si>
    <t>0.30141558576428396</t>
  </si>
  <si>
    <t>1.3729870258136814</t>
  </si>
  <si>
    <t>0.8588957732768325</t>
  </si>
  <si>
    <t>1.2365031788945522</t>
  </si>
  <si>
    <t>-0.7766122585449758</t>
  </si>
  <si>
    <t>0.45387321688753146</t>
  </si>
  <si>
    <t>-1.9029844594573115</t>
  </si>
  <si>
    <t>0.575108308364461</t>
  </si>
  <si>
    <t>-1.2607971857806795</t>
  </si>
  <si>
    <t>-0.12633928983404824</t>
  </si>
  <si>
    <t>0.3701525232579621</t>
  </si>
  <si>
    <t>0.342473184352067</t>
  </si>
  <si>
    <t>-0.7567919955953866</t>
  </si>
  <si>
    <t>-1.514059812356594</t>
  </si>
  <si>
    <t>0.7167713775959815</t>
  </si>
  <si>
    <t>-0.2577651840201542</t>
  </si>
  <si>
    <t>-0.2507776712292433</t>
  </si>
  <si>
    <t>1.3373177569530494</t>
  </si>
  <si>
    <t>0.4689353177063484</t>
  </si>
  <si>
    <t>-0.49324175242409296</t>
  </si>
  <si>
    <t>0.585624024757967</t>
  </si>
  <si>
    <t>0.11624298725498934</t>
  </si>
  <si>
    <t>-1.6201253120639287</t>
  </si>
  <si>
    <t>0.14306602382358358</t>
  </si>
  <si>
    <t>-1.0494528270224264</t>
  </si>
  <si>
    <t>-0.9266306614376434</t>
  </si>
  <si>
    <t>-1.2466324604999262</t>
  </si>
  <si>
    <t>-2.0485902837570364</t>
  </si>
  <si>
    <t>-1.7032964688179164</t>
  </si>
  <si>
    <t>-2.226719860136352</t>
  </si>
  <si>
    <t>-1.6976074507372452</t>
  </si>
  <si>
    <t>-1.068653170453125</t>
  </si>
  <si>
    <t>0.5447924754590436</t>
  </si>
  <si>
    <t>-0.43615334595641536</t>
  </si>
  <si>
    <t>0.07096158691905592</t>
  </si>
  <si>
    <t>-0.10325588803031817</t>
  </si>
  <si>
    <t>0.2953972699694309</t>
  </si>
  <si>
    <t>-2.4879270756737513</t>
  </si>
  <si>
    <t>-0.5253875322859208</t>
  </si>
  <si>
    <t>-0.20914103366751058</t>
  </si>
  <si>
    <t>-1.2987885338387002</t>
  </si>
  <si>
    <t>-0.27666198910588313</t>
  </si>
  <si>
    <t>-1.840297789799372</t>
  </si>
  <si>
    <t>-0.7072324350982687</t>
  </si>
  <si>
    <t>3.1955011482481814</t>
  </si>
  <si>
    <t>-0.11133723867767888</t>
  </si>
  <si>
    <t>-1.2549679659214306</t>
  </si>
  <si>
    <t>3.982230471988283</t>
  </si>
  <si>
    <t>-1.459302591729273</t>
  </si>
  <si>
    <t>-1.0848917196642787</t>
  </si>
  <si>
    <t>0.7919042467500805</t>
  </si>
  <si>
    <t>0.15357269050832592</t>
  </si>
  <si>
    <t>-1.6734159341515755</t>
  </si>
  <si>
    <t>2.906737082692804</t>
  </si>
  <si>
    <t>0.643572374623538</t>
  </si>
  <si>
    <t>-1.4657370934691853</t>
  </si>
  <si>
    <t>-2.409225127294703</t>
  </si>
  <si>
    <t>1.80428150963338</t>
  </si>
  <si>
    <t>0.9221760288271912</t>
  </si>
  <si>
    <t>0.5838491662258126</t>
  </si>
  <si>
    <t>0.8967747405230735</t>
  </si>
  <si>
    <t>-0.21176472482101416</t>
  </si>
  <si>
    <t>-0.9681030165325429</t>
  </si>
  <si>
    <t>2.227624356801851</t>
  </si>
  <si>
    <t>0.2984953485006916</t>
  </si>
  <si>
    <t>1.003786880582256</t>
  </si>
  <si>
    <t>-0.757029479715486</t>
  </si>
  <si>
    <t>-1.5477403163918773</t>
  </si>
  <si>
    <t>-1.2362109299011081</t>
  </si>
  <si>
    <t>-1.0747071242575392</t>
  </si>
  <si>
    <t>1.0699054942128914</t>
  </si>
  <si>
    <t>0.6150118757230015</t>
  </si>
  <si>
    <t>0.8986731957443423</t>
  </si>
  <si>
    <t>-0.30044338586240427</t>
  </si>
  <si>
    <t>-0.3113212107139676</t>
  </si>
  <si>
    <t>0.572134222317358</t>
  </si>
  <si>
    <t>-1.116730484784514</t>
  </si>
  <si>
    <t>-1.8467197376522075</t>
  </si>
  <si>
    <t>0.4216328930694377</t>
  </si>
  <si>
    <t>-2.225638381338059</t>
  </si>
  <si>
    <t>-0.21891151251611873</t>
  </si>
  <si>
    <t>-1.8212266181486534</t>
  </si>
  <si>
    <t>-1.0937551535700591</t>
  </si>
  <si>
    <t>-0.27616410595237556</t>
  </si>
  <si>
    <t>-1.5377246196370091</t>
  </si>
  <si>
    <t>1.1901877333620934</t>
  </si>
  <si>
    <t>0.6282361619380428</t>
  </si>
  <si>
    <t>-0.4467374973030969</t>
  </si>
  <si>
    <t>0.16866498649605044</t>
  </si>
  <si>
    <t>-1.1030183233956135</t>
  </si>
  <si>
    <t>1.2252080478710095</t>
  </si>
  <si>
    <t>-0.7889803552164875</t>
  </si>
  <si>
    <t>-0.41708302233353506</t>
  </si>
  <si>
    <t>-0.5751570262337454</t>
  </si>
  <si>
    <t>1.8271830322415925</t>
  </si>
  <si>
    <t>-0.018121293241806707</t>
  </si>
  <si>
    <t>1.0437178454370648</t>
  </si>
  <si>
    <t>0.9262137104589019</t>
  </si>
  <si>
    <t>1.856490716487738</t>
  </si>
  <si>
    <t>1.1942416151792377</t>
  </si>
  <si>
    <t>-0.07977204973520226</t>
  </si>
  <si>
    <t>-0.5279634309662082</t>
  </si>
  <si>
    <t>0.052621506141132576</t>
  </si>
  <si>
    <t>1.4104820528236761</t>
  </si>
  <si>
    <t>-1.1593884282422362</t>
  </si>
  <si>
    <t>0.7992178455182956</t>
  </si>
  <si>
    <t>0.3143413211227477</t>
  </si>
  <si>
    <t>-1.9476605575829598</t>
  </si>
  <si>
    <t>-3.596314095900609</t>
  </si>
  <si>
    <t>2.3153510507630473</t>
  </si>
  <si>
    <t>-0.24352551914678658</t>
  </si>
  <si>
    <t>0.7801160106942101</t>
  </si>
  <si>
    <t>0.08316001931795902</t>
  </si>
  <si>
    <t>-0.2026167418971727</t>
  </si>
  <si>
    <t>0.449359313104242</t>
  </si>
  <si>
    <t>-0.7883853636394272</t>
  </si>
  <si>
    <t>-2.0832583011467793</t>
  </si>
  <si>
    <t>-0.2614618467894516</t>
  </si>
  <si>
    <t>1.13880916169199</t>
  </si>
  <si>
    <t>-1.0291067754141172</t>
  </si>
  <si>
    <t>-0.3449565550948949</t>
  </si>
  <si>
    <t>-2.1708028147318266</t>
  </si>
  <si>
    <t>-1.0146378419150077</t>
  </si>
  <si>
    <t>-1.0420145474020637</t>
  </si>
  <si>
    <t>1.8158276487252818</t>
  </si>
  <si>
    <t>0.28900607605937556</t>
  </si>
  <si>
    <t>-0.4255957284495239</t>
  </si>
  <si>
    <t>-0.1138761199438773</t>
  </si>
  <si>
    <t>0.08243010373105637</t>
  </si>
  <si>
    <t>0.09022089312693318</t>
  </si>
  <si>
    <t>2.3167688647398665</t>
  </si>
  <si>
    <t>-2.597230694324349</t>
  </si>
  <si>
    <t>2.2620911933420027</t>
  </si>
  <si>
    <t>-2.4075762470373405</t>
  </si>
  <si>
    <t>-0.8034750799843747</t>
  </si>
  <si>
    <t>-0.738646094212564</t>
  </si>
  <si>
    <t>0.17114430422723018</t>
  </si>
  <si>
    <t>1.125226349478404</t>
  </si>
  <si>
    <t>-0.2747831295810653</t>
  </si>
  <si>
    <t>-0.029582838164918697</t>
  </si>
  <si>
    <t>-0.6528163011940397</t>
  </si>
  <si>
    <t>0.42487509555635306</t>
  </si>
  <si>
    <t>1.8426406009351737</t>
  </si>
  <si>
    <t>2.0191818357230793</t>
  </si>
  <si>
    <t>-0.7003730260490594</t>
  </si>
  <si>
    <t>0.2613621458043755</t>
  </si>
  <si>
    <t>0.6298687282560053</t>
  </si>
  <si>
    <t>-0.3017550525595264</t>
  </si>
  <si>
    <t>1.5884525724413359</t>
  </si>
  <si>
    <t>2.049186629167989</t>
  </si>
  <si>
    <t>-0.13685077946541221</t>
  </si>
  <si>
    <t>-0.9279017705684951</t>
  </si>
  <si>
    <t>-1.1119063915229173</t>
  </si>
  <si>
    <t>0.8834608379839308</t>
  </si>
  <si>
    <t>2.0713881695389036</t>
  </si>
  <si>
    <t>0.4247372518995157</t>
  </si>
  <si>
    <t>0.29321376767230195</t>
  </si>
  <si>
    <t>0.2291362424320204</t>
  </si>
  <si>
    <t>0.8388472456636888</t>
  </si>
  <si>
    <t>0.46698930403264644</t>
  </si>
  <si>
    <t>-0.14268809740463817</t>
  </si>
  <si>
    <t>-1.1252212455576656</t>
  </si>
  <si>
    <t>1.008680140853254</t>
  </si>
  <si>
    <t>0.007672071700521516</t>
  </si>
  <si>
    <t>1.8129384755180245</t>
  </si>
  <si>
    <t>-0.6375982967777424</t>
  </si>
  <si>
    <t>-1.2239264435440973</t>
  </si>
  <si>
    <t>0.5615241445872953</t>
  </si>
  <si>
    <t>-0.3120064154490381</t>
  </si>
  <si>
    <t>-0.8222733306903737</t>
  </si>
  <si>
    <t>-2.6155326932123284</t>
  </si>
  <si>
    <t>0.183310434260455</t>
  </si>
  <si>
    <t>-0.28353703926420953</t>
  </si>
  <si>
    <t>1.836947101125736</t>
  </si>
  <si>
    <t>0.6022918013548305</t>
  </si>
  <si>
    <t>0.5527049482868586</t>
  </si>
  <si>
    <t>0.3865669276721996</t>
  </si>
  <si>
    <t>2.0968906119033197</t>
  </si>
  <si>
    <t>-1.0144379669449701</t>
  </si>
  <si>
    <t>0.28447155743261504</t>
  </si>
  <si>
    <t>-0.40818485838761187</t>
  </si>
  <si>
    <t>0.5830259306387929</t>
  </si>
  <si>
    <t>3.382517853200773</t>
  </si>
  <si>
    <t>1.4152377926913167</t>
  </si>
  <si>
    <t>-1.3233069287900494</t>
  </si>
  <si>
    <t>-2.0136447649469766</t>
  </si>
  <si>
    <t>0.86298858905456</t>
  </si>
  <si>
    <t>-0.02098481955370068</t>
  </si>
  <si>
    <t>-0.5033249724367724</t>
  </si>
  <si>
    <t>1.6817477512624694</t>
  </si>
  <si>
    <t>0.9105493767706172</t>
  </si>
  <si>
    <t>0.7017019113315008</t>
  </si>
  <si>
    <t>-0.016774870575800918</t>
  </si>
  <si>
    <t>-1.32703168600383</t>
  </si>
  <si>
    <t>1.2427294830016673</t>
  </si>
  <si>
    <t>-0.8845566426451558</t>
  </si>
  <si>
    <t>-0.7262965602860514</t>
  </si>
  <si>
    <t>-0.10891709830960404</t>
  </si>
  <si>
    <t>-0.06209669991611285</t>
  </si>
  <si>
    <t>0.26248268794595764</t>
  </si>
  <si>
    <t>-0.34777189877082426</t>
  </si>
  <si>
    <t>-0.5198762536862694</t>
  </si>
  <si>
    <t>-0.8755391872236054</t>
  </si>
  <si>
    <t>-0.3893648662476065</t>
  </si>
  <si>
    <t>-0.23001243285560352</t>
  </si>
  <si>
    <t>0.33031087224180317</t>
  </si>
  <si>
    <t>1.4088157439022866</t>
  </si>
  <si>
    <t>0.3619167404655792</t>
  </si>
  <si>
    <t>-0.8105992793900256</t>
  </si>
  <si>
    <t>0.9069587673224349</t>
  </si>
  <si>
    <t>1.5989088434048682</t>
  </si>
  <si>
    <t>-0.031685222569288685</t>
  </si>
  <si>
    <t>0.5983610722940157</t>
  </si>
  <si>
    <t>-0.4760721297257433</t>
  </si>
  <si>
    <t>-0.4243873335488228</t>
  </si>
  <si>
    <t>-0.18444290736708546</t>
  </si>
  <si>
    <t>-0.2880676964861943</t>
  </si>
  <si>
    <t>1.158413180938224</t>
  </si>
  <si>
    <t>0.35111338501162226</t>
  </si>
  <si>
    <t>-0.7470319923670016</t>
  </si>
  <si>
    <t>-0.3268788384844825</t>
  </si>
  <si>
    <t>0.4772239209714653</t>
  </si>
  <si>
    <t>-0.16825396412290156</t>
  </si>
  <si>
    <t>-0.3705003109555951</t>
  </si>
  <si>
    <t>-0.5761658137195894</t>
  </si>
  <si>
    <t>-0.29326590181587747</t>
  </si>
  <si>
    <t>-0.32932297533165084</t>
  </si>
  <si>
    <t>0.854529717478502</t>
  </si>
  <si>
    <t>0.8572221106421755</t>
  </si>
  <si>
    <t>-0.6152721541896723</t>
  </si>
  <si>
    <t>-0.2060236691194096</t>
  </si>
  <si>
    <t>-1.8051121535036652</t>
  </si>
  <si>
    <t>-0.40185377957470625</t>
  </si>
  <si>
    <t>0.6008764241631309</t>
  </si>
  <si>
    <t>-0.6928816176374931</t>
  </si>
  <si>
    <t>-0.2640045283825035</t>
  </si>
  <si>
    <t>0.06602862796996664</t>
  </si>
  <si>
    <t>-0.1312864133273711</t>
  </si>
  <si>
    <t>-0.3266245632784228</t>
  </si>
  <si>
    <t>0.45401470535546173</t>
  </si>
  <si>
    <t>-0.3858963616038021</t>
  </si>
  <si>
    <t>1.2570835277110508</t>
  </si>
  <si>
    <t>-0.31406905579318634</t>
  </si>
  <si>
    <t>0.4567960939532786</t>
  </si>
  <si>
    <t>-0.6997073346364008</t>
  </si>
  <si>
    <t>0.2372988223636164</t>
  </si>
  <si>
    <t>2.457901678722653</t>
  </si>
  <si>
    <t>0.30239505179935783</t>
  </si>
  <si>
    <t>-0.45891093323793253</t>
  </si>
  <si>
    <t>0.6188577336866734</t>
  </si>
  <si>
    <t>1.9938611359407814</t>
  </si>
  <si>
    <t>-0.1921393011247066</t>
  </si>
  <si>
    <t>2.7735981706774218</t>
  </si>
  <si>
    <t>0.5114980515411728</t>
  </si>
  <si>
    <t>1.083895433065186</t>
  </si>
  <si>
    <t>-0.45836460260941103</t>
  </si>
  <si>
    <t>1.1358802551624452</t>
  </si>
  <si>
    <t>0.13130878959039244</t>
  </si>
  <si>
    <t>-1.3045643831316696</t>
  </si>
  <si>
    <t>0.4492077192111473</t>
  </si>
  <si>
    <t>0.2109475886404402</t>
  </si>
  <si>
    <t>0.9097575429930096</t>
  </si>
  <si>
    <t>1.23214241289463</t>
  </si>
  <si>
    <t>-1.0778909076015286</t>
  </si>
  <si>
    <t>-0.8683381986727047</t>
  </si>
  <si>
    <t>-0.6740019284927681</t>
  </si>
  <si>
    <t>-1.164287680362332</t>
  </si>
  <si>
    <t>-0.35071407234205987</t>
  </si>
  <si>
    <t>-0.27009979345526935</t>
  </si>
  <si>
    <t>-1.0035320854020533</t>
  </si>
  <si>
    <t>0.5744938235639776</t>
  </si>
  <si>
    <t>1.7523853796339037</t>
  </si>
  <si>
    <t>-1.5617117008014578</t>
  </si>
  <si>
    <t>-0.8625127279849262</t>
  </si>
  <si>
    <t>-0.5926864866335457</t>
  </si>
  <si>
    <t>-1.608734391745089</t>
  </si>
  <si>
    <t>0.6720498599718006</t>
  </si>
  <si>
    <t>0.7703918452224603</t>
  </si>
  <si>
    <t>3.498087996033701</t>
  </si>
  <si>
    <t>0.6361806156320856</t>
  </si>
  <si>
    <t>0.012950318372745311</t>
  </si>
  <si>
    <t>-0.08075303987742809</t>
  </si>
  <si>
    <t>-0.9670068754688081</t>
  </si>
  <si>
    <t>-1.2826371978036006</t>
  </si>
  <si>
    <t>0.206208281502739</t>
  </si>
  <si>
    <t>-0.14435203086466522</t>
  </si>
  <si>
    <t>-0.3434280624821889</t>
  </si>
  <si>
    <t>-0.05003521891951058</t>
  </si>
  <si>
    <t>0.43982620916698256</t>
  </si>
  <si>
    <t>-0.4149821073192261</t>
  </si>
  <si>
    <t>-2.052069471591483</t>
  </si>
  <si>
    <t>-0.6206296600338154</t>
  </si>
  <si>
    <t>0.47548570626867637</t>
  </si>
  <si>
    <t>1.0564179715191533</t>
  </si>
  <si>
    <t>1.5024095194228138</t>
  </si>
  <si>
    <t>-1.6058424297542206</t>
  </si>
  <si>
    <t>0.8860768468513024</t>
  </si>
  <si>
    <t>0.039650209728671545</t>
  </si>
  <si>
    <t>-0.5735998976196159</t>
  </si>
  <si>
    <t>0.5545071040272461</t>
  </si>
  <si>
    <t>2.1440402983258897</t>
  </si>
  <si>
    <t>0.32508003089225324</t>
  </si>
  <si>
    <t>-1.0377236142944262</t>
  </si>
  <si>
    <t>0.3562055977890602</t>
  </si>
  <si>
    <t>0.35527628972312547</t>
  </si>
  <si>
    <t>1.4050635440123123</t>
  </si>
  <si>
    <t>-0.004100313002642496</t>
  </si>
  <si>
    <t>0.009905779124336933</t>
  </si>
  <si>
    <t>0.5468760144370168</t>
  </si>
  <si>
    <t>0.22309758489743184</t>
  </si>
  <si>
    <t>0.06417036139072614</t>
  </si>
  <si>
    <t>0.5944354434256527</t>
  </si>
  <si>
    <t>-0.9182384246584754</t>
  </si>
  <si>
    <t>0.03514107986680834</t>
  </si>
  <si>
    <t>-1.9610788216066823</t>
  </si>
  <si>
    <t>0.25871348925885707</t>
  </si>
  <si>
    <t>-0.7863744618826788</t>
  </si>
  <si>
    <t>-1.508962379811766</t>
  </si>
  <si>
    <t>-0.16695825476366985</t>
  </si>
  <si>
    <t>0.9098443689770651</t>
  </si>
  <si>
    <t>-0.20350802124329154</t>
  </si>
  <si>
    <t>0.9816295359897206</t>
  </si>
  <si>
    <t>0.1629375370709203</t>
  </si>
  <si>
    <t>0.4370670669299449</t>
  </si>
  <si>
    <t>0.9369570738404782</t>
  </si>
  <si>
    <t>1.0305230852427472</t>
  </si>
  <si>
    <t>0.5456577721420658</t>
  </si>
  <si>
    <t>-0.8131976346026508</t>
  </si>
  <si>
    <t>0.7924361192853614</t>
  </si>
  <si>
    <t>1.5072162229667387</t>
  </si>
  <si>
    <t>-1.0192679185375602</t>
  </si>
  <si>
    <t>-0.18621923542472654</t>
  </si>
  <si>
    <t>-0.05532449233258349</t>
  </si>
  <si>
    <t>-1.6008736942382706</t>
  </si>
  <si>
    <t>-0.9324074127677474</t>
  </si>
  <si>
    <t>-0.4095797353699675</t>
  </si>
  <si>
    <t>1.3810081988427174</t>
  </si>
  <si>
    <t>-0.6862003058768382</t>
  </si>
  <si>
    <t>1.6551844102167068</t>
  </si>
  <si>
    <t>-0.8475784629078642</t>
  </si>
  <si>
    <t>-0.024740725945352968</t>
  </si>
  <si>
    <t>-1.3368818061196117</t>
  </si>
  <si>
    <t>-1.27192692945611</t>
  </si>
  <si>
    <t>-0.27308359855406306</t>
  </si>
  <si>
    <t>-0.5751659846801641</t>
  </si>
  <si>
    <t>0.8718735227988934</t>
  </si>
  <si>
    <t>-1.7403390013611504</t>
  </si>
  <si>
    <t>-0.6705689289240431</t>
  </si>
  <si>
    <t>0.7698701613133555</t>
  </si>
  <si>
    <t>1.024883647136207</t>
  </si>
  <si>
    <t>2.389403508787931</t>
  </si>
  <si>
    <t>0.6427931836586052</t>
  </si>
  <si>
    <t>-1.7377353893598528</t>
  </si>
  <si>
    <t>0.76644523901401</t>
  </si>
  <si>
    <t>1.3366358078937144</t>
  </si>
  <si>
    <t>-1.755779002414284</t>
  </si>
  <si>
    <t>0.3442856285623901</t>
  </si>
  <si>
    <t>0.5916935471550884</t>
  </si>
  <si>
    <t>1.0543206724567216</t>
  </si>
  <si>
    <t>-1.3674968419961797</t>
  </si>
  <si>
    <t>0.7486006722117959</t>
  </si>
  <si>
    <t>-1.7864065263361713</t>
  </si>
  <si>
    <t>-0.6359937213929037</t>
  </si>
  <si>
    <t>-1.640622723255939</t>
  </si>
  <si>
    <t>-0.3827568112587912</t>
  </si>
  <si>
    <t>0.4084675893159238</t>
  </si>
  <si>
    <t>0.424064299861811</t>
  </si>
  <si>
    <t>-1.8692757722418794</t>
  </si>
  <si>
    <t>1.6341150746119715</t>
  </si>
  <si>
    <t>-0.6189043601297024</t>
  </si>
  <si>
    <t>-0.7059889959979815</t>
  </si>
  <si>
    <t>-0.38621350086900735</t>
  </si>
  <si>
    <t>-0.04832050763209243</t>
  </si>
  <si>
    <t>1.6731242905275332</t>
  </si>
  <si>
    <t>-1.017531030085567</t>
  </si>
  <si>
    <t>0.26055884480367686</t>
  </si>
  <si>
    <t>-0.2995689234129823</t>
  </si>
  <si>
    <t>1.2311010575232297</t>
  </si>
  <si>
    <t>-1.5924443326014857</t>
  </si>
  <si>
    <t>0.5935551445373067</t>
  </si>
  <si>
    <t>0.7489793781741744</t>
  </si>
  <si>
    <t>-0.023062160701515413</t>
  </si>
  <si>
    <t>-0.14982534900855132</t>
  </si>
  <si>
    <t>2.515779477767667</t>
  </si>
  <si>
    <t>-1.8613559573030873</t>
  </si>
  <si>
    <t>0.3623326506499803</t>
  </si>
  <si>
    <t>2.3231133349833177</t>
  </si>
  <si>
    <t>0.9431626947800207</t>
  </si>
  <si>
    <t>-1.1775001297927108</t>
  </si>
  <si>
    <t>0.8710628653278121</t>
  </si>
  <si>
    <t>-0.41655041274667437</t>
  </si>
  <si>
    <t>0.33781866540511535</t>
  </si>
  <si>
    <t>0.7697757818215689</t>
  </si>
  <si>
    <t>0.5209688556969565</t>
  </si>
  <si>
    <t>0.8798564644473565</t>
  </si>
  <si>
    <t>0.674108941852453</t>
  </si>
  <si>
    <t>-0.6666948771101081</t>
  </si>
  <si>
    <t>-0.8025785912116774</t>
  </si>
  <si>
    <t>1.1937085450631797</t>
  </si>
  <si>
    <t>-0.7205929411280235</t>
  </si>
  <si>
    <t>0.5050046662451554</t>
  </si>
  <si>
    <t>-1.267551316595911</t>
  </si>
  <si>
    <t>-0.24089037414257497</t>
  </si>
  <si>
    <t>-0.25521699281496274</t>
  </si>
  <si>
    <t>-1.2743654371040884</t>
  </si>
  <si>
    <t>-0.6975482375568763</t>
  </si>
  <si>
    <t>0.6823712708120562</t>
  </si>
  <si>
    <t>-0.8225845327568072</t>
  </si>
  <si>
    <t>1.3652593737753627</t>
  </si>
  <si>
    <t>-0.19501270941853335</t>
  </si>
  <si>
    <t>-1.003760706818665</t>
  </si>
  <si>
    <t>-0.0821463095025466</t>
  </si>
  <si>
    <t>0.3536947357344922</t>
  </si>
  <si>
    <t>0.20531114473894246</t>
  </si>
  <si>
    <t>-0.3808997375161353</t>
  </si>
  <si>
    <t>0.8807476976136923</t>
  </si>
  <si>
    <t>-1.0088201371104608</t>
  </si>
  <si>
    <t>-1.1210228475201838</t>
  </si>
  <si>
    <t>-0.3587654113294413</t>
  </si>
  <si>
    <t>0.9247891946257337</t>
  </si>
  <si>
    <t>0.03659527534403386</t>
  </si>
  <si>
    <t>-1.3500967192991538</t>
  </si>
  <si>
    <t>0.6687768022466821</t>
  </si>
  <si>
    <t>-0.34311222009349074</t>
  </si>
  <si>
    <t>-0.25961853473765617</t>
  </si>
  <si>
    <t>-0.3137779874737339</t>
  </si>
  <si>
    <t>-0.5004731772891357</t>
  </si>
  <si>
    <t>-0.9275544030998477</t>
  </si>
  <si>
    <t>0.09639896724189657</t>
  </si>
  <si>
    <t>0.003513865959659753</t>
  </si>
  <si>
    <t>0.2294823335098347</t>
  </si>
  <si>
    <t>-2.058414184318583</t>
  </si>
  <si>
    <t>1.7891554384694368</t>
  </si>
  <si>
    <t>-0.4937134892932853</t>
  </si>
  <si>
    <t>-4.037807321339512</t>
  </si>
  <si>
    <t>-0.4370231727275462</t>
  </si>
  <si>
    <t>-1.7548420698112939</t>
  </si>
  <si>
    <t>0.3266675688545308</t>
  </si>
  <si>
    <t>-0.45068398692233175</t>
  </si>
  <si>
    <t>1.0998084066333855</t>
  </si>
  <si>
    <t>-0.44326236476611414</t>
  </si>
  <si>
    <t>-1.3335733553897713</t>
  </si>
  <si>
    <t>-0.9108920370611081</t>
  </si>
  <si>
    <t>-1.6721587495096373</t>
  </si>
  <si>
    <t>0.7227150859392478</t>
  </si>
  <si>
    <t>0.9628181212836542</t>
  </si>
  <si>
    <t>-2.7186002847659267</t>
  </si>
  <si>
    <t>-1.5608253357097335</t>
  </si>
  <si>
    <t>3.0530659638565627</t>
  </si>
  <si>
    <t>-1.0278888262320471</t>
  </si>
  <si>
    <t>0.5655745931284238</t>
  </si>
  <si>
    <t>-1.4293057256272679</t>
  </si>
  <si>
    <t>1.422711470383083</t>
  </si>
  <si>
    <t>-2.6126049136911424</t>
  </si>
  <si>
    <t>-1.5304254934954364</t>
  </si>
  <si>
    <t>0.4555170688410623</t>
  </si>
  <si>
    <t>0.9433021926094033</t>
  </si>
  <si>
    <t>-0.5963478732730518</t>
  </si>
  <si>
    <t>0.913172140730726</t>
  </si>
  <si>
    <t>-1.0110270803951187</t>
  </si>
  <si>
    <t>-0.6553546200092949</t>
  </si>
  <si>
    <t>-0.9161855375615828</t>
  </si>
  <si>
    <t>1.161227385533189</t>
  </si>
  <si>
    <t>0.11037665158435155</t>
  </si>
  <si>
    <t>1.5757420359582226</t>
  </si>
  <si>
    <t>1.9739203223708897</t>
  </si>
  <si>
    <t>-1.0219959174082935</t>
  </si>
  <si>
    <t>-0.512091096002678</t>
  </si>
  <si>
    <t>-1.3305172166280261</t>
  </si>
  <si>
    <t>-0.13937004276174547</t>
  </si>
  <si>
    <t>-0.7732344593206897</t>
  </si>
  <si>
    <t>-0.3318090994048801</t>
  </si>
  <si>
    <t>-0.7084136256920723</t>
  </si>
  <si>
    <t>-2.9522294508174527</t>
  </si>
  <si>
    <t>-0.6244484880035966</t>
  </si>
  <si>
    <t>0.3753509807995109</t>
  </si>
  <si>
    <t>-0.3516129765695025</t>
  </si>
  <si>
    <t>-1.0943311791398727</t>
  </si>
  <si>
    <t>0.7406835541283205</t>
  </si>
  <si>
    <t>-0.34626678937154176</t>
  </si>
  <si>
    <t>-0.878331015058639</t>
  </si>
  <si>
    <t>0.1238359085190641</t>
  </si>
  <si>
    <t>0.10826710071632775</t>
  </si>
  <si>
    <t>-1.1760417988461285</t>
  </si>
  <si>
    <t>-0.33886793201464505</t>
  </si>
  <si>
    <t>1.059632533636291</t>
  </si>
  <si>
    <t>3.7184295830616225</t>
  </si>
  <si>
    <t>-1.9810862312162738</t>
  </si>
  <si>
    <t>0.5647422121761457</t>
  </si>
  <si>
    <t>0.3963970446425011</t>
  </si>
  <si>
    <t>0.4259901297005357</t>
  </si>
  <si>
    <t>-0.7413727462399784</t>
  </si>
  <si>
    <t>-0.34729857482508664</t>
  </si>
  <si>
    <t>-0.9070516186200361</t>
  </si>
  <si>
    <t>0.48669730628144486</t>
  </si>
  <si>
    <t>-1.1367616958359847</t>
  </si>
  <si>
    <t>0.9027398280945679</t>
  </si>
  <si>
    <t>0.6011412631516133</t>
  </si>
  <si>
    <t>-2.160003096729475</t>
  </si>
  <si>
    <t>-0.2356175453142687</t>
  </si>
  <si>
    <t>0.07131380831568317</t>
  </si>
  <si>
    <t>-1.5535056226454578</t>
  </si>
  <si>
    <t>0.7496576860298699</t>
  </si>
  <si>
    <t>-1.1356573856758556</t>
  </si>
  <si>
    <t>1.591683322073806</t>
  </si>
  <si>
    <t>0.41787872086261807</t>
  </si>
  <si>
    <t>-0.27279386222158675</t>
  </si>
  <si>
    <t>1.5219208029406897</t>
  </si>
  <si>
    <t>-0.6512206381064949</t>
  </si>
  <si>
    <t>-2.2648230274307477</t>
  </si>
  <si>
    <t>2.0913511741373534</t>
  </si>
  <si>
    <t>-1.766878191680905</t>
  </si>
  <si>
    <t>1.0799239821285718</t>
  </si>
  <si>
    <t>-0.8069933173443437</t>
  </si>
  <si>
    <t>0.3186657773492076</t>
  </si>
  <si>
    <t>1.053481563461797</t>
  </si>
  <si>
    <t>2.069951766789008</t>
  </si>
  <si>
    <t>-0.8729496571297383</t>
  </si>
  <si>
    <t>-0.11721009449063055</t>
  </si>
  <si>
    <t>0.2798686320848345</t>
  </si>
  <si>
    <t>0.26148769786079495</t>
  </si>
  <si>
    <t>2.437008599933203</t>
  </si>
  <si>
    <t>2.181318024187243</t>
  </si>
  <si>
    <t>0.1558882806951633</t>
  </si>
  <si>
    <t>0.28502766277819985</t>
  </si>
  <si>
    <t>-0.2784545376975338</t>
  </si>
  <si>
    <t>-1.8023896995942792</t>
  </si>
  <si>
    <t>0.42575990535520447</t>
  </si>
  <si>
    <t>1.025661814347576</t>
  </si>
  <si>
    <t>0.31304757208577255</t>
  </si>
  <si>
    <t>1.3777535999738484</t>
  </si>
  <si>
    <t>-1.5688787057219735</t>
  </si>
  <si>
    <t>0.9536020878412922</t>
  </si>
  <si>
    <t>0.9764970479517812</t>
  </si>
  <si>
    <t>0.1310064789007715</t>
  </si>
  <si>
    <t>0.24550462755977062</t>
  </si>
  <si>
    <t>-0.7115740901609036</t>
  </si>
  <si>
    <t>-0.413943257223369</t>
  </si>
  <si>
    <t>-2.225533737903862</t>
  </si>
  <si>
    <t>-0.34436754630543487</t>
  </si>
  <si>
    <t>-1.0211421028311347</t>
  </si>
  <si>
    <t>-0.24296728052025426</t>
  </si>
  <si>
    <t>-1.2170839424670792</t>
  </si>
  <si>
    <t>-0.5588168898610155</t>
  </si>
  <si>
    <t>-1.4692408610105894</t>
  </si>
  <si>
    <t>1.8752195384281467</t>
  </si>
  <si>
    <t>-0.03564550951969721</t>
  </si>
  <si>
    <t>0.9946040896087535</t>
  </si>
  <si>
    <t>0.25360541897722244</t>
  </si>
  <si>
    <t>-1.3251593446584442</t>
  </si>
  <si>
    <t>-0.4413162353421766</t>
  </si>
  <si>
    <t>-1.7758114289927123</t>
  </si>
  <si>
    <t>2.018174453272009</t>
  </si>
  <si>
    <t>-0.5358321590789294</t>
  </si>
  <si>
    <t>0.9094532386679698</t>
  </si>
  <si>
    <t>1.3486044623376312</t>
  </si>
  <si>
    <t>-1.1945963292166006</t>
  </si>
  <si>
    <t>-2.0455389355455336</t>
  </si>
  <si>
    <t>0.2219494439553944</t>
  </si>
  <si>
    <t>0.6085596259307909</t>
  </si>
  <si>
    <t>-0.14898626003272183</t>
  </si>
  <si>
    <t>1.209746720874253</t>
  </si>
  <si>
    <t>-0.5660077671737734</t>
  </si>
  <si>
    <t>2.674523070161574</t>
  </si>
  <si>
    <t>-0.14427778451647658</t>
  </si>
  <si>
    <t>-1.892497355902601</t>
  </si>
  <si>
    <t>-0.8484016910140426</t>
  </si>
  <si>
    <t>1.3495039343801898</t>
  </si>
  <si>
    <t>1.757892869273582</t>
  </si>
  <si>
    <t>-0.7471690825425331</t>
  </si>
  <si>
    <t>-0.32326975369515</t>
  </si>
  <si>
    <t>-0.1913007729081882</t>
  </si>
  <si>
    <t>-0.7683388283556275</t>
  </si>
  <si>
    <t>-0.34641367939198564</t>
  </si>
  <si>
    <t>0.7288200243994335</t>
  </si>
  <si>
    <t>-2.7996183797896035</t>
  </si>
  <si>
    <t>0.7021321321956296</t>
  </si>
  <si>
    <t>-0.43007665179957</t>
  </si>
  <si>
    <t>4.642770131914494</t>
  </si>
  <si>
    <t>-0.6868540719791709</t>
  </si>
  <si>
    <t>-0.5547441632405532</t>
  </si>
  <si>
    <t>-0.7270689606565096</t>
  </si>
  <si>
    <t>1.6578185294225938</t>
  </si>
  <si>
    <t>0.28416116660782337</t>
  </si>
  <si>
    <t>0.17889907128482246</t>
  </si>
  <si>
    <t>0.5546722258186582</t>
  </si>
  <si>
    <t>1.3462108543756137</t>
  </si>
  <si>
    <t>-1.8362563283837</t>
  </si>
  <si>
    <t>-0.3354005982033709</t>
  </si>
  <si>
    <t>1.940461458156869</t>
  </si>
  <si>
    <t>0.9370009134808341</t>
  </si>
  <si>
    <t>0.41776397659691317</t>
  </si>
  <si>
    <t>-0.4882564825513625</t>
  </si>
  <si>
    <t>-1.5963333545769474</t>
  </si>
  <si>
    <t>0.2727319196366136</t>
  </si>
  <si>
    <t>0.8811366446681895</t>
  </si>
  <si>
    <t>-0.10428884001963915</t>
  </si>
  <si>
    <t>-0.714396678298732</t>
  </si>
  <si>
    <t>0.46818871350324165</t>
  </si>
  <si>
    <t>0.32436621317512754</t>
  </si>
  <si>
    <t>0.289080930613431</t>
  </si>
  <si>
    <t>-0.721539559155874</t>
  </si>
  <si>
    <t>-0.5983041404038365</t>
  </si>
  <si>
    <t>-2.278785783770927</t>
  </si>
  <si>
    <t>-0.6145959859619172</t>
  </si>
  <si>
    <t>1.033741731554977</t>
  </si>
  <si>
    <t>-1.5107699640508545</t>
  </si>
  <si>
    <t>-1.5240675562969983</t>
  </si>
  <si>
    <t>-0.896510405668546</t>
  </si>
  <si>
    <t>0.13544262129375775</t>
  </si>
  <si>
    <t>-0.9911919417663552</t>
  </si>
  <si>
    <t>1.151800668512157</t>
  </si>
  <si>
    <t>0.2977714661309883</t>
  </si>
  <si>
    <t>2.155489145028804</t>
  </si>
  <si>
    <t>3.016006672543314</t>
  </si>
  <si>
    <t>-0.3786190209476597</t>
  </si>
  <si>
    <t>-1.1515452225259684</t>
  </si>
  <si>
    <t>-0.3903277097547347</t>
  </si>
  <si>
    <t>-1.792924079344973</t>
  </si>
  <si>
    <t>-0.9073575749025005</t>
  </si>
  <si>
    <t>-0.14883051766194072</t>
  </si>
  <si>
    <t>0.9140165811106467</t>
  </si>
  <si>
    <t>-1.151775751632129</t>
  </si>
  <si>
    <t>0.6714380379119262</t>
  </si>
  <si>
    <t>0.5959941011619547</t>
  </si>
  <si>
    <t>-0.07975239382860805</t>
  </si>
  <si>
    <t>-0.1344783174457024</t>
  </si>
  <si>
    <t>1.1065536362490083</t>
  </si>
  <si>
    <t>-0.271100311709888</t>
  </si>
  <si>
    <t>2.3929126028239707</t>
  </si>
  <si>
    <t>-3.5447886072711183</t>
  </si>
  <si>
    <t>0.6310358701280456</t>
  </si>
  <si>
    <t>0.16829994221651598</t>
  </si>
  <si>
    <t>0.3307945279889883</t>
  </si>
  <si>
    <t>0.3652639806289331</t>
  </si>
  <si>
    <t>-0.9160264944262527</t>
  </si>
  <si>
    <t>-0.8216005170330232</t>
  </si>
  <si>
    <t>0.6951566809867334</t>
  </si>
  <si>
    <t>-0.11551815893302146</t>
  </si>
  <si>
    <t>-1.698963235043096</t>
  </si>
  <si>
    <t>-1.7737422983899238</t>
  </si>
  <si>
    <t>0.128079118951886</t>
  </si>
  <si>
    <t>-0.17404562218411018</t>
  </si>
  <si>
    <t>3.4021644035822662</t>
  </si>
  <si>
    <t>-0.08691824449154231</t>
  </si>
  <si>
    <t>0.1319596818792666</t>
  </si>
  <si>
    <t>0.16838333480902165</t>
  </si>
  <si>
    <t>-1.4048251764137716</t>
  </si>
  <si>
    <t>-1.6086905897024257</t>
  </si>
  <si>
    <t>-0.29828574898696053</t>
  </si>
  <si>
    <t>-0.18093651562510774</t>
  </si>
  <si>
    <t>1.0159498432722582</t>
  </si>
  <si>
    <t>0.8844012786519407</t>
  </si>
  <si>
    <t>-2.828782092047221</t>
  </si>
  <si>
    <t>0.2019124772916353</t>
  </si>
  <si>
    <t>-0.7456641227166431</t>
  </si>
  <si>
    <t>2.258491065657984</t>
  </si>
  <si>
    <t>-0.17804607350360246</t>
  </si>
  <si>
    <t>-0.36464007484691063</t>
  </si>
  <si>
    <t>0.7188714126423312</t>
  </si>
  <si>
    <t>0.06278675992325589</t>
  </si>
  <si>
    <t>0.13203799970696867</t>
  </si>
  <si>
    <t>0.590401387502995</t>
  </si>
  <si>
    <t>1.416362517909308</t>
  </si>
  <si>
    <t>0.09280926424776013</t>
  </si>
  <si>
    <t>0.36392574012290996</t>
  </si>
  <si>
    <t>-1.2259599185191121</t>
  </si>
  <si>
    <t>-1.2977531654444583</t>
  </si>
  <si>
    <t>-1.1971938086296623</t>
  </si>
  <si>
    <t>1.1578173131839888</t>
  </si>
  <si>
    <t>-0.9054757416416501</t>
  </si>
  <si>
    <t>-0.4462289574106704</t>
  </si>
  <si>
    <t>0.036572667269476174</t>
  </si>
  <si>
    <t>-0.3709240012908783</t>
  </si>
  <si>
    <t>0.1234629956060264</t>
  </si>
  <si>
    <t>0.7767501323211005</t>
  </si>
  <si>
    <t>0.3067870248884904</t>
  </si>
  <si>
    <t>0.8948826867140155</t>
  </si>
  <si>
    <t>1.2587232666714117</t>
  </si>
  <si>
    <t>-1.4442663408443706</t>
  </si>
  <si>
    <t>1.3500947650511756</t>
  </si>
  <si>
    <t>1.0706661955337828</t>
  </si>
  <si>
    <t>-0.6241319389382228</t>
  </si>
  <si>
    <t>1.814409858234791</t>
  </si>
  <si>
    <t>-0.08144140716891132</t>
  </si>
  <si>
    <t>-0.27524365895109626</t>
  </si>
  <si>
    <t>0.10418025544836695</t>
  </si>
  <si>
    <t>2.0201937990979997</t>
  </si>
  <si>
    <t>-0.38184078379551445</t>
  </si>
  <si>
    <t>0.3343004962370573</t>
  </si>
  <si>
    <t>2.3127016145376467</t>
  </si>
  <si>
    <t>0.18641846577151205</t>
  </si>
  <si>
    <t>-0.9077820839409588</t>
  </si>
  <si>
    <t>-0.8880502781867735</t>
  </si>
  <si>
    <t>0.6933282872758219</t>
  </si>
  <si>
    <t>0.30984971044277065</t>
  </si>
  <si>
    <t>-0.657156979794797</t>
  </si>
  <si>
    <t>1.0571929227438028</t>
  </si>
  <si>
    <t>-0.9024736379752157</t>
  </si>
  <si>
    <t>-1.5504160572044954</t>
  </si>
  <si>
    <t>-0.5479500910467635</t>
  </si>
  <si>
    <t>-1.1630028610794785</t>
  </si>
  <si>
    <t>-0.14197916531023128</t>
  </si>
  <si>
    <t>1.1875487236975975</t>
  </si>
  <si>
    <t>1.024239417989815</t>
  </si>
  <si>
    <t>-0.8886862165840862</t>
  </si>
  <si>
    <t>1.2123178113396904</t>
  </si>
  <si>
    <t>-3.294175989766159</t>
  </si>
  <si>
    <t>-1.837208508428499</t>
  </si>
  <si>
    <t>-1.7997655468303204</t>
  </si>
  <si>
    <t>0.5478318218922972</t>
  </si>
  <si>
    <t>-0.5977675386533609</t>
  </si>
  <si>
    <t>0.7928404460512076</t>
  </si>
  <si>
    <t>0.028634825800568017</t>
  </si>
  <si>
    <t>-1.0218952229151812</t>
  </si>
  <si>
    <t>0.3618716461551079</t>
  </si>
  <si>
    <t>0.9084749736265488</t>
  </si>
  <si>
    <t>-0.10849312088044687</t>
  </si>
  <si>
    <t>-0.18362747712808103</t>
  </si>
  <si>
    <t>0.16508401435422895</t>
  </si>
  <si>
    <t>-0.09663944926262553</t>
  </si>
  <si>
    <t>2.3223926930832226</t>
  </si>
  <si>
    <t>-1.1096802962568328</t>
  </si>
  <si>
    <t>-0.694847267293243</t>
  </si>
  <si>
    <t>0.2133937630587299</t>
  </si>
  <si>
    <t>-0.04127252051666665</t>
  </si>
  <si>
    <t>-0.7231421223128539</t>
  </si>
  <si>
    <t>-0.6369547070621531</t>
  </si>
  <si>
    <t>0.06867308814943186</t>
  </si>
  <si>
    <t>0.32655132931028963</t>
  </si>
  <si>
    <t>0.9997319225838628</t>
  </si>
  <si>
    <t>-1.0076267994538246</t>
  </si>
  <si>
    <t>-0.29214391211877433</t>
  </si>
  <si>
    <t>0.277425900859024</t>
  </si>
  <si>
    <t>-2.132667845812643</t>
  </si>
  <si>
    <t>0.41905033866608593</t>
  </si>
  <si>
    <t>-0.10412462774377002</t>
  </si>
  <si>
    <t>-1.1229405604320537</t>
  </si>
  <si>
    <t>0.675162463160643</t>
  </si>
  <si>
    <t>-1.4642758674361676</t>
  </si>
  <si>
    <t>-0.5964537688684755</t>
  </si>
  <si>
    <t>-3.1676957560194294</t>
  </si>
  <si>
    <t>-1.6072217814435548</t>
  </si>
  <si>
    <t>0.7590572467880449</t>
  </si>
  <si>
    <t>0.008061348436791165</t>
  </si>
  <si>
    <t>-0.7233636813478954</t>
  </si>
  <si>
    <t>-1.3933998424618503</t>
  </si>
  <si>
    <t>-2.962103554330703</t>
  </si>
  <si>
    <t>0.6515538667397504</t>
  </si>
  <si>
    <t>0.018865770312108423</t>
  </si>
  <si>
    <t>1.1828827253357392</t>
  </si>
  <si>
    <t>0.3777648917912758</t>
  </si>
  <si>
    <t>-0.18128419818609096</t>
  </si>
  <si>
    <t>-1.1377768064628375</t>
  </si>
  <si>
    <t>-0.39286791322711384</t>
  </si>
  <si>
    <t>-0.7061555512407259</t>
  </si>
  <si>
    <t>0.9943791769240231</t>
  </si>
  <si>
    <t>-0.7336596978299553</t>
  </si>
  <si>
    <t>0.08029903899340769</t>
  </si>
  <si>
    <t>-0.7780701432085321</t>
  </si>
  <si>
    <t>-0.2767856948823387</t>
  </si>
  <si>
    <t>1.1860109532982464</t>
  </si>
  <si>
    <t>0.7989985471965843</t>
  </si>
  <si>
    <t>0.14436621044866205</t>
  </si>
  <si>
    <t>0.10615585030494044</t>
  </si>
  <si>
    <t>0.33028438024185924</t>
  </si>
  <si>
    <t>0.18479139132668054</t>
  </si>
  <si>
    <t>-0.3363573284127896</t>
  </si>
  <si>
    <t>-0.44902556772260827</t>
  </si>
  <si>
    <t>0.3386149113119437</t>
  </si>
  <si>
    <t>-0.04696888871006584</t>
  </si>
  <si>
    <t>0.42068167576751353</t>
  </si>
  <si>
    <t>1.021007290658854</t>
  </si>
  <si>
    <t>-0.23643446797757506</t>
  </si>
  <si>
    <t>0.04709810947433284</t>
  </si>
  <si>
    <t>0.5788520480791868</t>
  </si>
  <si>
    <t>0.801472183808496</t>
  </si>
  <si>
    <t>-0.12155772342776339</t>
  </si>
  <si>
    <t>1.5325771256779943</t>
  </si>
  <si>
    <t>0.4581419097460986</t>
  </si>
  <si>
    <t>-1.1977101484297352</t>
  </si>
  <si>
    <t>-0.06313849998637859</t>
  </si>
  <si>
    <t>-0.12697236866059455</t>
  </si>
  <si>
    <t>-0.9071983699172471</t>
  </si>
  <si>
    <t>-0.21925417700726574</t>
  </si>
  <si>
    <t>0.1851649713263103</t>
  </si>
  <si>
    <t>0.20773551256500478</t>
  </si>
  <si>
    <t>0.22802752646081545</t>
  </si>
  <si>
    <t>-0.18357236804838112</t>
  </si>
  <si>
    <t>-0.41677313181370457</t>
  </si>
  <si>
    <t>-0.9885720054130445</t>
  </si>
  <si>
    <t>0.017159779449534045</t>
  </si>
  <si>
    <t>-0.4264069112702184</t>
  </si>
  <si>
    <t>-0.1838752802705286</t>
  </si>
  <si>
    <t>0.785441875345185</t>
  </si>
  <si>
    <t>-1.1613773662605238</t>
  </si>
  <si>
    <t>0.07239787328245796</t>
  </si>
  <si>
    <t>-0.010174717670389128</t>
  </si>
  <si>
    <t>0.5708832063903485</t>
  </si>
  <si>
    <t>1.3004931167287217</t>
  </si>
  <si>
    <t>0.15081307846676018</t>
  </si>
  <si>
    <t>-0.05377826302729515</t>
  </si>
  <si>
    <t>0.5273054406109868</t>
  </si>
  <si>
    <t>-0.6317232728798564</t>
  </si>
  <si>
    <t>-1.1274400146210768</t>
  </si>
  <si>
    <t>-0.16061299855227576</t>
  </si>
  <si>
    <t>-1.0684262385865628</t>
  </si>
  <si>
    <t>0.7829562398209506</t>
  </si>
  <si>
    <t>-0.43514897294469274</t>
  </si>
  <si>
    <t>-0.6316852875237983</t>
  </si>
  <si>
    <t>0.6000458187267615</t>
  </si>
  <si>
    <t>0.15846532040651307</t>
  </si>
  <si>
    <t>-1.233672798289795</t>
  </si>
  <si>
    <t>1.0381444472763839</t>
  </si>
  <si>
    <t>0.6485362111823871</t>
  </si>
  <si>
    <t>-0.6467249123545404</t>
  </si>
  <si>
    <t>0.1772254640573433</t>
  </si>
  <si>
    <t>0.16666293859837886</t>
  </si>
  <si>
    <t>0.3003803107135876</t>
  </si>
  <si>
    <t>-0.2713214777633889</t>
  </si>
  <si>
    <t>-0.4089969956568186</t>
  </si>
  <si>
    <t>-0.122859676717181</t>
  </si>
  <si>
    <t>-0.7393917924274467</t>
  </si>
  <si>
    <t>-0.24352044822906144</t>
  </si>
  <si>
    <t>0.12091393573618474</t>
  </si>
  <si>
    <t>-0.37425458451457055</t>
  </si>
  <si>
    <t>0.9284977105739604</t>
  </si>
  <si>
    <t>0.009428235353849715</t>
  </si>
  <si>
    <t>0.06477545476402076</t>
  </si>
  <si>
    <t>0.40981308575731046</t>
  </si>
  <si>
    <t>0.2207406695926029</t>
  </si>
  <si>
    <t>-0.16823339801552215</t>
  </si>
  <si>
    <t>-1.0208370585818871</t>
  </si>
  <si>
    <t>-0.5193676377243139</t>
  </si>
  <si>
    <t>-0.29737044537288065</t>
  </si>
  <si>
    <t>-0.9156302618291514</t>
  </si>
  <si>
    <t>0.24660556604075265</t>
  </si>
  <si>
    <t>-1.2006462754569758</t>
  </si>
  <si>
    <t>-1.1158121729246824</t>
  </si>
  <si>
    <t>0.13005798729722817</t>
  </si>
  <si>
    <t>-0.49830303320654334</t>
  </si>
  <si>
    <t>0.6697974139565578</t>
  </si>
  <si>
    <t>0.011605664017512824</t>
  </si>
  <si>
    <t>-0.9304638044286675</t>
  </si>
  <si>
    <t>0.1329522668211374</t>
  </si>
  <si>
    <t>-0.6183241016928109</t>
  </si>
  <si>
    <t>-0.32572272490798604</t>
  </si>
  <si>
    <t>0.3100563794325107</t>
  </si>
  <si>
    <t>0.5123215562856112</t>
  </si>
  <si>
    <t>0.43814980052391606</t>
  </si>
  <si>
    <t>-0.6338213597125318</t>
  </si>
  <si>
    <t>0.027800353013166672</t>
  </si>
  <si>
    <t>-0.33140563762105646</t>
  </si>
  <si>
    <t>-0.3806828399442292</t>
  </si>
  <si>
    <t>0.1856586057362161</t>
  </si>
  <si>
    <t>-1.880764077704642</t>
  </si>
  <si>
    <t>-0.8411059881442644</t>
  </si>
  <si>
    <t>1.407924147360804</t>
  </si>
  <si>
    <t>0.08976443489867585</t>
  </si>
  <si>
    <t>-0.5662347434530258</t>
  </si>
  <si>
    <t>-1.0084718093850245</t>
  </si>
  <si>
    <t>1.2161847387649047</t>
  </si>
  <si>
    <t>0.8571573658199684</t>
  </si>
  <si>
    <t>-1.001189063437975</t>
  </si>
  <si>
    <t>-0.9711470888440334</t>
  </si>
  <si>
    <t>0.5150737425940181</t>
  </si>
  <si>
    <t>0.3635956199769327</t>
  </si>
  <si>
    <t>0.5463066946878262</t>
  </si>
  <si>
    <t>0.194819152379898</t>
  </si>
  <si>
    <t>0.5453743518337244</t>
  </si>
  <si>
    <t>-0.6699236602374337</t>
  </si>
  <si>
    <t>-1.337138687932928</t>
  </si>
  <si>
    <t>0.7452327570083063</t>
  </si>
  <si>
    <t>0.19119041926472566</t>
  </si>
  <si>
    <t>-0.3302418335585123</t>
  </si>
  <si>
    <t>0.1666689142434022</t>
  </si>
  <si>
    <t>-0.18425624441625615</t>
  </si>
  <si>
    <t>0.05269426350469311</t>
  </si>
  <si>
    <t>1.1303035398554546</t>
  </si>
  <si>
    <t>0.2822420914983311</t>
  </si>
  <si>
    <t>-0.5521381479915145</t>
  </si>
  <si>
    <t>-0.33355003612451745</t>
  </si>
  <si>
    <t>1.2954173060261227</t>
  </si>
  <si>
    <t>0.507836485396207</t>
  </si>
  <si>
    <t>0.4266296740485608</t>
  </si>
  <si>
    <t>-0.3502754306998906</t>
  </si>
  <si>
    <t>-0.20298409632444997</t>
  </si>
  <si>
    <t>-0.8103723979621755</t>
  </si>
  <si>
    <t>0.37930587138164545</t>
  </si>
  <si>
    <t>-1.015873920512142</t>
  </si>
  <si>
    <t>-0.1555709860812053</t>
  </si>
  <si>
    <t>-0.0022376816002083336</t>
  </si>
  <si>
    <t>0.20536151349690873</t>
  </si>
  <si>
    <t>0.4535161333297929</t>
  </si>
  <si>
    <t>0.11614502753731541</t>
  </si>
  <si>
    <t>0.08979564602919847</t>
  </si>
  <si>
    <t>-0.220673269131671</t>
  </si>
  <si>
    <t>0.10363066731205066</t>
  </si>
  <si>
    <t>0.4348422160132003</t>
  </si>
  <si>
    <t>0.19002847128173012</t>
  </si>
  <si>
    <t>-0.6858317129067816</t>
  </si>
  <si>
    <t>-0.258341619688118</t>
  </si>
  <si>
    <t>-0.503704169735229</t>
  </si>
  <si>
    <t>-1.1819843247839203</t>
  </si>
  <si>
    <t>-0.483691619010466</t>
  </si>
  <si>
    <t>0.3981314817689548</t>
  </si>
  <si>
    <t>0.5420385162921862</t>
  </si>
  <si>
    <t>-0.2673415599071574</t>
  </si>
  <si>
    <t>0.6344044951271235</t>
  </si>
  <si>
    <t>0.36105097052498814</t>
  </si>
  <si>
    <t>0.5553506546370166</t>
  </si>
  <si>
    <t>0.6911255241481133</t>
  </si>
  <si>
    <t>-0.19797515424613418</t>
  </si>
  <si>
    <t>0.4989710939195411</t>
  </si>
  <si>
    <t>-0.16894895252656936</t>
  </si>
  <si>
    <t>-0.0004929704462247782</t>
  </si>
  <si>
    <t>-0.45173942158755437</t>
  </si>
  <si>
    <t>-0.8161071588669725</t>
  </si>
  <si>
    <t>-0.5933588812000032</t>
  </si>
  <si>
    <t>-0.38409093270034667</t>
  </si>
  <si>
    <t>-0.6844123199114004</t>
  </si>
  <si>
    <t>0.816619049485587</t>
  </si>
  <si>
    <t>1.2516132800830038</t>
  </si>
  <si>
    <t>-1.0933640743362818</t>
  </si>
  <si>
    <t>-0.621685256894794</t>
  </si>
  <si>
    <t>0.29813615496046</t>
  </si>
  <si>
    <t>0.559079719646055</t>
  </si>
  <si>
    <t>-0.509253450754716</t>
  </si>
  <si>
    <t>0.045543955575230145</t>
  </si>
  <si>
    <t>0.620122418238807</t>
  </si>
  <si>
    <t>-0.44163254866797874</t>
  </si>
  <si>
    <t>0.15176099012934655</t>
  </si>
  <si>
    <t>1.4743107706008831</t>
  </si>
  <si>
    <t>-0.04650320842202106</t>
  </si>
  <si>
    <t>0.4476949011703206</t>
  </si>
  <si>
    <t>0.21985666792981076</t>
  </si>
  <si>
    <t>0.3160622212152534</t>
  </si>
  <si>
    <t>0.1300262444761661</t>
  </si>
  <si>
    <t>-0.8824448931327061</t>
  </si>
  <si>
    <t>-0.6637849589726652</t>
  </si>
  <si>
    <t>-1.4995196410240679</t>
  </si>
  <si>
    <t>0.24074916087880774</t>
  </si>
  <si>
    <t>0.21939197400727692</t>
  </si>
  <si>
    <t>-0.049475459472527857</t>
  </si>
  <si>
    <t>-0.32928857996718797</t>
  </si>
  <si>
    <t>0.15292543048050755</t>
  </si>
  <si>
    <t>0.0030933057095461213</t>
  </si>
  <si>
    <t>-0.03868888621069579</t>
  </si>
  <si>
    <t>0.3398188212254578</t>
  </si>
  <si>
    <t>-0.31464005802118306</t>
  </si>
  <si>
    <t>-0.43233356017691627</t>
  </si>
  <si>
    <t>-0.2632146877792165</t>
  </si>
  <si>
    <t>-0.06865604660163838</t>
  </si>
  <si>
    <t>-0.26131253525748077</t>
  </si>
  <si>
    <t>0.43186452587560764</t>
  </si>
  <si>
    <t>-0.4506804010949884</t>
  </si>
  <si>
    <t>1.5401481984116614</t>
  </si>
  <si>
    <t>-1.0406387876557426</t>
  </si>
  <si>
    <t>0.8546593393987858</t>
  </si>
  <si>
    <t>1.128901650018602</t>
  </si>
  <si>
    <t>-0.9663946742912544</t>
  </si>
  <si>
    <t>-0.12282220813422128</t>
  </si>
  <si>
    <t>-0.4900738981659563</t>
  </si>
  <si>
    <t>-0.35615141646218024</t>
  </si>
  <si>
    <t>-0.7729500146659756</t>
  </si>
  <si>
    <t>-0.4482774320579066</t>
  </si>
  <si>
    <t>-0.05485909802411661</t>
  </si>
  <si>
    <t>0.040236356301145</t>
  </si>
  <si>
    <t>-0.5274315783794522</t>
  </si>
  <si>
    <t>-0.853286204802548</t>
  </si>
  <si>
    <t>-0.5441465618099858</t>
  </si>
  <si>
    <t>1.216205567211044</t>
  </si>
  <si>
    <t>-1.1968291911920832</t>
  </si>
  <si>
    <t>-0.6048558142089974</t>
  </si>
  <si>
    <t>0.8280050371578347</t>
  </si>
  <si>
    <t>-0.9009610301637725</t>
  </si>
  <si>
    <t>-0.2178479937652756</t>
  </si>
  <si>
    <t>-0.15679594058455523</t>
  </si>
  <si>
    <t>0.04737872513835003</t>
  </si>
  <si>
    <t>-0.5874802399646045</t>
  </si>
  <si>
    <t>-0.37035789689931153</t>
  </si>
  <si>
    <t>0.020659525357519148</t>
  </si>
  <si>
    <t>-0.35312987191688666</t>
  </si>
  <si>
    <t>-0.7230439551934608</t>
  </si>
  <si>
    <t>-1.3359873606903696</t>
  </si>
  <si>
    <t>-1.0759702758724359</t>
  </si>
  <si>
    <t>-0.02978796460108855</t>
  </si>
  <si>
    <t>0.5308921774996169</t>
  </si>
  <si>
    <t>1.1122540561133296</t>
  </si>
  <si>
    <t>0.4067777445752819</t>
  </si>
  <si>
    <t>0.49285093881835557</t>
  </si>
  <si>
    <t>-0.8182729871379454</t>
  </si>
  <si>
    <t>-0.4734674650854401</t>
  </si>
  <si>
    <t>0.19800487228120692</t>
  </si>
  <si>
    <t>-1.1286083825519786</t>
  </si>
  <si>
    <t>-1.3794762639742812</t>
  </si>
  <si>
    <t>-0.7528921859177795</t>
  </si>
  <si>
    <t>0.8805538594871055</t>
  </si>
  <si>
    <t>1.9249990549651452</t>
  </si>
  <si>
    <t>-0.13143847248248608</t>
  </si>
  <si>
    <t>0.5285083893231771</t>
  </si>
  <si>
    <t>-0.23771118743318617</t>
  </si>
  <si>
    <t>-0.5329136794164595</t>
  </si>
  <si>
    <t>-0.670081712541833</t>
  </si>
  <si>
    <t>0.34268692698333214</t>
  </si>
  <si>
    <t>-0.20580682906084716</t>
  </si>
  <si>
    <t>-2.502042911508432</t>
  </si>
  <si>
    <t>-2.4044032659644956</t>
  </si>
  <si>
    <t>-0.9349817919516564</t>
  </si>
  <si>
    <t>-0.10138360578510487</t>
  </si>
  <si>
    <t>0.06931848570518614</t>
  </si>
  <si>
    <t>0.06569212432155871</t>
  </si>
  <si>
    <t>-0.4684033305334284</t>
  </si>
  <si>
    <t>-0.6015677107762677</t>
  </si>
  <si>
    <t>-0.09273172954879443</t>
  </si>
  <si>
    <t>-0.7718523412130376</t>
  </si>
  <si>
    <t>0.015517854730624291</t>
  </si>
  <si>
    <t>0.7724613775630438</t>
  </si>
  <si>
    <t>1.8466944433901302</t>
  </si>
  <si>
    <t>-1.8054725850368627</t>
  </si>
  <si>
    <t>-0.8732303797450784</t>
  </si>
  <si>
    <t>-0.5992156559751254</t>
  </si>
  <si>
    <t>1.2516707370859164</t>
  </si>
  <si>
    <t>-1.7617346683584834</t>
  </si>
  <si>
    <t>0.8554990515957636</t>
  </si>
  <si>
    <t>-0.31168538539443397</t>
  </si>
  <si>
    <t>0.3224442175768953</t>
  </si>
  <si>
    <t>-1.087866371177833</t>
  </si>
  <si>
    <t>0.07582835465302519</t>
  </si>
  <si>
    <t>-0.7179986615528386</t>
  </si>
  <si>
    <t>0.1832862071639313</t>
  </si>
  <si>
    <t>-0.14833043209781405</t>
  </si>
  <si>
    <t>-0.6216574006806493</t>
  </si>
  <si>
    <t>0.22253321631868705</t>
  </si>
  <si>
    <t>0.7784781097987801</t>
  </si>
  <si>
    <t>-0.941230479728304</t>
  </si>
  <si>
    <t>0.2697790576982875</t>
  </si>
  <si>
    <t>0.6794886109938636</t>
  </si>
  <si>
    <t>-1.2366520837104034</t>
  </si>
  <si>
    <t>1.5700518207888312</t>
  </si>
  <si>
    <t>-0.3479780122905086</t>
  </si>
  <si>
    <t>0.058697551528494624</t>
  </si>
  <si>
    <t>1.4035068138928664</t>
  </si>
  <si>
    <t>1.0388484628511587</t>
  </si>
  <si>
    <t>2.9358459191058084</t>
  </si>
  <si>
    <t>-0.7274507209439051</t>
  </si>
  <si>
    <t>-0.4821649307124928</t>
  </si>
  <si>
    <t>-2.6753214934498653</t>
  </si>
  <si>
    <t>1.3632267464949699</t>
  </si>
  <si>
    <t>-0.13800670080412245</t>
  </si>
  <si>
    <t>0.5575776655065305</t>
  </si>
  <si>
    <t>-0.7661512677021626</t>
  </si>
  <si>
    <t>0.32449893435385546</t>
  </si>
  <si>
    <t>1.0263703642004371</t>
  </si>
  <si>
    <t>-0.7248656030922339</t>
  </si>
  <si>
    <t>-0.23887106738635477</t>
  </si>
  <si>
    <t>-1.8142712556521288</t>
  </si>
  <si>
    <t>1.3823236461828574</t>
  </si>
  <si>
    <t>0.11401820567859088</t>
  </si>
  <si>
    <t>0.5132746306643284</t>
  </si>
  <si>
    <t>-1.376017220273933</t>
  </si>
  <si>
    <t>1.8791188172191313</t>
  </si>
  <si>
    <t>1.4090802523556465</t>
  </si>
  <si>
    <t>-2.3828231110180234</t>
  </si>
  <si>
    <t>-0.4156072477127944</t>
  </si>
  <si>
    <t>1.3748453480727054</t>
  </si>
  <si>
    <t>-0.25384861860885977</t>
  </si>
  <si>
    <t>0.767297527093635</t>
  </si>
  <si>
    <t>1.3315756767969635</t>
  </si>
  <si>
    <t>0.6161561568947674</t>
  </si>
  <si>
    <t>3.1582676860941947</t>
  </si>
  <si>
    <t>1.669183434042235</t>
  </si>
  <si>
    <t>-0.6085233439000635</t>
  </si>
  <si>
    <t>1.7077861410486672</t>
  </si>
  <si>
    <t>0.36149074107615736</t>
  </si>
  <si>
    <t>0.5127023687926945</t>
  </si>
  <si>
    <t>0.6294112516597953</t>
  </si>
  <si>
    <t>-1.3338071341695579</t>
  </si>
  <si>
    <t>0.7072828099381288</t>
  </si>
  <si>
    <t>2.034940768617958</t>
  </si>
  <si>
    <t>-2.029678263717741</t>
  </si>
  <si>
    <t>1.8605236252682642</t>
  </si>
  <si>
    <t>-0.23425851502690553</t>
  </si>
  <si>
    <t>0.10452056075458346</t>
  </si>
  <si>
    <t>-1.4650329988014217</t>
  </si>
  <si>
    <t>-0.5360478460689295</t>
  </si>
  <si>
    <t>-1.0867654818592627</t>
  </si>
  <si>
    <t>0.38537589262377936</t>
  </si>
  <si>
    <t>0.035690537428059256</t>
  </si>
  <si>
    <t>-2.387091301621232</t>
  </si>
  <si>
    <t>1.5924562682548276</t>
  </si>
  <si>
    <t>-0.7856447015112631</t>
  </si>
  <si>
    <t>-2.9035726631180374</t>
  </si>
  <si>
    <t>-0.16593110114319914</t>
  </si>
  <si>
    <t>-2.0606783381258107</t>
  </si>
  <si>
    <t>2.66953823312253</t>
  </si>
  <si>
    <t>0.3824130785087398</t>
  </si>
  <si>
    <t>0.6252759517589148</t>
  </si>
  <si>
    <t>-2.164394660599497</t>
  </si>
  <si>
    <t>1.6945515918389011</t>
  </si>
  <si>
    <t>1.1963858362077444</t>
  </si>
  <si>
    <t>-1.5891384696791322</t>
  </si>
  <si>
    <t>-0.530190989306112</t>
  </si>
  <si>
    <t>-0.21757379615547268</t>
  </si>
  <si>
    <t>-0.42725020914242007</t>
  </si>
  <si>
    <t>-1.3635704508802262</t>
  </si>
  <si>
    <t>0.1719551019949411</t>
  </si>
  <si>
    <t>-0.058342339633286625</t>
  </si>
  <si>
    <t>-0.9738487238375785</t>
  </si>
  <si>
    <t>1.8784816488655214</t>
  </si>
  <si>
    <t>-0.06700854120317995</t>
  </si>
  <si>
    <t>-0.7598482372096871</t>
  </si>
  <si>
    <t>1.3153705975050465</t>
  </si>
  <si>
    <t>2.579898782280432</t>
  </si>
  <si>
    <t>-1.2210999139808756</t>
  </si>
  <si>
    <t>-0.7491116375280729</t>
  </si>
  <si>
    <t>1.2803041828582524</t>
  </si>
  <si>
    <t>1.3467427365082427</t>
  </si>
  <si>
    <t>0.08818516206532508</t>
  </si>
  <si>
    <t>-1.588117919335879</t>
  </si>
  <si>
    <t>-0.8029101043405403</t>
  </si>
  <si>
    <t>-0.218959681599964</t>
  </si>
  <si>
    <t>2.578769491391452</t>
  </si>
  <si>
    <t>1.0669581574229776</t>
  </si>
  <si>
    <t>1.3363922592182962</t>
  </si>
  <si>
    <t>1.011872609251967</t>
  </si>
  <si>
    <t>0.03195927107630808</t>
  </si>
  <si>
    <t>-1.4855216161049267</t>
  </si>
  <si>
    <t>-0.23535561584984266</t>
  </si>
  <si>
    <t>3.095571608829537</t>
  </si>
  <si>
    <t>0.919158469125328</t>
  </si>
  <si>
    <t>-1.6511113688781551</t>
  </si>
  <si>
    <t>-1.0652772079342672</t>
  </si>
  <si>
    <t>0.2128482071935228</t>
  </si>
  <si>
    <t>-1.8280668570015244</t>
  </si>
  <si>
    <t>0.3756974867100731</t>
  </si>
  <si>
    <t>-0.2214423046096413</t>
  </si>
  <si>
    <t>-0.25215336254040477</t>
  </si>
  <si>
    <t>-0.10883339414819622</t>
  </si>
  <si>
    <t>1.5894052497637938</t>
  </si>
  <si>
    <t>1.9161325271874152</t>
  </si>
  <si>
    <t>-0.7490687640229577</t>
  </si>
  <si>
    <t>-1.0258258789838397</t>
  </si>
  <si>
    <t>0.6350187978915972</t>
  </si>
  <si>
    <t>-0.19097347721619273</t>
  </si>
  <si>
    <t>-1.8544901218030927</t>
  </si>
  <si>
    <t>-0.18207349390025065</t>
  </si>
  <si>
    <t>0.2769680546055727</t>
  </si>
  <si>
    <t>0.7508699319624078</t>
  </si>
  <si>
    <t>1.4889389586312758</t>
  </si>
  <si>
    <t>-1.2474671474718673</t>
  </si>
  <si>
    <t>0.20989521128488134</t>
  </si>
  <si>
    <t>0.4102280661139354</t>
  </si>
  <si>
    <t>2.349263056944713</t>
  </si>
  <si>
    <t>1.9991540045279912</t>
  </si>
  <si>
    <t>-1.4167592324177911</t>
  </si>
  <si>
    <t>0.28815194074114864</t>
  </si>
  <si>
    <t>1.0641756257612953</t>
  </si>
  <si>
    <t>0.9273713803755123</t>
  </si>
  <si>
    <t>-1.5701871321587137</t>
  </si>
  <si>
    <t>0.8871852525917552</t>
  </si>
  <si>
    <t>0.9815700319048861</t>
  </si>
  <si>
    <t>-0.13038219242892932</t>
  </si>
  <si>
    <t>-0.8498502485629472</t>
  </si>
  <si>
    <t>0.55065281061237</t>
  </si>
  <si>
    <t>-0.7080477025001294</t>
  </si>
  <si>
    <t>0.6922672303127522</t>
  </si>
  <si>
    <t>-0.9385701809037184</t>
  </si>
  <si>
    <t>0.5194310487049738</t>
  </si>
  <si>
    <t>-1.880665587806334</t>
  </si>
  <si>
    <t>2.0265601077794626</t>
  </si>
  <si>
    <t>-0.05344290406431544</t>
  </si>
  <si>
    <t>-0.5640291524180894</t>
  </si>
  <si>
    <t>-0.06839387631163919</t>
  </si>
  <si>
    <t>0.8202715079956447</t>
  </si>
  <si>
    <t>3.0887926815173756</t>
  </si>
  <si>
    <t>-0.4415452302775314</t>
  </si>
  <si>
    <t>-0.24018354690821</t>
  </si>
  <si>
    <t>2.0525619403876743</t>
  </si>
  <si>
    <t>-1.9109500706106142</t>
  </si>
  <si>
    <t>-0.3607821495074776</t>
  </si>
  <si>
    <t>-1.4275647551960324</t>
  </si>
  <si>
    <t>-0.09774396888677404</t>
  </si>
  <si>
    <t>-1.3335485134647571</t>
  </si>
  <si>
    <t>-0.4059761000133817</t>
  </si>
  <si>
    <t>-1.9962931784234474</t>
  </si>
  <si>
    <t>-0.08112504066600268</t>
  </si>
  <si>
    <t>0.35351468455035806</t>
  </si>
  <si>
    <t>1.965524374219274</t>
  </si>
  <si>
    <t>-1.7598380630356139</t>
  </si>
  <si>
    <t>1.8140231024352647</t>
  </si>
  <si>
    <t>-2.140065725768382</t>
  </si>
  <si>
    <t>1.022584655350179</t>
  </si>
  <si>
    <t>-0.35931225388548865</t>
  </si>
  <si>
    <t>-1.2783903462638617</t>
  </si>
  <si>
    <t>0.7905905238558742</t>
  </si>
  <si>
    <t>0.9084876179822807</t>
  </si>
  <si>
    <t>1.8627324556342573</t>
  </si>
  <si>
    <t>-0.5908788120394647</t>
  </si>
  <si>
    <t>0.15749937905696496</t>
  </si>
  <si>
    <t>0.7405863294206707</t>
  </si>
  <si>
    <t>0.39848166295122317</t>
  </si>
  <si>
    <t>0.6642844475336912</t>
  </si>
  <si>
    <t>-0.8844585503122127</t>
  </si>
  <si>
    <t>-0.2721641895585512</t>
  </si>
  <si>
    <t>-1.9393732730780007</t>
  </si>
  <si>
    <t>-1.1486423606579552</t>
  </si>
  <si>
    <t>-0.3852753803008322</t>
  </si>
  <si>
    <t>-0.4924880292559543</t>
  </si>
  <si>
    <t>-0.4697244915959089</t>
  </si>
  <si>
    <t>2.1027354222268104</t>
  </si>
  <si>
    <t>0.8002337538904163</t>
  </si>
  <si>
    <t>-0.7990889505043314</t>
  </si>
  <si>
    <t>-0.45024559194904357</t>
  </si>
  <si>
    <t>-0.32842285905057145</t>
  </si>
  <si>
    <t>-1.9014812556170333</t>
  </si>
  <si>
    <t>-0.21046181796384306</t>
  </si>
  <si>
    <t>0.42681827258943134</t>
  </si>
  <si>
    <t>-0.6134244107190678</t>
  </si>
  <si>
    <t>-2.068578443822703</t>
  </si>
  <si>
    <t>2.179046124616358</t>
  </si>
  <si>
    <t>-0.7470740050496563</t>
  </si>
  <si>
    <t>-0.309832720207288</t>
  </si>
  <si>
    <t>0.3052654768904414</t>
  </si>
  <si>
    <t>-1.9036750377124232</t>
  </si>
  <si>
    <t>0.5652301891184408</t>
  </si>
  <si>
    <t>0.28011488206176016</t>
  </si>
  <si>
    <t>0.3259417224877716</t>
  </si>
  <si>
    <t>-0.623911986975464</t>
  </si>
  <si>
    <t>-0.334453998284809</t>
  </si>
  <si>
    <t>-1.9941625661273912</t>
  </si>
  <si>
    <t>-0.1168855603032432</t>
  </si>
  <si>
    <t>-0.2550573515495552</t>
  </si>
  <si>
    <t>0.9131938773201597</t>
  </si>
  <si>
    <t>0.277764510982487</t>
  </si>
  <si>
    <t>0.6801859120883997</t>
  </si>
  <si>
    <t>-0.9154825668509831</t>
  </si>
  <si>
    <t>-0.6030941317597052</t>
  </si>
  <si>
    <t>0.8740064964436641</t>
  </si>
  <si>
    <t>-0.8094778219215137</t>
  </si>
  <si>
    <t>2.9358800997126635</t>
  </si>
  <si>
    <t>-1.8674505328757347</t>
  </si>
  <si>
    <t>-0.5116386814988328</t>
  </si>
  <si>
    <t>-0.08191502961768225</t>
  </si>
  <si>
    <t>0.46458641130461875</t>
  </si>
  <si>
    <t>1.4860936910746454</t>
  </si>
  <si>
    <t>-1.294762603374979</t>
  </si>
  <si>
    <t>-0.2170120447186084</t>
  </si>
  <si>
    <t>0.19879776049774936</t>
  </si>
  <si>
    <t>0.05370597240025361</t>
  </si>
  <si>
    <t>-0.24328405344335483</t>
  </si>
  <si>
    <t>-1.2058792789016712</t>
  </si>
  <si>
    <t>0.46204749378655807</t>
  </si>
  <si>
    <t>0.06486075133604488</t>
  </si>
  <si>
    <t>0.7699473525474348</t>
  </si>
  <si>
    <t>-0.1219914354490907</t>
  </si>
  <si>
    <t>0.7584861643191236</t>
  </si>
  <si>
    <t>-0.13544202068405314</t>
  </si>
  <si>
    <t>0.7840394887217784</t>
  </si>
  <si>
    <t>-0.7529611708682821</t>
  </si>
  <si>
    <t>0.40397191106779695</t>
  </si>
  <si>
    <t>-1.2735075477677014</t>
  </si>
  <si>
    <t>1.0636790820112778</t>
  </si>
  <si>
    <t>-0.09294247917848171</t>
  </si>
  <si>
    <t>-0.5384180153053685</t>
  </si>
  <si>
    <t>0.0810947083833264</t>
  </si>
  <si>
    <t>-0.26832704601845864</t>
  </si>
  <si>
    <t>-0.8662414368777236</t>
  </si>
  <si>
    <t>0.20760870568014902</t>
  </si>
  <si>
    <t>0.15813410216500662</t>
  </si>
  <si>
    <t>-0.16640582965691006</t>
  </si>
  <si>
    <t>0.9028728224730415</t>
  </si>
  <si>
    <t>0.4157975692804194</t>
  </si>
  <si>
    <t>-0.53426435134395</t>
  </si>
  <si>
    <t>2.2251041889131433</t>
  </si>
  <si>
    <t>-0.931659464810497</t>
  </si>
  <si>
    <t>0.15354465078401042</t>
  </si>
  <si>
    <t>-1.1959411945965308</t>
  </si>
  <si>
    <t>1.0069830696611368</t>
  </si>
  <si>
    <t>-0.43114263169551886</t>
  </si>
  <si>
    <t>0.2449361930557095</t>
  </si>
  <si>
    <t>0.46276851108292166</t>
  </si>
  <si>
    <t>-1.467602485186442</t>
  </si>
  <si>
    <t>0.4874595355193265</t>
  </si>
  <si>
    <t>-0.1580284329757193</t>
  </si>
  <si>
    <t>-0.40608192750177075</t>
  </si>
  <si>
    <t>0.10076541177070249</t>
  </si>
  <si>
    <t>-0.451077387916496</t>
  </si>
  <si>
    <t>-0.20218289341391812</t>
  </si>
  <si>
    <t>0.7279246658642758</t>
  </si>
  <si>
    <t>0.8827445035445679</t>
  </si>
  <si>
    <t>0.738013451689424</t>
  </si>
  <si>
    <t>-0.49231502737965427</t>
  </si>
  <si>
    <t>-0.9442145888859664</t>
  </si>
  <si>
    <t>-0.11180933779601089</t>
  </si>
  <si>
    <t>0.26174158797940994</t>
  </si>
  <si>
    <t>1.0331580538623395</t>
  </si>
  <si>
    <t>-0.048625987102683926</t>
  </si>
  <si>
    <t>0.5683300653300071</t>
  </si>
  <si>
    <t>-1.7010516994832128</t>
  </si>
  <si>
    <t>-0.2783975620747461</t>
  </si>
  <si>
    <t>-0.9184304960095492</t>
  </si>
  <si>
    <t>1.02995457557399</t>
  </si>
  <si>
    <t>1.800475770585694</t>
  </si>
  <si>
    <t>-0.6736699271018166</t>
  </si>
  <si>
    <t>-0.9964333524398085</t>
  </si>
  <si>
    <t>-0.6844590296472218</t>
  </si>
  <si>
    <t>0.9519162226003943</t>
  </si>
  <si>
    <t>-0.2507930521765964</t>
  </si>
  <si>
    <t>-0.16715575142743086</t>
  </si>
  <si>
    <t>-1.0811178534832668</t>
  </si>
  <si>
    <t>0.22171781685479194</t>
  </si>
  <si>
    <t>-0.1420461930459611</t>
  </si>
  <si>
    <t>0.36610110757914555</t>
  </si>
  <si>
    <t>-0.8093665167246227</t>
  </si>
  <si>
    <t>-1.0202913289598592</t>
  </si>
  <si>
    <t>-0.050381794834049434</t>
  </si>
  <si>
    <t>-0.13559253852385586</t>
  </si>
  <si>
    <t>-0.5588186239181239</t>
  </si>
  <si>
    <t>-0.9739488833812348</t>
  </si>
  <si>
    <t>1.8749955313687616</t>
  </si>
  <si>
    <t>-0.03576270625308553</t>
  </si>
  <si>
    <t>0.005185442921946943</t>
  </si>
  <si>
    <t>-0.000595083956237205</t>
  </si>
  <si>
    <t>0.2659922943998592</t>
  </si>
  <si>
    <t>-0.44110433640131086</t>
  </si>
  <si>
    <t>0.8875589657723938</t>
  </si>
  <si>
    <t>-0.6327861036798583</t>
  </si>
  <si>
    <t>-1.3012443051977534</t>
  </si>
  <si>
    <t>0.9098626212636851</t>
  </si>
  <si>
    <t>2.0778627348410064</t>
  </si>
  <si>
    <t>2.6263883454205392</t>
  </si>
  <si>
    <t>-0.18577922927077478</t>
  </si>
  <si>
    <t>0.005041753546620272</t>
  </si>
  <si>
    <t>0.4463267886330332</t>
  </si>
  <si>
    <t>0.18068660818119364</t>
  </si>
  <si>
    <t>1.2103488402265317</t>
  </si>
  <si>
    <t>-0.28445776031858766</t>
  </si>
  <si>
    <t>-0.5262316403778144</t>
  </si>
  <si>
    <t>-1.2166602880163757</t>
  </si>
  <si>
    <t>0.05474360218867164</t>
  </si>
  <si>
    <t>0.1434931988581461</t>
  </si>
  <si>
    <t>1.3496652376161862</t>
  </si>
  <si>
    <t>-0.2299111788581027</t>
  </si>
  <si>
    <t>0.8822368466846137</t>
  </si>
  <si>
    <t>0.2156662782383767</t>
  </si>
  <si>
    <t>-2.024993457478224</t>
  </si>
  <si>
    <t>4.21087282902804</t>
  </si>
  <si>
    <t>-1.6503262316649652</t>
  </si>
  <si>
    <t>1.6231721232747003</t>
  </si>
  <si>
    <t>-0.9667876989353686</t>
  </si>
  <si>
    <t>-1.1673988852805481</t>
  </si>
  <si>
    <t>1.6839504814888469</t>
  </si>
  <si>
    <t>0.7198333429196001</t>
  </si>
  <si>
    <t>0.41612679906634886</t>
  </si>
  <si>
    <t>1.0565031390664654</t>
  </si>
  <si>
    <t>1.2444098256325236</t>
  </si>
  <si>
    <t>-0.4762663064272441</t>
  </si>
  <si>
    <t>-0.6054351184482127</t>
  </si>
  <si>
    <t>0.884886697795326</t>
  </si>
  <si>
    <t>-0.26203841671326755</t>
  </si>
  <si>
    <t>-0.4069930806369132</t>
  </si>
  <si>
    <t>1.313541947003263</t>
  </si>
  <si>
    <t>-0.9124269339769262</t>
  </si>
  <si>
    <t>-0.40933377652799086</t>
  </si>
  <si>
    <t>0.375588178390915</t>
  </si>
  <si>
    <t>-1.0431077737869066</t>
  </si>
  <si>
    <t>1.6851577664334678</t>
  </si>
  <si>
    <t>0.02785410933882303</t>
  </si>
  <si>
    <t>0.5615340451825328</t>
  </si>
  <si>
    <t>-0.5702619169935088</t>
  </si>
  <si>
    <t>-2.0223348326528345</t>
  </si>
  <si>
    <t>-1.6959472693347108</t>
  </si>
  <si>
    <t>0.46825033774147773</t>
  </si>
  <si>
    <t>-1.2901582080807648</t>
  </si>
  <si>
    <t>-0.8080314241776759</t>
  </si>
  <si>
    <t>0.20438965065003437</t>
  </si>
  <si>
    <t>1.655520278271045</t>
  </si>
  <si>
    <t>-0.8465830358549129</t>
  </si>
  <si>
    <t>0.4686448237830473</t>
  </si>
  <si>
    <t>1.2801985005158107</t>
  </si>
  <si>
    <t>0.4282722700296402</t>
  </si>
  <si>
    <t>0.04850729038333945</t>
  </si>
  <si>
    <t>1.081725336594334</t>
  </si>
  <si>
    <t>1.6865892502738113</t>
  </si>
  <si>
    <t>-1.5331344771393747</t>
  </si>
  <si>
    <t>-0.45928623544856456</t>
  </si>
  <si>
    <t>0.08676207079351388</t>
  </si>
  <si>
    <t>-0.16732655524696477</t>
  </si>
  <si>
    <t>-0.36073133338898267</t>
  </si>
  <si>
    <t>-1.4102908339364173</t>
  </si>
  <si>
    <t>1.616152514547987</t>
  </si>
  <si>
    <t>-0.39078140449477744</t>
  </si>
  <si>
    <t>-0.7965935767527227</t>
  </si>
  <si>
    <t>0.7333565796756357</t>
  </si>
  <si>
    <t>1.8480776263348087</t>
  </si>
  <si>
    <t>-0.897845619878847</t>
  </si>
  <si>
    <t>0.49383404516951473</t>
  </si>
  <si>
    <t>-1.5631822727567022</t>
  </si>
  <si>
    <t>-0.4010856188629743</t>
  </si>
  <si>
    <t>0.44330438002932143</t>
  </si>
  <si>
    <t>1.2262166226385585</t>
  </si>
  <si>
    <t>0.7976937171482487</t>
  </si>
  <si>
    <t>1.1633655602899777</t>
  </si>
  <si>
    <t>0.2017866683340602</t>
  </si>
  <si>
    <t>0.28392871137866166</t>
  </si>
  <si>
    <t>-0.7330615552187653</t>
  </si>
  <si>
    <t>-0.313626897984474</t>
  </si>
  <si>
    <t>2.163437590776165</t>
  </si>
  <si>
    <t>-1.324231944073966</t>
  </si>
  <si>
    <t>-0.0900606273539049</t>
  </si>
  <si>
    <t>-0.8214083978548219</t>
  </si>
  <si>
    <t>0.6951295504235923</t>
  </si>
  <si>
    <t>-0.956463036979637</t>
  </si>
  <si>
    <t>1.0869612516555118</t>
  </si>
  <si>
    <t>0.00472049386164859</t>
  </si>
  <si>
    <t>-2.2542780977061034</t>
  </si>
  <si>
    <t>0.2593699101836972</t>
  </si>
  <si>
    <t>0.8462667043054652</t>
  </si>
  <si>
    <t>0.9188119060376428</t>
  </si>
  <si>
    <t>-0.383410481837856</t>
  </si>
  <si>
    <t>-0.40522594218629965</t>
  </si>
  <si>
    <t>-1.2288266921948043</t>
  </si>
  <si>
    <t>-0.1542517697899515</t>
  </si>
  <si>
    <t>-0.2982103237462265</t>
  </si>
  <si>
    <t>0.7731460714736305</t>
  </si>
  <si>
    <t>-0.6963479904163327</t>
  </si>
  <si>
    <t>0.616875823453506</t>
  </si>
  <si>
    <t>-1.5102749212340358</t>
  </si>
  <si>
    <t>-0.7869828642772914</t>
  </si>
  <si>
    <t>1.3197508901276642</t>
  </si>
  <si>
    <t>-0.6822110158232658</t>
  </si>
  <si>
    <t>-0.1784006957762152</t>
  </si>
  <si>
    <t>-2.7778300282524295</t>
  </si>
  <si>
    <t>0.4644592569793066</t>
  </si>
  <si>
    <t>-1.0452524472733569</t>
  </si>
  <si>
    <t>0.31122123882062863</t>
  </si>
  <si>
    <t>0.016964445724970648</t>
  </si>
  <si>
    <t>0.7200093068322527</t>
  </si>
  <si>
    <t>0.3209065397326646</t>
  </si>
  <si>
    <t>-0.26602855051464197</t>
  </si>
  <si>
    <t>-0.24463365777966314</t>
  </si>
  <si>
    <t>-0.01708052869103635</t>
  </si>
  <si>
    <t>-1.197741334984417</t>
  </si>
  <si>
    <t>-0.8600853025481069</t>
  </si>
  <si>
    <t>-0.18606003294946208</t>
  </si>
  <si>
    <t>0.24991801562815877</t>
  </si>
  <si>
    <t>-0.35349009314871804</t>
  </si>
  <si>
    <t>0.04354976156003932</t>
  </si>
  <si>
    <t>0.12348466229865876</t>
  </si>
  <si>
    <t>0.33891961538428955</t>
  </si>
  <si>
    <t>0.6477248887146299</t>
  </si>
  <si>
    <t>-0.1506679148079234</t>
  </si>
  <si>
    <t>2.9691357862883465</t>
  </si>
  <si>
    <t>-2.022709633745158</t>
  </si>
  <si>
    <t>0.026743889001992614</t>
  </si>
  <si>
    <t>-0.4421688246298518</t>
  </si>
  <si>
    <t>-0.8611788445309099</t>
  </si>
  <si>
    <t>-2.288582527541301</t>
  </si>
  <si>
    <t>0.7783085224770514</t>
  </si>
  <si>
    <t>0.8949387217406533</t>
  </si>
  <si>
    <t>-0.5003657154457306</t>
  </si>
  <si>
    <t>0.2963029720827508</t>
  </si>
  <si>
    <t>-0.6013117147150184</t>
  </si>
  <si>
    <t>0.3341255957003602</t>
  </si>
  <si>
    <t>1.8019451769098362</t>
  </si>
  <si>
    <t>0.18683413106886562</t>
  </si>
  <si>
    <t>0.2231051357698586</t>
  </si>
  <si>
    <t>0.40090356701129104</t>
  </si>
  <si>
    <t>0.9677167807022864</t>
  </si>
  <si>
    <t>-0.6845433232421504</t>
  </si>
  <si>
    <t>0.6923265850149949</t>
  </si>
  <si>
    <t>1.0561863941689724</t>
  </si>
  <si>
    <t>1.899726935007388</t>
  </si>
  <si>
    <t>-1.034492871657369</t>
  </si>
  <si>
    <t>-1.5123500104824246</t>
  </si>
  <si>
    <t>-0.7306517290877539</t>
  </si>
  <si>
    <t>0.20000945139592247</t>
  </si>
  <si>
    <t>0.6240340733960056</t>
  </si>
  <si>
    <t>-1.770051630798423</t>
  </si>
  <si>
    <t>-1.8682689186605999</t>
  </si>
  <si>
    <t>-3.7513503770561223</t>
  </si>
  <si>
    <t>-0.4818145352556424</t>
  </si>
  <si>
    <t>-0.8616858671589693</t>
  </si>
  <si>
    <t>-0.15052634335608203</t>
  </si>
  <si>
    <t>0.547968300581009</t>
  </si>
  <si>
    <t>0.4356246988302125</t>
  </si>
  <si>
    <t>-0.9600209177648713</t>
  </si>
  <si>
    <t>1.4369844442357953</t>
  </si>
  <si>
    <t>-0.6279707500231917</t>
  </si>
  <si>
    <t>2.926480125722327</t>
  </si>
  <si>
    <t>0.16613844373476397</t>
  </si>
  <si>
    <t>-0.4392991697049424</t>
  </si>
  <si>
    <t>0.25947892784363746</t>
  </si>
  <si>
    <t>-0.33858017032069787</t>
  </si>
  <si>
    <t>-0.09734741745109593</t>
  </si>
  <si>
    <t>0.6194914552606082</t>
  </si>
  <si>
    <t>-0.5101311466672914</t>
  </si>
  <si>
    <t>1.020033944547391</t>
  </si>
  <si>
    <t>-0.8789123769981274</t>
  </si>
  <si>
    <t>-1.631189111528385</t>
  </si>
  <si>
    <t>-2.8078782676904357</t>
  </si>
  <si>
    <t>0.8215268736193924</t>
  </si>
  <si>
    <t>0.8696686666098394</t>
  </si>
  <si>
    <t>0.3266005864217569</t>
  </si>
  <si>
    <t>-0.2359260369693622</t>
  </si>
  <si>
    <t>1.0179177545512272</t>
  </si>
  <si>
    <t>-0.04483934386906273</t>
  </si>
  <si>
    <t>-1.3999477530362203</t>
  </si>
  <si>
    <t>1.5785404150606612</t>
  </si>
  <si>
    <t>0.6730597675593798</t>
  </si>
  <si>
    <t>0.6975563551382842</t>
  </si>
  <si>
    <t>-0.9218592321313843</t>
  </si>
  <si>
    <t>0.28849137377997014</t>
  </si>
  <si>
    <t>-0.09176053083636686</t>
  </si>
  <si>
    <t>-0.35911076587536583</t>
  </si>
  <si>
    <t>-2.5377571725990324</t>
  </si>
  <si>
    <t>-1.6062686429293633</t>
  </si>
  <si>
    <t>-0.3062699550450396</t>
  </si>
  <si>
    <t>-1.8449359349710286</t>
  </si>
  <si>
    <t>-0.05842227558136415</t>
  </si>
  <si>
    <t>-0.36122504927839066</t>
  </si>
  <si>
    <t>-0.10916048344515289</t>
  </si>
  <si>
    <t>0.855582052920511</t>
  </si>
  <si>
    <t>0.16455641437166643</t>
  </si>
  <si>
    <t>-0.38701490867976</t>
  </si>
  <si>
    <t>0.360420874003035</t>
  </si>
  <si>
    <t>1.3618893176732707</t>
  </si>
  <si>
    <t>1.1273740164604922</t>
  </si>
  <si>
    <t>0.6142638885827033</t>
  </si>
  <si>
    <t>0.14647023141156493</t>
  </si>
  <si>
    <t>-0.7462618371346039</t>
  </si>
  <si>
    <t>-0.4541359591548993</t>
  </si>
  <si>
    <t>-0.3511063443502423</t>
  </si>
  <si>
    <t>0.34429146285292794</t>
  </si>
  <si>
    <t>-0.05442324335679668</t>
  </si>
  <si>
    <t>-0.009597798028890756</t>
  </si>
  <si>
    <t>-0.35432003756672265</t>
  </si>
  <si>
    <t>-0.04484187290775171</t>
  </si>
  <si>
    <t>-0.8273889340973113</t>
  </si>
  <si>
    <t>-0.43431035006957397</t>
  </si>
  <si>
    <t>-0.06540081975845072</t>
  </si>
  <si>
    <t>0.16898451160583405</t>
  </si>
  <si>
    <t>1.3813194534100335</t>
  </si>
  <si>
    <t>-0.923088785245764</t>
  </si>
  <si>
    <t>0.3576653936993851</t>
  </si>
  <si>
    <t>0.03749389939602149</t>
  </si>
  <si>
    <t>-0.07972033017578259</t>
  </si>
  <si>
    <t>-0.23876737505010381</t>
  </si>
  <si>
    <t>1.7938737461151577</t>
  </si>
  <si>
    <t>-1.1427554032098564</t>
  </si>
  <si>
    <t>-0.7134953542308703</t>
  </si>
  <si>
    <t>-0.27034275714813494</t>
  </si>
  <si>
    <t>-1.1141555838474773</t>
  </si>
  <si>
    <t>0.008432219939181597</t>
  </si>
  <si>
    <t>-0.22967175628028208</t>
  </si>
  <si>
    <t>0.966530310802037</t>
  </si>
  <si>
    <t>-0.9351264106076699</t>
  </si>
  <si>
    <t>0.8656699744496282</t>
  </si>
  <si>
    <t>1.2694686837119098</t>
  </si>
  <si>
    <t>-1.1286118218622474</t>
  </si>
  <si>
    <t>-1.0948893334574794</t>
  </si>
  <si>
    <t>0.10432920276039362</t>
  </si>
  <si>
    <t>1.1289873998529512</t>
  </si>
  <si>
    <t>0.021342022447575056</t>
  </si>
  <si>
    <t>-0.2509995357542293</t>
  </si>
  <si>
    <t>0.16799073655320362</t>
  </si>
  <si>
    <t>-0.43679978728425994</t>
  </si>
  <si>
    <t>-0.015061187081326708</t>
  </si>
  <si>
    <t>0.44038078599439795</t>
  </si>
  <si>
    <t>0.5666849260663094</t>
  </si>
  <si>
    <t>1.1702103845089649</t>
  </si>
  <si>
    <t>0.5022553582373279</t>
  </si>
  <si>
    <t>-0.8375288894812362</t>
  </si>
  <si>
    <t>-1.0467515378003966</t>
  </si>
  <si>
    <t>1.0680153609735525</t>
  </si>
  <si>
    <t>-0.23164494556981868</t>
  </si>
  <si>
    <t>0.34534090061997325</t>
  </si>
  <si>
    <t>0.8226716090637555</t>
  </si>
  <si>
    <t>1.267157424003649</t>
  </si>
  <si>
    <t>-0.6553522922461638</t>
  </si>
  <si>
    <t>0.3404791026581935</t>
  </si>
  <si>
    <t>0.16497870946038173</t>
  </si>
  <si>
    <t>-0.7998879106774122</t>
  </si>
  <si>
    <t>-0.7316936840190945</t>
  </si>
  <si>
    <t>-0.10047103393984634</t>
  </si>
  <si>
    <t>0.5145269891977674</t>
  </si>
  <si>
    <t>0.41284304091267826</t>
  </si>
  <si>
    <t>0.6142078621174427</t>
  </si>
  <si>
    <t>-0.9553501273715664</t>
  </si>
  <si>
    <t>-0.09389354339747828</t>
  </si>
  <si>
    <t>-0.6079370070550775</t>
  </si>
  <si>
    <t>-0.18704193475145717</t>
  </si>
  <si>
    <t>-0.38232414859307146</t>
  </si>
  <si>
    <t>0.35273439747072066</t>
  </si>
  <si>
    <t>0.8185023703262442</t>
  </si>
  <si>
    <t>-0.8418934700764935</t>
  </si>
  <si>
    <t>0.14019897038450302</t>
  </si>
  <si>
    <t>1.224879189763661</t>
  </si>
  <si>
    <t>-0.15198485154870742</t>
  </si>
  <si>
    <t>0.1524894587675376</t>
  </si>
  <si>
    <t>0.6404888825922802</t>
  </si>
  <si>
    <t>0.4323001897996965</t>
  </si>
  <si>
    <t>-0.23286941500782213</t>
  </si>
  <si>
    <t>0.6364688749209719</t>
  </si>
  <si>
    <t>-0.4755372089847083</t>
  </si>
  <si>
    <t>-0.15399751641996318</t>
  </si>
  <si>
    <t>-0.2512726740574951</t>
  </si>
  <si>
    <t>-0.49728234194363563</t>
  </si>
  <si>
    <t>0.5779244905632223</t>
  </si>
  <si>
    <t>0.48742667355779634</t>
  </si>
  <si>
    <t>1.4198958847819971</t>
  </si>
  <si>
    <t>-0.4935007123534786</t>
  </si>
  <si>
    <t>-0.08478840197640208</t>
  </si>
  <si>
    <t>-0.6254734575810063</t>
  </si>
  <si>
    <t>0.07637795337020961</t>
  </si>
  <si>
    <t>-0.024538239748277596</t>
  </si>
  <si>
    <t>0.5310133453533359</t>
  </si>
  <si>
    <t>0.3833108275175686</t>
  </si>
  <si>
    <t>0.3100197238069844</t>
  </si>
  <si>
    <t>0.7354658576741671</t>
  </si>
  <si>
    <t>0.5797342442446562</t>
  </si>
  <si>
    <t>-0.19317000235108647</t>
  </si>
  <si>
    <t>0.43709140803342783</t>
  </si>
  <si>
    <t>-0.6839575956847881</t>
  </si>
  <si>
    <t>1.21653097554149</t>
  </si>
  <si>
    <t>0.8825359291879489</t>
  </si>
  <si>
    <t>0.4195245244074119</t>
  </si>
  <si>
    <t>1.1380568275544483</t>
  </si>
  <si>
    <t>0.748777260832797</t>
  </si>
  <si>
    <t>-0.22970436530053703</t>
  </si>
  <si>
    <t>2.10731750250202</t>
  </si>
  <si>
    <t>-0.7139931516305125</t>
  </si>
  <si>
    <t>-0.6455353750199451</t>
  </si>
  <si>
    <t>0.32597733771822346</t>
  </si>
  <si>
    <t>0.5039062401936009</t>
  </si>
  <si>
    <t>-1.0143953334002265</t>
  </si>
  <si>
    <t>-0.7000009749912376</t>
  </si>
  <si>
    <t>0.17614927548189632</t>
  </si>
  <si>
    <t>0.2901617283671853</t>
  </si>
  <si>
    <t>-0.871371071619824</t>
  </si>
  <si>
    <t>-0.3731802706086309</t>
  </si>
  <si>
    <t>0.0424341211034565</t>
  </si>
  <si>
    <t>0.10713062011281593</t>
  </si>
  <si>
    <t>-1.9745461881361273</t>
  </si>
  <si>
    <t>0.5752261348822238</t>
  </si>
  <si>
    <t>1.290539007784856</t>
  </si>
  <si>
    <t>-0.5426552201853341</t>
  </si>
  <si>
    <t>1.0409029279276332</t>
  </si>
  <si>
    <t>0.26367980678047065</t>
  </si>
  <si>
    <t>0.8830920304367855</t>
  </si>
  <si>
    <t>-0.9123053666583673</t>
  </si>
  <si>
    <t>-1.2408737923140751</t>
  </si>
  <si>
    <t>0.2981351747885211</t>
  </si>
  <si>
    <t>-0.0344974776315322</t>
  </si>
  <si>
    <t>-0.021582878583824128</t>
  </si>
  <si>
    <t>0.630182419681577</t>
  </si>
  <si>
    <t>-1.9328085211039656</t>
  </si>
  <si>
    <t>-0.09970610156840781</t>
  </si>
  <si>
    <t>0.6990673174620078</t>
  </si>
  <si>
    <t>0.5969026918471204</t>
  </si>
  <si>
    <t>0.4392107725162334</t>
  </si>
  <si>
    <t>-0.2211407764336519</t>
  </si>
  <si>
    <t>-0.19102305002347578</t>
  </si>
  <si>
    <t>1.0204277591106912</t>
  </si>
  <si>
    <t>0.6691247856288974</t>
  </si>
  <si>
    <t>0.8517027338401837</t>
  </si>
  <si>
    <t>0.3274857526493687</t>
  </si>
  <si>
    <t>0.02982573155712741</t>
  </si>
  <si>
    <t>1.4234624422172228</t>
  </si>
  <si>
    <t>0.6243517442016446</t>
  </si>
  <si>
    <t>0.2327466814242065</t>
  </si>
  <si>
    <t>-0.4120219048956825</t>
  </si>
  <si>
    <t>0.059951941568946246</t>
  </si>
  <si>
    <t>-2.8040434793268636</t>
  </si>
  <si>
    <t>2.6123605644399097</t>
  </si>
  <si>
    <t>-0.11679881796410059</t>
  </si>
  <si>
    <t>-0.6489565956715404</t>
  </si>
  <si>
    <t>0.6831539608242738</t>
  </si>
  <si>
    <t>-0.6555892311312105</t>
  </si>
  <si>
    <t>-1.0129972944502652</t>
  </si>
  <si>
    <t>1.9465754282314467</t>
  </si>
  <si>
    <t>-0.8138685107985498</t>
  </si>
  <si>
    <t>-1.7311605248202129</t>
  </si>
  <si>
    <t>0.9769550749779988</t>
  </si>
  <si>
    <t>-0.7343148302493694</t>
  </si>
  <si>
    <t>-2.2435177993461224</t>
  </si>
  <si>
    <t>1.1312234478239616</t>
  </si>
  <si>
    <t>-0.2560592188818107</t>
  </si>
  <si>
    <t>1.3644843366971073</t>
  </si>
  <si>
    <t>-0.38797694853333065</t>
  </si>
  <si>
    <t>0.09179434481965126</t>
  </si>
  <si>
    <t>-0.3194766177682996</t>
  </si>
  <si>
    <t>-0.0846043169753457</t>
  </si>
  <si>
    <t>0.007066967937333282</t>
  </si>
  <si>
    <t>0.24005918967002185</t>
  </si>
  <si>
    <t>-0.38713298300627</t>
  </si>
  <si>
    <t>-0.3209632622727066</t>
  </si>
  <si>
    <t>0.14527163240623786</t>
  </si>
  <si>
    <t>0.8076968748191197</t>
  </si>
  <si>
    <t>-0.149628740520118</t>
  </si>
  <si>
    <t>0.5547402474173634</t>
  </si>
  <si>
    <t>0.5835205950522112</t>
  </si>
  <si>
    <t>-0.19743721661639008</t>
  </si>
  <si>
    <t>0.5075509728138631</t>
  </si>
  <si>
    <t>0.448120695098168</t>
  </si>
  <si>
    <t>0.008887480375537715</t>
  </si>
  <si>
    <t>-0.5507460503384539</t>
  </si>
  <si>
    <t>-0.7329514213470052</t>
  </si>
  <si>
    <t>-0.22108009052430092</t>
  </si>
  <si>
    <t>0.9405044774956883</t>
  </si>
  <si>
    <t>-0.2013549404920351</t>
  </si>
  <si>
    <t>-0.3730094352957294</t>
  </si>
  <si>
    <t>0.5791327786037093</t>
  </si>
  <si>
    <t>-0.7696042626069304</t>
  </si>
  <si>
    <t>-0.19626016908652025</t>
  </si>
  <si>
    <t>1.2420820341575396</t>
  </si>
  <si>
    <t>0.10438233230895126</t>
  </si>
  <si>
    <t>-0.35386803273652717</t>
  </si>
  <si>
    <t>0.23876780458354413</t>
  </si>
  <si>
    <t>-0.16054217900395387</t>
  </si>
  <si>
    <t>-0.5804222893523384</t>
  </si>
  <si>
    <t>-0.8881001253731208</t>
  </si>
  <si>
    <t>-0.001760514152517792</t>
  </si>
  <si>
    <t>0.2460958989832143</t>
  </si>
  <si>
    <t>-0.09691162652140756</t>
  </si>
  <si>
    <t>0.03400886546385454</t>
  </si>
  <si>
    <t>0.865898200269598</t>
  </si>
  <si>
    <t>-0.286276028979259</t>
  </si>
  <si>
    <t>-0.7455443634478305</t>
  </si>
  <si>
    <t>1.178628349100558</t>
  </si>
  <si>
    <t>0.2085391218037847</t>
  </si>
  <si>
    <t>0.33797176076246815</t>
  </si>
  <si>
    <t>0.5547495007584523</t>
  </si>
  <si>
    <t>1.4867520249365533</t>
  </si>
  <si>
    <t>0.3228692023398751</t>
  </si>
  <si>
    <t>0.07936738558948608</t>
  </si>
  <si>
    <t>1.4317129621621898</t>
  </si>
  <si>
    <t>1.2588565856863614</t>
  </si>
  <si>
    <t>0.5766232347007046</t>
  </si>
  <si>
    <t>0.6365329136116332</t>
  </si>
  <si>
    <t>0.30553840266940807</t>
  </si>
  <si>
    <t>-0.2639650775064692</t>
  </si>
  <si>
    <t>0.9187796948380151</t>
  </si>
  <si>
    <t>0.7137412142041303</t>
  </si>
  <si>
    <t>1.5700109881250552</t>
  </si>
  <si>
    <t>0.41979201707697866</t>
  </si>
  <si>
    <t>0.4744082507622022</t>
  </si>
  <si>
    <t>0.13965156279046806</t>
  </si>
  <si>
    <t>-0.0062748098703890596</t>
  </si>
  <si>
    <t>0.2934190830000596</t>
  </si>
  <si>
    <t>0.0144500526896449</t>
  </si>
  <si>
    <t>0.9101832407718143</t>
  </si>
  <si>
    <t>-0.12247837380322857</t>
  </si>
  <si>
    <t>0.3260038901514643</t>
  </si>
  <si>
    <t>-1.5183307809048814</t>
  </si>
  <si>
    <t>0.622558894023155</t>
  </si>
  <si>
    <t>-0.5361268652520231</t>
  </si>
  <si>
    <t>-0.10331078200795477</t>
  </si>
  <si>
    <t>0.5382410524411261</t>
  </si>
  <si>
    <t>-1.3804837473720213</t>
  </si>
  <si>
    <t>0.8024279170374743</t>
  </si>
  <si>
    <t>0.600785702208409</t>
  </si>
  <si>
    <t>0.28784532374010985</t>
  </si>
  <si>
    <t>-0.9751562245691254</t>
  </si>
  <si>
    <t>1.5937578783355886</t>
  </si>
  <si>
    <t>0.9398673052268818</t>
  </si>
  <si>
    <t>1.4144632224292908</t>
  </si>
  <si>
    <t>0.36584140675223514</t>
  </si>
  <si>
    <t>1.070984732267975</t>
  </si>
  <si>
    <t>-0.597325258332833</t>
  </si>
  <si>
    <t>-0.4397629571659234</t>
  </si>
  <si>
    <t>-0.13758262152213777</t>
  </si>
  <si>
    <t>-1.2538015265568507</t>
  </si>
  <si>
    <t>0.20622726176955386</t>
  </si>
  <si>
    <t>-0.7633243474950981</t>
  </si>
  <si>
    <t>0.7685392724967376</t>
  </si>
  <si>
    <t>-0.17129093343917784</t>
  </si>
  <si>
    <t>-0.682241475971543</t>
  </si>
  <si>
    <t>-0.9423638647052932</t>
  </si>
  <si>
    <t>0.4756079141381679</t>
  </si>
  <si>
    <t>0.9808999556012807</t>
  </si>
  <si>
    <t>0.18317152741712597</t>
  </si>
  <si>
    <t>0.8523140702910637</t>
  </si>
  <si>
    <t>1.0764139288573382</t>
  </si>
  <si>
    <t>0.4213190024784777</t>
  </si>
  <si>
    <t>-0.14210463812430815</t>
  </si>
  <si>
    <t>0.9114340099358524</t>
  </si>
  <si>
    <t>2.6810838373324017</t>
  </si>
  <si>
    <t>-0.0697330345319458</t>
  </si>
  <si>
    <t>0.6500555888407986</t>
  </si>
  <si>
    <t>-0.990766096434847</t>
  </si>
  <si>
    <t>0.9944248627275745</t>
  </si>
  <si>
    <t>-0.22226077152765333</t>
  </si>
  <si>
    <t>0.221385532190351</t>
  </si>
  <si>
    <t>0.7906426241379179</t>
  </si>
  <si>
    <t>0.43206971232876124</t>
  </si>
  <si>
    <t>-1.164840558455509</t>
  </si>
  <si>
    <t>0.3055707292880127</t>
  </si>
  <si>
    <t>0.8484420068564376</t>
  </si>
  <si>
    <t>0.36528942440137463</t>
  </si>
  <si>
    <t>0.055944156067813396</t>
  </si>
  <si>
    <t>0.7666769239821599</t>
  </si>
  <si>
    <t>0.3031797980493788</t>
  </si>
  <si>
    <t>0.4888167616647787</t>
  </si>
  <si>
    <t>-0.028282164896731833</t>
  </si>
  <si>
    <t>-0.736396713546607</t>
  </si>
  <si>
    <t>0.8886047179928824</t>
  </si>
  <si>
    <t>-0.6212144114499791</t>
  </si>
  <si>
    <t>0.4507880000006551</t>
  </si>
  <si>
    <t>-0.01239895076907628</t>
  </si>
  <si>
    <t>-0.3696821251225833</t>
  </si>
  <si>
    <t>-0.6228203439757803</t>
  </si>
  <si>
    <t>0.7846443817669801</t>
  </si>
  <si>
    <t>-0.1602068634194511</t>
  </si>
  <si>
    <t>0.6400707142256441</t>
  </si>
  <si>
    <t>-0.4685126374485539</t>
  </si>
  <si>
    <t>0.1644014085993045</t>
  </si>
  <si>
    <t>-0.8732293625768315</t>
  </si>
  <si>
    <t>0.40844777348953687</t>
  </si>
  <si>
    <t>0.3706379283199853</t>
  </si>
  <si>
    <t>1.0149329834157859</t>
  </si>
  <si>
    <t>0.3650559378078044</t>
  </si>
  <si>
    <t>0.2719361553461575</t>
  </si>
  <si>
    <t>-0.8390162062548278</t>
  </si>
  <si>
    <t>-0.7003729590754212</t>
  </si>
  <si>
    <t>0.10131156801072859</t>
  </si>
  <si>
    <t>0.11418123998718073</t>
  </si>
  <si>
    <t>-0.33330792088833827</t>
  </si>
  <si>
    <t>0.31895908321458455</t>
  </si>
  <si>
    <t>-0.24166246704623148</t>
  </si>
  <si>
    <t>-0.28791330682507216</t>
  </si>
  <si>
    <t>-0.10464529529717764</t>
  </si>
  <si>
    <t>-0.5929716069804943</t>
  </si>
  <si>
    <t>-0.10839233857061388</t>
  </si>
  <si>
    <t>0.26746886220318655</t>
  </si>
  <si>
    <t>-0.5104449567758119</t>
  </si>
  <si>
    <t>-0.03849522775924028</t>
  </si>
  <si>
    <t>0.41114379952515107</t>
  </si>
  <si>
    <t>-0.17710968224676715</t>
  </si>
  <si>
    <t>-0.5212854770045878</t>
  </si>
  <si>
    <t>-2.072576658371131</t>
  </si>
  <si>
    <t>1.061201262862145</t>
  </si>
  <si>
    <t>-0.5872747201455448</t>
  </si>
  <si>
    <t>-1.3839764999405353</t>
  </si>
  <si>
    <t>0.08288968835851042</t>
  </si>
  <si>
    <t>-0.8991389149176893</t>
  </si>
  <si>
    <t>0.34127113135736087</t>
  </si>
  <si>
    <t>1.050273722495564</t>
  </si>
  <si>
    <t>0.5311082826173588</t>
  </si>
  <si>
    <t>-0.8596295171691398</t>
  </si>
  <si>
    <t>0.0010690657737685647</t>
  </si>
  <si>
    <t>-1.028815369832053</t>
  </si>
  <si>
    <t>0.01782619072784333</t>
  </si>
  <si>
    <t>-0.5583156487114332</t>
  </si>
  <si>
    <t>-0.09044742329369711</t>
  </si>
  <si>
    <t>-0.23487250730632592</t>
  </si>
  <si>
    <t>0.029533349960225597</t>
  </si>
  <si>
    <t>0.9872952322650675</t>
  </si>
  <si>
    <t>-0.49802228327187426</t>
  </si>
  <si>
    <t>0.6688411856556026</t>
  </si>
  <si>
    <t>0.9215713021607654</t>
  </si>
  <si>
    <t>-0.24254255824473517</t>
  </si>
  <si>
    <t>0.33786198478348844</t>
  </si>
  <si>
    <t>0.18730667963269554</t>
  </si>
  <si>
    <t>-0.40753236134413817</t>
  </si>
  <si>
    <t>-0.10992471664329596</t>
  </si>
  <si>
    <t>-0.1195813294792057</t>
  </si>
  <si>
    <t>0.8294386643541759</t>
  </si>
  <si>
    <t>-0.2016461471430629</t>
  </si>
  <si>
    <t>0.23405244165402286</t>
  </si>
  <si>
    <t>0.3880139308964953</t>
  </si>
  <si>
    <t>-0.051138992673863064</t>
  </si>
  <si>
    <t>0.0691171918343714</t>
  </si>
  <si>
    <t>-0.5674716696727791</t>
  </si>
  <si>
    <t>-0.4350740331421468</t>
  </si>
  <si>
    <t>0.2537191985782646</t>
  </si>
  <si>
    <t>0.05002636023520245</t>
  </si>
  <si>
    <t>0.035240862503260084</t>
  </si>
  <si>
    <t>0.6630345384505256</t>
  </si>
  <si>
    <t>0.01737930546680711</t>
  </si>
  <si>
    <t>-0.5324169010140496</t>
  </si>
  <si>
    <t>0.6423531817169092</t>
  </si>
  <si>
    <t>1.2173697285285028</t>
  </si>
  <si>
    <t>0.6013560634897063</t>
  </si>
  <si>
    <t>0.5990030101575479</t>
  </si>
  <si>
    <t>-0.03777412151554746</t>
  </si>
  <si>
    <t>-0.1799872144761508</t>
  </si>
  <si>
    <t>0.7270722646945703</t>
  </si>
  <si>
    <t>0.26713503099751873</t>
  </si>
  <si>
    <t>0.00271876518210352</t>
  </si>
  <si>
    <t>-0.1794602971718639</t>
  </si>
  <si>
    <t>0.031657671494484355</t>
  </si>
  <si>
    <t>-0.6154138005732195</t>
  </si>
  <si>
    <t>0.9398072157165769</t>
  </si>
  <si>
    <t>-1.925086560708948</t>
  </si>
  <si>
    <t>0.38609605998425783</t>
  </si>
  <si>
    <t>0.8187125013644777</t>
  </si>
  <si>
    <t>1.0541562971562073</t>
  </si>
  <si>
    <t>1.0266657514655761</t>
  </si>
  <si>
    <t>-0.8070201996718986</t>
  </si>
  <si>
    <t>0.6319074153835667</t>
  </si>
  <si>
    <t>0.2783601240807396</t>
  </si>
  <si>
    <t>-0.2661896866153025</t>
  </si>
  <si>
    <t>-0.4008241848149747</t>
  </si>
  <si>
    <t>0.8635851623342512</t>
  </si>
  <si>
    <t>-0.6508157158660066</t>
  </si>
  <si>
    <t>0.8469419343050789</t>
  </si>
  <si>
    <t>-0.89070664737212</t>
  </si>
  <si>
    <t>-0.20463645473730316</t>
  </si>
  <si>
    <t>0.36489408669938833</t>
  </si>
  <si>
    <t>0.5650329572167052</t>
  </si>
  <si>
    <t>-0.2530882542455955</t>
  </si>
  <si>
    <t>0.6508522963639437</t>
  </si>
  <si>
    <t>-0.7050721155687053</t>
  </si>
  <si>
    <t>-2.622862937195138</t>
  </si>
  <si>
    <t>-1.2548665841670152</t>
  </si>
  <si>
    <t>0.21966152945293538</t>
  </si>
  <si>
    <t>-2.365999051708631</t>
  </si>
  <si>
    <t>0.8827380063175547</t>
  </si>
  <si>
    <t>-4.161260706732472</t>
  </si>
  <si>
    <t>-1.8126388339541648</t>
  </si>
  <si>
    <t>-1.0500337918792364</t>
  </si>
  <si>
    <t>1.2006045980104691</t>
  </si>
  <si>
    <t>-0.11646464848043735</t>
  </si>
  <si>
    <t>-2.566628292705512</t>
  </si>
  <si>
    <t>-2.3287139407925594</t>
  </si>
  <si>
    <t>3.6781505202265343</t>
  </si>
  <si>
    <t>1.8652591869902257</t>
  </si>
  <si>
    <t>0.8327896446588736</t>
  </si>
  <si>
    <t>-0.7605332775076252</t>
  </si>
  <si>
    <t>-0.3392911820064827</t>
  </si>
  <si>
    <t>-0.13770023660310818</t>
  </si>
  <si>
    <t>-0.25687543694976916</t>
  </si>
  <si>
    <t>-0.11542635849706015</t>
  </si>
  <si>
    <t>1.430183849284987</t>
  </si>
  <si>
    <t>0.18906290689123711</t>
  </si>
  <si>
    <t>-1.2214226669872656</t>
  </si>
  <si>
    <t>-0.20235029059678264</t>
  </si>
  <si>
    <t>0.5732356482650168</t>
  </si>
  <si>
    <t>-1.006337907746222</t>
  </si>
  <si>
    <t>-0.3718877135635378</t>
  </si>
  <si>
    <t>-0.07261204307234503</t>
  </si>
  <si>
    <t>-1.04691370305636</t>
  </si>
  <si>
    <t>-0.478029858981894</t>
  </si>
  <si>
    <t>1.4883655901069164</t>
  </si>
  <si>
    <t>1.7867190562575253</t>
  </si>
  <si>
    <t>-0.3341733742807493</t>
  </si>
  <si>
    <t>-0.8024057510519963</t>
  </si>
  <si>
    <t>0.15367227929584726</t>
  </si>
  <si>
    <t>-0.20766626854174372</t>
  </si>
  <si>
    <t>0.25492242782434155</t>
  </si>
  <si>
    <t>1.464524704563886</t>
  </si>
  <si>
    <t>-0.4370813563967279</t>
  </si>
  <si>
    <t>0.42643415412930663</t>
  </si>
  <si>
    <t>1.3453011268462676</t>
  </si>
  <si>
    <t>0.3943552615582639</t>
  </si>
  <si>
    <t>0.05588472224444607</t>
  </si>
  <si>
    <t>1.3819381826620154</t>
  </si>
  <si>
    <t>-0.5929238579793099</t>
  </si>
  <si>
    <t>-0.06618963639235594</t>
  </si>
  <si>
    <t>-0.7212482309037874</t>
  </si>
  <si>
    <t>-0.08143707841492799</t>
  </si>
  <si>
    <t>-0.7891601956591313</t>
  </si>
  <si>
    <t>-1.3971271105332257</t>
  </si>
  <si>
    <t>-0.03434215516147938</t>
  </si>
  <si>
    <t>0.5092713958208169</t>
  </si>
  <si>
    <t>-0.39067240738178644</t>
  </si>
  <si>
    <t>0.18639388123604983</t>
  </si>
  <si>
    <t>0.6559228573247489</t>
  </si>
  <si>
    <t>1.1726189253681227</t>
  </si>
  <si>
    <t>-0.12225134446534772</t>
  </si>
  <si>
    <t>-1.1025683313143497</t>
  </si>
  <si>
    <t>0.8663989527883486</t>
  </si>
  <si>
    <t>-0.47735035173555745</t>
  </si>
  <si>
    <t>0.1151481535634384</t>
  </si>
  <si>
    <t>-0.2949205367754941</t>
  </si>
  <si>
    <t>-0.7177687074716721</t>
  </si>
  <si>
    <t>-0.3892192241964245</t>
  </si>
  <si>
    <t>-0.592337106637355</t>
  </si>
  <si>
    <t>0.48093984824153946</t>
  </si>
  <si>
    <t>-0.8660017758988579</t>
  </si>
  <si>
    <t>0.5863480982868963</t>
  </si>
  <si>
    <t>-0.15606849755270288</t>
  </si>
  <si>
    <t>0.5803555339789656</t>
  </si>
  <si>
    <t>-0.12057276404952871</t>
  </si>
  <si>
    <t>2.109253162300402</t>
  </si>
  <si>
    <t>-0.4156534062823213</t>
  </si>
  <si>
    <t>-0.25062345584793444</t>
  </si>
  <si>
    <t>-0.03344680256968353</t>
  </si>
  <si>
    <t>0.7284848828904533</t>
  </si>
  <si>
    <t>0.0870548921680872</t>
  </si>
  <si>
    <t>0.3970547607806512</t>
  </si>
  <si>
    <t>0.9827287132375854</t>
  </si>
  <si>
    <t>-0.29498901618319906</t>
  </si>
  <si>
    <t>0.49169830198537867</t>
  </si>
  <si>
    <t>-0.3915706073011153</t>
  </si>
  <si>
    <t>-0.3046967691531073</t>
  </si>
  <si>
    <t>0.7272578613247086</t>
  </si>
  <si>
    <t>0.909704446055384</t>
  </si>
  <si>
    <t>-0.8191269320641327</t>
  </si>
  <si>
    <t>0.11888135603303493</t>
  </si>
  <si>
    <t>0.32180469358173747</t>
  </si>
  <si>
    <t>0.30524997108932767</t>
  </si>
  <si>
    <t>0.2655572183136393</t>
  </si>
  <si>
    <t>0.47710554742039607</t>
  </si>
  <si>
    <t>-0.08914946725695705</t>
  </si>
  <si>
    <t>-0.5947378725157807</t>
  </si>
  <si>
    <t>0.12473799901892271</t>
  </si>
  <si>
    <t>-0.7044374231873627</t>
  </si>
  <si>
    <t>0.11078210152685308</t>
  </si>
  <si>
    <t>-0.5721751860542917</t>
  </si>
  <si>
    <t>-0.06660015916655747</t>
  </si>
  <si>
    <t>0.3653191451483564</t>
  </si>
  <si>
    <t>0.9258239832484068</t>
  </si>
  <si>
    <t>-1.3813127706867</t>
  </si>
  <si>
    <t>0.10416302013438852</t>
  </si>
  <si>
    <t>-0.5015831470170413</t>
  </si>
  <si>
    <t>-0.07609649185597715</t>
  </si>
  <si>
    <t>0.14926253348315455</t>
  </si>
  <si>
    <t>-0.31648420222291007</t>
  </si>
  <si>
    <t>0.15506595965422496</t>
  </si>
  <si>
    <t>0.2742989161815319</t>
  </si>
  <si>
    <t>-0.043317135689184</t>
  </si>
  <si>
    <t>-0.40240359405007725</t>
  </si>
  <si>
    <t>-0.40763706148296835</t>
  </si>
  <si>
    <t>0.6719255254929729</t>
  </si>
  <si>
    <t>-0.5241138746155003</t>
  </si>
  <si>
    <t>0.42469506339409474</t>
  </si>
  <si>
    <t>-0.6950742934410206</t>
  </si>
  <si>
    <t>-0.9662037878894987</t>
  </si>
  <si>
    <t>-1.0639967868255296</t>
  </si>
  <si>
    <t>0.922535284507575</t>
  </si>
  <si>
    <t>0.5186527146219806</t>
  </si>
  <si>
    <t>-1.4800995259604055</t>
  </si>
  <si>
    <t>0.540209079493264</t>
  </si>
  <si>
    <t>0.8897615441476394</t>
  </si>
  <si>
    <t>-1.0686750028470886</t>
  </si>
  <si>
    <t>1.727492857672903</t>
  </si>
  <si>
    <t>-0.6638731300132353</t>
  </si>
  <si>
    <t>-0.08811808662566153</t>
  </si>
  <si>
    <t>0.21246815111864098</t>
  </si>
  <si>
    <t>0.8592471184276471</t>
  </si>
  <si>
    <t>0.06028334122303205</t>
  </si>
  <si>
    <t>0.4880162949090304</t>
  </si>
  <si>
    <t>-0.3255624828791624</t>
  </si>
  <si>
    <t>0.46525164204811476</t>
  </si>
  <si>
    <t>-0.6959473722876371</t>
  </si>
  <si>
    <t>-0.14326958677682455</t>
  </si>
  <si>
    <t>-0.8024786639846954</t>
  </si>
  <si>
    <t>0.07757541796601992</t>
  </si>
  <si>
    <t>-0.4211662749724163</t>
  </si>
  <si>
    <t>-0.3505061424857921</t>
  </si>
  <si>
    <t>-0.4849578263515153</t>
  </si>
  <si>
    <t>-1.0835603031989844</t>
  </si>
  <si>
    <t>0.5986402300939445</t>
  </si>
  <si>
    <t>-1.0252602720567052</t>
  </si>
  <si>
    <t>1.0719899940162705</t>
  </si>
  <si>
    <t>-1.397548307414105</t>
  </si>
  <si>
    <t>-0.6961975874983017</t>
  </si>
  <si>
    <t>0.207325872993394</t>
  </si>
  <si>
    <t>-1.1692237746985334</t>
  </si>
  <si>
    <t>0.6366882847890262</t>
  </si>
  <si>
    <t>0.005301308403059753</t>
  </si>
  <si>
    <t>0.11549001181165452</t>
  </si>
  <si>
    <t>0.5397323821939294</t>
  </si>
  <si>
    <t>0.7420382614979023</t>
  </si>
  <si>
    <t>0.07890774241598582</t>
  </si>
  <si>
    <t>0.29716108288254556</t>
  </si>
  <si>
    <t>-0.12259236439798697</t>
  </si>
  <si>
    <t>-0.1640577078484515</t>
  </si>
  <si>
    <t>-1.3137755884850373</t>
  </si>
  <si>
    <t>0.7907282776443161</t>
  </si>
  <si>
    <t>-0.6807072849784999</t>
  </si>
  <si>
    <t>0.2716227787356314</t>
  </si>
  <si>
    <t>0.6703970864625365</t>
  </si>
  <si>
    <t>-0.6795740475238233</t>
  </si>
  <si>
    <t>-0.16062218320476196</t>
  </si>
  <si>
    <t>1.208995156500183</t>
  </si>
  <si>
    <t>0.12397966357504489</t>
  </si>
  <si>
    <t>-0.4610901072257489</t>
  </si>
  <si>
    <t>-1.1281562741100837</t>
  </si>
  <si>
    <t>0.2706544408132642</t>
  </si>
  <si>
    <t>0.3636945035218994</t>
  </si>
  <si>
    <t>0.7329043232170599</t>
  </si>
  <si>
    <t>0.9234012397106742</t>
  </si>
  <si>
    <t>1.7773349124282574</t>
  </si>
  <si>
    <t>0.4009236638343287</t>
  </si>
  <si>
    <t>-0.8006694232040066</t>
  </si>
  <si>
    <t>-0.11420510628687303</t>
  </si>
  <si>
    <t>0.03533304843280368</t>
  </si>
  <si>
    <t>-0.6162852886629264</t>
  </si>
  <si>
    <t>-0.094466491077019</t>
  </si>
  <si>
    <t>1.6302232073152116</t>
  </si>
  <si>
    <t>0.5114682456572671</t>
  </si>
  <si>
    <t>-0.3854471554613012</t>
  </si>
  <si>
    <t>0.678137251795235</t>
  </si>
  <si>
    <t>1.6532936586517024</t>
  </si>
  <si>
    <t>-1.5362039076471925</t>
  </si>
  <si>
    <t>-0.5225787519280382</t>
  </si>
  <si>
    <t>0.2891731003034632</t>
  </si>
  <si>
    <t>0.4377767351651816</t>
  </si>
  <si>
    <t>-0.04779598602094436</t>
  </si>
  <si>
    <t>0.7940981634191098</t>
  </si>
  <si>
    <t>-0.9572305873232032</t>
  </si>
  <si>
    <t>0.5982766899205478</t>
  </si>
  <si>
    <t>-0.004951692785887994</t>
  </si>
  <si>
    <t>0.635506597023585</t>
  </si>
  <si>
    <t>-0.43079217267987874</t>
  </si>
  <si>
    <t>-0.03215666500553271</t>
  </si>
  <si>
    <t>-0.2992160699301172</t>
  </si>
  <si>
    <t>0.17826238106347111</t>
  </si>
  <si>
    <t>-0.020203473057783757</t>
  </si>
  <si>
    <t>-0.8154112362328241</t>
  </si>
  <si>
    <t>0.07526097984853974</t>
  </si>
  <si>
    <t>0.04991243548570172</t>
  </si>
  <si>
    <t>0.1155460180223874</t>
  </si>
  <si>
    <t>-0.22807583025825318</t>
  </si>
  <si>
    <t>0.7751387738193661</t>
  </si>
  <si>
    <t>-0.2823782513323984</t>
  </si>
  <si>
    <t>0.18476741729009452</t>
  </si>
  <si>
    <t>-0.14580945989805058</t>
  </si>
  <si>
    <t>-0.7722651057000585</t>
  </si>
  <si>
    <t>0.43162636363619633</t>
  </si>
  <si>
    <t>-0.43345083452610467</t>
  </si>
  <si>
    <t>-0.17090182049969369</t>
  </si>
  <si>
    <t>0.4698901507762473</t>
  </si>
  <si>
    <t>-0.4131363898511224</t>
  </si>
  <si>
    <t>-0.8839882713040148</t>
  </si>
  <si>
    <t>0.21698398000165062</t>
  </si>
  <si>
    <t>-0.003549878535817603</t>
  </si>
  <si>
    <t>0.1699919247081485</t>
  </si>
  <si>
    <t>-1.064102818234182</t>
  </si>
  <si>
    <t>0.47191876282023953</t>
  </si>
  <si>
    <t>-0.06219196893734338</t>
  </si>
  <si>
    <t>-0.2623330324466124</t>
  </si>
  <si>
    <t>0.35147901358002304</t>
  </si>
  <si>
    <t>0.366575305368661</t>
  </si>
  <si>
    <t>0.23139132714371755</t>
  </si>
  <si>
    <t>-0.4076879247771483</t>
  </si>
  <si>
    <t>0.9524251102022621</t>
  </si>
  <si>
    <t>0.0508028609165104</t>
  </si>
  <si>
    <t>0.02229799807646196</t>
  </si>
  <si>
    <t>0.03613988946916524</t>
  </si>
  <si>
    <t>-0.2870521544735531</t>
  </si>
  <si>
    <t>0.9091212007861561</t>
  </si>
  <si>
    <t>0.5363289882472417</t>
  </si>
  <si>
    <t>-0.004444791646596934</t>
  </si>
  <si>
    <t>0.17638020818910538</t>
  </si>
  <si>
    <t>0.06814685567159996</t>
  </si>
  <si>
    <t>0.2920893067718361</t>
  </si>
  <si>
    <t>-0.7542049895137906</t>
  </si>
  <si>
    <t>0.5302207925880699</t>
  </si>
  <si>
    <t>-0.8348931097064881</t>
  </si>
  <si>
    <t>-0.35193865613072894</t>
  </si>
  <si>
    <t>-0.1749141186545555</t>
  </si>
  <si>
    <t>-0.5306906563740438</t>
  </si>
  <si>
    <t>0.4934083576031423</t>
  </si>
  <si>
    <t>-0.15439584832629816</t>
  </si>
  <si>
    <t>0.1420718814050954</t>
  </si>
  <si>
    <t>0.08906350319283754</t>
  </si>
  <si>
    <t>-0.7631901681998511</t>
  </si>
  <si>
    <t>0.0859354306788799</t>
  </si>
  <si>
    <t>0.28165635860767435</t>
  </si>
  <si>
    <t>0.3746358892802573</t>
  </si>
  <si>
    <t>-0.004337294165988905</t>
  </si>
  <si>
    <t>-0.9491126187104332</t>
  </si>
  <si>
    <t>0.2521980347167491</t>
  </si>
  <si>
    <t>0.4763744163204497</t>
  </si>
  <si>
    <t>-0.07832703571201952</t>
  </si>
  <si>
    <t>-0.6029703172779579</t>
  </si>
  <si>
    <t>-0.882066926123714</t>
  </si>
  <si>
    <t>1.0375669591995147</t>
  </si>
  <si>
    <t>0.9721858342711007</t>
  </si>
  <si>
    <t>0.1114996097444619</t>
  </si>
  <si>
    <t>-0.768513599945619</t>
  </si>
  <si>
    <t>0.36966580703705626</t>
  </si>
  <si>
    <t>-0.13329076558318734</t>
  </si>
  <si>
    <t>-0.5713147781028826</t>
  </si>
  <si>
    <t>-0.6370093056992361</t>
  </si>
  <si>
    <t>0.3187837486043256</t>
  </si>
  <si>
    <t>-0.7331055755342751</t>
  </si>
  <si>
    <t>0.37530199524799324</t>
  </si>
  <si>
    <t>-0.16327607112744877</t>
  </si>
  <si>
    <t>0.11799918999074657</t>
  </si>
  <si>
    <t>0.08691862169134332</t>
  </si>
  <si>
    <t>-1.0634279749001854</t>
  </si>
  <si>
    <t>-1.0732512950582214</t>
  </si>
  <si>
    <t>1.0122996741464054</t>
  </si>
  <si>
    <t>-0.02724504055635884</t>
  </si>
  <si>
    <t>-1.1552373667731926</t>
  </si>
  <si>
    <t>-0.37326089313957383</t>
  </si>
  <si>
    <t>-0.4051560903098705</t>
  </si>
  <si>
    <t>-0.6785753856237813</t>
  </si>
  <si>
    <t>-0.0744914051718655</t>
  </si>
  <si>
    <t>-0.6754709766328268</t>
  </si>
  <si>
    <t>0.1510856083389345</t>
  </si>
  <si>
    <t>0.36007489379487173</t>
  </si>
  <si>
    <t>-0.6385814707674605</t>
  </si>
  <si>
    <t>-0.07188844772562057</t>
  </si>
  <si>
    <t>0.4419962632422936</t>
  </si>
  <si>
    <t>-1.042885212734197</t>
  </si>
  <si>
    <t>-0.17345467576392268</t>
  </si>
  <si>
    <t>0.8058377990638509</t>
  </si>
  <si>
    <t>-0.047249888263883405</t>
  </si>
  <si>
    <t>1.0137444757620229</t>
  </si>
  <si>
    <t>0.0289135249705065</t>
  </si>
  <si>
    <t>-1.5142824845735785</t>
  </si>
  <si>
    <t>0.19556104158862034</t>
  </si>
  <si>
    <t>-0.556252392356476</t>
  </si>
  <si>
    <t>1.4432969963288498</t>
  </si>
  <si>
    <t>-0.03611135354941734</t>
  </si>
  <si>
    <t>0.022391922474233796</t>
  </si>
  <si>
    <t>-0.43876262060686744</t>
  </si>
  <si>
    <t>0.08398377151567465</t>
  </si>
  <si>
    <t>-0.40826979331160856</t>
  </si>
  <si>
    <t>0.005598636079676322</t>
  </si>
  <si>
    <t>-0.527760009197249</t>
  </si>
  <si>
    <t>0.7496632290898726</t>
  </si>
  <si>
    <t>0.9007475121946462</t>
  </si>
  <si>
    <t>-1.1652323119577295</t>
  </si>
  <si>
    <t>-0.19956226749515593</t>
  </si>
  <si>
    <t>0.4345070085627931</t>
  </si>
  <si>
    <t>1.0685170184515456</t>
  </si>
  <si>
    <t>-0.7128082970433579</t>
  </si>
  <si>
    <t>-0.09281682171297449</t>
  </si>
  <si>
    <t>-0.02589374840601681</t>
  </si>
  <si>
    <t>0.8916725007909466</t>
  </si>
  <si>
    <t>0.2260338289046842</t>
  </si>
  <si>
    <t>0.28549380081512793</t>
  </si>
  <si>
    <t>0.25026123329062044</t>
  </si>
  <si>
    <t>0.4683407607894347</t>
  </si>
  <si>
    <t>0.5467936426626583</t>
  </si>
  <si>
    <t>0.3529273616128565</t>
  </si>
  <si>
    <t>0.20318459445118164</t>
  </si>
  <si>
    <t>0.3179429230346183</t>
  </si>
  <si>
    <t>-0.4905164188885846</t>
  </si>
  <si>
    <t>-0.1417068301145522</t>
  </si>
  <si>
    <t>-0.15117403777465108</t>
  </si>
  <si>
    <t>-0.3173343349461354</t>
  </si>
  <si>
    <t>-1.2549788762026077</t>
  </si>
  <si>
    <t>-0.5685739462474055</t>
  </si>
  <si>
    <t>1.064656138259877</t>
  </si>
  <si>
    <t>0.035116675853346296</t>
  </si>
  <si>
    <t>1.240979508182597</t>
  </si>
  <si>
    <t>-1.3554217860126576</t>
  </si>
  <si>
    <t>-1.1845894380844766</t>
  </si>
  <si>
    <t>0.22073286069134304</t>
  </si>
  <si>
    <t>-0.07638146764831147</t>
  </si>
  <si>
    <t>0.5294874877431324</t>
  </si>
  <si>
    <t>-0.06638759929023949</t>
  </si>
  <si>
    <t>0.7736392950454968</t>
  </si>
  <si>
    <t>-0.47771285085030235</t>
  </si>
  <si>
    <t>1.1820507608461361</t>
  </si>
  <si>
    <t>-0.38545636307284536</t>
  </si>
  <si>
    <t>-0.5717002664504669</t>
  </si>
  <si>
    <t>0.17395187515645388</t>
  </si>
  <si>
    <t>0.4671794135753882</t>
  </si>
  <si>
    <t>1.088062113580873</t>
  </si>
  <si>
    <t>0.8343654389031292</t>
  </si>
  <si>
    <t>0.024897643391823585</t>
  </si>
  <si>
    <t>1.1995513621605896</t>
  </si>
  <si>
    <t>1.8002932724740945</t>
  </si>
  <si>
    <t>0.2852111686345488</t>
  </si>
  <si>
    <t>-1.023168862147938</t>
  </si>
  <si>
    <t>-0.28789785269500506</t>
  </si>
  <si>
    <t>-1.0747236554818616</t>
  </si>
  <si>
    <t>0.5331153119337037</t>
  </si>
  <si>
    <t>-0.8328576845048389</t>
  </si>
  <si>
    <t>-0.30272253785160663</t>
  </si>
  <si>
    <t>0.2226171968069634</t>
  </si>
  <si>
    <t>0.28286932047696517</t>
  </si>
  <si>
    <t>1.2864175061491891</t>
  </si>
  <si>
    <t>-0.4469826240558317</t>
  </si>
  <si>
    <t>0.7591465525968574</t>
  </si>
  <si>
    <t>0.2750479641732683</t>
  </si>
  <si>
    <t>-0.4086834382939718</t>
  </si>
  <si>
    <t>-0.3484763212830559</t>
  </si>
  <si>
    <t>0.07328560828054737</t>
  </si>
  <si>
    <t>0.3276953934596003</t>
  </si>
  <si>
    <t>-0.008492652067460277</t>
  </si>
  <si>
    <t>-0.44443545237701654</t>
  </si>
  <si>
    <t>0.199581779751434</t>
  </si>
  <si>
    <t>-0.2620711601591333</t>
  </si>
  <si>
    <t>-0.1465738780764507</t>
  </si>
  <si>
    <t>0.4128507304966428</t>
  </si>
  <si>
    <t>0.15727440019829228</t>
  </si>
  <si>
    <t>0.4796002534491073</t>
  </si>
  <si>
    <t>-0.3592924556815897</t>
  </si>
  <si>
    <t>-0.10789856765537909</t>
  </si>
  <si>
    <t>-0.5819151673608108</t>
  </si>
  <si>
    <t>-0.3289395004207758</t>
  </si>
  <si>
    <t>0.5397479225455367</t>
  </si>
  <si>
    <t>-0.6907731983244068</t>
  </si>
  <si>
    <t>2.145523307738039</t>
  </si>
  <si>
    <t>0.09629129032341072</t>
  </si>
  <si>
    <t>0.3036858894467485</t>
  </si>
  <si>
    <t>-0.390615360942332</t>
  </si>
  <si>
    <t>-0.17517600122821655</t>
  </si>
  <si>
    <t>-0.832986458055836</t>
  </si>
  <si>
    <t>1.166321185879609</t>
  </si>
  <si>
    <t>-0.4094547685679407</t>
  </si>
  <si>
    <t>0.974655843902647</t>
  </si>
  <si>
    <t>-0.5263874964437674</t>
  </si>
  <si>
    <t>0.16715218649568003</t>
  </si>
  <si>
    <t>-0.16374880583472468</t>
  </si>
  <si>
    <t>0.08931817599173354</t>
  </si>
  <si>
    <t>0.351081323207869</t>
  </si>
  <si>
    <t>-1.1442569617289733</t>
  </si>
  <si>
    <t>2.0644766457274693</t>
  </si>
  <si>
    <t>-0.8098111540106224</t>
  </si>
  <si>
    <t>-0.909950729549276</t>
  </si>
  <si>
    <t>-0.7246456011558792</t>
  </si>
  <si>
    <t>-0.32607522923841625</t>
  </si>
  <si>
    <t>1.0549108561511238</t>
  </si>
  <si>
    <t>-0.7765920234233132</t>
  </si>
  <si>
    <t>-0.37593999921550464</t>
  </si>
  <si>
    <t>0.5118914141868505</t>
  </si>
  <si>
    <t>-0.585583366933523</t>
  </si>
  <si>
    <t>-0.547481865653216</t>
  </si>
  <si>
    <t>0.36178849578776534</t>
  </si>
  <si>
    <t>0.8995989181402043</t>
  </si>
  <si>
    <t>-0.09170688175181639</t>
  </si>
  <si>
    <t>0.29734754085883547</t>
  </si>
  <si>
    <t>0.599613887638974</t>
  </si>
  <si>
    <t>-0.41926452734381053</t>
  </si>
  <si>
    <t>0.12159925282858086</t>
  </si>
  <si>
    <t>1.4138969217131079</t>
  </si>
  <si>
    <t>-0.3321762708327572</t>
  </si>
  <si>
    <t>0.7559146858811361</t>
  </si>
  <si>
    <t>-0.22692794048766604</t>
  </si>
  <si>
    <t>0.14533213836441392</t>
  </si>
  <si>
    <t>-1.3030609960532953</t>
  </si>
  <si>
    <t>0.15607226061996765</t>
  </si>
  <si>
    <t>-0.8806436059173344</t>
  </si>
  <si>
    <t>0.7218611510451327</t>
  </si>
  <si>
    <t>0.3423101395097348</t>
  </si>
  <si>
    <t>-0.7649356531632352</t>
  </si>
  <si>
    <t>-0.1934913932017852</t>
  </si>
  <si>
    <t>0.369163561916205</t>
  </si>
  <si>
    <t>0.27765479248858155</t>
  </si>
  <si>
    <t>-0.256630177180871</t>
  </si>
  <si>
    <t>0.4497301655097392</t>
  </si>
  <si>
    <t>-0.01076321989467018</t>
  </si>
  <si>
    <t>-0.026245966029163157</t>
  </si>
  <si>
    <t>-0.4225882682581678</t>
  </si>
  <si>
    <t>0.11669759655131444</t>
  </si>
  <si>
    <t>-0.7749937149584214</t>
  </si>
  <si>
    <t>0.6307598503116675</t>
  </si>
  <si>
    <t>-0.6107930432400505</t>
  </si>
  <si>
    <t>-0.260457430133149</t>
  </si>
  <si>
    <t>0.45367183240450115</t>
  </si>
  <si>
    <t>-0.8531695417038003</t>
  </si>
  <si>
    <t>0.31618624649550364</t>
  </si>
  <si>
    <t>0.10579060512712438</t>
  </si>
  <si>
    <t>-0.6635264078533128</t>
  </si>
  <si>
    <t>0.6188726407225875</t>
  </si>
  <si>
    <t>-0.5975114839602577</t>
  </si>
  <si>
    <t>0.3507715316698894</t>
  </si>
  <si>
    <t>0.8742190860864857</t>
  </si>
  <si>
    <t>-0.10172786050704141</t>
  </si>
  <si>
    <t>-0.36186373643893827</t>
  </si>
  <si>
    <t>0.09519842490715821</t>
  </si>
  <si>
    <t>-0.14497077391724553</t>
  </si>
  <si>
    <t>-0.20059535781016136</t>
  </si>
  <si>
    <t>0.8392155694406126</t>
  </si>
  <si>
    <t>-0.27728715546078847</t>
  </si>
  <si>
    <t>0.49122386687113706</t>
  </si>
  <si>
    <t>-1.0282585463304228</t>
  </si>
  <si>
    <t>-0.5767211615731818</t>
  </si>
  <si>
    <t>0.3526123127191722</t>
  </si>
  <si>
    <t>0.32971514995006057</t>
  </si>
  <si>
    <t>0.13442040731892507</t>
  </si>
  <si>
    <t>0.32604183130639514</t>
  </si>
  <si>
    <t>0.34573789225590656</t>
  </si>
  <si>
    <t>0.160556062306864</t>
  </si>
  <si>
    <t>0.6358347761431824</t>
  </si>
  <si>
    <t>-0.8307898980413367</t>
  </si>
  <si>
    <t>0.47426401216196656</t>
  </si>
  <si>
    <t>-0.10737630369203685</t>
  </si>
  <si>
    <t>0.23929738065552442</t>
  </si>
  <si>
    <t>-0.6087815891008338</t>
  </si>
  <si>
    <t>0.1695903532643642</t>
  </si>
  <si>
    <t>0.4539934931303464</t>
  </si>
  <si>
    <t>0.16602680089566413</t>
  </si>
  <si>
    <t>0.08773716684799701</t>
  </si>
  <si>
    <t>-0.21053404733580955</t>
  </si>
  <si>
    <t>-0.4974547807270608</t>
  </si>
  <si>
    <t>1.0704260207694063</t>
  </si>
  <si>
    <t>-0.16510940854068443</t>
  </si>
  <si>
    <t>-0.8464901200774337</t>
  </si>
  <si>
    <t>-0.022721731979909416</t>
  </si>
  <si>
    <t>0.5311925635662007</t>
  </si>
  <si>
    <t>1.2068151972639847</t>
  </si>
  <si>
    <t>-0.3821109576081315</t>
  </si>
  <si>
    <t>0.3413544224842807</t>
  </si>
  <si>
    <t>-0.00544275651342986</t>
  </si>
  <si>
    <t>0.17143981240175712</t>
  </si>
  <si>
    <t>0.06908735947439533</t>
  </si>
  <si>
    <t>0.031041213750871183</t>
  </si>
  <si>
    <t>0.5609015285973716</t>
  </si>
  <si>
    <t>0.2206432804444257</t>
  </si>
  <si>
    <t>1.4163768968199475</t>
  </si>
  <si>
    <t>0.0667079852728678</t>
  </si>
  <si>
    <t>-0.7380878419566634</t>
  </si>
  <si>
    <t>0.3407453883259933</t>
  </si>
  <si>
    <t>0.9272807097101123</t>
  </si>
  <si>
    <t>-1.0965786252756524</t>
  </si>
  <si>
    <t>0.4541661638875276</t>
  </si>
  <si>
    <t>-0.6059563716565485</t>
  </si>
  <si>
    <t>0.27592913653969475</t>
  </si>
  <si>
    <t>-0.5456076751172698</t>
  </si>
  <si>
    <t>0.06270875486767119</t>
  </si>
  <si>
    <t>0.46531562752901834</t>
  </si>
  <si>
    <t>-0.05312752166895914</t>
  </si>
  <si>
    <t>-0.2716748479747745</t>
  </si>
  <si>
    <t>0.07696445987433989</t>
  </si>
  <si>
    <t>0.4928303624836939</t>
  </si>
  <si>
    <t>-0.23412132917836181</t>
  </si>
  <si>
    <t>-0.4536323399652342</t>
  </si>
  <si>
    <t>0.277611186258999</t>
  </si>
  <si>
    <t>0.24067638813914088</t>
  </si>
  <si>
    <t>-0.16898285300698568</t>
  </si>
  <si>
    <t>0.20000760020854447</t>
  </si>
  <si>
    <t>-0.03372360049166591</t>
  </si>
  <si>
    <t>0.5654009867092515</t>
  </si>
  <si>
    <t>0.2612864231255595</t>
  </si>
  <si>
    <t>0.05354873538650824</t>
  </si>
  <si>
    <t>1.0418765947501867</t>
  </si>
  <si>
    <t>-0.034364807772438666</t>
  </si>
  <si>
    <t>0.255619428645775</t>
  </si>
  <si>
    <t>-0.39134027176134795</t>
  </si>
  <si>
    <t>-0.18684194767913995</t>
  </si>
  <si>
    <t>-0.09509059983984736</t>
  </si>
  <si>
    <t>-0.08362570086244114</t>
  </si>
  <si>
    <t>0.8849657981118351</t>
  </si>
  <si>
    <t>0.11774939726337384</t>
  </si>
  <si>
    <t>1.0704005858472903</t>
  </si>
  <si>
    <t>0.11383713367759452</t>
  </si>
  <si>
    <t>0.4563147768656071</t>
  </si>
  <si>
    <t>0.3864214734302382</t>
  </si>
  <si>
    <t>-0.6170595881911065</t>
  </si>
  <si>
    <t>0.03128227370024685</t>
  </si>
  <si>
    <t>0.8575487443882792</t>
  </si>
  <si>
    <t>0.02012392962031222</t>
  </si>
  <si>
    <t>0.8856670999594393</t>
  </si>
  <si>
    <t>0.510087558142672</t>
  </si>
  <si>
    <t>0.20151575330594348</t>
  </si>
  <si>
    <t>0.0792833815399947</t>
  </si>
  <si>
    <t>-0.23735085551125315</t>
  </si>
  <si>
    <t>-0.571667748435224</t>
  </si>
  <si>
    <t>-1.4518249671370993</t>
  </si>
  <si>
    <t>0.6554694514451742</t>
  </si>
  <si>
    <t>0.8881577303411999</t>
  </si>
  <si>
    <t>-0.636785918597282</t>
  </si>
  <si>
    <t>0.6522539281735281</t>
  </si>
  <si>
    <t>-0.8479847755991037</t>
  </si>
  <si>
    <t>-0.47597512591368</t>
  </si>
  <si>
    <t>-0.012998014456897149</t>
  </si>
  <si>
    <t>0.26539558842633554</t>
  </si>
  <si>
    <t>-0.9032128242058108</t>
  </si>
  <si>
    <t>0.17658906011110306</t>
  </si>
  <si>
    <t>0.5403125964544248</t>
  </si>
  <si>
    <t>-0.26450946713328144</t>
  </si>
  <si>
    <t>0.24932956601055117</t>
  </si>
  <si>
    <t>-0.3954720981872058</t>
  </si>
  <si>
    <t>-0.22018516162564084</t>
  </si>
  <si>
    <t>0.05122916098578275</t>
  </si>
  <si>
    <t>0.2203301960503086</t>
  </si>
  <si>
    <t>0.7394423529049492</t>
  </si>
  <si>
    <t>-0.6951838961391634</t>
  </si>
  <si>
    <t>0.6204979502047989</t>
  </si>
  <si>
    <t>-0.9339725790783936</t>
  </si>
  <si>
    <t>0.5037245724896865</t>
  </si>
  <si>
    <t>0.19547348380096918</t>
  </si>
  <si>
    <t>0.2581722844795851</t>
  </si>
  <si>
    <t>0.9285809811211826</t>
  </si>
  <si>
    <t>-0.26453553224263093</t>
  </si>
  <si>
    <t>0.8870228657263264</t>
  </si>
  <si>
    <t>-0.02966887801005404</t>
  </si>
  <si>
    <t>-0.05807618715652855</t>
  </si>
  <si>
    <t>0.009589082239980945</t>
  </si>
  <si>
    <t>-0.5582254606876045</t>
  </si>
  <si>
    <t>-0.7283527240823198</t>
  </si>
  <si>
    <t>-0.8919196661324831</t>
  </si>
  <si>
    <t>-0.14548671393630364</t>
  </si>
  <si>
    <t>-0.1938784209230789</t>
  </si>
  <si>
    <t>-1.0885348194999407</t>
  </si>
  <si>
    <t>0.2923634259285946</t>
  </si>
  <si>
    <t>-0.11850693808172261</t>
  </si>
  <si>
    <t>1.155973138974774</t>
  </si>
  <si>
    <t>-0.16637246535613426</t>
  </si>
  <si>
    <t>0.7890207799132063</t>
  </si>
  <si>
    <t>-0.33497555541332447</t>
  </si>
  <si>
    <t>-1.1593837583551523</t>
  </si>
  <si>
    <t>1.4829315339304667</t>
  </si>
  <si>
    <t>-0.20107730356084272</t>
  </si>
  <si>
    <t>0.29726570675238434</t>
  </si>
  <si>
    <t>0.01830021893128191</t>
  </si>
  <si>
    <t>0.23542452748629264</t>
  </si>
  <si>
    <t>0.9269457452090044</t>
  </si>
  <si>
    <t>0.046770027889308875</t>
  </si>
  <si>
    <t>0.43430421483712933</t>
  </si>
  <si>
    <t>-0.2887058972724681</t>
  </si>
  <si>
    <t>-0.05373568561000257</t>
  </si>
  <si>
    <t>1.1685448007343777</t>
  </si>
  <si>
    <t>-0.1966955835671758</t>
  </si>
  <si>
    <t>-0.035752855228087264</t>
  </si>
  <si>
    <t>0.5642157866919382</t>
  </si>
  <si>
    <t>-0.26815834491080426</t>
  </si>
  <si>
    <t>-0.14701567426473827</t>
  </si>
  <si>
    <t>0.06428794622374598</t>
  </si>
  <si>
    <t>0.5563459531196479</t>
  </si>
  <si>
    <t>0.20034754797351978</t>
  </si>
  <si>
    <t>0.20865688667590498</t>
  </si>
  <si>
    <t>0.639585360028646</t>
  </si>
  <si>
    <t>-0.0884930991188766</t>
  </si>
  <si>
    <t>-0.7183094034324742</t>
  </si>
  <si>
    <t>-0.3635944018533279</t>
  </si>
  <si>
    <t>0.192065476556137</t>
  </si>
  <si>
    <t>-0.47346055130602666</t>
  </si>
  <si>
    <t>0.1343076805000856</t>
  </si>
  <si>
    <t>1.053327638613302</t>
  </si>
  <si>
    <t>0.750963823078466</t>
  </si>
  <si>
    <t>0.26393052079872215</t>
  </si>
  <si>
    <t>-0.35958191155390457</t>
  </si>
  <si>
    <t>-0.2518423139786607</t>
  </si>
  <si>
    <t>-0.21174972403684764</t>
  </si>
  <si>
    <t>-0.6949582610368472</t>
  </si>
  <si>
    <t>-0.21979985703821683</t>
  </si>
  <si>
    <t>1.5899354745986252</t>
  </si>
  <si>
    <t>-0.14663863292502471</t>
  </si>
  <si>
    <t>-0.538595830362121</t>
  </si>
  <si>
    <t>0.06618774571427163</t>
  </si>
  <si>
    <t>0.7235100883428227</t>
  </si>
  <si>
    <t>-0.29593583685403346</t>
  </si>
  <si>
    <t>-0.007506321794887512</t>
  </si>
  <si>
    <t>0.3293983035414224</t>
  </si>
  <si>
    <t>-0.21889326825878033</t>
  </si>
  <si>
    <t>-0.17536589644897085</t>
  </si>
  <si>
    <t>-0.45137766204981644</t>
  </si>
  <si>
    <t>0.12055686809325893</t>
  </si>
  <si>
    <t>0.3600290191169884</t>
  </si>
  <si>
    <t>-0.7938751180835414</t>
  </si>
  <si>
    <t>0.1614295920954824</t>
  </si>
  <si>
    <t>-0.09206710410587128</t>
  </si>
  <si>
    <t>-0.13478339154781252</t>
  </si>
  <si>
    <t>0.17087893995442976</t>
  </si>
  <si>
    <t>-0.8115521610263018</t>
  </si>
  <si>
    <t>-0.181265287645648</t>
  </si>
  <si>
    <t>0.4108757306865703</t>
  </si>
  <si>
    <t>-0.8814634621928636</t>
  </si>
  <si>
    <t>-0.15878035135148638</t>
  </si>
  <si>
    <t>-0.06580407989315645</t>
  </si>
  <si>
    <t>0.3388127037577959</t>
  </si>
  <si>
    <t>-0.20326023138570423</t>
  </si>
  <si>
    <t>0.28469074930850596</t>
  </si>
  <si>
    <t>0.7497478991878993</t>
  </si>
  <si>
    <t>0.85434783799197</t>
  </si>
  <si>
    <t>0.1914754862275563</t>
  </si>
  <si>
    <t>0.07965237475676198</t>
  </si>
  <si>
    <t>-0.1385773241396569</t>
  </si>
  <si>
    <t>0.5605830451803736</t>
  </si>
  <si>
    <t>-0.3328302010285039</t>
  </si>
  <si>
    <t>-0.08057951645832322</t>
  </si>
  <si>
    <t>-0.5113197198029396</t>
  </si>
  <si>
    <t>0.7529496216615642</t>
  </si>
  <si>
    <t>-0.0941105577146484</t>
  </si>
  <si>
    <t>0.0022561397756318013</t>
  </si>
  <si>
    <t>-0.14703288323368044</t>
  </si>
  <si>
    <t>0.23626710495420739</t>
  </si>
  <si>
    <t>0.8340675786828669</t>
  </si>
  <si>
    <t>0.044038029543487886</t>
  </si>
  <si>
    <t>-0.20769724528905883</t>
  </si>
  <si>
    <t>0.14089372363968466</t>
  </si>
  <si>
    <t>0.37212475612355533</t>
  </si>
  <si>
    <t>-0.19730298394624174</t>
  </si>
  <si>
    <t>0.023755314262237173</t>
  </si>
  <si>
    <t>0.7348788356137897</t>
  </si>
  <si>
    <t>-0.7151501300911018</t>
  </si>
  <si>
    <t>-0.6709061074356073</t>
  </si>
  <si>
    <t>-0.5705105773141862</t>
  </si>
  <si>
    <t>1.0122554825637775</t>
  </si>
  <si>
    <t>0.05527022650923545</t>
  </si>
  <si>
    <t>-1.1959369550872925</t>
  </si>
  <si>
    <t>-0.13087468798008642</t>
  </si>
  <si>
    <t>0.11006455681241889</t>
  </si>
  <si>
    <t>0.4879380143674704</t>
  </si>
  <si>
    <t>-0.30554278519951417</t>
  </si>
  <si>
    <t>-0.6297981840647535</t>
  </si>
  <si>
    <t>-0.6673887268307435</t>
  </si>
  <si>
    <t>-0.11762736570274905</t>
  </si>
  <si>
    <t>-0.35691248109799123</t>
  </si>
  <si>
    <t>-0.036434271431275346</t>
  </si>
  <si>
    <t>-0.528146166478241</t>
  </si>
  <si>
    <t>0.3787499035868612</t>
  </si>
  <si>
    <t>-0.8508488160417954</t>
  </si>
  <si>
    <t>0.09612806866419939</t>
  </si>
  <si>
    <t>-0.29421443465369496</t>
  </si>
  <si>
    <t>0.5358139067321246</t>
  </si>
  <si>
    <t>-0.34199670803120186</t>
  </si>
  <si>
    <t>-0.7638143349508457</t>
  </si>
  <si>
    <t>-0.3383858877671402</t>
  </si>
  <si>
    <t>-0.10310955929294448</t>
  </si>
  <si>
    <t>-0.03206444687237616</t>
  </si>
  <si>
    <t>1.0181329743478589</t>
  </si>
  <si>
    <t>-0.07549598021190679</t>
  </si>
  <si>
    <t>-0.5354274058394398</t>
  </si>
  <si>
    <t>0.10954195508434394</t>
  </si>
  <si>
    <t>1.1243769577838563</t>
  </si>
  <si>
    <t>-0.5542402794279848</t>
  </si>
  <si>
    <t>-0.1483329207699867</t>
  </si>
  <si>
    <t>-0.28680642037198034</t>
  </si>
  <si>
    <t>0.42408839672051696</t>
  </si>
  <si>
    <t>-0.1705568069271779</t>
  </si>
  <si>
    <t>-0.524833283748228</t>
  </si>
  <si>
    <t>1.2175924620365266</t>
  </si>
  <si>
    <t>-0.3983981309739142</t>
  </si>
  <si>
    <t>-0.5898762535033452</t>
  </si>
  <si>
    <t>0.6125919540030093</t>
  </si>
  <si>
    <t>-0.5919395084314983</t>
  </si>
  <si>
    <t>-0.65588960634398</t>
  </si>
  <si>
    <t>0.027583142569123382</t>
  </si>
  <si>
    <t>-2.5325101011123876</t>
  </si>
  <si>
    <t>0.34965941650003607</t>
  </si>
  <si>
    <t>-0.8533167551359897</t>
  </si>
  <si>
    <t>0.009584079600110549</t>
  </si>
  <si>
    <t>0.15303250892987766</t>
  </si>
  <si>
    <t>0.7134382774119483</t>
  </si>
  <si>
    <t>-0.7121440073185578</t>
  </si>
  <si>
    <t>0.6561433379499685</t>
  </si>
  <si>
    <t>-0.46897321095100575</t>
  </si>
  <si>
    <t>-0.22433407664890728</t>
  </si>
  <si>
    <t>0.7669952355062535</t>
  </si>
  <si>
    <t>0.9479484392190098</t>
  </si>
  <si>
    <t>-0.8340903674651078</t>
  </si>
  <si>
    <t>-0.4190047542403205</t>
  </si>
  <si>
    <t>0.39772067132441624</t>
  </si>
  <si>
    <t>-0.5377745569029456</t>
  </si>
  <si>
    <t>-1.099482736324049</t>
  </si>
  <si>
    <t>0.2590494844744572</t>
  </si>
  <si>
    <t>-0.11757424429542503</t>
  </si>
  <si>
    <t>0.23127985890892905</t>
  </si>
  <si>
    <t>-0.1538680762609599</t>
  </si>
  <si>
    <t>0.08262772599409332</t>
  </si>
  <si>
    <t>-0.4269825165873427</t>
  </si>
  <si>
    <t>0.3853724964954741</t>
  </si>
  <si>
    <t>-1.4435445087836938</t>
  </si>
  <si>
    <t>0.06744268822338917</t>
  </si>
  <si>
    <t>-0.5719428642460352</t>
  </si>
  <si>
    <t>-0.2788911026577835</t>
  </si>
  <si>
    <t>1.5986722240820943</t>
  </si>
  <si>
    <t>0.6072739399604415</t>
  </si>
  <si>
    <t>0.2876012232310055</t>
  </si>
  <si>
    <t>-0.43504156286055684</t>
  </si>
  <si>
    <t>1.0492200067299866</t>
  </si>
  <si>
    <t>-0.5375989564518815</t>
  </si>
  <si>
    <t>0.673986999173794</t>
  </si>
  <si>
    <t>-0.6623590990097022</t>
  </si>
  <si>
    <t>-0.6765645064287349</t>
  </si>
  <si>
    <t>0.26540046701911196</t>
  </si>
  <si>
    <t>0.6720409118436009</t>
  </si>
  <si>
    <t>0.06752212544056985</t>
  </si>
  <si>
    <t>-0.6587395243891231</t>
  </si>
  <si>
    <t>-0.10382483827355694</t>
  </si>
  <si>
    <t>-0.7352270855443228</t>
  </si>
  <si>
    <t>-0.4676310031733373</t>
  </si>
  <si>
    <t>-0.6204207800740552</t>
  </si>
  <si>
    <t>0.8183399913745071</t>
  </si>
  <si>
    <t>-0.5774619658939535</t>
  </si>
  <si>
    <t>0.031270683647274714</t>
  </si>
  <si>
    <t>-1.1337644642053564</t>
  </si>
  <si>
    <t>-0.07298950811585266</t>
  </si>
  <si>
    <t>-0.4281260409354132</t>
  </si>
  <si>
    <t>0.4029977048193286</t>
  </si>
  <si>
    <t>-1.2754193830071172</t>
  </si>
  <si>
    <t>1.552368095160616</t>
  </si>
  <si>
    <t>0.531791525801763</t>
  </si>
  <si>
    <t>-1.2520615211151978</t>
  </si>
  <si>
    <t>-0.4101163179202074</t>
  </si>
  <si>
    <t>-1.0226613212890363</t>
  </si>
  <si>
    <t>-0.3194284068206986</t>
  </si>
  <si>
    <t>0.12815630802556957</t>
  </si>
  <si>
    <t>-1.7422958849923682</t>
  </si>
  <si>
    <t>1.4042549959994026</t>
  </si>
  <si>
    <t>0.3699891098245471</t>
  </si>
  <si>
    <t>0.5631063960674642</t>
  </si>
  <si>
    <t>0.5151174950072018</t>
  </si>
  <si>
    <t>0.27082914028718497</t>
  </si>
  <si>
    <t>-0.379281982949485</t>
  </si>
  <si>
    <t>-0.2460297417289694</t>
  </si>
  <si>
    <t>0.40272639863137333</t>
  </si>
  <si>
    <t>0.4407182771534888</t>
  </si>
  <si>
    <t>-0.16638087377272867</t>
  </si>
  <si>
    <t>-0.830261929823727</t>
  </si>
  <si>
    <t>0.30831682382473735</t>
  </si>
  <si>
    <t>1.4513630134827946</t>
  </si>
  <si>
    <t>-0.7134288174843435</t>
  </si>
  <si>
    <t>0.053667911805290854</t>
  </si>
  <si>
    <t>-0.7954133375864196</t>
  </si>
  <si>
    <t>0.2607746740753018</t>
  </si>
  <si>
    <t>-0.04091914782671228</t>
  </si>
  <si>
    <t>-0.2119534361428876</t>
  </si>
  <si>
    <t>0.00718106915654246</t>
  </si>
  <si>
    <t>0.36207019206382585</t>
  </si>
  <si>
    <t>-0.7779679949751679</t>
  </si>
  <si>
    <t>-0.337121331056998</t>
  </si>
  <si>
    <t>-0.1431723952535476</t>
  </si>
  <si>
    <t>-0.6575051361339506</t>
  </si>
  <si>
    <t>0.7589280038965371</t>
  </si>
  <si>
    <t>-0.41276923697120993</t>
  </si>
  <si>
    <t>-0.3538034992108215</t>
  </si>
  <si>
    <t>-0.14006215134014302</t>
  </si>
  <si>
    <t>0.7857984498817091</t>
  </si>
  <si>
    <t>0.2411591975170436</t>
  </si>
  <si>
    <t>0.1617257151467719</t>
  </si>
  <si>
    <t>0.3374098402865084</t>
  </si>
  <si>
    <t>0.4915737163304899</t>
  </si>
  <si>
    <t>0.5013708446238486</t>
  </si>
  <si>
    <t>-0.8335382227710638</t>
  </si>
  <si>
    <t>-0.40618432432621915</t>
  </si>
  <si>
    <t>-0.6664257342634136</t>
  </si>
  <si>
    <t>-0.09092116600092723</t>
  </si>
  <si>
    <t>1.2074092057734958</t>
  </si>
  <si>
    <t>-0.28377127199718605</t>
  </si>
  <si>
    <t>0.26574449880192413</t>
  </si>
  <si>
    <t>-0.4370825177326734</t>
  </si>
  <si>
    <t>-0.6541319875580434</t>
  </si>
  <si>
    <t>-0.44963891377909715</t>
  </si>
  <si>
    <t>0.21288568384506967</t>
  </si>
  <si>
    <t>-1.352034114644411</t>
  </si>
  <si>
    <t>0.388268755334351</t>
  </si>
  <si>
    <t>0.9766599823980284</t>
  </si>
  <si>
    <t>0.5645531094410743</t>
  </si>
  <si>
    <t>0.4556904531241663</t>
  </si>
  <si>
    <t>0.2051569654865796</t>
  </si>
  <si>
    <t>0.37275040223240125</t>
  </si>
  <si>
    <t>-0.5104996154325976</t>
  </si>
  <si>
    <t>-1.0455568685206924</t>
  </si>
  <si>
    <t>-0.025772586675607962</t>
  </si>
  <si>
    <t>0.4240517136997465</t>
  </si>
  <si>
    <t>-0.626539132338386</t>
  </si>
  <si>
    <t>1.387850330463532</t>
  </si>
  <si>
    <t>0.1921260193702846</t>
  </si>
  <si>
    <t>0.1020938051890011</t>
  </si>
  <si>
    <t>-0.14889472516714608</t>
  </si>
  <si>
    <t>-0.7363789552949126</t>
  </si>
  <si>
    <t>-0.31543011480806343</t>
  </si>
  <si>
    <t>0.6305602107616565</t>
  </si>
  <si>
    <t>-0.6820500699387694</t>
  </si>
  <si>
    <t>0.32266073961259845</t>
  </si>
  <si>
    <t>-0.5111149668955487</t>
  </si>
  <si>
    <t>-1.1647967044507934</t>
  </si>
  <si>
    <t>-0.1461707382934359</t>
  </si>
  <si>
    <t>0.2503813909776446</t>
  </si>
  <si>
    <t>0.21875855592491897</t>
  </si>
  <si>
    <t>0.054582885177572496</t>
  </si>
  <si>
    <t>0.10068135014367424</t>
  </si>
  <si>
    <t>-0.16891407098930517</t>
  </si>
  <si>
    <t>0.23318062438156864</t>
  </si>
  <si>
    <t>-0.7550608850348585</t>
  </si>
  <si>
    <t>-0.4595624265181165</t>
  </si>
  <si>
    <t>0.3312904095786332</t>
  </si>
  <si>
    <t>-0.2552188197537844</t>
  </si>
  <si>
    <t>-0.3235370754277198</t>
  </si>
  <si>
    <t>0.4345415477854255</t>
  </si>
  <si>
    <t>-0.4821040901633534</t>
  </si>
  <si>
    <t>0.4110916177702741</t>
  </si>
  <si>
    <t>0.1848972544175103</t>
  </si>
  <si>
    <t>-0.30830592950401986</t>
  </si>
  <si>
    <t>-0.7306988755525707</t>
  </si>
  <si>
    <t>0.14756049837317606</t>
  </si>
  <si>
    <t>-0.5155792068891352</t>
  </si>
  <si>
    <t>0.30487393001186225</t>
  </si>
  <si>
    <t>-0.14623033376938382</t>
  </si>
  <si>
    <t>-0.2992534538756449</t>
  </si>
  <si>
    <t>0.2770460641350972</t>
  </si>
  <si>
    <t>0.04960986580784136</t>
  </si>
  <si>
    <t>-0.3119397535767016</t>
  </si>
  <si>
    <t>-1.5292374058149039</t>
  </si>
  <si>
    <t>-0.3495072082417521</t>
  </si>
  <si>
    <t>0.42848765460095145</t>
  </si>
  <si>
    <t>0.7694203372469663</t>
  </si>
  <si>
    <t>-0.40144918518446326</t>
  </si>
  <si>
    <t>-0.6973166560855495</t>
  </si>
  <si>
    <t>1.0632714430084818</t>
  </si>
  <si>
    <t>0.7311876623839437</t>
  </si>
  <si>
    <t>0.8862319065849605</t>
  </si>
  <si>
    <t>-0.14393858348272273</t>
  </si>
  <si>
    <t>0.05818947577777153</t>
  </si>
  <si>
    <t>0.056414549119292105</t>
  </si>
  <si>
    <t>-0.45896774146102015</t>
  </si>
  <si>
    <t>0.3410536673520418</t>
  </si>
  <si>
    <t>-0.07884058949386681</t>
  </si>
  <si>
    <t>-0.14685380106301787</t>
  </si>
  <si>
    <t>-0.5470875063303137</t>
  </si>
  <si>
    <t>0.6342715164706618</t>
  </si>
  <si>
    <t>-0.46276510809147253</t>
  </si>
  <si>
    <t>0.6837124294844128</t>
  </si>
  <si>
    <t>-0.17445923417782996</t>
  </si>
  <si>
    <t>-0.40301311844961857</t>
  </si>
  <si>
    <t>-0.1815975585749089</t>
  </si>
  <si>
    <t>-0.3845956520849707</t>
  </si>
  <si>
    <t>0.43681064786691903</t>
  </si>
  <si>
    <t>-0.28553416965840595</t>
  </si>
  <si>
    <t>0.04419063533397219</t>
  </si>
  <si>
    <t>0.1114744544713042</t>
  </si>
  <si>
    <t>-0.29712046638119066</t>
  </si>
  <si>
    <t>-0.6078733543825902</t>
  </si>
  <si>
    <t>0.07356391456760654</t>
  </si>
  <si>
    <t>0.2754676426562227</t>
  </si>
  <si>
    <t>0.8993370539728983</t>
  </si>
  <si>
    <t>-0.9159689058418198</t>
  </si>
  <si>
    <t>0.15990138643278906</t>
  </si>
  <si>
    <t>0.4010656238498031</t>
  </si>
  <si>
    <t>-0.03217143891687322</t>
  </si>
  <si>
    <t>-0.579159812296008</t>
  </si>
  <si>
    <t>-0.5223776302920728</t>
  </si>
  <si>
    <t>-0.5819430181344131</t>
  </si>
  <si>
    <t>-0.33412895632396883</t>
  </si>
  <si>
    <t>-1.135299464689558</t>
  </si>
  <si>
    <t>-0.41729676447381464</t>
  </si>
  <si>
    <t>-0.1400625667482629</t>
  </si>
  <si>
    <t>0.4740104080538536</t>
  </si>
  <si>
    <t>-0.42435849268798975</t>
  </si>
  <si>
    <t>-0.1258990684680852</t>
  </si>
  <si>
    <t>1.0042317206657332</t>
  </si>
  <si>
    <t>-0.34159375294868266</t>
  </si>
  <si>
    <t>-0.7028027609940853</t>
  </si>
  <si>
    <t>0.25519062268022397</t>
  </si>
  <si>
    <t>-0.09780397748190967</t>
  </si>
  <si>
    <t>0.45457400452682617</t>
  </si>
  <si>
    <t>0.923199498754767</t>
  </si>
  <si>
    <t>-1.0237789612884811</t>
  </si>
  <si>
    <t>-0.5152393746696509</t>
  </si>
  <si>
    <t>0.5554580370570219</t>
  </si>
  <si>
    <t>-0.5349152552456371</t>
  </si>
  <si>
    <t>-0.5960183806475795</t>
  </si>
  <si>
    <t>0.5062704980431776</t>
  </si>
  <si>
    <t>-0.49894864942985945</t>
  </si>
  <si>
    <t>-0.4834366771512111</t>
  </si>
  <si>
    <t>-0.4254643638331488</t>
  </si>
  <si>
    <t>-0.4921615704540699</t>
  </si>
  <si>
    <t>0.5035374713116817</t>
  </si>
  <si>
    <t>-1.291085422681021</t>
  </si>
  <si>
    <t>0.6961656591975147</t>
  </si>
  <si>
    <t>0.09338767153925043</t>
  </si>
  <si>
    <t>0.5105185333238637</t>
  </si>
  <si>
    <t>-0.2629345710368857</t>
  </si>
  <si>
    <t>0.05706115043483436</t>
  </si>
  <si>
    <t>0.19603571048923352</t>
  </si>
  <si>
    <t>-0.025736386426934876</t>
  </si>
  <si>
    <t>-0.36948245293720516</t>
  </si>
  <si>
    <t>-0.33680438290095605</t>
  </si>
  <si>
    <t>-0.2746183737309788</t>
  </si>
  <si>
    <t>0.06296665506939038</t>
  </si>
  <si>
    <t>-0.4641063837737724</t>
  </si>
  <si>
    <t>-0.9992561222092411</t>
  </si>
  <si>
    <t>0.6701377016812188</t>
  </si>
  <si>
    <t>0.43220526541166804</t>
  </si>
  <si>
    <t>0.5851481601348966</t>
  </si>
  <si>
    <t>-0.08930277613087316</t>
  </si>
  <si>
    <t>-0.14252479342143137</t>
  </si>
  <si>
    <t>-0.5703084758502528</t>
  </si>
  <si>
    <t>-0.345622841554247</t>
  </si>
  <si>
    <t>2.0998445438581195</t>
  </si>
  <si>
    <t>-0.044863652356962984</t>
  </si>
  <si>
    <t>-0.113862066782887</t>
  </si>
  <si>
    <t>0.17085446877010999</t>
  </si>
  <si>
    <t>-0.4789132956238969</t>
  </si>
  <si>
    <t>-0.38309905838429303</t>
  </si>
  <si>
    <t>-0.0371390798381122</t>
  </si>
  <si>
    <t>-0.3250615114529164</t>
  </si>
  <si>
    <t>-0.5152448988547249</t>
  </si>
  <si>
    <t>-0.9235204669667062</t>
  </si>
  <si>
    <t>0.04509602638432007</t>
  </si>
  <si>
    <t>0.21856309222407827</t>
  </si>
  <si>
    <t>-0.3404066233973422</t>
  </si>
  <si>
    <t>0.4155872897797448</t>
  </si>
  <si>
    <t>0.6466429919912</t>
  </si>
  <si>
    <t>-0.12273494321793009</t>
  </si>
  <si>
    <t>0.23589070394954387</t>
  </si>
  <si>
    <t>0.43137778503899404</t>
  </si>
  <si>
    <t>2.3887565366031147</t>
  </si>
  <si>
    <t>0.12602459201361968</t>
  </si>
  <si>
    <t>-0.4701978555110464</t>
  </si>
  <si>
    <t>-0.08941652948238202</t>
  </si>
  <si>
    <t>-1.1411216232636912</t>
  </si>
  <si>
    <t>0.05669252844375673</t>
  </si>
  <si>
    <t>0.07299584526564486</t>
  </si>
  <si>
    <t>-0.1248507892857013</t>
  </si>
  <si>
    <t>-0.3678498691724056</t>
  </si>
  <si>
    <t>-0.6815741516144759</t>
  </si>
  <si>
    <t>-0.4229798095384209</t>
  </si>
  <si>
    <t>0.18352008335907086</t>
  </si>
  <si>
    <t>-0.3409865012626596</t>
  </si>
  <si>
    <t>0.29257277512616287</t>
  </si>
  <si>
    <t>-0.21722862346928776</t>
  </si>
  <si>
    <t>-0.0879712935028983</t>
  </si>
  <si>
    <t>-0.1486322994685146</t>
  </si>
  <si>
    <t>-0.43766166523059297</t>
  </si>
  <si>
    <t>0.46923248764123404</t>
  </si>
  <si>
    <t>-0.42078166338444595</t>
  </si>
  <si>
    <t>0.3637454867946627</t>
  </si>
  <si>
    <t>0.6477662338627543</t>
  </si>
  <si>
    <t>0.3479065723617062</t>
  </si>
  <si>
    <t>0.05092370248180104</t>
  </si>
  <si>
    <t>0.29655837972251375</t>
  </si>
  <si>
    <t>0.6455198006369878</t>
  </si>
  <si>
    <t>-1.7075035088470376</t>
  </si>
  <si>
    <t>0.8267357618771747</t>
  </si>
  <si>
    <t>-0.40331303093238985</t>
  </si>
  <si>
    <t>-0.26245904559962663</t>
  </si>
  <si>
    <t>0.23581954250727982</t>
  </si>
  <si>
    <t>-0.7021977902644114</t>
  </si>
  <si>
    <t>0.3833872326484106</t>
  </si>
  <si>
    <t>0.2341976161553582</t>
  </si>
  <si>
    <t>0.2510909230985045</t>
  </si>
  <si>
    <t>0.26420573321307167</t>
  </si>
  <si>
    <t>0.28173450671094846</t>
  </si>
  <si>
    <t>-0.7982124428547884</t>
  </si>
  <si>
    <t>-0.7429689333057612</t>
  </si>
  <si>
    <t>0.9874718235454105</t>
  </si>
  <si>
    <t>-0.41074537820711754</t>
  </si>
  <si>
    <t>-0.7452437952117462</t>
  </si>
  <si>
    <t>0.10785795644856573</t>
  </si>
  <si>
    <t>0.18787277989773685</t>
  </si>
  <si>
    <t>0.0787262535050341</t>
  </si>
  <si>
    <t>-0.12456783025570346</t>
  </si>
  <si>
    <t>-0.34821916535769254</t>
  </si>
  <si>
    <t>-0.4293083735112516</t>
  </si>
  <si>
    <t>-0.29323827800064617</t>
  </si>
  <si>
    <t>-0.17853335407960422</t>
  </si>
  <si>
    <t>0.587311347521922</t>
  </si>
  <si>
    <t>0.39755691239468777</t>
  </si>
  <si>
    <t>-0.18032761504106193</t>
  </si>
  <si>
    <t>0.3564373856906334</t>
  </si>
  <si>
    <t>-0.12464691863798216</t>
  </si>
  <si>
    <t>0.28893866620255704</t>
  </si>
  <si>
    <t>-0.11333303587313615</t>
  </si>
  <si>
    <t>0.2187031671970065</t>
  </si>
  <si>
    <t>-0.358224154134647</t>
  </si>
  <si>
    <t>-0.2328437969877466</t>
  </si>
  <si>
    <t>-0.5324120993809693</t>
  </si>
  <si>
    <t>1.011227447224831</t>
  </si>
  <si>
    <t>-0.8202569288881055</t>
  </si>
  <si>
    <t>0.016777692664210465</t>
  </si>
  <si>
    <t>0.2169523258288961</t>
  </si>
  <si>
    <t>0.6831282501115661</t>
  </si>
  <si>
    <t>-1.8903741157245857</t>
  </si>
  <si>
    <t>-0.5979696625996128</t>
  </si>
  <si>
    <t>-0.15688533513689162</t>
  </si>
  <si>
    <t>1.4122648018701949</t>
  </si>
  <si>
    <t>0.008659705828226675</t>
  </si>
  <si>
    <t>-0.08120936076463536</t>
  </si>
  <si>
    <t>-0.2864465122229969</t>
  </si>
  <si>
    <t>-0.05103709258296012</t>
  </si>
  <si>
    <t>0.870801495887301</t>
  </si>
  <si>
    <t>-0.17644646212376255</t>
  </si>
  <si>
    <t>0.12068212243074461</t>
  </si>
  <si>
    <t>-0.41394878167787347</t>
  </si>
  <si>
    <t>-0.3265727454501294</t>
  </si>
  <si>
    <t>0.4001812870153942</t>
  </si>
  <si>
    <t>-0.11211518919793324</t>
  </si>
  <si>
    <t>0.8084543909044911</t>
  </si>
  <si>
    <t>-0.5745505747888241</t>
  </si>
  <si>
    <t>0.5905708556901285</t>
  </si>
  <si>
    <t>0.25224083158651317</t>
  </si>
  <si>
    <t>0.08409937745173617</t>
  </si>
  <si>
    <t>-0.08009973555322039</t>
  </si>
  <si>
    <t>0.1117959544850634</t>
  </si>
  <si>
    <t>-0.22301747958100773</t>
  </si>
  <si>
    <t>0.7074331699175795</t>
  </si>
  <si>
    <t>-0.15400020531586525</t>
  </si>
  <si>
    <t>0.6012572653296879</t>
  </si>
  <si>
    <t>0.44809345892713154</t>
  </si>
  <si>
    <t>1.0135905731049077</t>
  </si>
  <si>
    <t>-0.18013113877556491</t>
  </si>
  <si>
    <t>0.8013712178877125</t>
  </si>
  <si>
    <t>0.2008372476781158</t>
  </si>
  <si>
    <t>0.13348671264561804</t>
  </si>
  <si>
    <t>-0.6947778915339122</t>
  </si>
  <si>
    <t>0.348634502871107</t>
  </si>
  <si>
    <t>0.18486060666765117</t>
  </si>
  <si>
    <t>-0.046002600358068094</t>
  </si>
  <si>
    <t>0.06042355441554978</t>
  </si>
  <si>
    <t>-0.5770688546218652</t>
  </si>
  <si>
    <t>0.5935133868629768</t>
  </si>
  <si>
    <t>-1.1361304598111852</t>
  </si>
  <si>
    <t>0.5449212911876764</t>
  </si>
  <si>
    <t>-0.5732044571557221</t>
  </si>
  <si>
    <t>0.0032610966691201046</t>
  </si>
  <si>
    <t>-0.01625546658145034</t>
  </si>
  <si>
    <t>-0.5509801918528864</t>
  </si>
  <si>
    <t>-0.3581183876241758</t>
  </si>
  <si>
    <t>-0.19600544660072447</t>
  </si>
  <si>
    <t>0.025580743882851913</t>
  </si>
  <si>
    <t>-0.15448037721649568</t>
  </si>
  <si>
    <t>0.6594352131159478</t>
  </si>
  <si>
    <t>0.6815888063244556</t>
  </si>
  <si>
    <t>-0.5339438847020511</t>
  </si>
  <si>
    <t>0.992324680807562</t>
  </si>
  <si>
    <t>-0.5007619017955602</t>
  </si>
  <si>
    <t>0.22886790886375602</t>
  </si>
  <si>
    <t>0.287719932062684</t>
  </si>
  <si>
    <t>-0.6334458259040114</t>
  </si>
  <si>
    <t>0.16445940567715622</t>
  </si>
  <si>
    <t>0.07902752272331885</t>
  </si>
  <si>
    <t>-0.5280962928516529</t>
  </si>
  <si>
    <t>-0.36914281336073257</t>
  </si>
  <si>
    <t>0.31420902859711664</t>
  </si>
  <si>
    <t>-0.09183540353892236</t>
  </si>
  <si>
    <t>-1.0001355984976932</t>
  </si>
  <si>
    <t>-3.0151480679093092</t>
  </si>
  <si>
    <t>-0.31550098451462216</t>
  </si>
  <si>
    <t>-0.4930593302408942</t>
  </si>
  <si>
    <t>-0.2670723280417892</t>
  </si>
  <si>
    <t>0.5022869154682432</t>
  </si>
  <si>
    <t>-0.1501611946769195</t>
  </si>
  <si>
    <t>0.4182108576758262</t>
  </si>
  <si>
    <t>-0.026190902785279625</t>
  </si>
  <si>
    <t>-0.38069736521216424</t>
  </si>
  <si>
    <t>-0.03974380988885647</t>
  </si>
  <si>
    <t>-0.3500043819863145</t>
  </si>
  <si>
    <t>0.5206493360215165</t>
  </si>
  <si>
    <t>0.898267084217832</t>
  </si>
  <si>
    <t>0.5622281691802571</t>
  </si>
  <si>
    <t>-1.1638800884976968</t>
  </si>
  <si>
    <t>-0.22366281088266723</t>
  </si>
  <si>
    <t>-0.7288850718586029</t>
  </si>
  <si>
    <t>-0.24106241738128334</t>
  </si>
  <si>
    <t>-0.09032249727418713</t>
  </si>
  <si>
    <t>-0.16319800150591343</t>
  </si>
  <si>
    <t>0.43834324863131946</t>
  </si>
  <si>
    <t>0.8366201246900619</t>
  </si>
  <si>
    <t>-0.23958500164329394</t>
  </si>
  <si>
    <t>0.4295452031180632</t>
  </si>
  <si>
    <t>0.5455122663524142</t>
  </si>
  <si>
    <t>-0.4284228283344492</t>
  </si>
  <si>
    <t>-0.4316250955478511</t>
  </si>
  <si>
    <t>1.2121855582130692</t>
  </si>
  <si>
    <t>-0.08332426902573596</t>
  </si>
  <si>
    <t>0.21141429690811397</t>
  </si>
  <si>
    <t>0.045566132324752005</t>
  </si>
  <si>
    <t>-0.06699472261626485</t>
  </si>
  <si>
    <t>-0.7770622489701217</t>
  </si>
  <si>
    <t>-0.40024670098157483</t>
  </si>
  <si>
    <t>0.38807430467527304</t>
  </si>
  <si>
    <t>-0.20332597024683052</t>
  </si>
  <si>
    <t>-0.05989355662671214</t>
  </si>
  <si>
    <t>1.2296993729976307</t>
  </si>
  <si>
    <t>-0.4161469504524883</t>
  </si>
  <si>
    <t>-0.3470114299553389</t>
  </si>
  <si>
    <t>0.07120394164589589</t>
  </si>
  <si>
    <t>-0.7359271111824138</t>
  </si>
  <si>
    <t>-0.8429641316388742</t>
  </si>
  <si>
    <t>-0.43733675994044646</t>
  </si>
  <si>
    <t>-0.7887559285270964</t>
  </si>
  <si>
    <t>0.2883521585034603</t>
  </si>
  <si>
    <t>0.3450809191046958</t>
  </si>
  <si>
    <t>-0.09290403741024529</t>
  </si>
  <si>
    <t>0.15994290431574013</t>
  </si>
  <si>
    <t>0.6852890059777135</t>
  </si>
  <si>
    <t>-0.35759364811924116</t>
  </si>
  <si>
    <t>-0.10028766083843159</t>
  </si>
  <si>
    <t>0.5951087011372665</t>
  </si>
  <si>
    <t>0.9282496778778772</t>
  </si>
  <si>
    <t>-0.3555896727654504</t>
  </si>
  <si>
    <t>-0.1649594345384476</t>
  </si>
  <si>
    <t>-0.3133361882745846</t>
  </si>
  <si>
    <t>0.6008861924396924</t>
  </si>
  <si>
    <t>-0.029448688080470797</t>
  </si>
  <si>
    <t>-0.10714086507466138</t>
  </si>
  <si>
    <t>-0.17108837311415864</t>
  </si>
  <si>
    <t>-0.4061977483497229</t>
  </si>
  <si>
    <t>-0.39538904622084675</t>
  </si>
  <si>
    <t>0.36780168000543983</t>
  </si>
  <si>
    <t>0.20661751373166312</t>
  </si>
  <si>
    <t>0.7216099727138401</t>
  </si>
  <si>
    <t>0.6221337302905179</t>
  </si>
  <si>
    <t>0.14578723507933966</t>
  </si>
  <si>
    <t>-0.7499316210500604</t>
  </si>
  <si>
    <t>-0.46448136795292744</t>
  </si>
  <si>
    <t>0.46733008569267087</t>
  </si>
  <si>
    <t>-0.9419734600194705</t>
  </si>
  <si>
    <t>-0.04758726935979813</t>
  </si>
  <si>
    <t>0.8676920220455195</t>
  </si>
  <si>
    <t>0.014573419341684256</t>
  </si>
  <si>
    <t>-0.8988089260371361</t>
  </si>
  <si>
    <t>-0.8316239618627261</t>
  </si>
  <si>
    <t>-1.479558881318653</t>
  </si>
  <si>
    <t>-0.04696048715611103</t>
  </si>
  <si>
    <t>0.8520639937780974</t>
  </si>
  <si>
    <t>-0.09210280535005846</t>
  </si>
  <si>
    <t>-1.6604928716071647</t>
  </si>
  <si>
    <t>0.8338164895460362</t>
  </si>
  <si>
    <t>0.0684604503475288</t>
  </si>
  <si>
    <t>-0.09053622949185958</t>
  </si>
  <si>
    <t>-0.23777459847813515</t>
  </si>
  <si>
    <t>-0.19061755836956307</t>
  </si>
  <si>
    <t>-1.1545091601114814</t>
  </si>
  <si>
    <t>0.12116830196666836</t>
  </si>
  <si>
    <t>-0.266607819802486</t>
  </si>
  <si>
    <t>-1.3822538227070134</t>
  </si>
  <si>
    <t>0.7570554500174844</t>
  </si>
  <si>
    <t>0.11153672533496255</t>
  </si>
  <si>
    <t>0.14568796018334398</t>
  </si>
  <si>
    <t>-0.5554100336155009</t>
  </si>
  <si>
    <t>0.1563619304289971</t>
  </si>
  <si>
    <t>0.5665754555545434</t>
  </si>
  <si>
    <t>-0.3818990757833186</t>
  </si>
  <si>
    <t>-0.37623564089973266</t>
  </si>
  <si>
    <t>0.5483548794444899</t>
  </si>
  <si>
    <t>-0.19435603487140496</t>
  </si>
  <si>
    <t>0.020448294419063786</t>
  </si>
  <si>
    <t>0.8096607167595617</t>
  </si>
  <si>
    <t>0.1723343824843519</t>
  </si>
  <si>
    <t>-0.8731913324498536</t>
  </si>
  <si>
    <t>0.9377633144100674</t>
  </si>
  <si>
    <t>0.43883759624024987</t>
  </si>
  <si>
    <t>1.0733078015212818</t>
  </si>
  <si>
    <t>0.4677804035516675</t>
  </si>
  <si>
    <t>0.9423344129201984</t>
  </si>
  <si>
    <t>0.14159433342211938</t>
  </si>
  <si>
    <t>-1.9222068029493682</t>
  </si>
  <si>
    <t>0.7341320063607764</t>
  </si>
  <si>
    <t>-0.2284910394818089</t>
  </si>
  <si>
    <t>0.96467560956252</t>
  </si>
  <si>
    <t>0.8205783997709913</t>
  </si>
  <si>
    <t>0.9849483827316188</t>
  </si>
  <si>
    <t>-1.3454901576866802</t>
  </si>
  <si>
    <t>0.6191049590528968</t>
  </si>
  <si>
    <t>0.16450314059965654</t>
  </si>
  <si>
    <t>-1.1964502917728381</t>
  </si>
  <si>
    <t>-1.53489617442893</t>
  </si>
  <si>
    <t>0.36718275679551904</t>
  </si>
  <si>
    <t>-0.36186214473910894</t>
  </si>
  <si>
    <t>1.3899175470524794</t>
  </si>
  <si>
    <t>-0.5238691959251807</t>
  </si>
  <si>
    <t>-1.3425844662492823</t>
  </si>
  <si>
    <t>0.5307855224551965</t>
  </si>
  <si>
    <t>-1.2677443025121218</t>
  </si>
  <si>
    <t>-0.17892729835052604</t>
  </si>
  <si>
    <t>-0.3833449736737705</t>
  </si>
  <si>
    <t>0.3621456712380993</t>
  </si>
  <si>
    <t>0.3517340330642958</t>
  </si>
  <si>
    <t>-1.6368383964587303</t>
  </si>
  <si>
    <t>0.9059518716862002</t>
  </si>
  <si>
    <t>1.2106917125349763</t>
  </si>
  <si>
    <t>0.34428910785533917</t>
  </si>
  <si>
    <t>-0.4617727033592177</t>
  </si>
  <si>
    <t>0.15968560861186948</t>
  </si>
  <si>
    <t>0.010683685082772116</t>
  </si>
  <si>
    <t>-0.9046131630383523</t>
  </si>
  <si>
    <t>-0.48121492266970095</t>
  </si>
  <si>
    <t>0.23714076597926073</t>
  </si>
  <si>
    <t>0.7360848492707942</t>
  </si>
  <si>
    <t>-0.6388194393995551</t>
  </si>
  <si>
    <t>-0.5066808149879516</t>
  </si>
  <si>
    <t>1.409480289516242</t>
  </si>
  <si>
    <t>-1.1206351461155044</t>
  </si>
  <si>
    <t>0.19691923315313825</t>
  </si>
  <si>
    <t>1.3662951861377732</t>
  </si>
  <si>
    <t>-1.222512652222654</t>
  </si>
  <si>
    <t>0.27876947232187044</t>
  </si>
  <si>
    <t>-0.3844879634894439</t>
  </si>
  <si>
    <t>0.7136170867256183</t>
  </si>
  <si>
    <t>-0.5084003247133604</t>
  </si>
  <si>
    <t>1.614670602585528</t>
  </si>
  <si>
    <t>-0.38190027742129656</t>
  </si>
  <si>
    <t>0.7187221797079495</t>
  </si>
  <si>
    <t>0.8946494411203078</t>
  </si>
  <si>
    <t>0.1711924520480975</t>
  </si>
  <si>
    <t>-1.013008285858994</t>
  </si>
  <si>
    <t>0.030179603802679884</t>
  </si>
  <si>
    <t>0.559999206190498</t>
  </si>
  <si>
    <t>0.5585610523351134</t>
  </si>
  <si>
    <t>-0.5523440189190175</t>
  </si>
  <si>
    <t>1.1367803862959724</t>
  </si>
  <si>
    <t>1.1168331190202014</t>
  </si>
  <si>
    <t>1.1886379590885434</t>
  </si>
  <si>
    <t>-1.8154537654528529</t>
  </si>
  <si>
    <t>-0.3269897881094618</t>
  </si>
  <si>
    <t>0.4540206842221265</t>
  </si>
  <si>
    <t>-0.2951310910082645</t>
  </si>
  <si>
    <t>1.4180236011530758</t>
  </si>
  <si>
    <t>-1.2508362824144656</t>
  </si>
  <si>
    <t>0.8259859027462468</t>
  </si>
  <si>
    <t>0.46564550837862145</t>
  </si>
  <si>
    <t>-1.4722697931022244</t>
  </si>
  <si>
    <t>0.02707602774144506</t>
  </si>
  <si>
    <t>-0.3635432946267531</t>
  </si>
  <si>
    <t>0.49310736569127767</t>
  </si>
  <si>
    <t>-0.9187274596870069</t>
  </si>
  <si>
    <t>-2.3525228283180826</t>
  </si>
  <si>
    <t>1.5021146748402472</t>
  </si>
  <si>
    <t>0.5043543962244452</t>
  </si>
  <si>
    <t>-0.8887976818369757</t>
  </si>
  <si>
    <t>2.2833400324861794</t>
  </si>
  <si>
    <t>-0.33919811693353674</t>
  </si>
  <si>
    <t>0.5641816551633089</t>
  </si>
  <si>
    <t>-1.7004137418003866</t>
  </si>
  <si>
    <t>-1.2415619685538273</t>
  </si>
  <si>
    <t>-1.950890741117525</t>
  </si>
  <si>
    <t>0.5282146942536743</t>
  </si>
  <si>
    <t>1.0445418149933574</t>
  </si>
  <si>
    <t>-0.04774463798340483</t>
  </si>
  <si>
    <t>-0.5367212055885774</t>
  </si>
  <si>
    <t>0.22326180918761618</t>
  </si>
  <si>
    <t>0.7099613414678677</t>
  </si>
  <si>
    <t>0.884520879190158</t>
  </si>
  <si>
    <t>-0.5378566394327491</t>
  </si>
  <si>
    <t>-0.22967148058386547</t>
  </si>
  <si>
    <t>0.1143481423963338</t>
  </si>
  <si>
    <t>-0.10151849503295018</t>
  </si>
  <si>
    <t>0.08637391046172917</t>
  </si>
  <si>
    <t>1.6027443967171642</t>
  </si>
  <si>
    <t>1.2786572906228932</t>
  </si>
  <si>
    <t>0.3091848518446617</t>
  </si>
  <si>
    <t>0.019437619412991124</t>
  </si>
  <si>
    <t>1.1335696637912331</t>
  </si>
  <si>
    <t>0.24019000488568398</t>
  </si>
  <si>
    <t>0.20118405894270974</t>
  </si>
  <si>
    <t>-1.0674053524167406</t>
  </si>
  <si>
    <t>-1.7775785783853635</t>
  </si>
  <si>
    <t>0.8737723053295321</t>
  </si>
  <si>
    <t>-0.442272613195421</t>
  </si>
  <si>
    <t>-0.6423422862891716</t>
  </si>
  <si>
    <t>2.303741678447489</t>
  </si>
  <si>
    <t>-1.694841436785755</t>
  </si>
  <si>
    <t>-0.3486108620953418</t>
  </si>
  <si>
    <t>1.5937741385352517</t>
  </si>
  <si>
    <t>-1.847634491300381</t>
  </si>
  <si>
    <t>-1.3846149961935157</t>
  </si>
  <si>
    <t>0.6233432234938382</t>
  </si>
  <si>
    <t>-0.9030219174892561</t>
  </si>
  <si>
    <t>-1.55482017433182</t>
  </si>
  <si>
    <t>0.5405769272280129</t>
  </si>
  <si>
    <t>0.4637963573278337</t>
  </si>
  <si>
    <t>-0.5869279308449998</t>
  </si>
  <si>
    <t>0.349955104313916</t>
  </si>
  <si>
    <t>0.0977152730820503</t>
  </si>
  <si>
    <t>0.04962602196469224</t>
  </si>
  <si>
    <t>-0.07880363081404716</t>
  </si>
  <si>
    <t>0.738685061220292</t>
  </si>
  <si>
    <t>-0.6961228547071648</t>
  </si>
  <si>
    <t>0.6197451955035469</t>
  </si>
  <si>
    <t>-0.3131410756581368</t>
  </si>
  <si>
    <t>-0.9505789078371607</t>
  </si>
  <si>
    <t>2.0438768137384717</t>
  </si>
  <si>
    <t>-1.3505278450785478</t>
  </si>
  <si>
    <t>0.5565869246442808</t>
  </si>
  <si>
    <t>-0.6904616192545706</t>
  </si>
  <si>
    <t>0.07176657399571333</t>
  </si>
  <si>
    <t>-0.028773420141263786</t>
  </si>
  <si>
    <t>-0.5526892784322807</t>
  </si>
  <si>
    <t>0.009520561130887133</t>
  </si>
  <si>
    <t>-1.1548362715042073</t>
  </si>
  <si>
    <t>-0.416480059383823</t>
  </si>
  <si>
    <t>-0.2162454693730121</t>
  </si>
  <si>
    <t>2.0308746678803913</t>
  </si>
  <si>
    <t>-1.3231277802429502</t>
  </si>
  <si>
    <t>-0.03166623099757541</t>
  </si>
  <si>
    <t>1.4770205996140806</t>
  </si>
  <si>
    <t>-1.3974087444110248</t>
  </si>
  <si>
    <t>0.031826690127258306</t>
  </si>
  <si>
    <t>0.1853444085769466</t>
  </si>
  <si>
    <t>0.3328582071519395</t>
  </si>
  <si>
    <t>-0.9135478383849419</t>
  </si>
  <si>
    <t>1.620790633796683</t>
  </si>
  <si>
    <t>-0.5682411698297112</t>
  </si>
  <si>
    <t>-0.20335967013562278</t>
  </si>
  <si>
    <t>-0.2926314116455438</t>
  </si>
  <si>
    <t>0.016341011366706334</t>
  </si>
  <si>
    <t>-0.1433746044421931</t>
  </si>
  <si>
    <t>-0.11610741403198101</t>
  </si>
  <si>
    <t>-0.6030404839893184</t>
  </si>
  <si>
    <t>0.8548625374828948</t>
  </si>
  <si>
    <t>-1.0112464658391747</t>
  </si>
  <si>
    <t>-0.05268546732116611</t>
  </si>
  <si>
    <t>1.169529598456089</t>
  </si>
  <si>
    <t>-0.9871080553654141</t>
  </si>
  <si>
    <t>-0.4153601510225245</t>
  </si>
  <si>
    <t>0.1435347417201058</t>
  </si>
  <si>
    <t>0.4327244895361416</t>
  </si>
  <si>
    <t>0.31868506994218615</t>
  </si>
  <si>
    <t>-0.751273296970152</t>
  </si>
  <si>
    <t>0.8508161445300825</t>
  </si>
  <si>
    <t>-0.5081092421121425</t>
  </si>
  <si>
    <t>-0.5277686653105664</t>
  </si>
  <si>
    <t>0.6392872464908359</t>
  </si>
  <si>
    <t>-0.08855784849771658</t>
  </si>
  <si>
    <t>-0.026456288028009197</t>
  </si>
  <si>
    <t>-0.04354271263322848</t>
  </si>
  <si>
    <t>-0.0701314504275932</t>
  </si>
  <si>
    <t>0.34321320061301414</t>
  </si>
  <si>
    <t>-0.7293524757350315</t>
  </si>
  <si>
    <t>1.0534614483377163</t>
  </si>
  <si>
    <t>0.14036748424137702</t>
  </si>
  <si>
    <t>-0.007349370636644125</t>
  </si>
  <si>
    <t>0.08127933333660033</t>
  </si>
  <si>
    <t>0.007167322735832052</t>
  </si>
  <si>
    <t>0.6964840475786639</t>
  </si>
  <si>
    <t>1.0552187829350328</t>
  </si>
  <si>
    <t>0.3184242629349558</t>
  </si>
  <si>
    <t>1.2790852553806802</t>
  </si>
  <si>
    <t>-0.14715672720360337</t>
  </si>
  <si>
    <t>-0.5383547018300693</t>
  </si>
  <si>
    <t>0.06664802587864006</t>
  </si>
  <si>
    <t>0.3369237563697512</t>
  </si>
  <si>
    <t>0.24285410302686244</t>
  </si>
  <si>
    <t>-0.7956107447343045</t>
  </si>
  <si>
    <t>-0.21108111560291337</t>
  </si>
  <si>
    <t>0.28304287376173015</t>
  </si>
  <si>
    <t>-0.9649188582586176</t>
  </si>
  <si>
    <t>0.9979838901988863</t>
  </si>
  <si>
    <t>0.12041624211115064</t>
  </si>
  <si>
    <t>0.8887931190526112</t>
  </si>
  <si>
    <t>0.12922976292670732</t>
  </si>
  <si>
    <t>0.16093464509324373</t>
  </si>
  <si>
    <t>-0.09308128259419056</t>
  </si>
  <si>
    <t>0.1730629985886903</t>
  </si>
  <si>
    <t>-0.472376735847049</t>
  </si>
  <si>
    <t>-1.0349096671516962</t>
  </si>
  <si>
    <t>0.528411115231747</t>
  </si>
  <si>
    <t>-0.5283379629188736</t>
  </si>
  <si>
    <t>-0.606367702478724</t>
  </si>
  <si>
    <t>-0.1600021824262063</t>
  </si>
  <si>
    <t>0.2389871945255556</t>
  </si>
  <si>
    <t>-1.2586732909141336</t>
  </si>
  <si>
    <t>0.47355693030881313</t>
  </si>
  <si>
    <t>0.2846264170777593</t>
  </si>
  <si>
    <t>-0.680475227027868</t>
  </si>
  <si>
    <t>0.5982051798473328</t>
  </si>
  <si>
    <t>1.6705999383698882</t>
  </si>
  <si>
    <t>0.41299627464988997</t>
  </si>
  <si>
    <t>1.0629832216678265</t>
  </si>
  <si>
    <t>0.22349451892659308</t>
  </si>
  <si>
    <t>0.49003991982242134</t>
  </si>
  <si>
    <t>-0.07952020774061982</t>
  </si>
  <si>
    <t>-0.5110533976401143</t>
  </si>
  <si>
    <t>0.2559439993710033</t>
  </si>
  <si>
    <t>0.7751610971582034</t>
  </si>
  <si>
    <t>0.0029418547076575873</t>
  </si>
  <si>
    <t>-0.3313405632167248</t>
  </si>
  <si>
    <t>0.9764830576301979</t>
  </si>
  <si>
    <t>-0.18459675637379078</t>
  </si>
  <si>
    <t>-0.9032395842506225</t>
  </si>
  <si>
    <t>0.3124037176349836</t>
  </si>
  <si>
    <t>-0.09639014599817555</t>
  </si>
  <si>
    <t>-0.08952169534856924</t>
  </si>
  <si>
    <t>-0.4552121326419743</t>
  </si>
  <si>
    <t>0.02446556501760046</t>
  </si>
  <si>
    <t>0.2992190781142257</t>
  </si>
  <si>
    <t>-0.11418960886117485</t>
  </si>
  <si>
    <t>-0.02925286170795359</t>
  </si>
  <si>
    <t>-1.0838728889116789</t>
  </si>
  <si>
    <t>1.2634867481129501</t>
  </si>
  <si>
    <t>-0.45348591639279057</t>
  </si>
  <si>
    <t>0.12094210761649199</t>
  </si>
  <si>
    <t>-0.015310919254356287</t>
  </si>
  <si>
    <t>-0.04991120799126355</t>
  </si>
  <si>
    <t>-0.6167422349235666</t>
  </si>
  <si>
    <t>0.008323000066203122</t>
  </si>
  <si>
    <t>-0.6292872914614257</t>
  </si>
  <si>
    <t>0.4724099934639533</t>
  </si>
  <si>
    <t>0.5811599723944703</t>
  </si>
  <si>
    <t>-0.18193967335052907</t>
  </si>
  <si>
    <t>-0.15581332791705346</t>
  </si>
  <si>
    <t>1.557873939460137</t>
  </si>
  <si>
    <t>-0.36556843817734885</t>
  </si>
  <si>
    <t>0.26691872250324117</t>
  </si>
  <si>
    <t>0.6515877891826267</t>
  </si>
  <si>
    <t>0.26295511175490266</t>
  </si>
  <si>
    <t>-0.14822568907721054</t>
  </si>
  <si>
    <t>-0.7027496043875893</t>
  </si>
  <si>
    <t>0.674789490524592</t>
  </si>
  <si>
    <t>-0.7842650017290135</t>
  </si>
  <si>
    <t>0.1210024240515975</t>
  </si>
  <si>
    <t>-0.0310378749698476</t>
  </si>
  <si>
    <t>0.26291701510159776</t>
  </si>
  <si>
    <t>-0.07507368055265126</t>
  </si>
  <si>
    <t>0.1055638456636828</t>
  </si>
  <si>
    <t>0.10915176020857853</t>
  </si>
  <si>
    <t>-0.41282813717178357</t>
  </si>
  <si>
    <t>0.0616741834665067</t>
  </si>
  <si>
    <t>-0.14753380176146308</t>
  </si>
  <si>
    <t>-0.7725039861598018</t>
  </si>
  <si>
    <t>0.4228241780780774</t>
  </si>
  <si>
    <t>0.8383718957998129</t>
  </si>
  <si>
    <t>-1.2859482049948077</t>
  </si>
  <si>
    <t>0.4857159413554086</t>
  </si>
  <si>
    <t>-0.10658397090000783</t>
  </si>
  <si>
    <t>-0.5896221778515328</t>
  </si>
  <si>
    <t>-0.2736686121293887</t>
  </si>
  <si>
    <t>-0.2521762647988022</t>
  </si>
  <si>
    <t>0.9087181019131932</t>
  </si>
  <si>
    <t>0.6738404759355275</t>
  </si>
  <si>
    <t>-0.2511300595196836</t>
  </si>
  <si>
    <t>0.15661914127913848</t>
  </si>
  <si>
    <t>-0.58214400087499</t>
  </si>
  <si>
    <t>0.6190395669396052</t>
  </si>
  <si>
    <t>0.1534251526742971</t>
  </si>
  <si>
    <t>-0.3376843924376294</t>
  </si>
  <si>
    <t>-0.2539719121179007</t>
  </si>
  <si>
    <t>0.16455874648728325</t>
  </si>
  <si>
    <t>-0.7019377729454921</t>
  </si>
  <si>
    <t>0.511559085170837</t>
  </si>
  <si>
    <t>-0.5599131773083564</t>
  </si>
  <si>
    <t>0.22452563589697683</t>
  </si>
  <si>
    <t>0.3669017863059926</t>
  </si>
  <si>
    <t>1.5975721328303634</t>
  </si>
  <si>
    <t>0.3987967659911529</t>
  </si>
  <si>
    <t>-0.24725305992043542</t>
  </si>
  <si>
    <t>-1.9521414363649003</t>
  </si>
  <si>
    <t>0.03679040592532721</t>
  </si>
  <si>
    <t>0.21292286624182993</t>
  </si>
  <si>
    <t>-0.4661383305176051</t>
  </si>
  <si>
    <t>0.49554336711916463</t>
  </si>
  <si>
    <t>0.081226170842678</t>
  </si>
  <si>
    <t>-0.6481981991441651</t>
  </si>
  <si>
    <t>0.6853646934080518</t>
  </si>
  <si>
    <t>-0.2887619848750034</t>
  </si>
  <si>
    <t>0.06760622662090633</t>
  </si>
  <si>
    <t>-0.19292220600941504</t>
  </si>
  <si>
    <t>-0.6080675194758677</t>
  </si>
  <si>
    <t>0.5307053042964841</t>
  </si>
  <si>
    <t>0.04338408100793149</t>
  </si>
  <si>
    <t>-0.21739646019316658</t>
  </si>
  <si>
    <t>0.11679440941415178</t>
  </si>
  <si>
    <t>1.049365981569794</t>
  </si>
  <si>
    <t>-0.8947728296141042</t>
  </si>
  <si>
    <t>0.6708975201303795</t>
  </si>
  <si>
    <t>-0.03533839881016192</t>
  </si>
  <si>
    <t>0.09005985459214196</t>
  </si>
  <si>
    <t>0.6079492107814776</t>
  </si>
  <si>
    <t>0.6724246047050766</t>
  </si>
  <si>
    <t>-0.6827126361104383</t>
  </si>
  <si>
    <t>-0.6588831043974045</t>
  </si>
  <si>
    <t>-0.10405322422125778</t>
  </si>
  <si>
    <t>-0.008463602521467583</t>
  </si>
  <si>
    <t>-0.46789038745005146</t>
  </si>
  <si>
    <t>-0.29331447020287177</t>
  </si>
  <si>
    <t>-0.6228078305089029</t>
  </si>
  <si>
    <t>-0.07126051471794893</t>
  </si>
  <si>
    <t>-0.8062584798136532</t>
  </si>
  <si>
    <t>0.3876110536936873</t>
  </si>
  <si>
    <t>0.22290913778336877</t>
  </si>
  <si>
    <t>-0.131051716216602</t>
  </si>
  <si>
    <t>1.0259400225799011</t>
  </si>
  <si>
    <t>-0.8150852719959921</t>
  </si>
  <si>
    <t>0.025975211053863956</t>
  </si>
  <si>
    <t>-0.22527648884394338</t>
  </si>
  <si>
    <t>-0.2530681424977347</t>
  </si>
  <si>
    <t>-0.9952252584874073</t>
  </si>
  <si>
    <t>0.8872345728310027</t>
  </si>
  <si>
    <t>-0.651896627770956</t>
  </si>
  <si>
    <t>-0.10785501869486598</t>
  </si>
  <si>
    <t>-0.8990403472342147</t>
  </si>
  <si>
    <t>0.2521737605330673</t>
  </si>
  <si>
    <t>0.5557000721378882</t>
  </si>
  <si>
    <t>0.04170107504942048</t>
  </si>
  <si>
    <t>0.1311920132309335</t>
  </si>
  <si>
    <t>-0.1124822008938509</t>
  </si>
  <si>
    <t>-0.3790028499541691</t>
  </si>
  <si>
    <t>-0.24667907968398334</t>
  </si>
  <si>
    <t>0.6353040712082594</t>
  </si>
  <si>
    <t>0.439745857569101</t>
  </si>
  <si>
    <t>-0.7659208248198982</t>
  </si>
  <si>
    <t>1.7363435026909086</t>
  </si>
  <si>
    <t>0.18026483516933978</t>
  </si>
  <si>
    <t>0.4311721013154021</t>
  </si>
  <si>
    <t>-0.06188952885928146</t>
  </si>
  <si>
    <t>0.2835929898230947</t>
  </si>
  <si>
    <t>-0.11217149145863448</t>
  </si>
  <si>
    <t>0.0722866456605594</t>
  </si>
  <si>
    <t>0.7231246658221365</t>
  </si>
  <si>
    <t>0.1975784806521867</t>
  </si>
  <si>
    <t>-0.5162294200392641</t>
  </si>
  <si>
    <t>0.12806017781554363</t>
  </si>
  <si>
    <t>-0.15700757631290388</t>
  </si>
  <si>
    <t>-0.33733324696139066</t>
  </si>
  <si>
    <t>0.10005782341314191</t>
  </si>
  <si>
    <t>-0.0613923369507824</t>
  </si>
  <si>
    <t>1.0500953363016037</t>
  </si>
  <si>
    <t>-0.14989520475273319</t>
  </si>
  <si>
    <t>-1.1584861523828138</t>
  </si>
  <si>
    <t>0.12727420867501407</t>
  </si>
  <si>
    <t>-0.19870284872457983</t>
  </si>
  <si>
    <t>0.2421993520466117</t>
  </si>
  <si>
    <t>0.4525753640381288</t>
  </si>
  <si>
    <t>1.046338288148037</t>
  </si>
  <si>
    <t>-0.36232767261429677</t>
  </si>
  <si>
    <t>-0.41950238981326926</t>
  </si>
  <si>
    <t>-0.48734200596953653</t>
  </si>
  <si>
    <t>-0.6765238808873294</t>
  </si>
  <si>
    <t>0.3556473094487979</t>
  </si>
  <si>
    <t>-0.5692584714810678</t>
  </si>
  <si>
    <t>-0.3073031936165258</t>
  </si>
  <si>
    <t>-0.2840527379610207</t>
  </si>
  <si>
    <t>-0.43936640741564503</t>
  </si>
  <si>
    <t>0.11372389112124759</t>
  </si>
  <si>
    <t>-0.020034116469127988</t>
  </si>
  <si>
    <t>-0.6581016721659851</t>
  </si>
  <si>
    <t>0.0007772113578607296</t>
  </si>
  <si>
    <t>0.32665983289851924</t>
  </si>
  <si>
    <t>0.08736080455100889</t>
  </si>
  <si>
    <t>-0.4768160852880261</t>
  </si>
  <si>
    <t>1.6450986460546029</t>
  </si>
  <si>
    <t>-0.17943567411379743</t>
  </si>
  <si>
    <t>0.6979663627289938</t>
  </si>
  <si>
    <t>-0.06808561773284977</t>
  </si>
  <si>
    <t>0.35121581528544865</t>
  </si>
  <si>
    <t>-0.2908955455713898</t>
  </si>
  <si>
    <t>0.3199807155439959</t>
  </si>
  <si>
    <t>-0.5077045716968261</t>
  </si>
  <si>
    <t>-0.6261321306828428</t>
  </si>
  <si>
    <t>-0.39720638423001287</t>
  </si>
  <si>
    <t>0.3775196845762075</t>
  </si>
  <si>
    <t>0.3778160127114537</t>
  </si>
  <si>
    <t>0.4166650952388163</t>
  </si>
  <si>
    <t>0.29014715321067985</t>
  </si>
  <si>
    <t>-1.3089219805187964</t>
  </si>
  <si>
    <t>-0.3574143899420932</t>
  </si>
  <si>
    <t>-0.47369359476870576</t>
  </si>
  <si>
    <t>1.1662225730041582</t>
  </si>
  <si>
    <t>-0.511969821968648</t>
  </si>
  <si>
    <t>-0.2555197543994075</t>
  </si>
  <si>
    <t>0.34458055475399335</t>
  </si>
  <si>
    <t>-0.5725101185879853</t>
  </si>
  <si>
    <t>-0.05310465256067163</t>
  </si>
  <si>
    <t>0.05361883237290442</t>
  </si>
  <si>
    <t>-0.14071235186806072</t>
  </si>
  <si>
    <t>-0.16765952338413184</t>
  </si>
  <si>
    <t>0.58913180049614</t>
  </si>
  <si>
    <t>0.19731996069936847</t>
  </si>
  <si>
    <t>-0.9688043989212116</t>
  </si>
  <si>
    <t>0.3316617624235295</t>
  </si>
  <si>
    <t>-1.01428283887921</t>
  </si>
  <si>
    <t>0.24834773241839625</t>
  </si>
  <si>
    <t>0.14307509449074493</t>
  </si>
  <si>
    <t>-0.20073687145677852</t>
  </si>
  <si>
    <t>0.40972072487807243</t>
  </si>
  <si>
    <t>0.18529494717297523</t>
  </si>
  <si>
    <t>0.042065145366503756</t>
  </si>
  <si>
    <t>-0.0006863897670936448</t>
  </si>
  <si>
    <t>-0.03181862472819898</t>
  </si>
  <si>
    <t>-0.3068823906643154</t>
  </si>
  <si>
    <t>0.09347309523226882</t>
  </si>
  <si>
    <t>-0.49627832252065107</t>
  </si>
  <si>
    <t>-0.9879571669010858</t>
  </si>
  <si>
    <t>-0.03407270193479967</t>
  </si>
  <si>
    <t>-0.22472658782820348</t>
  </si>
  <si>
    <t>0.30033764347298686</t>
  </si>
  <si>
    <t>-0.6322332650160226</t>
  </si>
  <si>
    <t>-0.6208455666537949</t>
  </si>
  <si>
    <t>-0.3663115673490799</t>
  </si>
  <si>
    <t>-0.2541723114748199</t>
  </si>
  <si>
    <t>0.12453240327370242</t>
  </si>
  <si>
    <t>-1.66511527854075</t>
  </si>
  <si>
    <t>1.4449512276704182</t>
  </si>
  <si>
    <t>0.7319073188350923</t>
  </si>
  <si>
    <t>0.20746592027799207</t>
  </si>
  <si>
    <t>0.8742291441970819</t>
  </si>
  <si>
    <t>-0.8091460470257176</t>
  </si>
  <si>
    <t>-1.1450460842407855</t>
  </si>
  <si>
    <t>-0.45901417207132417</t>
  </si>
  <si>
    <t>-0.5058623140570403</t>
  </si>
  <si>
    <t>-0.07857259047171597</t>
  </si>
  <si>
    <t>-0.14745497144754013</t>
  </si>
  <si>
    <t>0.20466164923059782</t>
  </si>
  <si>
    <t>-0.32867658699349644</t>
  </si>
  <si>
    <t>0.2743392966445292</t>
  </si>
  <si>
    <t>-0.04343240743096526</t>
  </si>
  <si>
    <t>-1.0790777004955439</t>
  </si>
  <si>
    <t>-1.0216586231675742</t>
  </si>
  <si>
    <t>-0.6941847673927548</t>
  </si>
  <si>
    <t>-0.2429328106706983</t>
  </si>
  <si>
    <t>-0.4318015847222145</t>
  </si>
  <si>
    <t>-2.223790231825958</t>
  </si>
  <si>
    <t>0.4643023547211898</t>
  </si>
  <si>
    <t>-1.0548222930238282</t>
  </si>
  <si>
    <t>0.8405967932673909</t>
  </si>
  <si>
    <t>-0.3272858297736995</t>
  </si>
  <si>
    <t>-1.478956179963711</t>
  </si>
  <si>
    <t>0.013345378227357324</t>
  </si>
  <si>
    <t>-2.2209878973385186</t>
  </si>
  <si>
    <t>0.7586309735740641</t>
  </si>
  <si>
    <t>1.7354605478308776</t>
  </si>
  <si>
    <t>-2.136908840891389</t>
  </si>
  <si>
    <t>2.8433502787016574</t>
  </si>
  <si>
    <t>-0.7363462624944466</t>
  </si>
  <si>
    <t>-0.5225506975217721</t>
  </si>
  <si>
    <t>1.4876966443803759</t>
  </si>
  <si>
    <t>2.787819108889212</t>
  </si>
  <si>
    <t>-0.003234020334932428</t>
  </si>
  <si>
    <t>-0.19687203164924286</t>
  </si>
  <si>
    <t>-1.8083117455955269</t>
  </si>
  <si>
    <t>-0.543234658783123</t>
  </si>
  <si>
    <t>-0.2350319330152097</t>
  </si>
  <si>
    <t>-3.1353516697986734</t>
  </si>
  <si>
    <t>0.7194228789715704</t>
  </si>
  <si>
    <t>-1.2067969015005477</t>
  </si>
  <si>
    <t>-1.1309087793131174</t>
  </si>
  <si>
    <t>-0.755699464910712</t>
  </si>
  <si>
    <t>0.42232225326703404</t>
  </si>
  <si>
    <t>-1.7549206910394592</t>
  </si>
  <si>
    <t>1.6704973981591922</t>
  </si>
  <si>
    <t>-1.7819940275162678</t>
  </si>
  <si>
    <t>0.18667315271568907</t>
  </si>
  <si>
    <t>0.19941831695695342</t>
  </si>
  <si>
    <t>-1.1589387740486452</t>
  </si>
  <si>
    <t>0.32372020757214875</t>
  </si>
  <si>
    <t>-0.8032951076455079</t>
  </si>
  <si>
    <t>1.342503363511364</t>
  </si>
  <si>
    <t>1.9057397657517208</t>
  </si>
  <si>
    <t>2.905019511201036</t>
  </si>
  <si>
    <t>3.6946890000234287</t>
  </si>
  <si>
    <t>-0.3234661537995418</t>
  </si>
  <si>
    <t>-2.4651605566922057</t>
  </si>
  <si>
    <t>-1.460786188582223</t>
  </si>
  <si>
    <t>-1.1545265906749294</t>
  </si>
  <si>
    <t>1.625701237302319</t>
  </si>
  <si>
    <t>-1.0892219878836769</t>
  </si>
  <si>
    <t>1.1595271006175296</t>
  </si>
  <si>
    <t>0.5119368008114195</t>
  </si>
  <si>
    <t>3.728467297553908</t>
  </si>
  <si>
    <t>-1.1733422977493693</t>
  </si>
  <si>
    <t>0.8256315082197043</t>
  </si>
  <si>
    <t>-1.6561581004246915</t>
  </si>
  <si>
    <t>-1.7835383261031024</t>
  </si>
  <si>
    <t>-0.02193082345757114</t>
  </si>
  <si>
    <t>-0.679086448961381</t>
  </si>
  <si>
    <t>0.9770074462889483</t>
  </si>
  <si>
    <t>1.0291977745268772</t>
  </si>
  <si>
    <t>0.25396818048977565</t>
  </si>
  <si>
    <t>1.1550844668328566</t>
  </si>
  <si>
    <t>0.6732469364288933</t>
  </si>
  <si>
    <t>-0.5698009026633237</t>
  </si>
  <si>
    <t>0.3516270263682616</t>
  </si>
  <si>
    <t>-1.009428762776423</t>
  </si>
  <si>
    <t>-0.42861387929455413</t>
  </si>
  <si>
    <t>-0.4718481802199776</t>
  </si>
  <si>
    <t>1.387008456351765</t>
  </si>
  <si>
    <t>-0.7265956457368169</t>
  </si>
  <si>
    <t>0.6190999828020874</t>
  </si>
  <si>
    <t>-0.037259058357792606</t>
  </si>
  <si>
    <t>0.33448562833815815</t>
  </si>
  <si>
    <t>-1.5301382633782812</t>
  </si>
  <si>
    <t>0.6676384880657599</t>
  </si>
  <si>
    <t>0.28716885208450227</t>
  </si>
  <si>
    <t>0.6622328331741743</t>
  </si>
  <si>
    <t>-0.6351249748586372</t>
  </si>
  <si>
    <t>-0.3498339234661615</t>
  </si>
  <si>
    <t>-0.15702032246400197</t>
  </si>
  <si>
    <t>0.36312669784901525</t>
  </si>
  <si>
    <t>0.23569353855200045</t>
  </si>
  <si>
    <t>1.6711311322725966</t>
  </si>
  <si>
    <t>-0.6466561280204184</t>
  </si>
  <si>
    <t>-0.3615183392485153</t>
  </si>
  <si>
    <t>-0.14051037472327496</t>
  </si>
  <si>
    <t>-1.134269507967973</t>
  </si>
  <si>
    <t>0.5522331877240734</t>
  </si>
  <si>
    <t>-0.8161795685908109</t>
  </si>
  <si>
    <t>1.1458156629192955</t>
  </si>
  <si>
    <t>1.6453433440433836</t>
  </si>
  <si>
    <t>-1.3622893807699177</t>
  </si>
  <si>
    <t>0.22220598266961297</t>
  </si>
  <si>
    <t>-0.02481872283652896</t>
  </si>
  <si>
    <t>-0.049290520896983596</t>
  </si>
  <si>
    <t>-0.34240968778457503</t>
  </si>
  <si>
    <t>-0.16433495212354055</t>
  </si>
  <si>
    <t>-1.323930724548184</t>
  </si>
  <si>
    <t>-0.08815637121710014</t>
  </si>
  <si>
    <t>-0.4450810138837707</t>
  </si>
  <si>
    <t>-1.4842333604520794</t>
  </si>
  <si>
    <t>0.0018982779900741811</t>
  </si>
  <si>
    <t>-1.0238343622247283</t>
  </si>
  <si>
    <t>0.007158317015227979</t>
  </si>
  <si>
    <t>0.6487455527536163</t>
  </si>
  <si>
    <t>0.3485376291765602</t>
  </si>
  <si>
    <t>0.3802878174219316</t>
  </si>
  <si>
    <t>-1.449565462642089</t>
  </si>
  <si>
    <t>0.823952988214776</t>
  </si>
  <si>
    <t>0.4109426915933736</t>
  </si>
  <si>
    <t>-0.2622076577151272</t>
  </si>
  <si>
    <t>0.34851516793260423</t>
  </si>
  <si>
    <t>-0.2625511720838934</t>
  </si>
  <si>
    <t>0.04318577057943091</t>
  </si>
  <si>
    <t>-0.4083883226105686</t>
  </si>
  <si>
    <t>0.1030286683079594</t>
  </si>
  <si>
    <t>0.2341199470618944</t>
  </si>
  <si>
    <t>-0.4717538651208012</t>
  </si>
  <si>
    <t>0.03261384743742216</t>
  </si>
  <si>
    <t>0.28245768462708354</t>
  </si>
  <si>
    <t>-0.07067727172909632</t>
  </si>
  <si>
    <t>-0.31666937059142447</t>
  </si>
  <si>
    <t>0.49612397796900914</t>
  </si>
  <si>
    <t>-0.9971619172319307</t>
  </si>
  <si>
    <t>0.0628687082778504</t>
  </si>
  <si>
    <t>0.4737378479494472</t>
  </si>
  <si>
    <t>0.18643300386296602</t>
  </si>
  <si>
    <t>1.4310509741394206</t>
  </si>
  <si>
    <t>-1.1977869975842546</t>
  </si>
  <si>
    <t>0.19321539848536656</t>
  </si>
  <si>
    <t>0.06278794436475262</t>
  </si>
  <si>
    <t>-0.7774070858415676</t>
  </si>
  <si>
    <t>-0.8527856489740141</t>
  </si>
  <si>
    <t>1.57643554789167</t>
  </si>
  <si>
    <t>-0.8945352346316169</t>
  </si>
  <si>
    <t>-0.9931728922048682</t>
  </si>
  <si>
    <t>0.03490488595866842</t>
  </si>
  <si>
    <t>0.508231617168332</t>
  </si>
  <si>
    <t>0.9848637400625277</t>
  </si>
  <si>
    <t>0.6109035947718249</t>
  </si>
  <si>
    <t>-0.19497897432730388</t>
  </si>
  <si>
    <t>-0.35801459135520075</t>
  </si>
  <si>
    <t>0.09322345370760245</t>
  </si>
  <si>
    <t>0.21519536111935306</t>
  </si>
  <si>
    <t>-0.6287143537629071</t>
  </si>
  <si>
    <t>-1.0426380926103234</t>
  </si>
  <si>
    <t>0.319599803221873</t>
  </si>
  <si>
    <t>1.0396423081331514</t>
  </si>
  <si>
    <t>1.2429517280900775</t>
  </si>
  <si>
    <t>0.6045029258912629</t>
  </si>
  <si>
    <t>-1.1203138499650176</t>
  </si>
  <si>
    <t>-0.1586852911080938</t>
  </si>
  <si>
    <t>-0.13112383923625942</t>
  </si>
  <si>
    <t>-1.4269569536296374</t>
  </si>
  <si>
    <t>0.739366750390568</t>
  </si>
  <si>
    <t>-0.8736332807653707</t>
  </si>
  <si>
    <t>-0.051039120137303585</t>
  </si>
  <si>
    <t>-0.5721502476526499</t>
  </si>
  <si>
    <t>-0.17516019159912086</t>
  </si>
  <si>
    <t>-0.12089989932957644</t>
  </si>
  <si>
    <t>0.4120297862930489</t>
  </si>
  <si>
    <t>-0.3263760661235271</t>
  </si>
  <si>
    <t>-0.48373540322368663</t>
  </si>
  <si>
    <t>0.7293700719817384</t>
  </si>
  <si>
    <t>0.8084617886147984</t>
  </si>
  <si>
    <t>-2.0545194314220567</t>
  </si>
  <si>
    <t>2.0182315448665853</t>
  </si>
  <si>
    <t>-0.3994144590095108</t>
  </si>
  <si>
    <t>-1.960528811871361</t>
  </si>
  <si>
    <t>0.42304555492227464</t>
  </si>
  <si>
    <t>-0.1467177811415659</t>
  </si>
  <si>
    <t>0.3490846301423672</t>
  </si>
  <si>
    <t>0.0053061699671769005</t>
  </si>
  <si>
    <t>-0.39638117634565</t>
  </si>
  <si>
    <t>-0.29724730443282626</t>
  </si>
  <si>
    <t>0.7657194022267986</t>
  </si>
  <si>
    <t>1.0134010529070872</t>
  </si>
  <si>
    <t>-0.9839662473325579</t>
  </si>
  <si>
    <t>1.4608479720274534</t>
  </si>
  <si>
    <t>-0.04645186827476822</t>
  </si>
  <si>
    <t>1.3135025111593905</t>
  </si>
  <si>
    <t>0.40648866316129506</t>
  </si>
  <si>
    <t>-0.4485284294094772</t>
  </si>
  <si>
    <t>0.7223969337697045</t>
  </si>
  <si>
    <t>-0.30041874497236615</t>
  </si>
  <si>
    <t>0.06023371809179632</t>
  </si>
  <si>
    <t>0.3170363542667155</t>
  </si>
  <si>
    <t>-0.26675832509063896</t>
  </si>
  <si>
    <t>-0.6717456134027975</t>
  </si>
  <si>
    <t>-0.140899463175781</t>
  </si>
  <si>
    <t>0.37347796073609546</t>
  </si>
  <si>
    <t>-0.7323380559893413</t>
  </si>
  <si>
    <t>-0.01618354589681256</t>
  </si>
  <si>
    <t>0.5371115580378317</t>
  </si>
  <si>
    <t>-0.10612083478281817</t>
  </si>
  <si>
    <t>-0.43695990521947653</t>
  </si>
  <si>
    <t>0.026234421332383993</t>
  </si>
  <si>
    <t>0.6266276093268399</t>
  </si>
  <si>
    <t>1.696459078811486</t>
  </si>
  <si>
    <t>0.12376129971153806</t>
  </si>
  <si>
    <t>-0.3145911625114</t>
  </si>
  <si>
    <t>-1.3915056310225449</t>
  </si>
  <si>
    <t>1.2414505855683968</t>
  </si>
  <si>
    <t>0.9128642774868132</t>
  </si>
  <si>
    <t>-0.0016129410442392523</t>
  </si>
  <si>
    <t>-0.19214955326117286</t>
  </si>
  <si>
    <t>1.6775434277525845</t>
  </si>
  <si>
    <t>-0.15803141550601585</t>
  </si>
  <si>
    <t>-0.5279229669162051</t>
  </si>
  <si>
    <t>0.7772168961027632</t>
  </si>
  <si>
    <t>-0.562795932100704</t>
  </si>
  <si>
    <t>0.11028128574998572</t>
  </si>
  <si>
    <t>0.2922145504890788</t>
  </si>
  <si>
    <t>-0.3754781945404256</t>
  </si>
  <si>
    <t>-0.9632525622028323</t>
  </si>
  <si>
    <t>0.018646788691087855</t>
  </si>
  <si>
    <t>-0.4195761585262096</t>
  </si>
  <si>
    <t>-0.9120223869178956</t>
  </si>
  <si>
    <t>0.4023133102627502</t>
  </si>
  <si>
    <t>1.241481151455054</t>
  </si>
  <si>
    <t>-1.0205926887286771</t>
  </si>
  <si>
    <t>-1.4593300655228783</t>
  </si>
  <si>
    <t>-0.040774229465689316</t>
  </si>
  <si>
    <t>-0.07037129004950954</t>
  </si>
  <si>
    <t>1.2941325502892655</t>
  </si>
  <si>
    <t>0.4160530530312931</t>
  </si>
  <si>
    <t>-0.3039172980155085</t>
  </si>
  <si>
    <t>0.20330594614932057</t>
  </si>
  <si>
    <t>0.33937279671429943</t>
  </si>
  <si>
    <t>0.667418995053982</t>
  </si>
  <si>
    <t>-0.894262164214259</t>
  </si>
  <si>
    <t>-0.6125498332012637</t>
  </si>
  <si>
    <t>1.3994718133042658</t>
  </si>
  <si>
    <t>1.0886687740308076</t>
  </si>
  <si>
    <t>0.17661820383155027</t>
  </si>
  <si>
    <t>-0.239445283491037</t>
  </si>
  <si>
    <t>1.2044476783388216</t>
  </si>
  <si>
    <t>0.7962062253485611</t>
  </si>
  <si>
    <t>0.5108152766398163</t>
  </si>
  <si>
    <t>-1.0226501962281556</t>
  </si>
  <si>
    <t>-0.2844259553833105</t>
  </si>
  <si>
    <t>-0.08350524528858584</t>
  </si>
  <si>
    <t>0.5406155912951778</t>
  </si>
  <si>
    <t>-0.8387598489660554</t>
  </si>
  <si>
    <t>0.1872956008334188</t>
  </si>
  <si>
    <t>-0.4420868407164208</t>
  </si>
  <si>
    <t>-0.7406789241832561</t>
  </si>
  <si>
    <t>0.6877917072224617</t>
  </si>
  <si>
    <t>-0.9380937633650508</t>
  </si>
  <si>
    <t>0.21316148957248654</t>
  </si>
  <si>
    <t>-0.04224978087666183</t>
  </si>
  <si>
    <t>-0.11749686972963987</t>
  </si>
  <si>
    <t>-0.05543023073133386</t>
  </si>
  <si>
    <t>0.4718057394874675</t>
  </si>
  <si>
    <t>-0.2043235951582501</t>
  </si>
  <si>
    <t>-0.6358787200972281</t>
  </si>
  <si>
    <t>-0.14856979312213164</t>
  </si>
  <si>
    <t>-0.0465737630697661</t>
  </si>
  <si>
    <t>0.28922986489710184</t>
  </si>
  <si>
    <t>-0.6441889188825884</t>
  </si>
  <si>
    <t>0.4153754057663698</t>
  </si>
  <si>
    <t>0.15968228804458168</t>
  </si>
  <si>
    <t>0.2819130297154174</t>
  </si>
  <si>
    <t>-0.4865959015176328</t>
  </si>
  <si>
    <t>-0.44434132411469796</t>
  </si>
  <si>
    <t>-0.11440164126174036</t>
  </si>
  <si>
    <t>-0.6458379619328782</t>
  </si>
  <si>
    <t>-0.00047528530168850224</t>
  </si>
  <si>
    <t>-0.43076029577599456</t>
  </si>
  <si>
    <t>1.5376394196732417</t>
  </si>
  <si>
    <t>0.26761662442289136</t>
  </si>
  <si>
    <t>0.6582835124370915</t>
  </si>
  <si>
    <t>-0.6775190354008399</t>
  </si>
  <si>
    <t>-0.5803238733626974</t>
  </si>
  <si>
    <t>0.029366841347588213</t>
  </si>
  <si>
    <t>1.4345963293924624</t>
  </si>
  <si>
    <t>-0.21979316884590946</t>
  </si>
  <si>
    <t>0.20813618050243285</t>
  </si>
  <si>
    <t>-0.9497502624789961</t>
  </si>
  <si>
    <t>1.073645124740009</t>
  </si>
  <si>
    <t>-0.6274929720320286</t>
  </si>
  <si>
    <t>0.5115542310393368</t>
  </si>
  <si>
    <t>0.5620531188731904</t>
  </si>
  <si>
    <t>-0.4801063488695418</t>
  </si>
  <si>
    <t>0.7747053675685122</t>
  </si>
  <si>
    <t>0.7116223423778953</t>
  </si>
  <si>
    <t>0.2075277471434413</t>
  </si>
  <si>
    <t>1.678023840863451</t>
  </si>
  <si>
    <t>0.10021309404026507</t>
  </si>
  <si>
    <t>-0.35754988317498276</t>
  </si>
  <si>
    <t>0.44689611464794154</t>
  </si>
  <si>
    <t>-0.2225751906665342</t>
  </si>
  <si>
    <t>0.1699978507369415</t>
  </si>
  <si>
    <t>1.6333083736884506</t>
  </si>
  <si>
    <t>0.37681749234306955</t>
  </si>
  <si>
    <t>0.12312731033714293</t>
  </si>
  <si>
    <t>-0.15549237586140263</t>
  </si>
  <si>
    <t>0.09205360691172995</t>
  </si>
  <si>
    <t>-0.9516727243327008</t>
  </si>
  <si>
    <t>-0.31859706299453844</t>
  </si>
  <si>
    <t>1.1842489133601477</t>
  </si>
  <si>
    <t>-0.5732533357669695</t>
  </si>
  <si>
    <t>0.2913745357490108</t>
  </si>
  <si>
    <t>0.2842828934897489</t>
  </si>
  <si>
    <t>0.7628436430723154</t>
  </si>
  <si>
    <t>-0.2285555889783155</t>
  </si>
  <si>
    <t>-0.12502489333466626</t>
  </si>
  <si>
    <t>-0.05964187235844385</t>
  </si>
  <si>
    <t>0.5111475660758213</t>
  </si>
  <si>
    <t>-0.17024715730627474</t>
  </si>
  <si>
    <t>-0.14333620032062777</t>
  </si>
  <si>
    <t>-1.4541011210926835</t>
  </si>
  <si>
    <t>-0.18493368988736195</t>
  </si>
  <si>
    <t>0.24503415299555273</t>
  </si>
  <si>
    <t>1.0673751082015088</t>
  </si>
  <si>
    <t>-0.07500572987152916</t>
  </si>
  <si>
    <t>0.5993836431328966</t>
  </si>
  <si>
    <t>1.0345749747374169</t>
  </si>
  <si>
    <t>0.3030026294474026</t>
  </si>
  <si>
    <t>-0.3351758127308229</t>
  </si>
  <si>
    <t>0.9027687938875257</t>
  </si>
  <si>
    <t>-0.7021885957276087</t>
  </si>
  <si>
    <t>-1.0682829063236126</t>
  </si>
  <si>
    <t>1.445188652064971</t>
  </si>
  <si>
    <t>-0.46434398860679466</t>
  </si>
  <si>
    <t>0.0725894494260147</t>
  </si>
  <si>
    <t>0.11068766290740796</t>
  </si>
  <si>
    <t>-1.4680779423846657</t>
  </si>
  <si>
    <t>0.1495071476559551</t>
  </si>
  <si>
    <t>-0.09724385232987272</t>
  </si>
  <si>
    <t>-0.31729643940088065</t>
  </si>
  <si>
    <t>-0.7835777351820571</t>
  </si>
  <si>
    <t>0.03777045351906345</t>
  </si>
  <si>
    <t>0.22799602034347574</t>
  </si>
  <si>
    <t>-0.46408369718786074</t>
  </si>
  <si>
    <t>0.8365934384529009</t>
  </si>
  <si>
    <t>-0.06972925921859717</t>
  </si>
  <si>
    <t>-0.8799637391022125</t>
  </si>
  <si>
    <t>1.2454231454470597</t>
  </si>
  <si>
    <t>0.31143007462133726</t>
  </si>
  <si>
    <t>0.7302051779021592</t>
  </si>
  <si>
    <t>0.3826790974662565</t>
  </si>
  <si>
    <t>-0.5180201121012159</t>
  </si>
  <si>
    <t>-0.9201202634791324</t>
  </si>
  <si>
    <t>0.2003296391418937</t>
  </si>
  <si>
    <t>-0.44419389950957516</t>
  </si>
  <si>
    <t>-1.3701347299426367</t>
  </si>
  <si>
    <t>0.009353768669727232</t>
  </si>
  <si>
    <t>0.33536884186582044</t>
  </si>
  <si>
    <t>0.3369380319071111</t>
  </si>
  <si>
    <t>0.15577090321900336</t>
  </si>
  <si>
    <t>0.003124013813602284</t>
  </si>
  <si>
    <t>0.5721097244698388</t>
  </si>
  <si>
    <t>0.23371838427581335</t>
  </si>
  <si>
    <t>-0.10927804281797547</t>
  </si>
  <si>
    <t>0.341656947312327</t>
  </si>
  <si>
    <t>-0.9035124040261937</t>
  </si>
  <si>
    <t>0.9659007043913239</t>
  </si>
  <si>
    <t>-0.020673615747308863</t>
  </si>
  <si>
    <t>-0.25013088750692325</t>
  </si>
  <si>
    <t>0.08595547981875595</t>
  </si>
  <si>
    <t>1.9626233339990273</t>
  </si>
  <si>
    <t>0.9024136451971774</t>
  </si>
  <si>
    <t>0.300958471579739</t>
  </si>
  <si>
    <t>1.31046703024607</t>
  </si>
  <si>
    <t>-0.3851876953846023</t>
  </si>
  <si>
    <t>-0.02379929561788913</t>
  </si>
  <si>
    <t>0.3578236860232883</t>
  </si>
  <si>
    <t>0.3859631310581584</t>
  </si>
  <si>
    <t>-0.3808312943113152</t>
  </si>
  <si>
    <t>0.7279174242421412</t>
  </si>
  <si>
    <t>-0.7161683209884111</t>
  </si>
  <si>
    <t>-1.5197555015352353</t>
  </si>
  <si>
    <t>0.1935940204374312</t>
  </si>
  <si>
    <t>-0.20958437379844272</t>
  </si>
  <si>
    <t>-0.2202590751035794</t>
  </si>
  <si>
    <t>-0.6952622072969346</t>
  </si>
  <si>
    <t>0.20626279072583506</t>
  </si>
  <si>
    <t>-0.4079791992128864</t>
  </si>
  <si>
    <t>0.500203641972305</t>
  </si>
  <si>
    <t>0.14932965594776865</t>
  </si>
  <si>
    <t>-0.24575363022588947</t>
  </si>
  <si>
    <t>0.5699776436657126</t>
  </si>
  <si>
    <t>1.3074473701255986</t>
  </si>
  <si>
    <t>-0.6064112408075797</t>
  </si>
  <si>
    <t>-0.18119354495863566</t>
  </si>
  <si>
    <t>-0.23124341664558695</t>
  </si>
  <si>
    <t>1.3350598395302389</t>
  </si>
  <si>
    <t>-0.4103129006624679</t>
  </si>
  <si>
    <t>-0.29612571082594463</t>
  </si>
  <si>
    <t>1.8197473194410128</t>
  </si>
  <si>
    <t>0.9495584057017812</t>
  </si>
  <si>
    <t>-0.7141072234062992</t>
  </si>
  <si>
    <t>-0.34880053619885004</t>
  </si>
  <si>
    <t>1.0641681663429645</t>
  </si>
  <si>
    <t>-0.7486934845791036</t>
  </si>
  <si>
    <t>0.41225891705016887</t>
  </si>
  <si>
    <t>0.6605675400188082</t>
  </si>
  <si>
    <t>0.7600263665941128</t>
  </si>
  <si>
    <t>0.4698418873841389</t>
  </si>
  <si>
    <t>-0.212415928667938</t>
  </si>
  <si>
    <t>-1.0445905123919368</t>
  </si>
  <si>
    <t>-0.8094556418292983</t>
  </si>
  <si>
    <t>0.2962794649623784</t>
  </si>
  <si>
    <t>-0.12820891819796582</t>
  </si>
  <si>
    <t>0.5108680088665154</t>
  </si>
  <si>
    <t>1.3252635198246663</t>
  </si>
  <si>
    <t>-0.6502442914917005</t>
  </si>
  <si>
    <t>-0.3103639949969862</t>
  </si>
  <si>
    <t>0.30659551775630545</t>
  </si>
  <si>
    <t>0.22074590338762076</t>
  </si>
  <si>
    <t>0.3325011512499254</t>
  </si>
  <si>
    <t>0.31709479595661727</t>
  </si>
  <si>
    <t>0.22030515020891375</t>
  </si>
  <si>
    <t>-0.8432061805752928</t>
  </si>
  <si>
    <t>-0.3194620124298682</t>
  </si>
  <si>
    <t>0.7331487567346265</t>
  </si>
  <si>
    <t>0.22992895645567854</t>
  </si>
  <si>
    <t>0.48876949299296263</t>
  </si>
  <si>
    <t>0.1334857901067319</t>
  </si>
  <si>
    <t>0.5462905345203795</t>
  </si>
  <si>
    <t>0.23610230208146946</t>
  </si>
  <si>
    <t>1.6909577386188097</t>
  </si>
  <si>
    <t>0.9582164366783387</t>
  </si>
  <si>
    <t>0.10518166267248488</t>
  </si>
  <si>
    <t>-0.5686000997553438</t>
  </si>
  <si>
    <t>1.2360894557600075</t>
  </si>
  <si>
    <t>-0.6459747135443057</t>
  </si>
  <si>
    <t>-0.12478970611851661</t>
  </si>
  <si>
    <t>0.6429943141774793</t>
  </si>
  <si>
    <t>0.09805691774429795</t>
  </si>
  <si>
    <t>0.08469912088804099</t>
  </si>
  <si>
    <t>0.09881237151403342</t>
  </si>
  <si>
    <t>0.3273445665006393</t>
  </si>
  <si>
    <t>0.7401644036106837</t>
  </si>
  <si>
    <t>-0.17863246894536092</t>
  </si>
  <si>
    <t>0.41015855445138144</t>
  </si>
  <si>
    <t>-0.7325245483248136</t>
  </si>
  <si>
    <t>0.4679838134161556</t>
  </si>
  <si>
    <t>-0.1222700061730003</t>
  </si>
  <si>
    <t>-0.22553810737657787</t>
  </si>
  <si>
    <t>0.09446363486062638</t>
  </si>
  <si>
    <t>0.15958872512382072</t>
  </si>
  <si>
    <t>-0.479997225678497</t>
  </si>
  <si>
    <t>-0.5936298240839072</t>
  </si>
  <si>
    <t>-0.17596638436590262</t>
  </si>
  <si>
    <t>0.11596408654018943</t>
  </si>
  <si>
    <t>-0.006597774923905082</t>
  </si>
  <si>
    <t>0.3856048882601199</t>
  </si>
  <si>
    <t>0.9120524121116971</t>
  </si>
  <si>
    <t>0.9248084374272801</t>
  </si>
  <si>
    <t>0.30770998346767314</t>
  </si>
  <si>
    <t>0.7266844429005426</t>
  </si>
  <si>
    <t>-0.017397399754125287</t>
  </si>
  <si>
    <t>0.15178712233187977</t>
  </si>
  <si>
    <t>0.2786131628271301</t>
  </si>
  <si>
    <t>0.10343011777259135</t>
  </si>
  <si>
    <t>0.17629515660990824</t>
  </si>
  <si>
    <t>-0.4187589087485152</t>
  </si>
  <si>
    <t>0.38216388431042764</t>
  </si>
  <si>
    <t>0.09499069176245596</t>
  </si>
  <si>
    <t>0.4286415580901749</t>
  </si>
  <si>
    <t>1.2644665575794596</t>
  </si>
  <si>
    <t>-0.009748610653737066</t>
  </si>
  <si>
    <t>-0.5516723462737463</t>
  </si>
  <si>
    <t>-0.6442735151422018</t>
  </si>
  <si>
    <t>-0.9849066931934223</t>
  </si>
  <si>
    <t>-0.731644872793829</t>
  </si>
  <si>
    <t>-0.4423038850414887</t>
  </si>
  <si>
    <t>-0.3437116408537742</t>
  </si>
  <si>
    <t>0.3874844410023156</t>
  </si>
  <si>
    <t>-0.5709156702557296</t>
  </si>
  <si>
    <t>-1.2780973887980258</t>
  </si>
  <si>
    <t>-0.44216428133291336</t>
  </si>
  <si>
    <t>0.874823748854464</t>
  </si>
  <si>
    <t>0.7073139868132058</t>
  </si>
  <si>
    <t>0.5796702009265556</t>
  </si>
  <si>
    <t>-0.8165324668974802</t>
  </si>
  <si>
    <t>0.5559763741679284</t>
  </si>
  <si>
    <t>-0.3986377408781707</t>
  </si>
  <si>
    <t>-0.042283777689560084</t>
  </si>
  <si>
    <t>0.3365405865537916</t>
  </si>
  <si>
    <t>-0.7970997866113474</t>
  </si>
  <si>
    <t>-0.14099389172712407</t>
  </si>
  <si>
    <t>-0.4995479061872242</t>
  </si>
  <si>
    <t>0.7862307768357509</t>
  </si>
  <si>
    <t>-0.06293916356398202</t>
  </si>
  <si>
    <t>-0.435673902621733</t>
  </si>
  <si>
    <t>0.08016993433074271</t>
  </si>
  <si>
    <t>0.6994525803832331</t>
  </si>
  <si>
    <t>-0.34215269332774406</t>
  </si>
  <si>
    <t>0.437372927825904</t>
  </si>
  <si>
    <t>-0.7996344840095028</t>
  </si>
  <si>
    <t>-0.14834825436144744</t>
  </si>
  <si>
    <t>0.016066658629672124</t>
  </si>
  <si>
    <t>0.34438489404560574</t>
  </si>
  <si>
    <t>0.5166754715562465</t>
  </si>
  <si>
    <t>0.4738509002929628</t>
  </si>
  <si>
    <t>0.3434806004126811</t>
  </si>
  <si>
    <t>0.5360331452582516</t>
  </si>
  <si>
    <t>0.37100563634910744</t>
  </si>
  <si>
    <t>-0.677423555093422</t>
  </si>
  <si>
    <t>0.23408345719055462</t>
  </si>
  <si>
    <t>0.7577494540464741</t>
  </si>
  <si>
    <t>-0.30438421361611784</t>
  </si>
  <si>
    <t>0.4525257142377694</t>
  </si>
  <si>
    <t>-0.02070178386981458</t>
  </si>
  <si>
    <t>-0.08537407751335002</t>
  </si>
  <si>
    <t>0.3012653788129112</t>
  </si>
  <si>
    <t>-0.8211265035125349</t>
  </si>
  <si>
    <t>-0.11960744690013714</t>
  </si>
  <si>
    <t>-0.17127485580537868</t>
  </si>
  <si>
    <t>0.14985199270859567</t>
  </si>
  <si>
    <t>-0.4664442583470744</t>
  </si>
  <si>
    <t>0.343533892444469</t>
  </si>
  <si>
    <t>0.13865634366875657</t>
  </si>
  <si>
    <t>0.11970271132329338</t>
  </si>
  <si>
    <t>0.7105078656968804</t>
  </si>
  <si>
    <t>-0.4824469117270514</t>
  </si>
  <si>
    <t>-0.4513253670335174</t>
  </si>
  <si>
    <t>0.5616045084814663</t>
  </si>
  <si>
    <t>0.0718267930055461</t>
  </si>
  <si>
    <t>-0.7878211098872867</t>
  </si>
  <si>
    <t>0.23660428291683638</t>
  </si>
  <si>
    <t>-0.27862064134400544</t>
  </si>
  <si>
    <t>0.019421546355720413</t>
  </si>
  <si>
    <t>0.2186398215556603</t>
  </si>
  <si>
    <t>0.16649826877252308</t>
  </si>
  <si>
    <t>0.5414967540635234</t>
  </si>
  <si>
    <t>0.5497145328356018</t>
  </si>
  <si>
    <t>-0.2019118910482885</t>
  </si>
  <si>
    <t>0.05201069204270957</t>
  </si>
  <si>
    <t>-0.2960900554536558</t>
  </si>
  <si>
    <t>0.4265680066716045</t>
  </si>
  <si>
    <t>0.18987733052799555</t>
  </si>
  <si>
    <t>-0.4689479925436367</t>
  </si>
  <si>
    <t>0.6606002758783882</t>
  </si>
  <si>
    <t>-0.5596894697410559</t>
  </si>
  <si>
    <t>0.12156894666955559</t>
  </si>
  <si>
    <t>-0.1654421801266735</t>
  </si>
  <si>
    <t>-0.5526149922880501</t>
  </si>
  <si>
    <t>0.33551529196115626</t>
  </si>
  <si>
    <t>-0.16521702144277894</t>
  </si>
  <si>
    <t>0.08360050868071466</t>
  </si>
  <si>
    <t>0.4671746746124607</t>
  </si>
  <si>
    <t>0.6676046924631807</t>
  </si>
  <si>
    <t>0.6335990032789643</t>
  </si>
  <si>
    <t>-0.22076222774655108</t>
  </si>
  <si>
    <t>-0.4726095939700063</t>
  </si>
  <si>
    <t>0.5338507946325373</t>
  </si>
  <si>
    <t>0.6753892530586991</t>
  </si>
  <si>
    <t>0.057671894833271</t>
  </si>
  <si>
    <t>0.763718554599727</t>
  </si>
  <si>
    <t>-0.4981012651324322</t>
  </si>
  <si>
    <t>0.28754509878239515</t>
  </si>
  <si>
    <t>0.3276958799481993</t>
  </si>
  <si>
    <t>0.346282684630689</t>
  </si>
  <si>
    <t>-0.3255574975544726</t>
  </si>
  <si>
    <t>-0.45242798913378424</t>
  </si>
  <si>
    <t>0.011561407585181501</t>
  </si>
  <si>
    <t>-0.20579272216578043</t>
  </si>
  <si>
    <t>-0.529786758717134</t>
  </si>
  <si>
    <t>-0.2520727302795129</t>
  </si>
  <si>
    <t>-0.8907525546559095</t>
  </si>
  <si>
    <t>-0.16233485698226455</t>
  </si>
  <si>
    <t>-0.6099111719223251</t>
  </si>
  <si>
    <t>-0.060227144891118134</t>
  </si>
  <si>
    <t>-0.008995365239518252</t>
  </si>
  <si>
    <t>0.04077595489357552</t>
  </si>
  <si>
    <t>-0.5994953645731418</t>
  </si>
  <si>
    <t>0.12609579791732856</t>
  </si>
  <si>
    <t>0.14443761498333596</t>
  </si>
  <si>
    <t>-0.836633869516657</t>
  </si>
  <si>
    <t>0.5459860395618985</t>
  </si>
  <si>
    <t>0.1512703185518672</t>
  </si>
  <si>
    <t>-1.1226228914998162</t>
  </si>
  <si>
    <t>-0.47489698234839556</t>
  </si>
  <si>
    <t>0.4837644768877719</t>
  </si>
  <si>
    <t>0.7922152599648629</t>
  </si>
  <si>
    <t>0.4281872407243261</t>
  </si>
  <si>
    <t>0.17836605455386215</t>
  </si>
  <si>
    <t>-0.2896722889489479</t>
  </si>
  <si>
    <t>-0.24851078341160607</t>
  </si>
  <si>
    <t>-0.24208721133570518</t>
  </si>
  <si>
    <t>-0.3119844518214346</t>
  </si>
  <si>
    <t>-0.48547735912456597</t>
  </si>
  <si>
    <t>-0.390342023836886</t>
  </si>
  <si>
    <t>-0.04061384609757222</t>
  </si>
  <si>
    <t>-0.628558719597332</t>
  </si>
  <si>
    <t>-0.17444401307711205</t>
  </si>
  <si>
    <t>-1.1572798808215459</t>
  </si>
  <si>
    <t>-0.12176113861507941</t>
  </si>
  <si>
    <t>1.0607810233591535</t>
  </si>
  <si>
    <t>0.8778511017595506</t>
  </si>
  <si>
    <t>0.7583631373352037</t>
  </si>
  <si>
    <t>-0.14162455025140103</t>
  </si>
  <si>
    <t>0.22262732168499372</t>
  </si>
  <si>
    <t>-0.19404686442593214</t>
  </si>
  <si>
    <t>-0.03514353668705427</t>
  </si>
  <si>
    <t>0.2153891574521202</t>
  </si>
  <si>
    <t>0.7736741712038001</t>
  </si>
  <si>
    <t>-0.5040396592476155</t>
  </si>
  <si>
    <t>-0.6351614145663488</t>
  </si>
  <si>
    <t>-0.4518128725036367</t>
  </si>
  <si>
    <t>0.20465435651327776</t>
  </si>
  <si>
    <t>0.24096424127721114</t>
  </si>
  <si>
    <t>-0.7791134094557989</t>
  </si>
  <si>
    <t>0.025929938923570175</t>
  </si>
  <si>
    <t>-0.19176538469515197</t>
  </si>
  <si>
    <t>0.5466328563341246</t>
  </si>
  <si>
    <t>-0.43267952389925074</t>
  </si>
  <si>
    <t>-0.6455296481748796</t>
  </si>
  <si>
    <t>0.29570989760910976</t>
  </si>
  <si>
    <t>1.012090029857819</t>
  </si>
  <si>
    <t>-0.6687846180836853</t>
  </si>
  <si>
    <t>-0.5558354961222466</t>
  </si>
  <si>
    <t>0.1067968551609855</t>
  </si>
  <si>
    <t>-0.3510599984487427</t>
  </si>
  <si>
    <t>0.2847588410938961</t>
  </si>
  <si>
    <t>0.2540634402147663</t>
  </si>
  <si>
    <t>-0.2808353175990201</t>
  </si>
  <si>
    <t>0.7865850442090075</t>
  </si>
  <si>
    <t>0.02272543944938565</t>
  </si>
  <si>
    <t>-0.0554507227481149</t>
  </si>
  <si>
    <t>0.5664614290740786</t>
  </si>
  <si>
    <t>0.22141011690180898</t>
  </si>
  <si>
    <t>-0.3639819414237869</t>
  </si>
  <si>
    <t>-0.04706959500356822</t>
  </si>
  <si>
    <t>0.28768758838172237</t>
  </si>
  <si>
    <t>1.3104644614670389</t>
  </si>
  <si>
    <t>-0.4424888792428361</t>
  </si>
  <si>
    <t>0.7769683030927422</t>
  </si>
  <si>
    <t>0.22868199666549943</t>
  </si>
  <si>
    <t>0.27732954703136437</t>
  </si>
  <si>
    <t>-0.2505247749349697</t>
  </si>
  <si>
    <t>-0.427514928723928</t>
  </si>
  <si>
    <t>0.5554141567197797</t>
  </si>
  <si>
    <t>-0.4312320956950863</t>
  </si>
  <si>
    <t>-0.35132674944347236</t>
  </si>
  <si>
    <t>0.6413846751517418</t>
  </si>
  <si>
    <t>-0.12324802995139067</t>
  </si>
  <si>
    <t>-0.27532209624482434</t>
  </si>
  <si>
    <t>0.14185835677358424</t>
  </si>
  <si>
    <t>-0.8590718836136151</t>
  </si>
  <si>
    <t>0.434189550539369</t>
  </si>
  <si>
    <t>-0.1564179538808864</t>
  </si>
  <si>
    <t>-0.7290165738606035</t>
  </si>
  <si>
    <t>-0.3649735271615419</t>
  </si>
  <si>
    <t>-0.43170753679698176</t>
  </si>
  <si>
    <t>0.09204292285934768</t>
  </si>
  <si>
    <t>0.8740349214283203</t>
  </si>
  <si>
    <t>-0.6885520756254323</t>
  </si>
  <si>
    <t>-0.30993393172876454</t>
  </si>
  <si>
    <t>1.184767645064764</t>
  </si>
  <si>
    <t>1.2557757622569765</t>
  </si>
  <si>
    <t>0.10926462867046288</t>
  </si>
  <si>
    <t>-0.9838882284944541</t>
  </si>
  <si>
    <t>0.36991244442952603</t>
  </si>
  <si>
    <t>-0.6136791551521014</t>
  </si>
  <si>
    <t>-1.128560877053799</t>
  </si>
  <si>
    <t>0.4290362311650974</t>
  </si>
  <si>
    <t>-1.2613279230488383</t>
  </si>
  <si>
    <t>0.3868951392002789</t>
  </si>
  <si>
    <t>-1.1353500645939956</t>
  </si>
  <si>
    <t>1.1561052155502232</t>
  </si>
  <si>
    <t>0.18096883909604483</t>
  </si>
  <si>
    <t>0.5485096781413173</t>
  </si>
  <si>
    <t>-0.6910545172291139</t>
  </si>
  <si>
    <t>0.4317544926630244</t>
  </si>
  <si>
    <t>-0.18743656846275447</t>
  </si>
  <si>
    <t>0.1777561997288205</t>
  </si>
  <si>
    <t>-0.04451834220794</t>
  </si>
  <si>
    <t>0.694297373931985</t>
  </si>
  <si>
    <t>0.7418656226571507</t>
  </si>
  <si>
    <t>0.11337297613088237</t>
  </si>
  <si>
    <t>-0.24180099416301157</t>
  </si>
  <si>
    <t>-0.4632163620820764</t>
  </si>
  <si>
    <t>0.39956461572730717</t>
  </si>
  <si>
    <t>0.9818120691443971</t>
  </si>
  <si>
    <t>-0.33928187173108226</t>
  </si>
  <si>
    <t>0.8837281946227846</t>
  </si>
  <si>
    <t>-0.13079443076914787</t>
  </si>
  <si>
    <t>0.6690596791547451</t>
  </si>
  <si>
    <t>0.4698939864045417</t>
  </si>
  <si>
    <t>-0.11515819207341604</t>
  </si>
  <si>
    <t>-0.4947864356915314</t>
  </si>
  <si>
    <t>0.455037767459564</t>
  </si>
  <si>
    <t>0.12299278868510477</t>
  </si>
  <si>
    <t>-0.5287414469338402</t>
  </si>
  <si>
    <t>0.7831872100712863</t>
  </si>
  <si>
    <t>-0.4226187614216685</t>
  </si>
  <si>
    <t>-0.017270278621141798</t>
  </si>
  <si>
    <t>0.4947982372067514</t>
  </si>
  <si>
    <t>-0.5296346949851902</t>
  </si>
  <si>
    <t>0.32321143052140644</t>
  </si>
  <si>
    <t>0.8567541393173095</t>
  </si>
  <si>
    <t>-0.39374736745852607</t>
  </si>
  <si>
    <t>0.5437561010086716</t>
  </si>
  <si>
    <t>-0.8069899138365257</t>
  </si>
  <si>
    <t>-1.0193567849345753</t>
  </si>
  <si>
    <t>-0.1279074076256963</t>
  </si>
  <si>
    <t>-0.2053790762507861</t>
  </si>
  <si>
    <t>-0.29786224922069354</t>
  </si>
  <si>
    <t>-0.1626041234445097</t>
  </si>
  <si>
    <t>-0.5645369528203303</t>
  </si>
  <si>
    <t>0.8924937283935125</t>
  </si>
  <si>
    <t>-0.11062466180076488</t>
  </si>
  <si>
    <t>0.6058081074971394</t>
  </si>
  <si>
    <t>-1.0506972539117527</t>
  </si>
  <si>
    <t>0.10923435518443073</t>
  </si>
  <si>
    <t>-0.05651581543151244</t>
  </si>
  <si>
    <t>0.15816002291097161</t>
  </si>
  <si>
    <t>-0.008844340217817609</t>
  </si>
  <si>
    <t>0.13056975546813188</t>
  </si>
  <si>
    <t>1.0140041978308338</t>
  </si>
  <si>
    <t>-0.5038053925228709</t>
  </si>
  <si>
    <t>-1.001281404607342</t>
  </si>
  <si>
    <t>1.1540439865007284</t>
  </si>
  <si>
    <t>0.4366636631105289</t>
  </si>
  <si>
    <t>-0.17158101729863906</t>
  </si>
  <si>
    <t>-0.5243367548613416</t>
  </si>
  <si>
    <t>1.1105752285097024</t>
  </si>
  <si>
    <t>0.48493821763816325</t>
  </si>
  <si>
    <t>-0.3628103715922283</t>
  </si>
  <si>
    <t>0.8463958575507166</t>
  </si>
  <si>
    <t>0.184076789621185</t>
  </si>
  <si>
    <t>0.5334475305398848</t>
  </si>
  <si>
    <t>0.2713827026906734</t>
  </si>
  <si>
    <t>0.5909473677503925</t>
  </si>
  <si>
    <t>-0.6745925961519824</t>
  </si>
  <si>
    <t>-0.0574755716916043</t>
  </si>
  <si>
    <t>-0.15365351738843605</t>
  </si>
  <si>
    <t>0.18265327045579238</t>
  </si>
  <si>
    <t>-0.05823333168345256</t>
  </si>
  <si>
    <t>-0.8432922039663829</t>
  </si>
  <si>
    <t>0.6203911965630439</t>
  </si>
  <si>
    <t>-0.28031056941542254</t>
  </si>
  <si>
    <t>-0.479762363601773</t>
  </si>
  <si>
    <t>0.5703127333714135</t>
  </si>
  <si>
    <t>-0.3209502124917807</t>
  </si>
  <si>
    <t>-0.14749354457194086</t>
  </si>
  <si>
    <t>0.3643944957515468</t>
  </si>
  <si>
    <t>0.6259397703317645</t>
  </si>
  <si>
    <t>-0.34186010859592664</t>
  </si>
  <si>
    <t>2.0267303752564025</t>
  </si>
  <si>
    <t>0.7320395390637786</t>
  </si>
  <si>
    <t>0.20647400092749524</t>
  </si>
  <si>
    <t>-0.027735088291437567</t>
  </si>
  <si>
    <t>-0.047611220659351104</t>
  </si>
  <si>
    <t>0.4405687222087462</t>
  </si>
  <si>
    <t>-0.7602957599891518</t>
  </si>
  <si>
    <t>-0.13904711762446648</t>
  </si>
  <si>
    <t>-0.04292949275898035</t>
  </si>
  <si>
    <t>-0.767519618655453</t>
  </si>
  <si>
    <t>-0.33277944350374117</t>
  </si>
  <si>
    <t>-0.6160174723781566</t>
  </si>
  <si>
    <t>-0.8905473481061137</t>
  </si>
  <si>
    <t>0.4286301604815619</t>
  </si>
  <si>
    <t>-2.242171699927694</t>
  </si>
  <si>
    <t>0.587930169156732</t>
  </si>
  <si>
    <t>-0.4620953600091339</t>
  </si>
  <si>
    <t>-1.2305385126162005</t>
  </si>
  <si>
    <t>0.2059965869746091</t>
  </si>
  <si>
    <t>0.11070731806676351</t>
  </si>
  <si>
    <t>-0.592170538654992</t>
  </si>
  <si>
    <t>0.5398818587175448</t>
  </si>
  <si>
    <t>0.9497656764490019</t>
  </si>
  <si>
    <t>0.34386684093634334</t>
  </si>
  <si>
    <t>0.23487232662260488</t>
  </si>
  <si>
    <t>1.9653976139257876</t>
  </si>
  <si>
    <t>0.19442767460518026</t>
  </si>
  <si>
    <t>-0.5682899966450937</t>
  </si>
  <si>
    <t>0.2743171206189025</t>
  </si>
  <si>
    <t>1.4109455237340383</t>
  </si>
  <si>
    <t>0.2766721575029159</t>
  </si>
  <si>
    <t>0.3669863210047886</t>
  </si>
  <si>
    <t>0.15968058646218836</t>
  </si>
  <si>
    <t>0.6068675349553849</t>
  </si>
  <si>
    <t>0.0440996178203247</t>
  </si>
  <si>
    <t>1.0077155550015273</t>
  </si>
  <si>
    <t>0.9677847006246102</t>
  </si>
  <si>
    <t>0.31731644623205274</t>
  </si>
  <si>
    <t>-1.0280170765449432</t>
  </si>
  <si>
    <t>1.0757012963705492</t>
  </si>
  <si>
    <t>0.5902777141628833</t>
  </si>
  <si>
    <t>-0.6413604497811215</t>
  </si>
  <si>
    <t>1.0496262908764398</t>
  </si>
  <si>
    <t>1.9763241367650377</t>
  </si>
  <si>
    <t>-0.764915895996801</t>
  </si>
  <si>
    <t>-1.0662272349530901</t>
  </si>
  <si>
    <t>-0.8363490006311731</t>
  </si>
  <si>
    <t>0.841152190445596</t>
  </si>
  <si>
    <t>0.3411941785700929</t>
  </si>
  <si>
    <t>0.5354960106676272</t>
  </si>
  <si>
    <t>0.3234641465172343</t>
  </si>
  <si>
    <t>0.3207756819696508</t>
  </si>
  <si>
    <t>-0.8570469511044612</t>
  </si>
  <si>
    <t>0.04542223985610835</t>
  </si>
  <si>
    <t>1.0795572329229493</t>
  </si>
  <si>
    <t>0.33303805524927876</t>
  </si>
  <si>
    <t>-0.9268170098696323</t>
  </si>
  <si>
    <t>0.43356134441503713</t>
  </si>
  <si>
    <t>1.1657016411359065</t>
  </si>
  <si>
    <t>-0.7006580954561855</t>
  </si>
  <si>
    <t>-0.7505134658847278</t>
  </si>
  <si>
    <t>-0.9621234681509865</t>
  </si>
  <si>
    <t>1.554625470921123</t>
  </si>
  <si>
    <t>-0.8708802252190239</t>
  </si>
  <si>
    <t>-0.07199576961553754</t>
  </si>
  <si>
    <t>1.062065985402819</t>
  </si>
  <si>
    <t>-1.2238213927410426</t>
  </si>
  <si>
    <t>3.1957852353580756</t>
  </si>
  <si>
    <t>0.3273599674717886</t>
  </si>
  <si>
    <t>-1.3056846753573348</t>
  </si>
  <si>
    <t>-0.293968863904371</t>
  </si>
  <si>
    <t>0.36939560227989904</t>
  </si>
  <si>
    <t>-0.2578234434159395</t>
  </si>
  <si>
    <t>-0.3017695384926529</t>
  </si>
  <si>
    <t>-1.770597874964242</t>
  </si>
  <si>
    <t>0.27066917523728073</t>
  </si>
  <si>
    <t>0.2663020288894626</t>
  </si>
  <si>
    <t>-0.5325629982350769</t>
  </si>
  <si>
    <t>1.9051797913676123</t>
  </si>
  <si>
    <t>1.3858027419208998</t>
  </si>
  <si>
    <t>-0.6083616604881508</t>
  </si>
  <si>
    <t>-0.27737415099260304</t>
  </si>
  <si>
    <t>0.42089201971286233</t>
  </si>
  <si>
    <t>1.0431614322506209</t>
  </si>
  <si>
    <t>-1.6963251399396488</t>
  </si>
  <si>
    <t>-1.062045116741127</t>
  </si>
  <si>
    <t>-1.2540721592879815</t>
  </si>
  <si>
    <t>-0.46451335105360364</t>
  </si>
  <si>
    <t>0.5997387146609332</t>
  </si>
  <si>
    <t>0.9772000114794591</t>
  </si>
  <si>
    <t>-1.953486253595045</t>
  </si>
  <si>
    <t>-0.7382665654261202</t>
  </si>
  <si>
    <t>-0.71145365237347</t>
  </si>
  <si>
    <t>-0.4147160131823874</t>
  </si>
  <si>
    <t>-1.2738997798046345</t>
  </si>
  <si>
    <t>-1.5084865032762944</t>
  </si>
  <si>
    <t>-0.22747343688523328</t>
  </si>
  <si>
    <t>-0.4261732196052659</t>
  </si>
  <si>
    <t>-0.10235649136930051</t>
  </si>
  <si>
    <t>-0.3156186189470918</t>
  </si>
  <si>
    <t>0.7592279217004427</t>
  </si>
  <si>
    <t>-0.6350990554080254</t>
  </si>
  <si>
    <t>0.3203845835841596</t>
  </si>
  <si>
    <t>-2.6338550696957648</t>
  </si>
  <si>
    <t>1.76280039664458</t>
  </si>
  <si>
    <t>-0.5238930461372221</t>
  </si>
  <si>
    <t>-1.6465776376293921</t>
  </si>
  <si>
    <t>-1.3368577539348607</t>
  </si>
  <si>
    <t>1.720170047240523</t>
  </si>
  <si>
    <t>-1.116848322178718</t>
  </si>
  <si>
    <t>-0.15489382672755805</t>
  </si>
  <si>
    <t>1.3321131225517198</t>
  </si>
  <si>
    <t>-0.720601188194535</t>
  </si>
  <si>
    <t>-0.8101290307343083</t>
  </si>
  <si>
    <t>0.0032491613555044995</t>
  </si>
  <si>
    <t>-0.6846191097765875</t>
  </si>
  <si>
    <t>0.6853305424406039</t>
  </si>
  <si>
    <t>-0.34703981867207234</t>
  </si>
  <si>
    <t>2.2421896519656928</t>
  </si>
  <si>
    <t>-0.5247725323806817</t>
  </si>
  <si>
    <t>-0.998259058883427</t>
  </si>
  <si>
    <t>0.22788095652108487</t>
  </si>
  <si>
    <t>1.3623480105152834</t>
  </si>
  <si>
    <t>-0.002859894868556556</t>
  </si>
  <si>
    <t>-1.8117358431770216</t>
  </si>
  <si>
    <t>0.8816466929660475</t>
  </si>
  <si>
    <t>-2.5109357645909567</t>
  </si>
  <si>
    <t>2.599315759552535</t>
  </si>
  <si>
    <t>-0.21827976101526295</t>
  </si>
  <si>
    <t>-1.1320808609448412</t>
  </si>
  <si>
    <t>1.9429660125334993</t>
  </si>
  <si>
    <t>-1.2199932634591093</t>
  </si>
  <si>
    <t>-1.1662719208996715</t>
  </si>
  <si>
    <t>0.7913522908576728</t>
  </si>
  <si>
    <t>-1.2408217282380538</t>
  </si>
  <si>
    <t>-1.7707387894885802</t>
  </si>
  <si>
    <t>-2.6905631806246166</t>
  </si>
  <si>
    <t>-1.2570951033778621</t>
  </si>
  <si>
    <t>1.2648300013682416</t>
  </si>
  <si>
    <t>-0.4198882837067374</t>
  </si>
  <si>
    <t>-2.6506671529582286</t>
  </si>
  <si>
    <t>1.0988858015217007</t>
  </si>
  <si>
    <t>-2.1548818520407824</t>
  </si>
  <si>
    <t>0.05197020828768072</t>
  </si>
  <si>
    <t>-0.15120989333621426</t>
  </si>
  <si>
    <t>1.354398282972881</t>
  </si>
  <si>
    <t>-0.7366370550930512</t>
  </si>
  <si>
    <t>0.4163253423520429</t>
  </si>
  <si>
    <t>1.223973345140893</t>
  </si>
  <si>
    <t>-0.8933438301497569</t>
  </si>
  <si>
    <t>0.5742227763884208</t>
  </si>
  <si>
    <t>2.5986875303104093</t>
  </si>
  <si>
    <t>0.32297707305464735</t>
  </si>
  <si>
    <t>1.7160171795434926</t>
  </si>
  <si>
    <t>3.988235004344123</t>
  </si>
  <si>
    <t>0.6041281635838907</t>
  </si>
  <si>
    <t>-0.43995758470602725</t>
  </si>
  <si>
    <t>1.4155751075093381</t>
  </si>
  <si>
    <t>-2.399961292970616</t>
  </si>
  <si>
    <t>0.23662178667930914</t>
  </si>
  <si>
    <t>-1.9758190606948103</t>
  </si>
  <si>
    <t>1.0496148370907592</t>
  </si>
  <si>
    <t>0.43661715515187793</t>
  </si>
  <si>
    <t>-0.40446429107835713</t>
  </si>
  <si>
    <t>-0.6490032935891726</t>
  </si>
  <si>
    <t>-0.3760989159933141</t>
  </si>
  <si>
    <t>-0.9939202733595598</t>
  </si>
  <si>
    <t>0.03922367737913705</t>
  </si>
  <si>
    <t>0.08609402094346846</t>
  </si>
  <si>
    <t>-1.3408659244174992</t>
  </si>
  <si>
    <t>-1.3162340946231488</t>
  </si>
  <si>
    <t>-3.705578588500482</t>
  </si>
  <si>
    <t>3.596610198008413</t>
  </si>
  <si>
    <t>1.0704619261555595</t>
  </si>
  <si>
    <t>2.2120525716824337</t>
  </si>
  <si>
    <t>-1.1735094280573362</t>
  </si>
  <si>
    <t>2.505908039147342</t>
  </si>
  <si>
    <t>0.9274780532621215</t>
  </si>
  <si>
    <t>1.038502574021144</t>
  </si>
  <si>
    <t>-1.5467054579126778</t>
  </si>
  <si>
    <t>1.1065620407174346</t>
  </si>
  <si>
    <t>1.3208035828013953</t>
  </si>
  <si>
    <t>0.9221443322415454</t>
  </si>
  <si>
    <t>0.48494777649577187</t>
  </si>
  <si>
    <t>1.1531514089444599</t>
  </si>
  <si>
    <t>-1.4550461076766534</t>
  </si>
  <si>
    <t>1.195285098689248</t>
  </si>
  <si>
    <t>-0.3920732690702158</t>
  </si>
  <si>
    <t>-1.3003285796738697</t>
  </si>
  <si>
    <t>0.6162462732420949</t>
  </si>
  <si>
    <t>-1.087509391500014</t>
  </si>
  <si>
    <t>0.4148092520824316</t>
  </si>
  <si>
    <t>2.383808466854553</t>
  </si>
  <si>
    <t>-0.7785059687080399</t>
  </si>
  <si>
    <t>-0.6712627412502848</t>
  </si>
  <si>
    <t>-1.1416427580461472</t>
  </si>
  <si>
    <t>0.6173195489464487</t>
  </si>
  <si>
    <t>-0.3686556358058184</t>
  </si>
  <si>
    <t>0.031454934313110784</t>
  </si>
  <si>
    <t>0.5978598160488624</t>
  </si>
  <si>
    <t>1.6823186192280988</t>
  </si>
  <si>
    <t>-0.9256182918565334</t>
  </si>
  <si>
    <t>0.15426128499258274</t>
  </si>
  <si>
    <t>-0.8708977765570509</t>
  </si>
  <si>
    <t>0.08853588977230459</t>
  </si>
  <si>
    <t>-0.5215009621118356</t>
  </si>
  <si>
    <t>2.0355836579655464</t>
  </si>
  <si>
    <t>-1.0420958144176855</t>
  </si>
  <si>
    <t>0.8964789234935071</t>
  </si>
  <si>
    <t>-1.832141301816733</t>
  </si>
  <si>
    <t>0.9419208484066984</t>
  </si>
  <si>
    <t>0.4255728621321133</t>
  </si>
  <si>
    <t>-1.4363396483633386</t>
  </si>
  <si>
    <t>0.3464294143930845</t>
  </si>
  <si>
    <t>-1.6865113158045162</t>
  </si>
  <si>
    <t>1.2241729187848258</t>
  </si>
  <si>
    <t>-0.2176929471543889</t>
  </si>
  <si>
    <t>-0.03805344079604778</t>
  </si>
  <si>
    <t>-1.4128521662214168</t>
  </si>
  <si>
    <t>-0.6712866107498912</t>
  </si>
  <si>
    <t>0.5425585424670379</t>
  </si>
  <si>
    <t>-0.7265523062935293</t>
  </si>
  <si>
    <t>-0.731179706158054</t>
  </si>
  <si>
    <t>0.24030185359218584</t>
  </si>
  <si>
    <t>0.5342674887706905</t>
  </si>
  <si>
    <t>0.9016394107190838</t>
  </si>
  <si>
    <t>0.9991663648463094</t>
  </si>
  <si>
    <t>0.26138730591953063</t>
  </si>
  <si>
    <t>-0.34765383412532247</t>
  </si>
  <si>
    <t>0.03333575145767717</t>
  </si>
  <si>
    <t>-0.7129006862652874</t>
  </si>
  <si>
    <t>-4.475217209497682</t>
  </si>
  <si>
    <t>4.0598173098014865</t>
  </si>
  <si>
    <t>0.8922618564214331</t>
  </si>
  <si>
    <t>-0.457086440549714</t>
  </si>
  <si>
    <t>-0.0027160834098329464</t>
  </si>
  <si>
    <t>0.9114393069289698</t>
  </si>
  <si>
    <t>0.16522448916142818</t>
  </si>
  <si>
    <t>1.4951151531514526</t>
  </si>
  <si>
    <t>-0.5270435178313196</t>
  </si>
  <si>
    <t>-0.08306264182209393</t>
  </si>
  <si>
    <t>-1.4383152562265447</t>
  </si>
  <si>
    <t>-0.8957320697411049</t>
  </si>
  <si>
    <t>1.1523365506682386</t>
  </si>
  <si>
    <t>0.06678843785816992</t>
  </si>
  <si>
    <t>1.6261290377918978</t>
  </si>
  <si>
    <t>-0.23452848418516495</t>
  </si>
  <si>
    <t>-0.2644876659133929</t>
  </si>
  <si>
    <t>-0.06522578200660148</t>
  </si>
  <si>
    <t>1.5076097827837107</t>
  </si>
  <si>
    <t>0.6923226012349607</t>
  </si>
  <si>
    <t>-0.6911666001651389</t>
  </si>
  <si>
    <t>0.70172417316811</t>
  </si>
  <si>
    <t>-0.3170298890926959</t>
  </si>
  <si>
    <t>0.20661165787751298</t>
  </si>
  <si>
    <t>0.5258921822608784</t>
  </si>
  <si>
    <t>-0.8699172432761332</t>
  </si>
  <si>
    <t>-1.3884675975342797</t>
  </si>
  <si>
    <t>0.2046470710860331</t>
  </si>
  <si>
    <t>-1.0700516252799186</t>
  </si>
  <si>
    <t>1.3629851809880322</t>
  </si>
  <si>
    <t>-1.2227584490164436</t>
  </si>
  <si>
    <t>-0.6110564928545148</t>
  </si>
  <si>
    <t>-0.1599203359975197</t>
  </si>
  <si>
    <t>1.4135312034647856</t>
  </si>
  <si>
    <t>-0.15438994834876751</t>
  </si>
  <si>
    <t>-0.5017884008583299</t>
  </si>
  <si>
    <t>0.16784883359412545</t>
  </si>
  <si>
    <t>-0.2042986796262426</t>
  </si>
  <si>
    <t>-0.6570975211304564</t>
  </si>
  <si>
    <t>0.15900289070755205</t>
  </si>
  <si>
    <t>2.4923908658047647</t>
  </si>
  <si>
    <t>0.905122821082553</t>
  </si>
  <si>
    <t>-1.1135688031113107</t>
  </si>
  <si>
    <t>-0.39303611616542</t>
  </si>
  <si>
    <t>0.19567567982358758</t>
  </si>
  <si>
    <t>-0.11006412776392353</t>
  </si>
  <si>
    <t>-0.7397454973659154</t>
  </si>
  <si>
    <t>0.3873955187676047</t>
  </si>
  <si>
    <t>-1.182410521664887</t>
  </si>
  <si>
    <t>0.4861461738131721</t>
  </si>
  <si>
    <t>0.9112888801565268</t>
  </si>
  <si>
    <t>-0.11379838318837125</t>
  </si>
  <si>
    <t>-0.05615614645906541</t>
  </si>
  <si>
    <t>0.47283729351567144</t>
  </si>
  <si>
    <t>-1.2671739136529911</t>
  </si>
  <si>
    <t>-2.073614297962397</t>
  </si>
  <si>
    <t>0.42683300826114773</t>
  </si>
  <si>
    <t>0.44760143843707306</t>
  </si>
  <si>
    <t>1.1327988181763136</t>
  </si>
  <si>
    <t>0.8417274191326046</t>
  </si>
  <si>
    <t>2.956752411235758</t>
  </si>
  <si>
    <t>1.494919192146085</t>
  </si>
  <si>
    <t>-1.3320320473673013</t>
  </si>
  <si>
    <t>0.9297620225772045</t>
  </si>
  <si>
    <t>-0.4481128509550756</t>
  </si>
  <si>
    <t>-0.8213013490828668</t>
  </si>
  <si>
    <t>-0.01499613632028413</t>
  </si>
  <si>
    <t>0.7127529449912268</t>
  </si>
  <si>
    <t>-1.2267059430078855</t>
  </si>
  <si>
    <t>-0.6282143736009966</t>
  </si>
  <si>
    <t>1.09672541108182</t>
  </si>
  <si>
    <t>0.3082755273038756</t>
  </si>
  <si>
    <t>0.1792055671786573</t>
  </si>
  <si>
    <t>0.6441593944690427</t>
  </si>
  <si>
    <t>-0.5463829544624185</t>
  </si>
  <si>
    <t>-0.3998228786820661</t>
  </si>
  <si>
    <t>-0.14974342413984212</t>
  </si>
  <si>
    <t>-1.4585480586091601</t>
  </si>
  <si>
    <t>1.0008646817000038</t>
  </si>
  <si>
    <t>-0.44024218799386544</t>
  </si>
  <si>
    <t>1.177220428121066</t>
  </si>
  <si>
    <t>-0.0041547178696004295</t>
  </si>
  <si>
    <t>-0.05776389139820389</t>
  </si>
  <si>
    <t>-0.6060442521730085</t>
  </si>
  <si>
    <t>1.062506001238147</t>
  </si>
  <si>
    <t>0.7164494231669007</t>
  </si>
  <si>
    <t>-0.46636899938004783</t>
  </si>
  <si>
    <t>-0.3551059458248541</t>
  </si>
  <si>
    <t>-0.039732227550961556</t>
  </si>
  <si>
    <t>1.054704535338751</t>
  </si>
  <si>
    <t>0.1599403441091959</t>
  </si>
  <si>
    <t>-0.8163421488920368</t>
  </si>
  <si>
    <t>0.2850570103349339</t>
  </si>
  <si>
    <t>0.8987398703868211</t>
  </si>
  <si>
    <t>-0.052807673303391874</t>
  </si>
  <si>
    <t>-0.11046092530492817</t>
  </si>
  <si>
    <t>-1.16835951785359</t>
  </si>
  <si>
    <t>0.4377161690102645</t>
  </si>
  <si>
    <t>0.2973959066500839</t>
  </si>
  <si>
    <t>-0.059886740726191295</t>
  </si>
  <si>
    <t>-0.6653427411706174</t>
  </si>
  <si>
    <t>-1.4011237920538893</t>
  </si>
  <si>
    <t>0.8540453816530923</t>
  </si>
  <si>
    <t>-0.9453290883635603</t>
  </si>
  <si>
    <t>-0.2568161025782127</t>
  </si>
  <si>
    <t>1.0152123471206962</t>
  </si>
  <si>
    <t>-0.39986458094116173</t>
  </si>
  <si>
    <t>1.1913973490648029</t>
  </si>
  <si>
    <t>0.6270296928252191</t>
  </si>
  <si>
    <t>-0.15478183126165931</t>
  </si>
  <si>
    <t>0.23243562166406684</t>
  </si>
  <si>
    <t>0.4620714819855712</t>
  </si>
  <si>
    <t>1.133278942346654</t>
  </si>
  <si>
    <t>-0.7848053350820471</t>
  </si>
  <si>
    <t>-0.09596264459745937</t>
  </si>
  <si>
    <t>1.3409360033310533</t>
  </si>
  <si>
    <t>0.173016126789741</t>
  </si>
  <si>
    <t>-0.284744817966018</t>
  </si>
  <si>
    <t>-0.6432051424525452</t>
  </si>
  <si>
    <t>0.28362321069421365</t>
  </si>
  <si>
    <t>-0.25590910187728066</t>
  </si>
  <si>
    <t>0.1166811589802891</t>
  </si>
  <si>
    <t>0.5143615714725602</t>
  </si>
  <si>
    <t>0.14175301980895125</t>
  </si>
  <si>
    <t>0.9921379262250419</t>
  </si>
  <si>
    <t>-0.48153752925984267</t>
  </si>
  <si>
    <t>0.2265516465265574</t>
  </si>
  <si>
    <t>0.5624271135406489</t>
  </si>
  <si>
    <t>0.6521946675166904</t>
  </si>
  <si>
    <t>0.00851916706559739</t>
  </si>
  <si>
    <t>0.7016383902823973</t>
  </si>
  <si>
    <t>0.05722348385547323</t>
  </si>
  <si>
    <t>-0.47054079397226983</t>
  </si>
  <si>
    <t>0.9954129015425004</t>
  </si>
  <si>
    <t>-0.4641955176974623</t>
  </si>
  <si>
    <t>-0.7268336047281708</t>
  </si>
  <si>
    <t>-1.238238880775275</t>
  </si>
  <si>
    <t>0.7431320142870369</t>
  </si>
  <si>
    <t>-0.018684484194394495</t>
  </si>
  <si>
    <t>0.6878433266614947</t>
  </si>
  <si>
    <t>0.5323517701587732</t>
  </si>
  <si>
    <t>0.4930519481536301</t>
  </si>
  <si>
    <t>0.491619193293321</t>
  </si>
  <si>
    <t>0.046363528548162156</t>
  </si>
  <si>
    <t>-0.4196150899136371</t>
  </si>
  <si>
    <t>0.036419007517303634</t>
  </si>
  <si>
    <t>0.7228098853524915</t>
  </si>
  <si>
    <t>0.2626609011491149</t>
  </si>
  <si>
    <t>-0.41057794019652677</t>
  </si>
  <si>
    <t>0.34639000887200744</t>
  </si>
  <si>
    <t>0.575271301769816</t>
  </si>
  <si>
    <t>-0.1587093259938476</t>
  </si>
  <si>
    <t>1.1323682730716589</t>
  </si>
  <si>
    <t>0.47508180727130755</t>
  </si>
  <si>
    <t>-0.6052694039611498</t>
  </si>
  <si>
    <t>0.12480934015162432</t>
  </si>
  <si>
    <t>-0.16100648030430542</t>
  </si>
  <si>
    <t>0.8426097128505013</t>
  </si>
  <si>
    <t>-0.02731015191583748</t>
  </si>
  <si>
    <t>0.16614434277813217</t>
  </si>
  <si>
    <t>0.7590241888062621</t>
  </si>
  <si>
    <t>-0.6179329658061706</t>
  </si>
  <si>
    <t>0.4340532981866339</t>
  </si>
  <si>
    <t>0.6888233976259184</t>
  </si>
  <si>
    <t>0.5777935240960799</t>
  </si>
  <si>
    <t>0.07785207943269795</t>
  </si>
  <si>
    <t>0.9593797555961058</t>
  </si>
  <si>
    <t>0.18467531357075528</t>
  </si>
  <si>
    <t>0.9347736988246004</t>
  </si>
  <si>
    <t>-0.6121969485660017</t>
  </si>
  <si>
    <t>-0.16020197827672206</t>
  </si>
  <si>
    <t>-0.5056579314588415</t>
  </si>
  <si>
    <t>0.4129358463176875</t>
  </si>
  <si>
    <t>0.7906340924088389</t>
  </si>
  <si>
    <t>0.14912513658756787</t>
  </si>
  <si>
    <t>0.11806199997130348</t>
  </si>
  <si>
    <t>0.33460833382730537</t>
  </si>
  <si>
    <t>1.6355584831503405</t>
  </si>
  <si>
    <t>-0.7655252803738076</t>
  </si>
  <si>
    <t>1.240023964494195</t>
  </si>
  <si>
    <t>0.05817008470276324</t>
  </si>
  <si>
    <t>0.2739532773920897</t>
  </si>
  <si>
    <t>-0.454963496478844</t>
  </si>
  <si>
    <t>-1.0100509437042562</t>
  </si>
  <si>
    <t>0.5340446230307588</t>
  </si>
  <si>
    <t>0.3520915091181968</t>
  </si>
  <si>
    <t>-1.1726684482812828</t>
  </si>
  <si>
    <t>-1.8877821063115339</t>
  </si>
  <si>
    <t>1.5378287359632645</t>
  </si>
  <si>
    <t>0.30187737276917953</t>
  </si>
  <si>
    <t>-0.9690978833348248</t>
  </si>
  <si>
    <t>0.223922185275782</t>
  </si>
  <si>
    <t>0.34162816817276886</t>
  </si>
  <si>
    <t>-0.2340772737024636</t>
  </si>
  <si>
    <t>0.3059334193506566</t>
  </si>
  <si>
    <t>0.992785396432563</t>
  </si>
  <si>
    <t>-0.19973252281559153</t>
  </si>
  <si>
    <t>-1.1262153163236612</t>
  </si>
  <si>
    <t>-0.7722014784333481</t>
  </si>
  <si>
    <t>1.2872106826278937</t>
  </si>
  <si>
    <t>-0.9748716619401273</t>
  </si>
  <si>
    <t>0.6535375001984751</t>
  </si>
  <si>
    <t>0.26937940706880464</t>
  </si>
  <si>
    <t>-0.08077876235514479</t>
  </si>
  <si>
    <t>-0.6907168445539642</t>
  </si>
  <si>
    <t>-1.9389641394292751</t>
  </si>
  <si>
    <t>0.7588202860666321</t>
  </si>
  <si>
    <t>-1.0050489962237428</t>
  </si>
  <si>
    <t>0.3301831984313136</t>
  </si>
  <si>
    <t>-0.21555599412999707</t>
  </si>
  <si>
    <t>-0.43786888696560755</t>
  </si>
  <si>
    <t>-0.9736773444138561</t>
  </si>
  <si>
    <t>0.6363198622321893</t>
  </si>
  <si>
    <t>-0.6099420634906118</t>
  </si>
  <si>
    <t>0.6421939522688164</t>
  </si>
  <si>
    <t>-0.30939411592730587</t>
  </si>
  <si>
    <t>0.2471710092980599</t>
  </si>
  <si>
    <t>1.1768493630392616</t>
  </si>
  <si>
    <t>0.6752248998260963</t>
  </si>
  <si>
    <t>-0.5672195638206412</t>
  </si>
  <si>
    <t>-0.1101795657877649</t>
  </si>
  <si>
    <t>-0.7453121587916716</t>
  </si>
  <si>
    <t>-0.20509586059340562</t>
  </si>
  <si>
    <t>0.334533353788571</t>
  </si>
  <si>
    <t>-0.5226044149538267</t>
  </si>
  <si>
    <t>-0.7645530781961338</t>
  </si>
  <si>
    <t>0.5703179831227994</t>
  </si>
  <si>
    <t>0.05048029245421649</t>
  </si>
  <si>
    <t>0.7534351503712711</t>
  </si>
  <si>
    <t>-0.5186016503363199</t>
  </si>
  <si>
    <t>-0.12660565338097723</t>
  </si>
  <si>
    <t>-0.034407803518426615</t>
  </si>
  <si>
    <t>-0.5905482301609299</t>
  </si>
  <si>
    <t>0.6727902685249448</t>
  </si>
  <si>
    <t>-0.21233270906533322</t>
  </si>
  <si>
    <t>0.04271305539090108</t>
  </si>
  <si>
    <t>-0.6318028945529922</t>
  </si>
  <si>
    <t>-0.14604474822118277</t>
  </si>
  <si>
    <t>0.5838463600046248</t>
  </si>
  <si>
    <t>1.1785128317403466</t>
  </si>
  <si>
    <t>-0.14756985049659632</t>
  </si>
  <si>
    <t>-0.43225756279438865</t>
  </si>
  <si>
    <t>1.1148234708893472</t>
  </si>
  <si>
    <t>0.12111079442589359</t>
  </si>
  <si>
    <t>0.3774725606185974</t>
  </si>
  <si>
    <t>0.040127734928330945</t>
  </si>
  <si>
    <t>0.6208367748417444</t>
  </si>
  <si>
    <t>-1.0372045223060917</t>
  </si>
  <si>
    <t>0.2610243458470388</t>
  </si>
  <si>
    <t>-0.11248182716577207</t>
  </si>
  <si>
    <t>0.258425791284347</t>
  </si>
  <si>
    <t>0.1850825819993253</t>
  </si>
  <si>
    <t>-0.40626790510098576</t>
  </si>
  <si>
    <t>0.34319911845936146</t>
  </si>
  <si>
    <t>-0.38210598303244997</t>
  </si>
  <si>
    <t>-1.049827600768423</t>
  </si>
  <si>
    <t>0.10387715457427872</t>
  </si>
  <si>
    <t>-0.49218300048448355</t>
  </si>
  <si>
    <t>-0.41582877554716646</t>
  </si>
  <si>
    <t>-0.8165510823951075</t>
  </si>
  <si>
    <t>-0.2663069780029894</t>
  </si>
  <si>
    <t>-0.6324183226862361</t>
  </si>
  <si>
    <t>0.5531894768003804</t>
  </si>
  <si>
    <t>0.9843854095479083</t>
  </si>
  <si>
    <t>0.3079333124097064</t>
  </si>
  <si>
    <t>-0.04256978610443196</t>
  </si>
  <si>
    <t>-0.28364112737620856</t>
  </si>
  <si>
    <t>1.4732172350644401</t>
  </si>
  <si>
    <t>-0.9108722186590056</t>
  </si>
  <si>
    <t>0.5773350097793208</t>
  </si>
  <si>
    <t>-0.7045785810193907</t>
  </si>
  <si>
    <t>0.6305591936799041</t>
  </si>
  <si>
    <t>0.6903840123358532</t>
  </si>
  <si>
    <t>0.9163107823858856</t>
  </si>
  <si>
    <t>-0.3981134810977613</t>
  </si>
  <si>
    <t>-0.0029945881506497265</t>
  </si>
  <si>
    <t>0.3716131094096583</t>
  </si>
  <si>
    <t>0.5735545442012223</t>
  </si>
  <si>
    <t>0.19303920550927917</t>
  </si>
  <si>
    <t>-0.05420840245897955</t>
  </si>
  <si>
    <t>-0.2225386999297517</t>
  </si>
  <si>
    <t>0.19855723777887596</t>
  </si>
  <si>
    <t>0.8490118109187788</t>
  </si>
  <si>
    <t>0.2847942345653159</t>
  </si>
  <si>
    <t>0.1987067900375848</t>
  </si>
  <si>
    <t>0.628193613079891</t>
  </si>
  <si>
    <t>0.19979738437135686</t>
  </si>
  <si>
    <t>-0.9210604347034113</t>
  </si>
  <si>
    <t>0.5545581960189655</t>
  </si>
  <si>
    <t>-0.650469157763487</t>
  </si>
  <si>
    <t>0.2833823363293721</t>
  </si>
  <si>
    <t>-0.22002878262630343</t>
  </si>
  <si>
    <t>0.2054452850746866</t>
  </si>
  <si>
    <t>0.1690897655401076</t>
  </si>
  <si>
    <t>0.01751554266908125</t>
  </si>
  <si>
    <t>0.3428783364460415</t>
  </si>
  <si>
    <t>0.13440995897024563</t>
  </si>
  <si>
    <t>0.4729779157188956</t>
  </si>
  <si>
    <t>1.0223404129098057</t>
  </si>
  <si>
    <t>-0.36937961967956773</t>
  </si>
  <si>
    <t>1.2608149021637394</t>
  </si>
  <si>
    <t>0.0060242830515672445</t>
  </si>
  <si>
    <t>0.1679691727542055</t>
  </si>
  <si>
    <t>-0.30528937446634125</t>
  </si>
  <si>
    <t>-0.3993037002595456</t>
  </si>
  <si>
    <t>0.1342543065267088</t>
  </si>
  <si>
    <t>0.36992950258352664</t>
  </si>
  <si>
    <t>-0.388118649608908</t>
  </si>
  <si>
    <t>0.472473908758938</t>
  </si>
  <si>
    <t>-0.05168122288091099</t>
  </si>
  <si>
    <t>1.4122914125660824</t>
  </si>
  <si>
    <t>0.3427513007391114</t>
  </si>
  <si>
    <t>-0.6617246613285419</t>
  </si>
  <si>
    <t>0.28228911920241</t>
  </si>
  <si>
    <t>-0.5252871229372723</t>
  </si>
  <si>
    <t>-0.06618108449470962</t>
  </si>
  <si>
    <t>0.25741188829606687</t>
  </si>
  <si>
    <t>0.0956282355067102</t>
  </si>
  <si>
    <t>-0.25606814161175273</t>
  </si>
  <si>
    <t>0.3649019308835614</t>
  </si>
  <si>
    <t>0.8156579692616386</t>
  </si>
  <si>
    <t>0.8904061851922125</t>
  </si>
  <si>
    <t>-1.2263792727492222</t>
  </si>
  <si>
    <t>-0.5132634478198769</t>
  </si>
  <si>
    <t>-0.41821563607742873</t>
  </si>
  <si>
    <t>-0.05871177806236563</t>
  </si>
  <si>
    <t>0.2195198491189405</t>
  </si>
  <si>
    <t>0.2853695769806338</t>
  </si>
  <si>
    <t>-0.8798222431140941</t>
  </si>
  <si>
    <t>-0.7258008048620024</t>
  </si>
  <si>
    <t>0.5860008865630142</t>
  </si>
  <si>
    <t>0.16857505318480767</t>
  </si>
  <si>
    <t>0.8448812637944793</t>
  </si>
  <si>
    <t>-0.16933888869404767</t>
  </si>
  <si>
    <t>0.19159391809414184</t>
  </si>
  <si>
    <t>0.522504369968388</t>
  </si>
  <si>
    <t>0.12866774384004076</t>
  </si>
  <si>
    <t>-0.22936518649812895</t>
  </si>
  <si>
    <t>0.03333578860063879</t>
  </si>
  <si>
    <t>-0.7201343716327724</t>
  </si>
  <si>
    <t>0.0035152410175826668</t>
  </si>
  <si>
    <t>0.008655389139184294</t>
  </si>
  <si>
    <t>-0.4563143205386339</t>
  </si>
  <si>
    <t>-0.4611286871556885</t>
  </si>
  <si>
    <t>0.09869647792871901</t>
  </si>
  <si>
    <t>-0.13384500591650889</t>
  </si>
  <si>
    <t>0.01844139492385329</t>
  </si>
  <si>
    <t>-0.49829599047160755</t>
  </si>
  <si>
    <t>-0.12055760327123415</t>
  </si>
  <si>
    <t>-0.2538913458010966</t>
  </si>
  <si>
    <t>0.29559542106385145</t>
  </si>
  <si>
    <t>0.8328611223148144</t>
  </si>
  <si>
    <t>0.14604382199362628</t>
  </si>
  <si>
    <t>-1.0823493032350755</t>
  </si>
  <si>
    <t>0.08568772347408164</t>
  </si>
  <si>
    <t>-0.3858208717957617</t>
  </si>
  <si>
    <t>-0.42800100354958615</t>
  </si>
  <si>
    <t>0.886648977230192</t>
  </si>
  <si>
    <t>-0.6799947752632147</t>
  </si>
  <si>
    <t>-0.20836124971716416</t>
  </si>
  <si>
    <t>-0.3615137395759518</t>
  </si>
  <si>
    <t>-0.42328238651022104</t>
  </si>
  <si>
    <t>-0.6771228401663275</t>
  </si>
  <si>
    <t>0.3777393003360233</t>
  </si>
  <si>
    <t>-0.7848148718376382</t>
  </si>
  <si>
    <t>-0.39637368186700866</t>
  </si>
  <si>
    <t>0.6978490884052994</t>
  </si>
  <si>
    <t>-0.47366884564364736</t>
  </si>
  <si>
    <t>0.0033999077063885303</t>
  </si>
  <si>
    <t>-0.9919266151871424</t>
  </si>
  <si>
    <t>0.8747905675276637</t>
  </si>
  <si>
    <t>-0.23019953768006707</t>
  </si>
  <si>
    <t>0.3747166112740243</t>
  </si>
  <si>
    <t>-0.9435490405190904</t>
  </si>
  <si>
    <t>0.6120960726288552</t>
  </si>
  <si>
    <t>-0.4022808479097981</t>
  </si>
  <si>
    <t>-0.18854598168236436</t>
  </si>
  <si>
    <t>-0.5618908198787426</t>
  </si>
  <si>
    <t>-0.10286580922298828</t>
  </si>
  <si>
    <t>-0.2595346849827061</t>
  </si>
  <si>
    <t>1.018190845599925</t>
  </si>
  <si>
    <t>1.5859975478585584</t>
  </si>
  <si>
    <t>-0.6779521490673095</t>
  </si>
  <si>
    <t>-0.2395415510041122</t>
  </si>
  <si>
    <t>0.7146838047994396</t>
  </si>
  <si>
    <t>-0.1436920647264344</t>
  </si>
  <si>
    <t>-0.3955555355628669</t>
  </si>
  <si>
    <t>0.11813647301815833</t>
  </si>
  <si>
    <t>0.42465743789931243</t>
  </si>
  <si>
    <t>0.4186463199895702</t>
  </si>
  <si>
    <t>0.4902926403218995</t>
  </si>
  <si>
    <t>1.58355919167394</t>
  </si>
  <si>
    <t>-0.3012057876442797</t>
  </si>
  <si>
    <t>-0.7732636299427647</t>
  </si>
  <si>
    <t>-1.9712886668868743</t>
  </si>
  <si>
    <t>-0.1379050819460781</t>
  </si>
  <si>
    <t>-0.22250178280508803</t>
  </si>
  <si>
    <t>1.106730593490451</t>
  </si>
  <si>
    <t>-0.46805390534715213</t>
  </si>
  <si>
    <t>0.030108737300864115</t>
  </si>
  <si>
    <t>-0.5812499650991579</t>
  </si>
  <si>
    <t>0.21338742943021088</t>
  </si>
  <si>
    <t>0.05403342159748693</t>
  </si>
  <si>
    <t>-0.10476042900809693</t>
  </si>
  <si>
    <t>-0.508611692071693</t>
  </si>
  <si>
    <t>1.3106582677689158</t>
  </si>
  <si>
    <t>0.7739980847986772</t>
  </si>
  <si>
    <t>0.510304572825075</t>
  </si>
  <si>
    <t>0.6933194750994742</t>
  </si>
  <si>
    <t>-0.257981004226756</t>
  </si>
  <si>
    <t>-0.03363905885623321</t>
  </si>
  <si>
    <t>0.2534992436999349</t>
  </si>
  <si>
    <t>-0.7967799343916376</t>
  </si>
  <si>
    <t>0.3318492472106522</t>
  </si>
  <si>
    <t>-0.67312023354191</t>
  </si>
  <si>
    <t>0.1849419793518241</t>
  </si>
  <si>
    <t>-0.7774105726623636</t>
  </si>
  <si>
    <t>1.3933746834594938</t>
  </si>
  <si>
    <t>0.6020785086582425</t>
  </si>
  <si>
    <t>0.26320729005261767</t>
  </si>
  <si>
    <t>0.3835070282549064</t>
  </si>
  <si>
    <t>0.08552215534245154</t>
  </si>
  <si>
    <t>0.09485021730107615</t>
  </si>
  <si>
    <t>0.6868027618005472</t>
  </si>
  <si>
    <t>-1.5816967084219338</t>
  </si>
  <si>
    <t>-1.1593847710052934</t>
  </si>
  <si>
    <t>1.3324588933169284</t>
  </si>
  <si>
    <t>-0.1458613659264893</t>
  </si>
  <si>
    <t>0.1192575223320521</t>
  </si>
  <si>
    <t>-0.8951651458364109</t>
  </si>
  <si>
    <t>-0.673071311701499</t>
  </si>
  <si>
    <t>-0.6570534157571074</t>
  </si>
  <si>
    <t>0.2488379872604063</t>
  </si>
  <si>
    <t>1.4284067136885639</t>
  </si>
  <si>
    <t>0.17520149284848133</t>
  </si>
  <si>
    <t>0.03682495178719822</t>
  </si>
  <si>
    <t>-0.27979011893668687</t>
  </si>
  <si>
    <t>-0.09937106873727729</t>
  </si>
  <si>
    <t>-0.19624758563415776</t>
  </si>
  <si>
    <t>1.389471402854428</t>
  </si>
  <si>
    <t>1.1990365786352273</t>
  </si>
  <si>
    <t>-0.27362985397081924</t>
  </si>
  <si>
    <t>-0.6203041891630267</t>
  </si>
  <si>
    <t>-0.023156626374626232</t>
  </si>
  <si>
    <t>-0.07099306140295562</t>
  </si>
  <si>
    <t>0.40350738925891444</t>
  </si>
  <si>
    <t>-0.4236388941143425</t>
  </si>
  <si>
    <t>-1.254619636064884</t>
  </si>
  <si>
    <t>0.16746731138700435</t>
  </si>
  <si>
    <t>-0.32371204811676463</t>
  </si>
  <si>
    <t>0.5620324765441886</t>
  </si>
  <si>
    <t>1.5525840620367841</t>
  </si>
  <si>
    <t>0.7841602084568114</t>
  </si>
  <si>
    <t>-0.25100868872966536</t>
  </si>
  <si>
    <t>-1.582557689035845</t>
  </si>
  <si>
    <t>-0.6390180616764345</t>
  </si>
  <si>
    <t>1.3434449975895955</t>
  </si>
  <si>
    <t>0.6014376347614896</t>
  </si>
  <si>
    <t>-0.057994794000843446</t>
  </si>
  <si>
    <t>0.7125284011230597</t>
  </si>
  <si>
    <t>-5.402252325989801</t>
  </si>
  <si>
    <t>1.3454119194040606</t>
  </si>
  <si>
    <t>-3.3236873340190574</t>
  </si>
  <si>
    <t>-0.4950767277631709</t>
  </si>
  <si>
    <t>1.9211300089176322</t>
  </si>
  <si>
    <t>1.2625617541612628</t>
  </si>
  <si>
    <t>2.5121236431584415</t>
  </si>
  <si>
    <t>1.2855557424093427</t>
  </si>
  <si>
    <t>-0.7656328947266725</t>
  </si>
  <si>
    <t>1.094450223915506</t>
  </si>
  <si>
    <t>-0.07413335939324052</t>
  </si>
  <si>
    <t>0.22699114190821165</t>
  </si>
  <si>
    <t>-0.060426436520535885</t>
  </si>
  <si>
    <t>0.7452137059699593</t>
  </si>
  <si>
    <t>1.4838175263406332</t>
  </si>
  <si>
    <t>-1.2472760576479458</t>
  </si>
  <si>
    <t>0.4680775811686459</t>
  </si>
  <si>
    <t>-0.6218195465967683</t>
  </si>
  <si>
    <t>-1.306958294067739</t>
  </si>
  <si>
    <t>1.064662626325831</t>
  </si>
  <si>
    <t>-1.0883632595816572</t>
  </si>
  <si>
    <t>-0.6484470488926488</t>
  </si>
  <si>
    <t>-1.5995876708685297</t>
  </si>
  <si>
    <t>-0.45906449993295534</t>
  </si>
  <si>
    <t>1.050188697310314</t>
  </si>
  <si>
    <t>-1.7231574686813051</t>
  </si>
  <si>
    <t>-0.08564460010939612</t>
  </si>
  <si>
    <t>2.810299440000901</t>
  </si>
  <si>
    <t>-0.8542013884089099</t>
  </si>
  <si>
    <t>-1.6878655446913151</t>
  </si>
  <si>
    <t>-0.12930408689582298</t>
  </si>
  <si>
    <t>0.6919052668064065</t>
  </si>
  <si>
    <t>-0.3630975029205394</t>
  </si>
  <si>
    <t>-0.11078648943007319</t>
  </si>
  <si>
    <t>-0.8339918891548163</t>
  </si>
  <si>
    <t>0.13469015353176622</t>
  </si>
  <si>
    <t>0.5600262423404966</t>
  </si>
  <si>
    <t>2.2988576377791685</t>
  </si>
  <si>
    <t>-1.0668056373503032</t>
  </si>
  <si>
    <t>-0.723970120265964</t>
  </si>
  <si>
    <t>-0.2039401477270438</t>
  </si>
  <si>
    <t>-0.5748619668369351</t>
  </si>
  <si>
    <t>-0.4433329357929468</t>
  </si>
  <si>
    <t>-0.2405017635390765</t>
  </si>
  <si>
    <t>1.6984841805667845</t>
  </si>
  <si>
    <t>-1.352629366785468</t>
  </si>
  <si>
    <t>2.49851786914728</t>
  </si>
  <si>
    <t>0.25114269160388536</t>
  </si>
  <si>
    <t>1.104127409248015</t>
  </si>
  <si>
    <t>0.030979513422848277</t>
  </si>
  <si>
    <t>0.2062023567244208</t>
  </si>
  <si>
    <t>3.2445097476889333</t>
  </si>
  <si>
    <t>-0.07946677061278848</t>
  </si>
  <si>
    <t>-1.0457769249504827</t>
  </si>
  <si>
    <t>1.0086624591396123</t>
  </si>
  <si>
    <t>-1.907606068524408</t>
  </si>
  <si>
    <t>0.12770644007638263</t>
  </si>
  <si>
    <t>1.7446847932771308</t>
  </si>
  <si>
    <t>-0.7373894354971879</t>
  </si>
  <si>
    <t>-0.17346925097836757</t>
  </si>
  <si>
    <t>-1.0912060445418454</t>
  </si>
  <si>
    <t>-0.5309531389063997</t>
  </si>
  <si>
    <t>-0.11693458535014706</t>
  </si>
  <si>
    <t>0.13758332254084532</t>
  </si>
  <si>
    <t>0.7793939130471287</t>
  </si>
  <si>
    <t>-0.3099140618668081</t>
  </si>
  <si>
    <t>-1.1855725917327296</t>
  </si>
  <si>
    <t>-0.7094157856879425</t>
  </si>
  <si>
    <t>-0.6368028721312414</t>
  </si>
  <si>
    <t>0.5249291654401026</t>
  </si>
  <si>
    <t>0.7611498363824413</t>
  </si>
  <si>
    <t>0.05501681782654107</t>
  </si>
  <si>
    <t>0.10057545847942742</t>
  </si>
  <si>
    <t>0.4488852352769056</t>
  </si>
  <si>
    <t>0.23360818390129878</t>
  </si>
  <si>
    <t>-0.7550405510273759</t>
  </si>
  <si>
    <t>-0.4602301207016834</t>
  </si>
  <si>
    <t>-0.4196229158961492</t>
  </si>
  <si>
    <t>-0.6351772407041949</t>
  </si>
  <si>
    <t>-0.6094582327602087</t>
  </si>
  <si>
    <t>-0.440618143455409</t>
  </si>
  <si>
    <t>1.2010697286934005</t>
  </si>
  <si>
    <t>0.4117086744099984</t>
  </si>
  <si>
    <t>0.44930471446462733</t>
  </si>
  <si>
    <t>-0.30889133760437465</t>
  </si>
  <si>
    <t>-1.4603451116125308</t>
  </si>
  <si>
    <t>-0.03161956565352092</t>
  </si>
  <si>
    <t>0.5266155987314489</t>
  </si>
  <si>
    <t>0.30488929288489347</t>
  </si>
  <si>
    <t>-0.6721552939638431</t>
  </si>
  <si>
    <t>0.21716859707700215</t>
  </si>
  <si>
    <t>1.3651458733420574</t>
  </si>
  <si>
    <t>0.18676858667079782</t>
  </si>
  <si>
    <t>-0.3121790708800549</t>
  </si>
  <si>
    <t>-0.034432528016419606</t>
  </si>
  <si>
    <t>-1.7113850192092401</t>
  </si>
  <si>
    <t>-0.3681641025452981</t>
  </si>
  <si>
    <t>-0.2542752159984398</t>
  </si>
  <si>
    <t>-0.9274185372644969</t>
  </si>
  <si>
    <t>-1.0193713560637678</t>
  </si>
  <si>
    <t>1.0632110195306634</t>
  </si>
  <si>
    <t>0.730863735697893</t>
  </si>
  <si>
    <t>0.07219056779598523</t>
  </si>
  <si>
    <t>0.110590849988104</t>
  </si>
  <si>
    <t>-0.375503560466475</t>
  </si>
  <si>
    <t>-0.18416709306222148</t>
  </si>
  <si>
    <t>1.231871680324746</t>
  </si>
  <si>
    <t>0.3408451961757293</t>
  </si>
  <si>
    <t>-0.7031314201904462</t>
  </si>
  <si>
    <t>-0.4488550494361224</t>
  </si>
  <si>
    <t>-0.5461796467259522</t>
  </si>
  <si>
    <t>-0.32901435305881427</t>
  </si>
  <si>
    <t>0.02864270934565442</t>
  </si>
  <si>
    <t>0.19893527152228424</t>
  </si>
  <si>
    <t>-0.4004884131354808</t>
  </si>
  <si>
    <t>-0.40280985109763623</t>
  </si>
  <si>
    <t>1.35599510221161</t>
  </si>
  <si>
    <t>-0.6676255919087636</t>
  </si>
  <si>
    <t>0.5337242434681367</t>
  </si>
  <si>
    <t>-0.2856062221915512</t>
  </si>
  <si>
    <t>-0.7122375513600436</t>
  </si>
  <si>
    <t>-0.8415089276398684</t>
  </si>
  <si>
    <t>0.6779697953697804</t>
  </si>
  <si>
    <t>-1.0280519402992874</t>
  </si>
  <si>
    <t>-0.8578181913502644</t>
  </si>
  <si>
    <t>1.8494945687147197</t>
  </si>
  <si>
    <t>-1.2838148484639922</t>
  </si>
  <si>
    <t>-0.6114674645098634</t>
  </si>
  <si>
    <t>-0.8906581390136781</t>
  </si>
  <si>
    <t>2.9392463110925786</t>
  </si>
  <si>
    <t>-0.262269591763381</t>
  </si>
  <si>
    <t>0.050912772425758646</t>
  </si>
  <si>
    <t>-1.041073537999564</t>
  </si>
  <si>
    <t>-1.2188328624520504</t>
  </si>
  <si>
    <t>-0.6627751167525716</t>
  </si>
  <si>
    <t>-1.1353523354260764</t>
  </si>
  <si>
    <t>-0.19706946617763033</t>
  </si>
  <si>
    <t>0.41601815566496864</t>
  </si>
  <si>
    <t>-0.7454968361808606</t>
  </si>
  <si>
    <t>0.5220369841805882</t>
  </si>
  <si>
    <t>0.47592242325297696</t>
  </si>
  <si>
    <t>1.004348027781649</t>
  </si>
  <si>
    <t>-1.637701062576308</t>
  </si>
  <si>
    <t>0.1539565279556483</t>
  </si>
  <si>
    <t>0.929338683166528</t>
  </si>
  <si>
    <t>1.4614347719940888</t>
  </si>
  <si>
    <t>-0.8335596946885008</t>
  </si>
  <si>
    <t>1.072702406813417</t>
  </si>
  <si>
    <t>-1.0240256740769513</t>
  </si>
  <si>
    <t>-0.16378672497095917</t>
  </si>
  <si>
    <t>1.6257595679155392</t>
  </si>
  <si>
    <t>-0.11914064164490928</t>
  </si>
  <si>
    <t>1.3948714374777218</t>
  </si>
  <si>
    <t>-0.6021799331369695</t>
  </si>
  <si>
    <t>-0.4989768817478944</t>
  </si>
  <si>
    <t>-0.312740617920614</t>
  </si>
  <si>
    <t>0.07399696801327135</t>
  </si>
  <si>
    <t>-1.253410717659932</t>
  </si>
  <si>
    <t>-0.11676024245374682</t>
  </si>
  <si>
    <t>1.0562950769404862</t>
  </si>
  <si>
    <t>-0.16683603826598675</t>
  </si>
  <si>
    <t>-0.6861742259971348</t>
  </si>
  <si>
    <t>0.23169452941878466</t>
  </si>
  <si>
    <t>2.0082626983925738</t>
  </si>
  <si>
    <t>0.057327095001990756</t>
  </si>
  <si>
    <t>0.03808807514008951</t>
  </si>
  <si>
    <t>-0.026111011213746323</t>
  </si>
  <si>
    <t>-1.3755869472471627</t>
  </si>
  <si>
    <t>0.632485212681868</t>
  </si>
  <si>
    <t>-1.2618608777285818</t>
  </si>
  <si>
    <t>1.645828994409374</t>
  </si>
  <si>
    <t>1.3048940237581816</t>
  </si>
  <si>
    <t>-0.9984792808239911</t>
  </si>
  <si>
    <t>-0.2503747597270322</t>
  </si>
  <si>
    <t>-0.4630460359651148</t>
  </si>
  <si>
    <t>-1.4059909267884123</t>
  </si>
  <si>
    <t>-0.08930570285721125</t>
  </si>
  <si>
    <t>1.2171830675419513</t>
  </si>
  <si>
    <t>0.6072535319490842</t>
  </si>
  <si>
    <t>1.5140244290235623</t>
  </si>
  <si>
    <t>0.285201683145499</t>
  </si>
  <si>
    <t>1.2997291882774924</t>
  </si>
  <si>
    <t>0.6050460270742342</t>
  </si>
  <si>
    <t>-0.5588381898608911</t>
  </si>
  <si>
    <t>0.7593873026929758</t>
  </si>
  <si>
    <t>0.3688254373267123</t>
  </si>
  <si>
    <t>0.32116733235192474</t>
  </si>
  <si>
    <t>0.3345429680071553</t>
  </si>
  <si>
    <t>-1.5291862478354876</t>
  </si>
  <si>
    <t>2.2580243389478345</t>
  </si>
  <si>
    <t>0.044998384020765794</t>
  </si>
  <si>
    <t>0.4406536777743599</t>
  </si>
  <si>
    <t>0.5432702448880457</t>
  </si>
  <si>
    <t>0.41576331339818917</t>
  </si>
  <si>
    <t>-0.9617104785623362</t>
  </si>
  <si>
    <t>-0.12233419159727976</t>
  </si>
  <si>
    <t>0.713626609224726</t>
  </si>
  <si>
    <t>-1.8418462193404426</t>
  </si>
  <si>
    <t>0.003915703096606373</t>
  </si>
  <si>
    <t>0.2884878203908872</t>
  </si>
  <si>
    <t>0.5166901852038619</t>
  </si>
  <si>
    <t>0.1716733632610127</t>
  </si>
  <si>
    <t>0.27107798897250734</t>
  </si>
  <si>
    <t>0.638625268403942</t>
  </si>
  <si>
    <t>0.28741598972664656</t>
  </si>
  <si>
    <t>0.4063743667393265</t>
  </si>
  <si>
    <t>-1.8569988857177826</t>
  </si>
  <si>
    <t>-0.4557447290497932</t>
  </si>
  <si>
    <t>-0.6220353010366607</t>
  </si>
  <si>
    <t>-0.9803496230877632</t>
  </si>
  <si>
    <t>0.19998031429265065</t>
  </si>
  <si>
    <t>-1.0850682120231003</t>
  </si>
  <si>
    <t>-0.21715072856728151</t>
  </si>
  <si>
    <t>1.2158437780881068</t>
  </si>
  <si>
    <t>-0.4469063948364133</t>
  </si>
  <si>
    <t>1.656237802292565</t>
  </si>
  <si>
    <t>-1.4003901812084623</t>
  </si>
  <si>
    <t>-0.723017430331352</t>
  </si>
  <si>
    <t>0.18540659900990664</t>
  </si>
  <si>
    <t>-0.45469882860060573</t>
  </si>
  <si>
    <t>-0.1892544334769108</t>
  </si>
  <si>
    <t>-0.49687677724367857</t>
  </si>
  <si>
    <t>0.10269676033094098</t>
  </si>
  <si>
    <t>0.823329531192866</t>
  </si>
  <si>
    <t>-0.2949264361340047</t>
  </si>
  <si>
    <t>-0.5344204423227308</t>
  </si>
  <si>
    <t>1.0995573950055937</t>
  </si>
  <si>
    <t>-0.8923952314470874</t>
  </si>
  <si>
    <t>-0.34058968095041114</t>
  </si>
  <si>
    <t>-0.7022319120359747</t>
  </si>
  <si>
    <t>-1.0221108142985456</t>
  </si>
  <si>
    <t>0.41683206128276623</t>
  </si>
  <si>
    <t>0.009181306134328947</t>
  </si>
  <si>
    <t>0.26403395255501055</t>
  </si>
  <si>
    <t>0.2814089949679146</t>
  </si>
  <si>
    <t>-0.07246592766793848</t>
  </si>
  <si>
    <t>0.7488616923173167</t>
  </si>
  <si>
    <t>0.49774687447799193</t>
  </si>
  <si>
    <t>-1.1438733069347167</t>
  </si>
  <si>
    <t>0.33122070082465466</t>
  </si>
  <si>
    <t>0.29067191862328784</t>
  </si>
  <si>
    <t>-0.4297028940159252</t>
  </si>
  <si>
    <t>-0.14668179146034677</t>
  </si>
  <si>
    <t>-0.4827293854956215</t>
  </si>
  <si>
    <t>0.7355399894487319</t>
  </si>
  <si>
    <t>-0.4296941015873691</t>
  </si>
  <si>
    <t>-0.5357745613348216</t>
  </si>
  <si>
    <t>1.1696526062189472</t>
  </si>
  <si>
    <t>0.5873057788903443</t>
  </si>
  <si>
    <t>-0.3780052127510878</t>
  </si>
  <si>
    <t>0.9033359918034525</t>
  </si>
  <si>
    <t>-0.28871307051912365</t>
  </si>
  <si>
    <t>-0.33560198423143406</t>
  </si>
  <si>
    <t>0.28925879458010334</t>
  </si>
  <si>
    <t>-0.35480800615100616</t>
  </si>
  <si>
    <t>1.043489496611182</t>
  </si>
  <si>
    <t>0.4323938141322066</t>
  </si>
  <si>
    <t>-0.7224323074101211</t>
  </si>
  <si>
    <t>-0.035508964491342485</t>
  </si>
  <si>
    <t>-1.4494471754642355</t>
  </si>
  <si>
    <t>-0.8200528999266229</t>
  </si>
  <si>
    <t>-0.889835485726396</t>
  </si>
  <si>
    <t>-0.3315563055637253</t>
  </si>
  <si>
    <t>0.40326335880018704</t>
  </si>
  <si>
    <t>-0.39411228670305987</t>
  </si>
  <si>
    <t>-0.4238970292757893</t>
  </si>
  <si>
    <t>-0.15607515165023128</t>
  </si>
  <si>
    <t>0.7951087274755577</t>
  </si>
  <si>
    <t>0.29592863907592293</t>
  </si>
  <si>
    <t>-0.6284338310910543</t>
  </si>
  <si>
    <t>-1.1703573882163931</t>
  </si>
  <si>
    <t>0.6310115424468706</t>
  </si>
  <si>
    <t>-0.3297775906794383</t>
  </si>
  <si>
    <t>-0.9619054071467679</t>
  </si>
  <si>
    <t>0.12080006345395632</t>
  </si>
  <si>
    <t>-0.08402303795139188</t>
  </si>
  <si>
    <t>-0.5729509633333281</t>
  </si>
  <si>
    <t>-0.7783247655784505</t>
  </si>
  <si>
    <t>-0.6730461660639951</t>
  </si>
  <si>
    <t>0.8084510610993036</t>
  </si>
  <si>
    <t>-0.8712910286311494</t>
  </si>
  <si>
    <t>-0.8376978098596409</t>
  </si>
  <si>
    <t>-0.6155245808582508</t>
  </si>
  <si>
    <t>-0.4273458860542531</t>
  </si>
  <si>
    <t>-0.5829438359004367</t>
  </si>
  <si>
    <t>0.36941900921717846</t>
  </si>
  <si>
    <t>-0.9864936794499057</t>
  </si>
  <si>
    <t>1.5853962321461201</t>
  </si>
  <si>
    <t>0.33079572403318214</t>
  </si>
  <si>
    <t>-0.746650168332939</t>
  </si>
  <si>
    <t>1.4030257460156914</t>
  </si>
  <si>
    <t>-0.013591745990179965</t>
  </si>
  <si>
    <t>0.08773775140371327</t>
  </si>
  <si>
    <t>-0.8464264589216013</t>
  </si>
  <si>
    <t>0.4480788681230884</t>
  </si>
  <si>
    <t>0.1337122188875059</t>
  </si>
  <si>
    <t>0.04062319326119898</t>
  </si>
  <si>
    <t>-0.1824020167574007</t>
  </si>
  <si>
    <t>-0.6203467045484367</t>
  </si>
  <si>
    <t>0.4625630407553492</t>
  </si>
  <si>
    <t>-1.6012716563394644</t>
  </si>
  <si>
    <t>-0.39855093442454986</t>
  </si>
  <si>
    <t>3.4618065274889847</t>
  </si>
  <si>
    <t>0.024564781948249178</t>
  </si>
  <si>
    <t>-1.2827216379119004</t>
  </si>
  <si>
    <t>0.37244798366087684</t>
  </si>
  <si>
    <t>-0.24211747618372575</t>
  </si>
  <si>
    <t>1.5204350213077162</t>
  </si>
  <si>
    <t>0.9733852878580251</t>
  </si>
  <si>
    <t>0.6508247203567082</t>
  </si>
  <si>
    <t>-0.435702741465316</t>
  </si>
  <si>
    <t>0.025286515199658376</t>
  </si>
  <si>
    <t>-0.34982393743730567</t>
  </si>
  <si>
    <t>0.2446548393065393</t>
  </si>
  <si>
    <t>-0.4341205527932094</t>
  </si>
  <si>
    <t>-0.09595856285623965</t>
  </si>
  <si>
    <t>-0.029623472477928233</t>
  </si>
  <si>
    <t>-0.15222741751298915</t>
  </si>
  <si>
    <t>0.571129072123841</t>
  </si>
  <si>
    <t>-1.1577595110493835</t>
  </si>
  <si>
    <t>1.5722983029858884</t>
  </si>
  <si>
    <t>0.16440270890777325</t>
  </si>
  <si>
    <t>0.315801087195332</t>
  </si>
  <si>
    <t>0.6441576031944443</t>
  </si>
  <si>
    <t>-0.9423270345734304</t>
  </si>
  <si>
    <t>-0.27086819714218313</t>
  </si>
  <si>
    <t>0.31128647195631076</t>
  </si>
  <si>
    <t>-0.13820273830410945</t>
  </si>
  <si>
    <t>-0.8160303751196333</t>
  </si>
  <si>
    <t>0.3321521348064625</t>
  </si>
  <si>
    <t>-0.23766271451059545</t>
  </si>
  <si>
    <t>-1.0319106754481067</t>
  </si>
  <si>
    <t>-0.6287663709996012</t>
  </si>
  <si>
    <t>0.2180289077000959</t>
  </si>
  <si>
    <t>0.967118355804036</t>
  </si>
  <si>
    <t>-0.026020991831945218</t>
  </si>
  <si>
    <t>-0.3809384472597227</t>
  </si>
  <si>
    <t>-0.8523620564795754</t>
  </si>
  <si>
    <t>-1.470845979318115</t>
  </si>
  <si>
    <t>0.7778008287089986</t>
  </si>
  <si>
    <t>0.7375506226766249</t>
  </si>
  <si>
    <t>0.7788623152492343</t>
  </si>
  <si>
    <t>-1.847459919916319</t>
  </si>
  <si>
    <t>0.6213631726616927</t>
  </si>
  <si>
    <t>0.3190214512953214</t>
  </si>
  <si>
    <t>0.08551677234997583</t>
  </si>
  <si>
    <t>-0.3517157972490989</t>
  </si>
  <si>
    <t>0.7738372194630118</t>
  </si>
  <si>
    <t>-0.5372139766512801</t>
  </si>
  <si>
    <t>1.496500959760965</t>
  </si>
  <si>
    <t>-0.5026999324541926</t>
  </si>
  <si>
    <t>0.6882612153854354</t>
  </si>
  <si>
    <t>0.044512237007934816</t>
  </si>
  <si>
    <t>0.5094085315603792</t>
  </si>
  <si>
    <t>0.35635879025098</t>
  </si>
  <si>
    <t>0.14361489041471917</t>
  </si>
  <si>
    <t>-0.33062939249698425</t>
  </si>
  <si>
    <t>-0.11823338927691297</t>
  </si>
  <si>
    <t>-0.6184450063968443</t>
  </si>
  <si>
    <t>-0.8256543374285562</t>
  </si>
  <si>
    <t>0.5660647037501773</t>
  </si>
  <si>
    <t>-0.4003295056134123</t>
  </si>
  <si>
    <t>0.08829545037274336</t>
  </si>
  <si>
    <t>1.2664076873554593</t>
  </si>
  <si>
    <t>3.216982025416353</t>
  </si>
  <si>
    <t>1.5477012028874342</t>
  </si>
  <si>
    <t>0.477288452598861</t>
  </si>
  <si>
    <t>1.1116742967321067</t>
  </si>
  <si>
    <t>-1.1300830509456967</t>
  </si>
  <si>
    <t>-0.7359498087040054</t>
  </si>
  <si>
    <t>-0.8434063540384271</t>
  </si>
  <si>
    <t>0.1418958010548157</t>
  </si>
  <si>
    <t>-1.0361337435007085</t>
  </si>
  <si>
    <t>-0.5511584135326553</t>
  </si>
  <si>
    <t>1.8293069333603047</t>
  </si>
  <si>
    <t>-0.3470573909693631</t>
  </si>
  <si>
    <t>-0.9091871977021755</t>
  </si>
  <si>
    <t>0.08102612753802167</t>
  </si>
  <si>
    <t>-0.486355310358166</t>
  </si>
  <si>
    <t>-0.7865737936065049</t>
  </si>
  <si>
    <t>0.5948202643203022</t>
  </si>
  <si>
    <t>0.6132888283687514</t>
  </si>
  <si>
    <t>-0.7101675012024432</t>
  </si>
  <si>
    <t>0.2344793921815312</t>
  </si>
  <si>
    <t>-0.0042094770126138775</t>
  </si>
  <si>
    <t>0.6011277792527081</t>
  </si>
  <si>
    <t>-0.3733697583185919</t>
  </si>
  <si>
    <t>0.17805700271327093</t>
  </si>
  <si>
    <t>-0.17090868202872775</t>
  </si>
  <si>
    <t>-0.6964050504283525</t>
  </si>
  <si>
    <t>2.2202471664151533</t>
  </si>
  <si>
    <t>-1.7019022063695473</t>
  </si>
  <si>
    <t>-1.331972408684085</t>
  </si>
  <si>
    <t>-2.0469198941803057</t>
  </si>
  <si>
    <t>0.9314714742649922</t>
  </si>
  <si>
    <t>3.0336274417634073</t>
  </si>
  <si>
    <t>0.08717451793391173</t>
  </si>
  <si>
    <t>0.0728107095572231</t>
  </si>
  <si>
    <t>2.5365431351949304</t>
  </si>
  <si>
    <t>-0.9405087051776495</t>
  </si>
  <si>
    <t>0.9744307957303454</t>
  </si>
  <si>
    <t>-0.47222624391384177</t>
  </si>
  <si>
    <t>1.1228213433637813</t>
  </si>
  <si>
    <t>2.4424070633307307</t>
  </si>
  <si>
    <t>-1.1490550412516864</t>
  </si>
  <si>
    <t>1.1003256877703882</t>
  </si>
  <si>
    <t>1.1793835097826293</t>
  </si>
  <si>
    <t>0.3997324569456027</t>
  </si>
  <si>
    <t>-1.8984598046262244</t>
  </si>
  <si>
    <t>1.3092699447377152</t>
  </si>
  <si>
    <t>-0.2659458273855306</t>
  </si>
  <si>
    <t>-1.841601767953023</t>
  </si>
  <si>
    <t>-0.09802485312442041</t>
  </si>
  <si>
    <t>-5.230557637840421</t>
  </si>
  <si>
    <t>1.7820023855126723</t>
  </si>
  <si>
    <t>-1.1626471298847438</t>
  </si>
  <si>
    <t>0.9546070920167785</t>
  </si>
  <si>
    <t>1.4160786383266497</t>
  </si>
  <si>
    <t>-1.8237919757266723</t>
  </si>
  <si>
    <t>4.292518624851523</t>
  </si>
  <si>
    <t>0.2261618092028931</t>
  </si>
  <si>
    <t>-0.40162477947446623</t>
  </si>
  <si>
    <t>3.314447697518339</t>
  </si>
  <si>
    <t>0.5078247845323199</t>
  </si>
  <si>
    <t>-2.5590379126039196</t>
  </si>
  <si>
    <t>3.0561890964312344</t>
  </si>
  <si>
    <t>-4.4478370610603895</t>
  </si>
  <si>
    <t>-0.32342349398647063</t>
  </si>
  <si>
    <t>-3.886969502637584</t>
  </si>
  <si>
    <t>6.29844549522424</t>
  </si>
  <si>
    <t>-0.6101341448040697</t>
  </si>
  <si>
    <t>-1.2561071713520913</t>
  </si>
  <si>
    <t>-3.36807668777206</t>
  </si>
  <si>
    <t>-2.3808635369331532</t>
  </si>
  <si>
    <t>-3.2815631533683254</t>
  </si>
  <si>
    <t>-0.9169933316530929</t>
  </si>
  <si>
    <t>-1.7557463645995406</t>
  </si>
  <si>
    <t>1.6656045948941263</t>
  </si>
  <si>
    <t>2.4245560929449947</t>
  </si>
  <si>
    <t>0.262919591777893</t>
  </si>
  <si>
    <t>-1.477169995077048</t>
  </si>
  <si>
    <t>-2.2717718962183873</t>
  </si>
  <si>
    <t>-2.4627277627442816</t>
  </si>
  <si>
    <t>1.6594051141031214</t>
  </si>
  <si>
    <t>-0.08327716111750928</t>
  </si>
  <si>
    <t>-1.009215921284603</t>
  </si>
  <si>
    <t>4.080477115244652</t>
  </si>
  <si>
    <t>0.03718001152443714</t>
  </si>
  <si>
    <t>-0.5579235534364978</t>
  </si>
  <si>
    <t>2.0786927839265994</t>
  </si>
  <si>
    <t>-0.414915566338545</t>
  </si>
  <si>
    <t>-0.3618723267900609</t>
  </si>
  <si>
    <t>-1.196864188438026</t>
  </si>
  <si>
    <t>-3.304007758573121</t>
  </si>
  <si>
    <t>3.0967625579360774</t>
  </si>
  <si>
    <t>-2.7407047752163356</t>
  </si>
  <si>
    <t>-1.5975586917478422</t>
  </si>
  <si>
    <t>-2.181127600486486</t>
  </si>
  <si>
    <t>5.311708813613862</t>
  </si>
  <si>
    <t>-1.0411664126665383</t>
  </si>
  <si>
    <t>-4.233182779710258</t>
  </si>
  <si>
    <t>-0.5930731175059267</t>
  </si>
  <si>
    <t>0.13137459420148895</t>
  </si>
  <si>
    <t>-1.1541027853286998</t>
  </si>
  <si>
    <t>1.3193336125285968</t>
  </si>
  <si>
    <t>0.5791685084777707</t>
  </si>
  <si>
    <t>-0.9552973666396537</t>
  </si>
  <si>
    <t>-2.934765472654709</t>
  </si>
  <si>
    <t>-1.2372558059196417</t>
  </si>
  <si>
    <t>0.7658730217372255</t>
  </si>
  <si>
    <t>2.4446530115836174</t>
  </si>
  <si>
    <t>0.43317687437977187</t>
  </si>
  <si>
    <t>-1.1656775245410227</t>
  </si>
  <si>
    <t>-0.8337519013509966</t>
  </si>
  <si>
    <t>0.16743615745971627</t>
  </si>
  <si>
    <t>-1.5214517049065661</t>
  </si>
  <si>
    <t>-0.8899916268729509</t>
  </si>
  <si>
    <t>-3.1393043037799115</t>
  </si>
  <si>
    <t>0.5659297084767819</t>
  </si>
  <si>
    <t>3.7024688021687497</t>
  </si>
  <si>
    <t>4.237794849573993</t>
  </si>
  <si>
    <t>-0.3900223848308158</t>
  </si>
  <si>
    <t>-2.7607016922373893</t>
  </si>
  <si>
    <t>-4.917130805110664</t>
  </si>
  <si>
    <t>0.4217210721930237</t>
  </si>
  <si>
    <t>0.20638864204620824</t>
  </si>
  <si>
    <t>0.9045961652151027</t>
  </si>
  <si>
    <t>-1.1548410079837113</t>
  </si>
  <si>
    <t>2.230931386476701</t>
  </si>
  <si>
    <t>0.03569129402938537</t>
  </si>
  <si>
    <t>-1.2072113698316274</t>
  </si>
  <si>
    <t>1.3618098054085244</t>
  </si>
  <si>
    <t>-1.5278581390912271</t>
  </si>
  <si>
    <t>0.4226071169144927</t>
  </si>
  <si>
    <t>-0.8634028632300796</t>
  </si>
  <si>
    <t>0.8146284943795824</t>
  </si>
  <si>
    <t>-0.6425580761309536</t>
  </si>
  <si>
    <t>-0.4538415029704139</t>
  </si>
  <si>
    <t>-1.9855196703104878</t>
  </si>
  <si>
    <t>-1.849152877662601</t>
  </si>
  <si>
    <t>-0.33297388031219055</t>
  </si>
  <si>
    <t>2.275107590060795</t>
  </si>
  <si>
    <t>-0.2767755640868234</t>
  </si>
  <si>
    <t>2.901402526255529</t>
  </si>
  <si>
    <t>1.7253454510430246</t>
  </si>
  <si>
    <t>-1.566071268139012</t>
  </si>
  <si>
    <t>-0.3568709242601911</t>
  </si>
  <si>
    <t>0.9445679201134327</t>
  </si>
  <si>
    <t>6.6114894471688395</t>
  </si>
  <si>
    <t>-0.19944238559954805</t>
  </si>
  <si>
    <t>3.65193709229536</t>
  </si>
  <si>
    <t>3.859093006090611</t>
  </si>
  <si>
    <t>2.712250871587499</t>
  </si>
  <si>
    <t>-1.1925163677153663</t>
  </si>
  <si>
    <t>-0.436189787009001</t>
  </si>
  <si>
    <t>-1.9593679048562243</t>
  </si>
  <si>
    <t>0.12856320005558658</t>
  </si>
  <si>
    <t>1.1324677361324123</t>
  </si>
  <si>
    <t>-1.70430632714685</t>
  </si>
  <si>
    <t>0.6220629898757131</t>
  </si>
  <si>
    <t>0.8775354975986676</t>
  </si>
  <si>
    <t>5.708364414052764</t>
  </si>
  <si>
    <t>1.4454498498708894</t>
  </si>
  <si>
    <t>1.607625785214646</t>
  </si>
  <si>
    <t>1.1148871316163758</t>
  </si>
  <si>
    <t>-0.7191754271250481</t>
  </si>
  <si>
    <t>-0.9707561622788209</t>
  </si>
  <si>
    <t>-1.2113244360261977</t>
  </si>
  <si>
    <t>1.0413567608419816</t>
  </si>
  <si>
    <t>0.5463646502962195</t>
  </si>
  <si>
    <t>4.772814140709869</t>
  </si>
  <si>
    <t>2.8440358313390757</t>
  </si>
  <si>
    <t>-0.2725027855549804</t>
  </si>
  <si>
    <t>-1.6955209800686826</t>
  </si>
  <si>
    <t>1.4341937083408263</t>
  </si>
  <si>
    <t>-1.5988517660450823</t>
  </si>
  <si>
    <t>1.859895130232634</t>
  </si>
  <si>
    <t>-0.8813898734349059</t>
  </si>
  <si>
    <t>0.34387292491814275</t>
  </si>
  <si>
    <t>-0.1805264586741144</t>
  </si>
  <si>
    <t>1.0150350234713466</t>
  </si>
  <si>
    <t>0.4079868891991131</t>
  </si>
  <si>
    <t>2.734686464165469</t>
  </si>
  <si>
    <t>-0.6273821550820826</t>
  </si>
  <si>
    <t>0.2533076837972797</t>
  </si>
  <si>
    <t>-1.1850743193472881</t>
  </si>
  <si>
    <t>-0.32720498816373567</t>
  </si>
  <si>
    <t>0.03587265283557566</t>
  </si>
  <si>
    <t>-0.6964178046850706</t>
  </si>
  <si>
    <t>-1.1656598149297093</t>
  </si>
  <si>
    <t>0.01394479102533913</t>
  </si>
  <si>
    <t>-1.0380640788636286</t>
  </si>
  <si>
    <t>3.921060815766886</t>
  </si>
  <si>
    <t>-0.45083362957744255</t>
  </si>
  <si>
    <t>-1.9807913033251643</t>
  </si>
  <si>
    <t>5.309907144612038</t>
  </si>
  <si>
    <t>1.2167092464890183</t>
  </si>
  <si>
    <t>0.9456085126083883</t>
  </si>
  <si>
    <t>-0.37329339245842347</t>
  </si>
  <si>
    <t>0.5623741014401809</t>
  </si>
  <si>
    <t>-1.3200212196360945</t>
  </si>
  <si>
    <t>0.12459888157279612</t>
  </si>
  <si>
    <t>3.111504517309258</t>
  </si>
  <si>
    <t>1.4708343082640631</t>
  </si>
  <si>
    <t>0.5057373476423744</t>
  </si>
  <si>
    <t>-2.15099348923431</t>
  </si>
  <si>
    <t>-1.3011054006005853</t>
  </si>
  <si>
    <t>1.7233460464336738</t>
  </si>
  <si>
    <t>-1.832996174940567</t>
  </si>
  <si>
    <t>-0.7385697300763658</t>
  </si>
  <si>
    <t>3.0754384655642264</t>
  </si>
  <si>
    <t>1.5180745699255824</t>
  </si>
  <si>
    <t>-0.7612815300498178</t>
  </si>
  <si>
    <t>1.0438946777723381</t>
  </si>
  <si>
    <t>3.9945528043550733</t>
  </si>
  <si>
    <t>-1.7162523246057946</t>
  </si>
  <si>
    <t>1.0012770488604965</t>
  </si>
  <si>
    <t>2.189771691357566</t>
  </si>
  <si>
    <t>0.09983970853762579</t>
  </si>
  <si>
    <t>0.10089790454318691</t>
  </si>
  <si>
    <t>0.5585655407997907</t>
  </si>
  <si>
    <t>-1.4564411219522153</t>
  </si>
  <si>
    <t>1.1693623121773054</t>
  </si>
  <si>
    <t>-0.9017447229298655</t>
  </si>
  <si>
    <t>-1.2796587131036192</t>
  </si>
  <si>
    <t>-1.2501575183501328</t>
  </si>
  <si>
    <t>-1.1380270749433679</t>
  </si>
  <si>
    <t>0.4973222579107915</t>
  </si>
  <si>
    <t>0.7764812460669449</t>
  </si>
  <si>
    <t>0.8628686700014517</t>
  </si>
  <si>
    <t>-0.8261519049584266</t>
  </si>
  <si>
    <t>-1.3517261634482478</t>
  </si>
  <si>
    <t>-1.109809704808495</t>
  </si>
  <si>
    <t>-0.2899866524770248</t>
  </si>
  <si>
    <t>-0.9961531201403164</t>
  </si>
  <si>
    <t>0.46790976490322084</t>
  </si>
  <si>
    <t>-1.784427950697914</t>
  </si>
  <si>
    <t>3.252465657900043</t>
  </si>
  <si>
    <t>-0.5501453950585861</t>
  </si>
  <si>
    <t>-0.9705770276420493</t>
  </si>
  <si>
    <t>2.1767796034443574</t>
  </si>
  <si>
    <t>-1.5777281674883186</t>
  </si>
  <si>
    <t>-0.5214555260857591</t>
  </si>
  <si>
    <t>1.1464022128178788</t>
  </si>
  <si>
    <t>-0.1594205741624388</t>
  </si>
  <si>
    <t>-0.33873305437875717</t>
  </si>
  <si>
    <t>0.8328101474166294</t>
  </si>
  <si>
    <t>-0.40661401263770436</t>
  </si>
  <si>
    <t>1.0199161961419527</t>
  </si>
  <si>
    <t>-0.679985431404984</t>
  </si>
  <si>
    <t>0.6138836047203858</t>
  </si>
  <si>
    <t>-1.3994578466728742</t>
  </si>
  <si>
    <t>0.2788861474340998</t>
  </si>
  <si>
    <t>-0.8088328231849384</t>
  </si>
  <si>
    <t>-0.7318165551745712</t>
  </si>
  <si>
    <t>1.8545878992147304</t>
  </si>
  <si>
    <t>-0.7725392187315042</t>
  </si>
  <si>
    <t>-0.052109072804345256</t>
  </si>
  <si>
    <t>-0.10525332788226549</t>
  </si>
  <si>
    <t>-0.6720638538609915</t>
  </si>
  <si>
    <t>-0.7021890230615868</t>
  </si>
  <si>
    <t>-0.014758761666628662</t>
  </si>
  <si>
    <t>0.36361710192193764</t>
  </si>
  <si>
    <t>-0.5170011440565118</t>
  </si>
  <si>
    <t>-0.6368722816729685</t>
  </si>
  <si>
    <t>-0.47264965358792843</t>
  </si>
  <si>
    <t>-0.10577177201216312</t>
  </si>
  <si>
    <t>0.14862610533567888</t>
  </si>
  <si>
    <t>-0.8066843026745877</t>
  </si>
  <si>
    <t>-0.25699085970303803</t>
  </si>
  <si>
    <t>-0.2681583191123703</t>
  </si>
  <si>
    <t>0.25810754447644335</t>
  </si>
  <si>
    <t>0.7148154415565328</t>
  </si>
  <si>
    <t>-1.1048638474882055</t>
  </si>
  <si>
    <t>0.062476026263486494</t>
  </si>
  <si>
    <t>0.9031539236984127</t>
  </si>
  <si>
    <t>1.6068574457050069</t>
  </si>
  <si>
    <t>0.8081904278612656</t>
  </si>
  <si>
    <t>1.4245177420884616</t>
  </si>
  <si>
    <t>1.2132864114599744</t>
  </si>
  <si>
    <t>0.17618724240729888</t>
  </si>
  <si>
    <t>0.12844357692883077</t>
  </si>
  <si>
    <t>-0.26308616120171086</t>
  </si>
  <si>
    <t>1.2604077856451894</t>
  </si>
  <si>
    <t>1.8313070731583596</t>
  </si>
  <si>
    <t>-0.20445828776001576</t>
  </si>
  <si>
    <t>-0.760263927821462</t>
  </si>
  <si>
    <t>-0.7794449900011784</t>
  </si>
  <si>
    <t>-1.0215030928886013</t>
  </si>
  <si>
    <t>-1.5823695677095644</t>
  </si>
  <si>
    <t>1.1829344065340752</t>
  </si>
  <si>
    <t>0.2639168941142635</t>
  </si>
  <si>
    <t>-1.1375906985066095</t>
  </si>
  <si>
    <t>0.21877259443289473</t>
  </si>
  <si>
    <t>2.196125024589698</t>
  </si>
  <si>
    <t>-0.29819253672429186</t>
  </si>
  <si>
    <t>0.9217709379507687</t>
  </si>
  <si>
    <t>-0.09527881394282858</t>
  </si>
  <si>
    <t>0.5388108997812152</t>
  </si>
  <si>
    <t>0.09877607914908136</t>
  </si>
  <si>
    <t>0.7302469477671064</t>
  </si>
  <si>
    <t>1.374652394195843</t>
  </si>
  <si>
    <t>0.3095225612154073</t>
  </si>
  <si>
    <t>1.272008985999507</t>
  </si>
  <si>
    <t>-0.9631598771419335</t>
  </si>
  <si>
    <t>0.1452381361833916</t>
  </si>
  <si>
    <t>-0.10923287915651592</t>
  </si>
  <si>
    <t>-0.7157270902307877</t>
  </si>
  <si>
    <t>-1.0844699507390463</t>
  </si>
  <si>
    <t>-0.3160154225604551</t>
  </si>
  <si>
    <t>1.0393220267824408</t>
  </si>
  <si>
    <t>0.054726156876341976</t>
  </si>
  <si>
    <t>0.3836472835036009</t>
  </si>
  <si>
    <t>-0.9072327089751271</t>
  </si>
  <si>
    <t>0.449698891058705</t>
  </si>
  <si>
    <t>0.059505311625754724</t>
  </si>
  <si>
    <t>-0.8500743772710955</t>
  </si>
  <si>
    <t>-0.7965376551220963</t>
  </si>
  <si>
    <t>-0.8240343476402845</t>
  </si>
  <si>
    <t>0.21877155170734322</t>
  </si>
  <si>
    <t>-1.2670149607988845</t>
  </si>
  <si>
    <t>-0.058633911218205007</t>
  </si>
  <si>
    <t>-0.35422523288173613</t>
  </si>
  <si>
    <t>-0.7883671508735952</t>
  </si>
  <si>
    <t>-0.6105905122080432</t>
  </si>
  <si>
    <t>-0.9181450358809967</t>
  </si>
  <si>
    <t>1.3822392535516819</t>
  </si>
  <si>
    <t>1.4919144014359065</t>
  </si>
  <si>
    <t>-0.5775593424813527</t>
  </si>
  <si>
    <t>-0.5225510307506765</t>
  </si>
  <si>
    <t>0.13796184602185452</t>
  </si>
  <si>
    <t>-0.09366036668474373</t>
  </si>
  <si>
    <t>-0.564834499520364</t>
  </si>
  <si>
    <t>0.8733116267322797</t>
  </si>
  <si>
    <t>-0.6051252333554312</t>
  </si>
  <si>
    <t>-0.5752465110849369</t>
  </si>
  <si>
    <t>-0.727999138994258</t>
  </si>
  <si>
    <t>0.6727044733999927</t>
  </si>
  <si>
    <t>0.6937463869612867</t>
  </si>
  <si>
    <t>0.2039631931526336</t>
  </si>
  <si>
    <t>-0.6913947911758982</t>
  </si>
  <si>
    <t>-0.4612243907484713</t>
  </si>
  <si>
    <t>-0.45162027903656626</t>
  </si>
  <si>
    <t>-0.5095601283611222</t>
  </si>
  <si>
    <t>-1.6814558850784924</t>
  </si>
  <si>
    <t>0.3616683578968262</t>
  </si>
  <si>
    <t>-0.8607545068930531</t>
  </si>
  <si>
    <t>-0.593418153190336</t>
  </si>
  <si>
    <t>0.3251175771361421</t>
  </si>
  <si>
    <t>-0.12402281551780396</t>
  </si>
  <si>
    <t>-0.13508480960461558</t>
  </si>
  <si>
    <t>-0.3176591000464835</t>
  </si>
  <si>
    <t>-1.1537675689397282</t>
  </si>
  <si>
    <t>2.575410545867404</t>
  </si>
  <si>
    <t>-0.28480428726912743</t>
  </si>
  <si>
    <t>0.5089570411894254</t>
  </si>
  <si>
    <t>1.743219015979595</t>
  </si>
  <si>
    <t>1.2379593099741222</t>
  </si>
  <si>
    <t>-2.093882230825946</t>
  </si>
  <si>
    <t>0.7632274148414712</t>
  </si>
  <si>
    <t>-2.28134822256085</t>
  </si>
  <si>
    <t>1.7057606178362061</t>
  </si>
  <si>
    <t>1.077713464575141</t>
  </si>
  <si>
    <t>-1.5176534300815991</t>
  </si>
  <si>
    <t>1.027767469618827</t>
  </si>
  <si>
    <t>1.6665691665658928</t>
  </si>
  <si>
    <t>0.031359095672413226</t>
  </si>
  <si>
    <t>0.5004599551946187</t>
  </si>
  <si>
    <t>-0.5408103480664158</t>
  </si>
  <si>
    <t>-0.10752552608112545</t>
  </si>
  <si>
    <t>0.62938059939352</t>
  </si>
  <si>
    <t>-0.3414395733630069</t>
  </si>
  <si>
    <t>-0.23232570657334445</t>
  </si>
  <si>
    <t>-0.4837231259086272</t>
  </si>
  <si>
    <t>0.6300379904210324</t>
  </si>
  <si>
    <t>0.38448304018693</t>
  </si>
  <si>
    <t>-0.9148680783503694</t>
  </si>
  <si>
    <t>-0.9089704738635958</t>
  </si>
  <si>
    <t>-0.05732665994275961</t>
  </si>
  <si>
    <t>-0.2588129250696676</t>
  </si>
  <si>
    <t>0.21151030349335914</t>
  </si>
  <si>
    <t>0.8934359430856432</t>
  </si>
  <si>
    <t>0.4151910088711533</t>
  </si>
  <si>
    <t>0.3716931345988013</t>
  </si>
  <si>
    <t>1.041997627948429</t>
  </si>
  <si>
    <t>0.1299118582917178</t>
  </si>
  <si>
    <t>-0.5403303573639611</t>
  </si>
  <si>
    <t>-0.16241843788323732</t>
  </si>
  <si>
    <t>0.174908046836444</t>
  </si>
  <si>
    <t>0.08990068557367366</t>
  </si>
  <si>
    <t>-0.75992481352994</t>
  </si>
  <si>
    <t>1.740585750574306</t>
  </si>
  <si>
    <t>0.06612251721327497</t>
  </si>
  <si>
    <t>-1.1203919393866628</t>
  </si>
  <si>
    <t>-0.2270250337025997</t>
  </si>
  <si>
    <t>-0.3789825416699217</t>
  </si>
  <si>
    <t>0.30930647307988485</t>
  </si>
  <si>
    <t>0.5813167385975956</t>
  </si>
  <si>
    <t>0.45353383435628364</t>
  </si>
  <si>
    <t>-1.5892383446144962</t>
  </si>
  <si>
    <t>-0.060309331072906945</t>
  </si>
  <si>
    <t>-0.4228277366275639</t>
  </si>
  <si>
    <t>-0.37132137121890885</t>
  </si>
  <si>
    <t>1.0633761277572782</t>
  </si>
  <si>
    <t>-0.6355325021323294</t>
  </si>
  <si>
    <t>0.5577142778900416</t>
  </si>
  <si>
    <t>0.4359546680401054</t>
  </si>
  <si>
    <t>-0.7292216597753887</t>
  </si>
  <si>
    <t>-1.244396736368549</t>
  </si>
  <si>
    <t>-0.8056917232197758</t>
  </si>
  <si>
    <t>1.5410939488555153</t>
  </si>
  <si>
    <t>1.4537279936518501</t>
  </si>
  <si>
    <t>0.044832252009454746</t>
  </si>
  <si>
    <t>-1.1855948809202619</t>
  </si>
  <si>
    <t>-0.05808018675994987</t>
  </si>
  <si>
    <t>-1.799758582446122</t>
  </si>
  <si>
    <t>0.21436194397197972</t>
  </si>
  <si>
    <t>-2.683670284041344</t>
  </si>
  <si>
    <t>2.0598290584993233</t>
  </si>
  <si>
    <t>0.16695860107795896</t>
  </si>
  <si>
    <t>3.8514297406405786</t>
  </si>
  <si>
    <t>1.3491441838412646</t>
  </si>
  <si>
    <t>-0.18733343159940666</t>
  </si>
  <si>
    <t>0.7669995669917125</t>
  </si>
  <si>
    <t>-1.4729508215764822</t>
  </si>
  <si>
    <t>-0.5819178678335033</t>
  </si>
  <si>
    <t>0.09052612082915416</t>
  </si>
  <si>
    <t>-0.8167415844326925</t>
  </si>
  <si>
    <t>-0.09718793541411061</t>
  </si>
  <si>
    <t>1.0303118249736631</t>
  </si>
  <si>
    <t>0.13501085980985417</t>
  </si>
  <si>
    <t>1.4847455216965164</t>
  </si>
  <si>
    <t>0.26982284599356876</t>
  </si>
  <si>
    <t>-0.7035052346532573</t>
  </si>
  <si>
    <t>-1.6691184092636941</t>
  </si>
  <si>
    <t>0.6577769505141225</t>
  </si>
  <si>
    <t>1.8439700995370665</t>
  </si>
  <si>
    <t>-0.14605670618155045</t>
  </si>
  <si>
    <t>0.13504717898357402</t>
  </si>
  <si>
    <t>1.632970613683664</t>
  </si>
  <si>
    <t>-1.6401538581778268</t>
  </si>
  <si>
    <t>-1.9675173063089129</t>
  </si>
  <si>
    <t>-0.5824751156911917</t>
  </si>
  <si>
    <t>-0.8522484761533591</t>
  </si>
  <si>
    <t>-0.6215907286882496</t>
  </si>
  <si>
    <t>0.6487893067042036</t>
  </si>
  <si>
    <t>0.4557472964723664</t>
  </si>
  <si>
    <t>-2.0745881994887374</t>
  </si>
  <si>
    <t>-0.5115759161155683</t>
  </si>
  <si>
    <t>-0.263663925730782</t>
  </si>
  <si>
    <t>1.215929027949257</t>
  </si>
  <si>
    <t>-0.5302688948940195</t>
  </si>
  <si>
    <t>-0.16831127256700953</t>
  </si>
  <si>
    <t>-0.8196145215690326</t>
  </si>
  <si>
    <t>0.011298150291686815</t>
  </si>
  <si>
    <t>0.11101194289791554</t>
  </si>
  <si>
    <t>-0.5767863660165369</t>
  </si>
  <si>
    <t>0.18646176501212094</t>
  </si>
  <si>
    <t>-0.45625785564476873</t>
  </si>
  <si>
    <t>0.14144867807358094</t>
  </si>
  <si>
    <t>0.09455062734088654</t>
  </si>
  <si>
    <t>1.2895677754317707</t>
  </si>
  <si>
    <t>0.015466735641406885</t>
  </si>
  <si>
    <t>-1.3290826202736639</t>
  </si>
  <si>
    <t>0.025249768771887657</t>
  </si>
  <si>
    <t>-0.3599624224271463</t>
  </si>
  <si>
    <t>1.1035770371568188</t>
  </si>
  <si>
    <t>-0.9404546979450975</t>
  </si>
  <si>
    <t>2.052291262153869</t>
  </si>
  <si>
    <t>1.3495466353830716</t>
  </si>
  <si>
    <t>-0.20177885425560976</t>
  </si>
  <si>
    <t>0.1256930623715143</t>
  </si>
  <si>
    <t>-1.2350868195023075</t>
  </si>
  <si>
    <t>-0.11477511694896243</t>
  </si>
  <si>
    <t>-1.91930861605159</t>
  </si>
  <si>
    <t>-1.594887816298218</t>
  </si>
  <si>
    <t>0.49667609942270785</t>
  </si>
  <si>
    <t>-1.0489625408157688</t>
  </si>
  <si>
    <t>-2.159948519472371</t>
  </si>
  <si>
    <t>0.15509502670356104</t>
  </si>
  <si>
    <t>-0.8033969961502474</t>
  </si>
  <si>
    <t>-0.9563962799025186</t>
  </si>
  <si>
    <t>-0.9330647756444317</t>
  </si>
  <si>
    <t>1.1607520064089873</t>
  </si>
  <si>
    <t>1.721066272114553</t>
  </si>
  <si>
    <t>0.6750773374994152</t>
  </si>
  <si>
    <t>-1.1544988528141011</t>
  </si>
  <si>
    <t>0.018868696684905963</t>
  </si>
  <si>
    <t>-1.0001701486019874</t>
  </si>
  <si>
    <t>1.0710763331898039</t>
  </si>
  <si>
    <t>-0.014041281027884298</t>
  </si>
  <si>
    <t>0.7241242714320925</t>
  </si>
  <si>
    <t>-1.6727035687306313</t>
  </si>
  <si>
    <t>-0.8272755973043003</t>
  </si>
  <si>
    <t>0.6265959127211604</t>
  </si>
  <si>
    <t>-3.650263476388507</t>
  </si>
  <si>
    <t>2.9742663567315666</t>
  </si>
  <si>
    <t>-0.8089716847897329</t>
  </si>
  <si>
    <t>1.6820742311525403</t>
  </si>
  <si>
    <t>-0.3153251190180932</t>
  </si>
  <si>
    <t>-0.08598555325898494</t>
  </si>
  <si>
    <t>-0.6881606267662951</t>
  </si>
  <si>
    <t>-0.03044864426860555</t>
  </si>
  <si>
    <t>-1.0335976549455306</t>
  </si>
  <si>
    <t>2.071149827258856</t>
  </si>
  <si>
    <t>0.8499012925648706</t>
  </si>
  <si>
    <t>2.7134913151971523</t>
  </si>
  <si>
    <t>-2.919275705672117</t>
  </si>
  <si>
    <t>-0.5697032755011108</t>
  </si>
  <si>
    <t>1.6592562297181213</t>
  </si>
  <si>
    <t>0.008410546114936829</t>
  </si>
  <si>
    <t>-2.055090198758118</t>
  </si>
  <si>
    <t>2.247662568791749</t>
  </si>
  <si>
    <t>-0.5768890599925384</t>
  </si>
  <si>
    <t>-0.4786515648417371</t>
  </si>
  <si>
    <t>0.8717741784194157</t>
  </si>
  <si>
    <t>-1.457248900049027</t>
  </si>
  <si>
    <t>5.6823613596655855</t>
  </si>
  <si>
    <t>-1.8409513897749785</t>
  </si>
  <si>
    <t>-0.737036041656619</t>
  </si>
  <si>
    <t>0.534773497778078</t>
  </si>
  <si>
    <t>0.38669210438441404</t>
  </si>
  <si>
    <t>-0.0851355214042829</t>
  </si>
  <si>
    <t>-1.0165422726172397</t>
  </si>
  <si>
    <t>3.483652810897251</t>
  </si>
  <si>
    <t>-1.9599824822917356</t>
  </si>
  <si>
    <t>-2.1762635631479066</t>
  </si>
  <si>
    <t>2.485693580810502</t>
  </si>
  <si>
    <t>-1.8210078730231172</t>
  </si>
  <si>
    <t>-0.7764518045029397</t>
  </si>
  <si>
    <t>-0.6066405296816668</t>
  </si>
  <si>
    <t>2.9508325065997623</t>
  </si>
  <si>
    <t>-0.8100415555672257</t>
  </si>
  <si>
    <t>1.2142446118485193</t>
  </si>
  <si>
    <t>0.3989005373557233</t>
  </si>
  <si>
    <t>-0.40320004466595116</t>
  </si>
  <si>
    <t>-1.8959637699178107</t>
  </si>
  <si>
    <t>-0.5142107050221456</t>
  </si>
  <si>
    <t>-1.2646281021705879</t>
  </si>
  <si>
    <t>0.3157156616487063</t>
  </si>
  <si>
    <t>1.1924535011328818</t>
  </si>
  <si>
    <t>1.9441807835808724</t>
  </si>
  <si>
    <t>-0.25601471273279847</t>
  </si>
  <si>
    <t>-0.5798656702361503</t>
  </si>
  <si>
    <t>-0.0017504095258246422</t>
  </si>
  <si>
    <t>-1.2214800589383044</t>
  </si>
  <si>
    <t>0.8368648869974143</t>
  </si>
  <si>
    <t>0.22789635197811658</t>
  </si>
  <si>
    <t>0.688403762300598</t>
  </si>
  <si>
    <t>-1.0464526999431945</t>
  </si>
  <si>
    <t>-0.9742265432828926</t>
  </si>
  <si>
    <t>0.38969323187040267</t>
  </si>
  <si>
    <t>-0.8816235550066799</t>
  </si>
  <si>
    <t>0.27458698670575965</t>
  </si>
  <si>
    <t>-1.4341029151522473</t>
  </si>
  <si>
    <t>-0.3949200048840207</t>
  </si>
  <si>
    <t>1.574727164654236</t>
  </si>
  <si>
    <t>0.23932568394922718</t>
  </si>
  <si>
    <t>-1.9186758638653283</t>
  </si>
  <si>
    <t>-1.1557590815009626</t>
  </si>
  <si>
    <t>2.383881758759684</t>
  </si>
  <si>
    <t>-0.0324109437954311</t>
  </si>
  <si>
    <t>0.12637034156986438</t>
  </si>
  <si>
    <t>-1.1531976391994696</t>
  </si>
  <si>
    <t>1.9461026867683786</t>
  </si>
  <si>
    <t>0.015495553383419819</t>
  </si>
  <si>
    <t>0.30163970240525995</t>
  </si>
  <si>
    <t>-0.5998898456107612</t>
  </si>
  <si>
    <t>-1.0065681308189351</t>
  </si>
  <si>
    <t>-0.09008954193867244</t>
  </si>
  <si>
    <t>-0.14169451313886336</t>
  </si>
  <si>
    <t>-0.7594947071943168</t>
  </si>
  <si>
    <t>-0.11161220177947051</t>
  </si>
  <si>
    <t>-0.5304662698035304</t>
  </si>
  <si>
    <t>2.232330459195072</t>
  </si>
  <si>
    <t>-1.4624488655744468</t>
  </si>
  <si>
    <t>-0.762377261722792</t>
  </si>
  <si>
    <t>-1.0234270326917219</t>
  </si>
  <si>
    <t>0.6686692212403313</t>
  </si>
  <si>
    <t>0.5014726082239681</t>
  </si>
  <si>
    <t>4.459598207589518</t>
  </si>
  <si>
    <t>1.7360641891000494</t>
  </si>
  <si>
    <t>-1.9827698972438434</t>
  </si>
  <si>
    <t>-2.0786576160703962</t>
  </si>
  <si>
    <t>1.0065959013955508</t>
  </si>
  <si>
    <t>-0.9942873948758291</t>
  </si>
  <si>
    <t>2.4108318783144833</t>
  </si>
  <si>
    <t>0.6195361715252089</t>
  </si>
  <si>
    <t>0.36310108493912846</t>
  </si>
  <si>
    <t>-1.2101228226857172</t>
  </si>
  <si>
    <t>-0.7454854925126618</t>
  </si>
  <si>
    <t>-0.7115282386912585</t>
  </si>
  <si>
    <t>1.2173894483385306</t>
  </si>
  <si>
    <t>0.36918454696496217</t>
  </si>
  <si>
    <t>0.11982184767531723</t>
  </si>
  <si>
    <t>0.540071821913544</t>
  </si>
  <si>
    <t>0.4328293713770966</t>
  </si>
  <si>
    <t>-1.203726325861135</t>
  </si>
  <si>
    <t>1.873482117473769</t>
  </si>
  <si>
    <t>0.2641923118270771</t>
  </si>
  <si>
    <t>-1.008379132136838</t>
  </si>
  <si>
    <t>-1.648627397123932</t>
  </si>
  <si>
    <t>0.004945233468519445</t>
  </si>
  <si>
    <t>-0.7652609424490465</t>
  </si>
  <si>
    <t>-0.9252234159805302</t>
  </si>
  <si>
    <t>-1.165354215560195</t>
  </si>
  <si>
    <t>-0.112938520645373</t>
  </si>
  <si>
    <t>0.5441979396019945</t>
  </si>
  <si>
    <t>0.41769785698246287</t>
  </si>
  <si>
    <t>-0.29371502513293013</t>
  </si>
  <si>
    <t>0.7338861282504864</t>
  </si>
  <si>
    <t>0.7146019576297725</t>
  </si>
  <si>
    <t>1.879383660427146</t>
  </si>
  <si>
    <t>0.1128250521351957</t>
  </si>
  <si>
    <t>-0.12032634022499973</t>
  </si>
  <si>
    <t>0.2667795464472661</t>
  </si>
  <si>
    <t>-0.8768453230214532</t>
  </si>
  <si>
    <t>-0.14834277325043466</t>
  </si>
  <si>
    <t>-0.6712189974088894</t>
  </si>
  <si>
    <t>-0.46449737871718433</t>
  </si>
  <si>
    <t>-0.4777331807115838</t>
  </si>
  <si>
    <t>-0.36090271234023963</t>
  </si>
  <si>
    <t>-1.4731284902439277</t>
  </si>
  <si>
    <t>-1.7180814867022456</t>
  </si>
  <si>
    <t>0.6492555490265499</t>
  </si>
  <si>
    <t>-0.19822405564533396</t>
  </si>
  <si>
    <t>0.05229493085235666</t>
  </si>
  <si>
    <t>-1.5994559500311551</t>
  </si>
  <si>
    <t>-0.21734561179687517</t>
  </si>
  <si>
    <t>-0.30427967216178253</t>
  </si>
  <si>
    <t>0.4758826296344516</t>
  </si>
  <si>
    <t>-0.4659110379912336</t>
  </si>
  <si>
    <t>2.1413359049843868</t>
  </si>
  <si>
    <t>-0.9738925417893822</t>
  </si>
  <si>
    <t>-0.23913852435161623</t>
  </si>
  <si>
    <t>-2.1609250289600888</t>
  </si>
  <si>
    <t>-1.7057445246748675</t>
  </si>
  <si>
    <t>0.29802143038398</t>
  </si>
  <si>
    <t>-0.5138216839736647</t>
  </si>
  <si>
    <t>-0.0582771729723349</t>
  </si>
  <si>
    <t>0.14622784186339827</t>
  </si>
  <si>
    <t>-2.9100690201767323</t>
  </si>
  <si>
    <t>0.053026984562069814</t>
  </si>
  <si>
    <t>2.6406697975827997</t>
  </si>
  <si>
    <t>0.6191945535103791</t>
  </si>
  <si>
    <t>1.5038717708619915</t>
  </si>
  <si>
    <t>0.14331705104216</t>
  </si>
  <si>
    <t>0.2444683926771237</t>
  </si>
  <si>
    <t>-0.5497612965723738</t>
  </si>
  <si>
    <t>0.8540229695484124</t>
  </si>
  <si>
    <t>0.6477340386584971</t>
  </si>
  <si>
    <t>0.0026611550043430235</t>
  </si>
  <si>
    <t>-4.399003782960743</t>
  </si>
  <si>
    <t>1.128423161792627</t>
  </si>
  <si>
    <t>0.3283946766978789</t>
  </si>
  <si>
    <t>0.47288961958583436</t>
  </si>
  <si>
    <t>-1.1953602020861982</t>
  </si>
  <si>
    <t>-0.03435349282669482</t>
  </si>
  <si>
    <t>1.4831626678722452</t>
  </si>
  <si>
    <t>0.19553915826960214</t>
  </si>
  <si>
    <t>0.548545369327242</t>
  </si>
  <si>
    <t>0.5523226164501125</t>
  </si>
  <si>
    <t>0.721305117273134</t>
  </si>
  <si>
    <t>-0.03095031472453735</t>
  </si>
  <si>
    <t>0.3959799499101898</t>
  </si>
  <si>
    <t>-0.45043198262108664</t>
  </si>
  <si>
    <t>-0.051135921716580775</t>
  </si>
  <si>
    <t>-1.1793024484732293</t>
  </si>
  <si>
    <t>-2.725980178719523</t>
  </si>
  <si>
    <t>-1.5636319056132448</t>
  </si>
  <si>
    <t>-0.6993623206226911</t>
  </si>
  <si>
    <t>-0.3593551574962718</t>
  </si>
  <si>
    <t>-0.6385017449978715</t>
  </si>
  <si>
    <t>0.08221564606104123</t>
  </si>
  <si>
    <t>0.3256469408775765</t>
  </si>
  <si>
    <t>1.0685764076916469</t>
  </si>
  <si>
    <t>-0.440287628735576</t>
  </si>
  <si>
    <t>-1.153359729276641</t>
  </si>
  <si>
    <t>3.3327610089752495</t>
  </si>
  <si>
    <t>-2.1432131577433378</t>
  </si>
  <si>
    <t>5.324071022329686</t>
  </si>
  <si>
    <t>-4.643266469809812</t>
  </si>
  <si>
    <t>-0.7468851626125254</t>
  </si>
  <si>
    <t>-2.5712606215339386</t>
  </si>
  <si>
    <t>-0.2137760537503468</t>
  </si>
  <si>
    <t>-0.44230887917522976</t>
  </si>
  <si>
    <t>-0.5625619417405257</t>
  </si>
  <si>
    <t>0.6384622163313881</t>
  </si>
  <si>
    <t>0.07823823790402595</t>
  </si>
  <si>
    <t>1.5700162429776456</t>
  </si>
  <si>
    <t>-0.25181903111981435</t>
  </si>
  <si>
    <t>-0.8202135971883592</t>
  </si>
  <si>
    <t>-0.7781873690118941</t>
  </si>
  <si>
    <t>-2.637226209006222</t>
  </si>
  <si>
    <t>-1.4203193426999086</t>
  </si>
  <si>
    <t>1.7890386171210213</t>
  </si>
  <si>
    <t>-0.3559729344972776</t>
  </si>
  <si>
    <t>0.6896172989599915</t>
  </si>
  <si>
    <t>-1.4519022923157445</t>
  </si>
  <si>
    <t>1.6760356375174363</t>
  </si>
  <si>
    <t>-0.13635627858602772</t>
  </si>
  <si>
    <t>-0.4098575558338413</t>
  </si>
  <si>
    <t>0.5297530648681326</t>
  </si>
  <si>
    <t>-0.8813272544947242</t>
  </si>
  <si>
    <t>1.2747768746142123</t>
  </si>
  <si>
    <t>0.45130721957760866</t>
  </si>
  <si>
    <t>1.0146134073190614</t>
  </si>
  <si>
    <t>-1.2562997676062655</t>
  </si>
  <si>
    <t>0.1399764042868921</t>
  </si>
  <si>
    <t>-0.2931020844883379</t>
  </si>
  <si>
    <t>-0.45406780999678287</t>
  </si>
  <si>
    <t>-0.3214117547972405</t>
  </si>
  <si>
    <t>1.1473937082211405</t>
  </si>
  <si>
    <t>0.4474661733118105</t>
  </si>
  <si>
    <t>-1.062050491019351</t>
  </si>
  <si>
    <t>0.6153749809315809</t>
  </si>
  <si>
    <t>0.8502370747485691</t>
  </si>
  <si>
    <t>-1.9894008810478208</t>
  </si>
  <si>
    <t>0.952706045778294</t>
  </si>
  <si>
    <t>0.7754979442034915</t>
  </si>
  <si>
    <t>-1.2076858768135097</t>
  </si>
  <si>
    <t>1.9642355286907964</t>
  </si>
  <si>
    <t>0.7517178100321017</t>
  </si>
  <si>
    <t>-2.0720682520330644</t>
  </si>
  <si>
    <t>0.9040956649005946</t>
  </si>
  <si>
    <t>0.5289359603342525</t>
  </si>
  <si>
    <t>-0.6734555831656354</t>
  </si>
  <si>
    <t>-0.15627557069648612</t>
  </si>
  <si>
    <t>0.455055772964305</t>
  </si>
  <si>
    <t>-1.82885449779781</t>
  </si>
  <si>
    <t>0.3407051038139272</t>
  </si>
  <si>
    <t>-0.7125435980570664</t>
  </si>
  <si>
    <t>0.19694332674805912</t>
  </si>
  <si>
    <t>0.5724982971481685</t>
  </si>
  <si>
    <t>0.57800876050381</t>
  </si>
  <si>
    <t>1.1304681412005309</t>
  </si>
  <si>
    <t>1.3741460459303037</t>
  </si>
  <si>
    <t>-1.5739514164238704</t>
  </si>
  <si>
    <t>-0.8221147052429753</t>
  </si>
  <si>
    <t>0.7777768055773696</t>
  </si>
  <si>
    <t>0.6046974787864647</t>
  </si>
  <si>
    <t>0.9140314192684929</t>
  </si>
  <si>
    <t>-0.7829200789779756</t>
  </si>
  <si>
    <t>-1.2582368726702888</t>
  </si>
  <si>
    <t>-1.285893435467817</t>
  </si>
  <si>
    <t>0.7824121854814904</t>
  </si>
  <si>
    <t>-0.4222982696904636</t>
  </si>
  <si>
    <t>0.22118975546872172</t>
  </si>
  <si>
    <t>-0.8872531973385973</t>
  </si>
  <si>
    <t>0.6929454158867205</t>
  </si>
  <si>
    <t>-0.6868364951613682</t>
  </si>
  <si>
    <t>-0.6533800751892</t>
  </si>
  <si>
    <t>-0.3052100202446651</t>
  </si>
  <si>
    <t>0.7746407869285657</t>
  </si>
  <si>
    <t>0.5159908494493196</t>
  </si>
  <si>
    <t>0.5769578449372413</t>
  </si>
  <si>
    <t>0.7812794489992209</t>
  </si>
  <si>
    <t>0.20161513078529866</t>
  </si>
  <si>
    <t>0.34092297787089115</t>
  </si>
  <si>
    <t>0.32181811024863294</t>
  </si>
  <si>
    <t>0.7403529253779176</t>
  </si>
  <si>
    <t>-1.3982150288786883</t>
  </si>
  <si>
    <t>0.7711677700735131</t>
  </si>
  <si>
    <t>1.4142844020774412</t>
  </si>
  <si>
    <t>-0.48175489608074135</t>
  </si>
  <si>
    <t>-0.5033910977329779</t>
  </si>
  <si>
    <t>-0.08454962545838884</t>
  </si>
  <si>
    <t>2.2972674031236235</t>
  </si>
  <si>
    <t>4.023114664215944</t>
  </si>
  <si>
    <t>4.296429582145987</t>
  </si>
  <si>
    <t>-3.488241543557355</t>
  </si>
  <si>
    <t>0.4124256203156156</t>
  </si>
  <si>
    <t>0.8758216557308515</t>
  </si>
  <si>
    <t>-0.4003639419439602</t>
  </si>
  <si>
    <t>1.6925628955352228</t>
  </si>
  <si>
    <t>0.2339498668200314</t>
  </si>
  <si>
    <t>0.9612252000596</t>
  </si>
  <si>
    <t>0.08884827817722353</t>
  </si>
  <si>
    <t>1.2657754928378355</t>
  </si>
  <si>
    <t>-0.33287266219369793</t>
  </si>
  <si>
    <t>-0.359754060397109</t>
  </si>
  <si>
    <t>0.4736826165729218</t>
  </si>
  <si>
    <t>2.862727624125779</t>
  </si>
  <si>
    <t>-0.7306902692364448</t>
  </si>
  <si>
    <t>-0.7361992601421804</t>
  </si>
  <si>
    <t>-0.02385472202814528</t>
  </si>
  <si>
    <t>-1.0125156263393567</t>
  </si>
  <si>
    <t>0.6966370756273014</t>
  </si>
  <si>
    <t>-0.5555002987813036</t>
  </si>
  <si>
    <t>-0.6461463409806391</t>
  </si>
  <si>
    <t>-0.8542583299414839</t>
  </si>
  <si>
    <t>0.16134944167677903</t>
  </si>
  <si>
    <t>0.0830582432352382</t>
  </si>
  <si>
    <t>-0.09902554372064239</t>
  </si>
  <si>
    <t>0.24703431241630927</t>
  </si>
  <si>
    <t>-1.0653690837099947</t>
  </si>
  <si>
    <t>3.4459528360205023</t>
  </si>
  <si>
    <t>0.17035210861103528</t>
  </si>
  <si>
    <t>-0.03549907275883656</t>
  </si>
  <si>
    <t>-0.3078167445220831</t>
  </si>
  <si>
    <t>0.10468361402044234</t>
  </si>
  <si>
    <t>-0.023501831426924497</t>
  </si>
  <si>
    <t>-1.2491994430892772</t>
  </si>
  <si>
    <t>0.4443205983226941</t>
  </si>
  <si>
    <t>-0.4104118472756761</t>
  </si>
  <si>
    <t>-0.6529801661803938</t>
  </si>
  <si>
    <t>-0.4141957978740474</t>
  </si>
  <si>
    <t>-0.17607429962161292</t>
  </si>
  <si>
    <t>-0.533208050290951</t>
  </si>
  <si>
    <t>-0.7495696354292906</t>
  </si>
  <si>
    <t>0.7650762656198248</t>
  </si>
  <si>
    <t>-0.18820688522503357</t>
  </si>
  <si>
    <t>-0.45895576767110546</t>
  </si>
  <si>
    <t>-0.6143327521681732</t>
  </si>
  <si>
    <t>-1.8020237278742266</t>
  </si>
  <si>
    <t>-0.8142022127981035</t>
  </si>
  <si>
    <t>-0.9029237635242747</t>
  </si>
  <si>
    <t>-0.724209260854902</t>
  </si>
  <si>
    <t>-0.04278428920348209</t>
  </si>
  <si>
    <t>2.4728761034463935</t>
  </si>
  <si>
    <t>1.3246529081655358</t>
  </si>
  <si>
    <t>-0.3877850683385192</t>
  </si>
  <si>
    <t>0.17003171484057653</t>
  </si>
  <si>
    <t>-0.5922602802329126</t>
  </si>
  <si>
    <t>0.9331553298316466</t>
  </si>
  <si>
    <t>0.8318293687236732</t>
  </si>
  <si>
    <t>-2.4314396022145965</t>
  </si>
  <si>
    <t>0.4451906416174559</t>
  </si>
  <si>
    <t>0.296709835055352</t>
  </si>
  <si>
    <t>-0.9778616354039621</t>
  </si>
  <si>
    <t>-0.4117145516488388</t>
  </si>
  <si>
    <t>-0.7116403512584685</t>
  </si>
  <si>
    <t>-0.828636189855746</t>
  </si>
  <si>
    <t>-1.3793525981805022</t>
  </si>
  <si>
    <t>1.9014293339602533</t>
  </si>
  <si>
    <t>0.7876796234273757</t>
  </si>
  <si>
    <t>0.55622127696107</t>
  </si>
  <si>
    <t>0.5639888440401257</t>
  </si>
  <si>
    <t>0.15779138306433207</t>
  </si>
  <si>
    <t>-0.4115154544475242</t>
  </si>
  <si>
    <t>0.346836751901114</t>
  </si>
  <si>
    <t>-1.8133656395010198</t>
  </si>
  <si>
    <t>-2.0827627714819723</t>
  </si>
  <si>
    <t>0.2451545072999958</t>
  </si>
  <si>
    <t>-1.7231343533188335</t>
  </si>
  <si>
    <t>-0.7839908635243337</t>
  </si>
  <si>
    <t>0.17001439188273723</t>
  </si>
  <si>
    <t>0.006074978611178451</t>
  </si>
  <si>
    <t>-0.01325437244003704</t>
  </si>
  <si>
    <t>0.4396618314064862</t>
  </si>
  <si>
    <t>0.5702781370578188</t>
  </si>
  <si>
    <t>-0.9362245377996454</t>
  </si>
  <si>
    <t>0.9367455333297776</t>
  </si>
  <si>
    <t>-0.8370578528331875</t>
  </si>
  <si>
    <t>-0.17290882325239731</t>
  </si>
  <si>
    <t>-0.2588890582387716</t>
  </si>
  <si>
    <t>-0.23017557652707948</t>
  </si>
  <si>
    <t>-0.861468770047179</t>
  </si>
  <si>
    <t>0.8216964066167154</t>
  </si>
  <si>
    <t>0.09856459522477598</t>
  </si>
  <si>
    <t>-1.0001696264429085</t>
  </si>
  <si>
    <t>-0.7836100728683335</t>
  </si>
  <si>
    <t>-0.5972060043276762</t>
  </si>
  <si>
    <t>-0.8043137932085481</t>
  </si>
  <si>
    <t>0.47279873934120803</t>
  </si>
  <si>
    <t>-1.0385751306546034</t>
  </si>
  <si>
    <t>-0.1427606831004916</t>
  </si>
  <si>
    <t>-0.2322179961953342</t>
  </si>
  <si>
    <t>-0.9023233875561865</t>
  </si>
  <si>
    <t>0.1843705668074754</t>
  </si>
  <si>
    <t>1.7548553888307974</t>
  </si>
  <si>
    <t>0.05255044533860633</t>
  </si>
  <si>
    <t>0.48601146473339235</t>
  </si>
  <si>
    <t>-0.060398197270993034</t>
  </si>
  <si>
    <t>2.236889915645447</t>
  </si>
  <si>
    <t>-0.6023659619805792</t>
  </si>
  <si>
    <t>1.9087734935917642</t>
  </si>
  <si>
    <t>1.2942203925720492</t>
  </si>
  <si>
    <t>0.7767122510357003</t>
  </si>
  <si>
    <t>-0.1457486431849614</t>
  </si>
  <si>
    <t>0.7774215140742308</t>
  </si>
  <si>
    <t>-0.7912787646447462</t>
  </si>
  <si>
    <t>0.011180432438862242</t>
  </si>
  <si>
    <t>-0.5693138960416106</t>
  </si>
  <si>
    <t>-1.9768620709249776</t>
  </si>
  <si>
    <t>0.5728746599400985</t>
  </si>
  <si>
    <t>-1.9491009169398101</t>
  </si>
  <si>
    <t>-1.0506096455886937</t>
  </si>
  <si>
    <t>-0.9825067568974551</t>
  </si>
  <si>
    <t>-0.6646660805807706</t>
  </si>
  <si>
    <t>-0.3166966833299463</t>
  </si>
  <si>
    <t>0.6047615058987014</t>
  </si>
  <si>
    <t>-0.02932200662203266</t>
  </si>
  <si>
    <t>0.3010834588943675</t>
  </si>
  <si>
    <t>-0.619159894221585</t>
  </si>
  <si>
    <t>-0.8473085624377591</t>
  </si>
  <si>
    <t>1.0809997373169813</t>
  </si>
  <si>
    <t>1.5706640717198546</t>
  </si>
  <si>
    <t>-0.022440408608640498</t>
  </si>
  <si>
    <t>0.3091128631707838</t>
  </si>
  <si>
    <t>0.7276651681867133</t>
  </si>
  <si>
    <t>-0.014670798304273758</t>
  </si>
  <si>
    <t>-0.554182294792995</t>
  </si>
  <si>
    <t>-1.0095984214397307</t>
  </si>
  <si>
    <t>0.025927760591268553</t>
  </si>
  <si>
    <t>-0.10932205690086738</t>
  </si>
  <si>
    <t>0.2106001041322797</t>
  </si>
  <si>
    <t>-1.214486313511093</t>
  </si>
  <si>
    <t>1.1374621480624971</t>
  </si>
  <si>
    <t>-1.1071688401902622</t>
  </si>
  <si>
    <t>-0.5104461238380369</t>
  </si>
  <si>
    <t>-1.0295744449173467</t>
  </si>
  <si>
    <t>1.211522253447636</t>
  </si>
  <si>
    <t>0.08723212869238162</t>
  </si>
  <si>
    <t>0.32629969042515705</t>
  </si>
  <si>
    <t>0.27566796893700174</t>
  </si>
  <si>
    <t>-0.5447615621359081</t>
  </si>
  <si>
    <t>-0.4458093998496474</t>
  </si>
  <si>
    <t>0.7598174636434588</t>
  </si>
  <si>
    <t>-0.4141436719799853</t>
  </si>
  <si>
    <t>-0.870599291408205</t>
  </si>
  <si>
    <t>-1.6870846197648564</t>
  </si>
  <si>
    <t>-0.8652232926111143</t>
  </si>
  <si>
    <t>0.10755192378838858</t>
  </si>
  <si>
    <t>-0.8345049083776612</t>
  </si>
  <si>
    <t>-0.3401230548017596</t>
  </si>
  <si>
    <t>-0.5573021663523111</t>
  </si>
  <si>
    <t>-0.1773707806836488</t>
  </si>
  <si>
    <t>-0.6284565105457147</t>
  </si>
  <si>
    <t>0.5715273118375632</t>
  </si>
  <si>
    <t>1.8788686701685522</t>
  </si>
  <si>
    <t>-0.129013966091276</t>
  </si>
  <si>
    <t>-1.2411944058118851</t>
  </si>
  <si>
    <t>0.6703690574965124</t>
  </si>
  <si>
    <t>-0.3157379343245687</t>
  </si>
  <si>
    <t>-0.015790101955553765</t>
  </si>
  <si>
    <t>0.6356909305159206</t>
  </si>
  <si>
    <t>0.16757698097495782</t>
  </si>
  <si>
    <t>1.1774469068341749</t>
  </si>
  <si>
    <t>-1.6801557315295481</t>
  </si>
  <si>
    <t>-0.8187196256684217</t>
  </si>
  <si>
    <t>0.7692603637836088</t>
  </si>
  <si>
    <t>-0.5503639801520999</t>
  </si>
  <si>
    <t>-1.4335926897274713</t>
  </si>
  <si>
    <t>-0.3779572833562225</t>
  </si>
  <si>
    <t>-0.21974574984580555</t>
  </si>
  <si>
    <t>0.48653645588656935</t>
  </si>
  <si>
    <t>0.02199010835653149</t>
  </si>
  <si>
    <t>0.3062614585884697</t>
  </si>
  <si>
    <t>-0.6891320533126312</t>
  </si>
  <si>
    <t>-0.36689519221726413</t>
  </si>
  <si>
    <t>-0.8401532774164507</t>
  </si>
  <si>
    <t>-0.003833231934237738</t>
  </si>
  <si>
    <t>-1.4583223519726134</t>
  </si>
  <si>
    <t>0.44745791447459093</t>
  </si>
  <si>
    <t>-0.5686704003611762</t>
  </si>
  <si>
    <t>2.583985258372499</t>
  </si>
  <si>
    <t>-0.645875064017031</t>
  </si>
  <si>
    <t>-0.12475246742593223</t>
  </si>
  <si>
    <t>-0.295611502263617</t>
  </si>
  <si>
    <t>-2.0156297664113154</t>
  </si>
  <si>
    <t>-1.1941492296437268</t>
  </si>
  <si>
    <t>-0.1299512760518915</t>
  </si>
  <si>
    <t>1.698612859813948</t>
  </si>
  <si>
    <t>-1.1716230023815066</t>
  </si>
  <si>
    <t>-0.7351365771304148</t>
  </si>
  <si>
    <t>0.17918479189621075</t>
  </si>
  <si>
    <t>0.8359834945058042</t>
  </si>
  <si>
    <t>-1.3508324150094089</t>
  </si>
  <si>
    <t>0.8069171491972236</t>
  </si>
  <si>
    <t>3.084116434786716</t>
  </si>
  <si>
    <t>-2.135236141264625</t>
  </si>
  <si>
    <t>-1.3754487151737034</t>
  </si>
  <si>
    <t>-0.38040783628183866</t>
  </si>
  <si>
    <t>0.01032668604018258</t>
  </si>
  <si>
    <t>4.968387270138218</t>
  </si>
  <si>
    <t>-0.8838544548427505</t>
  </si>
  <si>
    <t>-0.00647992782100487</t>
  </si>
  <si>
    <t>0.8704722778960848</t>
  </si>
  <si>
    <t>1.4256624115937797</t>
  </si>
  <si>
    <t>-0.14720444827377824</t>
  </si>
  <si>
    <t>0.5556005933735984</t>
  </si>
  <si>
    <t>1.436087502383318</t>
  </si>
  <si>
    <t>0.3450260731181757</t>
  </si>
  <si>
    <t>-0.5524056171358136</t>
  </si>
  <si>
    <t>-1.043246967874167</t>
  </si>
  <si>
    <t>-0.5563609550630951</t>
  </si>
  <si>
    <t>-0.9521178251124303</t>
  </si>
  <si>
    <t>-1.0433399743135818</t>
  </si>
  <si>
    <t>-0.4442268517561718</t>
  </si>
  <si>
    <t>-0.5095852915836774</t>
  </si>
  <si>
    <t>-0.5743849579567886</t>
  </si>
  <si>
    <t>-0.7298399791947537</t>
  </si>
  <si>
    <t>0.5831811454580845</t>
  </si>
  <si>
    <t>-0.12560389960013577</t>
  </si>
  <si>
    <t>0.9290771417893191</t>
  </si>
  <si>
    <t>-1.2192504416959122</t>
  </si>
  <si>
    <t>1.9290463693696063</t>
  </si>
  <si>
    <t>-0.34592585841193674</t>
  </si>
  <si>
    <t>-0.11221470237507175</t>
  </si>
  <si>
    <t>2.3016989774077077</t>
  </si>
  <si>
    <t>2.2772049090836717</t>
  </si>
  <si>
    <t>-0.295968445817283</t>
  </si>
  <si>
    <t>-0.441891568286597</t>
  </si>
  <si>
    <t>-0.13823155824780853</t>
  </si>
  <si>
    <t>0.2425222085192463</t>
  </si>
  <si>
    <t>0.03937350742337656</t>
  </si>
  <si>
    <t>0.022029041414507806</t>
  </si>
  <si>
    <t>-0.6486864562875487</t>
  </si>
  <si>
    <t>0.6550591948341148</t>
  </si>
  <si>
    <t>-1.4330610876455785</t>
  </si>
  <si>
    <t>-0.5868267353824418</t>
  </si>
  <si>
    <t>0.3402247357557767</t>
  </si>
  <si>
    <t>0.1389724841078378</t>
  </si>
  <si>
    <t>0.43444818948149616</t>
  </si>
  <si>
    <t>0.32091986255475624</t>
  </si>
  <si>
    <t>0.0730281673858092</t>
  </si>
  <si>
    <t>-0.33699213994433147</t>
  </si>
  <si>
    <t>-2.2801173695191292</t>
  </si>
  <si>
    <t>0.5767220068747618</t>
  </si>
  <si>
    <t>0.10331031333893523</t>
  </si>
  <si>
    <t>0.7005115967359818</t>
  </si>
  <si>
    <t>-0.26086639423686875</t>
  </si>
  <si>
    <t>-1.6403500773783084</t>
  </si>
  <si>
    <t>0.9766720005905964</t>
  </si>
  <si>
    <t>-0.06386866394232665</t>
  </si>
  <si>
    <t>-0.7304737949258007</t>
  </si>
  <si>
    <t>-0.3966019655376464</t>
  </si>
  <si>
    <t>0.13998510246718762</t>
  </si>
  <si>
    <t>-0.820964023124618</t>
  </si>
  <si>
    <t>2.0647424738051723</t>
  </si>
  <si>
    <t>-1.7964926527066478</t>
  </si>
  <si>
    <t>0.4617203004641413</t>
  </si>
  <si>
    <t>-1.285255641580465</t>
  </si>
  <si>
    <t>-0.21493111577186705</t>
  </si>
  <si>
    <t>0.3484429070356805</t>
  </si>
  <si>
    <t>-0.14971340107426848</t>
  </si>
  <si>
    <t>1.269863800905588</t>
  </si>
  <si>
    <t>-0.1052920312604845</t>
  </si>
  <si>
    <t>-0.6275360708846189</t>
  </si>
  <si>
    <t>1.588442790919928</t>
  </si>
  <si>
    <t>0.004020722320161915</t>
  </si>
  <si>
    <t>-0.48084688590624264</t>
  </si>
  <si>
    <t>-0.9679329626334475</t>
  </si>
  <si>
    <t>0.6065031016114305</t>
  </si>
  <si>
    <t>-2.4671826822539904</t>
  </si>
  <si>
    <t>0.3249098697807364</t>
  </si>
  <si>
    <t>-0.9650486634572513</t>
  </si>
  <si>
    <t>-0.32879465140961717</t>
  </si>
  <si>
    <t>0.4633665327091448</t>
  </si>
  <si>
    <t>-0.3455229008482389</t>
  </si>
  <si>
    <t>0.7895043599450448</t>
  </si>
  <si>
    <t>-0.46570550636825403</t>
  </si>
  <si>
    <t>0.5350615131881815</t>
  </si>
  <si>
    <t>1.957603824143557</t>
  </si>
  <si>
    <t>-0.2936400672635753</t>
  </si>
  <si>
    <t>0.49388924652278277</t>
  </si>
  <si>
    <t>-0.498731607253767</t>
  </si>
  <si>
    <t>1.7629801025808727</t>
  </si>
  <si>
    <t>-0.9409101852032873</t>
  </si>
  <si>
    <t>2.166140320834583</t>
  </si>
  <si>
    <t>0.6327429112736408</t>
  </si>
  <si>
    <t>-0.6777102925218393</t>
  </si>
  <si>
    <t>0.5972250095629953</t>
  </si>
  <si>
    <t>-0.10596355850752706</t>
  </si>
  <si>
    <t>0.7498846325912983</t>
  </si>
  <si>
    <t>0.4603307213730569</t>
  </si>
  <si>
    <t>-0.10877587667896499</t>
  </si>
  <si>
    <t>1.3109485641198528</t>
  </si>
  <si>
    <t>0.19959782397820758</t>
  </si>
  <si>
    <t>-0.2522617422311943</t>
  </si>
  <si>
    <t>0.7492544521410668</t>
  </si>
  <si>
    <t>1.2107568976384249</t>
  </si>
  <si>
    <t>0.469401874990534</t>
  </si>
  <si>
    <t>0.03716320747885566</t>
  </si>
  <si>
    <t>0.4208499518481447</t>
  </si>
  <si>
    <t>-1.608762477131078</t>
  </si>
  <si>
    <t>-1.033721520470153</t>
  </si>
  <si>
    <t>1.6108554591061721</t>
  </si>
  <si>
    <t>0.8498411401114692</t>
  </si>
  <si>
    <t>0.13767347364723262</t>
  </si>
  <si>
    <t>0.05772963298115413</t>
  </si>
  <si>
    <t>0.39579508845319233</t>
  </si>
  <si>
    <t>0.0832903217923694</t>
  </si>
  <si>
    <t>0.7881040478315521</t>
  </si>
  <si>
    <t>-0.028734401521569024</t>
  </si>
  <si>
    <t>-0.13913213444682976</t>
  </si>
  <si>
    <t>0.8878171681646462</t>
  </si>
  <si>
    <t>-0.7917667743540481</t>
  </si>
  <si>
    <t>-0.5371188751375217</t>
  </si>
  <si>
    <t>-0.24425279101786795</t>
  </si>
  <si>
    <t>-1.009792373562555</t>
  </si>
  <si>
    <t>-0.6199886219680552</t>
  </si>
  <si>
    <t>0.0022138023236720314</t>
  </si>
  <si>
    <t>-0.975036295065312</t>
  </si>
  <si>
    <t>0.31227903389478895</t>
  </si>
  <si>
    <t>0.23101145145851895</t>
  </si>
  <si>
    <t>-1.0617504131531672</t>
  </si>
  <si>
    <t>-0.038526047405253915</t>
  </si>
  <si>
    <t>1.3309745047205277</t>
  </si>
  <si>
    <t>0.37404810691033724</t>
  </si>
  <si>
    <t>0.26855120362403556</t>
  </si>
  <si>
    <t>2.038036625435672</t>
  </si>
  <si>
    <t>-0.010346755227681557</t>
  </si>
  <si>
    <t>-0.8354892956058148</t>
  </si>
  <si>
    <t>-0.7014802111462888</t>
  </si>
  <si>
    <t>1.8265148460338823</t>
  </si>
  <si>
    <t>0.7813310969808868</t>
  </si>
  <si>
    <t>0.567637124430357</t>
  </si>
  <si>
    <t>-0.7069964775837814</t>
  </si>
  <si>
    <t>-0.2411090427395308</t>
  </si>
  <si>
    <t>-0.28973107119775926</t>
  </si>
  <si>
    <t>-0.31974216891230867</t>
  </si>
  <si>
    <t>-0.242032897931066</t>
  </si>
  <si>
    <t>0.20035543763174835</t>
  </si>
  <si>
    <t>0.061945614798229694</t>
  </si>
  <si>
    <t>-0.1435903366951258</t>
  </si>
  <si>
    <t>0.2024184569961765</t>
  </si>
  <si>
    <t>0.7300760456665001</t>
  </si>
  <si>
    <t>-0.1743549308594747</t>
  </si>
  <si>
    <t>1.0001458940635706</t>
  </si>
  <si>
    <t>0.12230849118176354</t>
  </si>
  <si>
    <t>0.18562717504951579</t>
  </si>
  <si>
    <t>-1.6880064562361705</t>
  </si>
  <si>
    <t>-0.9396642085063112</t>
  </si>
  <si>
    <t>-0.9356563614659805</t>
  </si>
  <si>
    <t>0.13556386039345145</t>
  </si>
  <si>
    <t>0.6690569724875012</t>
  </si>
  <si>
    <t>-1.230251611849243</t>
  </si>
  <si>
    <t>0.15152973553676283</t>
  </si>
  <si>
    <t>-1.1287649892054183</t>
  </si>
  <si>
    <t>0.004648677014166812</t>
  </si>
  <si>
    <t>0.1553627575530681</t>
  </si>
  <si>
    <t>-0.6855896147937349</t>
  </si>
  <si>
    <t>-0.4061086455333942</t>
  </si>
  <si>
    <t>0.8951513663897468</t>
  </si>
  <si>
    <t>-0.2353076319114512</t>
  </si>
  <si>
    <t>0.02580951893677721</t>
  </si>
  <si>
    <t>0.5453718893151785</t>
  </si>
  <si>
    <t>-0.016126693276961306</t>
  </si>
  <si>
    <t>-0.8329737139099181</t>
  </si>
  <si>
    <t>-0.42136596248871877</t>
  </si>
  <si>
    <t>-0.24717454528038932</t>
  </si>
  <si>
    <t>0.6253997357756852</t>
  </si>
  <si>
    <t>0.18444613506270938</t>
  </si>
  <si>
    <t>-0.18536247133329448</t>
  </si>
  <si>
    <t>0.21660954082639203</t>
  </si>
  <si>
    <t>0.22996844096158575</t>
  </si>
  <si>
    <t>0.17655248731012585</t>
  </si>
  <si>
    <t>0.6141559423841745</t>
  </si>
  <si>
    <t>0.8979568551082053</t>
  </si>
  <si>
    <t>-0.21256494567324904</t>
  </si>
  <si>
    <t>-0.5159315591861529</t>
  </si>
  <si>
    <t>0.06841325029414555</t>
  </si>
  <si>
    <t>-0.9479352914140475</t>
  </si>
  <si>
    <t>-0.6038086435369092</t>
  </si>
  <si>
    <t>-0.27492258936939556</t>
  </si>
  <si>
    <t>-0.7999813752374134</t>
  </si>
  <si>
    <t>0.2876856091712417</t>
  </si>
  <si>
    <t>0.11344285227455676</t>
  </si>
  <si>
    <t>-0.6721392800651191</t>
  </si>
  <si>
    <t>-0.5345953759140251</t>
  </si>
  <si>
    <t>0.14380411322732417</t>
  </si>
  <si>
    <t>0.5909576202711767</t>
  </si>
  <si>
    <t>-0.6764168378757285</t>
  </si>
  <si>
    <t>0.6031709434694846</t>
  </si>
  <si>
    <t>-0.39629757728883364</t>
  </si>
  <si>
    <t>1.0697199942387128</t>
  </si>
  <si>
    <t>-0.19716432656188604</t>
  </si>
  <si>
    <t>-0.10518025536029225</t>
  </si>
  <si>
    <t>0.7230621932937881</t>
  </si>
  <si>
    <t>-0.7599969835515642</t>
  </si>
  <si>
    <t>-0.621958038096247</t>
  </si>
  <si>
    <t>0.10211545991792144</t>
  </si>
  <si>
    <t>-0.07217066412770626</t>
  </si>
  <si>
    <t>1.4251118281900423</t>
  </si>
  <si>
    <t>-1.1347376139633412</t>
  </si>
  <si>
    <t>-0.6603958164707484</t>
  </si>
  <si>
    <t>-0.13396148828992882</t>
  </si>
  <si>
    <t>-1.776559317603088</t>
  </si>
  <si>
    <t>0.5676059531825898</t>
  </si>
  <si>
    <t>-0.2815751345813179</t>
  </si>
  <si>
    <t>0.2788274208714166</t>
  </si>
  <si>
    <t>-0.5935477018138838</t>
  </si>
  <si>
    <t>0.4742941806708519</t>
  </si>
  <si>
    <t>-1.8028346488672042</t>
  </si>
  <si>
    <t>0.6790215507099753</t>
  </si>
  <si>
    <t>0.8434462691637217</t>
  </si>
  <si>
    <t>-0.05223567869147733</t>
  </si>
  <si>
    <t>1.6374628664678506</t>
  </si>
  <si>
    <t>0.5532445359116676</t>
  </si>
  <si>
    <t>-0.21816716080701565</t>
  </si>
  <si>
    <t>-0.2529029021438444</t>
  </si>
  <si>
    <t>0.6521116201857873</t>
  </si>
  <si>
    <t>-0.377625394025641</t>
  </si>
  <si>
    <t>-0.4653547275562478</t>
  </si>
  <si>
    <t>1.3297207576920673</t>
  </si>
  <si>
    <t>0.012747311461243489</t>
  </si>
  <si>
    <t>-0.966681121826946</t>
  </si>
  <si>
    <t>0.8818703101683998</t>
  </si>
  <si>
    <t>0.4329401700384358</t>
  </si>
  <si>
    <t>0.8397100598582462</t>
  </si>
  <si>
    <t>-1.3719649421659401</t>
  </si>
  <si>
    <t>-0.41025427892616523</t>
  </si>
  <si>
    <t>-0.34236668647970964</t>
  </si>
  <si>
    <t>0.26087756847726623</t>
  </si>
  <si>
    <t>0.21559693412482978</t>
  </si>
  <si>
    <t>-0.4206301210761896</t>
  </si>
  <si>
    <t>0.018473068033508264</t>
  </si>
  <si>
    <t>2.2372236947356763</t>
  </si>
  <si>
    <t>1.7091680843135322</t>
  </si>
  <si>
    <t>-0.026957898367885196</t>
  </si>
  <si>
    <t>-0.3826964542874785</t>
  </si>
  <si>
    <t>-0.258323884526419</t>
  </si>
  <si>
    <t>0.17608248389382505</t>
  </si>
  <si>
    <t>-0.14557644073265247</t>
  </si>
  <si>
    <t>0.4549559376865661</t>
  </si>
  <si>
    <t>0.659470566784592</t>
  </si>
  <si>
    <t>1.111491037780867</t>
  </si>
  <si>
    <t>-1.3597981917239104</t>
  </si>
  <si>
    <t>0.7421359110407345</t>
  </si>
  <si>
    <t>-0.017265707309159176</t>
  </si>
  <si>
    <t>-0.9293294334785456</t>
  </si>
  <si>
    <t>-0.4272712330875434</t>
  </si>
  <si>
    <t>-0.13717996029352125</t>
  </si>
  <si>
    <t>-0.4054362414715283</t>
  </si>
  <si>
    <t>-0.25747685377300267</t>
  </si>
  <si>
    <t>-0.5713275709908634</t>
  </si>
  <si>
    <t>0.20339887349682237</t>
  </si>
  <si>
    <t>-0.28544170654255346</t>
  </si>
  <si>
    <t>-0.4410865853249613</t>
  </si>
  <si>
    <t>-0.2971694577374053</t>
  </si>
  <si>
    <t>0.6169109688334597</t>
  </si>
  <si>
    <t>-0.8617387596963927</t>
  </si>
  <si>
    <t>-0.21082712826667438</t>
  </si>
  <si>
    <t>-0.00228848259275556</t>
  </si>
  <si>
    <t>1.8993084769935347</t>
  </si>
  <si>
    <t>0.06141524113457024</t>
  </si>
  <si>
    <t>0.5689160085070734</t>
  </si>
  <si>
    <t>-0.3858147265544508</t>
  </si>
  <si>
    <t>1.429203185373885</t>
  </si>
  <si>
    <t>0.15801449257298789</t>
  </si>
  <si>
    <t>-0.9425434182450366</t>
  </si>
  <si>
    <t>-0.28848298017625235</t>
  </si>
  <si>
    <t>-0.36584788693959</t>
  </si>
  <si>
    <t>-1.4364371137896452</t>
  </si>
  <si>
    <t>2.0163770190759567</t>
  </si>
  <si>
    <t>-0.03656372988277227</t>
  </si>
  <si>
    <t>0.0028501167660012683</t>
  </si>
  <si>
    <t>-0.9979196500151223</t>
  </si>
  <si>
    <t>-0.7128106750838276</t>
  </si>
  <si>
    <t>-0.9428221641014569</t>
  </si>
  <si>
    <t>0.48482532885746077</t>
  </si>
  <si>
    <t>-0.3626623419187201</t>
  </si>
  <si>
    <t>0.15061007590754616</t>
  </si>
  <si>
    <t>0.3245719307430977</t>
  </si>
  <si>
    <t>-0.5161883314542083</t>
  </si>
  <si>
    <t>-0.48689050686964114</t>
  </si>
  <si>
    <t>0.34564990668037937</t>
  </si>
  <si>
    <t>-0.309518088778606</t>
  </si>
  <si>
    <t>1.568654941020977</t>
  </si>
  <si>
    <t>-0.2547097170731244</t>
  </si>
  <si>
    <t>-1.1060672509002345</t>
  </si>
  <si>
    <t>0.4568953694816023</t>
  </si>
  <si>
    <t>1.2982464368469333</t>
  </si>
  <si>
    <t>-0.4378536497603775</t>
  </si>
  <si>
    <t>-0.4507588394202508</t>
  </si>
  <si>
    <t>0.7088673890774969</t>
  </si>
  <si>
    <t>-0.2525552925573727</t>
  </si>
  <si>
    <t>-0.3210094950402664</t>
  </si>
  <si>
    <t>-0.43921105229276786</t>
  </si>
  <si>
    <t>0.083698491663433</t>
  </si>
  <si>
    <t>-0.9360937277601424</t>
  </si>
  <si>
    <t>0.45184393444350557</t>
  </si>
  <si>
    <t>-0.649657783672927</t>
  </si>
  <si>
    <t>-0.48363057220513767</t>
  </si>
  <si>
    <t>0.684471379633999</t>
  </si>
  <si>
    <t>-0.9310957958479137</t>
  </si>
  <si>
    <t>-0.11806203762988894</t>
  </si>
  <si>
    <t>-1.3703333308014276</t>
  </si>
  <si>
    <t>0.21491742424674978</t>
  </si>
  <si>
    <t>0.12003283271769616</t>
  </si>
  <si>
    <t>0.3226249030225539</t>
  </si>
  <si>
    <t>0.30296137341843166</t>
  </si>
  <si>
    <t>-0.9307318626732293</t>
  </si>
  <si>
    <t>-0.34386002122317005</t>
  </si>
  <si>
    <t>-0.09464843907577734</t>
  </si>
  <si>
    <t>0.42862028272992625</t>
  </si>
  <si>
    <t>2.2284795580079284</t>
  </si>
  <si>
    <t>-0.7014439368022843</t>
  </si>
  <si>
    <t>0.6825225861585643</t>
  </si>
  <si>
    <t>0.4077757647299584</t>
  </si>
  <si>
    <t>-0.33674422692604</t>
  </si>
  <si>
    <t>0.11070483314063048</t>
  </si>
  <si>
    <t>-0.15849317915783118</t>
  </si>
  <si>
    <t>-0.6620860938586943</t>
  </si>
  <si>
    <t>-0.7410463833818896</t>
  </si>
  <si>
    <t>-0.9272663295838921</t>
  </si>
  <si>
    <t>-0.3893351785254316</t>
  </si>
  <si>
    <t>-0.452693449382091</t>
  </si>
  <si>
    <t>1.702240656682168</t>
  </si>
  <si>
    <t>0.3948586088008643</t>
  </si>
  <si>
    <t>0.02861480388391522</t>
  </si>
  <si>
    <t>0.19901493160889824</t>
  </si>
  <si>
    <t>-0.6277422017692962</t>
  </si>
  <si>
    <t>-0.7147901668648193</t>
  </si>
  <si>
    <t>0.5013704400071719</t>
  </si>
  <si>
    <t>-0.24199117919478383</t>
  </si>
  <si>
    <t>0.5261693096168277</t>
  </si>
  <si>
    <t>1.9475314009195048</t>
  </si>
  <si>
    <t>0.12724821831279282</t>
  </si>
  <si>
    <t>-0.8478490849029575</t>
  </si>
  <si>
    <t>-1.0280272943772135</t>
  </si>
  <si>
    <t>-0.04406472304305852</t>
  </si>
  <si>
    <t>0.1763225808136716</t>
  </si>
  <si>
    <t>-1.034925842734633</t>
  </si>
  <si>
    <t>0.425878509795135</t>
  </si>
  <si>
    <t>-1.9819221853903428</t>
  </si>
  <si>
    <t>0.680257221081301</t>
  </si>
  <si>
    <t>0.002499296313349335</t>
  </si>
  <si>
    <t>-0.7213554462838893</t>
  </si>
  <si>
    <t>-0.2618212627293817</t>
  </si>
  <si>
    <t>-0.004630936240859091</t>
  </si>
  <si>
    <t>-0.10122433736665465</t>
  </si>
  <si>
    <t>-0.3337839308314134</t>
  </si>
  <si>
    <t>-0.9728955061589057</t>
  </si>
  <si>
    <t>-0.6367773210557504</t>
  </si>
  <si>
    <t>-1.0667600077323343</t>
  </si>
  <si>
    <t>0.2664366914580504</t>
  </si>
  <si>
    <t>-0.802666098008951</t>
  </si>
  <si>
    <t>0.4776845826614926</t>
  </si>
  <si>
    <t>0.1490468656225226</t>
  </si>
  <si>
    <t>-0.9950090271850751</t>
  </si>
  <si>
    <t>1.0131291959563964</t>
  </si>
  <si>
    <t>1.4418206300751204</t>
  </si>
  <si>
    <t>-0.09584308711395788</t>
  </si>
  <si>
    <t>0.0822046469801782</t>
  </si>
  <si>
    <t>-0.4224522202941903</t>
  </si>
  <si>
    <t>2.014526678528671</t>
  </si>
  <si>
    <t>0.18409498699361934</t>
  </si>
  <si>
    <t>-0.034288560663123406</t>
  </si>
  <si>
    <t>0.4966620984434875</t>
  </si>
  <si>
    <t>-1.2044419620968425</t>
  </si>
  <si>
    <t>0.10487460947087805</t>
  </si>
  <si>
    <t>-0.7031752146775505</t>
  </si>
  <si>
    <t>-0.6545596852178642</t>
  </si>
  <si>
    <t>-0.0913343228904455</t>
  </si>
  <si>
    <t>-0.682392963547893</t>
  </si>
  <si>
    <t>0.09023942033815813</t>
  </si>
  <si>
    <t>-0.12045451609660929</t>
  </si>
  <si>
    <t>-0.1651765031841396</t>
  </si>
  <si>
    <t>-0.6884577909191747</t>
  </si>
  <si>
    <t>0.23259837034015096</t>
  </si>
  <si>
    <t>0.972962840542599</t>
  </si>
  <si>
    <t>0.4947773715936982</t>
  </si>
  <si>
    <t>0.19638187349308706</t>
  </si>
  <si>
    <t>-1.1247296993208462</t>
  </si>
  <si>
    <t>-0.16386217028941974</t>
  </si>
  <si>
    <t>-0.7271792045214214</t>
  </si>
  <si>
    <t>-1.0620963305313305</t>
  </si>
  <si>
    <t>-0.19877376868003413</t>
  </si>
  <si>
    <t>1.3044662244073826</t>
  </si>
  <si>
    <t>0.599978949679886</t>
  </si>
  <si>
    <t>-0.556964236022884</t>
  </si>
  <si>
    <t>-0.1632187460458915</t>
  </si>
  <si>
    <t>-0.4065448611482843</t>
  </si>
  <si>
    <t>0.22183099811796286</t>
  </si>
  <si>
    <t>-0.6866480224829228</t>
  </si>
  <si>
    <t>0.1393781359226297</t>
  </si>
  <si>
    <t>-0.11377105548173198</t>
  </si>
  <si>
    <t>0.8091200864000074</t>
  </si>
  <si>
    <t>-0.42624017499547573</t>
  </si>
  <si>
    <t>-0.10262016201950613</t>
  </si>
  <si>
    <t>-0.5588495244044364</t>
  </si>
  <si>
    <t>-0.7267162004433806</t>
  </si>
  <si>
    <t>-0.6350671345054222</t>
  </si>
  <si>
    <t>0.3204012840645917</t>
  </si>
  <si>
    <t>0.33429050020562884</t>
  </si>
  <si>
    <t>-0.2655819263169346</t>
  </si>
  <si>
    <t>-0.52393696765761</t>
  </si>
  <si>
    <t>0.28823934381080724</t>
  </si>
  <si>
    <t>-0.22697308380200015</t>
  </si>
  <si>
    <t>2.6037886084886153</t>
  </si>
  <si>
    <t>0.03075133411112838</t>
  </si>
  <si>
    <t>-0.15495216355855418</t>
  </si>
  <si>
    <t>0.35873309983895585</t>
  </si>
  <si>
    <t>-0.4817501643528334</t>
  </si>
  <si>
    <t>-0.19009391557281907</t>
  </si>
  <si>
    <t>0.4368791679276763</t>
  </si>
  <si>
    <t>-0.35935976115845736</t>
  </si>
  <si>
    <t>0.027128335567853226</t>
  </si>
  <si>
    <t>-0.6084929678435966</t>
  </si>
  <si>
    <t>-0.01661286791229243</t>
  </si>
  <si>
    <t>0.34817114913490504</t>
  </si>
  <si>
    <t>0.28882846322113365</t>
  </si>
  <si>
    <t>-1.0113797276752161</t>
  </si>
  <si>
    <t>-1.120353507321261</t>
  </si>
  <si>
    <t>-0.002882880505259275</t>
  </si>
  <si>
    <t>-0.8176584550420017</t>
  </si>
  <si>
    <t>-0.04945650199857004</t>
  </si>
  <si>
    <t>-0.8897590006807103</t>
  </si>
  <si>
    <t>0.30447254617047453</t>
  </si>
  <si>
    <t>-0.7715201947019475</t>
  </si>
  <si>
    <t>0.17167666677180504</t>
  </si>
  <si>
    <t>-0.14116170328267721</t>
  </si>
  <si>
    <t>0.08876323618793741</t>
  </si>
  <si>
    <t>-0.23148398234294026</t>
  </si>
  <si>
    <t>-2.2277484686227456</t>
  </si>
  <si>
    <t>-0.34924123688372893</t>
  </si>
  <si>
    <t>0.21276855867631264</t>
  </si>
  <si>
    <t>-0.7221021712963105</t>
  </si>
  <si>
    <t>-0.05299215233019155</t>
  </si>
  <si>
    <t>-0.28700137980219775</t>
  </si>
  <si>
    <t>-0.06394162760649198</t>
  </si>
  <si>
    <t>1.8221715636169515</t>
  </si>
  <si>
    <t>0.5544227655185925</t>
  </si>
  <si>
    <t>1.602610539606645</t>
  </si>
  <si>
    <t>0.9969495116438895</t>
  </si>
  <si>
    <t>0.8098567832516135</t>
  </si>
  <si>
    <t>-1.2892152137423987</t>
  </si>
  <si>
    <t>0.6684603541282269</t>
  </si>
  <si>
    <t>0.41633615354707204</t>
  </si>
  <si>
    <t>-0.9484130755089123</t>
  </si>
  <si>
    <t>-0.4294499030502067</t>
  </si>
  <si>
    <t>-0.0020693168218131144</t>
  </si>
  <si>
    <t>1.3880129858490915</t>
  </si>
  <si>
    <t>0.9623360175029738</t>
  </si>
  <si>
    <t>1.225944266753844</t>
  </si>
  <si>
    <t>-0.26375106542480575</t>
  </si>
  <si>
    <t>-0.47267299089971504</t>
  </si>
  <si>
    <t>0.1086448976276917</t>
  </si>
  <si>
    <t>-0.12978382139007705</t>
  </si>
  <si>
    <t>-1.2730946770988043</t>
  </si>
  <si>
    <t>0.5944660391591982</t>
  </si>
  <si>
    <t>1.0041195325390768</t>
  </si>
  <si>
    <t>0.8038758725297368</t>
  </si>
  <si>
    <t>0.43655095289636187</t>
  </si>
  <si>
    <t>0.044928800084029684</t>
  </si>
  <si>
    <t>-0.6490050156656969</t>
  </si>
  <si>
    <t>-0.8930933246359241</t>
  </si>
  <si>
    <t>0.36059686277304226</t>
  </si>
  <si>
    <t>-0.12208663505739452</t>
  </si>
  <si>
    <t>1.7738769486278423</t>
  </si>
  <si>
    <t>0.9813540464516358</t>
  </si>
  <si>
    <t>-3.24617345498076</t>
  </si>
  <si>
    <t>1.2388788310204923</t>
  </si>
  <si>
    <t>-0.950014669531384</t>
  </si>
  <si>
    <t>-0.23560027995996016</t>
  </si>
  <si>
    <t>0.22183160553215808</t>
  </si>
  <si>
    <t>1.013546196940476</t>
  </si>
  <si>
    <t>-1.2668028223529897</t>
  </si>
  <si>
    <t>1.5315675948011955</t>
  </si>
  <si>
    <t>-1.4302099785796087</t>
  </si>
  <si>
    <t>0.12981703633150948</t>
  </si>
  <si>
    <t>-1.3877703785643367</t>
  </si>
  <si>
    <t>0.27534408764616125</t>
  </si>
  <si>
    <t>-0.167567652080203</t>
  </si>
  <si>
    <t>0.7936112438961905</t>
  </si>
  <si>
    <t>-2.003843496884243</t>
  </si>
  <si>
    <t>-2.823898368583055</t>
  </si>
  <si>
    <t>-1.7488992398585743</t>
  </si>
  <si>
    <t>-1.0741207092449692</t>
  </si>
  <si>
    <t>-0.09888594906234013</t>
  </si>
  <si>
    <t>0.09281391139081265</t>
  </si>
  <si>
    <t>-1.5701129114497985</t>
  </si>
  <si>
    <t>-0.24561162017425084</t>
  </si>
  <si>
    <t>0.16717388021330817</t>
  </si>
  <si>
    <t>0.6946460902243918</t>
  </si>
  <si>
    <t>-0.390896824977247</t>
  </si>
  <si>
    <t>0.5299065685308741</t>
  </si>
  <si>
    <t>-0.27151076276960373</t>
  </si>
  <si>
    <t>0.10775370681867585</t>
  </si>
  <si>
    <t>-2.789605241136655</t>
  </si>
  <si>
    <t>-0.6803473994156424</t>
  </si>
  <si>
    <t>-1.5846417597615745</t>
  </si>
  <si>
    <t>0.3590770864793375</t>
  </si>
  <si>
    <t>-0.0365874331928183</t>
  </si>
  <si>
    <t>2.9928402094501614</t>
  </si>
  <si>
    <t>0.08853283736878373</t>
  </si>
  <si>
    <t>0.6017155214508384</t>
  </si>
  <si>
    <t>-0.19188338499154595</t>
  </si>
  <si>
    <t>-0.014801809452724449</t>
  </si>
  <si>
    <t>0.3600633896108519</t>
  </si>
  <si>
    <t>-1.1731614913602366</t>
  </si>
  <si>
    <t>-0.5412835853032298</t>
  </si>
  <si>
    <t>-2.2305201959191643</t>
  </si>
  <si>
    <t>0.0336288468715292</t>
  </si>
  <si>
    <t>-0.7159199090029664</t>
  </si>
  <si>
    <t>1.5322909098596549</t>
  </si>
  <si>
    <t>-0.0470236386863011</t>
  </si>
  <si>
    <t>-0.2176665227759369</t>
  </si>
  <si>
    <t>-0.7530295013247611</t>
  </si>
  <si>
    <t>-0.5523652644049079</t>
  </si>
  <si>
    <t>3.0430558694494776</t>
  </si>
  <si>
    <t>-3.569977859085495</t>
  </si>
  <si>
    <t>-0.09600307712274421</t>
  </si>
  <si>
    <t>-4.165072896598817</t>
  </si>
  <si>
    <t>-0.01582863416978427</t>
  </si>
  <si>
    <t>-1.207498124740635</t>
  </si>
  <si>
    <t>0.6494575350028191</t>
  </si>
  <si>
    <t>-1.4015881272907535</t>
  </si>
  <si>
    <t>0.9568047684637918</t>
  </si>
  <si>
    <t>-1.9092508476966228</t>
  </si>
  <si>
    <t>-0.17410441802026433</t>
  </si>
  <si>
    <t>-2.3864528365200557</t>
  </si>
  <si>
    <t>0.7821532751641449</t>
  </si>
  <si>
    <t>1.3349924759696021</t>
  </si>
  <si>
    <t>-0.8500724292426414</t>
  </si>
  <si>
    <t>-1.8255942243380734</t>
  </si>
  <si>
    <t>2.3102378646789323</t>
  </si>
  <si>
    <t>0.9114204780046401</t>
  </si>
  <si>
    <t>-0.13738465625645618</t>
  </si>
  <si>
    <t>2.677887242590258</t>
  </si>
  <si>
    <t>1.2314302244039534</t>
  </si>
  <si>
    <t>-4.095615787208159</t>
  </si>
  <si>
    <t>-3.7780183549554036</t>
  </si>
  <si>
    <t>-2.1057734292006494</t>
  </si>
  <si>
    <t>-1.2175274151635953</t>
  </si>
  <si>
    <t>2.046120162201704</t>
  </si>
  <si>
    <t>0.00722264677400967</t>
  </si>
  <si>
    <t>0.5322432083044581</t>
  </si>
  <si>
    <t>-0.26454689802647363</t>
  </si>
  <si>
    <t>1.0660133110042125</t>
  </si>
  <si>
    <t>0.2187506171159229</t>
  </si>
  <si>
    <t>0.417888629255901</t>
  </si>
  <si>
    <t>-0.3597726223004435</t>
  </si>
  <si>
    <t>-1.4566869879909772</t>
  </si>
  <si>
    <t>5.3746879032464205</t>
  </si>
  <si>
    <t>1.6081202049083847</t>
  </si>
  <si>
    <t>0.26823201757366255</t>
  </si>
  <si>
    <t>0.4159173212656553</t>
  </si>
  <si>
    <t>-0.7391569486398144</t>
  </si>
  <si>
    <t>-0.8205810100269957</t>
  </si>
  <si>
    <t>0.3381769517092269</t>
  </si>
  <si>
    <t>1.363063873950431</t>
  </si>
  <si>
    <t>-0.24352303227166727</t>
  </si>
  <si>
    <t>0.1726850154986429</t>
  </si>
  <si>
    <t>-1.4096996008121918</t>
  </si>
  <si>
    <t>0.4379535628746338</t>
  </si>
  <si>
    <t>-0.4842501571443518</t>
  </si>
  <si>
    <t>0.2873482765764141</t>
  </si>
  <si>
    <t>0.4264000752708607</t>
  </si>
  <si>
    <t>-0.4547772059821333</t>
  </si>
  <si>
    <t>-0.6572325538580809</t>
  </si>
  <si>
    <t>1.3409486311804841</t>
  </si>
  <si>
    <t>-0.28628033515104023</t>
  </si>
  <si>
    <t>3.131627261251933</t>
  </si>
  <si>
    <t>-1.1134558057823993</t>
  </si>
  <si>
    <t>-1.7205722343832874</t>
  </si>
  <si>
    <t>-0.05719295185823296</t>
  </si>
  <si>
    <t>-0.4456634234267824</t>
  </si>
  <si>
    <t>0.2820774576032524</t>
  </si>
  <si>
    <t>0.9870693862714335</t>
  </si>
  <si>
    <t>2.2470844447566756</t>
  </si>
  <si>
    <t>0.7592208952196549</t>
  </si>
  <si>
    <t>-0.6785466148038725</t>
  </si>
  <si>
    <t>0.7798636521941597</t>
  </si>
  <si>
    <t>-0.05613623218300999</t>
  </si>
  <si>
    <t>0.07241050021423884</t>
  </si>
  <si>
    <t>0.32747833646321295</t>
  </si>
  <si>
    <t>0.19338130517771102</t>
  </si>
  <si>
    <t>0.7163897626656579</t>
  </si>
  <si>
    <t>-1.284462079564189</t>
  </si>
  <si>
    <t>-1.3846698697540836</t>
  </si>
  <si>
    <t>1.0890787839183371</t>
  </si>
  <si>
    <t>-0.09452575181898036</t>
  </si>
  <si>
    <t>-0.1089156443828038</t>
  </si>
  <si>
    <t>-0.5260444937871461</t>
  </si>
  <si>
    <t>-0.35857829704726735</t>
  </si>
  <si>
    <t>-0.10469903232317714</t>
  </si>
  <si>
    <t>0.12547765603115882</t>
  </si>
  <si>
    <t>-0.32988844211362595</t>
  </si>
  <si>
    <t>-0.8810066902799593</t>
  </si>
  <si>
    <t>-0.4272936735991334</t>
  </si>
  <si>
    <t>1.5325926660594873</t>
  </si>
  <si>
    <t>-0.06776483019839775</t>
  </si>
  <si>
    <t>0.9972629945507993</t>
  </si>
  <si>
    <t>-0.6766502689946733</t>
  </si>
  <si>
    <t>-1.1955483279617938</t>
  </si>
  <si>
    <t>0.7578596450636161</t>
  </si>
  <si>
    <t>-1.4458443263488268</t>
  </si>
  <si>
    <t>-1.567527581323155</t>
  </si>
  <si>
    <t>0.20294239704391173</t>
  </si>
  <si>
    <t>0.7357214296741638</t>
  </si>
  <si>
    <t>2.0000926494887152</t>
  </si>
  <si>
    <t>0.7638037755885476</t>
  </si>
  <si>
    <t>2.044014593004076</t>
  </si>
  <si>
    <t>0.7467933380408031</t>
  </si>
  <si>
    <t>2.3649691383490565</t>
  </si>
  <si>
    <t>-1.3686220660005841</t>
  </si>
  <si>
    <t>-1.1829480000627424</t>
  </si>
  <si>
    <t>0.4090388271000076</t>
  </si>
  <si>
    <t>3.33982538832373</t>
  </si>
  <si>
    <t>-0.034555964890596674</t>
  </si>
  <si>
    <t>-0.8372522629871302</t>
  </si>
  <si>
    <t>1.3394021331105765</t>
  </si>
  <si>
    <t>3.287300395800043</t>
  </si>
  <si>
    <t>-1.5278598150185496</t>
  </si>
  <si>
    <t>-3.5405278221879013</t>
  </si>
  <si>
    <t>1.6828519945525853</t>
  </si>
  <si>
    <t>-0.10610045445265409</t>
  </si>
  <si>
    <t>0.1096146252888606</t>
  </si>
  <si>
    <t>2.014889475997084</t>
  </si>
  <si>
    <t>-0.7714698970876155</t>
  </si>
  <si>
    <t>-0.19993991646390186</t>
  </si>
  <si>
    <t>2.512454205242278</t>
  </si>
  <si>
    <t>-0.7042221519275653</t>
  </si>
  <si>
    <t>-0.2616441328501208</t>
  </si>
  <si>
    <t>0.18652548530612137</t>
  </si>
  <si>
    <t>-0.3956962405391591</t>
  </si>
  <si>
    <t>-0.22390554459773865</t>
  </si>
  <si>
    <t>1.3676511550079784</t>
  </si>
  <si>
    <t>0.9485286205676395</t>
  </si>
  <si>
    <t>-0.9071424528770604</t>
  </si>
  <si>
    <t>-0.37071068464097534</t>
  </si>
  <si>
    <t>-1.4688177416884483</t>
  </si>
  <si>
    <t>0.7017242038543263</t>
  </si>
  <si>
    <t>-1.195538860047353</t>
  </si>
  <si>
    <t>-0.18373927602939932</t>
  </si>
  <si>
    <t>-0.3295514590202172</t>
  </si>
  <si>
    <t>-0.7891240461684432</t>
  </si>
  <si>
    <t>0.17810703584873902</t>
  </si>
  <si>
    <t>0.8959434907488157</t>
  </si>
  <si>
    <t>-1.9039214596331147</t>
  </si>
  <si>
    <t>2.2964528598326734</t>
  </si>
  <si>
    <t>1.0835577493342183</t>
  </si>
  <si>
    <t>0.11628570879124274</t>
  </si>
  <si>
    <t>0.09701045016684709</t>
  </si>
  <si>
    <t>0.6319940930784322</t>
  </si>
  <si>
    <t>-0.6121359330891635</t>
  </si>
  <si>
    <t>6.03395466914969</t>
  </si>
  <si>
    <t>1.4802542408608301</t>
  </si>
  <si>
    <t>-0.8373971742803474</t>
  </si>
  <si>
    <t>0.31363095367194854</t>
  </si>
  <si>
    <t>-1.3477688890763257</t>
  </si>
  <si>
    <t>3.082660915106518</t>
  </si>
  <si>
    <t>-0.22606451144530051</t>
  </si>
  <si>
    <t>2.068778994422038</t>
  </si>
  <si>
    <t>-0.822012998719047</t>
  </si>
  <si>
    <t>0.8740257711892828</t>
  </si>
  <si>
    <t>-1.978263776236397</t>
  </si>
  <si>
    <t>-0.3618816888969153</t>
  </si>
  <si>
    <t>-0.545648927114367</t>
  </si>
  <si>
    <t>0.23276718419878228</t>
  </si>
  <si>
    <t>0.9343376218937534</t>
  </si>
  <si>
    <t>0.5440476868826015</t>
  </si>
  <si>
    <t>0.7136861888293315</t>
  </si>
  <si>
    <t>2.508948486153353</t>
  </si>
  <si>
    <t>0.5825029884489566</t>
  </si>
  <si>
    <t>3.1943095100858185</t>
  </si>
  <si>
    <t>0.36251824994776205</t>
  </si>
  <si>
    <t>1.8939094900206395</t>
  </si>
  <si>
    <t>-0.25742840821495133</t>
  </si>
  <si>
    <t>0.30872241710728354</t>
  </si>
  <si>
    <t>-2.0523632611943876</t>
  </si>
  <si>
    <t>-1.0736402313950517</t>
  </si>
  <si>
    <t>-0.7991029784039091</t>
  </si>
  <si>
    <t>0.009447667016841835</t>
  </si>
  <si>
    <t>-0.1937740758845123</t>
  </si>
  <si>
    <t>4.004935795317481</t>
  </si>
  <si>
    <t>-0.7755074481644549</t>
  </si>
  <si>
    <t>0.27996342289091997</t>
  </si>
  <si>
    <t>-0.21446785999586168</t>
  </si>
  <si>
    <t>0.9233660461855606</t>
  </si>
  <si>
    <t>-1.074742496874152</t>
  </si>
  <si>
    <t>-1.922419369963574</t>
  </si>
  <si>
    <t>-0.21164907291238533</t>
  </si>
  <si>
    <t>0.8957125417665194</t>
  </si>
  <si>
    <t>-0.0654668302123671</t>
  </si>
  <si>
    <t>1.1874707350441587</t>
  </si>
  <si>
    <t>-0.8449347015387612</t>
  </si>
  <si>
    <t>-1.1254951325146174</t>
  </si>
  <si>
    <t>-0.5081854073110428</t>
  </si>
  <si>
    <t>-0.011479330427611774</t>
  </si>
  <si>
    <t>0.650473048353917</t>
  </si>
  <si>
    <t>-0.05464099848115858</t>
  </si>
  <si>
    <t>0.6131928589679192</t>
  </si>
  <si>
    <t>-1.6361554642191782</t>
  </si>
  <si>
    <t>0.7831516010358561</t>
  </si>
  <si>
    <t>-0.6654174695073849</t>
  </si>
  <si>
    <t>0.23864438240785463</t>
  </si>
  <si>
    <t>-0.09988007895794254</t>
  </si>
  <si>
    <t>0.11921803595917699</t>
  </si>
  <si>
    <t>-0.6481397324704785</t>
  </si>
  <si>
    <t>0.7421017108528789</t>
  </si>
  <si>
    <t>-0.21946802323487388</t>
  </si>
  <si>
    <t>0.13867820432263608</t>
  </si>
  <si>
    <t>0.06070298300693009</t>
  </si>
  <si>
    <t>1.9200895892566474</t>
  </si>
  <si>
    <t>0.32758878627592714</t>
  </si>
  <si>
    <t>1.8754193350252522</t>
  </si>
  <si>
    <t>-1.0174631314116989</t>
  </si>
  <si>
    <t>0.8253660004864979</t>
  </si>
  <si>
    <t>0.7541390392241556</t>
  </si>
  <si>
    <t>-0.7497889325406275</t>
  </si>
  <si>
    <t>0.9260681209280628</t>
  </si>
  <si>
    <t>-1.66912997595492</t>
  </si>
  <si>
    <t>-0.4167589697246903</t>
  </si>
  <si>
    <t>-0.5752715271905989</t>
  </si>
  <si>
    <t>-0.07173987198863577</t>
  </si>
  <si>
    <t>0.28722085453175367</t>
  </si>
  <si>
    <t>2.893995374281237</t>
  </si>
  <si>
    <t>1.2837610328217772</t>
  </si>
  <si>
    <t>1.0243643218107956</t>
  </si>
  <si>
    <t>-1.854162435612117</t>
  </si>
  <si>
    <t>-5.364015008470134</t>
  </si>
  <si>
    <t>-0.5275473581249164</t>
  </si>
  <si>
    <t>0.7003012358877523</t>
  </si>
  <si>
    <t>-2.3305128249634675</t>
  </si>
  <si>
    <t>5.029113463707311</t>
  </si>
  <si>
    <t>0.27079806216090413</t>
  </si>
  <si>
    <t>0.31284423054903693</t>
  </si>
  <si>
    <t>0.15630855363627563</t>
  </si>
  <si>
    <t>-0.40880966191112744</t>
  </si>
  <si>
    <t>-1.6598590823472805</t>
  </si>
  <si>
    <t>-2.22859843146683</t>
  </si>
  <si>
    <t>-2.823160181582407</t>
  </si>
  <si>
    <t>1.0599866978666344</t>
  </si>
  <si>
    <t>0.41816607856900795</t>
  </si>
  <si>
    <t>0.1708169449255078</t>
  </si>
  <si>
    <t>-1.0886950399645456</t>
  </si>
  <si>
    <t>-0.6039728222493385</t>
  </si>
  <si>
    <t>-1.1999990541468848</t>
  </si>
  <si>
    <t>-0.7790840642479686</t>
  </si>
  <si>
    <t>3.9063705922105716</t>
  </si>
  <si>
    <t>-1.591832431910606</t>
  </si>
  <si>
    <t>2.671909459697235</t>
  </si>
  <si>
    <t>-1.6251672457925685</t>
  </si>
  <si>
    <t>-0.2810227046523333</t>
  </si>
  <si>
    <t>1.4735939071090627</t>
  </si>
  <si>
    <t>-0.8663510952407071</t>
  </si>
  <si>
    <t>-0.7639771916926322</t>
  </si>
  <si>
    <t>-1.152390285220623</t>
  </si>
  <si>
    <t>-1.3337343400194634</t>
  </si>
  <si>
    <t>0.44014561264869523</t>
  </si>
  <si>
    <t>0.31476264089557876</t>
  </si>
  <si>
    <t>-0.5041577088271664</t>
  </si>
  <si>
    <t>0.8905172102777025</t>
  </si>
  <si>
    <t>-0.6940352357898335</t>
  </si>
  <si>
    <t>-1.5210384461957163</t>
  </si>
  <si>
    <t>1.2648963636154515</t>
  </si>
  <si>
    <t>0.864394615398202</t>
  </si>
  <si>
    <t>0.24322910668615397</t>
  </si>
  <si>
    <t>-0.6375579410909594</t>
  </si>
  <si>
    <t>-0.8658382101435139</t>
  </si>
  <si>
    <t>4.064442954214115</t>
  </si>
  <si>
    <t>1.0612079640451562</t>
  </si>
  <si>
    <t>-1.347852982423983</t>
  </si>
  <si>
    <t>-0.9666125678690369</t>
  </si>
  <si>
    <t>1.834915668710331</t>
  </si>
  <si>
    <t>-0.6845935738161696</t>
  </si>
  <si>
    <t>-2.870743508238928</t>
  </si>
  <si>
    <t>0.6297717160887782</t>
  </si>
  <si>
    <t>-0.9568760452644837</t>
  </si>
  <si>
    <t>-1.032605505778383</t>
  </si>
  <si>
    <t>0.2645245825055746</t>
  </si>
  <si>
    <t>-0.18454722845095292</t>
  </si>
  <si>
    <t>1.441426368031753</t>
  </si>
  <si>
    <t>-0.20359432931971844</t>
  </si>
  <si>
    <t>1.0163335787141399</t>
  </si>
  <si>
    <t>0.921586720207777</t>
  </si>
  <si>
    <t>0.010361917864429679</t>
  </si>
  <si>
    <t>0.030877021627929623</t>
  </si>
  <si>
    <t>2.7122525805076325</t>
  </si>
  <si>
    <t>1.8187720912579204</t>
  </si>
  <si>
    <t>-0.14295109510086523</t>
  </si>
  <si>
    <t>0.5667033069556779</t>
  </si>
  <si>
    <t>-0.7495239112468369</t>
  </si>
  <si>
    <t>-3.5502212326271914</t>
  </si>
  <si>
    <t>1.8115395338785343</t>
  </si>
  <si>
    <t>0.48576617624711377</t>
  </si>
  <si>
    <t>-1.575091394432363</t>
  </si>
  <si>
    <t>-1.2629983609648043</t>
  </si>
  <si>
    <t>1.1276530077172413</t>
  </si>
  <si>
    <t>1.2632051134975049</t>
  </si>
  <si>
    <t>-0.15476203568239688</t>
  </si>
  <si>
    <t>0.1806404043739817</t>
  </si>
  <si>
    <t>-0.2843281273455311</t>
  </si>
  <si>
    <t>-0.8567309770102802</t>
  </si>
  <si>
    <t>-0.5360129876151091</t>
  </si>
  <si>
    <t>-0.8383722545419264</t>
  </si>
  <si>
    <t>0.38510893745479624</t>
  </si>
  <si>
    <t>-1.256623148152236</t>
  </si>
  <si>
    <t>-1.0141603492732436</t>
  </si>
  <si>
    <t>0.9882622378142245</t>
  </si>
  <si>
    <t>1.1574374679389894</t>
  </si>
  <si>
    <t>-0.2072279307376855</t>
  </si>
  <si>
    <t>-0.029849454503935287</t>
  </si>
  <si>
    <t>-0.2648698766065744</t>
  </si>
  <si>
    <t>-1.322898302922777</t>
  </si>
  <si>
    <t>1.2436201625333723</t>
  </si>
  <si>
    <t>1.2732284267169676</t>
  </si>
  <si>
    <t>-1.2046098654125825</t>
  </si>
  <si>
    <t>-1.2118421860865651</t>
  </si>
  <si>
    <t>-1.2638895144850726</t>
  </si>
  <si>
    <t>-0.960569716216182</t>
  </si>
  <si>
    <t>-0.08776280407125908</t>
  </si>
  <si>
    <t>-0.47933235419895903</t>
  </si>
  <si>
    <t>-0.6872166797520088</t>
  </si>
  <si>
    <t>0.7185199906643646</t>
  </si>
  <si>
    <t>-0.4760650826976984</t>
  </si>
  <si>
    <t>-1.5899953116079086</t>
  </si>
  <si>
    <t>-1.5594842943196894</t>
  </si>
  <si>
    <t>0.34482521910472724</t>
  </si>
  <si>
    <t>0.8054111385802635</t>
  </si>
  <si>
    <t>-0.7906916783924797</t>
  </si>
  <si>
    <t>-0.5189541278238566</t>
  </si>
  <si>
    <t>0.2598721394916128</t>
  </si>
  <si>
    <t>2.2362643963200775</t>
  </si>
  <si>
    <t>-1.0351583298807634</t>
  </si>
  <si>
    <t>-1.5395545431584816</t>
  </si>
  <si>
    <t>-1.3025487559212128</t>
  </si>
  <si>
    <t>1.7174702674790279</t>
  </si>
  <si>
    <t>0.9320534990609001</t>
  </si>
  <si>
    <t>0.32680726009178224</t>
  </si>
  <si>
    <t>-1.9075923688271788</t>
  </si>
  <si>
    <t>-1.3461575540033233</t>
  </si>
  <si>
    <t>-0.21239333908792868</t>
  </si>
  <si>
    <t>0.27666047531940013</t>
  </si>
  <si>
    <t>-0.16286859445639143</t>
  </si>
  <si>
    <t>1.265226660221135</t>
  </si>
  <si>
    <t>-0.9037949598218039</t>
  </si>
  <si>
    <t>1.1579738769944496</t>
  </si>
  <si>
    <t>-0.10935505665903329</t>
  </si>
  <si>
    <t>-0.13786233664093325</t>
  </si>
  <si>
    <t>-0.8229390467677253</t>
  </si>
  <si>
    <t>-0.4452516306495592</t>
  </si>
  <si>
    <t>0.15563131881807274</t>
  </si>
  <si>
    <t>0.3018322649794211</t>
  </si>
  <si>
    <t>0.13408007993337825</t>
  </si>
  <si>
    <t>1.1155002979673774</t>
  </si>
  <si>
    <t>0.22098052222029965</t>
  </si>
  <si>
    <t>-0.1449995676763595</t>
  </si>
  <si>
    <t>1.161918255874799</t>
  </si>
  <si>
    <t>0.6620513909237173</t>
  </si>
  <si>
    <t>-2.5738470888130704</t>
  </si>
  <si>
    <t>-1.8051874126582002</t>
  </si>
  <si>
    <t>-0.40119831528492533</t>
  </si>
  <si>
    <t>-0.935020134055357</t>
  </si>
  <si>
    <t>-3.356087046592066</t>
  </si>
  <si>
    <t>-2.5900523815935883</t>
  </si>
  <si>
    <t>-0.5353268935891515</t>
  </si>
  <si>
    <t>-2.1597321000769476</t>
  </si>
  <si>
    <t>-1.9739449725987255</t>
  </si>
  <si>
    <t>4.289722218847688</t>
  </si>
  <si>
    <t>2.189189375139568</t>
  </si>
  <si>
    <t>-1.9701343010861843</t>
  </si>
  <si>
    <t>-0.09655202611836158</t>
  </si>
  <si>
    <t>0.6891363674539072</t>
  </si>
  <si>
    <t>-1.6211841025513876</t>
  </si>
  <si>
    <t>3.0133224821146767</t>
  </si>
  <si>
    <t>-0.8029523923867249</t>
  </si>
  <si>
    <t>1.5228053834781772</t>
  </si>
  <si>
    <t>0.06106441360074294</t>
  </si>
  <si>
    <t>-0.3293578219186082</t>
  </si>
  <si>
    <t>0.6101435237479187</t>
  </si>
  <si>
    <t>-0.965107603986372</t>
  </si>
  <si>
    <t>0.1996568419339263</t>
  </si>
  <si>
    <t>-2.3225753328162186</t>
  </si>
  <si>
    <t>0.7838298075211992</t>
  </si>
  <si>
    <t>0.8248546711358931</t>
  </si>
  <si>
    <t>2.763819153515087</t>
  </si>
  <si>
    <t>-1.374766992476847</t>
  </si>
  <si>
    <t>-0.6257009421072426</t>
  </si>
  <si>
    <t>0.44928920306120723</t>
  </si>
  <si>
    <t>1.7095480134565948</t>
  </si>
  <si>
    <t>1.8697910139095184</t>
  </si>
  <si>
    <t>0.31135415652348924</t>
  </si>
  <si>
    <t>0.1810759331523268</t>
  </si>
  <si>
    <t>0.7575201179637684</t>
  </si>
  <si>
    <t>3.0699269817008075</t>
  </si>
  <si>
    <t>-1.8633763960291592</t>
  </si>
  <si>
    <t>0.35058634122913823</t>
  </si>
  <si>
    <t>-1.460778071576081</t>
  </si>
  <si>
    <t>0.3876346860045601</t>
  </si>
  <si>
    <t>-0.7276036539444437</t>
  </si>
  <si>
    <t>2.8702091071311826</t>
  </si>
  <si>
    <t>-0.45004199749773227</t>
  </si>
  <si>
    <t>-0.027079331818691505</t>
  </si>
  <si>
    <t>-0.1381648687750641</t>
  </si>
  <si>
    <t>-0.34489800640175305</t>
  </si>
  <si>
    <t>0.09692812498717797</t>
  </si>
  <si>
    <t>2.333747590427103</t>
  </si>
  <si>
    <t>0.8016123143616894</t>
  </si>
  <si>
    <t>-1.4056919309752474</t>
  </si>
  <si>
    <t>1.5229746874390602</t>
  </si>
  <si>
    <t>-1.1639657145761428</t>
  </si>
  <si>
    <t>0.9553064014733472</t>
  </si>
  <si>
    <t>3.9557933999567867</t>
  </si>
  <si>
    <t>-0.408918858972495</t>
  </si>
  <si>
    <t>-0.9654336298111613</t>
  </si>
  <si>
    <t>3.3604506027767957</t>
  </si>
  <si>
    <t>-3.209780532789475</t>
  </si>
  <si>
    <t>0.7518377515042425</t>
  </si>
  <si>
    <t>-0.4157307873997152</t>
  </si>
  <si>
    <t>0.9941815271884165</t>
  </si>
  <si>
    <t>-0.9861856528495674</t>
  </si>
  <si>
    <t>-1.566389142641903</t>
  </si>
  <si>
    <t>-0.042922879900898</t>
  </si>
  <si>
    <t>-0.2698536926206112</t>
  </si>
  <si>
    <t>-0.2451759469456194</t>
  </si>
  <si>
    <t>-1.4563399299194437</t>
  </si>
  <si>
    <t>2.9510362814792197</t>
  </si>
  <si>
    <t>0.4039426708466437</t>
  </si>
  <si>
    <t>-1.1747798521761166</t>
  </si>
  <si>
    <t>1.0561619211682527</t>
  </si>
  <si>
    <t>0.32410717227279884</t>
  </si>
  <si>
    <t>-1.333731339332294</t>
  </si>
  <si>
    <t>0.006280226925674409</t>
  </si>
  <si>
    <t>0.050032965006409004</t>
  </si>
  <si>
    <t>-0.5582909549748399</t>
  </si>
  <si>
    <t>-1.6354416011944213</t>
  </si>
  <si>
    <t>0.010917833469140747</t>
  </si>
  <si>
    <t>-1.2223218266140636</t>
  </si>
  <si>
    <t>-3.6355994674404792</t>
  </si>
  <si>
    <t>0.6647924739213837</t>
  </si>
  <si>
    <t>0.5939700058535844</t>
  </si>
  <si>
    <t>0.3855836188929614</t>
  </si>
  <si>
    <t>-0.2541598767337157</t>
  </si>
  <si>
    <t>-1.1069781328269306</t>
  </si>
  <si>
    <t>0.2587450641340307</t>
  </si>
  <si>
    <t>0.2037495987168838</t>
  </si>
  <si>
    <t>1.6281665933264529</t>
  </si>
  <si>
    <t>1.4551716570408906</t>
  </si>
  <si>
    <t>-0.9812566547322593</t>
  </si>
  <si>
    <t>0.017279550641789175</t>
  </si>
  <si>
    <t>-3.8138162644239904</t>
  </si>
  <si>
    <t>-0.5286266977633545</t>
  </si>
  <si>
    <t>0.06559817196791705</t>
  </si>
  <si>
    <t>1.883927878306032</t>
  </si>
  <si>
    <t>0.37145380429521224</t>
  </si>
  <si>
    <t>-1.055925541981247</t>
  </si>
  <si>
    <t>0.5991653535423667</t>
  </si>
  <si>
    <t>-0.7225829537170725</t>
  </si>
  <si>
    <t>1.2301641196376596</t>
  </si>
  <si>
    <t>0.014238218302672082</t>
  </si>
  <si>
    <t>1.245092715237704</t>
  </si>
  <si>
    <t>-1.0826338273575042</t>
  </si>
  <si>
    <t>0.28052547194170135</t>
  </si>
  <si>
    <t>0.08975433417886867</t>
  </si>
  <si>
    <t>-0.7542295171526319</t>
  </si>
  <si>
    <t>-0.40290229810466077</t>
  </si>
  <si>
    <t>-1.4363910194430765</t>
  </si>
  <si>
    <t>-0.19469280320389165</t>
  </si>
  <si>
    <t>-0.47454728012989456</t>
  </si>
  <si>
    <t>-1.1116545845496337</t>
  </si>
  <si>
    <t>-0.7555320562523609</t>
  </si>
  <si>
    <t>-0.2901339439724353</t>
  </si>
  <si>
    <t>3.693209922956774</t>
  </si>
  <si>
    <t>-2.60092529712013</t>
  </si>
  <si>
    <t>-2.1983964107617173</t>
  </si>
  <si>
    <t>2.5197797514152214</t>
  </si>
  <si>
    <t>1.3974952733237769</t>
  </si>
  <si>
    <t>-1.9097953882791123</t>
  </si>
  <si>
    <t>-0.8436157692209885</t>
  </si>
  <si>
    <t>-1.2852648492500058</t>
  </si>
  <si>
    <t>0.642231881948302</t>
  </si>
  <si>
    <t>-0.9809029371021448</t>
  </si>
  <si>
    <t>2.0986685878289513</t>
  </si>
  <si>
    <t>-0.4203518829247872</t>
  </si>
  <si>
    <t>2.066137700013848</t>
  </si>
  <si>
    <t>1.0095929172192093</t>
  </si>
  <si>
    <t>0.5926435910942501</t>
  </si>
  <si>
    <t>0.2130223253536918</t>
  </si>
  <si>
    <t>-1.1364572443840373</t>
  </si>
  <si>
    <t>-0.3692328151356845</t>
  </si>
  <si>
    <t>0.5609842308277895</t>
  </si>
  <si>
    <t>-1.7876913593222226</t>
  </si>
  <si>
    <t>-0.1088898698328624</t>
  </si>
  <si>
    <t>-0.05378203379432252</t>
  </si>
  <si>
    <t>-0.23870599127341055</t>
  </si>
  <si>
    <t>-0.2808161511625495</t>
  </si>
  <si>
    <t>-1.6593134170667756</t>
  </si>
  <si>
    <t>-3.360628824562535</t>
  </si>
  <si>
    <t>0.23679941067693908</t>
  </si>
  <si>
    <t>-0.8341249615280983</t>
  </si>
  <si>
    <t>-4.875333004868885</t>
  </si>
  <si>
    <t>0.2767732896355813</t>
  </si>
  <si>
    <t>-0.40142046782653645</t>
  </si>
  <si>
    <t>-2.157585477321334</t>
  </si>
  <si>
    <t>0.6375898591475817</t>
  </si>
  <si>
    <t>1.9919630322661495</t>
  </si>
  <si>
    <t>-0.41016858502802866</t>
  </si>
  <si>
    <t>1.0363474067998606</t>
  </si>
  <si>
    <t>-0.5773396868834609</t>
  </si>
  <si>
    <t>2.299115526543848</t>
  </si>
  <si>
    <t>-1.2689944865447869</t>
  </si>
  <si>
    <t>0.8215830041522468</t>
  </si>
  <si>
    <t>-1.2570767570595827</t>
  </si>
  <si>
    <t>0.46842243979233145</t>
  </si>
  <si>
    <t>1.4113519154902912</t>
  </si>
  <si>
    <t>0.9816835138635204</t>
  </si>
  <si>
    <t>2.0148962205667766</t>
  </si>
  <si>
    <t>-0.8499264555152757</t>
  </si>
  <si>
    <t>0.2294275065678942</t>
  </si>
  <si>
    <t>-0.9992882123956796</t>
  </si>
  <si>
    <t>4.59154797912558</t>
  </si>
  <si>
    <t>-2.0777107221437388</t>
  </si>
  <si>
    <t>-1.9323366540013605</t>
  </si>
  <si>
    <t>-0.1545294154113201</t>
  </si>
  <si>
    <t>2.2970500478095066</t>
  </si>
  <si>
    <t>0.3553818388329091</t>
  </si>
  <si>
    <t>-0.8030690986134683</t>
  </si>
  <si>
    <t>-0.06818142457845273</t>
  </si>
  <si>
    <t>3.6823331829335695</t>
  </si>
  <si>
    <t>-0.9049277701067476</t>
  </si>
  <si>
    <t>0.24655160664437958</t>
  </si>
  <si>
    <t>-1.5067923974914823</t>
  </si>
  <si>
    <t>1.6334203303184325</t>
  </si>
  <si>
    <t>-0.0007959813457038745</t>
  </si>
  <si>
    <t>2.9942161264827494</t>
  </si>
  <si>
    <t>0.08006190291638807</t>
  </si>
  <si>
    <t>-2.820850542799506</t>
  </si>
  <si>
    <t>0.8262141844138141</t>
  </si>
  <si>
    <t>0.2305318748709789</t>
  </si>
  <si>
    <t>-0.5113457910877428</t>
  </si>
  <si>
    <t>1.465662135447763</t>
  </si>
  <si>
    <t>0.9999039196991123</t>
  </si>
  <si>
    <t>-2.3080250292936277</t>
  </si>
  <si>
    <t>2.0345998072553506</t>
  </si>
  <si>
    <t>-0.5171404392133531</t>
  </si>
  <si>
    <t>1.2549423017616106</t>
  </si>
  <si>
    <t>-0.7630427442600562</t>
  </si>
  <si>
    <t>-0.17346683278512745</t>
  </si>
  <si>
    <t>3.404022817391369</t>
  </si>
  <si>
    <t>-0.5284501866896116</t>
  </si>
  <si>
    <t>0.4977671673382761</t>
  </si>
  <si>
    <t>0.8685861363439384</t>
  </si>
  <si>
    <t>-0.8378118842235176</t>
  </si>
  <si>
    <t>-0.886338332658658</t>
  </si>
  <si>
    <t>-0.3134012565521215</t>
  </si>
  <si>
    <t>-0.7264206994752112</t>
  </si>
  <si>
    <t>0.891648197329498</t>
  </si>
  <si>
    <t>-0.1486148264614108</t>
  </si>
  <si>
    <t>-2.1876513844207017</t>
  </si>
  <si>
    <t>0.7704781099296973</t>
  </si>
  <si>
    <t>-1.4523996334243368</t>
  </si>
  <si>
    <t>0.5812858638998547</t>
  </si>
  <si>
    <t>-0.183063857743587</t>
  </si>
  <si>
    <t>0.95769642343811</t>
  </si>
  <si>
    <t>2.1027267017061355</t>
  </si>
  <si>
    <t>0.2897947388527939</t>
  </si>
  <si>
    <t>0.327101996525027</t>
  </si>
  <si>
    <t>0.6891102730631772</t>
  </si>
  <si>
    <t>-0.32834064570121807</t>
  </si>
  <si>
    <t>0.4320559415038812</t>
  </si>
  <si>
    <t>-1.3326611604775296</t>
  </si>
  <si>
    <t>0.09179128494815258</t>
  </si>
  <si>
    <t>2.032517025817783</t>
  </si>
  <si>
    <t>-0.6720454057812584</t>
  </si>
  <si>
    <t>0.963597295436712</t>
  </si>
  <si>
    <t>1.7622854198927091</t>
  </si>
  <si>
    <t>3.650957824032172</t>
  </si>
  <si>
    <t>-0.11747451894726393</t>
  </si>
  <si>
    <t>1.2507778844975734</t>
  </si>
  <si>
    <t>-0.29527678948013125</t>
  </si>
  <si>
    <t>-1.7404699284823109</t>
  </si>
  <si>
    <t>-5.294086094599065</t>
  </si>
  <si>
    <t>6.411266361655612</t>
  </si>
  <si>
    <t>0.5624731267109913</t>
  </si>
  <si>
    <t>-0.3602394721198858</t>
  </si>
  <si>
    <t>-0.6473567751471359</t>
  </si>
  <si>
    <t>-1.2787072648628797</t>
  </si>
  <si>
    <t>3.280015184562414</t>
  </si>
  <si>
    <t>1.244733446207786</t>
  </si>
  <si>
    <t>-3.135243614069497</t>
  </si>
  <si>
    <t>-0.25997786626701447</t>
  </si>
  <si>
    <t>-0.06036890947028092</t>
  </si>
  <si>
    <t>-0.1441399330806964</t>
  </si>
  <si>
    <t>0.05788943797877794</t>
  </si>
  <si>
    <t>-0.4293706353029807</t>
  </si>
  <si>
    <t>-1.0220502343258866</t>
  </si>
  <si>
    <t>1.6068985603554846</t>
  </si>
  <si>
    <t>3.9752430097901583</t>
  </si>
  <si>
    <t>-0.7446170087112463</t>
  </si>
  <si>
    <t>-0.27308325899953817</t>
  </si>
  <si>
    <t>0.6316444144784871</t>
  </si>
  <si>
    <t>4.205639763346453</t>
  </si>
  <si>
    <t>-1.255514457663714</t>
  </si>
  <si>
    <t>0.2797812110318671</t>
  </si>
  <si>
    <t>0.0657257289570305</t>
  </si>
  <si>
    <t>1.3567126538716252</t>
  </si>
  <si>
    <t>0.32061230276575803</t>
  </si>
  <si>
    <t>0.2573943345313136</t>
  </si>
  <si>
    <t>1.4748568491757084</t>
  </si>
  <si>
    <t>-1.5509757388022047</t>
  </si>
  <si>
    <t>0.8642311839377139</t>
  </si>
  <si>
    <t>-0.7042497772175217</t>
  </si>
  <si>
    <t>3.023514399172212</t>
  </si>
  <si>
    <t>2.0413283622218072</t>
  </si>
  <si>
    <t>-1.5636478786122054</t>
  </si>
  <si>
    <t>0.9098847669854505</t>
  </si>
  <si>
    <t>2.2815941968498</t>
  </si>
  <si>
    <t>-0.8813197199418915</t>
  </si>
  <si>
    <t>-1.0727349878372596</t>
  </si>
  <si>
    <t>-1.126530969217361</t>
  </si>
  <si>
    <t>2.252708367027506</t>
  </si>
  <si>
    <t>1.381744987249902</t>
  </si>
  <si>
    <t>-0.4289305260040911</t>
  </si>
  <si>
    <t>0.9796953059227239</t>
  </si>
  <si>
    <t>1.7740991017950642</t>
  </si>
  <si>
    <t>0.4623219413309214</t>
  </si>
  <si>
    <t>3.010886843452768</t>
  </si>
  <si>
    <t>2.311869107903948</t>
  </si>
  <si>
    <t>1.0894145025064053</t>
  </si>
  <si>
    <t>-2.336146197630396</t>
  </si>
  <si>
    <t>-0.7001565680094397</t>
  </si>
  <si>
    <t>0.3164730610519056</t>
  </si>
  <si>
    <t>-0.06409654564921749</t>
  </si>
  <si>
    <t>-0.7682493882578839</t>
  </si>
  <si>
    <t>0.24499997396082504</t>
  </si>
  <si>
    <t>-0.6417595684418153</t>
  </si>
  <si>
    <t>-0.8697237133176374</t>
  </si>
  <si>
    <t>0.8669469313629631</t>
  </si>
  <si>
    <t>-0.33373802935693925</t>
  </si>
  <si>
    <t>-1.5955686782105918</t>
  </si>
  <si>
    <t>0.9310976286234586</t>
  </si>
  <si>
    <t>1.6934439959745462</t>
  </si>
  <si>
    <t>-1.7134843411860203</t>
  </si>
  <si>
    <t>-1.113452516514891</t>
  </si>
  <si>
    <t>-0.8238807284243146</t>
  </si>
  <si>
    <t>1.0710790864963853</t>
  </si>
  <si>
    <t>-0.11169088209395092</t>
  </si>
  <si>
    <t>2.363957117947591</t>
  </si>
  <si>
    <t>-2.459062157913822</t>
  </si>
  <si>
    <t>1.5561188200647091</t>
  </si>
  <si>
    <t>0.4093107086400817</t>
  </si>
  <si>
    <t>-0.3273589469288809</t>
  </si>
  <si>
    <t>-0.25757380538788854</t>
  </si>
  <si>
    <t>-0.37749760571789925</t>
  </si>
  <si>
    <t>-1.383835970736175</t>
  </si>
  <si>
    <t>-1.139056385532509</t>
  </si>
  <si>
    <t>-2.389503472488661</t>
  </si>
  <si>
    <t>-1.4944909298504931</t>
  </si>
  <si>
    <t>-0.6735989035487939</t>
  </si>
  <si>
    <t>0.32281929041311314</t>
  </si>
  <si>
    <t>-1.1267145257861322</t>
  </si>
  <si>
    <t>-1.9454769248588903</t>
  </si>
  <si>
    <t>-0.5576175190580358</t>
  </si>
  <si>
    <t>1.0264205699424898</t>
  </si>
  <si>
    <t>-0.0855684605286574</t>
  </si>
  <si>
    <t>0.22171907202190858</t>
  </si>
  <si>
    <t>-0.6859298794520792</t>
  </si>
  <si>
    <t>1.3084314665206052</t>
  </si>
  <si>
    <t>0.35286519415506046</t>
  </si>
  <si>
    <t>1.0533063165523338</t>
  </si>
  <si>
    <t>1.486636033471387</t>
  </si>
  <si>
    <t>-2.6543893930815035</t>
  </si>
  <si>
    <t>-1.5317435768396719</t>
  </si>
  <si>
    <t>-0.9739535992159571</t>
  </si>
  <si>
    <t>-0.3805125586003794</t>
  </si>
  <si>
    <t>0.32246654173797495</t>
  </si>
  <si>
    <t>-1.313995552681661</t>
  </si>
  <si>
    <t>-0.5078402416500362</t>
  </si>
  <si>
    <t>-1.3247902118697548</t>
  </si>
  <si>
    <t>2.944920098525985</t>
  </si>
  <si>
    <t>-1.7761262848810826</t>
  </si>
  <si>
    <t>-0.6328223043778879</t>
  </si>
  <si>
    <t>0.03748296329337971</t>
  </si>
  <si>
    <t>-0.9662487766484847</t>
  </si>
  <si>
    <t>0.8608109250701795</t>
  </si>
  <si>
    <t>-1.6724741420232703</t>
  </si>
  <si>
    <t>-0.5991608198768031</t>
  </si>
  <si>
    <t>0.8722536025134943</t>
  </si>
  <si>
    <t>-0.3668893623316226</t>
  </si>
  <si>
    <t>0.5098655081385448</t>
  </si>
  <si>
    <t>1.2104678305158085</t>
  </si>
  <si>
    <t>0.5624757021339178</t>
  </si>
  <si>
    <t>0.34673966960841834</t>
  </si>
  <si>
    <t>-0.5730584264197418</t>
  </si>
  <si>
    <t>2.1792006327517206</t>
  </si>
  <si>
    <t>1.1363969929599622</t>
  </si>
  <si>
    <t>-0.9093403916524863</t>
  </si>
  <si>
    <t>-1.4227909869245716</t>
  </si>
  <si>
    <t>-1.4455393381692763</t>
  </si>
  <si>
    <t>1.0258808816534302</t>
  </si>
  <si>
    <t>2.5645218263715663</t>
  </si>
  <si>
    <t>1.4445168108890798</t>
  </si>
  <si>
    <t>-0.8681228991137702</t>
  </si>
  <si>
    <t>0.1348776167467172</t>
  </si>
  <si>
    <t>1.3891903953247784</t>
  </si>
  <si>
    <t>-0.6999880469885559</t>
  </si>
  <si>
    <t>0.17459620248250718</t>
  </si>
  <si>
    <t>-0.17174458118247363</t>
  </si>
  <si>
    <t>1.7387449540352402</t>
  </si>
  <si>
    <t>0.698706983824177</t>
  </si>
  <si>
    <t>0.3687845938535098</t>
  </si>
  <si>
    <t>-1.2522531940888348</t>
  </si>
  <si>
    <t>-1.139361876774158</t>
  </si>
  <si>
    <t>0.17860617804417325</t>
  </si>
  <si>
    <t>0.8268888135346113</t>
  </si>
  <si>
    <t>0.3445762526021889</t>
  </si>
  <si>
    <t>0.3685576834112676</t>
  </si>
  <si>
    <t>-0.14370523576308883</t>
  </si>
  <si>
    <t>0.17814817811002487</t>
  </si>
  <si>
    <t>1.4998730458823744</t>
  </si>
  <si>
    <t>-2.32131916364892</t>
  </si>
  <si>
    <t>2.409466511215091</t>
  </si>
  <si>
    <t>-1.8278604184072964</t>
  </si>
  <si>
    <t>-1.1669006447069272</t>
  </si>
  <si>
    <t>2.5772836025879755</t>
  </si>
  <si>
    <t>-0.3173465311194643</t>
  </si>
  <si>
    <t>-1.205934613449834</t>
  </si>
  <si>
    <t>0.6148824223630666</t>
  </si>
  <si>
    <t>1.132575748911806</t>
  </si>
  <si>
    <t>-1.173753120709081</t>
  </si>
  <si>
    <t>-0.1050001475150794</t>
  </si>
  <si>
    <t>1.2047836106390275</t>
  </si>
  <si>
    <t>0.22727850124306276</t>
  </si>
  <si>
    <t>-1.4277176809801988</t>
  </si>
  <si>
    <t>-0.684593512514993</t>
  </si>
  <si>
    <t>0.42836407966501777</t>
  </si>
  <si>
    <t>-1.7489902946621319</t>
  </si>
  <si>
    <t>1.0817277247790953</t>
  </si>
  <si>
    <t>-1.1565998961160973</t>
  </si>
  <si>
    <t>-1.533162911006951</t>
  </si>
  <si>
    <t>1.4751800755001803</t>
  </si>
  <si>
    <t>-0.968106296441534</t>
  </si>
  <si>
    <t>-0.39967594398237044</t>
  </si>
  <si>
    <t>0.121838547605056</t>
  </si>
  <si>
    <t>-0.17455544268137516</t>
  </si>
  <si>
    <t>0.2324464513764718</t>
  </si>
  <si>
    <t>0.7519899369862201</t>
  </si>
  <si>
    <t>-1.2938424256630694</t>
  </si>
  <si>
    <t>-0.6335117554911546</t>
  </si>
  <si>
    <t>1.4041343660869319</t>
  </si>
  <si>
    <t>0.008580726385493103</t>
  </si>
  <si>
    <t>-0.05481905325535804</t>
  </si>
  <si>
    <t>-1.283558794847451</t>
  </si>
  <si>
    <t>-0.8998123565036797</t>
  </si>
  <si>
    <t>1.3145483970717926</t>
  </si>
  <si>
    <t>0.40839726654482206</t>
  </si>
  <si>
    <t>-0.7455056621639728</t>
  </si>
  <si>
    <t>1.163253185164738</t>
  </si>
  <si>
    <t>-3.0838816274740752</t>
  </si>
  <si>
    <t>-0.3045535601964238</t>
  </si>
  <si>
    <t>-2.0971573914148576</t>
  </si>
  <si>
    <t>-1.274900693397334</t>
  </si>
  <si>
    <t>1.3788059107916468</t>
  </si>
  <si>
    <t>-1.0829625283506532</t>
  </si>
  <si>
    <t>2.0561651389452114</t>
  </si>
  <si>
    <t>2.872974918144122</t>
  </si>
  <si>
    <t>-0.18876472679791553</t>
  </si>
  <si>
    <t>1.2868214666677948</t>
  </si>
  <si>
    <t>1.644146131790457</t>
  </si>
  <si>
    <t>0.3011656851826988</t>
  </si>
  <si>
    <t>-1.3019806418494122</t>
  </si>
  <si>
    <t>2.8633853433353402</t>
  </si>
  <si>
    <t>-0.4318037405781926</t>
  </si>
  <si>
    <t>-1.8453689392270696</t>
  </si>
  <si>
    <t>-5.007814851666943</t>
  </si>
  <si>
    <t>1.5041753219987986</t>
  </si>
  <si>
    <t>-2.1068875573796846</t>
  </si>
  <si>
    <t>-1.608664936168261</t>
  </si>
  <si>
    <t>1.2743227059971112</t>
  </si>
  <si>
    <t>-0.499854551970945</t>
  </si>
  <si>
    <t>-0.011539491799093141</t>
  </si>
  <si>
    <t>1.153326464675753</t>
  </si>
  <si>
    <t>1.7850119401701392</t>
  </si>
  <si>
    <t>-1.775810508502659</t>
  </si>
  <si>
    <t>1.0245249792161621</t>
  </si>
  <si>
    <t>0.41993953023280406</t>
  </si>
  <si>
    <t>-0.44407074013995607</t>
  </si>
  <si>
    <t>0.4413193956631254</t>
  </si>
  <si>
    <t>-0.04406215589744943</t>
  </si>
  <si>
    <t>1.1704184519827923</t>
  </si>
  <si>
    <t>0.13258345450408907</t>
  </si>
  <si>
    <t>2.0248966665863977</t>
  </si>
  <si>
    <t>-1.8335923426775067</t>
  </si>
  <si>
    <t>-0.82155481438893</t>
  </si>
  <si>
    <t>1.6260528471102844</t>
  </si>
  <si>
    <t>1.472341117786091</t>
  </si>
  <si>
    <t>-0.5293075987657647</t>
  </si>
  <si>
    <t>-0.7623886277131622</t>
  </si>
  <si>
    <t>-0.35570327437928595</t>
  </si>
  <si>
    <t>-0.6664024182974164</t>
  </si>
  <si>
    <t>1.4092249522736935</t>
  </si>
  <si>
    <t>2.3792878644520625</t>
  </si>
  <si>
    <t>-1.6167322121154333</t>
  </si>
  <si>
    <t>0.12348894405112891</t>
  </si>
  <si>
    <t>-0.31820007281031437</t>
  </si>
  <si>
    <t>0.647792243358303</t>
  </si>
  <si>
    <t>-0.8476368207071436</t>
  </si>
  <si>
    <t>-0.7944200000351425</t>
  </si>
  <si>
    <t>0.5792875434595105</t>
  </si>
  <si>
    <t>1.5708335118789625</t>
  </si>
  <si>
    <t>1.3734051636087798</t>
  </si>
  <si>
    <t>-0.6247390543574964</t>
  </si>
  <si>
    <t>0.34919773346758404</t>
  </si>
  <si>
    <t>1.6381270540485413</t>
  </si>
  <si>
    <t>2.942204912335119</t>
  </si>
  <si>
    <t>0.9113631049286015</t>
  </si>
  <si>
    <t>0.9425786727972996</t>
  </si>
  <si>
    <t>-1.2610195810504925</t>
  </si>
  <si>
    <t>1.953022346275985</t>
  </si>
  <si>
    <t>-0.4984777764215607</t>
  </si>
  <si>
    <t>1.2574218086819475</t>
  </si>
  <si>
    <t>-0.05975452935589054</t>
  </si>
  <si>
    <t>0.2168048965476037</t>
  </si>
  <si>
    <t>-2.325592055591549</t>
  </si>
  <si>
    <t>1.966115276875015</t>
  </si>
  <si>
    <t>0.15284582450872364</t>
  </si>
  <si>
    <t>-1.1122313198650176</t>
  </si>
  <si>
    <t>2.179884962642916</t>
  </si>
  <si>
    <t>-1.0343262482373592</t>
  </si>
  <si>
    <t>-0.22652458407231132</t>
  </si>
  <si>
    <t>0.78415343088782</t>
  </si>
  <si>
    <t>-0.8251308155596019</t>
  </si>
  <si>
    <t>0.3423483254457573</t>
  </si>
  <si>
    <t>-0.024074002808502686</t>
  </si>
  <si>
    <t>0.41639902406383167</t>
  </si>
  <si>
    <t>1.2126621155825175</t>
  </si>
  <si>
    <t>1.3928458595108155</t>
  </si>
  <si>
    <t>-1.8372853226580717</t>
  </si>
  <si>
    <t>0.8391037291192811</t>
  </si>
  <si>
    <t>0.28494322951608875</t>
  </si>
  <si>
    <t>0.6939998738264309</t>
  </si>
  <si>
    <t>-0.9599726065497238</t>
  </si>
  <si>
    <t>1.6717387112108353</t>
  </si>
  <si>
    <t>0.35696668533991405</t>
  </si>
  <si>
    <t>-1.348551656132535</t>
  </si>
  <si>
    <t>1.1556498415101595</t>
  </si>
  <si>
    <t>-0.10944279244844392</t>
  </si>
  <si>
    <t>1.587049440989313</t>
  </si>
  <si>
    <t>-0.5909000913222547</t>
  </si>
  <si>
    <t>-0.43318750629601105</t>
  </si>
  <si>
    <t>-1.0835539694308662</t>
  </si>
  <si>
    <t>-1.7094693430737113</t>
  </si>
  <si>
    <t>3.959640975809285</t>
  </si>
  <si>
    <t>-0.8789157109702557</t>
  </si>
  <si>
    <t>1.2305189587810057</t>
  </si>
  <si>
    <t>-0.1264470685941024</t>
  </si>
  <si>
    <t>-1.5122948723066745</t>
  </si>
  <si>
    <t>0.06891092303374953</t>
  </si>
  <si>
    <t>0.8581634103121388</t>
  </si>
  <si>
    <t>1.2069842080711441</t>
  </si>
  <si>
    <t>0.14940316827382202</t>
  </si>
  <si>
    <t>0.4500146326215697</t>
  </si>
  <si>
    <t>1.11756819199618</t>
  </si>
  <si>
    <t>0.8364176102749745</t>
  </si>
  <si>
    <t>-3.649690929975793</t>
  </si>
  <si>
    <t>-0.3717413622649332</t>
  </si>
  <si>
    <t>-0.11600815628457456</t>
  </si>
  <si>
    <t>1.5768227604389053</t>
  </si>
  <si>
    <t>0.5947166889620686</t>
  </si>
  <si>
    <t>1.29803228953113</t>
  </si>
  <si>
    <t>1.2406248145348517</t>
  </si>
  <si>
    <t>0.5187514667504994</t>
  </si>
  <si>
    <t>2.0923958102158546</t>
  </si>
  <si>
    <t>-1.2278005856575893</t>
  </si>
  <si>
    <t>-1.5558236775914558</t>
  </si>
  <si>
    <t>-1.3946888885593203</t>
  </si>
  <si>
    <t>3.3141988238430407</t>
  </si>
  <si>
    <t>-2.824021592416811</t>
  </si>
  <si>
    <t>1.1792025886905484</t>
  </si>
  <si>
    <t>-1.433278877547104</t>
  </si>
  <si>
    <t>0.10551938802072744</t>
  </si>
  <si>
    <t>0.8479968497050445</t>
  </si>
  <si>
    <t>0.30101181316187914</t>
  </si>
  <si>
    <t>0.1631757056006128</t>
  </si>
  <si>
    <t>-0.5760198571137415</t>
  </si>
  <si>
    <t>-0.18870988348604864</t>
  </si>
  <si>
    <t>0.22019492423688505</t>
  </si>
  <si>
    <t>-0.3438746207648428</t>
  </si>
  <si>
    <t>0.3455670477517694</t>
  </si>
  <si>
    <t>-0.17746209783662478</t>
  </si>
  <si>
    <t>-0.31227028360738907</t>
  </si>
  <si>
    <t>-0.4779205353016458</t>
  </si>
  <si>
    <t>-0.13755489353920672</t>
  </si>
  <si>
    <t>0.11355413806700873</t>
  </si>
  <si>
    <t>-0.546555406076321</t>
  </si>
  <si>
    <t>-0.27493241745662517</t>
  </si>
  <si>
    <t>0.39728371215345676</t>
  </si>
  <si>
    <t>0.39837567568640103</t>
  </si>
  <si>
    <t>-1.2913488027143722</t>
  </si>
  <si>
    <t>0.2024317458518015</t>
  </si>
  <si>
    <t>0.19412975893030768</t>
  </si>
  <si>
    <t>-0.08624181414433917</t>
  </si>
  <si>
    <t>-0.23816877697617123</t>
  </si>
  <si>
    <t>0.6031582459632729</t>
  </si>
  <si>
    <t>-0.29057277927649167</t>
  </si>
  <si>
    <t>-0.018859598135745816</t>
  </si>
  <si>
    <t>0.29194273388290165</t>
  </si>
  <si>
    <t>-0.5920980163071394</t>
  </si>
  <si>
    <t>0.6347130594412883</t>
  </si>
  <si>
    <t>-0.11526805827691212</t>
  </si>
  <si>
    <t>0.14699325530168464</t>
  </si>
  <si>
    <t>-0.8070475226013804</t>
  </si>
  <si>
    <t>0.5107404160720165</t>
  </si>
  <si>
    <t>-1.8581030847776774</t>
  </si>
  <si>
    <t>2.1859294321541602</t>
  </si>
  <si>
    <t>-0.3762836873191823</t>
  </si>
  <si>
    <t>0.10797351728360344</t>
  </si>
  <si>
    <t>1.1338041562714454</t>
  </si>
  <si>
    <t>-0.6768208531733568</t>
  </si>
  <si>
    <t>-1.3160762209447476</t>
  </si>
  <si>
    <t>0.6000444444486766</t>
  </si>
  <si>
    <t>0.006681178450843535</t>
  </si>
  <si>
    <t>0.4617503389603106</t>
  </si>
  <si>
    <t>1.3692833865219602</t>
  </si>
  <si>
    <t>0.5713352626381311</t>
  </si>
  <si>
    <t>0.4679143688376864</t>
  </si>
  <si>
    <t>0.5085645937558148</t>
  </si>
  <si>
    <t>-0.8369192734703019</t>
  </si>
  <si>
    <t>-0.17305960138513318</t>
  </si>
  <si>
    <t>-0.59066544272675</t>
  </si>
  <si>
    <t>0.11116746842697355</t>
  </si>
  <si>
    <t>-0.25328334670523733</t>
  </si>
  <si>
    <t>0.8214095012679381</t>
  </si>
  <si>
    <t>0.10010649339736122</t>
  </si>
  <si>
    <t>0.36434354099554</t>
  </si>
  <si>
    <t>0.33918490085417635</t>
  </si>
  <si>
    <t>0.1646919635680125</t>
  </si>
  <si>
    <t>-0.031490873283419936</t>
  </si>
  <si>
    <t>0.8742991008645153</t>
  </si>
  <si>
    <t>-0.5699427023007783</t>
  </si>
  <si>
    <t>-0.8000435197006189</t>
  </si>
  <si>
    <t>0.416208750163122</t>
  </si>
  <si>
    <t>2.508635528129741</t>
  </si>
  <si>
    <t>-0.9591743464498016</t>
  </si>
  <si>
    <t>-0.39522654346458325</t>
  </si>
  <si>
    <t>-0.27752160050296026</t>
  </si>
  <si>
    <t>0.15248725463500318</t>
  </si>
  <si>
    <t>-0.7053412007511286</t>
  </si>
  <si>
    <t>0.3584089575978131</t>
  </si>
  <si>
    <t>0.823395101400284</t>
  </si>
  <si>
    <t>-0.8467038965276745</t>
  </si>
  <si>
    <t>0.5225386003994751</t>
  </si>
  <si>
    <t>-0.10834666122658475</t>
  </si>
  <si>
    <t>1.3047510728201368</t>
  </si>
  <si>
    <t>-1.0862036714993237</t>
  </si>
  <si>
    <t>1.591164148667391</t>
  </si>
  <si>
    <t>2.114485256849725</t>
  </si>
  <si>
    <t>-0.22274799313738244</t>
  </si>
  <si>
    <t>-0.8558890082686608</t>
  </si>
  <si>
    <t>0.5756057327283702</t>
  </si>
  <si>
    <t>1.1865604548754602</t>
  </si>
  <si>
    <t>0.16160543861595594</t>
  </si>
  <si>
    <t>-0.5029491838304043</t>
  </si>
  <si>
    <t>0.9939507873174771</t>
  </si>
  <si>
    <t>-0.3163252164328275</t>
  </si>
  <si>
    <t>-0.21007252820149494</t>
  </si>
  <si>
    <t>2.2993937068216552</t>
  </si>
  <si>
    <t>1.0662341479032493</t>
  </si>
  <si>
    <t>0.2733888336913885</t>
  </si>
  <si>
    <t>0.5392862672321149</t>
  </si>
  <si>
    <t>0.7129662874703122</t>
  </si>
  <si>
    <t>-2.067827610845421</t>
  </si>
  <si>
    <t>-0.021634022107875843</t>
  </si>
  <si>
    <t>-1.0711009024305629</t>
  </si>
  <si>
    <t>-0.025740831890808925</t>
  </si>
  <si>
    <t>0.28784733354273323</t>
  </si>
  <si>
    <t>-0.1917920042588886</t>
  </si>
  <si>
    <t>-0.2886157126354875</t>
  </si>
  <si>
    <t>-0.3260694252859476</t>
  </si>
  <si>
    <t>1.5539919009910805</t>
  </si>
  <si>
    <t>-0.1268668995073408</t>
  </si>
  <si>
    <t>1.0824826389039603</t>
  </si>
  <si>
    <t>1.1372871928749184</t>
  </si>
  <si>
    <t>0.005204730631599633</t>
  </si>
  <si>
    <t>-1.3582119794279466</t>
  </si>
  <si>
    <t>1.3211651579959884</t>
  </si>
  <si>
    <t>0.0570860082614617</t>
  </si>
  <si>
    <t>-0.2786542876473521</t>
  </si>
  <si>
    <t>0.015494357818945361</t>
  </si>
  <si>
    <t>0.27572369732026897</t>
  </si>
  <si>
    <t>0.8658002452325908</t>
  </si>
  <si>
    <t>0.5717622164186208</t>
  </si>
  <si>
    <t>1.3444878534630416</t>
  </si>
  <si>
    <t>0.29626741627691955</t>
  </si>
  <si>
    <t>1.2221389868337706</t>
  </si>
  <si>
    <t>0.5115597820278169</t>
  </si>
  <si>
    <t>-0.412341546505467</t>
  </si>
  <si>
    <t>0.7921841256879811</t>
  </si>
  <si>
    <t>-0.4545232956616363</t>
  </si>
  <si>
    <t>0.27363365796237255</t>
  </si>
  <si>
    <t>-0.5563178823558459</t>
  </si>
  <si>
    <t>-0.8939824248880209</t>
  </si>
  <si>
    <t>-0.6294298350160745</t>
  </si>
  <si>
    <t>-0.03707607247809738</t>
  </si>
  <si>
    <t>-1.0911714981574903</t>
  </si>
  <si>
    <t>-2.4839313605779667</t>
  </si>
  <si>
    <t>0.701489051851036</t>
  </si>
  <si>
    <t>0.6698048613816118</t>
  </si>
  <si>
    <t>0.8094633922298555</t>
  </si>
  <si>
    <t>1.0396050089569828</t>
  </si>
  <si>
    <t>-1.4319406261416647</t>
  </si>
  <si>
    <t>0.8678157491060259</t>
  </si>
  <si>
    <t>-0.7348013136120881</t>
  </si>
  <si>
    <t>0.3082528317987759</t>
  </si>
  <si>
    <t>1.4499037187475032</t>
  </si>
  <si>
    <t>-0.21251511327947345</t>
  </si>
  <si>
    <t>-0.5515332395558262</t>
  </si>
  <si>
    <t>-0.1938697836616733</t>
  </si>
  <si>
    <t>1.0173151653664163</t>
  </si>
  <si>
    <t>-0.2177914978340749</t>
  </si>
  <si>
    <t>0.11784510912662104</t>
  </si>
  <si>
    <t>-0.9127326644109949</t>
  </si>
  <si>
    <t>0.8547831509560304</t>
  </si>
  <si>
    <t>0.016919962215978104</t>
  </si>
  <si>
    <t>0.6309999126582073</t>
  </si>
  <si>
    <t>0.5063265887814992</t>
  </si>
  <si>
    <t>0.8101086436115195</t>
  </si>
  <si>
    <t>0.07046953497857823</t>
  </si>
  <si>
    <t>-0.9217222900519975</t>
  </si>
  <si>
    <t>-0.5693099795453224</t>
  </si>
  <si>
    <t>0.563970819030986</t>
  </si>
  <si>
    <t>0.9115465354836555</t>
  </si>
  <si>
    <t>0.684644308114735</t>
  </si>
  <si>
    <t>-0.29328593592418306</t>
  </si>
  <si>
    <t>0.32007697156628845</t>
  </si>
  <si>
    <t>0.2003377567287335</t>
  </si>
  <si>
    <t>1.2415741881343436</t>
  </si>
  <si>
    <t>-0.3576920315236753</t>
  </si>
  <si>
    <t>0.26293890170006684</t>
  </si>
  <si>
    <t>-0.06760529395236607</t>
  </si>
  <si>
    <t>-0.5141077344238307</t>
  </si>
  <si>
    <t>-0.9289641872081051</t>
  </si>
  <si>
    <t>0.10308355267336242</t>
  </si>
  <si>
    <t>-0.5868820384606686</t>
  </si>
  <si>
    <t>0.35264038752497057</t>
  </si>
  <si>
    <t>-0.5417181764966895</t>
  </si>
  <si>
    <t>0.04374507417868294</t>
  </si>
  <si>
    <t>0.21739921998305428</t>
  </si>
  <si>
    <t>1.8228389931342242</t>
  </si>
  <si>
    <t>-0.6995673259844505</t>
  </si>
  <si>
    <t>1.616907115146842</t>
  </si>
  <si>
    <t>-0.6270859142571488</t>
  </si>
  <si>
    <t>-0.9486975841706972</t>
  </si>
  <si>
    <t>-0.11450272437420815</t>
  </si>
  <si>
    <t>0.6575772416983102</t>
  </si>
  <si>
    <t>0.9276478903444138</t>
  </si>
  <si>
    <t>-0.6915993890104865</t>
  </si>
  <si>
    <t>-1.0145736656313304</t>
  </si>
  <si>
    <t>0.5025625451350505</t>
  </si>
  <si>
    <t>0.938022837387451</t>
  </si>
  <si>
    <t>-0.8390458722530365</t>
  </si>
  <si>
    <t>-0.5548153486997748</t>
  </si>
  <si>
    <t>-0.10580584118390264</t>
  </si>
  <si>
    <t>-1.1197616643210322</t>
  </si>
  <si>
    <t>-0.5093005952077312</t>
  </si>
  <si>
    <t>0.1788858430771157</t>
  </si>
  <si>
    <t>-0.37937973162629124</t>
  </si>
  <si>
    <t>2.0663692817494654</t>
  </si>
  <si>
    <t>0.1953369564864536</t>
  </si>
  <si>
    <t>0.7047763057614225</t>
  </si>
  <si>
    <t>0.5377400150996435</t>
  </si>
  <si>
    <t>-0.12342484770266285</t>
  </si>
  <si>
    <t>0.5215014932672115</t>
  </si>
  <si>
    <t>-0.4606815915088942</t>
  </si>
  <si>
    <t>1.0714966975595646</t>
  </si>
  <si>
    <t>-0.5677076536428863</t>
  </si>
  <si>
    <t>-0.29511208884899964</t>
  </si>
  <si>
    <t>1.8034112609070103</t>
  </si>
  <si>
    <t>-0.5193927166450046</t>
  </si>
  <si>
    <t>0.9366450104719599</t>
  </si>
  <si>
    <t>0.04095178942741909</t>
  </si>
  <si>
    <t>0.020516440313532492</t>
  </si>
  <si>
    <t>1.8807355967786061</t>
  </si>
  <si>
    <t>-0.40011389188516827</t>
  </si>
  <si>
    <t>0.13016205302872141</t>
  </si>
  <si>
    <t>-0.19233615015995104</t>
  </si>
  <si>
    <t>-1.1754479924115484</t>
  </si>
  <si>
    <t>-0.2796132708685405</t>
  </si>
  <si>
    <t>-1.3173279932113404</t>
  </si>
  <si>
    <t>0.32034636521311977</t>
  </si>
  <si>
    <t>0.888197122912468</t>
  </si>
  <si>
    <t>0.2555775437280736</t>
  </si>
  <si>
    <t>0.19868679642181536</t>
  </si>
  <si>
    <t>0.9449523684370463</t>
  </si>
  <si>
    <t>0.37094074181787806</t>
  </si>
  <si>
    <t>1.4899825616736155</t>
  </si>
  <si>
    <t>0.20176057140382966</t>
  </si>
  <si>
    <t>-0.04226840669485639</t>
  </si>
  <si>
    <t>0.714978395250853</t>
  </si>
  <si>
    <t>-0.472382512292006</t>
  </si>
  <si>
    <t>0.4210578641490981</t>
  </si>
  <si>
    <t>0.7638075686106801</t>
  </si>
  <si>
    <t>1.1576146493030193</t>
  </si>
  <si>
    <t>-0.006922720007640048</t>
  </si>
  <si>
    <t>0.9614190189964849</t>
  </si>
  <si>
    <t>-0.5063838843371881</t>
  </si>
  <si>
    <t>0.4636023080678065</t>
  </si>
  <si>
    <t>-0.4082212593873782</t>
  </si>
  <si>
    <t>0.5901355994828495</t>
  </si>
  <si>
    <t>-0.5883157817033534</t>
  </si>
  <si>
    <t>-0.14905730186398353</t>
  </si>
  <si>
    <t>-0.5374701470359702</t>
  </si>
  <si>
    <t>0.24254794741180663</t>
  </si>
  <si>
    <t>-0.047464085494741536</t>
  </si>
  <si>
    <t>-0.5682732797902572</t>
  </si>
  <si>
    <t>-0.2617878425481236</t>
  </si>
  <si>
    <t>0.32989721059749</t>
  </si>
  <si>
    <t>0.2849496698856731</t>
  </si>
  <si>
    <t>-0.9689835690808314</t>
  </si>
  <si>
    <t>0.7151266802754753</t>
  </si>
  <si>
    <t>0.3250879543487805</t>
  </si>
  <si>
    <t>1.4165551801407434</t>
  </si>
  <si>
    <t>-1.252072449057829</t>
  </si>
  <si>
    <t>0.7688676539974416</t>
  </si>
  <si>
    <t>0.6455089648558255</t>
  </si>
  <si>
    <t>0.48159002579069027</t>
  </si>
  <si>
    <t>-0.1451137120204428</t>
  </si>
  <si>
    <t>-0.3612228815737684</t>
  </si>
  <si>
    <t>-0.5187745042806906</t>
  </si>
  <si>
    <t>-0.05881595724415179</t>
  </si>
  <si>
    <t>-1.707785125536357</t>
  </si>
  <si>
    <t>1.499015531897203</t>
  </si>
  <si>
    <t>-0.06841872114582677</t>
  </si>
  <si>
    <t>-0.30162320010313637</t>
  </si>
  <si>
    <t>0.1360736789759394</t>
  </si>
  <si>
    <t>-0.4124774963425978</t>
  </si>
  <si>
    <t>0.7523635872053339</t>
  </si>
  <si>
    <t>0.5974765429935501</t>
  </si>
  <si>
    <t>0.4861246708479918</t>
  </si>
  <si>
    <t>-0.2485854041574741</t>
  </si>
  <si>
    <t>0.2604494683152347</t>
  </si>
  <si>
    <t>-0.11032655035666668</t>
  </si>
  <si>
    <t>-0.6096135978110238</t>
  </si>
  <si>
    <t>-0.8973060187370054</t>
  </si>
  <si>
    <t>-0.6388151316156819</t>
  </si>
  <si>
    <t>1.494617420470453</t>
  </si>
  <si>
    <t>-0.09310001194080293</t>
  </si>
  <si>
    <t>-0.22608076068170918</t>
  </si>
  <si>
    <t>0.5900583511036621</t>
  </si>
  <si>
    <t>-0.3193439246240768</t>
  </si>
  <si>
    <t>0.6328178988876854</t>
  </si>
  <si>
    <t>-0.4931224414965782</t>
  </si>
  <si>
    <t>-0.21114982395922013</t>
  </si>
  <si>
    <t>-0.09758253609749733</t>
  </si>
  <si>
    <t>0.36900830100764526</t>
  </si>
  <si>
    <t>0.058254921733361956</t>
  </si>
  <si>
    <t>0.21098334679854594</t>
  </si>
  <si>
    <t>1.3910127772508623</t>
  </si>
  <si>
    <t>-0.7139909368996324</t>
  </si>
  <si>
    <t>-0.6704156328532668</t>
  </si>
  <si>
    <t>-0.4823951645110275</t>
  </si>
  <si>
    <t>0.5110130152250378</t>
  </si>
  <si>
    <t>-0.2830661699933433</t>
  </si>
  <si>
    <t>-0.2080047294433679</t>
  </si>
  <si>
    <t>-0.24465191944558212</t>
  </si>
  <si>
    <t>-0.3698211124600762</t>
  </si>
  <si>
    <t>0.4848668618053721</t>
  </si>
  <si>
    <t>0.16133344629664176</t>
  </si>
  <si>
    <t>-0.6274131353932977</t>
  </si>
  <si>
    <t>0.14885379176573338</t>
  </si>
  <si>
    <t>0.23118734165694987</t>
  </si>
  <si>
    <t>-0.35923696031984836</t>
  </si>
  <si>
    <t>-0.6332126760248411</t>
  </si>
  <si>
    <t>0.17138691696211839</t>
  </si>
  <si>
    <t>0.0032883365215733286</t>
  </si>
  <si>
    <t>-0.8493044534910589</t>
  </si>
  <si>
    <t>0.6482724082251625</t>
  </si>
  <si>
    <t>-0.5677752289624457</t>
  </si>
  <si>
    <t>0.5319887852525237</t>
  </si>
  <si>
    <t>-0.16029076893480768</t>
  </si>
  <si>
    <t>-0.18750328786187778</t>
  </si>
  <si>
    <t>-0.33560790788698613</t>
  </si>
  <si>
    <t>-0.10563763965410729</t>
  </si>
  <si>
    <t>-0.3677842505495133</t>
  </si>
  <si>
    <t>1.2692285526076403</t>
  </si>
  <si>
    <t>-0.29026585894662466</t>
  </si>
  <si>
    <t>-0.7472860954087795</t>
  </si>
  <si>
    <t>-0.590797904580594</t>
  </si>
  <si>
    <t>0.8155133074217537</t>
  </si>
  <si>
    <t>-0.14341052683388048</t>
  </si>
  <si>
    <t>-0.3297495080144796</t>
  </si>
  <si>
    <t>0.6879805357166442</t>
  </si>
  <si>
    <t>0.7316770146160273</t>
  </si>
  <si>
    <t>0.07884768959643979</t>
  </si>
  <si>
    <t>-0.9039464274125265</t>
  </si>
  <si>
    <t>0.4878094031034745</t>
  </si>
  <si>
    <t>-0.689640396027425</t>
  </si>
  <si>
    <t>0.5109479542910758</t>
  </si>
  <si>
    <t>-0.05332088334263445</t>
  </si>
  <si>
    <t>0.7667324043021317</t>
  </si>
  <si>
    <t>0.9148939701242795</t>
  </si>
  <si>
    <t>-1.2713955174538467</t>
  </si>
  <si>
    <t>-1.2299240600590455</t>
  </si>
  <si>
    <t>-0.03917314845350119</t>
  </si>
  <si>
    <t>-1.1279842359808647</t>
  </si>
  <si>
    <t>0.31084534954000254</t>
  </si>
  <si>
    <t>0.4513325850725707</t>
  </si>
  <si>
    <t>-0.3357160332612639</t>
  </si>
  <si>
    <t>-0.25356295199216355</t>
  </si>
  <si>
    <t>-0.08457403469562122</t>
  </si>
  <si>
    <t>-0.0023699965837586344</t>
  </si>
  <si>
    <t>0.024713964837407766</t>
  </si>
  <si>
    <t>0.10319997229433085</t>
  </si>
  <si>
    <t>0.22491516619235097</t>
  </si>
  <si>
    <t>-0.2328099877497462</t>
  </si>
  <si>
    <t>0.25146279193057347</t>
  </si>
  <si>
    <t>-0.574178072769817</t>
  </si>
  <si>
    <t>-0.24518958932276802</t>
  </si>
  <si>
    <t>-0.24305706769780105</t>
  </si>
  <si>
    <t>-0.4076827203485215</t>
  </si>
  <si>
    <t>0.5454134869196322</t>
  </si>
  <si>
    <t>0.2302482735336179</t>
  </si>
  <si>
    <t>0.17522085564925208</t>
  </si>
  <si>
    <t>0.6159308302106471</t>
  </si>
  <si>
    <t>0.6771883263445717</t>
  </si>
  <si>
    <t>0.6863110386816913</t>
  </si>
  <si>
    <t>-0.286056514149301</t>
  </si>
  <si>
    <t>0.0682061501235807</t>
  </si>
  <si>
    <t>-0.19132031354890683</t>
  </si>
  <si>
    <t>-0.6049015655448011</t>
  </si>
  <si>
    <t>0.5266267110121282</t>
  </si>
  <si>
    <t>0.04602137496033619</t>
  </si>
  <si>
    <t>0.5401735539276201</t>
  </si>
  <si>
    <t>0.11430293615844338</t>
  </si>
  <si>
    <t>0.7054563523451957</t>
  </si>
  <si>
    <t>-0.8929162574162737</t>
  </si>
  <si>
    <t>0.14771653775001334</t>
  </si>
  <si>
    <t>-0.349616458518501</t>
  </si>
  <si>
    <t>-0.676448347640468</t>
  </si>
  <si>
    <t>0.6043971528213694</t>
  </si>
  <si>
    <t>-0.03991160241449197</t>
  </si>
  <si>
    <t>-0.18143190646322474</t>
  </si>
  <si>
    <t>0.2654448104314959</t>
  </si>
  <si>
    <t>-0.10489103417773503</t>
  </si>
  <si>
    <t>0.7215294841102209</t>
  </si>
  <si>
    <t>0.6944644703543157</t>
  </si>
  <si>
    <t>-0.6216300153883845</t>
  </si>
  <si>
    <t>-0.25938502899249705</t>
  </si>
  <si>
    <t>-1.084708874349319</t>
  </si>
  <si>
    <t>0.30910423234570655</t>
  </si>
  <si>
    <t>-0.8302220631640413</t>
  </si>
  <si>
    <t>-0.6610966073025272</t>
  </si>
  <si>
    <t>-0.43087874843321167</t>
  </si>
  <si>
    <t>1.6490919396570354</t>
  </si>
  <si>
    <t>0.10703932268851157</t>
  </si>
  <si>
    <t>-0.5861501381851388</t>
  </si>
  <si>
    <t>-0.4779945531537713</t>
  </si>
  <si>
    <t>-0.5917491997698885</t>
  </si>
  <si>
    <t>-0.40587972532594463</t>
  </si>
  <si>
    <t>-0.2696286878411533</t>
  </si>
  <si>
    <t>-0.31888224265388765</t>
  </si>
  <si>
    <t>0.8424178416514306</t>
  </si>
  <si>
    <t>0.22740657920845708</t>
  </si>
  <si>
    <t>0.25384306280491625</t>
  </si>
  <si>
    <t>0.1814575576224301</t>
  </si>
  <si>
    <t>1.0855782556986155</t>
  </si>
  <si>
    <t>0.13103404971300428</t>
  </si>
  <si>
    <t>-0.1135554405238906</t>
  </si>
  <si>
    <t>-0.7066271130827535</t>
  </si>
  <si>
    <t>-0.46453242525122823</t>
  </si>
  <si>
    <t>0.8633079170762404</t>
  </si>
  <si>
    <t>0.01397875474823125</t>
  </si>
  <si>
    <t>-0.36708828108776953</t>
  </si>
  <si>
    <t>-0.40158689221509725</t>
  </si>
  <si>
    <t>0.3060087056757327</t>
  </si>
  <si>
    <t>0.43148951134018926</t>
  </si>
  <si>
    <t>-0.06559075861105448</t>
  </si>
  <si>
    <t>0.05127214251346753</t>
  </si>
  <si>
    <t>-0.5696804168170145</t>
  </si>
  <si>
    <t>-0.11615511926854487</t>
  </si>
  <si>
    <t>-1.057678300484026</t>
  </si>
  <si>
    <t>-0.009720818542074638</t>
  </si>
  <si>
    <t>0.8040333259037503</t>
  </si>
  <si>
    <t>-0.33959187696605975</t>
  </si>
  <si>
    <t>-0.15076124951929984</t>
  </si>
  <si>
    <t>-0.6495317422149023</t>
  </si>
  <si>
    <t>-0.14067745608828452</t>
  </si>
  <si>
    <t>-0.2587500189751436</t>
  </si>
  <si>
    <t>0.7586274437897688</t>
  </si>
  <si>
    <t>-0.40868359252906417</t>
  </si>
  <si>
    <t>-0.3510590606564506</t>
  </si>
  <si>
    <t>0.39235897063575786</t>
  </si>
  <si>
    <t>-0.8562220661898217</t>
  </si>
  <si>
    <t>0.24601505012225958</t>
  </si>
  <si>
    <t>0.16019626262523226</t>
  </si>
  <si>
    <t>0.33725652585840354</t>
  </si>
  <si>
    <t>0.20924130085179343</t>
  </si>
  <si>
    <t>1.4133202763685386</t>
  </si>
  <si>
    <t>-0.483644650273681</t>
  </si>
  <si>
    <t>-0.6760614761633049</t>
  </si>
  <si>
    <t>-0.053093948319889596</t>
  </si>
  <si>
    <t>0.6239984437144621</t>
  </si>
  <si>
    <t>0.20200513898258568</t>
  </si>
  <si>
    <t>-0.5052480362753227</t>
  </si>
  <si>
    <t>0.26411717318699773</t>
  </si>
  <si>
    <t>-0.2976620944828422</t>
  </si>
  <si>
    <t>-0.01737964901140101</t>
  </si>
  <si>
    <t>-0.6536026828771859</t>
  </si>
  <si>
    <t>-0.42322597427041003</t>
  </si>
  <si>
    <t>0.33151110461057226</t>
  </si>
  <si>
    <t>-0.5134633504626475</t>
  </si>
  <si>
    <t>0.42609013120569156</t>
  </si>
  <si>
    <t>0.2980324472466002</t>
  </si>
  <si>
    <t>0.03690807865847805</t>
  </si>
  <si>
    <t>-0.3008173293828434</t>
  </si>
  <si>
    <t>0.37763125495581207</t>
  </si>
  <si>
    <t>-0.08041023907829445</t>
  </si>
  <si>
    <t>-0.5404929084125324</t>
  </si>
  <si>
    <t>-0.36688475731075465</t>
  </si>
  <si>
    <t>0.893901605204107</t>
  </si>
  <si>
    <t>0.1297896814412963</t>
  </si>
  <si>
    <t>-0.037459308224136796</t>
  </si>
  <si>
    <t>-0.18239442836705735</t>
  </si>
  <si>
    <t>-0.17198782396067822</t>
  </si>
  <si>
    <t>0.040652831601947464</t>
  </si>
  <si>
    <t>-1.1479295761845147</t>
  </si>
  <si>
    <t>-0.908225731675155</t>
  </si>
  <si>
    <t>-0.608043384922456</t>
  </si>
  <si>
    <t>0.15111128863223394</t>
  </si>
  <si>
    <t>0.11335416749120185</t>
  </si>
  <si>
    <t>0.1597366377999903</t>
  </si>
  <si>
    <t>-0.7134155253678186</t>
  </si>
  <si>
    <t>1.3264446781396375</t>
  </si>
  <si>
    <t>-0.03321865708300261</t>
  </si>
  <si>
    <t>0.48573877526797427</t>
  </si>
  <si>
    <t>0.3536534802548295</t>
  </si>
  <si>
    <t>-0.6231072562642985</t>
  </si>
  <si>
    <t>0.4553066476465008</t>
  </si>
  <si>
    <t>0.2287461443206916</t>
  </si>
  <si>
    <t>-0.43779644104541615</t>
  </si>
  <si>
    <t>-0.7080000461407837</t>
  </si>
  <si>
    <t>0.14533748779799643</t>
  </si>
  <si>
    <t>-0.4430018454447635</t>
  </si>
  <si>
    <t>-0.3215488344036417</t>
  </si>
  <si>
    <t>1.310630858565815</t>
  </si>
  <si>
    <t>-0.47846389597014655</t>
  </si>
  <si>
    <t>0.06992939336248015</t>
  </si>
  <si>
    <t>-0.8715920253794593</t>
  </si>
  <si>
    <t>-1.000375294557068</t>
  </si>
  <si>
    <t>-0.727589512422613</t>
  </si>
  <si>
    <t>1.0431289194412399</t>
  </si>
  <si>
    <t>-1.1398556244752631</t>
  </si>
  <si>
    <t>0.30471459230333187</t>
  </si>
  <si>
    <t>-0.49467377077265584</t>
  </si>
  <si>
    <t>0.21536391956613063</t>
  </si>
  <si>
    <t>-0.03505403047763313</t>
  </si>
  <si>
    <t>0.45993916135090485</t>
  </si>
  <si>
    <t>-0.6153305052708964</t>
  </si>
  <si>
    <t>0.2650255450264291</t>
  </si>
  <si>
    <t>-0.07277512571337022</t>
  </si>
  <si>
    <t>0.4344515809129992</t>
  </si>
  <si>
    <t>-0.9363543986194359</t>
  </si>
  <si>
    <t>-0.40134530157621184</t>
  </si>
  <si>
    <t>-0.37819552360926684</t>
  </si>
  <si>
    <t>1.0638981316804181</t>
  </si>
  <si>
    <t>-0.5761842570393905</t>
  </si>
  <si>
    <t>0.47779417635964894</t>
  </si>
  <si>
    <t>-1.162005118702601</t>
  </si>
  <si>
    <t>-0.8090484606115167</t>
  </si>
  <si>
    <t>0.7796371094123021</t>
  </si>
  <si>
    <t>0.6680278506034147</t>
  </si>
  <si>
    <t>-0.5041632856106623</t>
  </si>
  <si>
    <t>-0.07758946409575229</t>
  </si>
  <si>
    <t>-0.7542039880045998</t>
  </si>
  <si>
    <t>-0.5565034709570794</t>
  </si>
  <si>
    <t>-0.08702687291638124</t>
  </si>
  <si>
    <t>-0.7084884366660754</t>
  </si>
  <si>
    <t>1.1685422162846761</t>
  </si>
  <si>
    <t>0.050814164845678474</t>
  </si>
  <si>
    <t>0.05852410673004974</t>
  </si>
  <si>
    <t>-0.18190690503758838</t>
  </si>
  <si>
    <t>-0.3837048482836443</t>
  </si>
  <si>
    <t>0.720429742697809</t>
  </si>
  <si>
    <t>0.2438720779519371</t>
  </si>
  <si>
    <t>0.21151724999069504</t>
  </si>
  <si>
    <t>0.1068387577598758</t>
  </si>
  <si>
    <t>-0.6218188777314916</t>
  </si>
  <si>
    <t>0.09504678811241046</t>
  </si>
  <si>
    <t>0.38346547268025155</t>
  </si>
  <si>
    <t>-0.11697739466246912</t>
  </si>
  <si>
    <t>0.11512381786324996</t>
  </si>
  <si>
    <t>-0.45945973328320844</t>
  </si>
  <si>
    <t>0.6813493110751802</t>
  </si>
  <si>
    <t>0.9372057649346599</t>
  </si>
  <si>
    <t>-0.1464746181015018</t>
  </si>
  <si>
    <t>0.21038603862614347</t>
  </si>
  <si>
    <t>0.6872866409708741</t>
  </si>
  <si>
    <t>-1.2160425128312444</t>
  </si>
  <si>
    <t>0.3233824320756207</t>
  </si>
  <si>
    <t>0.15890372797421776</t>
  </si>
  <si>
    <t>0.24420458793065172</t>
  </si>
  <si>
    <t>0.4161205964096494</t>
  </si>
  <si>
    <t>0.6739578509574792</t>
  </si>
  <si>
    <t>-0.045589179863694755</t>
  </si>
  <si>
    <t>0.2766865050431372</t>
  </si>
  <si>
    <t>0.14937408988700274</t>
  </si>
  <si>
    <t>-0.561740390482716</t>
  </si>
  <si>
    <t>-0.27269527910277414</t>
  </si>
  <si>
    <t>0.09131007245829359</t>
  </si>
  <si>
    <t>-0.26952677966295563</t>
  </si>
  <si>
    <t>-0.6531508920250872</t>
  </si>
  <si>
    <t>0.3249967262413058</t>
  </si>
  <si>
    <t>-0.26245697347391095</t>
  </si>
  <si>
    <t>0.009147857275617018</t>
  </si>
  <si>
    <t>0.32152318121590395</t>
  </si>
  <si>
    <t>-0.5401120698841607</t>
  </si>
  <si>
    <t>-0.13315892608187044</t>
  </si>
  <si>
    <t>0.20528334219960534</t>
  </si>
  <si>
    <t>-1.317051074961524</t>
  </si>
  <si>
    <t>-0.3131390645090378</t>
  </si>
  <si>
    <t>-0.9241437071733959</t>
  </si>
  <si>
    <t>0.07883322252921877</t>
  </si>
  <si>
    <t>1.744274175986881</t>
  </si>
  <si>
    <t>-0.9022112080938235</t>
  </si>
  <si>
    <t>-0.5969480065257589</t>
  </si>
  <si>
    <t>-0.06422656590238131</t>
  </si>
  <si>
    <t>-0.32510146872973567</t>
  </si>
  <si>
    <t>-1.5038716216601677</t>
  </si>
  <si>
    <t>0.05430287743205376</t>
  </si>
  <si>
    <t>0.03838662748597565</t>
  </si>
  <si>
    <t>-0.4634240298062524</t>
  </si>
  <si>
    <t>-0.16481537711060731</t>
  </si>
  <si>
    <t>-0.3389614269740772</t>
  </si>
  <si>
    <t>-0.2729007458407849</t>
  </si>
  <si>
    <t>0.06461577415204048</t>
  </si>
  <si>
    <t>-0.906661737662117</t>
  </si>
  <si>
    <t>0.6021645541367124</t>
  </si>
  <si>
    <t>-0.86384408982262</t>
  </si>
  <si>
    <t>-0.4618883373943787</t>
  </si>
  <si>
    <t>0.25627678870740245</t>
  </si>
  <si>
    <t>-1.3336531620297758</t>
  </si>
  <si>
    <t>0.12921825944510085</t>
  </si>
  <si>
    <t>1.3165258333727217</t>
  </si>
  <si>
    <t>0.3512571131517816</t>
  </si>
  <si>
    <t>0.0304810499202318</t>
  </si>
  <si>
    <t>-0.6189649419336462</t>
  </si>
  <si>
    <t>0.9746220989931793</t>
  </si>
  <si>
    <t>-0.802078428882331</t>
  </si>
  <si>
    <t>-0.47902734299128175</t>
  </si>
  <si>
    <t>-0.3841696339533689</t>
  </si>
  <si>
    <t>-0.037699187005651946</t>
  </si>
  <si>
    <t>0.004547233756307034</t>
  </si>
  <si>
    <t>0.7494863133239804</t>
  </si>
  <si>
    <t>-0.524336555823934</t>
  </si>
  <si>
    <t>-0.6794589565754141</t>
  </si>
  <si>
    <t>0.4392760734092538</t>
  </si>
  <si>
    <t>-0.341282098164989</t>
  </si>
  <si>
    <t>0.03124656777437476</t>
  </si>
  <si>
    <t>-0.9595653131681633</t>
  </si>
  <si>
    <t>-0.37026737061565035</t>
  </si>
  <si>
    <t>0.4737938372061529</t>
  </si>
  <si>
    <t>0.016886858443525582</t>
  </si>
  <si>
    <t>3.6891269393935886</t>
  </si>
  <si>
    <t>0.45338688962394225</t>
  </si>
  <si>
    <t>-0.3027270226320857</t>
  </si>
  <si>
    <t>-0.6092735727863623</t>
  </si>
  <si>
    <t>0.5491731489388747</t>
  </si>
  <si>
    <t>1.5120061804918965</t>
  </si>
  <si>
    <t>0.9321074722633268</t>
  </si>
  <si>
    <t>-0.30293127163847056</t>
  </si>
  <si>
    <t>0.12271695458352376</t>
  </si>
  <si>
    <t>-0.6808032504466951</t>
  </si>
  <si>
    <t>0.5735118134257368</t>
  </si>
  <si>
    <t>1.8128018460636615</t>
  </si>
  <si>
    <t>-1.1581198299668536</t>
  </si>
  <si>
    <t>-0.1569794696242481</t>
  </si>
  <si>
    <t>-0.21803651891740822</t>
  </si>
  <si>
    <t>-0.08883530944968998</t>
  </si>
  <si>
    <t>0.4526592078681916</t>
  </si>
  <si>
    <t>0.08814546629186222</t>
  </si>
  <si>
    <t>0.7032315579106032</t>
  </si>
  <si>
    <t>0.4884031191855277</t>
  </si>
  <si>
    <t>-0.17098419374797819</t>
  </si>
  <si>
    <t>-0.008876473357797666</t>
  </si>
  <si>
    <t>-0.007065377580316691</t>
  </si>
  <si>
    <t>-0.6015573316846757</t>
  </si>
  <si>
    <t>0.48927647514071904</t>
  </si>
  <si>
    <t>-0.06448608689255768</t>
  </si>
  <si>
    <t>0.4100242431901173</t>
  </si>
  <si>
    <t>0.5544399499832272</t>
  </si>
  <si>
    <t>-1.403825334717257</t>
  </si>
  <si>
    <t>-0.26288912845358664</t>
  </si>
  <si>
    <t>3.309021300728489</t>
  </si>
  <si>
    <t>0.47309074948807983</t>
  </si>
  <si>
    <t>0.9486378282796951</t>
  </si>
  <si>
    <t>0.7816334819064733</t>
  </si>
  <si>
    <t>-0.22589514597245622</t>
  </si>
  <si>
    <t>0.26598737499126757</t>
  </si>
  <si>
    <t>-0.2910808428789923</t>
  </si>
  <si>
    <t>-0.06615245371097724</t>
  </si>
  <si>
    <t>0.9622661787360617</t>
  </si>
  <si>
    <t>0.2469041397956877</t>
  </si>
  <si>
    <t>0.17602876261425263</t>
  </si>
  <si>
    <t>-0.2042160303971599</t>
  </si>
  <si>
    <t>0.29135062528023004</t>
  </si>
  <si>
    <t>-1.6735198711410568</t>
  </si>
  <si>
    <t>-0.37168529270946016</t>
  </si>
  <si>
    <t>-0.4799734151877807</t>
  </si>
  <si>
    <t>0.46278173027469965</t>
  </si>
  <si>
    <t>-0.17968807308527246</t>
  </si>
  <si>
    <t>-0.2910179611676851</t>
  </si>
  <si>
    <t>0.26987138102312574</t>
  </si>
  <si>
    <t>0.09281318882092936</t>
  </si>
  <si>
    <t>1.174351595273165</t>
  </si>
  <si>
    <t>2.7988773351690073</t>
  </si>
  <si>
    <t>-0.7679318630810372</t>
  </si>
  <si>
    <t>-0.9687134800522116</t>
  </si>
  <si>
    <t>-0.17880577457851102</t>
  </si>
  <si>
    <t>-0.5932902706760296</t>
  </si>
  <si>
    <t>0.004928733122359885</t>
  </si>
  <si>
    <t>-0.7526019798158196</t>
  </si>
  <si>
    <t>-0.2350120969772277</t>
  </si>
  <si>
    <t>0.22012859805496016</t>
  </si>
  <si>
    <t>-0.0805035865700085</t>
  </si>
  <si>
    <t>0.2872663615537497</t>
  </si>
  <si>
    <t>0.3222658424647598</t>
  </si>
  <si>
    <t>0.7645134292201786</t>
  </si>
  <si>
    <t>1.2463966260136494</t>
  </si>
  <si>
    <t>0.606823882923715</t>
  </si>
  <si>
    <t>-0.07358217658393937</t>
  </si>
  <si>
    <t>0.652183656401301</t>
  </si>
  <si>
    <t>0.17664661119707667</t>
  </si>
  <si>
    <t>0.579955841658914</t>
  </si>
  <si>
    <t>0.18883821940842316</t>
  </si>
  <si>
    <t>-0.2789518418932342</t>
  </si>
  <si>
    <t>0.6310011643930705</t>
  </si>
  <si>
    <t>0.863960656491575</t>
  </si>
  <si>
    <t>0.09118501659246549</t>
  </si>
  <si>
    <t>0.6020988770095739</t>
  </si>
  <si>
    <t>-0.24630532529941007</t>
  </si>
  <si>
    <t>-0.3256545685895522</t>
  </si>
  <si>
    <t>0.10542198593523618</t>
  </si>
  <si>
    <t>-0.6716469675795004</t>
  </si>
  <si>
    <t>-0.027286251811676508</t>
  </si>
  <si>
    <t>0.023258236666751312</t>
  </si>
  <si>
    <t>0.1091538547616455</t>
  </si>
  <si>
    <t>-0.18468287094412245</t>
  </si>
  <si>
    <t>-0.4252387447701232</t>
  </si>
  <si>
    <t>-0.3288414909556647</t>
  </si>
  <si>
    <t>0.36112829286997533</t>
  </si>
  <si>
    <t>0.15533291975131164</t>
  </si>
  <si>
    <t>0.3579555112716264</t>
  </si>
  <si>
    <t>-0.6387036324493274</t>
  </si>
  <si>
    <t>0.8262631843122403</t>
  </si>
  <si>
    <t>0.12709212594304473</t>
  </si>
  <si>
    <t>1.3551283594180419</t>
  </si>
  <si>
    <t>0.8955624259464771</t>
  </si>
  <si>
    <t>1.4624482116486723</t>
  </si>
  <si>
    <t>-0.29397146209290304</t>
  </si>
  <si>
    <t>0.42627704956856155</t>
  </si>
  <si>
    <t>-0.6998919079867764</t>
  </si>
  <si>
    <t>0.8781396189270273</t>
  </si>
  <si>
    <t>0.7262305727991006</t>
  </si>
  <si>
    <t>0.2074383332287617</t>
  </si>
  <si>
    <t>0.059537323397889835</t>
  </si>
  <si>
    <t>-0.9323477487865802</t>
  </si>
  <si>
    <t>3.176245521435552</t>
  </si>
  <si>
    <t>0.025027814434030148</t>
  </si>
  <si>
    <t>0.08615079711095507</t>
  </si>
  <si>
    <t>-0.41222659470134465</t>
  </si>
  <si>
    <t>-0.24094895657193552</t>
  </si>
  <si>
    <t>0.24020076433085744</t>
  </si>
  <si>
    <t>-0.11813602338614344</t>
  </si>
  <si>
    <t>0.9019403826265822</t>
  </si>
  <si>
    <t>-0.2000526744252194</t>
  </si>
  <si>
    <t>-0.20320378184877586</t>
  </si>
  <si>
    <t>-1.128896724082893</t>
  </si>
  <si>
    <t>0.8642387797247814</t>
  </si>
  <si>
    <t>-0.712931863085962</t>
  </si>
  <si>
    <t>-0.7516305860418663</t>
  </si>
  <si>
    <t>-0.7090315859265328</t>
  </si>
  <si>
    <t>0.19551914259630498</t>
  </si>
  <si>
    <t>-0.45669739812919163</t>
  </si>
  <si>
    <t>1.1540513467356464</t>
  </si>
  <si>
    <t>-0.4122338326158258</t>
  </si>
  <si>
    <t>-0.4401357819607646</t>
  </si>
  <si>
    <t>-0.15993519514322466</t>
  </si>
  <si>
    <t>-0.5272871388545582</t>
  </si>
  <si>
    <t>1.3501194296207661</t>
  </si>
  <si>
    <t>0.023454892934834066</t>
  </si>
  <si>
    <t>-0.6947066745938439</t>
  </si>
  <si>
    <t>-0.78621962948292</t>
  </si>
  <si>
    <t>1.8255879749673856</t>
  </si>
  <si>
    <t>-0.31633686996448335</t>
  </si>
  <si>
    <t>-0.23520373205858153</t>
  </si>
  <si>
    <t>-0.4180151405695052</t>
  </si>
  <si>
    <t>-0.6303802155037581</t>
  </si>
  <si>
    <t>0.21860747400767752</t>
  </si>
  <si>
    <t>-0.13092567232246202</t>
  </si>
  <si>
    <t>-0.35929458631533445</t>
  </si>
  <si>
    <t>0.4311792712854876</t>
  </si>
  <si>
    <t>0.22647313470871022</t>
  </si>
  <si>
    <t>-1.1938920096017926</t>
  </si>
  <si>
    <t>0.7822189589754006</t>
  </si>
  <si>
    <t>1.058867521015601</t>
  </si>
  <si>
    <t>-0.5221239625659398</t>
  </si>
  <si>
    <t>0.8877364184369538</t>
  </si>
  <si>
    <t>-0.5064330753230477</t>
  </si>
  <si>
    <t>0.3161277490351803</t>
  </si>
  <si>
    <t>0.4097871544297538</t>
  </si>
  <si>
    <t>-0.350209346058689</t>
  </si>
  <si>
    <t>-0.1606788154537818</t>
  </si>
  <si>
    <t>0.11284112121674365</t>
  </si>
  <si>
    <t>-0.1540804410558424</t>
  </si>
  <si>
    <t>-0.7650368257894135</t>
  </si>
  <si>
    <t>0.16859371294763104</t>
  </si>
  <si>
    <t>1.7988990709851833</t>
  </si>
  <si>
    <t>-0.18932704564491518</t>
  </si>
  <si>
    <t>2.128978339618019</t>
  </si>
  <si>
    <t>-0.0720564980511319</t>
  </si>
  <si>
    <t>0.41060402868454626</t>
  </si>
  <si>
    <t>0.5376376313623659</t>
  </si>
  <si>
    <t>-0.1726928161733571</t>
  </si>
  <si>
    <t>-0.05928447022371375</t>
  </si>
  <si>
    <t>0.8980551302207869</t>
  </si>
  <si>
    <t>0.28184449090525465</t>
  </si>
  <si>
    <t>1.5868692193980634</t>
  </si>
  <si>
    <t>0.5321662284426519</t>
  </si>
  <si>
    <t>-0.3330465024802537</t>
  </si>
  <si>
    <t>1.5473292610074114</t>
  </si>
  <si>
    <t>-0.41274408697863696</t>
  </si>
  <si>
    <t>0.23576920953324165</t>
  </si>
  <si>
    <t>-0.32824545163984425</t>
  </si>
  <si>
    <t>-1.7987978808565193</t>
  </si>
  <si>
    <t>-0.4261716905420228</t>
  </si>
  <si>
    <t>1.2961882229122157</t>
  </si>
  <si>
    <t>-1.0368455585859808</t>
  </si>
  <si>
    <t>-0.5466658660440136</t>
  </si>
  <si>
    <t>1.0886912844514232</t>
  </si>
  <si>
    <t>-0.3484560575966324</t>
  </si>
  <si>
    <t>0.6933499489061657</t>
  </si>
  <si>
    <t>1.6907842449624675</t>
  </si>
  <si>
    <t>-1.2602225806905627</t>
  </si>
  <si>
    <t>-0.790378432723582</t>
  </si>
  <si>
    <t>1.7816855087291776</t>
  </si>
  <si>
    <t>0.29955561694907906</t>
  </si>
  <si>
    <t>0.3572428216401549</t>
  </si>
  <si>
    <t>-0.29493161024357445</t>
  </si>
  <si>
    <t>-0.3181105266633093</t>
  </si>
  <si>
    <t>0.9311133916798477</t>
  </si>
  <si>
    <t>0.9986583936650962</t>
  </si>
  <si>
    <t>-0.39159610346475965</t>
  </si>
  <si>
    <t>-0.7862064891380259</t>
  </si>
  <si>
    <t>-0.11269669624938158</t>
  </si>
  <si>
    <t>-0.39879685243694424</t>
  </si>
  <si>
    <t>-0.40765768913062705</t>
  </si>
  <si>
    <t>-0.6907490086718773</t>
  </si>
  <si>
    <t>-0.8013903373414075</t>
  </si>
  <si>
    <t>-0.28676499490895946</t>
  </si>
  <si>
    <t>-0.26706914092929607</t>
  </si>
  <si>
    <t>0.18171876703958395</t>
  </si>
  <si>
    <t>-0.468119998202921</t>
  </si>
  <si>
    <t>-0.5141035713228042</t>
  </si>
  <si>
    <t>0.34715109746837963</t>
  </si>
  <si>
    <t>-0.17234358689227164</t>
  </si>
  <si>
    <t>-0.02438493091990239</t>
  </si>
  <si>
    <t>-0.4784291626542062</t>
  </si>
  <si>
    <t>0.05650388209920896</t>
  </si>
  <si>
    <t>-0.04686631849784485</t>
  </si>
  <si>
    <t>0.5125371907937624</t>
  </si>
  <si>
    <t>-0.3714501450551199</t>
  </si>
  <si>
    <t>-0.7357528033505347</t>
  </si>
  <si>
    <t>-0.4181839563370751</t>
  </si>
  <si>
    <t>-0.051971470346674514</t>
  </si>
  <si>
    <t>0.0477405640113093</t>
  </si>
  <si>
    <t>0.4932452462611992</t>
  </si>
  <si>
    <t>0.08230965408922959</t>
  </si>
  <si>
    <t>0.47592749112866817</t>
  </si>
  <si>
    <t>0.5979059649707407</t>
  </si>
  <si>
    <t>0.19163766122385623</t>
  </si>
  <si>
    <t>-0.29277230178993496</t>
  </si>
  <si>
    <t>0.2947393094240859</t>
  </si>
  <si>
    <t>-0.5086097348277385</t>
  </si>
  <si>
    <t>-0.13234168650274328</t>
  </si>
  <si>
    <t>0.6769619111971366</t>
  </si>
  <si>
    <t>0.008272554845396003</t>
  </si>
  <si>
    <t>-0.9275724030878674</t>
  </si>
  <si>
    <t>0.27319258414132946</t>
  </si>
  <si>
    <t>-0.31158173900649094</t>
  </si>
  <si>
    <t>-0.010280331753408712</t>
  </si>
  <si>
    <t>0.8213613916030789</t>
  </si>
  <si>
    <t>-0.6174701766715947</t>
  </si>
  <si>
    <t>-0.043620544987589646</t>
  </si>
  <si>
    <t>0.3689459569199397</t>
  </si>
  <si>
    <t>0.4542198660333786</t>
  </si>
  <si>
    <t>0.030717208550466044</t>
  </si>
  <si>
    <t>-0.13694534793415022</t>
  </si>
  <si>
    <t>0.3064964774681436</t>
  </si>
  <si>
    <t>-0.18159388072553265</t>
  </si>
  <si>
    <t>0.07819987478502287</t>
  </si>
  <si>
    <t>-0.11741541355201322</t>
  </si>
  <si>
    <t>-0.0564206838426917</t>
  </si>
  <si>
    <t>-0.021068761196901258</t>
  </si>
  <si>
    <t>-0.31960914506798865</t>
  </si>
  <si>
    <t>-0.2610519189454868</t>
  </si>
  <si>
    <t>0.11352899040409462</t>
  </si>
  <si>
    <t>-0.04147103937027198</t>
  </si>
  <si>
    <t>0.4837317903541572</t>
  </si>
  <si>
    <t>-0.08710935436742157</t>
  </si>
  <si>
    <t>0.5864081841356289</t>
  </si>
  <si>
    <t>0.05680543856097481</t>
  </si>
  <si>
    <t>-0.2166456996901971</t>
  </si>
  <si>
    <t>0.6065001745259928</t>
  </si>
  <si>
    <t>0.33881777370614286</t>
  </si>
  <si>
    <t>0.054258637160318694</t>
  </si>
  <si>
    <t>-0.3618673170684111</t>
  </si>
  <si>
    <t>0.8521627930297725</t>
  </si>
  <si>
    <t>0.8654721085824082</t>
  </si>
  <si>
    <t>-0.20213962503087501</t>
  </si>
  <si>
    <t>-0.08040458806135153</t>
  </si>
  <si>
    <t>-0.8274002540434265</t>
  </si>
  <si>
    <t>-0.845346145596093</t>
  </si>
  <si>
    <t>0.1536318909109451</t>
  </si>
  <si>
    <t>0.05216060056166744</t>
  </si>
  <si>
    <t>0.5128823734943148</t>
  </si>
  <si>
    <t>-0.19687190721997894</t>
  </si>
  <si>
    <t>-0.12383818422923179</t>
  </si>
  <si>
    <t>0.616958898925794</t>
  </si>
  <si>
    <t>-0.13389131505716495</t>
  </si>
  <si>
    <t>-0.04485201434837906</t>
  </si>
  <si>
    <t>0.6348122647067734</t>
  </si>
  <si>
    <t>0.43104303508884656</t>
  </si>
  <si>
    <t>0.3635961424507257</t>
  </si>
  <si>
    <t>-0.4801974941201778</t>
  </si>
  <si>
    <t>-0.10222746025546263</t>
  </si>
  <si>
    <t>-0.31154312485653013</t>
  </si>
  <si>
    <t>-0.4988114273906658</t>
  </si>
  <si>
    <t>1.8942424710716916</t>
  </si>
  <si>
    <t>-0.24795729363314384</t>
  </si>
  <si>
    <t>0.6253210272268512</t>
  </si>
  <si>
    <t>-0.0749716331977733</t>
  </si>
  <si>
    <t>-0.032482543785529436</t>
  </si>
  <si>
    <t>0.4357679764484034</t>
  </si>
  <si>
    <t>-0.1618098495339409</t>
  </si>
  <si>
    <t>0.5402402982258676</t>
  </si>
  <si>
    <t>0.4686881736151852</t>
  </si>
  <si>
    <t>-0.16181831879319705</t>
  </si>
  <si>
    <t>0.7997554762282038</t>
  </si>
  <si>
    <t>0.307388587216163</t>
  </si>
  <si>
    <t>-0.28864818912344375</t>
  </si>
  <si>
    <t>0.2986041544343247</t>
  </si>
  <si>
    <t>0.2926886120768741</t>
  </si>
  <si>
    <t>0.18784256393985657</t>
  </si>
  <si>
    <t>-0.7908932474629596</t>
  </si>
  <si>
    <t>1.006177035565276</t>
  </si>
  <si>
    <t>-0.22836324796945937</t>
  </si>
  <si>
    <t>0.43554314365087254</t>
  </si>
  <si>
    <t>-0.1713659686000645</t>
  </si>
  <si>
    <t>0.49762142735197673</t>
  </si>
  <si>
    <t>-0.22376332485621794</t>
  </si>
  <si>
    <t>0.4038077047016153</t>
  </si>
  <si>
    <t>-0.32625275624882266</t>
  </si>
  <si>
    <t>-0.2776478653370169</t>
  </si>
  <si>
    <t>-0.29488773646281485</t>
  </si>
  <si>
    <t>0.1237430022272888</t>
  </si>
  <si>
    <t>-0.07568094207068651</t>
  </si>
  <si>
    <t>-0.7006314779487517</t>
  </si>
  <si>
    <t>0.5620882298749904</t>
  </si>
  <si>
    <t>0.8947022026986668</t>
  </si>
  <si>
    <t>-0.07198472169158292</t>
  </si>
  <si>
    <t>-0.3601538304682363</t>
  </si>
  <si>
    <t>-0.2631803316619007</t>
  </si>
  <si>
    <t>0.45060710419868366</t>
  </si>
  <si>
    <t>0.30627684152969126</t>
  </si>
  <si>
    <t>-0.33314990935270544</t>
  </si>
  <si>
    <t>0.8594871216454847</t>
  </si>
  <si>
    <t>-0.4052705807982882</t>
  </si>
  <si>
    <t>0.059441010414783654</t>
  </si>
  <si>
    <t>0.7805755793809215</t>
  </si>
  <si>
    <t>0.01785056246712594</t>
  </si>
  <si>
    <t>0.6528975023615351</t>
  </si>
  <si>
    <t>-0.810075614021878</t>
  </si>
  <si>
    <t>-0.08158045746443537</t>
  </si>
  <si>
    <t>0.1531951596066178</t>
  </si>
  <si>
    <t>0.9611073979124871</t>
  </si>
  <si>
    <t>-0.61837835200397</t>
  </si>
  <si>
    <t>-0.5388484508289524</t>
  </si>
  <si>
    <t>-0.8379506483901474</t>
  </si>
  <si>
    <t>0.0514878023326642</t>
  </si>
  <si>
    <t>0.6024591823380403</t>
  </si>
  <si>
    <t>0.9924318253301319</t>
  </si>
  <si>
    <t>-0.015839289237187495</t>
  </si>
  <si>
    <t>-0.300769090211195</t>
  </si>
  <si>
    <t>1.0134498771813494</t>
  </si>
  <si>
    <t>-0.20711576219021408</t>
  </si>
  <si>
    <t>0.12587200350007352</t>
  </si>
  <si>
    <t>-0.48558751875415246</t>
  </si>
  <si>
    <t>0.5849956606043791</t>
  </si>
  <si>
    <t>-0.44845410058625895</t>
  </si>
  <si>
    <t>0.22409582812697607</t>
  </si>
  <si>
    <t>0.42220254944233476</t>
  </si>
  <si>
    <t>0.7446098058645654</t>
  </si>
  <si>
    <t>-1.3156704024777617</t>
  </si>
  <si>
    <t>-0.4656316358130289</t>
  </si>
  <si>
    <t>-0.28381688740840977</t>
  </si>
  <si>
    <t>-0.8874840837888914</t>
  </si>
  <si>
    <t>0.48413379193707184</t>
  </si>
  <si>
    <t>0.5516520568412103</t>
  </si>
  <si>
    <t>-0.5152971342090095</t>
  </si>
  <si>
    <t>0.3177715926112642</t>
  </si>
  <si>
    <t>-0.15144825847447074</t>
  </si>
  <si>
    <t>-0.019718603561657437</t>
  </si>
  <si>
    <t>-0.12635443672550958</t>
  </si>
  <si>
    <t>-0.33087706105060516</t>
  </si>
  <si>
    <t>-0.2358692391681776</t>
  </si>
  <si>
    <t>-0.1707641701429558</t>
  </si>
  <si>
    <t>0.04954770624638712</t>
  </si>
  <si>
    <t>0.21862103297457927</t>
  </si>
  <si>
    <t>0.34222031318275314</t>
  </si>
  <si>
    <t>-0.06614314600901317</t>
  </si>
  <si>
    <t>-0.3249239609650087</t>
  </si>
  <si>
    <t>0.2910294605940728</t>
  </si>
  <si>
    <t>-0.07676344539950439</t>
  </si>
  <si>
    <t>1.5865374663126706</t>
  </si>
  <si>
    <t>-0.06316679772459162</t>
  </si>
  <si>
    <t>0.1222296587744114</t>
  </si>
  <si>
    <t>-0.6212289657355441</t>
  </si>
  <si>
    <t>-0.34607196542359303</t>
  </si>
  <si>
    <t>0.29907266819078554</t>
  </si>
  <si>
    <t>0.6614734850872569</t>
  </si>
  <si>
    <t>-0.06242054302826691</t>
  </si>
  <si>
    <t>0.3036500900492855</t>
  </si>
  <si>
    <t>-0.11039489964166174</t>
  </si>
  <si>
    <t>-0.03168326714145466</t>
  </si>
  <si>
    <t>-0.06039471987907353</t>
  </si>
  <si>
    <t>-0.08451400528573878</t>
  </si>
  <si>
    <t>-0.758982453472421</t>
  </si>
  <si>
    <t>-0.41502059511362044</t>
  </si>
  <si>
    <t>-0.6653433757130504</t>
  </si>
  <si>
    <t>0.4596262932061585</t>
  </si>
  <si>
    <t>0.3093282545663932</t>
  </si>
  <si>
    <t>-0.2699877212207077</t>
  </si>
  <si>
    <t>0.9860778089605118</t>
  </si>
  <si>
    <t>0.20360964809951423</t>
  </si>
  <si>
    <t>-0.04192129625717582</t>
  </si>
  <si>
    <t>-0.1669446638813066</t>
  </si>
  <si>
    <t>0.8651419213099382</t>
  </si>
  <si>
    <t>-0.04246127503909491</t>
  </si>
  <si>
    <t>-0.0031854829431351207</t>
  </si>
  <si>
    <t>0.3897202973193859</t>
  </si>
  <si>
    <t>0.04137393145305585</t>
  </si>
  <si>
    <t>0.29878692781397287</t>
  </si>
  <si>
    <t>0.022707580306720817</t>
  </si>
  <si>
    <t>-0.020147541705329616</t>
  </si>
  <si>
    <t>0.573895018278445</t>
  </si>
  <si>
    <t>0.04957366692606321</t>
  </si>
  <si>
    <t>0.5714052119514371</t>
  </si>
  <si>
    <t>-0.28923974155513504</t>
  </si>
  <si>
    <t>-0.05609821809797813</t>
  </si>
  <si>
    <t>-0.39814082331553735</t>
  </si>
  <si>
    <t>-0.3306873154544466</t>
  </si>
  <si>
    <t>-0.03457541809663812</t>
  </si>
  <si>
    <t>-0.1332986807271055</t>
  </si>
  <si>
    <t>0.1980782470392963</t>
  </si>
  <si>
    <t>0.4722960756515734</t>
  </si>
  <si>
    <t>-0.07519734681522741</t>
  </si>
  <si>
    <t>0.4603183673233621</t>
  </si>
  <si>
    <t>0.08313097451029365</t>
  </si>
  <si>
    <t>0.08597473886491322</t>
  </si>
  <si>
    <t>0.7293402874091515</t>
  </si>
  <si>
    <t>-0.3514770973767925</t>
  </si>
  <si>
    <t>0.052835563866602535</t>
  </si>
  <si>
    <t>-0.470943947115021</t>
  </si>
  <si>
    <t>-0.0694097786325325</t>
  </si>
  <si>
    <t>-0.3379062219434721</t>
  </si>
  <si>
    <t>0.23075583726493967</t>
  </si>
  <si>
    <t>0.8595967940370951</t>
  </si>
  <si>
    <t>0.7511381357101409</t>
  </si>
  <si>
    <t>-0.09819270785718422</t>
  </si>
  <si>
    <t>0.37890215121426835</t>
  </si>
  <si>
    <t>-0.16754171555459027</t>
  </si>
  <si>
    <t>0.32226339939341564</t>
  </si>
  <si>
    <t>-0.5951868493258171</t>
  </si>
  <si>
    <t>-0.1320780548780137</t>
  </si>
  <si>
    <t>-0.38724811276602444</t>
  </si>
  <si>
    <t>0.2417780538589259</t>
  </si>
  <si>
    <t>-0.08738111676901837</t>
  </si>
  <si>
    <t>-0.631693411247473</t>
  </si>
  <si>
    <t>-0.3114372771994941</t>
  </si>
  <si>
    <t>0.4244905658282945</t>
  </si>
  <si>
    <t>0.4270392121825539</t>
  </si>
  <si>
    <t>-0.12133067869380311</t>
  </si>
  <si>
    <t>0.532061958373357</t>
  </si>
  <si>
    <t>-0.17287330140137477</t>
  </si>
  <si>
    <t>0.3165685515265586</t>
  </si>
  <si>
    <t>0.6680401056477158</t>
  </si>
  <si>
    <t>1.4191530197851274</t>
  </si>
  <si>
    <t>-0.5647215114132701</t>
  </si>
  <si>
    <t>0.9755412336294592</t>
  </si>
  <si>
    <t>0.9824408564334767</t>
  </si>
  <si>
    <t>-0.44294851221505793</t>
  </si>
  <si>
    <t>-0.5842043608370716</t>
  </si>
  <si>
    <t>0.082826599370081</t>
  </si>
  <si>
    <t>-0.5419695564149093</t>
  </si>
  <si>
    <t>-0.21520737644614674</t>
  </si>
  <si>
    <t>0.03627547632860069</t>
  </si>
  <si>
    <t>0.17666820971602337</t>
  </si>
  <si>
    <t>-0.8788144199417273</t>
  </si>
  <si>
    <t>0.5525255213757708</t>
  </si>
  <si>
    <t>-0.9931206423122364</t>
  </si>
  <si>
    <t>-0.4120324486301323</t>
  </si>
  <si>
    <t>0.4623307909468197</t>
  </si>
  <si>
    <t>0.08696256066772146</t>
  </si>
  <si>
    <t>0.9810740850072528</t>
  </si>
  <si>
    <t>-0.03318840875023592</t>
  </si>
  <si>
    <t>0.19606014016340725</t>
  </si>
  <si>
    <t>-1.1337366948466001</t>
  </si>
  <si>
    <t>0.3086890192910049</t>
  </si>
  <si>
    <t>-0.5394468174452898</t>
  </si>
  <si>
    <t>-0.8123091492849472</t>
  </si>
  <si>
    <t>0.6716197711138803</t>
  </si>
  <si>
    <t>-0.9636526997201277</t>
  </si>
  <si>
    <t>-0.0764657823095074</t>
  </si>
  <si>
    <t>0.34444755165938085</t>
  </si>
  <si>
    <t>-0.13369587130558058</t>
  </si>
  <si>
    <t>0.4930774269418435</t>
  </si>
  <si>
    <t>-0.36464502402725457</t>
  </si>
  <si>
    <t>-0.5532605667176685</t>
  </si>
  <si>
    <t>0.14162493079964525</t>
  </si>
  <si>
    <t>0.21996685575944944</t>
  </si>
  <si>
    <t>-0.024706968034885708</t>
  </si>
  <si>
    <t>-0.34566704212544325</t>
  </si>
  <si>
    <t>1.0973215154356712</t>
  </si>
  <si>
    <t>-0.01487779428795747</t>
  </si>
  <si>
    <t>-0.5285761899213786</t>
  </si>
  <si>
    <t>-0.9428426493494766</t>
  </si>
  <si>
    <t>1.3465749689361102</t>
  </si>
  <si>
    <t>-0.22795694587906923</t>
  </si>
  <si>
    <t>-0.09875246965423301</t>
  </si>
  <si>
    <t>-0.51574567302704</t>
  </si>
  <si>
    <t>0.1633420033333746</t>
  </si>
  <si>
    <t>0.30541418153357097</t>
  </si>
  <si>
    <t>-0.0926886606224986</t>
  </si>
  <si>
    <t>-0.7083408334988802</t>
  </si>
  <si>
    <t>-0.5058312841930908</t>
  </si>
  <si>
    <t>0.5816113145694195</t>
  </si>
  <si>
    <t>-0.23881189851704474</t>
  </si>
  <si>
    <t>0.12306073959240256</t>
  </si>
  <si>
    <t>-0.3758736750676189</t>
  </si>
  <si>
    <t>1.0620976993889206</t>
  </si>
  <si>
    <t>-0.10663518170457928</t>
  </si>
  <si>
    <t>1.0254336355984834</t>
  </si>
  <si>
    <t>-0.6671994658694478</t>
  </si>
  <si>
    <t>0.0821769673268576</t>
  </si>
  <si>
    <t>-0.04173359796100557</t>
  </si>
  <si>
    <t>-0.7642725945781325</t>
  </si>
  <si>
    <t>-0.7117863275080105</t>
  </si>
  <si>
    <t>-0.32654486551345985</t>
  </si>
  <si>
    <t>-0.6018941973331962</t>
  </si>
  <si>
    <t>0.7667264056045698</t>
  </si>
  <si>
    <t>-0.14869308351925503</t>
  </si>
  <si>
    <t>-0.32269579020856104</t>
  </si>
  <si>
    <t>-0.12241970209094552</t>
  </si>
  <si>
    <t>-0.20687532396065636</t>
  </si>
  <si>
    <t>-0.5543640141688779</t>
  </si>
  <si>
    <t>-0.21184631978510296</t>
  </si>
  <si>
    <t>0.4413586691122525</t>
  </si>
  <si>
    <t>0.8449196570385553</t>
  </si>
  <si>
    <t>-0.5056400280620824</t>
  </si>
  <si>
    <t>0.10893843783723087</t>
  </si>
  <si>
    <t>0.11763789877919448</t>
  </si>
  <si>
    <t>-0.3986250936229224</t>
  </si>
  <si>
    <t>-0.5904478127574456</t>
  </si>
  <si>
    <t>-0.05117153132019278</t>
  </si>
  <si>
    <t>0.6572319791120167</t>
  </si>
  <si>
    <t>0.3822726270256014</t>
  </si>
  <si>
    <t>0.2455059784030489</t>
  </si>
  <si>
    <t>-0.35893900856283145</t>
  </si>
  <si>
    <t>0.2879764945602047</t>
  </si>
  <si>
    <t>-0.8519298355532895</t>
  </si>
  <si>
    <t>0.21488386791479425</t>
  </si>
  <si>
    <t>0.4486162918826755</t>
  </si>
  <si>
    <t>0.24482711657886394</t>
  </si>
  <si>
    <t>-0.050751685246469856</t>
  </si>
  <si>
    <t>0.24973985457071887</t>
  </si>
  <si>
    <t>-0.0030693146501539234</t>
  </si>
  <si>
    <t>-0.06294063800976404</t>
  </si>
  <si>
    <t>0.3249037630256976</t>
  </si>
  <si>
    <t>-0.25817207970862094</t>
  </si>
  <si>
    <t>-0.23411163359871187</t>
  </si>
  <si>
    <t>0.1421610210869521</t>
  </si>
  <si>
    <t>0.3952999282871573</t>
  </si>
  <si>
    <t>-0.055774939343174165</t>
  </si>
  <si>
    <t>-0.389874984330243</t>
  </si>
  <si>
    <t>-0.9265369339527971</t>
  </si>
  <si>
    <t>-0.3390882048684093</t>
  </si>
  <si>
    <t>0.46417602217090487</t>
  </si>
  <si>
    <t>0.708246310006389</t>
  </si>
  <si>
    <t>0.3557036718919145</t>
  </si>
  <si>
    <t>-0.20552029578634562</t>
  </si>
  <si>
    <t>0.4847035790700723</t>
  </si>
  <si>
    <t>0.09352310839908781</t>
  </si>
  <si>
    <t>-0.42847214921065807</t>
  </si>
  <si>
    <t>-0.8253145126780892</t>
  </si>
  <si>
    <t>-0.5008588559610722</t>
  </si>
  <si>
    <t>1.4233641488543445</t>
  </si>
  <si>
    <t>0.4174537497715957</t>
  </si>
  <si>
    <t>0.2875692368777886</t>
  </si>
  <si>
    <t>-0.5255995788180073</t>
  </si>
  <si>
    <t>0.7044465044387914</t>
  </si>
  <si>
    <t>0.05739582861094497</t>
  </si>
  <si>
    <t>0.9368607536112594</t>
  </si>
  <si>
    <t>0.17432837727457365</t>
  </si>
  <si>
    <t>-0.5914427600566811</t>
  </si>
  <si>
    <t>0.15307301213157518</t>
  </si>
  <si>
    <t>0.19534860764765666</t>
  </si>
  <si>
    <t>-0.3500024224429759</t>
  </si>
  <si>
    <t>0.420580528170522</t>
  </si>
  <si>
    <t>-0.2277438564389087</t>
  </si>
  <si>
    <t>0.713156562928888</t>
  </si>
  <si>
    <t>-0.8548162957942871</t>
  </si>
  <si>
    <t>-0.9472034206951063</t>
  </si>
  <si>
    <t>-0.024596705444076418</t>
  </si>
  <si>
    <t>0.6045200055306127</t>
  </si>
  <si>
    <t>0.5900484274548159</t>
  </si>
  <si>
    <t>-0.6262157626016613</t>
  </si>
  <si>
    <t>-0.1726828037419985</t>
  </si>
  <si>
    <t>-0.5260209157198433</t>
  </si>
  <si>
    <t>0.4028210042723848</t>
  </si>
  <si>
    <t>-0.3584606820190165</t>
  </si>
  <si>
    <t>0.12926190943208432</t>
  </si>
  <si>
    <t>0.5320357418247479</t>
  </si>
  <si>
    <t>-0.24845310521067193</t>
  </si>
  <si>
    <t>-0.7051660308786263</t>
  </si>
  <si>
    <t>0.1305701838930197</t>
  </si>
  <si>
    <t>0.012893625423170588</t>
  </si>
  <si>
    <t>0.9946820114965752</t>
  </si>
  <si>
    <t>0.033976952868481104</t>
  </si>
  <si>
    <t>0.2506950476953977</t>
  </si>
  <si>
    <t>0.24696944994487693</t>
  </si>
  <si>
    <t>0.3018863906667159</t>
  </si>
  <si>
    <t>1.2189988013985131</t>
  </si>
  <si>
    <t>0.2714872810267675</t>
  </si>
  <si>
    <t>-1.1467557880305874</t>
  </si>
  <si>
    <t>-0.4600403321255563</t>
  </si>
  <si>
    <t>1.4218465506204598</t>
  </si>
  <si>
    <t>0.724372385403825</t>
  </si>
  <si>
    <t>0.10043974569223617</t>
  </si>
  <si>
    <t>0.23861953758585447</t>
  </si>
  <si>
    <t>0.4795058052361799</t>
  </si>
  <si>
    <t>0.5669279226798823</t>
  </si>
  <si>
    <t>-0.16736891989621677</t>
  </si>
  <si>
    <t>-1.2509944836011613</t>
  </si>
  <si>
    <t>1.1048167200716754</t>
  </si>
  <si>
    <t>-0.053439937850931304</t>
  </si>
  <si>
    <t>-0.8053722696588314</t>
  </si>
  <si>
    <t>-0.27894287594679734</t>
  </si>
  <si>
    <t>0.26555744324672037</t>
  </si>
  <si>
    <t>-0.10688710082326175</t>
  </si>
  <si>
    <t>-0.5753791923952807</t>
  </si>
  <si>
    <t>-0.12903054353690085</t>
  </si>
  <si>
    <t>0.4219155357417639</t>
  </si>
  <si>
    <t>-0.9230515816761775</t>
  </si>
  <si>
    <t>0.7590728350260526</t>
  </si>
  <si>
    <t>0.021926779034618933</t>
  </si>
  <si>
    <t>-0.6235494737168547</t>
  </si>
  <si>
    <t>-0.22755735219528947</t>
  </si>
  <si>
    <t>0.4586510227661295</t>
  </si>
  <si>
    <t>-0.08260678843901183</t>
  </si>
  <si>
    <t>0.7448172483172447</t>
  </si>
  <si>
    <t>-0.7259582151537862</t>
  </si>
  <si>
    <t>0.2055687219394367</t>
  </si>
  <si>
    <t>1.7306442523950245</t>
  </si>
  <si>
    <t>0.5449477437088515</t>
  </si>
  <si>
    <t>-0.4064678839139737</t>
  </si>
  <si>
    <t>-0.2576538009928769</t>
  </si>
  <si>
    <t>0.6268990768462482</t>
  </si>
  <si>
    <t>-0.3108795791830274</t>
  </si>
  <si>
    <t>-0.5033008663748273</t>
  </si>
  <si>
    <t>0.03160788520766667</t>
  </si>
  <si>
    <t>1.2132945512143036</t>
  </si>
  <si>
    <t>-0.23351027064333296</t>
  </si>
  <si>
    <t>-0.24270864335425746</t>
  </si>
  <si>
    <t>0.6370706540958149</t>
  </si>
  <si>
    <t>2.3352082422921168</t>
  </si>
  <si>
    <t>-1.1205803664035727</t>
  </si>
  <si>
    <t>0.2534546972243549</t>
  </si>
  <si>
    <t>0.022994162647468938</t>
  </si>
  <si>
    <t>0.24099007732927155</t>
  </si>
  <si>
    <t>-0.7798822161312706</t>
  </si>
  <si>
    <t>1.0332207565003226</t>
  </si>
  <si>
    <t>-1.5874596594442243</t>
  </si>
  <si>
    <t>0.46168820167699326</t>
  </si>
  <si>
    <t>1.3521236457901527</t>
  </si>
  <si>
    <t>-1.9089888893304277</t>
  </si>
  <si>
    <t>0.12697406081588059</t>
  </si>
  <si>
    <t>-0.042351695471730434</t>
  </si>
  <si>
    <t>-0.3644750875631895</t>
  </si>
  <si>
    <t>0.6523082881065195</t>
  </si>
  <si>
    <t>0.03901294518255797</t>
  </si>
  <si>
    <t>-0.5306193443708825</t>
  </si>
  <si>
    <t>0.2793271950604843</t>
  </si>
  <si>
    <t>-0.6006863760858295</t>
  </si>
  <si>
    <t>-0.054902936275807536</t>
  </si>
  <si>
    <t>-0.9429233946755357</t>
  </si>
  <si>
    <t>-0.059296978873065447</t>
  </si>
  <si>
    <t>0.42956332413958154</t>
  </si>
  <si>
    <t>0.8344109776013986</t>
  </si>
  <si>
    <t>-0.01837298105076243</t>
  </si>
  <si>
    <t>0.2206964223363121</t>
  </si>
  <si>
    <t>0.3603227576984085</t>
  </si>
  <si>
    <t>-0.38310578812423035</t>
  </si>
  <si>
    <t>0.4466277391836396</t>
  </si>
  <si>
    <t>0.5922185406583542</t>
  </si>
  <si>
    <t>-0.7549592602389743</t>
  </si>
  <si>
    <t>-0.9736247768040226</t>
  </si>
  <si>
    <t>-0.42029114689282054</t>
  </si>
  <si>
    <t>-0.4461066303645839</t>
  </si>
  <si>
    <t>0.5326932202918676</t>
  </si>
  <si>
    <t>0.14235896000820228</t>
  </si>
  <si>
    <t>-0.7644456592803814</t>
  </si>
  <si>
    <t>0.41417552806757935</t>
  </si>
  <si>
    <t>0.4485890861073772</t>
  </si>
  <si>
    <t>-0.31123166751992776</t>
  </si>
  <si>
    <t>-1.2184281470295553</t>
  </si>
  <si>
    <t>-0.7483399592328457</t>
  </si>
  <si>
    <t>-0.5161113622491681</t>
  </si>
  <si>
    <t>0.30495071019586295</t>
  </si>
  <si>
    <t>0.20327109750409442</t>
  </si>
  <si>
    <t>-0.6426358726779234</t>
  </si>
  <si>
    <t>-0.03320341472496906</t>
  </si>
  <si>
    <t>1.009549183388681</t>
  </si>
  <si>
    <t>0.29860990663709663</t>
  </si>
  <si>
    <t>-0.33357383316298705</t>
  </si>
  <si>
    <t>0.46522194009867796</t>
  </si>
  <si>
    <t>-0.3704629200711941</t>
  </si>
  <si>
    <t>0.0868182933552437</t>
  </si>
  <si>
    <t>-0.9274585795867535</t>
  </si>
  <si>
    <t>-0.6957522170514958</t>
  </si>
  <si>
    <t>0.8721966880766093</t>
  </si>
  <si>
    <t>-0.5811628106139775</t>
  </si>
  <si>
    <t>-0.4700694644347598</t>
  </si>
  <si>
    <t>-1.162128618424554</t>
  </si>
  <si>
    <t>0.2749701642272594</t>
  </si>
  <si>
    <t>0.5361751344300726</t>
  </si>
  <si>
    <t>0.38654596851798595</t>
  </si>
  <si>
    <t>-0.507367359139404</t>
  </si>
  <si>
    <t>-0.7036136711174018</t>
  </si>
  <si>
    <t>-0.1455014302470267</t>
  </si>
  <si>
    <t>0.4624712585836745</t>
  </si>
  <si>
    <t>-1.5334097724661353</t>
  </si>
  <si>
    <t>-0.46275527625200974</t>
  </si>
  <si>
    <t>0.19891282092036858</t>
  </si>
  <si>
    <t>0.5042732888525182</t>
  </si>
  <si>
    <t>-0.40199723394319076</t>
  </si>
  <si>
    <t>0.33107245127960827</t>
  </si>
  <si>
    <t>-0.5264969299681204</t>
  </si>
  <si>
    <t>0.5358534504474919</t>
  </si>
  <si>
    <t>-0.6970734529557193</t>
  </si>
  <si>
    <t>0.6329610093109149</t>
  </si>
  <si>
    <t>-0.8397220811418755</t>
  </si>
  <si>
    <t>0.02775550247243323</t>
  </si>
  <si>
    <t>0.7902120559210739</t>
  </si>
  <si>
    <t>-0.029650793104809076</t>
  </si>
  <si>
    <t>0.9308316652244808</t>
  </si>
  <si>
    <t>0.12159335958272277</t>
  </si>
  <si>
    <t>-1.0681070974217073</t>
  </si>
  <si>
    <t>0.2932098221104726</t>
  </si>
  <si>
    <t>-1.603738148227383</t>
  </si>
  <si>
    <t>0.08250043709923334</t>
  </si>
  <si>
    <t>-0.10731998308895631</t>
  </si>
  <si>
    <t>-0.8678375096144325</t>
  </si>
  <si>
    <t>-0.26484713241653307</t>
  </si>
  <si>
    <t>0.9802202323813506</t>
  </si>
  <si>
    <t>-0.003615717428053791</t>
  </si>
  <si>
    <t>-0.8581802084462354</t>
  </si>
  <si>
    <t>0.0452556545938069</t>
  </si>
  <si>
    <t>-0.9475077543153668</t>
  </si>
  <si>
    <t>0.711241643675669</t>
  </si>
  <si>
    <t>1.2780200847592829</t>
  </si>
  <si>
    <t>-0.13338878769702286</t>
  </si>
  <si>
    <t>-1.63613478881975</t>
  </si>
  <si>
    <t>-0.703597063196513</t>
  </si>
  <si>
    <t>-0.9276728096226434</t>
  </si>
  <si>
    <t>-0.9648736220681765</t>
  </si>
  <si>
    <t>-0.2800792246618379</t>
  </si>
  <si>
    <t>1.2222952443681037</t>
  </si>
  <si>
    <t>-1.4043935659628064</t>
  </si>
  <si>
    <t>-0.1628466031026482</t>
  </si>
  <si>
    <t>0.9104282940654483</t>
  </si>
  <si>
    <t>-1.3629581662321137</t>
  </si>
  <si>
    <t>0.9340699945164721</t>
  </si>
  <si>
    <t>1.110193708544292</t>
  </si>
  <si>
    <t>-0.9082873682497762</t>
  </si>
  <si>
    <t>0.3700435410434502</t>
  </si>
  <si>
    <t>-1.0919410884861813</t>
  </si>
  <si>
    <t>-1.063124007097438</t>
  </si>
  <si>
    <t>1.330494247487132</t>
  </si>
  <si>
    <t>-1.2899681524144075</t>
  </si>
  <si>
    <t>0.2641386078168848</t>
  </si>
  <si>
    <t>-0.3736414963620978</t>
  </si>
  <si>
    <t>0.5102000860277089</t>
  </si>
  <si>
    <t>1.1833058488216937</t>
  </si>
  <si>
    <t>0.27900163952795887</t>
  </si>
  <si>
    <t>1.459275547261441</t>
  </si>
  <si>
    <t>-1.3523279921524263</t>
  </si>
  <si>
    <t>-0.371175716781776</t>
  </si>
  <si>
    <t>-0.5295812903645751</t>
  </si>
  <si>
    <t>-0.2754460484017761</t>
  </si>
  <si>
    <t>-1.5208493497593598</t>
  </si>
  <si>
    <t>-0.9061982209080681</t>
  </si>
  <si>
    <t>0.2922085733182848</t>
  </si>
  <si>
    <t>-0.5572748447917171</t>
  </si>
  <si>
    <t>1.9236122872162225</t>
  </si>
  <si>
    <t>0.25192315325526937</t>
  </si>
  <si>
    <t>-1.0226029588204077</t>
  </si>
  <si>
    <t>-0.6863065754979959</t>
  </si>
  <si>
    <t>0.6063401792139516</t>
  </si>
  <si>
    <t>-0.5778462356291775</t>
  </si>
  <si>
    <t>0.5428131092666291</t>
  </si>
  <si>
    <t>1.2988636227704484</t>
  </si>
  <si>
    <t>-0.47800365167492653</t>
  </si>
  <si>
    <t>-0.31560384288684346</t>
  </si>
  <si>
    <t>-0.4788583395313727</t>
  </si>
  <si>
    <t>0.11863100333059823</t>
  </si>
  <si>
    <t>-0.7533739971769934</t>
  </si>
  <si>
    <t>-0.32497256030359173</t>
  </si>
  <si>
    <t>-0.26020882183266497</t>
  </si>
  <si>
    <t>-0.5265194358232814</t>
  </si>
  <si>
    <t>-0.19724786530474545</t>
  </si>
  <si>
    <t>0.6631074263671988</t>
  </si>
  <si>
    <t>-0.045453938503839136</t>
  </si>
  <si>
    <t>0.6077245531846399</t>
  </si>
  <si>
    <t>0.6457002006610054</t>
  </si>
  <si>
    <t>2.0696518186455926</t>
  </si>
  <si>
    <t>-0.0024893393025653995</t>
  </si>
  <si>
    <t>0.6386022694549863</t>
  </si>
  <si>
    <t>-0.6463241315585208</t>
  </si>
  <si>
    <t>1.2636614078784043</t>
  </si>
  <si>
    <t>-0.8006728619467219</t>
  </si>
  <si>
    <t>-1.6590072703091896</t>
  </si>
  <si>
    <t>-0.2921506345090121</t>
  </si>
  <si>
    <t>0.056505454798803735</t>
  </si>
  <si>
    <t>1.1450967891164205</t>
  </si>
  <si>
    <t>-0.12435021378778939</t>
  </si>
  <si>
    <t>0.37991005270729616</t>
  </si>
  <si>
    <t>-2.489175631048565</t>
  </si>
  <si>
    <t>-0.8217683912134609</t>
  </si>
  <si>
    <t>-0.9802890984822298</t>
  </si>
  <si>
    <t>1.8235199303665266</t>
  </si>
  <si>
    <t>-0.17085063630032588</t>
  </si>
  <si>
    <t>0.3364252000971849</t>
  </si>
  <si>
    <t>0.9554304630975667</t>
  </si>
  <si>
    <t>1.3370734821059425</t>
  </si>
  <si>
    <t>-1.2240537052342888</t>
  </si>
  <si>
    <t>0.7027872182183077</t>
  </si>
  <si>
    <t>-0.42246133696041543</t>
  </si>
  <si>
    <t>0.007003372674973777</t>
  </si>
  <si>
    <t>-0.8972707676355617</t>
  </si>
  <si>
    <t>-0.548307961530164</t>
  </si>
  <si>
    <t>-0.6080383273608623</t>
  </si>
  <si>
    <t>1.267086405486195</t>
  </si>
  <si>
    <t>-0.24546362309246506</t>
  </si>
  <si>
    <t>-0.2944759115578565</t>
  </si>
  <si>
    <t>0.8267662881302474</t>
  </si>
  <si>
    <t>-0.4040346683885989</t>
  </si>
  <si>
    <t>-1.5222071075860133</t>
  </si>
  <si>
    <t>0.23679242546594156</t>
  </si>
  <si>
    <t>0.4725663188835548</t>
  </si>
  <si>
    <t>-0.7422957512666416</t>
  </si>
  <si>
    <t>0.5995713082209403</t>
  </si>
  <si>
    <t>0.006973229827122316</t>
  </si>
  <si>
    <t>0.26334721212089224</t>
  </si>
  <si>
    <t>-0.007988042784787102</t>
  </si>
  <si>
    <t>-0.07468547719574363</t>
  </si>
  <si>
    <t>-0.5299707869856393</t>
  </si>
  <si>
    <t>0.25464638564843656</t>
  </si>
  <si>
    <t>-0.5575072027953227</t>
  </si>
  <si>
    <t>0.5993731249419858</t>
  </si>
  <si>
    <t>0.29043331416396756</t>
  </si>
  <si>
    <t>-1.6635595600605764</t>
  </si>
  <si>
    <t>-0.3721878617589729</t>
  </si>
  <si>
    <t>0.23214013205977757</t>
  </si>
  <si>
    <t>-0.07650307810262258</t>
  </si>
  <si>
    <t>-0.6768558354101223</t>
  </si>
  <si>
    <t>0.4326584369757704</t>
  </si>
  <si>
    <t>-0.6274353584783653</t>
  </si>
  <si>
    <t>-0.4018283119843154</t>
  </si>
  <si>
    <t>-0.3785310017286864</t>
  </si>
  <si>
    <t>0.9036010461045313</t>
  </si>
  <si>
    <t>-0.6126283716512161</t>
  </si>
  <si>
    <t>-0.7574778777701044</t>
  </si>
  <si>
    <t>0.05832649858257726</t>
  </si>
  <si>
    <t>0.8503902735599465</t>
  </si>
  <si>
    <t>0.22244490424577407</t>
  </si>
  <si>
    <t>0.036660568727511625</t>
  </si>
  <si>
    <t>0.09473275774536505</t>
  </si>
  <si>
    <t>0.4595795892848825</t>
  </si>
  <si>
    <t>-0.6299839782603779</t>
  </si>
  <si>
    <t>-1.0411651178299675</t>
  </si>
  <si>
    <t>-0.8911432523855111</t>
  </si>
  <si>
    <t>0.21745763200991144</t>
  </si>
  <si>
    <t>1.5193423464343947</t>
  </si>
  <si>
    <t>-0.8940996512320819</t>
  </si>
  <si>
    <t>0.27239386501975976</t>
  </si>
  <si>
    <t>-0.15283622029658345</t>
  </si>
  <si>
    <t>1.104161584298406</t>
  </si>
  <si>
    <t>1.1579968856637575</t>
  </si>
  <si>
    <t>-0.35319744157034244</t>
  </si>
  <si>
    <t>0.29873419984974037</t>
  </si>
  <si>
    <t>-0.39205639267186615</t>
  </si>
  <si>
    <t>0.6338501643868839</t>
  </si>
  <si>
    <t>1.1287932876263513</t>
  </si>
  <si>
    <t>0.12127156513752729</t>
  </si>
  <si>
    <t>-0.9104395368999646</t>
  </si>
  <si>
    <t>-0.32701518803920865</t>
  </si>
  <si>
    <t>1.2841326832935749</t>
  </si>
  <si>
    <t>-0.3931340980139835</t>
  </si>
  <si>
    <t>-0.02733742886572165</t>
  </si>
  <si>
    <t>0.015312665369524775</t>
  </si>
  <si>
    <t>0.59305805976398</t>
  </si>
  <si>
    <t>-0.18038376116660784</t>
  </si>
  <si>
    <t>0.08317329756084783</t>
  </si>
  <si>
    <t>0.4212656687206029</t>
  </si>
  <si>
    <t>-0.3983482763029447</t>
  </si>
  <si>
    <t>0.35156216959325953</t>
  </si>
  <si>
    <t>0.5309504758921196</t>
  </si>
  <si>
    <t>0.33075626410033854</t>
  </si>
  <si>
    <t>0.3764381177683394</t>
  </si>
  <si>
    <t>0.1312115997438857</t>
  </si>
  <si>
    <t>0.3291718277209387</t>
  </si>
  <si>
    <t>0.35472680777276644</t>
  </si>
  <si>
    <t>0.14134937510728143</t>
  </si>
  <si>
    <t>0.20103154967068096</t>
  </si>
  <si>
    <t>0.724872140995976</t>
  </si>
  <si>
    <t>0.41004841306626083</t>
  </si>
  <si>
    <t>0.08385121919620954</t>
  </si>
  <si>
    <t>-0.3539815705456734</t>
  </si>
  <si>
    <t>-0.299859678478197</t>
  </si>
  <si>
    <t>0.3378140463271217</t>
  </si>
  <si>
    <t>-0.756845525510467</t>
  </si>
  <si>
    <t>-0.2675706734750947</t>
  </si>
  <si>
    <t>-0.20774519263501548</t>
  </si>
  <si>
    <t>0.08884185772417565</t>
  </si>
  <si>
    <t>0.37116988143824853</t>
  </si>
  <si>
    <t>-0.24252827809251018</t>
  </si>
  <si>
    <t>-0.016417256711959812</t>
  </si>
  <si>
    <t>0.5389330112421045</t>
  </si>
  <si>
    <t>-0.357636691709556</t>
  </si>
  <si>
    <t>-0.1940552058201659</t>
  </si>
  <si>
    <t>-0.6713981964583248</t>
  </si>
  <si>
    <t>-0.7408101669700019</t>
  </si>
  <si>
    <t>0.038181161172835036</t>
  </si>
  <si>
    <t>0.6815389088198193</t>
  </si>
  <si>
    <t>-0.3155462547017616</t>
  </si>
  <si>
    <t>1.332136795062635</t>
  </si>
  <si>
    <t>-1.1973851954083627</t>
  </si>
  <si>
    <t>-0.7969191746734009</t>
  </si>
  <si>
    <t>0.8664399364391155</t>
  </si>
  <si>
    <t>-0.413169621768057</t>
  </si>
  <si>
    <t>0.164176047975986</t>
  </si>
  <si>
    <t>-0.15634499631333332</t>
  </si>
  <si>
    <t>-0.2354032224363399</t>
  </si>
  <si>
    <t>-0.0823341058756866</t>
  </si>
  <si>
    <t>1.1907583156234742</t>
  </si>
  <si>
    <t>-0.4961819974459205</t>
  </si>
  <si>
    <t>-0.13761285617993899</t>
  </si>
  <si>
    <t>-0.596948635386458</t>
  </si>
  <si>
    <t>0.008688067101898738</t>
  </si>
  <si>
    <t>-1.0053657518302752</t>
  </si>
  <si>
    <t>-1.0326763983246565</t>
  </si>
  <si>
    <t>0.22019739215734918</t>
  </si>
  <si>
    <t>0.5860664888555586</t>
  </si>
  <si>
    <t>0.6927745274444882</t>
  </si>
  <si>
    <t>-1.0193660268501423</t>
  </si>
  <si>
    <t>0.42747398875914405</t>
  </si>
  <si>
    <t>0.5046288853325303</t>
  </si>
  <si>
    <t>-1.4696754226610553</t>
  </si>
  <si>
    <t>-0.7689924918542663</t>
  </si>
  <si>
    <t>1.3805154849042662</t>
  </si>
  <si>
    <t>0.5633273517056053</t>
  </si>
  <si>
    <t>0.885907897020435</t>
  </si>
  <si>
    <t>-0.7863956109932368</t>
  </si>
  <si>
    <t>-0.029178597746363673</t>
  </si>
  <si>
    <t>-0.5665222935887434</t>
  </si>
  <si>
    <t>-0.35224540156062845</t>
  </si>
  <si>
    <t>0.14801411420135907</t>
  </si>
  <si>
    <t>0.1132953649212781</t>
  </si>
  <si>
    <t>0.1773337615552194</t>
  </si>
  <si>
    <t>0.023152735394884015</t>
  </si>
  <si>
    <t>0.6892148337108974</t>
  </si>
  <si>
    <t>0.2945055804345268</t>
  </si>
  <si>
    <t>-0.8997391206995085</t>
  </si>
  <si>
    <t>0.15947015247703675</t>
  </si>
  <si>
    <t>0.7855349718829303</t>
  </si>
  <si>
    <t>-0.8250769011628672</t>
  </si>
  <si>
    <t>-1.1068118644492482</t>
  </si>
  <si>
    <t>0.70785267153226</t>
  </si>
  <si>
    <t>-1.5865424977846285</t>
  </si>
  <si>
    <t>0.5673688959481615</t>
  </si>
  <si>
    <t>1.302420396697312</t>
  </si>
  <si>
    <t>0.688154857011019</t>
  </si>
  <si>
    <t>-0.4485786551402667</t>
  </si>
  <si>
    <t>-0.332927021442838</t>
  </si>
  <si>
    <t>0.5939245960149997</t>
  </si>
  <si>
    <t>-0.11986552517674341</t>
  </si>
  <si>
    <t>-1.221862390256907</t>
  </si>
  <si>
    <t>0.47114509193863296</t>
  </si>
  <si>
    <t>-0.20448745854626066</t>
  </si>
  <si>
    <t>-0.8451742597274229</t>
  </si>
  <si>
    <t>0.1431433335625659</t>
  </si>
  <si>
    <t>-0.7884430887372511</t>
  </si>
  <si>
    <t>1.4051983758047764</t>
  </si>
  <si>
    <t>0.09699861268296343</t>
  </si>
  <si>
    <t>-0.09228932920471293</t>
  </si>
  <si>
    <t>0.16052917710688439</t>
  </si>
  <si>
    <t>0.6862131029847073</t>
  </si>
  <si>
    <t>-1.3879111496223233</t>
  </si>
  <si>
    <t>0.24469481548021968</t>
  </si>
  <si>
    <t>0.12023305729154457</t>
  </si>
  <si>
    <t>0.9277537473024999</t>
  </si>
  <si>
    <t>-1.066061962110161</t>
  </si>
  <si>
    <t>-0.699546431532289</t>
  </si>
  <si>
    <t>2.158295494650049</t>
  </si>
  <si>
    <t>0.10299432427355158</t>
  </si>
  <si>
    <t>0.31744712484000764</t>
  </si>
  <si>
    <t>1.6041257604280186</t>
  </si>
  <si>
    <t>-0.5790266044104323</t>
  </si>
  <si>
    <t>-0.8427380311420883</t>
  </si>
  <si>
    <t>0.3908453685743874</t>
  </si>
  <si>
    <t>-0.8014481329136861</t>
  </si>
  <si>
    <t>2.128273454462251</t>
  </si>
  <si>
    <t>-0.5306540373082717</t>
  </si>
  <si>
    <t>1.0756566361518307</t>
  </si>
  <si>
    <t>-0.4729364855361565</t>
  </si>
  <si>
    <t>-1.308618909714553</t>
  </si>
  <si>
    <t>-0.8697853764469288</t>
  </si>
  <si>
    <t>1.2702515364281683</t>
  </si>
  <si>
    <t>0.3457859382501295</t>
  </si>
  <si>
    <t>-0.812557944399641</t>
  </si>
  <si>
    <t>0.42678896872604044</t>
  </si>
  <si>
    <t>0.014772845645219355</t>
  </si>
  <si>
    <t>-0.3278498293338222</t>
  </si>
  <si>
    <t>-0.8303806438545879</t>
  </si>
  <si>
    <t>-0.07766296367251947</t>
  </si>
  <si>
    <t>-0.7143249741208986</t>
  </si>
  <si>
    <t>-0.16984349291148104</t>
  </si>
  <si>
    <t>0.3994511702601496</t>
  </si>
  <si>
    <t>2.0467343478462148</t>
  </si>
  <si>
    <t>0.3602935770600679</t>
  </si>
  <si>
    <t>0.47326271189902636</t>
  </si>
  <si>
    <t>0.4425890750441798</t>
  </si>
  <si>
    <t>2.9720220631386276</t>
  </si>
  <si>
    <t>-1.7705395461560192</t>
  </si>
  <si>
    <t>1.0584918842468638</t>
  </si>
  <si>
    <t>0.119999372131153</t>
  </si>
  <si>
    <t>0.2923291761817088</t>
  </si>
  <si>
    <t>-1.1179927687535842</t>
  </si>
  <si>
    <t>0.3805682148011468</t>
  </si>
  <si>
    <t>0.11080986781011166</t>
  </si>
  <si>
    <t>0.14665310673956364</t>
  </si>
  <si>
    <t>0.939460959898808</t>
  </si>
  <si>
    <t>-0.9027999433571063</t>
  </si>
  <si>
    <t>0.5601456050301035</t>
  </si>
  <si>
    <t>-1.120333895491017</t>
  </si>
  <si>
    <t>-1.4540701913632006</t>
  </si>
  <si>
    <t>0.10859888202639012</t>
  </si>
  <si>
    <t>-0.640478672708117</t>
  </si>
  <si>
    <t>0.7183346739985749</t>
  </si>
  <si>
    <t>0.2787618643617341</t>
  </si>
  <si>
    <t>0.17105917639213308</t>
  </si>
  <si>
    <t>2.211210129107344</t>
  </si>
  <si>
    <t>-0.9612678298413341</t>
  </si>
  <si>
    <t>0.9042071814307834</t>
  </si>
  <si>
    <t>1.5699538194771654</t>
  </si>
  <si>
    <t>0.11683317041787718</t>
  </si>
  <si>
    <t>0.08003208920031422</t>
  </si>
  <si>
    <t>-0.8368146633008315</t>
  </si>
  <si>
    <t>0.26400418753736454</t>
  </si>
  <si>
    <t>-0.25947634810842984</t>
  </si>
  <si>
    <t>0.11149379323675707</t>
  </si>
  <si>
    <t>-0.25194653512039616</t>
  </si>
  <si>
    <t>1.3253585194873032</t>
  </si>
  <si>
    <t>0.6881873349312404</t>
  </si>
  <si>
    <t>-1.6847058052724488</t>
  </si>
  <si>
    <t>0.6197351093824037</t>
  </si>
  <si>
    <t>0.1646427579437217</t>
  </si>
  <si>
    <t>-0.41953630443593776</t>
  </si>
  <si>
    <t>0.07123858276240087</t>
  </si>
  <si>
    <t>-3.38278726703719</t>
  </si>
  <si>
    <t>1.1717974214670042</t>
  </si>
  <si>
    <t>0.09295548355322832</t>
  </si>
  <si>
    <t>1.7505049606465517</t>
  </si>
  <si>
    <t>-0.9598305828325258</t>
  </si>
  <si>
    <t>-0.08684407219060937</t>
  </si>
  <si>
    <t>-0.9377448779134698</t>
  </si>
  <si>
    <t>0.15332685071240804</t>
  </si>
  <si>
    <t>0.5841593462213415</t>
  </si>
  <si>
    <t>0.3593827126926893</t>
  </si>
  <si>
    <t>1.7740005852869836</t>
  </si>
  <si>
    <t>-0.8475293661958876</t>
  </si>
  <si>
    <t>1.2929662106317625</t>
  </si>
  <si>
    <t>-0.1098145951722274</t>
  </si>
  <si>
    <t>-0.14252897736503728</t>
  </si>
  <si>
    <t>0.1576313428986704</t>
  </si>
  <si>
    <t>-0.3156851887272081</t>
  </si>
  <si>
    <t>-0.8304161930722195</t>
  </si>
  <si>
    <t>-0.565276233304246</t>
  </si>
  <si>
    <t>0.2649868633282745</t>
  </si>
  <si>
    <t>-0.46146149348596355</t>
  </si>
  <si>
    <t>1.6340038861551465</t>
  </si>
  <si>
    <t>0.9699398906370371</t>
  </si>
  <si>
    <t>-0.503921614474456</t>
  </si>
  <si>
    <t>0.5796288808892585</t>
  </si>
  <si>
    <t>0.08664818850097242</t>
  </si>
  <si>
    <t>-0.6175214540855669</t>
  </si>
  <si>
    <t>0.9015016993376262</t>
  </si>
  <si>
    <t>-0.4609346428993541</t>
  </si>
  <si>
    <t>-0.6159002911158857</t>
  </si>
  <si>
    <t>0.07727803613489853</t>
  </si>
  <si>
    <t>0.3448777672146173</t>
  </si>
  <si>
    <t>0.011339891601892577</t>
  </si>
  <si>
    <t>0.3874668745535665</t>
  </si>
  <si>
    <t>0.6536314055194838</t>
  </si>
  <si>
    <t>0.7236377829792843</t>
  </si>
  <si>
    <t>-0.3117643182201665</t>
  </si>
  <si>
    <t>0.5325985418083906</t>
  </si>
  <si>
    <t>-1.011134019696856</t>
  </si>
  <si>
    <t>0.027842535556550915</t>
  </si>
  <si>
    <t>0.5575517077031581</t>
  </si>
  <si>
    <t>1.9124110224828397</t>
  </si>
  <si>
    <t>0.4278960248176873</t>
  </si>
  <si>
    <t>-0.2894238714246109</t>
  </si>
  <si>
    <t>0.004908164784902414</t>
  </si>
  <si>
    <t>0.6217687668249465</t>
  </si>
  <si>
    <t>1.3207548141504113</t>
  </si>
  <si>
    <t>0.4422106505966521</t>
  </si>
  <si>
    <t>0.08755543139083871</t>
  </si>
  <si>
    <t>0.6373662855834736</t>
  </si>
  <si>
    <t>0.27576576531290875</t>
  </si>
  <si>
    <t>-0.5450783961625325</t>
  </si>
  <si>
    <t>1.3349406169106106</t>
  </si>
  <si>
    <t>-0.11854784960922164</t>
  </si>
  <si>
    <t>0.29731515294314</t>
  </si>
  <si>
    <t>-0.5712706579762477</t>
  </si>
  <si>
    <t>-0.36637251475138</t>
  </si>
  <si>
    <t>1.4003237907077142</t>
  </si>
  <si>
    <t>0.10776943689329625</t>
  </si>
  <si>
    <t>-1.2138207097695033</t>
  </si>
  <si>
    <t>-0.03189073473851421</t>
  </si>
  <si>
    <t>0.2377908982939162</t>
  </si>
  <si>
    <t>-0.17422985156499396</t>
  </si>
  <si>
    <t>0.6193737291993788</t>
  </si>
  <si>
    <t>1.7921487901823878</t>
  </si>
  <si>
    <t>-1.090005875786866</t>
  </si>
  <si>
    <t>-0.9146266949705816</t>
  </si>
  <si>
    <t>-0.5937673398701053</t>
  </si>
  <si>
    <t>1.4176821780653799</t>
  </si>
  <si>
    <t>-0.03441291006355555</t>
  </si>
  <si>
    <t>0.777468779863335</t>
  </si>
  <si>
    <t>-0.7409665468987857</t>
  </si>
  <si>
    <t>0.5166560762198116</t>
  </si>
  <si>
    <t>-0.41556722507186405</t>
  </si>
  <si>
    <t>0.30938000242855607</t>
  </si>
  <si>
    <t>0.8833140617826561</t>
  </si>
  <si>
    <t>0.7705726742500266</t>
  </si>
  <si>
    <t>0.42333065162708305</t>
  </si>
  <si>
    <t>-0.1943582834434829</t>
  </si>
  <si>
    <t>0.7375850417748533</t>
  </si>
  <si>
    <t>0.08218809055594413</t>
  </si>
  <si>
    <t>0.859275726045713</t>
  </si>
  <si>
    <t>0.025469636772666074</t>
  </si>
  <si>
    <t>0.3075779794342075</t>
  </si>
  <si>
    <t>-1.0401982971938</t>
  </si>
  <si>
    <t>-0.11514713150481143</t>
  </si>
  <si>
    <t>-0.5692709925372054</t>
  </si>
  <si>
    <t>1.827328012052003</t>
  </si>
  <si>
    <t>1.2170751070112287</t>
  </si>
  <si>
    <t>-0.2371977329575397</t>
  </si>
  <si>
    <t>0.008181219647232802</t>
  </si>
  <si>
    <t>-0.10870535776264646</t>
  </si>
  <si>
    <t>2.2093267394076546</t>
  </si>
  <si>
    <t>0.4826355552996847</t>
  </si>
  <si>
    <t>0.06054261555714573</t>
  </si>
  <si>
    <t>-1.0151723095987055</t>
  </si>
  <si>
    <t>-0.14884057901218625</t>
  </si>
  <si>
    <t>-0.1310684111492422</t>
  </si>
  <si>
    <t>0.6711041303050317</t>
  </si>
  <si>
    <t>0.6219158328746898</t>
  </si>
  <si>
    <t>0.09915546884322189</t>
  </si>
  <si>
    <t>0.8709514432873546</t>
  </si>
  <si>
    <t>-0.04691040419131447</t>
  </si>
  <si>
    <t>-1.7164067312336373</t>
  </si>
  <si>
    <t>1.0856460165072737</t>
  </si>
  <si>
    <t>-0.8892180366920562</t>
  </si>
  <si>
    <t>0.41451829174430327</t>
  </si>
  <si>
    <t>0.7538594089036563</t>
  </si>
  <si>
    <t>-0.08050659428049678</t>
  </si>
  <si>
    <t>-0.35030102687173464</t>
  </si>
  <si>
    <t>-0.38371730085517597</t>
  </si>
  <si>
    <t>0.6177033909571703</t>
  </si>
  <si>
    <t>0.9279187554881682</t>
  </si>
  <si>
    <t>-0.22177967736131327</t>
  </si>
  <si>
    <t>0.1940077312643207</t>
  </si>
  <si>
    <t>0.2560814100025376</t>
  </si>
  <si>
    <t>0.18425059527877916</t>
  </si>
  <si>
    <t>-0.2656869637041055</t>
  </si>
  <si>
    <t>-1.2866946760352937</t>
  </si>
  <si>
    <t>-0.026344541325171764</t>
  </si>
  <si>
    <t>0.4413938265492529</t>
  </si>
  <si>
    <t>0.00933470149847579</t>
  </si>
  <si>
    <t>1.236510194804297</t>
  </si>
  <si>
    <t>-0.10537649803805244</t>
  </si>
  <si>
    <t>-0.8938622848315505</t>
  </si>
  <si>
    <t>0.5792074124751854</t>
  </si>
  <si>
    <t>-0.008502663791595531</t>
  </si>
  <si>
    <t>-0.028564516628687676</t>
  </si>
  <si>
    <t>-0.30392700231730285</t>
  </si>
  <si>
    <t>-0.7617993724227944</t>
  </si>
  <si>
    <t>-0.19390803950774346</t>
  </si>
  <si>
    <t>-0.8683531970962697</t>
  </si>
  <si>
    <t>-0.12338168502411812</t>
  </si>
  <si>
    <t>0.5232653309760202</t>
  </si>
  <si>
    <t>-0.46147314945849777</t>
  </si>
  <si>
    <t>0.25139185042743567</t>
  </si>
  <si>
    <t>0.8583756211303936</t>
  </si>
  <si>
    <t>-0.883686534822665</t>
  </si>
  <si>
    <t>1.3567198198193977</t>
  </si>
  <si>
    <t>-0.14054767754211087</t>
  </si>
  <si>
    <t>0.2379050132518137</t>
  </si>
  <si>
    <t>0.36642529997269707</t>
  </si>
  <si>
    <t>-0.39998926965912573</t>
  </si>
  <si>
    <t>-0.28782489662308003</t>
  </si>
  <si>
    <t>-0.7523988905953741</t>
  </si>
  <si>
    <t>0.1292206337250168</t>
  </si>
  <si>
    <t>0.2024443094274414</t>
  </si>
  <si>
    <t>0.34138791475108893</t>
  </si>
  <si>
    <t>0.5607835825358518</t>
  </si>
  <si>
    <t>-0.26686159873400284</t>
  </si>
  <si>
    <t>-1.5410780626585723</t>
  </si>
  <si>
    <t>-0.338761660276705</t>
  </si>
  <si>
    <t>0.256639712712443</t>
  </si>
  <si>
    <t>-0.15502365310375116</t>
  </si>
  <si>
    <t>-0.15962960387195946</t>
  </si>
  <si>
    <t>0.3712257240360561</t>
  </si>
  <si>
    <t>1.4900444589686632</t>
  </si>
  <si>
    <t>-0.2592665880681232</t>
  </si>
  <si>
    <t>0.2771038352668851</t>
  </si>
  <si>
    <t>0.19124100708313455</t>
  </si>
  <si>
    <t>0.7520609802430631</t>
  </si>
  <si>
    <t>-1.3055907719219935</t>
  </si>
  <si>
    <t>0.1833901595385101</t>
  </si>
  <si>
    <t>-1.080880398765968</t>
  </si>
  <si>
    <t>-0.007033901453080707</t>
  </si>
  <si>
    <t>-1.0258188159133559</t>
  </si>
  <si>
    <t>0.00930538411383033</t>
  </si>
  <si>
    <t>-2.036706776160506</t>
  </si>
  <si>
    <t>-1.5746872743299765</t>
  </si>
  <si>
    <t>-1.291561743634875</t>
  </si>
  <si>
    <t>0.6580875182808067</t>
  </si>
  <si>
    <t>1.0131915741460775</t>
  </si>
  <si>
    <t>-0.5377006543266989</t>
  </si>
  <si>
    <t>-0.28052635401704357</t>
  </si>
  <si>
    <t>-0.2419568098307796</t>
  </si>
  <si>
    <t>-1.6464475574184905</t>
  </si>
  <si>
    <t>-0.5269934845279363</t>
  </si>
  <si>
    <t>0.3297950489049891</t>
  </si>
  <si>
    <t>0.7858691271685174</t>
  </si>
  <si>
    <t>0.3461505370893212</t>
  </si>
  <si>
    <t>0.42388349678819465</t>
  </si>
  <si>
    <t>-0.08515278185195083</t>
  </si>
  <si>
    <t>-0.6996443239617351</t>
  </si>
  <si>
    <t>-0.33023729153914627</t>
  </si>
  <si>
    <t>0.15959212934713737</t>
  </si>
  <si>
    <t>-0.838142839510968</t>
  </si>
  <si>
    <t>-1.0566103952270771</t>
  </si>
  <si>
    <t>-0.14640604791581652</t>
  </si>
  <si>
    <t>-0.5856405127484338</t>
  </si>
  <si>
    <t>-0.875141455717625</t>
  </si>
  <si>
    <t>2.054388515056587</t>
  </si>
  <si>
    <t>-0.606733581974116</t>
  </si>
  <si>
    <t>0.5020836194179583</t>
  </si>
  <si>
    <t>-0.37323466567830227</t>
  </si>
  <si>
    <t>0.337558951709898</t>
  </si>
  <si>
    <t>-0.5407337046251505</t>
  </si>
  <si>
    <t>-1.457717873864082</t>
  </si>
  <si>
    <t>3.8995515012931667</t>
  </si>
  <si>
    <t>0.5976664194242822</t>
  </si>
  <si>
    <t>0.1904986833865226</t>
  </si>
  <si>
    <t>0.08299656372237552</t>
  </si>
  <si>
    <t>-0.34017373328484113</t>
  </si>
  <si>
    <t>0.22681591284536026</t>
  </si>
  <si>
    <t>-0.8835932633692574</t>
  </si>
  <si>
    <t>-0.3505374841677973</t>
  </si>
  <si>
    <t>0.00462382203569326</t>
  </si>
  <si>
    <t>-0.24212784340914315</t>
  </si>
  <si>
    <t>-0.09330694240079558</t>
  </si>
  <si>
    <t>-0.4582743600902477</t>
  </si>
  <si>
    <t>-0.331384209908987</t>
  </si>
  <si>
    <t>0.05088471791126769</t>
  </si>
  <si>
    <t>-0.9984654368462671</t>
  </si>
  <si>
    <t>-0.22314913960273375</t>
  </si>
  <si>
    <t>-0.7312833632485604</t>
  </si>
  <si>
    <t>-0.09727180960195418</t>
  </si>
  <si>
    <t>0.3696464606114676</t>
  </si>
  <si>
    <t>-0.19884290064279447</t>
  </si>
  <si>
    <t>-0.1575202211729298</t>
  </si>
  <si>
    <t>-0.5717950222848466</t>
  </si>
  <si>
    <t>-2.216008842717392</t>
  </si>
  <si>
    <t>0.8264296923988848</t>
  </si>
  <si>
    <t>0.2879357982122758</t>
  </si>
  <si>
    <t>-0.6188792532002598</t>
  </si>
  <si>
    <t>1.413283326665343</t>
  </si>
  <si>
    <t>-1.52488072406142</t>
  </si>
  <si>
    <t>-0.24495321172745033</t>
  </si>
  <si>
    <t>0.2701578933335932</t>
  </si>
  <si>
    <t>-0.8025303755858106</t>
  </si>
  <si>
    <t>-1.4130019769472004</t>
  </si>
  <si>
    <t>-0.1635413389815457</t>
  </si>
  <si>
    <t>0.14834595322734787</t>
  </si>
  <si>
    <t>-0.8170692300522314</t>
  </si>
  <si>
    <t>0.16765120356267033</t>
  </si>
  <si>
    <t>0.5573902107676934</t>
  </si>
  <si>
    <t>-0.061210259191020196</t>
  </si>
  <si>
    <t>-0.18183583784314883</t>
  </si>
  <si>
    <t>0.6402949408699046</t>
  </si>
  <si>
    <t>-0.4635906107678124</t>
  </si>
  <si>
    <t>-0.29060572516611516</t>
  </si>
  <si>
    <t>0.07729190553942338</t>
  </si>
  <si>
    <t>0.5614835892215128</t>
  </si>
  <si>
    <t>-1.0507380942921767</t>
  </si>
  <si>
    <t>0.5567715922800468</t>
  </si>
  <si>
    <t>-0.5544269906241968</t>
  </si>
  <si>
    <t>0.9932833848729941</t>
  </si>
  <si>
    <t>-0.7442149101184605</t>
  </si>
  <si>
    <t>0.3595544644149237</t>
  </si>
  <si>
    <t>-0.5340876317372131</t>
  </si>
  <si>
    <t>0.4573525165339494</t>
  </si>
  <si>
    <t>-1.3358237461552378</t>
  </si>
  <si>
    <t>2.5252612144188507</t>
  </si>
  <si>
    <t>0.7803697170242917</t>
  </si>
  <si>
    <t>0.20128809104238976</t>
  </si>
  <si>
    <t>-0.20758592421926533</t>
  </si>
  <si>
    <t>0.5842438192707169</t>
  </si>
  <si>
    <t>0.9993758764839398</t>
  </si>
  <si>
    <t>1.2197110609073292</t>
  </si>
  <si>
    <t>-0.10631030740489317</t>
  </si>
  <si>
    <t>-0.03911397092111904</t>
  </si>
  <si>
    <t>0.6114385288092282</t>
  </si>
  <si>
    <t>-1.274722741645005</t>
  </si>
  <si>
    <t>0.9132845925495588</t>
  </si>
  <si>
    <t>-1.2704688676914335</t>
  </si>
  <si>
    <t>0.40006512621964696</t>
  </si>
  <si>
    <t>-0.42220511669769</t>
  </si>
  <si>
    <t>0.5033408313241163</t>
  </si>
  <si>
    <t>-0.9089338645451641</t>
  </si>
  <si>
    <t>0.15449017662051576</t>
  </si>
  <si>
    <t>0.014324110147344174</t>
  </si>
  <si>
    <t>0.05170421867456493</t>
  </si>
  <si>
    <t>-0.5740964374968759</t>
  </si>
  <si>
    <t>-0.23553228056602057</t>
  </si>
  <si>
    <t>1.4939430544186347</t>
  </si>
  <si>
    <t>1.8723803121540143</t>
  </si>
  <si>
    <t>0.4659899875812097</t>
  </si>
  <si>
    <t>0.06721114526762448</t>
  </si>
  <si>
    <t>-0.7566442463793014</t>
  </si>
  <si>
    <t>-0.9008475607229108</t>
  </si>
  <si>
    <t>0.0442316856502</t>
  </si>
  <si>
    <t>-0.24369235171122897</t>
  </si>
  <si>
    <t>-0.18542245292056522</t>
  </si>
  <si>
    <t>-0.11480074465848067</t>
  </si>
  <si>
    <t>-1.5125335308922634</t>
  </si>
  <si>
    <t>-0.14996431510175193</t>
  </si>
  <si>
    <t>0.0774245317756647</t>
  </si>
  <si>
    <t>0.014321786129455207</t>
  </si>
  <si>
    <t>-0.8126066925358207</t>
  </si>
  <si>
    <t>-0.5175705394978798</t>
  </si>
  <si>
    <t>-0.6752706059192919</t>
  </si>
  <si>
    <t>-0.19173775280035135</t>
  </si>
  <si>
    <t>-0.1106674077624722</t>
  </si>
  <si>
    <t>-0.5391655433799006</t>
  </si>
  <si>
    <t>-1.3661878358949209</t>
  </si>
  <si>
    <t>1.2976778148378774</t>
  </si>
  <si>
    <t>-0.16130537995335</t>
  </si>
  <si>
    <t>0.3608716847590108</t>
  </si>
  <si>
    <t>-0.17804011914462986</t>
  </si>
  <si>
    <t>-0.10525384458811772</t>
  </si>
  <si>
    <t>-0.663042834172051</t>
  </si>
  <si>
    <t>-0.16540581421122294</t>
  </si>
  <si>
    <t>0.948839818576759</t>
  </si>
  <si>
    <t>-1.4677658828376208</t>
  </si>
  <si>
    <t>-2.433162097539366</t>
  </si>
  <si>
    <t>-0.6592725570480359</t>
  </si>
  <si>
    <t>1.3885207334706318</t>
  </si>
  <si>
    <t>0.7203724794588554</t>
  </si>
  <si>
    <t>-1.0502471435721192</t>
  </si>
  <si>
    <t>-0.29401706330339233</t>
  </si>
  <si>
    <t>0.10033696137976623</t>
  </si>
  <si>
    <t>0.43462509990618425</t>
  </si>
  <si>
    <t>-0.2488129107600581</t>
  </si>
  <si>
    <t>-0.22144951457058554</t>
  </si>
  <si>
    <t>0.8151006853723859</t>
  </si>
  <si>
    <t>-0.1326511016073412</t>
  </si>
  <si>
    <t>-0.2195744560564587</t>
  </si>
  <si>
    <t>0.10620485485129359</t>
  </si>
  <si>
    <t>0.9402216114051706</t>
  </si>
  <si>
    <t>-0.9825304089631625</t>
  </si>
  <si>
    <t>0.07655083269686251</t>
  </si>
  <si>
    <t>-0.11373903376094711</t>
  </si>
  <si>
    <t>1.2627827016824162</t>
  </si>
  <si>
    <t>-0.6515792940222591</t>
  </si>
  <si>
    <t>-0.8161225254028237</t>
  </si>
  <si>
    <t>-0.3350247125747969</t>
  </si>
  <si>
    <t>0.9449298282509645</t>
  </si>
  <si>
    <t>0.3681418003656529</t>
  </si>
  <si>
    <t>-0.7401787788241957</t>
  </si>
  <si>
    <t>0.3230164241920361</t>
  </si>
  <si>
    <t>-0.879313318401731</t>
  </si>
  <si>
    <t>0.2790507491466633</t>
  </si>
  <si>
    <t>-0.032969054946164485</t>
  </si>
  <si>
    <t>-0.3065122427537488</t>
  </si>
  <si>
    <t>0.014908341147408148</t>
  </si>
  <si>
    <t>0.8317843179460613</t>
  </si>
  <si>
    <t>0.23982136823118896</t>
  </si>
  <si>
    <t>0.05136619119834083</t>
  </si>
  <si>
    <t>0.0232958219492002</t>
  </si>
  <si>
    <t>0.5879219889234177</t>
  </si>
  <si>
    <t>0.2822009936128224</t>
  </si>
  <si>
    <t>-0.5692362172722543</t>
  </si>
  <si>
    <t>0.2608390388146684</t>
  </si>
  <si>
    <t>-0.039703096175877174</t>
  </si>
  <si>
    <t>-0.6243493387407261</t>
  </si>
  <si>
    <t>-1.0363816661411578</t>
  </si>
  <si>
    <t>-0.10557214768004385</t>
  </si>
  <si>
    <t>0.46686868979187257</t>
  </si>
  <si>
    <t>-0.026486952936802453</t>
  </si>
  <si>
    <t>-0.8692757077155162</t>
  </si>
  <si>
    <t>0.13811250157157082</t>
  </si>
  <si>
    <t>0.17622556119555122</t>
  </si>
  <si>
    <t>-0.6715190751709664</t>
  </si>
  <si>
    <t>-0.08319753226836768</t>
  </si>
  <si>
    <t>0.12498544277758748</t>
  </si>
  <si>
    <t>-0.1997736634664292</t>
  </si>
  <si>
    <t>0.8878728974326412</t>
  </si>
  <si>
    <t>-0.7130223519292577</t>
  </si>
  <si>
    <t>-0.01719272418799663</t>
  </si>
  <si>
    <t>-0.07607694620716808</t>
  </si>
  <si>
    <t>0.49552631359556</t>
  </si>
  <si>
    <t>-0.139419826773461</t>
  </si>
  <si>
    <t>0.13521484771885992</t>
  </si>
  <si>
    <t>-0.05311461623792195</t>
  </si>
  <si>
    <t>-0.5703957727694705</t>
  </si>
  <si>
    <t>0.20095304290785135</t>
  </si>
  <si>
    <t>-0.2848161984663515</t>
  </si>
  <si>
    <t>-0.20539114621007634</t>
  </si>
  <si>
    <t>-0.022825276860120976</t>
  </si>
  <si>
    <t>0.404178130892204</t>
  </si>
  <si>
    <t>0.18398162861057746</t>
  </si>
  <si>
    <t>-0.2111118582276173</t>
  </si>
  <si>
    <t>-0.34070169340339673</t>
  </si>
  <si>
    <t>-1.1170363625952626</t>
  </si>
  <si>
    <t>-1.2063967547891825</t>
  </si>
  <si>
    <t>0.29732968624598577</t>
  </si>
  <si>
    <t>-3.3577158963658778</t>
  </si>
  <si>
    <t>-2.279124746445469</t>
  </si>
  <si>
    <t>-0.949012791133064</t>
  </si>
  <si>
    <t>0.13524090555734436</t>
  </si>
  <si>
    <t>-0.2895694548158434</t>
  </si>
  <si>
    <t>0.6671361209631794</t>
  </si>
  <si>
    <t>-0.5056201444875502</t>
  </si>
  <si>
    <t>1.2610437611085636</t>
  </si>
  <si>
    <t>1.3904757741554856</t>
  </si>
  <si>
    <t>-0.3678127526587534</t>
  </si>
  <si>
    <t>-1.8248611927850258</t>
  </si>
  <si>
    <t>-0.33645562308974525</t>
  </si>
  <si>
    <t>-2.1744638555174807</t>
  </si>
  <si>
    <t>-1.9033038907175377</t>
  </si>
  <si>
    <t>-1.3472101147809734</t>
  </si>
  <si>
    <t>-1.7272807164015849</t>
  </si>
  <si>
    <t>0.9562861195672051</t>
  </si>
  <si>
    <t>-0.2893410992737278</t>
  </si>
  <si>
    <t>-1.6227268957457517</t>
  </si>
  <si>
    <t>-2.1075046424313393</t>
  </si>
  <si>
    <t>-2.2198220142175975</t>
  </si>
  <si>
    <t>1.0285658062683307</t>
  </si>
  <si>
    <t>-0.5561384558089375</t>
  </si>
  <si>
    <t>4.450875963775624</t>
  </si>
  <si>
    <t>0.14492536322237703</t>
  </si>
  <si>
    <t>1.6572584770537162</t>
  </si>
  <si>
    <t>-2.6600806381038367</t>
  </si>
  <si>
    <t>-0.7094180981250955</t>
  </si>
  <si>
    <t>-3.233375294059961</t>
  </si>
  <si>
    <t>-1.0130654922762112</t>
  </si>
  <si>
    <t>-3.750709452285633</t>
  </si>
  <si>
    <t>-1.8981349646530512</t>
  </si>
  <si>
    <t>-0.198621836199046</t>
  </si>
  <si>
    <t>-3.611145996828259</t>
  </si>
  <si>
    <t>-0.07821280042922886</t>
  </si>
  <si>
    <t>1.7909453683642411</t>
  </si>
  <si>
    <t>0.7304666610380937</t>
  </si>
  <si>
    <t>0.1470508859625155</t>
  </si>
  <si>
    <t>0.7360605474279059</t>
  </si>
  <si>
    <t>1.1502140345576304</t>
  </si>
  <si>
    <t>0.20587887209602734</t>
  </si>
  <si>
    <t>4.173719989767852</t>
  </si>
  <si>
    <t>-1.5890545904632076</t>
  </si>
  <si>
    <t>-0.22524344268019333</t>
  </si>
  <si>
    <t>-0.9217116255971392</t>
  </si>
  <si>
    <t>-1.827852660803532</t>
  </si>
  <si>
    <t>1.28776475350512</t>
  </si>
  <si>
    <t>-0.6282053020828884</t>
  </si>
  <si>
    <t>0.7696837837762674</t>
  </si>
  <si>
    <t>-0.13838690596157305</t>
  </si>
  <si>
    <t>-1.6670016235222869</t>
  </si>
  <si>
    <t>0.6822242600594453</t>
  </si>
  <si>
    <t>1.3892251263895432</t>
  </si>
  <si>
    <t>1.0208521264506534</t>
  </si>
  <si>
    <t>3.9287271937631996</t>
  </si>
  <si>
    <t>0.7088098275088696</t>
  </si>
  <si>
    <t>-0.18231337727813288</t>
  </si>
  <si>
    <t>-0.1773370253475306</t>
  </si>
  <si>
    <t>-1.7756747393178978</t>
  </si>
  <si>
    <t>-0.7020158591508507</t>
  </si>
  <si>
    <t>0.45545807378366104</t>
  </si>
  <si>
    <t>-0.8058307262468829</t>
  </si>
  <si>
    <t>0.15354571981816487</t>
  </si>
  <si>
    <t>0.7657332919558062</t>
  </si>
  <si>
    <t>0.19898720510169826</t>
  </si>
  <si>
    <t>-1.531783332040968</t>
  </si>
  <si>
    <t>-1.4865289752256843</t>
  </si>
  <si>
    <t>-0.011003244910088028</t>
  </si>
  <si>
    <t>-0.38388725906120874</t>
  </si>
  <si>
    <t>0.7215608767673035</t>
  </si>
  <si>
    <t>1.1248172973271178</t>
  </si>
  <si>
    <t>-0.881049798982361</t>
  </si>
  <si>
    <t>-0.4218955095554047</t>
  </si>
  <si>
    <t>-0.29684794966403744</t>
  </si>
  <si>
    <t>0.5142842792679679</t>
  </si>
  <si>
    <t>-0.23737476695153317</t>
  </si>
  <si>
    <t>-0.9042660785770582</t>
  </si>
  <si>
    <t>-1.5996465680922491</t>
  </si>
  <si>
    <t>-2.134061615708515</t>
  </si>
  <si>
    <t>-1.025616298017801</t>
  </si>
  <si>
    <t>-1.0671128679475828</t>
  </si>
  <si>
    <t>2.5562268010092577</t>
  </si>
  <si>
    <t>0.3675889519520574</t>
  </si>
  <si>
    <t>-1.0417939401007863</t>
  </si>
  <si>
    <t>4.035753192970591</t>
  </si>
  <si>
    <t>-0.8268431172611417</t>
  </si>
  <si>
    <t>0.32049829561904003</t>
  </si>
  <si>
    <t>-1.5182342195058984</t>
  </si>
  <si>
    <t>0.6014647078154292</t>
  </si>
  <si>
    <t>0.47134025058971846</t>
  </si>
  <si>
    <t>-0.6134798521872844</t>
  </si>
  <si>
    <t>0.27642267235021334</t>
  </si>
  <si>
    <t>-2.126782466860924</t>
  </si>
  <si>
    <t>-0.5609083128005667</t>
  </si>
  <si>
    <t>0.7981149573023036</t>
  </si>
  <si>
    <t>1.776853293062126</t>
  </si>
  <si>
    <t>0.9430142879598951</t>
  </si>
  <si>
    <t>1.1881822759733336</t>
  </si>
  <si>
    <t>0.02611461909490979</t>
  </si>
  <si>
    <t>1.8236177998331962</t>
  </si>
  <si>
    <t>2.9949959455034345</t>
  </si>
  <si>
    <t>-0.2741209715706942</t>
  </si>
  <si>
    <t>0.29149919104976646</t>
  </si>
  <si>
    <t>-0.8996957089468737</t>
  </si>
  <si>
    <t>0.7088053109092478</t>
  </si>
  <si>
    <t>0.11508063526663193</t>
  </si>
  <si>
    <t>1.393545556010599</t>
  </si>
  <si>
    <t>-2.922500018845767</t>
  </si>
  <si>
    <t>3.6947252839561626</t>
  </si>
  <si>
    <t>-1.357165854896955</t>
  </si>
  <si>
    <t>-0.9017364240742878</t>
  </si>
  <si>
    <t>0.2656882315205244</t>
  </si>
  <si>
    <t>-0.9995521253536018</t>
  </si>
  <si>
    <t>0.23228377927103347</t>
  </si>
  <si>
    <t>0.1482069802708078</t>
  </si>
  <si>
    <t>-0.16574366623312212</t>
  </si>
  <si>
    <t>-0.5933546559254608</t>
  </si>
  <si>
    <t>0.19813999799565954</t>
  </si>
  <si>
    <t>0.4379244848560865</t>
  </si>
  <si>
    <t>-0.532336050868682</t>
  </si>
  <si>
    <t>-0.27325246620676247</t>
  </si>
  <si>
    <t>0.0642780824025052</t>
  </si>
  <si>
    <t>1.5257364054787204</t>
  </si>
  <si>
    <t>-0.039976695054395814</t>
  </si>
  <si>
    <t>0.056615009106063104</t>
  </si>
  <si>
    <t>0.13466177666514137</t>
  </si>
  <si>
    <t>-1.0715620279745868</t>
  </si>
  <si>
    <t>0.532911733314488</t>
  </si>
  <si>
    <t>0.4011959578701404</t>
  </si>
  <si>
    <t>-1.2750984229428575</t>
  </si>
  <si>
    <t>-0.11354696121484581</t>
  </si>
  <si>
    <t>0.5480058255667276</t>
  </si>
  <si>
    <t>-0.6194247707074055</t>
  </si>
  <si>
    <t>3.4919738054591005</t>
  </si>
  <si>
    <t>-0.07238327418136206</t>
  </si>
  <si>
    <t>1.0069435332475376</t>
  </si>
  <si>
    <t>-0.3839504111326918</t>
  </si>
  <si>
    <t>-1.8288465348304865</t>
  </si>
  <si>
    <t>0.3343783742039424</t>
  </si>
  <si>
    <t>-0.010563733327384913</t>
  </si>
  <si>
    <t>0.6684943674972127</t>
  </si>
  <si>
    <t>0.28775725859360796</t>
  </si>
  <si>
    <t>-0.6703138467826197</t>
  </si>
  <si>
    <t>2.015143727229109</t>
  </si>
  <si>
    <t>-0.15963712940456426</t>
  </si>
  <si>
    <t>-0.42391100957900096</t>
  </si>
  <si>
    <t>0.6040877010345254</t>
  </si>
  <si>
    <t>0.9516294764297112</t>
  </si>
  <si>
    <t>0.8437912989053091</t>
  </si>
  <si>
    <t>-0.21331746338764757</t>
  </si>
  <si>
    <t>1.266269324413512</t>
  </si>
  <si>
    <t>0.025727737600606187</t>
  </si>
  <si>
    <t>0.1742392099717055</t>
  </si>
  <si>
    <t>-1.1442184052903626</t>
  </si>
  <si>
    <t>0.05700125517932022</t>
  </si>
  <si>
    <t>-0.7842617585996955</t>
  </si>
  <si>
    <t>-0.47976021752379155</t>
  </si>
  <si>
    <t>0.12394748802665395</t>
  </si>
  <si>
    <t>1.3521726466401383</t>
  </si>
  <si>
    <t>-0.421115526513609</t>
  </si>
  <si>
    <t>-0.28215872327730074</t>
  </si>
  <si>
    <t>0.7343824410311559</t>
  </si>
  <si>
    <t>-1.5356347122049527</t>
  </si>
  <si>
    <t>-0.21787108536552716</t>
  </si>
  <si>
    <t>-0.6101510903339138</t>
  </si>
  <si>
    <t>-0.4416666297913329</t>
  </si>
  <si>
    <t>-0.6976155149086845</t>
  </si>
  <si>
    <t>-0.46532594161542923</t>
  </si>
  <si>
    <t>-0.11611002348951054</t>
  </si>
  <si>
    <t>0.007287650628195333</t>
  </si>
  <si>
    <t>2.4146407132104986</t>
  </si>
  <si>
    <t>-0.5445455965698182</t>
  </si>
  <si>
    <t>-0.16454986428026883</t>
  </si>
  <si>
    <t>0.6835192612614176</t>
  </si>
  <si>
    <t>-0.0648970858825885</t>
  </si>
  <si>
    <t>1.1164957723034485</t>
  </si>
  <si>
    <t>0.8266853845487032</t>
  </si>
  <si>
    <t>1.100892701568353</t>
  </si>
  <si>
    <t>1.6271318995511852</t>
  </si>
  <si>
    <t>-0.5345911837838216</t>
  </si>
  <si>
    <t>1.6479529235999635</t>
  </si>
  <si>
    <t>0.6669495222223556</t>
  </si>
  <si>
    <t>0.7817077298279258</t>
  </si>
  <si>
    <t>0.7383609835600194</t>
  </si>
  <si>
    <t>-0.662271552692014</t>
  </si>
  <si>
    <t>-0.8679635962550044</t>
  </si>
  <si>
    <t>-1.0357338638037978</t>
  </si>
  <si>
    <t>-0.31651978266776815</t>
  </si>
  <si>
    <t>-0.4873690455318135</t>
  </si>
  <si>
    <t>-0.11727135847133281</t>
  </si>
  <si>
    <t>-0.7431229614374601</t>
  </si>
  <si>
    <t>-0.623144364977596</t>
  </si>
  <si>
    <t>0.1825276928118759</t>
  </si>
  <si>
    <t>0.30437129704378074</t>
  </si>
  <si>
    <t>-1.1963265303778485</t>
  </si>
  <si>
    <t>0.7340279007620024</t>
  </si>
  <si>
    <t>-0.4261269638832452</t>
  </si>
  <si>
    <t>-0.2914726176468524</t>
  </si>
  <si>
    <t>0.2700679079135032</t>
  </si>
  <si>
    <t>-0.15447659504900632</t>
  </si>
  <si>
    <t>2.2079797446359564</t>
  </si>
  <si>
    <t>1.444521511389155</t>
  </si>
  <si>
    <t>-0.12397820374989539</t>
  </si>
  <si>
    <t>-0.12478826859275141</t>
  </si>
  <si>
    <t>0.05408621279298078</t>
  </si>
  <si>
    <t>-0.5938040213444477</t>
  </si>
  <si>
    <t>0.6245470209875632</t>
  </si>
  <si>
    <t>-0.3574461641702054</t>
  </si>
  <si>
    <t>-0.2345680920386706</t>
  </si>
  <si>
    <t>-1.2736822931571088</t>
  </si>
  <si>
    <t>0.1925116682783813</t>
  </si>
  <si>
    <t>-0.6000118400026179</t>
  </si>
  <si>
    <t>-0.2826196073684669</t>
  </si>
  <si>
    <t>-1.155405922577405</t>
  </si>
  <si>
    <t>-0.7105964953173634</t>
  </si>
  <si>
    <t>0.6062190616949826</t>
  </si>
  <si>
    <t>-0.42239654364334883</t>
  </si>
  <si>
    <t>-0.7085488349871518</t>
  </si>
  <si>
    <t>0.1768708162964816</t>
  </si>
  <si>
    <t>0.293505438433147</t>
  </si>
  <si>
    <t>-0.631773229158521</t>
  </si>
  <si>
    <t>0.013909554343607113</t>
  </si>
  <si>
    <t>-0.7330923421651382</t>
  </si>
  <si>
    <t>-0.09562946618174019</t>
  </si>
  <si>
    <t>-0.4332979148964808</t>
  </si>
  <si>
    <t>0.3610293643339812</t>
  </si>
  <si>
    <t>-0.24682898632075098</t>
  </si>
  <si>
    <t>-0.32584258457559784</t>
  </si>
  <si>
    <t>-0.18918110151152662</t>
  </si>
  <si>
    <t>0.44970758027189106</t>
  </si>
  <si>
    <t>-0.3058850497182212</t>
  </si>
  <si>
    <t>-0.5702866747773251</t>
  </si>
  <si>
    <t>0.5864662347821792</t>
  </si>
  <si>
    <t>0.0329224805881113</t>
  </si>
  <si>
    <t>0.08562768263687742</t>
  </si>
  <si>
    <t>0.9271288035740167</t>
  </si>
  <si>
    <t>0.3626766983733305</t>
  </si>
  <si>
    <t>0.9198811348316919</t>
  </si>
  <si>
    <t>-0.6961693410240307</t>
  </si>
  <si>
    <t>1.0580957039724275</t>
  </si>
  <si>
    <t>-0.9709742006307245</t>
  </si>
  <si>
    <t>0.764104209043663</t>
  </si>
  <si>
    <t>0.6704644485610631</t>
  </si>
  <si>
    <t>-0.17771044450776805</t>
  </si>
  <si>
    <t>-1.1741309201580818</t>
  </si>
  <si>
    <t>-0.7882943789507498</t>
  </si>
  <si>
    <t>0.13162678132732003</t>
  </si>
  <si>
    <t>-0.33139070257960407</t>
  </si>
  <si>
    <t>0.08168677466218417</t>
  </si>
  <si>
    <t>0.1887402778994029</t>
  </si>
  <si>
    <t>0.2076027986235279</t>
  </si>
  <si>
    <t>0.336682240892367</t>
  </si>
  <si>
    <t>0.675756637404791</t>
  </si>
  <si>
    <t>-0.2660802496515654</t>
  </si>
  <si>
    <t>-0.43935304728269303</t>
  </si>
  <si>
    <t>0.08652265892347805</t>
  </si>
  <si>
    <t>1.3213766821459743</t>
  </si>
  <si>
    <t>-0.2411671937087403</t>
  </si>
  <si>
    <t>-0.015988465108040657</t>
  </si>
  <si>
    <t>-0.7707915542565017</t>
  </si>
  <si>
    <t>-0.3589133280728543</t>
  </si>
  <si>
    <t>-0.19922391957106697</t>
  </si>
  <si>
    <t>0.7235159359982606</t>
  </si>
  <si>
    <t>-0.5436331851043797</t>
  </si>
  <si>
    <t>0.4497528721852478</t>
  </si>
  <si>
    <t>-0.7129530670314388</t>
  </si>
  <si>
    <t>1.2196177198545677</t>
  </si>
  <si>
    <t>-0.36876810404422244</t>
  </si>
  <si>
    <t>0.8925959960409237</t>
  </si>
  <si>
    <t>-0.7985693808505578</t>
  </si>
  <si>
    <t>-0.29131812067789375</t>
  </si>
  <si>
    <t>-0.19178264225928046</t>
  </si>
  <si>
    <t>0.4675186417011164</t>
  </si>
  <si>
    <t>-0.15943908671755694</t>
  </si>
  <si>
    <t>0.0587131260260859</t>
  </si>
  <si>
    <t>0.20375586474882346</t>
  </si>
  <si>
    <t>-0.26935025291785053</t>
  </si>
  <si>
    <t>-0.4934773103672024</t>
  </si>
  <si>
    <t>-0.13956727589003545</t>
  </si>
  <si>
    <t>-0.3741949306852646</t>
  </si>
  <si>
    <t>-0.6399519677249293</t>
  </si>
  <si>
    <t>-0.23566298091017646</t>
  </si>
  <si>
    <t>-0.4184219282805426</t>
  </si>
  <si>
    <t>0.21831759610576626</t>
  </si>
  <si>
    <t>-1.438584993550017</t>
  </si>
  <si>
    <t>-0.405315298471114</t>
  </si>
  <si>
    <t>0.9664320057415735</t>
  </si>
  <si>
    <t>-0.37870896769917517</t>
  </si>
  <si>
    <t>-0.31459653487488604</t>
  </si>
  <si>
    <t>1.0489986434205079</t>
  </si>
  <si>
    <t>-1.5364663278935182</t>
  </si>
  <si>
    <t>1.7018091826435657</t>
  </si>
  <si>
    <t>0.34399998185424746</t>
  </si>
  <si>
    <t>2.254405465311829</t>
  </si>
  <si>
    <t>0.620354457645121</t>
  </si>
  <si>
    <t>-0.03254916416032674</t>
  </si>
  <si>
    <t>-0.8953867711573126</t>
  </si>
  <si>
    <t>-0.6117515217842698</t>
  </si>
  <si>
    <t>-0.4736207095045239</t>
  </si>
  <si>
    <t>0.11290389047822573</t>
  </si>
  <si>
    <t>0.17602092053913088</t>
  </si>
  <si>
    <t>1.0761939034017682</t>
  </si>
  <si>
    <t>-0.3478546305229435</t>
  </si>
  <si>
    <t>0.2959976857553204</t>
  </si>
  <si>
    <t>-0.6593884141359692</t>
  </si>
  <si>
    <t>-0.43183350280103777</t>
  </si>
  <si>
    <t>0.3557986525771999</t>
  </si>
  <si>
    <t>-0.3313827163946114</t>
  </si>
  <si>
    <t>0.20840057929097583</t>
  </si>
  <si>
    <t>0.26917890453799753</t>
  </si>
  <si>
    <t>-0.5661407828921355</t>
  </si>
  <si>
    <t>0.5630477971505349</t>
  </si>
  <si>
    <t>0.2816686300465304</t>
  </si>
  <si>
    <t>1.287146894331064</t>
  </si>
  <si>
    <t>1.2669396507821449</t>
  </si>
  <si>
    <t>-0.05995767475966357</t>
  </si>
  <si>
    <t>-0.04244688347857185</t>
  </si>
  <si>
    <t>-1.0092832261292835</t>
  </si>
  <si>
    <t>2.27797583719657</t>
  </si>
  <si>
    <t>-1.5296352830656244</t>
  </si>
  <si>
    <t>0.8589193627622844</t>
  </si>
  <si>
    <t>-1.8698314763532764</t>
  </si>
  <si>
    <t>0.13900996178839697</t>
  </si>
  <si>
    <t>-0.29439138495463235</t>
  </si>
  <si>
    <t>-0.5475049111836828</t>
  </si>
  <si>
    <t>-0.6433589322829317</t>
  </si>
  <si>
    <t>-0.09391848740220317</t>
  </si>
  <si>
    <t>0.4262872333451795</t>
  </si>
  <si>
    <t>-0.3236489937292821</t>
  </si>
  <si>
    <t>0.15713577845194227</t>
  </si>
  <si>
    <t>0.24026319547497255</t>
  </si>
  <si>
    <t>-0.5860975822599458</t>
  </si>
  <si>
    <t>0.6142064904804896</t>
  </si>
  <si>
    <t>0.5333793524236301</t>
  </si>
  <si>
    <t>-0.029099805704555143</t>
  </si>
  <si>
    <t>-0.9344656478625373</t>
  </si>
  <si>
    <t>-0.3993048977199735</t>
  </si>
  <si>
    <t>0.9997117463056768</t>
  </si>
  <si>
    <t>-0.10648728872643087</t>
  </si>
  <si>
    <t>0.440684000393082</t>
  </si>
  <si>
    <t>-0.25837105041998876</t>
  </si>
  <si>
    <t>-0.3980990325794831</t>
  </si>
  <si>
    <t>0.2466307611576666</t>
  </si>
  <si>
    <t>0.3337443138219509</t>
  </si>
  <si>
    <t>0.3346117691697199</t>
  </si>
  <si>
    <t>-0.377702789440824</t>
  </si>
  <si>
    <t>-0.6838099425763037</t>
  </si>
  <si>
    <t>-0.26302235445031485</t>
  </si>
  <si>
    <t>-0.1576956948510753</t>
  </si>
  <si>
    <t>0.04147704981426786</t>
  </si>
  <si>
    <t>-0.22929140104604787</t>
  </si>
  <si>
    <t>0.6243213558817076</t>
  </si>
  <si>
    <t>-0.07855144877847256</t>
  </si>
  <si>
    <t>0.184720425531909</t>
  </si>
  <si>
    <t>0.27422948280091897</t>
  </si>
  <si>
    <t>-0.2243785972783035</t>
  </si>
  <si>
    <t>-0.03747555890501855</t>
  </si>
  <si>
    <t>0.3883901464786847</t>
  </si>
  <si>
    <t>-0.2110877713958317</t>
  </si>
  <si>
    <t>-0.4808914783652706</t>
  </si>
  <si>
    <t>0.3914309533886809</t>
  </si>
  <si>
    <t>0.025472867148142477</t>
  </si>
  <si>
    <t>1.3080256425141055</t>
  </si>
  <si>
    <t>-0.667761607758226</t>
  </si>
  <si>
    <t>-0.3955694414608288</t>
  </si>
  <si>
    <t>0.03060546685836905</t>
  </si>
  <si>
    <t>0.14898104945140614</t>
  </si>
  <si>
    <t>0.9535129490360644</t>
  </si>
  <si>
    <t>-0.24476879553141273</t>
  </si>
  <si>
    <t>0.3503341572666116</t>
  </si>
  <si>
    <t>0.34687216357201356</t>
  </si>
  <si>
    <t>-0.39833876864682266</t>
  </si>
  <si>
    <t>0.16854865364132904</t>
  </si>
  <si>
    <t>-0.19345703678987428</t>
  </si>
  <si>
    <t>-0.24749712411828864</t>
  </si>
  <si>
    <t>0.8646164855058511</t>
  </si>
  <si>
    <t>0.27807375475614754</t>
  </si>
  <si>
    <t>-0.02533408984598339</t>
  </si>
  <si>
    <t>-0.23442886725728435</t>
  </si>
  <si>
    <t>0.28891180695085794</t>
  </si>
  <si>
    <t>-0.09217871221617333</t>
  </si>
  <si>
    <t>-0.32915631201946965</t>
  </si>
  <si>
    <t>0.015224544730601945</t>
  </si>
  <si>
    <t>0.2169995174865587</t>
  </si>
  <si>
    <t>-0.04202795012441102</t>
  </si>
  <si>
    <t>0.0031080371691213932</t>
  </si>
  <si>
    <t>0.5401742198976629</t>
  </si>
  <si>
    <t>-0.03546592670900797</t>
  </si>
  <si>
    <t>-0.21059729070788927</t>
  </si>
  <si>
    <t>-0.09131323191459932</t>
  </si>
  <si>
    <t>-0.24318124188459056</t>
  </si>
  <si>
    <t>0.019065340091879924</t>
  </si>
  <si>
    <t>0.12167964206952446</t>
  </si>
  <si>
    <t>0.27370509843267</t>
  </si>
  <si>
    <t>-0.12708719812810176</t>
  </si>
  <si>
    <t>-0.08612600121061463</t>
  </si>
  <si>
    <t>-0.20977237512648955</t>
  </si>
  <si>
    <t>0.29952371797685007</t>
  </si>
  <si>
    <t>-0.3740955026581249</t>
  </si>
  <si>
    <t>-0.5397711790668134</t>
  </si>
  <si>
    <t>-0.18554284924682476</t>
  </si>
  <si>
    <t>1.3831518401832892</t>
  </si>
  <si>
    <t>-0.214783184002485</t>
  </si>
  <si>
    <t>-0.5071516163783906</t>
  </si>
  <si>
    <t>-0.07275384278487375</t>
  </si>
  <si>
    <t>-0.20585862388593726</t>
  </si>
  <si>
    <t>0.35322655672101</t>
  </si>
  <si>
    <t>-0.03429763610204286</t>
  </si>
  <si>
    <t>-0.2936700100975964</t>
  </si>
  <si>
    <t>0.2782891032895464</t>
  </si>
  <si>
    <t>-0.28840908280420874</t>
  </si>
  <si>
    <t>-0.050894329373456414</t>
  </si>
  <si>
    <t>0.22625991078559457</t>
  </si>
  <si>
    <t>-0.21130280205250052</t>
  </si>
  <si>
    <t>-0.2371625861145217</t>
  </si>
  <si>
    <t>-0.09810417641216798</t>
  </si>
  <si>
    <t>-0.03260787265052</t>
  </si>
  <si>
    <t>0.05281124322590036</t>
  </si>
  <si>
    <t>-0.41582781012638736</t>
  </si>
  <si>
    <t>0.45963625289794197</t>
  </si>
  <si>
    <t>-0.05863513508768551</t>
  </si>
  <si>
    <t>0.8803240923896468</t>
  </si>
  <si>
    <t>-0.040000749421693294</t>
  </si>
  <si>
    <t>-0.11779838654042094</t>
  </si>
  <si>
    <t>0.22313005062986654</t>
  </si>
  <si>
    <t>-0.07010857449889847</t>
  </si>
  <si>
    <t>0.034335238488779986</t>
  </si>
  <si>
    <t>-0.147296978315018</t>
  </si>
  <si>
    <t>-0.2504374203278558</t>
  </si>
  <si>
    <t>-0.3952910105261719</t>
  </si>
  <si>
    <t>0.38115031485016676</t>
  </si>
  <si>
    <t>0.2976700599710843</t>
  </si>
  <si>
    <t>0.17067970629139267</t>
  </si>
  <si>
    <t>0.17347136933619575</t>
  </si>
  <si>
    <t>-0.42597799646695694</t>
  </si>
  <si>
    <t>0.44262635622735874</t>
  </si>
  <si>
    <t>0.3113150806394572</t>
  </si>
  <si>
    <t>0.8032350372892675</t>
  </si>
  <si>
    <t>0.6770210295162689</t>
  </si>
  <si>
    <t>-0.21077247488569054</t>
  </si>
  <si>
    <t>0.1860798186346253</t>
  </si>
  <si>
    <t>0.2607499156660719</t>
  </si>
  <si>
    <t>-0.0694065305644488</t>
  </si>
  <si>
    <t>-0.6610530571334992</t>
  </si>
  <si>
    <t>-0.20156454492827786</t>
  </si>
  <si>
    <t>-0.1687231805676873</t>
  </si>
  <si>
    <t>0.08358360931991711</t>
  </si>
  <si>
    <t>0.15684128554082796</t>
  </si>
  <si>
    <t>-0.08693628111848543</t>
  </si>
  <si>
    <t>0.1780732191281201</t>
  </si>
  <si>
    <t>0.12339089595800752</t>
  </si>
  <si>
    <t>-0.13293284310495415</t>
  </si>
  <si>
    <t>-0.06253908436168508</t>
  </si>
  <si>
    <t>0.1798053633892617</t>
  </si>
  <si>
    <t>0.04248194835633948</t>
  </si>
  <si>
    <t>0.5456711961843667</t>
  </si>
  <si>
    <t>-0.08743490674553465</t>
  </si>
  <si>
    <t>0.06896203056625212</t>
  </si>
  <si>
    <t>0.06570837500729966</t>
  </si>
  <si>
    <t>0.44482153687151754</t>
  </si>
  <si>
    <t>0.18376931237257663</t>
  </si>
  <si>
    <t>-0.21633082481182228</t>
  </si>
  <si>
    <t>0.09610831048863351</t>
  </si>
  <si>
    <t>0.06441886687070755</t>
  </si>
  <si>
    <t>0.27513411446352726</t>
  </si>
  <si>
    <t>-0.08673539727325727</t>
  </si>
  <si>
    <t>0.22567725667424554</t>
  </si>
  <si>
    <t>-0.49223787851980744</t>
  </si>
  <si>
    <t>0.2091255345789627</t>
  </si>
  <si>
    <t>0.0173290158388647</t>
  </si>
  <si>
    <t>0.33240872040094904</t>
  </si>
  <si>
    <t>0.3167646109871254</t>
  </si>
  <si>
    <t>-0.17530526192501938</t>
  </si>
  <si>
    <t>0.29031821308014566</t>
  </si>
  <si>
    <t>-0.542830412466404</t>
  </si>
  <si>
    <t>-0.37424115712827033</t>
  </si>
  <si>
    <t>-1.0061737777025306</t>
  </si>
  <si>
    <t>-0.09622474772935274</t>
  </si>
  <si>
    <t>0.19738943336318512</t>
  </si>
  <si>
    <t>-0.2311577850131239</t>
  </si>
  <si>
    <t>-0.5822660395382434</t>
  </si>
  <si>
    <t>-0.10319021824856489</t>
  </si>
  <si>
    <t>-0.4955483305766123</t>
  </si>
  <si>
    <t>0.48685200817616464</t>
  </si>
  <si>
    <t>-0.2974007767882822</t>
  </si>
  <si>
    <t>-0.0075250337329446524</t>
  </si>
  <si>
    <t>-0.20982742573012056</t>
  </si>
  <si>
    <t>0.5777943548604284</t>
  </si>
  <si>
    <t>0.05713739853609081</t>
  </si>
  <si>
    <t>0.08001631945986867</t>
  </si>
  <si>
    <t>0.3880259234798845</t>
  </si>
  <si>
    <t>-0.4412657003178361</t>
  </si>
  <si>
    <t>0.11348467168192933</t>
  </si>
  <si>
    <t>-0.06188006843602079</t>
  </si>
  <si>
    <t>-0.29429178186932425</t>
  </si>
  <si>
    <t>0.007583274280675004</t>
  </si>
  <si>
    <t>0.5316853248390341</t>
  </si>
  <si>
    <t>-0.10319454364846388</t>
  </si>
  <si>
    <t>0.2457886573924888</t>
  </si>
  <si>
    <t>-0.15783947342188123</t>
  </si>
  <si>
    <t>-0.36994634914547875</t>
  </si>
  <si>
    <t>0.6379204088133897</t>
  </si>
  <si>
    <t>0.6872749998248266</t>
  </si>
  <si>
    <t>-0.17291187292262966</t>
  </si>
  <si>
    <t>0.20276850075122016</t>
  </si>
  <si>
    <t>-0.2072625951233157</t>
  </si>
  <si>
    <t>-0.2995849806720597</t>
  </si>
  <si>
    <t>0.27242317250284787</t>
  </si>
  <si>
    <t>0.3838793094800551</t>
  </si>
  <si>
    <t>-0.23102134779438227</t>
  </si>
  <si>
    <t>-0.04689290679856347</t>
  </si>
  <si>
    <t>0.06899507746155235</t>
  </si>
  <si>
    <t>-0.2776443476955395</t>
  </si>
  <si>
    <t>-0.07675243719082785</t>
  </si>
  <si>
    <t>-0.2593399457751806</t>
  </si>
  <si>
    <t>-0.21114482505843774</t>
  </si>
  <si>
    <t>-0.10208914552612508</t>
  </si>
  <si>
    <t>-0.500550184157637</t>
  </si>
  <si>
    <t>-0.3210572648813336</t>
  </si>
  <si>
    <t>-0.10795181419134321</t>
  </si>
  <si>
    <t>-0.42497332444652974</t>
  </si>
  <si>
    <t>0.18815941252976284</t>
  </si>
  <si>
    <t>-0.26988425192102117</t>
  </si>
  <si>
    <t>0.43999601991973014</t>
  </si>
  <si>
    <t>0.7541823371352762</t>
  </si>
  <si>
    <t>0.31359120918806616</t>
  </si>
  <si>
    <t>0.13393441060656724</t>
  </si>
  <si>
    <t>0.46756988970706803</t>
  </si>
  <si>
    <t>-0.7089828704295223</t>
  </si>
  <si>
    <t>0.2341556746035578</t>
  </si>
  <si>
    <t>0.5007501189937335</t>
  </si>
  <si>
    <t>-0.4980115268508738</t>
  </si>
  <si>
    <t>-0.706593514551258</t>
  </si>
  <si>
    <t>0.3800412805112817</t>
  </si>
  <si>
    <t>0.07077905243178816</t>
  </si>
  <si>
    <t>0.2388209146960521</t>
  </si>
  <si>
    <t>0.14892758179194127</t>
  </si>
  <si>
    <t>0.23751780772841724</t>
  </si>
  <si>
    <t>-0.13529171658086075</t>
  </si>
  <si>
    <t>-0.03875621669332434</t>
  </si>
  <si>
    <t>-0.4273614737867388</t>
  </si>
  <si>
    <t>-0.9375221041691372</t>
  </si>
  <si>
    <t>-0.6423474067516937</t>
  </si>
  <si>
    <t>0.010141704051040598</t>
  </si>
  <si>
    <t>0.2244810372828483</t>
  </si>
  <si>
    <t>-0.0845144266462237</t>
  </si>
  <si>
    <t>-0.2874791691669386</t>
  </si>
  <si>
    <t>0.07090369005139699</t>
  </si>
  <si>
    <t>0.008528167266480967</t>
  </si>
  <si>
    <t>-0.7267533766618365</t>
  </si>
  <si>
    <t>0.4806735047155625</t>
  </si>
  <si>
    <t>-0.3225823302192479</t>
  </si>
  <si>
    <t>-0.35539715483920153</t>
  </si>
  <si>
    <t>-0.0558611298469245</t>
  </si>
  <si>
    <t>-0.5582833970347129</t>
  </si>
  <si>
    <t>-0.3583230851569166</t>
  </si>
  <si>
    <t>-0.3974070170063985</t>
  </si>
  <si>
    <t>-1.2482117688682624</t>
  </si>
  <si>
    <t>0.01397603683217089</t>
  </si>
  <si>
    <t>-0.6742333069008629</t>
  </si>
  <si>
    <t>-0.47394178389681246</t>
  </si>
  <si>
    <t>1.3751742545322612</t>
  </si>
  <si>
    <t>0.2767695485265663</t>
  </si>
  <si>
    <t>-0.988807685179676</t>
  </si>
  <si>
    <t>-0.5196394721709957</t>
  </si>
  <si>
    <t>0.4740239880630703</t>
  </si>
  <si>
    <t>-0.7087045380405204</t>
  </si>
  <si>
    <t>-0.17800400356926996</t>
  </si>
  <si>
    <t>-0.5558971358815765</t>
  </si>
  <si>
    <t>-0.9131518277121601</t>
  </si>
  <si>
    <t>-1.0385467421492591</t>
  </si>
  <si>
    <t>0.6096938163627423</t>
  </si>
  <si>
    <t>-0.6716687695361956</t>
  </si>
  <si>
    <t>0.1426946147005534</t>
  </si>
  <si>
    <t>-0.2781643837885849</t>
  </si>
  <si>
    <t>0.3788532940779459</t>
  </si>
  <si>
    <t>1.317542904233884</t>
  </si>
  <si>
    <t>-0.8718901579019308</t>
  </si>
  <si>
    <t>0.7581491015011371</t>
  </si>
  <si>
    <t>-0.3878202429248752</t>
  </si>
  <si>
    <t>-0.4023049173400691</t>
  </si>
  <si>
    <t>-0.8836947279066433</t>
  </si>
  <si>
    <t>-0.5165629331091645</t>
  </si>
  <si>
    <t>-1.1148361956999222</t>
  </si>
  <si>
    <t>1.9659412217769137</t>
  </si>
  <si>
    <t>-0.561667655105047</t>
  </si>
  <si>
    <t>-0.5758392775419737</t>
  </si>
  <si>
    <t>-0.945662045828814</t>
  </si>
  <si>
    <t>0.0687144642706085</t>
  </si>
  <si>
    <t>-0.65143929340648</t>
  </si>
  <si>
    <t>0.7273709655592239</t>
  </si>
  <si>
    <t>-0.07174022577786952</t>
  </si>
  <si>
    <t>-0.09618309744155892</t>
  </si>
  <si>
    <t>-0.2749376922941445</t>
  </si>
  <si>
    <t>0.8991285488619706</t>
  </si>
  <si>
    <t>0.06955069677606736</t>
  </si>
  <si>
    <t>0.5589483554165674</t>
  </si>
  <si>
    <t>-0.8017619249029126</t>
  </si>
  <si>
    <t>-0.2749427737000893</t>
  </si>
  <si>
    <t>-0.8083692769877453</t>
  </si>
  <si>
    <t>-0.17408107447863716</t>
  </si>
  <si>
    <t>-0.45228150489017666</t>
  </si>
  <si>
    <t>-0.15861710764297646</t>
  </si>
  <si>
    <t>-0.1785594521172782</t>
  </si>
  <si>
    <t>0.49186715338281034</t>
  </si>
  <si>
    <t>-0.361598456559156</t>
  </si>
  <si>
    <t>0.2169038336035247</t>
  </si>
  <si>
    <t>-0.22443647971637565</t>
  </si>
  <si>
    <t>-0.2091206252040246</t>
  </si>
  <si>
    <t>0.2865222903962504</t>
  </si>
  <si>
    <t>-0.49519375617977934</t>
  </si>
  <si>
    <t>-0.15605024036453033</t>
  </si>
  <si>
    <t>0.9177493017143828</t>
  </si>
  <si>
    <t>0.19385466355649655</t>
  </si>
  <si>
    <t>0.187300086058262</t>
  </si>
  <si>
    <t>-0.18550358683555906</t>
  </si>
  <si>
    <t>-1.0920925101186763</t>
  </si>
  <si>
    <t>0.4385968267776029</t>
  </si>
  <si>
    <t>-0.8706154165810338</t>
  </si>
  <si>
    <t>0.13691559146001994</t>
  </si>
  <si>
    <t>-0.10578402820546474</t>
  </si>
  <si>
    <t>-0.2472859234717854</t>
  </si>
  <si>
    <t>0.3242250140355022</t>
  </si>
  <si>
    <t>-0.607128275945949</t>
  </si>
  <si>
    <t>0.33001934348092726</t>
  </si>
  <si>
    <t>-0.2735096287712842</t>
  </si>
  <si>
    <t>0.1667709441015353</t>
  </si>
  <si>
    <t>0.01935643949054462</t>
  </si>
  <si>
    <t>1.5698277123427087</t>
  </si>
  <si>
    <t>-0.125867255213487</t>
  </si>
  <si>
    <t>0.8385518455616479</t>
  </si>
  <si>
    <t>0.07930493295919133</t>
  </si>
  <si>
    <t>-0.002618386664900973</t>
  </si>
  <si>
    <t>0.7575997289944097</t>
  </si>
  <si>
    <t>0.6308094782019195</t>
  </si>
  <si>
    <t>-0.025276645387152238</t>
  </si>
  <si>
    <t>-0.6856635269356832</t>
  </si>
  <si>
    <t>0.4781955207206095</t>
  </si>
  <si>
    <t>1.0480223618514164</t>
  </si>
  <si>
    <t>-0.5530733282362029</t>
  </si>
  <si>
    <t>0.2773948614527236</t>
  </si>
  <si>
    <t>0.9356608197220376</t>
  </si>
  <si>
    <t>0.22953132118065048</t>
  </si>
  <si>
    <t>0.2654883008674521</t>
  </si>
  <si>
    <t>-0.48694783385253326</t>
  </si>
  <si>
    <t>0.1705769000187178</t>
  </si>
  <si>
    <t>-0.8259790999240958</t>
  </si>
  <si>
    <t>-0.3833444029973895</t>
  </si>
  <si>
    <t>0.4428201711861315</t>
  </si>
  <si>
    <t>1.2569861887359024</t>
  </si>
  <si>
    <t>-0.5137034713172173</t>
  </si>
  <si>
    <t>0.13101742230047922</t>
  </si>
  <si>
    <t>-0.16175162314900385</t>
  </si>
  <si>
    <t>-0.08299982632451307</t>
  </si>
  <si>
    <t>-0.48907938406088225</t>
  </si>
  <si>
    <t>0.2613811877718975</t>
  </si>
  <si>
    <t>-0.3031957766996261</t>
  </si>
  <si>
    <t>-0.4926361996824138</t>
  </si>
  <si>
    <t>-0.3824804461589767</t>
  </si>
  <si>
    <t>-0.244081036767115</t>
  </si>
  <si>
    <t>-0.06603479510300102</t>
  </si>
  <si>
    <t>-0.04906361431995642</t>
  </si>
  <si>
    <t>-0.5341194648045261</t>
  </si>
  <si>
    <t>-0.4306637495647052</t>
  </si>
  <si>
    <t>1.1047702432182682</t>
  </si>
  <si>
    <t>0.13797464159532022</t>
  </si>
  <si>
    <t>0.3830499852204625</t>
  </si>
  <si>
    <t>0.08792381394787371</t>
  </si>
  <si>
    <t>0.8488918615186879</t>
  </si>
  <si>
    <t>1.2903645009419997</t>
  </si>
  <si>
    <t>0.5552138131949306</t>
  </si>
  <si>
    <t>0.5540250842107508</t>
  </si>
  <si>
    <t>-0.015868863308641103</t>
  </si>
  <si>
    <t>-0.7326621458682226</t>
  </si>
  <si>
    <t>0.3829517511393729</t>
  </si>
  <si>
    <t>-0.3105987028402232</t>
  </si>
  <si>
    <t>0.13683424020346896</t>
  </si>
  <si>
    <t>-0.0011754902285624755</t>
  </si>
  <si>
    <t>0.3805010607884248</t>
  </si>
  <si>
    <t>0.5469317517350779</t>
  </si>
  <si>
    <t>-0.5321715804594914</t>
  </si>
  <si>
    <t>0.2763142454658618</t>
  </si>
  <si>
    <t>0.5801380799020144</t>
  </si>
  <si>
    <t>-0.7815638587786614</t>
  </si>
  <si>
    <t>-0.2376629069612906</t>
  </si>
  <si>
    <t>-0.04910998850956785</t>
  </si>
  <si>
    <t>-0.03747770593729032</t>
  </si>
  <si>
    <t>-0.8483723283354341</t>
  </si>
  <si>
    <t>0.41306433780289525</t>
  </si>
  <si>
    <t>-1.0668155986237209</t>
  </si>
  <si>
    <t>0.5591942120788959</t>
  </si>
  <si>
    <t>0.32816507947926293</t>
  </si>
  <si>
    <t>-0.5794407096641433</t>
  </si>
  <si>
    <t>-0.4384826830175554</t>
  </si>
  <si>
    <t>-0.6712429742627439</t>
  </si>
  <si>
    <t>-0.040708784236390884</t>
  </si>
  <si>
    <t>-0.06296355793587584</t>
  </si>
  <si>
    <t>-0.09464050307594452</t>
  </si>
  <si>
    <t>-0.27853614889293893</t>
  </si>
  <si>
    <t>-0.7801678962555003</t>
  </si>
  <si>
    <t>0.7873727378134289</t>
  </si>
  <si>
    <t>-0.811997077168384</t>
  </si>
  <si>
    <t>-0.3315774056673215</t>
  </si>
  <si>
    <t>1.0672891754951694</t>
  </si>
  <si>
    <t>-0.05694104215680766</t>
  </si>
  <si>
    <t>0.49668237299962265</t>
  </si>
  <si>
    <t>-0.9889020463831016</t>
  </si>
  <si>
    <t>0.3843441593512372</t>
  </si>
  <si>
    <t>0.7415954382931703</t>
  </si>
  <si>
    <t>0.3088730449769258</t>
  </si>
  <si>
    <t>0.6549238190492073</t>
  </si>
  <si>
    <t>0.04559571404191962</t>
  </si>
  <si>
    <t>0.7393488880011516</t>
  </si>
  <si>
    <t>0.13331673693368284</t>
  </si>
  <si>
    <t>0.33574489094114834</t>
  </si>
  <si>
    <t>-0.22152678507482115</t>
  </si>
  <si>
    <t>0.3550281659888982</t>
  </si>
  <si>
    <t>0.6350898573065</t>
  </si>
  <si>
    <t>-0.5048769815603129</t>
  </si>
  <si>
    <t>0.5072604544008161</t>
  </si>
  <si>
    <t>0.12154429987001752</t>
  </si>
  <si>
    <t>0.39994127338030766</t>
  </si>
  <si>
    <t>1.0303166550559149</t>
  </si>
  <si>
    <t>-0.7338411492954181</t>
  </si>
  <si>
    <t>0.051406411785888804</t>
  </si>
  <si>
    <t>-0.724993795279604</t>
  </si>
  <si>
    <t>0.11376389072518532</t>
  </si>
  <si>
    <t>-0.09892827450077259</t>
  </si>
  <si>
    <t>0.3596124785877078</t>
  </si>
  <si>
    <t>0.7858886853749839</t>
  </si>
  <si>
    <t>0.34701547289049156</t>
  </si>
  <si>
    <t>0.7750897514798623</t>
  </si>
  <si>
    <t>0.2434677576685779</t>
  </si>
  <si>
    <t>-0.9905167339562103</t>
  </si>
  <si>
    <t>-0.1269062653444554</t>
  </si>
  <si>
    <t>-0.30922865220295365</t>
  </si>
  <si>
    <t>0.11961746424275088</t>
  </si>
  <si>
    <t>0.24836784884482546</t>
  </si>
  <si>
    <t>0.979483012772187</t>
  </si>
  <si>
    <t>-0.35141168440533155</t>
  </si>
  <si>
    <t>0.3507377256397111</t>
  </si>
  <si>
    <t>-0.2622337026091389</t>
  </si>
  <si>
    <t>-0.2556780699953224</t>
  </si>
  <si>
    <t>-0.22474562078288146</t>
  </si>
  <si>
    <t>-0.3516846924034363</t>
  </si>
  <si>
    <t>0.5812277044507392</t>
  </si>
  <si>
    <t>-0.2564444835605273</t>
  </si>
  <si>
    <t>0.20207012359143336</t>
  </si>
  <si>
    <t>0.5222770230014565</t>
  </si>
  <si>
    <t>0.08732003776686624</t>
  </si>
  <si>
    <t>-0.35010417685902123</t>
  </si>
  <si>
    <t>-0.15862207673820136</t>
  </si>
  <si>
    <t>-0.1567112164781339</t>
  </si>
  <si>
    <t>0.2588212935226663</t>
  </si>
  <si>
    <t>-0.013451768892722257</t>
  </si>
  <si>
    <t>0.15651093049937967</t>
  </si>
  <si>
    <t>-0.14489802140961552</t>
  </si>
  <si>
    <t>-0.333478390108618</t>
  </si>
  <si>
    <t>-0.45049411639661746</t>
  </si>
  <si>
    <t>0.7200795462939622</t>
  </si>
  <si>
    <t>0.6741430880177671</t>
  </si>
  <si>
    <t>0.1252215241433088</t>
  </si>
  <si>
    <t>-0.17563878103009123</t>
  </si>
  <si>
    <t>-0.0006861870276907543</t>
  </si>
  <si>
    <t>0.14295478649136623</t>
  </si>
  <si>
    <t>0.38014330398621515</t>
  </si>
  <si>
    <t>0.3168435766839982</t>
  </si>
  <si>
    <t>0.17869985812040895</t>
  </si>
  <si>
    <t>0.23097887531854275</t>
  </si>
  <si>
    <t>-0.3291627249037557</t>
  </si>
  <si>
    <t>0.25946798029713664</t>
  </si>
  <si>
    <t>-0.6738516143600546</t>
  </si>
  <si>
    <t>0.06499756812093926</t>
  </si>
  <si>
    <t>-0.23850338353301562</t>
  </si>
  <si>
    <t>-0.13499967362051918</t>
  </si>
  <si>
    <t>0.38355399805940005</t>
  </si>
  <si>
    <t>0.08115221971562753</t>
  </si>
  <si>
    <t>-0.6891808059112339</t>
  </si>
  <si>
    <t>0.5926196571740576</t>
  </si>
  <si>
    <t>-0.18815206100952547</t>
  </si>
  <si>
    <t>-0.0769262968047771</t>
  </si>
  <si>
    <t>-0.40546597122543093</t>
  </si>
  <si>
    <t>0.3253635265645629</t>
  </si>
  <si>
    <t>-0.1836467742168377</t>
  </si>
  <si>
    <t>0.2369288472837571</t>
  </si>
  <si>
    <t>0.19541701172501647</t>
  </si>
  <si>
    <t>0.5994649815057304</t>
  </si>
  <si>
    <t>0.5139140421157322</t>
  </si>
  <si>
    <t>-0.293811413735007</t>
  </si>
  <si>
    <t>0.2792736700800655</t>
  </si>
  <si>
    <t>-0.06541826708754915</t>
  </si>
  <si>
    <t>0.10703276451208267</t>
  </si>
  <si>
    <t>-0.04566853105080648</t>
  </si>
  <si>
    <t>0.6484203304274228</t>
  </si>
  <si>
    <t>-0.2528250970648401</t>
  </si>
  <si>
    <t>0.15440921811864244</t>
  </si>
  <si>
    <t>-0.5129393284669965</t>
  </si>
  <si>
    <t>0.34862974125999446</t>
  </si>
  <si>
    <t>-0.4334501707259053</t>
  </si>
  <si>
    <t>0.06673703591852562</t>
  </si>
  <si>
    <t>-0.017528046684193426</t>
  </si>
  <si>
    <t>0.16846824461615909</t>
  </si>
  <si>
    <t>0.5744263357180392</t>
  </si>
  <si>
    <t>-0.056791591141557476</t>
  </si>
  <si>
    <t>-0.06307774181216638</t>
  </si>
  <si>
    <t>0.044133643865982175</t>
  </si>
  <si>
    <t>-0.8829250331778806</t>
  </si>
  <si>
    <t>0.3440251315225105</t>
  </si>
  <si>
    <t>-0.13105230117947853</t>
  </si>
  <si>
    <t>-0.3103759846908635</t>
  </si>
  <si>
    <t>0.6399810727142338</t>
  </si>
  <si>
    <t>-0.18309810445740515</t>
  </si>
  <si>
    <t>-0.26885669723403977</t>
  </si>
  <si>
    <t>0.08740243488547988</t>
  </si>
  <si>
    <t>0.0012193033072793685</t>
  </si>
  <si>
    <t>-0.15851467670895766</t>
  </si>
  <si>
    <t>-0.03720219198524292</t>
  </si>
  <si>
    <t>-0.1790158676599435</t>
  </si>
  <si>
    <t>-0.3464230865579567</t>
  </si>
  <si>
    <t>-0.1247796154574603</t>
  </si>
  <si>
    <t>-0.023169194175751973</t>
  </si>
  <si>
    <t>0.032249422816714404</t>
  </si>
  <si>
    <t>0.13999905485206976</t>
  </si>
  <si>
    <t>-0.1519807634759749</t>
  </si>
  <si>
    <t>-0.25572528284708756</t>
  </si>
  <si>
    <t>0.03985194012024449</t>
  </si>
  <si>
    <t>-0.47242862095293003</t>
  </si>
  <si>
    <t>-0.1738217813190362</t>
  </si>
  <si>
    <t>-0.0905588017845721</t>
  </si>
  <si>
    <t>0.6735159870666122</t>
  </si>
  <si>
    <t>0.11134577577702971</t>
  </si>
  <si>
    <t>0.741910658557378</t>
  </si>
  <si>
    <t>-0.2538316710668142</t>
  </si>
  <si>
    <t>0.2136248816273092</t>
  </si>
  <si>
    <t>-0.011440520793396834</t>
  </si>
  <si>
    <t>-0.027612450337315634</t>
  </si>
  <si>
    <t>0.46591703007088625</t>
  </si>
  <si>
    <t>0.10101059300116005</t>
  </si>
  <si>
    <t>-0.5884122426510817</t>
  </si>
  <si>
    <t>-0.6414286704439265</t>
  </si>
  <si>
    <t>0.2762087997452425</t>
  </si>
  <si>
    <t>0.10662178528849207</t>
  </si>
  <si>
    <t>-0.6510848087253267</t>
  </si>
  <si>
    <t>0.020405790138470607</t>
  </si>
  <si>
    <t>2.458914959694399</t>
  </si>
  <si>
    <t>0.13013988817169603</t>
  </si>
  <si>
    <t>0.2728043383432422</t>
  </si>
  <si>
    <t>0.4297244736128509</t>
  </si>
  <si>
    <t>-0.16890507102331703</t>
  </si>
  <si>
    <t>-0.03978229491130778</t>
  </si>
  <si>
    <t>-0.0055936820708925436</t>
  </si>
  <si>
    <t>0.293355800947184</t>
  </si>
  <si>
    <t>0.3011387078554713</t>
  </si>
  <si>
    <t>0.8818294619877433</t>
  </si>
  <si>
    <t>0.3964828108216564</t>
  </si>
  <si>
    <t>-0.6950177574089754</t>
  </si>
  <si>
    <t>-0.3372211827681018</t>
  </si>
  <si>
    <t>-0.02496376861953664</t>
  </si>
  <si>
    <t>-0.46015732882573784</t>
  </si>
  <si>
    <t>0.2442506989556552</t>
  </si>
  <si>
    <t>0.03167855985691746</t>
  </si>
  <si>
    <t>0.2334905838983837</t>
  </si>
  <si>
    <t>0.3306595096602706</t>
  </si>
  <si>
    <t>0.4288291977861294</t>
  </si>
  <si>
    <t>0.6238529712423693</t>
  </si>
  <si>
    <t>-0.39650489966015856</t>
  </si>
  <si>
    <t>-0.7519537348309242</t>
  </si>
  <si>
    <t>-0.29925544190711284</t>
  </si>
  <si>
    <t>0.3981332464800129</t>
  </si>
  <si>
    <t>-0.26271430701601683</t>
  </si>
  <si>
    <t>-0.2715886004150787</t>
  </si>
  <si>
    <t>-0.2329859201639821</t>
  </si>
  <si>
    <t>0.18171960303828247</t>
  </si>
  <si>
    <t>-0.0162695207238964</t>
  </si>
  <si>
    <t>0.08559059347920508</t>
  </si>
  <si>
    <t>-0.6738210115758781</t>
  </si>
  <si>
    <t>-0.20569306209867386</t>
  </si>
  <si>
    <t>1.0370249230944715</t>
  </si>
  <si>
    <t>-0.2903338302481726</t>
  </si>
  <si>
    <t>-0.023129607184313346</t>
  </si>
  <si>
    <t>-0.6634261882412974</t>
  </si>
  <si>
    <t>-0.7038916214676522</t>
  </si>
  <si>
    <t>0.026146283200540375</t>
  </si>
  <si>
    <t>-0.6739157108996378</t>
  </si>
  <si>
    <t>0.734280067208444</t>
  </si>
  <si>
    <t>0.7383770344910987</t>
  </si>
  <si>
    <t>-0.8633454109738479</t>
  </si>
  <si>
    <t>0.48839002595473135</t>
  </si>
  <si>
    <t>-0.2352122100685968</t>
  </si>
  <si>
    <t>-0.5669626709043205</t>
  </si>
  <si>
    <t>-0.32087572647073037</t>
  </si>
  <si>
    <t>-0.5562610684567203</t>
  </si>
  <si>
    <t>-0.15571245958554283</t>
  </si>
  <si>
    <t>-0.4914642806651</t>
  </si>
  <si>
    <t>0.5305367034632499</t>
  </si>
  <si>
    <t>-0.03927005257083622</t>
  </si>
  <si>
    <t>-0.2387458394561099</t>
  </si>
  <si>
    <t>0.1563989438844147</t>
  </si>
  <si>
    <t>-0.1718610058803921</t>
  </si>
  <si>
    <t>-0.22608150064270738</t>
  </si>
  <si>
    <t>0.8752661767817912</t>
  </si>
  <si>
    <t>-0.6713447230486456</t>
  </si>
  <si>
    <t>-0.08514357173878782</t>
  </si>
  <si>
    <t>-0.4411490016720797</t>
  </si>
  <si>
    <t>0.22548232093326467</t>
  </si>
  <si>
    <t>-0.17767463321468613</t>
  </si>
  <si>
    <t>-0.19399714291626877</t>
  </si>
  <si>
    <t>-0.6977543470543044</t>
  </si>
  <si>
    <t>0.01817137958279281</t>
  </si>
  <si>
    <t>0.16971893242082653</t>
  </si>
  <si>
    <t>0.0007758448535483639</t>
  </si>
  <si>
    <t>-0.02857448429700808</t>
  </si>
  <si>
    <t>-0.11388462076861197</t>
  </si>
  <si>
    <t>-0.020561325702047727</t>
  </si>
  <si>
    <t>0.5861659164114197</t>
  </si>
  <si>
    <t>0.07373859904101496</t>
  </si>
  <si>
    <t>0.1838567099732169</t>
  </si>
  <si>
    <t>0.26837313058901086</t>
  </si>
  <si>
    <t>0.12869799871403054</t>
  </si>
  <si>
    <t>0.35669564215514854</t>
  </si>
  <si>
    <t>-0.1573852854301151</t>
  </si>
  <si>
    <t>1.0113842474816472</t>
  </si>
  <si>
    <t>-0.3678754059827239</t>
  </si>
  <si>
    <t>-0.3471796560536231</t>
  </si>
  <si>
    <t>-0.061482167108101705</t>
  </si>
  <si>
    <t>0.0805063984650112</t>
  </si>
  <si>
    <t>-0.06705765449537567</t>
  </si>
  <si>
    <t>0.04351017939780315</t>
  </si>
  <si>
    <t>0.5842158998173553</t>
  </si>
  <si>
    <t>0.10988669980891515</t>
  </si>
  <si>
    <t>-0.6435762307426761</t>
  </si>
  <si>
    <t>-0.2671888445677018</t>
  </si>
  <si>
    <t>0.7950619920430894</t>
  </si>
  <si>
    <t>-0.35004199533295705</t>
  </si>
  <si>
    <t>0.09706896366509381</t>
  </si>
  <si>
    <t>1.0931129399711559</t>
  </si>
  <si>
    <t>0.3696357095570116</t>
  </si>
  <si>
    <t>-0.7194106970172053</t>
  </si>
  <si>
    <t>0.225338559576002</t>
  </si>
  <si>
    <t>-0.7278509354542863</t>
  </si>
  <si>
    <t>0.06114819655440627</t>
  </si>
  <si>
    <t>0.13614709936092848</t>
  </si>
  <si>
    <t>-0.4244790594918984</t>
  </si>
  <si>
    <t>0.3587312291093988</t>
  </si>
  <si>
    <t>-0.1407067528371763</t>
  </si>
  <si>
    <t>-0.2686359446826317</t>
  </si>
  <si>
    <t>-0.14322613090217137</t>
  </si>
  <si>
    <t>0.10280232732605533</t>
  </si>
  <si>
    <t>0.12315431588255508</t>
  </si>
  <si>
    <t>0.20852050659054483</t>
  </si>
  <si>
    <t>-0.6906003518365619</t>
  </si>
  <si>
    <t>0.0013582703449551848</t>
  </si>
  <si>
    <t>-0.19811626727952214</t>
  </si>
  <si>
    <t>0.6235777450096205</t>
  </si>
  <si>
    <t>0.5357853018022145</t>
  </si>
  <si>
    <t>-0.06623962800137605</t>
  </si>
  <si>
    <t>-0.3058970849952406</t>
  </si>
  <si>
    <t>0.0019162661108819493</t>
  </si>
  <si>
    <t>-0.6534928710284905</t>
  </si>
  <si>
    <t>0.2763516733047897</t>
  </si>
  <si>
    <t>-0.9842513091381377</t>
  </si>
  <si>
    <t>-0.2513173228483974</t>
  </si>
  <si>
    <t>-0.4945702257825518</t>
  </si>
  <si>
    <t>0.2715944298795347</t>
  </si>
  <si>
    <t>-0.07715132187742242</t>
  </si>
  <si>
    <t>-0.11063991564107616</t>
  </si>
  <si>
    <t>0.3755496652376536</t>
  </si>
  <si>
    <t>0.8124640084617388</t>
  </si>
  <si>
    <t>-0.10017965310779735</t>
  </si>
  <si>
    <t>0.21984615018800532</t>
  </si>
  <si>
    <t>-0.0387842415569883</t>
  </si>
  <si>
    <t>-0.12676545687469074</t>
  </si>
  <si>
    <t>-0.23133403280746245</t>
  </si>
  <si>
    <t>-0.310036326859213</t>
  </si>
  <si>
    <t>0.5952249937738658</t>
  </si>
  <si>
    <t>-0.4494454106023454</t>
  </si>
  <si>
    <t>-0.0036486239986097306</t>
  </si>
  <si>
    <t>-0.5498306782716882</t>
  </si>
  <si>
    <t>0.6948870440596356</t>
  </si>
  <si>
    <t>0.2984247489242199</t>
  </si>
  <si>
    <t>-0.25203074623303723</t>
  </si>
  <si>
    <t>1.2148387513686638</t>
  </si>
  <si>
    <t>0.17118106249512274</t>
  </si>
  <si>
    <t>-0.3666770758991444</t>
  </si>
  <si>
    <t>-0.9159712263564702</t>
  </si>
  <si>
    <t>-0.10579692080623226</t>
  </si>
  <si>
    <t>0.6652182105084569</t>
  </si>
  <si>
    <t>-0.4246292299873083</t>
  </si>
  <si>
    <t>0.07326910635908634</t>
  </si>
  <si>
    <t>-0.6722778943851727</t>
  </si>
  <si>
    <t>0.010879400377001079</t>
  </si>
  <si>
    <t>-0.19315491955088226</t>
  </si>
  <si>
    <t>0.3266974080336643</t>
  </si>
  <si>
    <t>0.3363489143613843</t>
  </si>
  <si>
    <t>0.21029989938752058</t>
  </si>
  <si>
    <t>-0.3205823863217435</t>
  </si>
  <si>
    <t>1.3292607991567236</t>
  </si>
  <si>
    <t>-0.052334039363685594</t>
  </si>
  <si>
    <t>0.6542170692262246</t>
  </si>
  <si>
    <t>-0.40017642694520644</t>
  </si>
  <si>
    <t>-0.04692521938598138</t>
  </si>
  <si>
    <t>-0.5588074588163205</t>
  </si>
  <si>
    <t>0.29181466538242884</t>
  </si>
  <si>
    <t>0.38241500903282444</t>
  </si>
  <si>
    <t>0.3431468006634919</t>
  </si>
  <si>
    <t>0.2560029631741053</t>
  </si>
  <si>
    <t>-0.13609641982692086</t>
  </si>
  <si>
    <t>-0.11666270335987346</t>
  </si>
  <si>
    <t>0.5057626971189535</t>
  </si>
  <si>
    <t>-0.4194608401676516</t>
  </si>
  <si>
    <t>-0.48363416001346554</t>
  </si>
  <si>
    <t>-0.6674020005250361</t>
  </si>
  <si>
    <t>0.8169297192029676</t>
  </si>
  <si>
    <t>-0.2785997427253237</t>
  </si>
  <si>
    <t>0.10242973772719369</t>
  </si>
  <si>
    <t>-0.2479327772773201</t>
  </si>
  <si>
    <t>0.0671912990229935</t>
  </si>
  <si>
    <t>-0.13490566922196767</t>
  </si>
  <si>
    <t>-0.29936593765695246</t>
  </si>
  <si>
    <t>0.09184532644679924</t>
  </si>
  <si>
    <t>-0.10161503859281347</t>
  </si>
  <si>
    <t>0.1081464033685106</t>
  </si>
  <si>
    <t>0.8092267264718483</t>
  </si>
  <si>
    <t>-0.4147875818728057</t>
  </si>
  <si>
    <t>0.04859800940464428</t>
  </si>
  <si>
    <t>0.09819198893091335</t>
  </si>
  <si>
    <t>-0.06100727664924539</t>
  </si>
  <si>
    <t>0.25736262034963997</t>
  </si>
  <si>
    <t>-0.39394206221904987</t>
  </si>
  <si>
    <t>0.08247073233247976</t>
  </si>
  <si>
    <t>-0.38933612990705063</t>
  </si>
  <si>
    <t>-0.11887030826704127</t>
  </si>
  <si>
    <t>-0.09598466533093253</t>
  </si>
  <si>
    <t>-0.22637110959193205</t>
  </si>
  <si>
    <t>0.17912790393017164</t>
  </si>
  <si>
    <t>0.009335307397802094</t>
  </si>
  <si>
    <t>0.6899709765164377</t>
  </si>
  <si>
    <t>0.21187635221460727</t>
  </si>
  <si>
    <t>-0.13690383659969954</t>
  </si>
  <si>
    <t>0.4945879491234647</t>
  </si>
  <si>
    <t>0.13792741561372074</t>
  </si>
  <si>
    <t>0.09217896951916303</t>
  </si>
  <si>
    <t>-0.14687267040996463</t>
  </si>
  <si>
    <t>0.10567181015682034</t>
  </si>
  <si>
    <t>0.3939547029001877</t>
  </si>
  <si>
    <t>-0.1404657248349717</t>
  </si>
  <si>
    <t>-0.7674997159141664</t>
  </si>
  <si>
    <t>-0.36015138893349546</t>
  </si>
  <si>
    <t>0.22014407307371966</t>
  </si>
  <si>
    <t>-0.417226507921234</t>
  </si>
  <si>
    <t>0.14809300890218866</t>
  </si>
  <si>
    <t>-0.6223544197642282</t>
  </si>
  <si>
    <t>-0.20497696957901124</t>
  </si>
  <si>
    <t>0.5137463172290571</t>
  </si>
  <si>
    <t>0.14660685205292917</t>
  </si>
  <si>
    <t>0.21753902898016922</t>
  </si>
  <si>
    <t>-0.4413728166065206</t>
  </si>
  <si>
    <t>0.15805282963124673</t>
  </si>
  <si>
    <t>-0.26499305211859664</t>
  </si>
  <si>
    <t>-0.2619781755771124</t>
  </si>
  <si>
    <t>-0.16540261205363369</t>
  </si>
  <si>
    <t>-0.26765330881187405</t>
  </si>
  <si>
    <t>-0.30788497622029637</t>
  </si>
  <si>
    <t>-0.42783534174169513</t>
  </si>
  <si>
    <t>0.35502569246617716</t>
  </si>
  <si>
    <t>-0.9875364543109757</t>
  </si>
  <si>
    <t>-0.40515765279630733</t>
  </si>
  <si>
    <t>-0.39956572682969316</t>
  </si>
  <si>
    <t>-0.3113472087256659</t>
  </si>
  <si>
    <t>0.46624470567817944</t>
  </si>
  <si>
    <t>-0.04285937704406955</t>
  </si>
  <si>
    <t>0.1465128246947452</t>
  </si>
  <si>
    <t>0.09793891082485942</t>
  </si>
  <si>
    <t>-0.4428727477452771</t>
  </si>
  <si>
    <t>0.07114656072309387</t>
  </si>
  <si>
    <t>-0.6237973614001157</t>
  </si>
  <si>
    <t>-0.1502127940070402</t>
  </si>
  <si>
    <t>-0.16792031415147124</t>
  </si>
  <si>
    <t>-0.04573158060316827</t>
  </si>
  <si>
    <t>0.42667480939823754</t>
  </si>
  <si>
    <t>0.12343492338055144</t>
  </si>
  <si>
    <t>-0.09692510060029327</t>
  </si>
  <si>
    <t>1.0378452486022638</t>
  </si>
  <si>
    <t>0.3521715004697749</t>
  </si>
  <si>
    <t>-0.43077244531692505</t>
  </si>
  <si>
    <t>-1.2842893085855227</t>
  </si>
  <si>
    <t>-0.9049705665858706</t>
  </si>
  <si>
    <t>0.05804409907748994</t>
  </si>
  <si>
    <t>0.31659004056996254</t>
  </si>
  <si>
    <t>-0.6115094627425002</t>
  </si>
  <si>
    <t>-0.07094122616400596</t>
  </si>
  <si>
    <t>-0.7245969855361135</t>
  </si>
  <si>
    <t>-0.2478098478394419</t>
  </si>
  <si>
    <t>-0.7302499428534627</t>
  </si>
  <si>
    <t>0.6016476827524789</t>
  </si>
  <si>
    <t>-0.7036714027259278</t>
  </si>
  <si>
    <t>0.1976890795906745</t>
  </si>
  <si>
    <t>0.8559573916551863</t>
  </si>
  <si>
    <t>0.11205008756813231</t>
  </si>
  <si>
    <t>0.010670918025596601</t>
  </si>
  <si>
    <t>-0.2013697606529727</t>
  </si>
  <si>
    <t>-0.2676955941411329</t>
  </si>
  <si>
    <t>-0.006763075709890528</t>
  </si>
  <si>
    <t>-0.5848898601699853</t>
  </si>
  <si>
    <t>0.30929700930039533</t>
  </si>
  <si>
    <t>0.4541771358563506</t>
  </si>
  <si>
    <t>-0.17857568136227417</t>
  </si>
  <si>
    <t>0.43954371641274054</t>
  </si>
  <si>
    <t>-0.4397101848785461</t>
  </si>
  <si>
    <t>-0.11535941115727831</t>
  </si>
  <si>
    <t>0.8844851924518112</t>
  </si>
  <si>
    <t>0.25756439952250526</t>
  </si>
  <si>
    <t>0.2989675839144992</t>
  </si>
  <si>
    <t>0.005471514298735371</t>
  </si>
  <si>
    <t>0.39122313673089076</t>
  </si>
  <si>
    <t>-0.05166116089723319</t>
  </si>
  <si>
    <t>0.18379849073517487</t>
  </si>
  <si>
    <t>-0.019414742836289075</t>
  </si>
  <si>
    <t>0.9742765404439022</t>
  </si>
  <si>
    <t>0.3078334087223931</t>
  </si>
  <si>
    <t>-0.2876016943163364</t>
  </si>
  <si>
    <t>-0.47330460483135584</t>
  </si>
  <si>
    <t>-0.47094984487443103</t>
  </si>
  <si>
    <t>-0.0586788933908181</t>
  </si>
  <si>
    <t>-1.6802402499987221</t>
  </si>
  <si>
    <t>-0.08253398435655812</t>
  </si>
  <si>
    <t>0.7170540324144257</t>
  </si>
  <si>
    <t>-0.023221869985644825</t>
  </si>
  <si>
    <t>-0.35516602595445534</t>
  </si>
  <si>
    <t>1.105169753724989</t>
  </si>
  <si>
    <t>-0.8326632262969781</t>
  </si>
  <si>
    <t>1.681878898237324</t>
  </si>
  <si>
    <t>-0.04243527908406693</t>
  </si>
  <si>
    <t>-0.5090478689887873</t>
  </si>
  <si>
    <t>-1.0787632285973896</t>
  </si>
  <si>
    <t>0.5656533435591751</t>
  </si>
  <si>
    <t>0.8347294716582904</t>
  </si>
  <si>
    <t>-0.7517272633089157</t>
  </si>
  <si>
    <t>-0.09319042212205747</t>
  </si>
  <si>
    <t>-0.23753097377493218</t>
  </si>
  <si>
    <t>0.5986517405918811</t>
  </si>
  <si>
    <t>-1.1573935004731803</t>
  </si>
  <si>
    <t>0.12214538682849366</t>
  </si>
  <si>
    <t>-0.2656912762135182</t>
  </si>
  <si>
    <t>-0.07025495547589004</t>
  </si>
  <si>
    <t>-0.38427545818661824</t>
  </si>
  <si>
    <t>0.11214429087282274</t>
  </si>
  <si>
    <t>0.5536586331261044</t>
  </si>
  <si>
    <t>-0.17991072641517286</t>
  </si>
  <si>
    <t>0.15570516881103783</t>
  </si>
  <si>
    <t>0.5719500378608124</t>
  </si>
  <si>
    <t>-2.216510014543531</t>
  </si>
  <si>
    <t>0.34232673753231313</t>
  </si>
  <si>
    <t>-0.32612505504194716</t>
  </si>
  <si>
    <t>-0.6361729991501089</t>
  </si>
  <si>
    <t>-1.0262070228519191</t>
  </si>
  <si>
    <t>0.2772768833161988</t>
  </si>
  <si>
    <t>0.6028349930556425</t>
  </si>
  <si>
    <t>0.009522530200294557</t>
  </si>
  <si>
    <t>-0.010231273088207087</t>
  </si>
  <si>
    <t>-0.49137417051573024</t>
  </si>
  <si>
    <t>2.0730210105033424</t>
  </si>
  <si>
    <t>0.46769760539497335</t>
  </si>
  <si>
    <t>0.08567188207812937</t>
  </si>
  <si>
    <t>0.14184244233893553</t>
  </si>
  <si>
    <t>-0.1737663216499633</t>
  </si>
  <si>
    <t>-0.5922340541608987</t>
  </si>
  <si>
    <t>-0.22771707940225372</t>
  </si>
  <si>
    <t>-0.2449828508083739</t>
  </si>
  <si>
    <t>0.8200647318349319</t>
  </si>
  <si>
    <t>-0.47958329340064815</t>
  </si>
  <si>
    <t>0.3596050034304748</t>
  </si>
  <si>
    <t>-1.0660555330282706</t>
  </si>
  <si>
    <t>-0.5975767143755101</t>
  </si>
  <si>
    <t>0.34946850145062025</t>
  </si>
  <si>
    <t>-1.5349350348144564</t>
  </si>
  <si>
    <t>-0.10188341424899945</t>
  </si>
  <si>
    <t>-0.3618657535630962</t>
  </si>
  <si>
    <t>0.41979489623985455</t>
  </si>
  <si>
    <t>0.23389747286484436</t>
  </si>
  <si>
    <t>-0.9632490324144822</t>
  </si>
  <si>
    <t>-0.08146554268392955</t>
  </si>
  <si>
    <t>0.7131834141264544</t>
  </si>
  <si>
    <t>-0.17693598838149993</t>
  </si>
  <si>
    <t>-0.061193939267049816</t>
  </si>
  <si>
    <t>-1.5153157400320147</t>
  </si>
  <si>
    <t>-0.12115760927848016</t>
  </si>
  <si>
    <t>-0.45834597106802694</t>
  </si>
  <si>
    <t>-0.2517783424511996</t>
  </si>
  <si>
    <t>0.7656529895986346</t>
  </si>
  <si>
    <t>-0.13531443647028676</t>
  </si>
  <si>
    <t>0.16155444219330672</t>
  </si>
  <si>
    <t>-0.7945523648325968</t>
  </si>
  <si>
    <t>-0.41023100551219144</t>
  </si>
  <si>
    <t>-0.5562287468360345</t>
  </si>
  <si>
    <t>1.0135970427634227</t>
  </si>
  <si>
    <t>0.9347829724027281</t>
  </si>
  <si>
    <t>-0.609612539652348</t>
  </si>
  <si>
    <t>-0.634941444993124</t>
  </si>
  <si>
    <t>-0.028141401964140993</t>
  </si>
  <si>
    <t>-0.6627853490229135</t>
  </si>
  <si>
    <t>1.2961878806219005</t>
  </si>
  <si>
    <t>0.6040495095679596</t>
  </si>
  <si>
    <t>0.43373773456213843</t>
  </si>
  <si>
    <t>-0.8384700146580991</t>
  </si>
  <si>
    <t>-0.16325062358859366</t>
  </si>
  <si>
    <t>-0.3841752914453229</t>
  </si>
  <si>
    <t>-0.39075502102027593</t>
  </si>
  <si>
    <t>-0.5083606402672739</t>
  </si>
  <si>
    <t>-0.01785436473292966</t>
  </si>
  <si>
    <t>-0.03739120608963885</t>
  </si>
  <si>
    <t>2.592390903425258</t>
  </si>
  <si>
    <t>1.4992729316884383</t>
  </si>
  <si>
    <t>-0.5524007950321689</t>
  </si>
  <si>
    <t>-0.6536460693088167</t>
  </si>
  <si>
    <t>0.032133111990225505</t>
  </si>
  <si>
    <t>0.894479277506139</t>
  </si>
  <si>
    <t>0.22278784424318937</t>
  </si>
  <si>
    <t>-0.2215295360827806</t>
  </si>
  <si>
    <t>0.06653290485820681</t>
  </si>
  <si>
    <t>0.37428544766396044</t>
  </si>
  <si>
    <t>0.058558818159962986</t>
  </si>
  <si>
    <t>1.710497793995324</t>
  </si>
  <si>
    <t>0.05843227515977368</t>
  </si>
  <si>
    <t>0.08827987941428511</t>
  </si>
  <si>
    <t>-0.6058614673486633</t>
  </si>
  <si>
    <t>0.7328402932120983</t>
  </si>
  <si>
    <t>0.394706552228933</t>
  </si>
  <si>
    <t>0.8258714379446969</t>
  </si>
  <si>
    <t>-0.412734634494231</t>
  </si>
  <si>
    <t>-1.1152732618214272</t>
  </si>
  <si>
    <t>0.924273069982535</t>
  </si>
  <si>
    <t>0.5177509979620498</t>
  </si>
  <si>
    <t>-1.7736833509484344</t>
  </si>
  <si>
    <t>-0.5762514195871721</t>
  </si>
  <si>
    <t>-1.212870338243059</t>
  </si>
  <si>
    <t>-0.027647954032352384</t>
  </si>
  <si>
    <t>0.5061166329032506</t>
  </si>
  <si>
    <t>-2.322396164810857</t>
  </si>
  <si>
    <t>0.6155463467440633</t>
  </si>
  <si>
    <t>0.5766992485478342</t>
  </si>
  <si>
    <t>0.23677018458490276</t>
  </si>
  <si>
    <t>0.6532468653039593</t>
  </si>
  <si>
    <t>1.3486395313971462</t>
  </si>
  <si>
    <t>-0.4552944342431576</t>
  </si>
  <si>
    <t>-0.5969408466823048</t>
  </si>
  <si>
    <t>0.5207476058891334</t>
  </si>
  <si>
    <t>-0.04484314260710945</t>
  </si>
  <si>
    <t>0.5133962270831096</t>
  </si>
  <si>
    <t>-0.09451935271344884</t>
  </si>
  <si>
    <t>-0.08213144468135362</t>
  </si>
  <si>
    <t>0.31851465543268426</t>
  </si>
  <si>
    <t>0.4460055025939829</t>
  </si>
  <si>
    <t>0.09348395303622568</t>
  </si>
  <si>
    <t>0.11318954421851561</t>
  </si>
  <si>
    <t>-0.6611773005577983</t>
  </si>
  <si>
    <t>-0.5071359898930419</t>
  </si>
  <si>
    <t>0.4948929721204225</t>
  </si>
  <si>
    <t>0.6577368379235287</t>
  </si>
  <si>
    <t>0.03664226165227872</t>
  </si>
  <si>
    <t>0.020993674576946012</t>
  </si>
  <si>
    <t>0.3889875454643942</t>
  </si>
  <si>
    <t>-0.29616728290859506</t>
  </si>
  <si>
    <t>2.032360214074674</t>
  </si>
  <si>
    <t>0.4632762278724171</t>
  </si>
  <si>
    <t>0.27601986424079505</t>
  </si>
  <si>
    <t>0.5836402183225935</t>
  </si>
  <si>
    <t>-0.10253029679321608</t>
  </si>
  <si>
    <t>-0.9001383209383753</t>
  </si>
  <si>
    <t>0.8884967621293234</t>
  </si>
  <si>
    <t>-0.2823856493278259</t>
  </si>
  <si>
    <t>-0.015633743375701815</t>
  </si>
  <si>
    <t>0.5465018143183529</t>
  </si>
  <si>
    <t>-0.8196526843162683</t>
  </si>
  <si>
    <t>-0.35528765241090793</t>
  </si>
  <si>
    <t>1.3414840965053751</t>
  </si>
  <si>
    <t>-0.736511495401878</t>
  </si>
  <si>
    <t>0.17603478203765036</t>
  </si>
  <si>
    <t>-0.04822669747487405</t>
  </si>
  <si>
    <t>-0.6292956001250464</t>
  </si>
  <si>
    <t>0.2493137121167536</t>
  </si>
  <si>
    <t>-0.6446314834510777</t>
  </si>
  <si>
    <t>0.09916825296830259</t>
  </si>
  <si>
    <t>1.11613349803962</t>
  </si>
  <si>
    <t>-0.674392144293701</t>
  </si>
  <si>
    <t>0.3780913919579419</t>
  </si>
  <si>
    <t>-0.379041549939671</t>
  </si>
  <si>
    <t>-0.3784714227926257</t>
  </si>
  <si>
    <t>0.932134733946049</t>
  </si>
  <si>
    <t>-1.3154457544342695</t>
  </si>
  <si>
    <t>0.19597383191880666</t>
  </si>
  <si>
    <t>1.4649887155730765</t>
  </si>
  <si>
    <t>-0.9301366357043643</t>
  </si>
  <si>
    <t>1.012705316676167</t>
  </si>
  <si>
    <t>1.4303552030146842</t>
  </si>
  <si>
    <t>-1.6149568862213475</t>
  </si>
  <si>
    <t>-0.05938231737780627</t>
  </si>
  <si>
    <t>0.009675917447182577</t>
  </si>
  <si>
    <t>-1.3556062034006844</t>
  </si>
  <si>
    <t>-0.41546176581448285</t>
  </si>
  <si>
    <t>-0.6658573790186263</t>
  </si>
  <si>
    <t>0.5803269177866933</t>
  </si>
  <si>
    <t>-0.19295307400081474</t>
  </si>
  <si>
    <t>-1.793800683928177</t>
  </si>
  <si>
    <t>0.5899547319310698</t>
  </si>
  <si>
    <t>-1.0752709759683792</t>
  </si>
  <si>
    <t>-0.4168706503831166</t>
  </si>
  <si>
    <t>0.8876927326698991</t>
  </si>
  <si>
    <t>0.33296057813054364</t>
  </si>
  <si>
    <t>1.3975442262901745</t>
  </si>
  <si>
    <t>-0.813014807775596</t>
  </si>
  <si>
    <t>1.4832719484592374</t>
  </si>
  <si>
    <t>0.15779044699127795</t>
  </si>
  <si>
    <t>-0.8803191011089279</t>
  </si>
  <si>
    <t>0.4693474264728855</t>
  </si>
  <si>
    <t>0.23410376310121492</t>
  </si>
  <si>
    <t>3.3629513365720674</t>
  </si>
  <si>
    <t>0.6969136477490769</t>
  </si>
  <si>
    <t>-0.4059372377746547</t>
  </si>
  <si>
    <t>-0.6503955743294543</t>
  </si>
  <si>
    <t>-0.40634764329860995</t>
  </si>
  <si>
    <t>1.1672967894959814</t>
  </si>
  <si>
    <t>0.5934673003066916</t>
  </si>
  <si>
    <t>0.7230782238833131</t>
  </si>
  <si>
    <t>0.9851439326167302</t>
  </si>
  <si>
    <t>-0.6188677697649778</t>
  </si>
  <si>
    <t>0.7829061722854662</t>
  </si>
  <si>
    <t>0.4709385875183897</t>
  </si>
  <si>
    <t>0.2621727358976428</t>
  </si>
  <si>
    <t>0.554848896765585</t>
  </si>
  <si>
    <t>-0.1595153363800101</t>
  </si>
  <si>
    <t>0.63996315237859</t>
  </si>
  <si>
    <t>-0.0884110437376648</t>
  </si>
  <si>
    <t>-0.2556817852737882</t>
  </si>
  <si>
    <t>-0.3640346211033603</t>
  </si>
  <si>
    <t>0.9782714496401375</t>
  </si>
  <si>
    <t>-1.6984174380719013</t>
  </si>
  <si>
    <t>0.13459564183574096</t>
  </si>
  <si>
    <t>0.7630133179605368</t>
  </si>
  <si>
    <t>0.34404945328039954</t>
  </si>
  <si>
    <t>0.26378313090256744</t>
  </si>
  <si>
    <t>-0.13747467640633154</t>
  </si>
  <si>
    <t>-0.511062629393682</t>
  </si>
  <si>
    <t>2.064433417652603</t>
  </si>
  <si>
    <t>0.4739568962008538</t>
  </si>
  <si>
    <t>0.585266114606407</t>
  </si>
  <si>
    <t>0.029502801802284963</t>
  </si>
  <si>
    <t>0.24126913682367038</t>
  </si>
  <si>
    <t>-0.5389014069401978</t>
  </si>
  <si>
    <t>-0.6312412842383119</t>
  </si>
  <si>
    <t>0.33505574779157693</t>
  </si>
  <si>
    <t>-0.5648939804884455</t>
  </si>
  <si>
    <t>0.7800789718578104</t>
  </si>
  <si>
    <t>0.5995560149656233</t>
  </si>
  <si>
    <t>0.031156189551694018</t>
  </si>
  <si>
    <t>-0.4367766849292306</t>
  </si>
  <si>
    <t>0.41485307614116335</t>
  </si>
  <si>
    <t>0.5311102480110226</t>
  </si>
  <si>
    <t>1.4187841504353786</t>
  </si>
  <si>
    <t>-0.3334699208842443</t>
  </si>
  <si>
    <t>-0.44769184328791894</t>
  </si>
  <si>
    <t>-0.09078185930558601</t>
  </si>
  <si>
    <t>-0.4426979569073534</t>
  </si>
  <si>
    <t>0.16916572915148317</t>
  </si>
  <si>
    <t>-0.364440013104499</t>
  </si>
  <si>
    <t>-0.5386760722244444</t>
  </si>
  <si>
    <t>-0.2934934810243441</t>
  </si>
  <si>
    <t>-1.1565231691456408</t>
  </si>
  <si>
    <t>1.1735679457789134</t>
  </si>
  <si>
    <t>-0.06509431267147975</t>
  </si>
  <si>
    <t>-0.29961862785701565</t>
  </si>
  <si>
    <t>-0.8801367250355067</t>
  </si>
  <si>
    <t>0.9816401934096438</t>
  </si>
  <si>
    <t>0.46288116316583006</t>
  </si>
  <si>
    <t>0.34271148616501224</t>
  </si>
  <si>
    <t>0.19180892686694756</t>
  </si>
  <si>
    <t>0.07851080507647794</t>
  </si>
  <si>
    <t>0.8634467717776779</t>
  </si>
  <si>
    <t>0.5590312615822218</t>
  </si>
  <si>
    <t>-0.05774225831284177</t>
  </si>
  <si>
    <t>-0.629703136553139</t>
  </si>
  <si>
    <t>-0.5116572236830889</t>
  </si>
  <si>
    <t>1.250121658750085</t>
  </si>
  <si>
    <t>-0.31164867658207923</t>
  </si>
  <si>
    <t>-0.6932271174461719</t>
  </si>
  <si>
    <t>-0.3313040798274037</t>
  </si>
  <si>
    <t>0.42144684178778613</t>
  </si>
  <si>
    <t>-0.5935447557092703</t>
  </si>
  <si>
    <t>-0.3636521747081845</t>
  </si>
  <si>
    <t>0.8349210418619228</t>
  </si>
  <si>
    <t>0.3782644699894385</t>
  </si>
  <si>
    <t>0.37297074510458295</t>
  </si>
  <si>
    <t>0.060717030789473284</t>
  </si>
  <si>
    <t>-0.1610570711818677</t>
  </si>
  <si>
    <t>0.7343355716884049</t>
  </si>
  <si>
    <t>-1.9168892325579672</t>
  </si>
  <si>
    <t>-0.6710392510480456</t>
  </si>
  <si>
    <t>0.11400741159337026</t>
  </si>
  <si>
    <t>-0.11769374650353648</t>
  </si>
  <si>
    <t>0.05500599772898884</t>
  </si>
  <si>
    <t>-0.20841816775606659</t>
  </si>
  <si>
    <t>-0.01602550849627999</t>
  </si>
  <si>
    <t>-0.36996920276080547</t>
  </si>
  <si>
    <t>-0.24724322033779145</t>
  </si>
  <si>
    <t>0.32623364599697113</t>
  </si>
  <si>
    <t>-0.3982655337770695</t>
  </si>
  <si>
    <t>-0.017051963534928976</t>
  </si>
  <si>
    <t>-0.4669144652464077</t>
  </si>
  <si>
    <t>-0.8826936588634885</t>
  </si>
  <si>
    <t>-0.7501471756313391</t>
  </si>
  <si>
    <t>0.860663315525943</t>
  </si>
  <si>
    <t>-0.1778906725338041</t>
  </si>
  <si>
    <t>1.0111264970095897</t>
  </si>
  <si>
    <t>0.09727339371897467</t>
  </si>
  <si>
    <t>-0.01734755652958978</t>
  </si>
  <si>
    <t>-0.8295881915006459</t>
  </si>
  <si>
    <t>-0.34232269565029005</t>
  </si>
  <si>
    <t>0.09896757648362245</t>
  </si>
  <si>
    <t>-0.3391399946869314</t>
  </si>
  <si>
    <t>-0.10242328978186517</t>
  </si>
  <si>
    <t>-2.076438880811936</t>
  </si>
  <si>
    <t>0.5149043162766781</t>
  </si>
  <si>
    <t>-0.07603115074398917</t>
  </si>
  <si>
    <t>-0.9629716594534953</t>
  </si>
  <si>
    <t>-0.5884818357364539</t>
  </si>
  <si>
    <t>-0.4121062899027203</t>
  </si>
  <si>
    <t>-0.34902349825040785</t>
  </si>
  <si>
    <t>0.22094875577588693</t>
  </si>
  <si>
    <t>0.1987551973025609</t>
  </si>
  <si>
    <t>0.11220002121903688</t>
  </si>
  <si>
    <t>-0.6745301174863699</t>
  </si>
  <si>
    <t>-0.5252723853944868</t>
  </si>
  <si>
    <t>0.8506456609448814</t>
  </si>
  <si>
    <t>0.18490054750876425</t>
  </si>
  <si>
    <t>0.5094398445290942</t>
  </si>
  <si>
    <t>0.6129856863079822</t>
  </si>
  <si>
    <t>-0.2508836578091501</t>
  </si>
  <si>
    <t>-0.39753574737693437</t>
  </si>
  <si>
    <t>-0.2948017662291819</t>
  </si>
  <si>
    <t>1.3791983062053956</t>
  </si>
  <si>
    <t>1.3110110975177736</t>
  </si>
  <si>
    <t>-0.30895687780640635</t>
  </si>
  <si>
    <t>0.0106379579140199</t>
  </si>
  <si>
    <t>-0.736866259046604</t>
  </si>
  <si>
    <t>0.011652130479049146</t>
  </si>
  <si>
    <t>-0.10153780164630487</t>
  </si>
  <si>
    <t>0.1669491694042856</t>
  </si>
  <si>
    <t>-0.7021669659284688</t>
  </si>
  <si>
    <t>-1.69548651146773</t>
  </si>
  <si>
    <t>-0.11745213839375766</t>
  </si>
  <si>
    <t>-0.01689144555094662</t>
  </si>
  <si>
    <t>0.06627418793586945</t>
  </si>
  <si>
    <t>-0.08233809710186822</t>
  </si>
  <si>
    <t>-0.2549246247213971</t>
  </si>
  <si>
    <t>-0.5384873994406877</t>
  </si>
  <si>
    <t>0.6063215997148743</t>
  </si>
  <si>
    <t>-0.185556858054048</t>
  </si>
  <si>
    <t>-0.44827103246610595</t>
  </si>
  <si>
    <t>-0.11703871686141085</t>
  </si>
  <si>
    <t>0.16897929354105617</t>
  </si>
  <si>
    <t>0.08440388422601841</t>
  </si>
  <si>
    <t>-0.8687692495418081</t>
  </si>
  <si>
    <t>0.385045573898562</t>
  </si>
  <si>
    <t>-0.752052125855699</t>
  </si>
  <si>
    <t>-0.30442477077889074</t>
  </si>
  <si>
    <t>-2.6547081648382935</t>
  </si>
  <si>
    <t>-0.7750439848008287</t>
  </si>
  <si>
    <t>0.5332261066318154</t>
  </si>
  <si>
    <t>0.3240584745281077</t>
  </si>
  <si>
    <t>1.2976070086106157</t>
  </si>
  <si>
    <t>0.947106998573496</t>
  </si>
  <si>
    <t>-0.3287454744008727</t>
  </si>
  <si>
    <t>-0.5382403242709815</t>
  </si>
  <si>
    <t>0.1660546723629814</t>
  </si>
  <si>
    <t>-0.3485232626729278</t>
  </si>
  <si>
    <t>-0.932129198436853</t>
  </si>
  <si>
    <t>0.6101445843764418</t>
  </si>
  <si>
    <t>1.028426538928915</t>
  </si>
  <si>
    <t>-0.18297121842276168</t>
  </si>
  <si>
    <t>-0.19613025725114758</t>
  </si>
  <si>
    <t>-0.47683377049013603</t>
  </si>
  <si>
    <t>-0.7367608917899551</t>
  </si>
  <si>
    <t>-1.0489554824587906</t>
  </si>
  <si>
    <t>-0.947457858349298</t>
  </si>
  <si>
    <t>1.898786887262126</t>
  </si>
  <si>
    <t>-0.5772282341948644</t>
  </si>
  <si>
    <t>-0.5265628765377385</t>
  </si>
  <si>
    <t>-1.1335566632391199</t>
  </si>
  <si>
    <t>0.22165445995424</t>
  </si>
  <si>
    <t>-1.022706738789585</t>
  </si>
  <si>
    <t>0.09146627725489198</t>
  </si>
  <si>
    <t>1.0207803522519219</t>
  </si>
  <si>
    <t>-0.27811955167816316</t>
  </si>
  <si>
    <t>1.2888885564175396</t>
  </si>
  <si>
    <t>-1.2502617317634814</t>
  </si>
  <si>
    <t>-0.11825815517965627</t>
  </si>
  <si>
    <t>0.12805584517032365</t>
  </si>
  <si>
    <t>0.013008544932847617</t>
  </si>
  <si>
    <t>-1.5306368878956178</t>
  </si>
  <si>
    <t>-1.4626544446818943</t>
  </si>
  <si>
    <t>0.7121565509761606</t>
  </si>
  <si>
    <t>0.3706197059092958</t>
  </si>
  <si>
    <t>-0.21952226323302143</t>
  </si>
  <si>
    <t>0.707113275336043</t>
  </si>
  <si>
    <t>1.037237454358312</t>
  </si>
  <si>
    <t>-0.708283955019887</t>
  </si>
  <si>
    <t>-0.46067816805737</t>
  </si>
  <si>
    <t>1.342065590163979</t>
  </si>
  <si>
    <t>0.01975071856096595</t>
  </si>
  <si>
    <t>1.2323340056577075</t>
  </si>
  <si>
    <t>0.02495056086495582</t>
  </si>
  <si>
    <t>-0.2012869175674723</t>
  </si>
  <si>
    <t>0.022864948792040863</t>
  </si>
  <si>
    <t>-0.3858760782395815</t>
  </si>
  <si>
    <t>0.2847565313663525</t>
  </si>
  <si>
    <t>-0.5669223044992571</t>
  </si>
  <si>
    <t>0.8262688005264976</t>
  </si>
  <si>
    <t>2.7589586681622067</t>
  </si>
  <si>
    <t>-0.21118324916457143</t>
  </si>
  <si>
    <t>-0.7831999248641096</t>
  </si>
  <si>
    <t>2.0014046752310093</t>
  </si>
  <si>
    <t>0.14876067779439167</t>
  </si>
  <si>
    <t>0.28598943289355205</t>
  </si>
  <si>
    <t>-0.3865454551175949</t>
  </si>
  <si>
    <t>0.1364368224303168</t>
  </si>
  <si>
    <t>1.3414730221498712</t>
  </si>
  <si>
    <t>-0.4138783208661797</t>
  </si>
  <si>
    <t>-0.08612499125278456</t>
  </si>
  <si>
    <t>-0.13899282037052593</t>
  </si>
  <si>
    <t>-1.509949802905453</t>
  </si>
  <si>
    <t>-0.08158505864719165</t>
  </si>
  <si>
    <t>1.3268499678203598</t>
  </si>
  <si>
    <t>-0.01702918556575958</t>
  </si>
  <si>
    <t>-0.648342070658986</t>
  </si>
  <si>
    <t>-0.4159329969195422</t>
  </si>
  <si>
    <t>0.8911261072086484</t>
  </si>
  <si>
    <t>-0.4063440657624723</t>
  </si>
  <si>
    <t>-0.0532222790216652</t>
  </si>
  <si>
    <t>1.1044052287598778</t>
  </si>
  <si>
    <t>-0.057163004339102236</t>
  </si>
  <si>
    <t>-0.5035773466020034</t>
  </si>
  <si>
    <t>-0.43857607215096134</t>
  </si>
  <si>
    <t>-0.16236681004591735</t>
  </si>
  <si>
    <t>-2.3440470389222194</t>
  </si>
  <si>
    <t>0.38756358312583783</t>
  </si>
  <si>
    <t>-0.4239864686965095</t>
  </si>
  <si>
    <t>0.3236614714026632</t>
  </si>
  <si>
    <t>-0.21548931801391327</t>
  </si>
  <si>
    <t>0.796764326671063</t>
  </si>
  <si>
    <t>0.2936688818285399</t>
  </si>
  <si>
    <t>-0.18206177084774358</t>
  </si>
  <si>
    <t>1.4459299915984598</t>
  </si>
  <si>
    <t>-0.07045607758037915</t>
  </si>
  <si>
    <t>0.1361587919098886</t>
  </si>
  <si>
    <t>-0.040613187618471935</t>
  </si>
  <si>
    <t>-0.02681019920396884</t>
  </si>
  <si>
    <t>-0.043184525414861355</t>
  </si>
  <si>
    <t>0.5045882376277473</t>
  </si>
  <si>
    <t>0.31549576168364407</t>
  </si>
  <si>
    <t>-0.5509784812408265</t>
  </si>
  <si>
    <t>-0.17370575904486857</t>
  </si>
  <si>
    <t>-0.7145179029166276</t>
  </si>
  <si>
    <t>-0.12011691398907061</t>
  </si>
  <si>
    <t>0.4789844124370517</t>
  </si>
  <si>
    <t>-0.10827543600188867</t>
  </si>
  <si>
    <t>-0.05529171237838761</t>
  </si>
  <si>
    <t>0.32225263452874864</t>
  </si>
  <si>
    <t>-0.06013669150330021</t>
  </si>
  <si>
    <t>-0.4812626377740619</t>
  </si>
  <si>
    <t>-1.1275145450080246</t>
  </si>
  <si>
    <t>0.2531009186222673</t>
  </si>
  <si>
    <t>-0.0511515270438669</t>
  </si>
  <si>
    <t>-0.8549089173582509</t>
  </si>
  <si>
    <t>0.34201217376422116</t>
  </si>
  <si>
    <t>-0.17050392997845754</t>
  </si>
  <si>
    <t>-0.47941773717295816</t>
  </si>
  <si>
    <t>-3.2948063582486395</t>
  </si>
  <si>
    <t>-1.7382557076912848</t>
  </si>
  <si>
    <t>-0.41992637199243593</t>
  </si>
  <si>
    <t>-0.44566577944564434</t>
  </si>
  <si>
    <t>-1.1812651717812797</t>
  </si>
  <si>
    <t>-0.44079822893634174</t>
  </si>
  <si>
    <t>0.6392576110853924</t>
  </si>
  <si>
    <t>-0.9262204989931101</t>
  </si>
  <si>
    <t>0.1843932676420468</t>
  </si>
  <si>
    <t>-0.30995412484970536</t>
  </si>
  <si>
    <t>0.2409189812023332</t>
  </si>
  <si>
    <t>0.5062181626067517</t>
  </si>
  <si>
    <t>-0.5158789931252298</t>
  </si>
  <si>
    <t>-1.1746497417735076</t>
  </si>
  <si>
    <t>0.028458054682589017</t>
  </si>
  <si>
    <t>0.7337200623725929</t>
  </si>
  <si>
    <t>-0.03346618515069415</t>
  </si>
  <si>
    <t>0.32399724890255355</t>
  </si>
  <si>
    <t>-0.006740685659221131</t>
  </si>
  <si>
    <t>1.4603373187818653</t>
  </si>
  <si>
    <t>-0.3507130770295232</t>
  </si>
  <si>
    <t>0.16150978370196692</t>
  </si>
  <si>
    <t>-0.5955544084251739</t>
  </si>
  <si>
    <t>-0.9274367212261192</t>
  </si>
  <si>
    <t>-0.3740676125268114</t>
  </si>
  <si>
    <t>-0.2723080809702422</t>
  </si>
  <si>
    <t>1.057958548578022</t>
  </si>
  <si>
    <t>2.1078564142960303</t>
  </si>
  <si>
    <t>-0.3984986758745438</t>
  </si>
  <si>
    <t>0.05815576376499712</t>
  </si>
  <si>
    <t>-1.386436965957478</t>
  </si>
  <si>
    <t>0.6683034474823556</t>
  </si>
  <si>
    <t>-0.5069124101506742</t>
  </si>
  <si>
    <t>-0.39126531885228594</t>
  </si>
  <si>
    <t>0.7607235770168064</t>
  </si>
  <si>
    <t>1.2142561414808535</t>
  </si>
  <si>
    <t>1.1155668510598484</t>
  </si>
  <si>
    <t>-0.217056644292195</t>
  </si>
  <si>
    <t>0.19892507628732725</t>
  </si>
  <si>
    <t>-0.1742321791289677</t>
  </si>
  <si>
    <t>-0.2478923483581889</t>
  </si>
  <si>
    <t>0.672687990954488</t>
  </si>
  <si>
    <t>0.6054667104350655</t>
  </si>
  <si>
    <t>0.05278616782286691</t>
  </si>
  <si>
    <t>0.24292191596530985</t>
  </si>
  <si>
    <t>-0.9642680494808759</t>
  </si>
  <si>
    <t>1.0661631972108816</t>
  </si>
  <si>
    <t>-0.6222545934288062</t>
  </si>
  <si>
    <t>-0.8886397702592397</t>
  </si>
  <si>
    <t>0.17721382892541485</t>
  </si>
  <si>
    <t>-0.6430712436942636</t>
  </si>
  <si>
    <t>0.12067474412761013</t>
  </si>
  <si>
    <t>-0.6114303053890933</t>
  </si>
  <si>
    <t>-0.7585849732542287</t>
  </si>
  <si>
    <t>0.40059036083636856</t>
  </si>
  <si>
    <t>-0.7224532364964927</t>
  </si>
  <si>
    <t>-0.5796334618446224</t>
  </si>
  <si>
    <t>-0.34923370371605345</t>
  </si>
  <si>
    <t>-0.10515052348216766</t>
  </si>
  <si>
    <t>0.8159673426579472</t>
  </si>
  <si>
    <t>-0.16520719178483945</t>
  </si>
  <si>
    <t>0.023107857729155162</t>
  </si>
  <si>
    <t>0.9720915320002536</t>
  </si>
  <si>
    <t>-1.354824587901645</t>
  </si>
  <si>
    <t>-0.6136966907459385</t>
  </si>
  <si>
    <t>0.2750483219140369</t>
  </si>
  <si>
    <t>-0.7027434986061393</t>
  </si>
  <si>
    <t>-0.12440750994228053</t>
  </si>
  <si>
    <t>1.0105862142874489</t>
  </si>
  <si>
    <t>0.25389536330834284</t>
  </si>
  <si>
    <t>-0.7912837928920707</t>
  </si>
  <si>
    <t>-0.0967158553192587</t>
  </si>
  <si>
    <t>-0.12302640603952822</t>
  </si>
  <si>
    <t>1.251815965661889</t>
  </si>
  <si>
    <t>-0.6901860308260847</t>
  </si>
  <si>
    <t>0.9112690031540338</t>
  </si>
  <si>
    <t>-0.5335045344885214</t>
  </si>
  <si>
    <t>-0.4437572421783045</t>
  </si>
  <si>
    <t>-0.7031616116501671</t>
  </si>
  <si>
    <t>-0.49902813650076744</t>
  </si>
  <si>
    <t>-0.99532108844716</t>
  </si>
  <si>
    <t>-1.5913037655749867</t>
  </si>
  <si>
    <t>-0.11155695955966038</t>
  </si>
  <si>
    <t>0.2967296789186426</t>
  </si>
  <si>
    <t>0.27431528159843804</t>
  </si>
  <si>
    <t>1.5587209788075025</t>
  </si>
  <si>
    <t>-0.5299373894250258</t>
  </si>
  <si>
    <t>1.6253802824954136</t>
  </si>
  <si>
    <t>-0.2623322395951615</t>
  </si>
  <si>
    <t>0.4990326236756747</t>
  </si>
  <si>
    <t>1.7751756043928424</t>
  </si>
  <si>
    <t>-1.7930835493744417</t>
  </si>
  <si>
    <t>-0.5715894801877992</t>
  </si>
  <si>
    <t>-0.3362188344333606</t>
  </si>
  <si>
    <t>-0.27508463883493983</t>
  </si>
  <si>
    <t>1.1178665489798258</t>
  </si>
  <si>
    <t>1.0838274941937083</t>
  </si>
  <si>
    <t>-2.2846511703804895</t>
  </si>
  <si>
    <t>-0.2504057724390563</t>
  </si>
  <si>
    <t>-0.46323086116897993</t>
  </si>
  <si>
    <t>0.5843506328319314</t>
  </si>
  <si>
    <t>0.2217841689667731</t>
  </si>
  <si>
    <t>0.6733415263223111</t>
  </si>
  <si>
    <t>-1.2776259953771996</t>
  </si>
  <si>
    <t>0.35185565374906697</t>
  </si>
  <si>
    <t>0.025311270199099404</t>
  </si>
  <si>
    <t>0.14664238825382486</t>
  </si>
  <si>
    <t>-0.11626260036264095</t>
  </si>
  <si>
    <t>0.6573190235803639</t>
  </si>
  <si>
    <t>-0.47888233646917316</t>
  </si>
  <si>
    <t>-1.8864509892178118</t>
  </si>
  <si>
    <t>0.32126537445317926</t>
  </si>
  <si>
    <t>1.323955301870157</t>
  </si>
  <si>
    <t>1.0069423624742637</t>
  </si>
  <si>
    <t>-0.5262094869287528</t>
  </si>
  <si>
    <t>-0.43889067639614415</t>
  </si>
  <si>
    <t>-0.44700415475212085</t>
  </si>
  <si>
    <t>0.5434234894647798</t>
  </si>
  <si>
    <t>0.6073404148657587</t>
  </si>
  <si>
    <t>-0.15797053750111673</t>
  </si>
  <si>
    <t>0.8518973119952264</t>
  </si>
  <si>
    <t>0.4749641463587193</t>
  </si>
  <si>
    <t>0.43169191311989824</t>
  </si>
  <si>
    <t>-1.0800402737709776</t>
  </si>
  <si>
    <t>-0.1998499793974963</t>
  </si>
  <si>
    <t>-0.47099654490390414</t>
  </si>
  <si>
    <t>-0.3515650405977542</t>
  </si>
  <si>
    <t>-0.5753348503060621</t>
  </si>
  <si>
    <t>1.2205274844224112</t>
  </si>
  <si>
    <t>-0.356323942200014</t>
  </si>
  <si>
    <t>-1.0097771206180737</t>
  </si>
  <si>
    <t>-0.3662185880204199</t>
  </si>
  <si>
    <t>-1.3594946712357239</t>
  </si>
  <si>
    <t>0.17287217320291917</t>
  </si>
  <si>
    <t>-0.980322137741205</t>
  </si>
  <si>
    <t>0.7414695116533928</t>
  </si>
  <si>
    <t>2.584595877413254</t>
  </si>
  <si>
    <t>-0.21700931318837172</t>
  </si>
  <si>
    <t>0.4337559574641681</t>
  </si>
  <si>
    <t>-1.3410575279835524</t>
  </si>
  <si>
    <t>-0.17651499669733137</t>
  </si>
  <si>
    <t>-0.6993450082398132</t>
  </si>
  <si>
    <t>0.4839711515484211</t>
  </si>
  <si>
    <t>-0.5279020673946919</t>
  </si>
  <si>
    <t>-0.4554990925321341</t>
  </si>
  <si>
    <t>0.3471068487437069</t>
  </si>
  <si>
    <t>-0.27869080703721505</t>
  </si>
  <si>
    <t>0.2969019227036366</t>
  </si>
  <si>
    <t>0.28896845023002293</t>
  </si>
  <si>
    <t>-0.29472184456336487</t>
  </si>
  <si>
    <t>1.371217883509263</t>
  </si>
  <si>
    <t>-0.4037195606661285</t>
  </si>
  <si>
    <t>1.627590663662651</t>
  </si>
  <si>
    <t>-0.14803498136528206</t>
  </si>
  <si>
    <t>-1.5834948404445335</t>
  </si>
  <si>
    <t>1.2256409067606733</t>
  </si>
  <si>
    <t>0.051696559127437425</t>
  </si>
  <si>
    <t>-0.23317871296014933</t>
  </si>
  <si>
    <t>-0.20022495858530617</t>
  </si>
  <si>
    <t>-0.007277674853198644</t>
  </si>
  <si>
    <t>0.4107272746258598</t>
  </si>
  <si>
    <t>0.10945000582434364</t>
  </si>
  <si>
    <t>-0.2366816358751392</t>
  </si>
  <si>
    <t>-0.7040651398246905</t>
  </si>
  <si>
    <t>0.8691146915180901</t>
  </si>
  <si>
    <t>0.2905635639104077</t>
  </si>
  <si>
    <t>-0.4285263611818739</t>
  </si>
  <si>
    <t>0.30400953523581403</t>
  </si>
  <si>
    <t>0.23266902687776886</t>
  </si>
  <si>
    <t>0.4649379203260775</t>
  </si>
  <si>
    <t>-0.43039437696657057</t>
  </si>
  <si>
    <t>-0.7784854162480729</t>
  </si>
  <si>
    <t>-0.40295506179586227</t>
  </si>
  <si>
    <t>-0.40181615949710026</t>
  </si>
  <si>
    <t>-1.6706283245261488</t>
  </si>
  <si>
    <t>0.63255703128258</t>
  </si>
  <si>
    <t>0.6777423881293332</t>
  </si>
  <si>
    <t>0.5083179429182749</t>
  </si>
  <si>
    <t>1.4509004623170905</t>
  </si>
  <si>
    <t>-0.11401409967265269</t>
  </si>
  <si>
    <t>0.014801638039095533</t>
  </si>
  <si>
    <t>-0.5561678019656935</t>
  </si>
  <si>
    <t>-1.048584478882419</t>
  </si>
  <si>
    <t>-1.2803789920874145</t>
  </si>
  <si>
    <t>1.0107323143561042</t>
  </si>
  <si>
    <t>-0.3758267331195821</t>
  </si>
  <si>
    <t>0.015856687934718394</t>
  </si>
  <si>
    <t>0.49154185556560487</t>
  </si>
  <si>
    <t>0.4024959808240497</t>
  </si>
  <si>
    <t>-0.39462929804846947</t>
  </si>
  <si>
    <t>-0.2499567075553152</t>
  </si>
  <si>
    <t>-0.15460429281606328</t>
  </si>
  <si>
    <t>-0.43922290236440054</t>
  </si>
  <si>
    <t>-0.2776094620364715</t>
  </si>
  <si>
    <t>-0.9015710499827966</t>
  </si>
  <si>
    <t>-0.28848100599223014</t>
  </si>
  <si>
    <t>1.654084782892907</t>
  </si>
  <si>
    <t>2.3141448937424447</t>
  </si>
  <si>
    <t>-0.9629565008371517</t>
  </si>
  <si>
    <t>0.362334177482613</t>
  </si>
  <si>
    <t>-0.24955682776114504</t>
  </si>
  <si>
    <t>-0.32682199258438693</t>
  </si>
  <si>
    <t>0.4002164850376691</t>
  </si>
  <si>
    <t>-0.11246161271976074</t>
  </si>
  <si>
    <t>-0.5845136142963573</t>
  </si>
  <si>
    <t>0.9051113030901589</t>
  </si>
  <si>
    <t>2.020738333628483</t>
  </si>
  <si>
    <t>0.2530283705212055</t>
  </si>
  <si>
    <t>0.3392076589481552</t>
  </si>
  <si>
    <t>-1.0859889813320274</t>
  </si>
  <si>
    <t>-0.6568333205062987</t>
  </si>
  <si>
    <t>-0.6039609675653792</t>
  </si>
  <si>
    <t>0.35569731997960385</t>
  </si>
  <si>
    <t>-0.6388337950996206</t>
  </si>
  <si>
    <t>0.6011594118760158</t>
  </si>
  <si>
    <t>-0.1875947463113718</t>
  </si>
  <si>
    <t>-0.6982819600079005</t>
  </si>
  <si>
    <t>-0.1809574650417444</t>
  </si>
  <si>
    <t>-0.18774239400479503</t>
  </si>
  <si>
    <t>0.200946706432817</t>
  </si>
  <si>
    <t>-0.7512659809929777</t>
  </si>
  <si>
    <t>-0.3259356438800571</t>
  </si>
  <si>
    <t>0.08349461028350885</t>
  </si>
  <si>
    <t>0.18353624518772937</t>
  </si>
  <si>
    <t>-0.04578457353390187</t>
  </si>
  <si>
    <t>0.0606641295715203</t>
  </si>
  <si>
    <t>-0.5776597349105401</t>
  </si>
  <si>
    <t>1.16687771682521</t>
  </si>
  <si>
    <t>0.2566380513713017</t>
  </si>
  <si>
    <t>-0.1400175008199468</t>
  </si>
  <si>
    <t>-0.5741045704776289</t>
  </si>
  <si>
    <t>0.4935234167023934</t>
  </si>
  <si>
    <t>-0.7847080401518767</t>
  </si>
  <si>
    <t>0.3206519631029767</t>
  </si>
  <si>
    <t>-0.10563534590873823</t>
  </si>
  <si>
    <t>-0.43499430789551863</t>
  </si>
  <si>
    <t>0.9520969557413002</t>
  </si>
  <si>
    <t>0.0402919275430995</t>
  </si>
  <si>
    <t>-0.5849542616207608</t>
  </si>
  <si>
    <t>-0.4341386782819623</t>
  </si>
  <si>
    <t>0.12286006942895482</t>
  </si>
  <si>
    <t>0.31068843545356084</t>
  </si>
  <si>
    <t>-0.15211179408171904</t>
  </si>
  <si>
    <t>-0.4550544810242862</t>
  </si>
  <si>
    <t>2.311803678385577</t>
  </si>
  <si>
    <t>-0.6336172498569189</t>
  </si>
  <si>
    <t>-0.44088344637561167</t>
  </si>
  <si>
    <t>0.3162251690106498</t>
  </si>
  <si>
    <t>-0.23523296670326552</t>
  </si>
  <si>
    <t>0.4908035355992396</t>
  </si>
  <si>
    <t>-0.27116618927354164</t>
  </si>
  <si>
    <t>-1.705714592262545</t>
  </si>
  <si>
    <t>-0.3533811887821288</t>
  </si>
  <si>
    <t>-1.2562831058479036</t>
  </si>
  <si>
    <t>0.3322984496023836</t>
  </si>
  <si>
    <t>-0.49366814262211006</t>
  </si>
  <si>
    <t>-0.8793290423865645</t>
  </si>
  <si>
    <t>0.5026864825797056</t>
  </si>
  <si>
    <t>0.21793654027523135</t>
  </si>
  <si>
    <t>-0.679486453909842</t>
  </si>
  <si>
    <t>-0.025712524637971544</t>
  </si>
  <si>
    <t>-0.651168198942946</t>
  </si>
  <si>
    <t>0.23258936745936662</t>
  </si>
  <si>
    <t>-0.3491800084562385</t>
  </si>
  <si>
    <t>0.7770954794515738</t>
  </si>
  <si>
    <t>0.8983019409302164</t>
  </si>
  <si>
    <t>0.3464331747588625</t>
  </si>
  <si>
    <t>-1.1642150489622929</t>
  </si>
  <si>
    <t>-1.3499115873865108</t>
  </si>
  <si>
    <t>-0.7281686284524763</t>
  </si>
  <si>
    <t>0.4122481451335085</t>
  </si>
  <si>
    <t>0.6930870004473408</t>
  </si>
  <si>
    <t>1.7106743703724852</t>
  </si>
  <si>
    <t>-0.5371603204322396</t>
  </si>
  <si>
    <t>0.5070083207136454</t>
  </si>
  <si>
    <t>0.02328997865495827</t>
  </si>
  <si>
    <t>-0.08673815384957227</t>
  </si>
  <si>
    <t>0.29475141628188545</t>
  </si>
  <si>
    <t>-0.19508520231853665</t>
  </si>
  <si>
    <t>0.7503839725682033</t>
  </si>
  <si>
    <t>0.35766992527821345</t>
  </si>
  <si>
    <t>0.6590648276719757</t>
  </si>
  <si>
    <t>-1.107609273028721</t>
  </si>
  <si>
    <t>-0.8402082242659153</t>
  </si>
  <si>
    <t>0.43618973862108</t>
  </si>
  <si>
    <t>0.23095678082677956</t>
  </si>
  <si>
    <t>0.28075254021241786</t>
  </si>
  <si>
    <t>0.08838677121529064</t>
  </si>
  <si>
    <t>0.2864424688263677</t>
  </si>
  <si>
    <t>-0.8790886213316987</t>
  </si>
  <si>
    <t>-0.6780232706916384</t>
  </si>
  <si>
    <t>0.7746139753611594</t>
  </si>
  <si>
    <t>-0.0551058585596209</t>
  </si>
  <si>
    <t>-0.3294521944876714</t>
  </si>
  <si>
    <t>-0.20443792549004938</t>
  </si>
  <si>
    <t>0.39240845732969676</t>
  </si>
  <si>
    <t>-0.72591842772193</t>
  </si>
  <si>
    <t>0.20118195086203516</t>
  </si>
  <si>
    <t>-0.8315808117529155</t>
  </si>
  <si>
    <t>-0.8922766454859635</t>
  </si>
  <si>
    <t>-0.8553867953643013</t>
  </si>
  <si>
    <t>0.694896881640026</t>
  </si>
  <si>
    <t>0.4843269966000192</t>
  </si>
  <si>
    <t>-0.7438924158378085</t>
  </si>
  <si>
    <t>-0.09934568120021268</t>
  </si>
  <si>
    <t>-0.11585453455908769</t>
  </si>
  <si>
    <t>0.29824706016056457</t>
  </si>
  <si>
    <t>0.5285203294826386</t>
  </si>
  <si>
    <t>-0.5656047098559981</t>
  </si>
  <si>
    <t>0.3052926148163052</t>
  </si>
  <si>
    <t>-0.06389931491431029</t>
  </si>
  <si>
    <t>1.0051988436209731</t>
  </si>
  <si>
    <t>0.17791314087886106</t>
  </si>
  <si>
    <t>0.23825382756678057</t>
  </si>
  <si>
    <t>0.027596489813440653</t>
  </si>
  <si>
    <t>0.39012832515919055</t>
  </si>
  <si>
    <t>0.7521610671408391</t>
  </si>
  <si>
    <t>-0.17580225586422768</t>
  </si>
  <si>
    <t>-0.9506348660417782</t>
  </si>
  <si>
    <t>0.16132282446832727</t>
  </si>
  <si>
    <t>-0.47270501289689976</t>
  </si>
  <si>
    <t>0.3719187956264064</t>
  </si>
  <si>
    <t>-0.049596818742278045</t>
  </si>
  <si>
    <t>-0.6155126562878123</t>
  </si>
  <si>
    <t>0.7745291198655251</t>
  </si>
  <si>
    <t>1.0925347224530106</t>
  </si>
  <si>
    <t>-0.01361821797259866</t>
  </si>
  <si>
    <t>2.9715850538319444</t>
  </si>
  <si>
    <t>0.24290907788834987</t>
  </si>
  <si>
    <t>-0.8289453608114237</t>
  </si>
  <si>
    <t>-1.1335109560050858</t>
  </si>
  <si>
    <t>-0.7205745427566902</t>
  </si>
  <si>
    <t>0.510226453906752</t>
  </si>
  <si>
    <t>0.890533981156649</t>
  </si>
  <si>
    <t>0.5618841887465345</t>
  </si>
  <si>
    <t>1.3038940402655774</t>
  </si>
  <si>
    <t>-0.7789123202593006</t>
  </si>
  <si>
    <t>0.4462546653885242</t>
  </si>
  <si>
    <t>-0.7734172037695278</t>
  </si>
  <si>
    <t>-0.5816762299234038</t>
  </si>
  <si>
    <t>1.0624753216429872</t>
  </si>
  <si>
    <t>-0.7120320490981447</t>
  </si>
  <si>
    <t>-0.8290036176583805</t>
  </si>
  <si>
    <t>1.773178168781785</t>
  </si>
  <si>
    <t>-0.3750227684842985</t>
  </si>
  <si>
    <t>0.10997078539243098</t>
  </si>
  <si>
    <t>0.14776726938921794</t>
  </si>
  <si>
    <t>0.5634390739153875</t>
  </si>
  <si>
    <t>0.8646863928958811</t>
  </si>
  <si>
    <t>-2.8296526438575906</t>
  </si>
  <si>
    <t>2.918165121647025</t>
  </si>
  <si>
    <t>-2.1726438854307575</t>
  </si>
  <si>
    <t>0.544532059619537</t>
  </si>
  <si>
    <t>-1.9745181098465718</t>
  </si>
  <si>
    <t>1.7650735640228434</t>
  </si>
  <si>
    <t>0.8114033358719605</t>
  </si>
  <si>
    <t>-0.25984760970256426</t>
  </si>
  <si>
    <t>0.44645415823954365</t>
  </si>
  <si>
    <t>0.9353103951917338</t>
  </si>
  <si>
    <t>-0.025102891989326012</t>
  </si>
  <si>
    <t>1.0684296828171351</t>
  </si>
  <si>
    <t>-0.2340987688691057</t>
  </si>
  <si>
    <t>-2.9308203907943913</t>
  </si>
  <si>
    <t>1.1190670303376213</t>
  </si>
  <si>
    <t>-0.17280060486337792</t>
  </si>
  <si>
    <t>-0.5900905831597507</t>
  </si>
  <si>
    <t>0.7922464213192878</t>
  </si>
  <si>
    <t>-3.2883978852296973</t>
  </si>
  <si>
    <t>-0.1864288641374861</t>
  </si>
  <si>
    <t>0.6843748249003877</t>
  </si>
  <si>
    <t>-1.3408250580256345</t>
  </si>
  <si>
    <t>-0.5026266214898659</t>
  </si>
  <si>
    <t>0.16480393183902173</t>
  </si>
  <si>
    <t>1.9060583287110604</t>
  </si>
  <si>
    <t>-1.133273948939335</t>
  </si>
  <si>
    <t>-0.5696756936749912</t>
  </si>
  <si>
    <t>0.07633437059277381</t>
  </si>
  <si>
    <t>0.4148945111259793</t>
  </si>
  <si>
    <t>0.9928358320104685</t>
  </si>
  <si>
    <t>-0.9576810689189098</t>
  </si>
  <si>
    <t>0.8318238006224777</t>
  </si>
  <si>
    <t>1.042911727388084</t>
  </si>
  <si>
    <t>-0.18405970238621508</t>
  </si>
  <si>
    <t>-1.994707025522058</t>
  </si>
  <si>
    <t>-1.0536350238191743</t>
  </si>
  <si>
    <t>-0.12828129844392383</t>
  </si>
  <si>
    <t>-1.631792346375255</t>
  </si>
  <si>
    <t>-1.40365153283647</t>
  </si>
  <si>
    <t>1.6612222650915367</t>
  </si>
  <si>
    <t>1.784487892427499</t>
  </si>
  <si>
    <t>-0.46637644414851986</t>
  </si>
  <si>
    <t>0.16234178225335413</t>
  </si>
  <si>
    <t>0.011271926404202786</t>
  </si>
  <si>
    <t>0.4618299577842474</t>
  </si>
  <si>
    <t>0.6375320041659134</t>
  </si>
  <si>
    <t>0.5709144798259251</t>
  </si>
  <si>
    <t>-1.0523644494536268</t>
  </si>
  <si>
    <t>1.3679338472948857</t>
  </si>
  <si>
    <t>-0.019890627592901278</t>
  </si>
  <si>
    <t>0.57881119376973</t>
  </si>
  <si>
    <t>-0.3169632972510153</t>
  </si>
  <si>
    <t>1.4195602018787923</t>
  </si>
  <si>
    <t>0.9027108873813385</t>
  </si>
  <si>
    <t>-0.4637462620423416</t>
  </si>
  <si>
    <t>2.051580766751212</t>
  </si>
  <si>
    <t>-0.38529384468627154</t>
  </si>
  <si>
    <t>0.7125803764340376</t>
  </si>
  <si>
    <t>0.011285085134290869</t>
  </si>
  <si>
    <t>0.793965171924722</t>
  </si>
  <si>
    <t>-1.4156293544659646</t>
  </si>
  <si>
    <t>1.8559788888657525</t>
  </si>
  <si>
    <t>-0.31663311889552753</t>
  </si>
  <si>
    <t>-0.5544071244074898</t>
  </si>
  <si>
    <t>-0.6480414939472888</t>
  </si>
  <si>
    <t>1.0844095395050584</t>
  </si>
  <si>
    <t>-0.44257644827602954</t>
  </si>
  <si>
    <t>-1.8285982195676835</t>
  </si>
  <si>
    <t>0.4238797687101273</t>
  </si>
  <si>
    <t>0.42429822165806996</t>
  </si>
  <si>
    <t>0.0058795714770042045</t>
  </si>
  <si>
    <t>0.05470034975752135</t>
  </si>
  <si>
    <t>0.5383378379245569</t>
  </si>
  <si>
    <t>-0.32831519054950903</t>
  </si>
  <si>
    <t>2.283523784805106</t>
  </si>
  <si>
    <t>-0.6064688838752091</t>
  </si>
  <si>
    <t>0.27562797085670726</t>
  </si>
  <si>
    <t>-0.5446319790841905</t>
  </si>
  <si>
    <t>0.5718720369949063</t>
  </si>
  <si>
    <t>0.1750291562686061</t>
  </si>
  <si>
    <t>0.6483948372783874</t>
  </si>
  <si>
    <t>0.9228187870020762</t>
  </si>
  <si>
    <t>0.06982614325591464</t>
  </si>
  <si>
    <t>0.04149354933237343</t>
  </si>
  <si>
    <t>0.4497170893549841</t>
  </si>
  <si>
    <t>0.30454141059004947</t>
  </si>
  <si>
    <t>-1.566252961898862</t>
  </si>
  <si>
    <t>0.235357149634989</t>
  </si>
  <si>
    <t>-0.8970568745702132</t>
  </si>
  <si>
    <t>0.621780379244433</t>
  </si>
  <si>
    <t>-0.34339458601251366</t>
  </si>
  <si>
    <t>-0.4334718272985481</t>
  </si>
  <si>
    <t>-1.6983353608871337</t>
  </si>
  <si>
    <t>0.7016510765546661</t>
  </si>
  <si>
    <t>-0.45168082231416473</t>
  </si>
  <si>
    <t>-0.59704594071471</t>
  </si>
  <si>
    <t>0.7732548631658537</t>
  </si>
  <si>
    <t>1.3242784886593255</t>
  </si>
  <si>
    <t>0.1681719796327485</t>
  </si>
  <si>
    <t>0.8582340208781682</t>
  </si>
  <si>
    <t>0.3056879350340696</t>
  </si>
  <si>
    <t>-0.25210904121538597</t>
  </si>
  <si>
    <t>1.0962313991410513</t>
  </si>
  <si>
    <t>1.4019683084811863</t>
  </si>
  <si>
    <t>-1.123035717992028</t>
  </si>
  <si>
    <t>-1.7734294537904751</t>
  </si>
  <si>
    <t>-0.22114838032417572</t>
  </si>
  <si>
    <t>0.11532112932129243</t>
  </si>
  <si>
    <t>0.33280218747133705</t>
  </si>
  <si>
    <t>1.6751517222209142</t>
  </si>
  <si>
    <t>-0.3371644048423768</t>
  </si>
  <si>
    <t>1.1265958556817757</t>
  </si>
  <si>
    <t>0.5045741274086643</t>
  </si>
  <si>
    <t>1.826289398198229</t>
  </si>
  <si>
    <t>1.5927636374041851</t>
  </si>
  <si>
    <t>0.27635440686336576</t>
  </si>
  <si>
    <t>-0.8571983544302474</t>
  </si>
  <si>
    <t>1.908996568283915</t>
  </si>
  <si>
    <t>-0.9059449210188537</t>
  </si>
  <si>
    <t>0.4817978621206514</t>
  </si>
  <si>
    <t>1.4630845546773665</t>
  </si>
  <si>
    <t>0.32080187582631653</t>
  </si>
  <si>
    <t>-0.1474710294085486</t>
  </si>
  <si>
    <t>0.21354613830915214</t>
  </si>
  <si>
    <t>0.3270327740012798</t>
  </si>
  <si>
    <t>1.6956896758869995</t>
  </si>
  <si>
    <t>-0.0671900173162611</t>
  </si>
  <si>
    <t>0.17958233082252914</t>
  </si>
  <si>
    <t>-0.34018487858586316</t>
  </si>
  <si>
    <t>1.1960995913908274</t>
  </si>
  <si>
    <t>1.08568518893641</t>
  </si>
  <si>
    <t>-0.6386942230515659</t>
  </si>
  <si>
    <t>0.09397036146709792</t>
  </si>
  <si>
    <t>0.39454869433711903</t>
  </si>
  <si>
    <t>-0.6794844771109124</t>
  </si>
  <si>
    <t>0.009638372027840953</t>
  </si>
  <si>
    <t>-0.3866574032052387</t>
  </si>
  <si>
    <t>-0.3845769843637864</t>
  </si>
  <si>
    <t>-0.31808850893363444</t>
  </si>
  <si>
    <t>0.8709384119190425</t>
  </si>
  <si>
    <t>0.8090375017881379</t>
  </si>
  <si>
    <t>1.0583863360197285</t>
  </si>
  <si>
    <t>1.6708014723329994</t>
  </si>
  <si>
    <t>1.43580559810338</t>
  </si>
  <si>
    <t>-0.19840880489052273</t>
  </si>
  <si>
    <t>0.504510421764202</t>
  </si>
  <si>
    <t>0.4446210648661947</t>
  </si>
  <si>
    <t>0.2918918359148153</t>
  </si>
  <si>
    <t>1.0396837031778876</t>
  </si>
  <si>
    <t>-1.9807135650132641</t>
  </si>
  <si>
    <t>1.358490788805729</t>
  </si>
  <si>
    <t>-0.14702526168305557</t>
  </si>
  <si>
    <t>0.929643597321275</t>
  </si>
  <si>
    <t>1.030741169779704</t>
  </si>
  <si>
    <t>0.5823263023259344</t>
  </si>
  <si>
    <t>0.19273568810099515</t>
  </si>
  <si>
    <t>-1.3188225484190776</t>
  </si>
  <si>
    <t>-2.2734067924693733</t>
  </si>
  <si>
    <t>-0.8076991970133298</t>
  </si>
  <si>
    <t>-1.501057251723339</t>
  </si>
  <si>
    <t>-1.5011352727448264</t>
  </si>
  <si>
    <t>0.6607315576826215</t>
  </si>
  <si>
    <t>-1.284623173838673</t>
  </si>
  <si>
    <t>-2.653466636737536</t>
  </si>
  <si>
    <t>0.90202072609282</t>
  </si>
  <si>
    <t>3.2812877677017442</t>
  </si>
  <si>
    <t>1.9862952839283992</t>
  </si>
  <si>
    <t>-0.6103234852785921</t>
  </si>
  <si>
    <t>0.023114684613598193</t>
  </si>
  <si>
    <t>1.8812518142192205</t>
  </si>
  <si>
    <t>0.3047327138363272</t>
  </si>
  <si>
    <t>-0.3891858170666709</t>
  </si>
  <si>
    <t>2.579407187151739</t>
  </si>
  <si>
    <t>-1.5556704409125641</t>
  </si>
  <si>
    <t>0.1381321796054906</t>
  </si>
  <si>
    <t>-0.6160346347611855</t>
  </si>
  <si>
    <t>2.182322989086667</t>
  </si>
  <si>
    <t>0.8914006996730016</t>
  </si>
  <si>
    <t>-0.6335833486734292</t>
  </si>
  <si>
    <t>0.5519634758566719</t>
  </si>
  <si>
    <t>-0.5279027577395543</t>
  </si>
  <si>
    <t>-0.431466459315544</t>
  </si>
  <si>
    <t>-1.273019675583563</t>
  </si>
  <si>
    <t>0.6619099565002986</t>
  </si>
  <si>
    <t>-0.6809213986015762</t>
  </si>
  <si>
    <t>-0.0714292309024525</t>
  </si>
  <si>
    <t>-1.2883230183092804</t>
  </si>
  <si>
    <t>0.4205635773544165</t>
  </si>
  <si>
    <t>1.054243389683098</t>
  </si>
  <si>
    <t>1.1574460922471297</t>
  </si>
  <si>
    <t>0.2647264712078225</t>
  </si>
  <si>
    <t>2.284785158920714</t>
  </si>
  <si>
    <t>-1.795776207632348</t>
  </si>
  <si>
    <t>-0.44935039264669013</t>
  </si>
  <si>
    <t>1.3406610721903112</t>
  </si>
  <si>
    <t>-1.2889929504604356</t>
  </si>
  <si>
    <t>1.5966855737121972</t>
  </si>
  <si>
    <t>0.6243180969487868</t>
  </si>
  <si>
    <t>0.8183258188398265</t>
  </si>
  <si>
    <t>1.6372406434567188</t>
  </si>
  <si>
    <t>-1.4016076791532026</t>
  </si>
  <si>
    <t>0.77888643643451</t>
  </si>
  <si>
    <t>0.2691350054535005</t>
  </si>
  <si>
    <t>-0.4807497509748314</t>
  </si>
  <si>
    <t>-1.4688768690993121</t>
  </si>
  <si>
    <t>0.8683109671144659</t>
  </si>
  <si>
    <t>0.7190714288883818</t>
  </si>
  <si>
    <t>-0.29078069915260024</t>
  </si>
  <si>
    <t>1.6803081249595129</t>
  </si>
  <si>
    <t>0.13302324008724464</t>
  </si>
  <si>
    <t>0.15804233269579437</t>
  </si>
  <si>
    <t>1.3856134921055376</t>
  </si>
  <si>
    <t>0.1745535670091247</t>
  </si>
  <si>
    <t>-2.0759956573762373</t>
  </si>
  <si>
    <t>0.9833531561904157</t>
  </si>
  <si>
    <t>-1.217804570677385</t>
  </si>
  <si>
    <t>-0.7632552368940595</t>
  </si>
  <si>
    <t>0.4937666436055052</t>
  </si>
  <si>
    <t>0.1655578012859925</t>
  </si>
  <si>
    <t>0.23571430776800575</t>
  </si>
  <si>
    <t>1.2947904493800928</t>
  </si>
  <si>
    <t>0.47485415142419246</t>
  </si>
  <si>
    <t>0.28425048004267806</t>
  </si>
  <si>
    <t>0.4674257086090984</t>
  </si>
  <si>
    <t>0.08515641051015971</t>
  </si>
  <si>
    <t>-1.2897127629883745</t>
  </si>
  <si>
    <t>0.7507033883869062</t>
  </si>
  <si>
    <t>-0.14093491005391331</t>
  </si>
  <si>
    <t>-1.4609150227898415</t>
  </si>
  <si>
    <t>-0.3362417688047667</t>
  </si>
  <si>
    <t>-0.07332994550429553</t>
  </si>
  <si>
    <t>-0.638235804843454</t>
  </si>
  <si>
    <t>1.4932630200516763</t>
  </si>
  <si>
    <t>-0.7444205301609366</t>
  </si>
  <si>
    <t>0.006948954033532502</t>
  </si>
  <si>
    <t>0.9586065253712377</t>
  </si>
  <si>
    <t>0.05062520760881018</t>
  </si>
  <si>
    <t>1.6532468111563088</t>
  </si>
  <si>
    <t>-0.3554539977417939</t>
  </si>
  <si>
    <t>0.30808193964826003</t>
  </si>
  <si>
    <t>0.8495457025938109</t>
  </si>
  <si>
    <t>0.36755615750783666</t>
  </si>
  <si>
    <t>1.0873300160895703</t>
  </si>
  <si>
    <t>0.7642652486203029</t>
  </si>
  <si>
    <t>0.7378126265651419</t>
  </si>
  <si>
    <t>0.18761752279460178</t>
  </si>
  <si>
    <t>-0.6701870913052334</t>
  </si>
  <si>
    <t>0.5465358356924066</t>
  </si>
  <si>
    <t>0.009314403238013328</t>
  </si>
  <si>
    <t>-0.4522675016091519</t>
  </si>
  <si>
    <t>0.12134913845795953</t>
  </si>
  <si>
    <t>-0.5897121042960692</t>
  </si>
  <si>
    <t>-0.6897682688304585</t>
  </si>
  <si>
    <t>0.2994320960065923</t>
  </si>
  <si>
    <t>0.0010885729295724443</t>
  </si>
  <si>
    <t>-0.8584818906541177</t>
  </si>
  <si>
    <t>-1.640268083927637</t>
  </si>
  <si>
    <t>0.5803483249584216</t>
  </si>
  <si>
    <t>0.16609210325444887</t>
  </si>
  <si>
    <t>0.19920678512741494</t>
  </si>
  <si>
    <t>-0.7531992207728263</t>
  </si>
  <si>
    <t>1.6744986889436793</t>
  </si>
  <si>
    <t>-0.10362702477444719</t>
  </si>
  <si>
    <t>-1.300965759145847</t>
  </si>
  <si>
    <t>0.8248329959269104</t>
  </si>
  <si>
    <t>-0.3807538757045507</t>
  </si>
  <si>
    <t>-1.603771734314912</t>
  </si>
  <si>
    <t>-0.7624202053656144</t>
  </si>
  <si>
    <t>0.11216069461456069</t>
  </si>
  <si>
    <t>1.2411054614369323</t>
  </si>
  <si>
    <t>1.6775223198061917</t>
  </si>
  <si>
    <t>1.5206446712658597</t>
  </si>
  <si>
    <t>-0.07260589605374773</t>
  </si>
  <si>
    <t>-0.31941415281564584</t>
  </si>
  <si>
    <t>-1.2901649655923038</t>
  </si>
  <si>
    <t>0.20006606049889616</t>
  </si>
  <si>
    <t>0.061995608680537356</t>
  </si>
  <si>
    <t>-0.513158386658843</t>
  </si>
  <si>
    <t>0.20288076930338003</t>
  </si>
  <si>
    <t>-0.21154449313625326</t>
  </si>
  <si>
    <t>-0.9321131284573146</t>
  </si>
  <si>
    <t>-1.2839234144446547</t>
  </si>
  <si>
    <t>-0.609620009255544</t>
  </si>
  <si>
    <t>2.51942502283419</t>
  </si>
  <si>
    <t>1.6111387235980839</t>
  </si>
  <si>
    <t>1.2749280852833804</t>
  </si>
  <si>
    <t>-0.255507831171412</t>
  </si>
  <si>
    <t>0.3975814125812984</t>
  </si>
  <si>
    <t>-1.9207308064281234</t>
  </si>
  <si>
    <t>0.3992552189845553</t>
  </si>
  <si>
    <t>-0.041416600694345586</t>
  </si>
  <si>
    <t>-0.31395751338565536</t>
  </si>
  <si>
    <t>0.309036363161393</t>
  </si>
  <si>
    <t>-0.14074742243154337</t>
  </si>
  <si>
    <t>-2.437867319558071</t>
  </si>
  <si>
    <t>-0.25332044675782056</t>
  </si>
  <si>
    <t>0.894193083717397</t>
  </si>
  <si>
    <t>-1.400543998768527</t>
  </si>
  <si>
    <t>-0.708432214393659</t>
  </si>
  <si>
    <t>-0.3392535399366576</t>
  </si>
  <si>
    <t>-0.016030179674925007</t>
  </si>
  <si>
    <t>-0.532601697509013</t>
  </si>
  <si>
    <t>0.2505973319232019</t>
  </si>
  <si>
    <t>1.3820074994289941</t>
  </si>
  <si>
    <t>0.04599300524473241</t>
  </si>
  <si>
    <t>-0.24161146765494987</t>
  </si>
  <si>
    <t>-0.6299100773518679</t>
  </si>
  <si>
    <t>1.2065386607275899</t>
  </si>
  <si>
    <t>-0.4674296212867268</t>
  </si>
  <si>
    <t>-0.4708516663676489</t>
  </si>
  <si>
    <t>0.3429589885296849</t>
  </si>
  <si>
    <t>-0.4283327716246469</t>
  </si>
  <si>
    <t>1.286340651384504</t>
  </si>
  <si>
    <t>-0.28445222372817025</t>
  </si>
  <si>
    <t>0.8118823140413759</t>
  </si>
  <si>
    <t>0.9453815299313693</t>
  </si>
  <si>
    <t>0.5521138639426831</t>
  </si>
  <si>
    <t>0.25749441109049814</t>
  </si>
  <si>
    <t>0.6121940198985271</t>
  </si>
  <si>
    <t>0.287698532962625</t>
  </si>
  <si>
    <t>1.2178558315326025</t>
  </si>
  <si>
    <t>1.3946641346222002</t>
  </si>
  <si>
    <t>0.8965845151557151</t>
  </si>
  <si>
    <t>0.3969198142584577</t>
  </si>
  <si>
    <t>-0.9772219634351458</t>
  </si>
  <si>
    <t>0.0902052567804932</t>
  </si>
  <si>
    <t>-1.8023283593002122</t>
  </si>
  <si>
    <t>2.1021542718764774</t>
  </si>
  <si>
    <t>-1.1815265763755687</t>
  </si>
  <si>
    <t>-1.5845767632336885</t>
  </si>
  <si>
    <t>2.8809990444654643</t>
  </si>
  <si>
    <t>0.724162268720317</t>
  </si>
  <si>
    <t>0.11224704452204268</t>
  </si>
  <si>
    <t>-0.9495588064749708</t>
  </si>
  <si>
    <t>-0.9786182284223776</t>
  </si>
  <si>
    <t>2.4595911358465536</t>
  </si>
  <si>
    <t>0.5876071186892059</t>
  </si>
  <si>
    <t>-1.134886652824812</t>
  </si>
  <si>
    <t>-0.3645475755042511</t>
  </si>
  <si>
    <t>0.7584944886455038</t>
  </si>
  <si>
    <t>0.40353526790704686</t>
  </si>
  <si>
    <t>-0.350523023775385</t>
  </si>
  <si>
    <t>1.8542670718296168</t>
  </si>
  <si>
    <t>-0.22591088777581128</t>
  </si>
  <si>
    <t>1.0725174227701468</t>
  </si>
  <si>
    <t>0.7681272487830609</t>
  </si>
  <si>
    <t>0.10729439284700887</t>
  </si>
  <si>
    <t>0.679127886385603</t>
  </si>
  <si>
    <t>2.26512500427899</t>
  </si>
  <si>
    <t>-0.8937693883531083</t>
  </si>
  <si>
    <t>-1.5892251303822225</t>
  </si>
  <si>
    <t>0.9252093835726691</t>
  </si>
  <si>
    <t>-2.5651667869905723</t>
  </si>
  <si>
    <t>0.3228815910426495</t>
  </si>
  <si>
    <t>-0.8802294051112554</t>
  </si>
  <si>
    <t>1.9231659474717897</t>
  </si>
  <si>
    <t>-0.03500228635017093</t>
  </si>
  <si>
    <t>0.39099582408246636</t>
  </si>
  <si>
    <t>-0.6214363605527383</t>
  </si>
  <si>
    <t>-1.3664225226933202</t>
  </si>
  <si>
    <t>-1.0427493574705984</t>
  </si>
  <si>
    <t>1.3253938153645932</t>
  </si>
  <si>
    <t>0.023566754084986624</t>
  </si>
  <si>
    <t>-0.39405963397933763</t>
  </si>
  <si>
    <t>1.893661946167267</t>
  </si>
  <si>
    <t>-0.5706912007614666</t>
  </si>
  <si>
    <t>-1.247149601001429</t>
  </si>
  <si>
    <t>-1.8206820144264213</t>
  </si>
  <si>
    <t>0.3990968188372839</t>
  </si>
  <si>
    <t>0.020202448986999653</t>
  </si>
  <si>
    <t>-0.10488153612975815</t>
  </si>
  <si>
    <t>-0.14705730175633544</t>
  </si>
  <si>
    <t>0.2842705919483873</t>
  </si>
  <si>
    <t>1.5593555935662948</t>
  </si>
  <si>
    <t>0.33775826460077596</t>
  </si>
  <si>
    <t>0.4672556805026504</t>
  </si>
  <si>
    <t>-0.14478098436892362</t>
  </si>
  <si>
    <t>0.9923372869563685</t>
  </si>
  <si>
    <t>-0.14583686483771516</t>
  </si>
  <si>
    <t>0.4550612041158284</t>
  </si>
  <si>
    <t>1.8554081459739233</t>
  </si>
  <si>
    <t>-0.4228709358171313</t>
  </si>
  <si>
    <t>-0.017295556929999813</t>
  </si>
  <si>
    <t>0.4952068630160011</t>
  </si>
  <si>
    <t>-1.0415680968084566</t>
  </si>
  <si>
    <t>-1.86220548078741</t>
  </si>
  <si>
    <t>0.9470063657246199</t>
  </si>
  <si>
    <t>-0.8706880568773088</t>
  </si>
  <si>
    <t>2.0568404129641378</t>
  </si>
  <si>
    <t>-2.32195575375403</t>
  </si>
  <si>
    <t>-0.7260230750118031</t>
  </si>
  <si>
    <t>0.4982796787431349</t>
  </si>
  <si>
    <t>0.11599716930789054</t>
  </si>
  <si>
    <t>-1.071429380141139</t>
  </si>
  <si>
    <t>-0.860624048807557</t>
  </si>
  <si>
    <t>0.213762514835575</t>
  </si>
  <si>
    <t>-1.6784579839101534</t>
  </si>
  <si>
    <t>-1.4166774389082804</t>
  </si>
  <si>
    <t>1.512438658204016</t>
  </si>
  <si>
    <t>-1.3200839986530883</t>
  </si>
  <si>
    <t>0.6757120133249985</t>
  </si>
  <si>
    <t>-0.05830349620823271</t>
  </si>
  <si>
    <t>0.3799055372067066</t>
  </si>
  <si>
    <t>0.3501386794487572</t>
  </si>
  <si>
    <t>-0.03664780867399677</t>
  </si>
  <si>
    <t>1.014634423902531</t>
  </si>
  <si>
    <t>-0.503213887191669</t>
  </si>
  <si>
    <t>-1.0009681274023976</t>
  </si>
  <si>
    <t>1.03553740534838</t>
  </si>
  <si>
    <t>0.5602017484971509</t>
  </si>
  <si>
    <t>-0.4467910227391975</t>
  </si>
  <si>
    <t>-0.7125952187677822</t>
  </si>
  <si>
    <t>0.6997478043720602</t>
  </si>
  <si>
    <t>0.2867018919456355</t>
  </si>
  <si>
    <t>0.12982662591026864</t>
  </si>
  <si>
    <t>-0.058501922858503766</t>
  </si>
  <si>
    <t>0.5356745816487013</t>
  </si>
  <si>
    <t>0.38282455257307435</t>
  </si>
  <si>
    <t>1.1050014018472651</t>
  </si>
  <si>
    <t>0.5911141641757904</t>
  </si>
  <si>
    <t>0.5092769611523186</t>
  </si>
  <si>
    <t>0.4838648946784052</t>
  </si>
  <si>
    <t>-0.2555859594346005</t>
  </si>
  <si>
    <t>0.5855492810801393</t>
  </si>
  <si>
    <t>0.1488536498240817</t>
  </si>
  <si>
    <t>-1.914726565895514</t>
  </si>
  <si>
    <t>-0.43789471032306426</t>
  </si>
  <si>
    <t>-0.9601359261603635</t>
  </si>
  <si>
    <t>0.5215183736787402</t>
  </si>
  <si>
    <t>0.5073654491632964</t>
  </si>
  <si>
    <t>-0.03489293658582759</t>
  </si>
  <si>
    <t>-0.43901074672958074</t>
  </si>
  <si>
    <t>0.08440722089261532</t>
  </si>
  <si>
    <t>1.071234372832354</t>
  </si>
  <si>
    <t>-0.6061404633403275</t>
  </si>
  <si>
    <t>0.39873581707629985</t>
  </si>
  <si>
    <t>1.218783167603965</t>
  </si>
  <si>
    <t>-0.032620795163803874</t>
  </si>
  <si>
    <t>-0.30550001293223045</t>
  </si>
  <si>
    <t>0.30464034730088174</t>
  </si>
  <si>
    <t>0.20724847166162327</t>
  </si>
  <si>
    <t>-0.47375417425105393</t>
  </si>
  <si>
    <t>0.27521531831631457</t>
  </si>
  <si>
    <t>0.18537875757827266</t>
  </si>
  <si>
    <t>-0.3083010862266101</t>
  </si>
  <si>
    <t>-1.229614683851105</t>
  </si>
  <si>
    <t>-0.615285050661642</t>
  </si>
  <si>
    <t>-0.3588462007601573</t>
  </si>
  <si>
    <t>0.08746357824330873</t>
  </si>
  <si>
    <t>-2.5051342396803915</t>
  </si>
  <si>
    <t>0.5873948743246075</t>
  </si>
  <si>
    <t>-0.08044648833203953</t>
  </si>
  <si>
    <t>-0.5746187987067677</t>
  </si>
  <si>
    <t>0.6128595311086897</t>
  </si>
  <si>
    <t>-1.1619662854017414</t>
  </si>
  <si>
    <t>-0.37530953143649226</t>
  </si>
  <si>
    <t>0.5402246388470724</t>
  </si>
  <si>
    <t>2.640548460659046</t>
  </si>
  <si>
    <t>-0.5031557954774822</t>
  </si>
  <si>
    <t>0.5471637111913877</t>
  </si>
  <si>
    <t>0.4535756664863038</t>
  </si>
  <si>
    <t>1.1978966678535237</t>
  </si>
  <si>
    <t>0.15427506010691866</t>
  </si>
  <si>
    <t>0.5200166816135865</t>
  </si>
  <si>
    <t>1.653340898133583</t>
  </si>
  <si>
    <t>0.7287538979063507</t>
  </si>
  <si>
    <t>-0.09700671280421164</t>
  </si>
  <si>
    <t>-0.18205104812268377</t>
  </si>
  <si>
    <t>0.18259833296140332</t>
  </si>
  <si>
    <t>0.3323318366178324</t>
  </si>
  <si>
    <t>0.5966595881472826</t>
  </si>
  <si>
    <t>0.8835992205826251</t>
  </si>
  <si>
    <t>0.3165521178208794</t>
  </si>
  <si>
    <t>-0.9467002990318684</t>
  </si>
  <si>
    <t>0.9362573715015551</t>
  </si>
  <si>
    <t>0.6936755515201872</t>
  </si>
  <si>
    <t>-0.5100034234974797</t>
  </si>
  <si>
    <t>0.580997998220527</t>
  </si>
  <si>
    <t>1.2150867020358402</t>
  </si>
  <si>
    <t>-0.24010583892830106</t>
  </si>
  <si>
    <t>-1.600327935943854</t>
  </si>
  <si>
    <t>-0.6062021308820026</t>
  </si>
  <si>
    <t>0.6838796721117818</t>
  </si>
  <si>
    <t>-0.004788239696967927</t>
  </si>
  <si>
    <t>0.8542378554485055</t>
  </si>
  <si>
    <t>0.15919889893995862</t>
  </si>
  <si>
    <t>0.15915923929390483</t>
  </si>
  <si>
    <t>-1.0772307345731555</t>
  </si>
  <si>
    <t>-0.13992559876198876</t>
  </si>
  <si>
    <t>0.6723932870117767</t>
  </si>
  <si>
    <t>-0.424060489210564</t>
  </si>
  <si>
    <t>-0.9266045753124036</t>
  </si>
  <si>
    <t>0.7179128986676788</t>
  </si>
  <si>
    <t>0.9489484806450725</t>
  </si>
  <si>
    <t>-0.7003863137792715</t>
  </si>
  <si>
    <t>-0.7497267500313073</t>
  </si>
  <si>
    <t>-0.0955427747874009</t>
  </si>
  <si>
    <t>1.3700106166236516</t>
  </si>
  <si>
    <t>-0.571985706225162</t>
  </si>
  <si>
    <t>0.11811691865216377</t>
  </si>
  <si>
    <t>0.7104463573089153</t>
  </si>
  <si>
    <t>-1.104197416565597</t>
  </si>
  <si>
    <t>2.98729161444805</t>
  </si>
  <si>
    <t>0.021571703132503204</t>
  </si>
  <si>
    <t>-1.3054730120698879</t>
  </si>
  <si>
    <t>-0.49851939499479986</t>
  </si>
  <si>
    <t>0.028013642976787906</t>
  </si>
  <si>
    <t>-0.25768075216855585</t>
  </si>
  <si>
    <t>-0.11144846054307045</t>
  </si>
  <si>
    <t>-1.5638087371015714</t>
  </si>
  <si>
    <t>0.27028688549201974</t>
  </si>
  <si>
    <t>0.26650209172067646</t>
  </si>
  <si>
    <t>-0.2209491375319632</t>
  </si>
  <si>
    <t>3.0203298969613486</t>
  </si>
  <si>
    <t>1.1789838670489488</t>
  </si>
  <si>
    <t>-0.38820508344697874</t>
  </si>
  <si>
    <t>-0.2773292547813315</t>
  </si>
  <si>
    <t>0.4215326502305322</t>
  </si>
  <si>
    <t>0.8425876681488519</t>
  </si>
  <si>
    <t>-1.502864466969663</t>
  </si>
  <si>
    <t>-0.4695157789823402</t>
  </si>
  <si>
    <t>-1.517637144830717</t>
  </si>
  <si>
    <t>0.41992020076192477</t>
  </si>
  <si>
    <t>0.5984102699976317</t>
  </si>
  <si>
    <t>1.2840610165715742</t>
  </si>
  <si>
    <t>-2.251695324343831</t>
  </si>
  <si>
    <t>-0.07416355582050994</t>
  </si>
  <si>
    <t>-1.022543832688384</t>
  </si>
  <si>
    <t>-0.958623758558121</t>
  </si>
  <si>
    <t>-0.331276712257718</t>
  </si>
  <si>
    <t>-2.205914825986093</t>
  </si>
  <si>
    <t>0.03237565381465297</t>
  </si>
  <si>
    <t>-0.42580297162397107</t>
  </si>
  <si>
    <t>-0.10089845302975292</t>
  </si>
  <si>
    <t>-0.5588511379261387</t>
  </si>
  <si>
    <t>1.502182879023144</t>
  </si>
  <si>
    <t>-1.1364897533355862</t>
  </si>
  <si>
    <t>0.6785446420551966</t>
  </si>
  <si>
    <t>-2.9636788462384898</t>
  </si>
  <si>
    <t>2.2694134935489583</t>
  </si>
  <si>
    <t>-0.5236501701834265</t>
  </si>
  <si>
    <t>-1.4045547663014752</t>
  </si>
  <si>
    <t>-1.33706491766168</t>
  </si>
  <si>
    <t>1.4254948807599588</t>
  </si>
  <si>
    <t>-2.6472096285738034</t>
  </si>
  <si>
    <t>-0.6906261801874498</t>
  </si>
  <si>
    <t>1.8181797903602868</t>
  </si>
  <si>
    <t>-0.9595765295798787</t>
  </si>
  <si>
    <t>-0.1903192142919822</t>
  </si>
  <si>
    <t>0.0031705217949795955</t>
  </si>
  <si>
    <t>-0.033641945132499684</t>
  </si>
  <si>
    <t>0.35675841108054096</t>
  </si>
  <si>
    <t>-0.34656535474648653</t>
  </si>
  <si>
    <t>1.1120882646115469</t>
  </si>
  <si>
    <t>-1.1066786938458801</t>
  </si>
  <si>
    <t>-0.5690493418067673</t>
  </si>
  <si>
    <t>0.4047513430217902</t>
  </si>
  <si>
    <t>1.1130691319307207</t>
  </si>
  <si>
    <t>-0.6804440413202514</t>
  </si>
  <si>
    <t>-1.4136903966467804</t>
  </si>
  <si>
    <t>0.88162080340271</t>
  </si>
  <si>
    <t>-1.9717049984623927</t>
  </si>
  <si>
    <t>1.2241206532248154</t>
  </si>
  <si>
    <t>-0.7716774882659213</t>
  </si>
  <si>
    <t>-0.8714769657701581</t>
  </si>
  <si>
    <t>2.241642424243458</t>
  </si>
  <si>
    <t>-0.17255825079484793</t>
  </si>
  <si>
    <t>-1.633620921426123</t>
  </si>
  <si>
    <t>1.0938266974896573</t>
  </si>
  <si>
    <t>-0.8841501754097524</t>
  </si>
  <si>
    <t>-1.7699849884150465</t>
  </si>
  <si>
    <t>-2.3321594710786764</t>
  </si>
  <si>
    <t>-1.4753255209020808</t>
  </si>
  <si>
    <t>2.040555897592325</t>
  </si>
  <si>
    <t>-0.06355085139938894</t>
  </si>
  <si>
    <t>-3.1216813256898206</t>
  </si>
  <si>
    <t>1.3711078189683037</t>
  </si>
  <si>
    <t>-1.6536299944023363</t>
  </si>
  <si>
    <t>-0.8930671830412203</t>
  </si>
  <si>
    <t>-0.1515427789320718</t>
  </si>
  <si>
    <t>1.9419239542619076</t>
  </si>
  <si>
    <t>-1.0171521740358074</t>
  </si>
  <si>
    <t>1.6944619557583018</t>
  </si>
  <si>
    <t>0.25948869307163414</t>
  </si>
  <si>
    <t>-0.8930500750759508</t>
  </si>
  <si>
    <t>1.4390665657536321</t>
  </si>
  <si>
    <t>2.5996369486101982</t>
  </si>
  <si>
    <t>0.7492639360950188</t>
  </si>
  <si>
    <t>1.2249270525433793</t>
  </si>
  <si>
    <t>5.014622909079291</t>
  </si>
  <si>
    <t>0.604567886809891</t>
  </si>
  <si>
    <t>-0.9884764604679468</t>
  </si>
  <si>
    <t>0.7962431477390316</t>
  </si>
  <si>
    <t>-2.625280720732527</t>
  </si>
  <si>
    <t>1.310793828305722</t>
  </si>
  <si>
    <t>-0.8925030218546323</t>
  </si>
  <si>
    <t>0.5590350954247452</t>
  </si>
  <si>
    <t>0.6793054453887784</t>
  </si>
  <si>
    <t>-0.4046225319031702</t>
  </si>
  <si>
    <t>0.3401180578379165</t>
  </si>
  <si>
    <t>-0.8928277448365498</t>
  </si>
  <si>
    <t>-0.452234997856597</t>
  </si>
  <si>
    <t>0.039878837872048</t>
  </si>
  <si>
    <t>0.5080091211057988</t>
  </si>
  <si>
    <t>-2.038049654599344</t>
  </si>
  <si>
    <t>-1.0745873602740348</t>
  </si>
  <si>
    <t>-3.706858876489836</t>
  </si>
  <si>
    <t>4.3874837978017895</t>
  </si>
  <si>
    <t>1.0701044193148246</t>
  </si>
  <si>
    <t>1.9643334642423607</t>
  </si>
  <si>
    <t>-1.4465974449876076</t>
  </si>
  <si>
    <t>2.2836312577682354</t>
  </si>
  <si>
    <t>1.230132805569425</t>
  </si>
  <si>
    <t>0.7640248075903145</t>
  </si>
  <si>
    <t>-1.2665404319014764</t>
  </si>
  <si>
    <t>1.605897905010647</t>
  </si>
  <si>
    <t>1.3210810453249693</t>
  </si>
  <si>
    <t>1.1932495031773107</t>
  </si>
  <si>
    <t>0.17613642851585595</t>
  </si>
  <si>
    <t>1.1527033224377086</t>
  </si>
  <si>
    <t>-1.181870826938637</t>
  </si>
  <si>
    <t>0.9021247241143195</t>
  </si>
  <si>
    <t>-0.7330986909194852</t>
  </si>
  <si>
    <t>-1.0612087574728313</t>
  </si>
  <si>
    <t>0.6172363410447046</t>
  </si>
  <si>
    <t>-0.8463910812532159</t>
  </si>
  <si>
    <t>0.2501447413632643</t>
  </si>
  <si>
    <t>2.630249544784866</t>
  </si>
  <si>
    <t>-1.0731569858837973</t>
  </si>
  <si>
    <t>-0.9514562970678021</t>
  </si>
  <si>
    <t>-0.5844536117806747</t>
  </si>
  <si>
    <t>0.6182036049677794</t>
  </si>
  <si>
    <t>-0.36950666768254303</t>
  </si>
  <si>
    <t>-0.4030459675825903</t>
  </si>
  <si>
    <t>0.3425467047799164</t>
  </si>
  <si>
    <t>1.9340389982959598</t>
  </si>
  <si>
    <t>-1.1837590304566064</t>
  </si>
  <si>
    <t>-0.03728041048566888</t>
  </si>
  <si>
    <t>-0.8706049412453346</t>
  </si>
  <si>
    <t>0.33095566877631294</t>
  </si>
  <si>
    <t>-0.5214415277892691</t>
  </si>
  <si>
    <t>3.9444538206991093</t>
  </si>
  <si>
    <t>-1.727086774913324</t>
  </si>
  <si>
    <t>1.1651432041009486</t>
  </si>
  <si>
    <t>-1.502285266709658</t>
  </si>
  <si>
    <t>1.1890571079920065</t>
  </si>
  <si>
    <t>0.42518723313594353</t>
  </si>
  <si>
    <t>-1.4371828415904746</t>
  </si>
  <si>
    <t>0.08055001142247459</t>
  </si>
  <si>
    <t>-1.4174612829399387</t>
  </si>
  <si>
    <t>0.9697963924120583</t>
  </si>
  <si>
    <t>-0.21783906791849983</t>
  </si>
  <si>
    <t>-0.03769455137153108</t>
  </si>
  <si>
    <t>-1.1258191800411306</t>
  </si>
  <si>
    <t>-0.6712169800650425</t>
  </si>
  <si>
    <t>0.7707363769806229</t>
  </si>
  <si>
    <t>-0.5683435705854765</t>
  </si>
  <si>
    <t>-0.7310039845330567</t>
  </si>
  <si>
    <t>0.24035721236224036</t>
  </si>
  <si>
    <t>1.1870274069834925</t>
  </si>
  <si>
    <t>0.3970512287281604</t>
  </si>
  <si>
    <t>0.7584115458540461</t>
  </si>
  <si>
    <t>0.03005430383023387</t>
  </si>
  <si>
    <t>-0.3473978021917995</t>
  </si>
  <si>
    <t>0.03288767114714815</t>
  </si>
  <si>
    <t>-0.7128836131318598</t>
  </si>
  <si>
    <t>-4.47499097808039</t>
  </si>
  <si>
    <t>4.060085880865879</t>
  </si>
  <si>
    <t>0.1952113536407641</t>
  </si>
  <si>
    <t>-1.141572644655646</t>
  </si>
  <si>
    <t>-0.0028834300644012263</t>
  </si>
  <si>
    <t>1.5732849312101072</t>
  </si>
  <si>
    <t>0.7705046683346254</t>
  </si>
  <si>
    <t>1.494715693279455</t>
  </si>
  <si>
    <t>-1.1130760615857052</t>
  </si>
  <si>
    <t>0.2034817958591946</t>
  </si>
  <si>
    <t>-1.7304911076927243</t>
  </si>
  <si>
    <t>-1.298708954399729</t>
  </si>
  <si>
    <t>0.9366379001005325</t>
  </si>
  <si>
    <t>0.06715259421167012</t>
  </si>
  <si>
    <t>2.2735637436533183</t>
  </si>
  <si>
    <t>0.0214541513297947</t>
  </si>
  <si>
    <t>-0.41708948791639666</t>
  </si>
  <si>
    <t>-0.06546847145391767</t>
  </si>
  <si>
    <t>1.8759377679271134</t>
  </si>
  <si>
    <t>0.6922808092610709</t>
  </si>
  <si>
    <t>-1.0227985915311868</t>
  </si>
  <si>
    <t>0.7021364377121696</t>
  </si>
  <si>
    <t>-0.04679567277814147</t>
  </si>
  <si>
    <t>-0.3544562505718431</t>
  </si>
  <si>
    <t>0.784096594925565</t>
  </si>
  <si>
    <t>-0.7092095725865816</t>
  </si>
  <si>
    <t>-1.8216721216976255</t>
  </si>
  <si>
    <t>-0.13687991018178627</t>
  </si>
  <si>
    <t>-1.3518771210932974</t>
  </si>
  <si>
    <t>1.7117673788799763</t>
  </si>
  <si>
    <t>-1.549470151007406</t>
  </si>
  <si>
    <t>-0.34956912797055517</t>
  </si>
  <si>
    <t>-0.1595049754611134</t>
  </si>
  <si>
    <t>1.7386762559560638</t>
  </si>
  <si>
    <t>-0.1545594415554056</t>
  </si>
  <si>
    <t>-0.5016808570397167</t>
  </si>
  <si>
    <t>-0.09103655422230893</t>
  </si>
  <si>
    <t>-0.4545497326749821</t>
  </si>
  <si>
    <t>-0.6563508210566457</t>
  </si>
  <si>
    <t>0.3559493349714724</t>
  </si>
  <si>
    <t>2.49210162153545</t>
  </si>
  <si>
    <t>0.90498352008214</t>
  </si>
  <si>
    <t>-1.1141936524742966</t>
  </si>
  <si>
    <t>-0.1713032063723143</t>
  </si>
  <si>
    <t>0.19694693748512013</t>
  </si>
  <si>
    <t>0.22507818130718654</t>
  </si>
  <si>
    <t>-0.7396038965535107</t>
  </si>
  <si>
    <t>0.6871386559209357</t>
  </si>
  <si>
    <t>-0.9373469567659505</t>
  </si>
  <si>
    <t>0.21306056253546016</t>
  </si>
  <si>
    <t>2.18310943545457</t>
  </si>
  <si>
    <t>0.1846838427898541</t>
  </si>
  <si>
    <t>-0.9314390661109535</t>
  </si>
  <si>
    <t>0.4729937802222021</t>
  </si>
  <si>
    <t>-1.2671350995501371</t>
  </si>
  <si>
    <t>-2.485063954916519</t>
  </si>
  <si>
    <t>0.13683912071806043</t>
  </si>
  <si>
    <t>0.6949348066860376</t>
  </si>
  <si>
    <t>1.1334744061057898</t>
  </si>
  <si>
    <t>0.841962947385325</t>
  </si>
  <si>
    <t>2.9565420801723397</t>
  </si>
  <si>
    <t>2.0293422950477567</t>
  </si>
  <si>
    <t>-1.5338308335363426</t>
  </si>
  <si>
    <t>0.92963431682642</t>
  </si>
  <si>
    <t>-0.44868499143216783</t>
  </si>
  <si>
    <t>-1.0575251558402718</t>
  </si>
  <si>
    <t>-0.32968806593277983</t>
  </si>
  <si>
    <t>0.8905733210543473</t>
  </si>
  <si>
    <t>-1.2261652228080726</t>
  </si>
  <si>
    <t>0.29699758971221046</t>
  </si>
  <si>
    <t>1.262678704932348</t>
  </si>
  <si>
    <t>0.6518444264420374</t>
  </si>
  <si>
    <t>0.1793410764787099</t>
  </si>
  <si>
    <t>0.8482702555597182</t>
  </si>
  <si>
    <t>-0.6907098570989075</t>
  </si>
  <si>
    <t>-0.4003847539023141</t>
  </si>
  <si>
    <t>-1.179918545575967</t>
  </si>
  <si>
    <t>-0.18069491099354543</t>
  </si>
  <si>
    <t>-0.5154661487282818</t>
  </si>
  <si>
    <t>-0.28058661850137717</t>
  </si>
  <si>
    <t>-1.0928376534351802</t>
  </si>
  <si>
    <t>0.6453082820310725</t>
  </si>
  <si>
    <t>0.7487817622539188</t>
  </si>
  <si>
    <t>-0.3254781067855239</t>
  </si>
  <si>
    <t>-0.08064820036009543</t>
  </si>
  <si>
    <t>1.1046294178930722</t>
  </si>
  <si>
    <t>-0.9212025928236389</t>
  </si>
  <si>
    <t>-0.7253442869599972</t>
  </si>
  <si>
    <t>0.5368508564954572</t>
  </si>
  <si>
    <t>0.10705832117871009</t>
  </si>
  <si>
    <t>-0.41739449715353594</t>
  </si>
  <si>
    <t>0.3049775867444567</t>
  </si>
  <si>
    <t>0.17378747819002247</t>
  </si>
  <si>
    <t>-1.5641032471999532</t>
  </si>
  <si>
    <t>0.5694804711125407</t>
  </si>
  <si>
    <t>-1.9965382195889982</t>
  </si>
  <si>
    <t>-0.310230666510559</t>
  </si>
  <si>
    <t>-0.6327815523494</t>
  </si>
  <si>
    <t>-0.7716607122610375</t>
  </si>
  <si>
    <t>-0.5940870149468069</t>
  </si>
  <si>
    <t>1.4099381287427637</t>
  </si>
  <si>
    <t>-0.7049874381030063</t>
  </si>
  <si>
    <t>-1.3824289962712748</t>
  </si>
  <si>
    <t>0.45023587716101837</t>
  </si>
  <si>
    <t>0.7450740182570719</t>
  </si>
  <si>
    <t>1.8080144132715184</t>
  </si>
  <si>
    <t>1.7770604458687538</t>
  </si>
  <si>
    <t>-2.4196967207872646</t>
  </si>
  <si>
    <t>-2.319891503796913</t>
  </si>
  <si>
    <t>-0.6165185011904682</t>
  </si>
  <si>
    <t>1.8364057580454738</t>
  </si>
  <si>
    <t>-0.0168317376238233</t>
  </si>
  <si>
    <t>-2.072663700390978</t>
  </si>
  <si>
    <t>0.25850263221856845</t>
  </si>
  <si>
    <t>-1.3758156801418695</t>
  </si>
  <si>
    <t>0.8065286657152683</t>
  </si>
  <si>
    <t>3.1833150124332734</t>
  </si>
  <si>
    <t>-0.8681636486327364</t>
  </si>
  <si>
    <t>0.9421720048374179</t>
  </si>
  <si>
    <t>-0.9576662861096394</t>
  </si>
  <si>
    <t>0.08425480242678841</t>
  </si>
  <si>
    <t>-0.5857420173310219</t>
  </si>
  <si>
    <t>-0.7642310855528043</t>
  </si>
  <si>
    <t>-0.3463124073361696</t>
  </si>
  <si>
    <t>-1.0491021072547222</t>
  </si>
  <si>
    <t>-1.9201773841300591</t>
  </si>
  <si>
    <t>0.45691578276073275</t>
  </si>
  <si>
    <t>-2.659124040383384</t>
  </si>
  <si>
    <t>-1.702629108270002</t>
  </si>
  <si>
    <t>-1.0564726151406687</t>
  </si>
  <si>
    <t>-1.0124938204360312</t>
  </si>
  <si>
    <t>0.8974372161627878</t>
  </si>
  <si>
    <t>-0.5980006303495642</t>
  </si>
  <si>
    <t>-0.820187089668983</t>
  </si>
  <si>
    <t>-0.3305099921269425</t>
  </si>
  <si>
    <t>0.36589355215179015</t>
  </si>
  <si>
    <t>0.29540195857579393</t>
  </si>
  <si>
    <t>-1.1943834599389038</t>
  </si>
  <si>
    <t>-2.041100254063505</t>
  </si>
  <si>
    <t>-1.7306863576082647</t>
  </si>
  <si>
    <t>-0.9946201416251645</t>
  </si>
  <si>
    <t>-0.27680991902676555</t>
  </si>
  <si>
    <t>-0.5043391469735137</t>
  </si>
  <si>
    <t>-1.029308516047902</t>
  </si>
  <si>
    <t>2.25261517365176</t>
  </si>
  <si>
    <t>1.3107244842656134</t>
  </si>
  <si>
    <t>1.5019594998250547</t>
  </si>
  <si>
    <t>-1.027393327138037</t>
  </si>
  <si>
    <t>-1.013222161956234</t>
  </si>
  <si>
    <t>-1.5720476852660574</t>
  </si>
  <si>
    <t>-0.45349828983752577</t>
  </si>
  <si>
    <t>0.6315153094298381</t>
  </si>
  <si>
    <t>-0.8317464954443263</t>
  </si>
  <si>
    <t>0.4915296717383549</t>
  </si>
  <si>
    <t>2.1367521851738407</t>
  </si>
  <si>
    <t>-0.7793371826965395</t>
  </si>
  <si>
    <t>-0.6150126771660098</t>
  </si>
  <si>
    <t>-1.427554297125166</t>
  </si>
  <si>
    <t>1.8868640121038782</t>
  </si>
  <si>
    <t>0.5830799406074822</t>
  </si>
  <si>
    <t>-0.3121682966930044</t>
  </si>
  <si>
    <t>0.1958809042587371</t>
  </si>
  <si>
    <t>-0.035283594155181536</t>
  </si>
  <si>
    <t>-0.4490681656911207</t>
  </si>
  <si>
    <t>-0.15117085021179447</t>
  </si>
  <si>
    <t>-0.3830395339237735</t>
  </si>
  <si>
    <t>-1.494068286360292</t>
  </si>
  <si>
    <t>0.011571203051126917</t>
  </si>
  <si>
    <t>-0.4211022870246851</t>
  </si>
  <si>
    <t>-1.4190732736962204</t>
  </si>
  <si>
    <t>-3.05586692795286</t>
  </si>
  <si>
    <t>-2.094509698514347</t>
  </si>
  <si>
    <t>-0.18828656591252058</t>
  </si>
  <si>
    <t>3.3108808082518975</t>
  </si>
  <si>
    <t>-3.4916539487707676</t>
  </si>
  <si>
    <t>-1.7575635096398619</t>
  </si>
  <si>
    <t>-2.480155446152815</t>
  </si>
  <si>
    <t>0.44484668887958767</t>
  </si>
  <si>
    <t>-0.2912496472120417</t>
  </si>
  <si>
    <t>1.1135747675377026</t>
  </si>
  <si>
    <t>1.4764237685896342</t>
  </si>
  <si>
    <t>-0.644320591947009</t>
  </si>
  <si>
    <t>-0.32460761057742216</t>
  </si>
  <si>
    <t>-1.3748045819738075</t>
  </si>
  <si>
    <t>4.058257827250262</t>
  </si>
  <si>
    <t>-0.8657911422937502</t>
  </si>
  <si>
    <t>3.215017100780775</t>
  </si>
  <si>
    <t>0.06222899093207118</t>
  </si>
  <si>
    <t>-3.6334362140719043</t>
  </si>
  <si>
    <t>2.7933804003862743</t>
  </si>
  <si>
    <t>0.626819546778164</t>
  </si>
  <si>
    <t>-1.6709822368715916</t>
  </si>
  <si>
    <t>1.3966630738777086</t>
  </si>
  <si>
    <t>1.4780794249630964</t>
  </si>
  <si>
    <t>-0.45181871014613156</t>
  </si>
  <si>
    <t>-0.9396476557934599</t>
  </si>
  <si>
    <t>0.776973080434475</t>
  </si>
  <si>
    <t>1.2812511860154128</t>
  </si>
  <si>
    <t>0.6092164296308877</t>
  </si>
  <si>
    <t>-0.02689930699777809</t>
  </si>
  <si>
    <t>-0.08336378577711749</t>
  </si>
  <si>
    <t>1.04272889348052</t>
  </si>
  <si>
    <t>0.7004335057984662</t>
  </si>
  <si>
    <t>0.6634911952505174</t>
  </si>
  <si>
    <t>-1.7220190543553957</t>
  </si>
  <si>
    <t>0.26840823748839016</t>
  </si>
  <si>
    <t>-0.7240544020505671</t>
  </si>
  <si>
    <t>1.910140456539685</t>
  </si>
  <si>
    <t>0.8656025674037642</t>
  </si>
  <si>
    <t>0.7223454987586528</t>
  </si>
  <si>
    <t>-0.8118510770501294</t>
  </si>
  <si>
    <t>-0.5316544872841027</t>
  </si>
  <si>
    <t>0.41112863842532327</t>
  </si>
  <si>
    <t>0.41907353216185034</t>
  </si>
  <si>
    <t>0.45100514896192295</t>
  </si>
  <si>
    <t>0.10258203288448563</t>
  </si>
  <si>
    <t>-3.1971582862833756</t>
  </si>
  <si>
    <t>0.04616126608448038</t>
  </si>
  <si>
    <t>-1.327907551691833</t>
  </si>
  <si>
    <t>0.37923737345018027</t>
  </si>
  <si>
    <t>-0.8466637987495483</t>
  </si>
  <si>
    <t>-1.0968081890376886</t>
  </si>
  <si>
    <t>-0.8122344437871042</t>
  </si>
  <si>
    <t>3.1500268567494274</t>
  </si>
  <si>
    <t>1.1313851586489467</t>
  </si>
  <si>
    <t>0.8684677808089167</t>
  </si>
  <si>
    <t>0.9184747245267054</t>
  </si>
  <si>
    <t>-0.8942424105117601</t>
  </si>
  <si>
    <t>-1.941002907873016</t>
  </si>
  <si>
    <t>1.4931036276600955</t>
  </si>
  <si>
    <t>2.9852158500160897</t>
  </si>
  <si>
    <t>-1.549661656945643</t>
  </si>
  <si>
    <t>0.548369374772843</t>
  </si>
  <si>
    <t>0.6764573415508205</t>
  </si>
  <si>
    <t>1.3458180400331206</t>
  </si>
  <si>
    <t>0.43051907515394083</t>
  </si>
  <si>
    <t>-0.1739366533509305</t>
  </si>
  <si>
    <t>1.4201071348841783</t>
  </si>
  <si>
    <t>0.09138814520398335</t>
  </si>
  <si>
    <t>-1.4233293324544964</t>
  </si>
  <si>
    <t>-0.15419659876011302</t>
  </si>
  <si>
    <t>0.1044460923706403</t>
  </si>
  <si>
    <t>-2.767863471918435</t>
  </si>
  <si>
    <t>1.4203204648149923</t>
  </si>
  <si>
    <t>0.02201756835799554</t>
  </si>
  <si>
    <t>-0.6862609843608765</t>
  </si>
  <si>
    <t>0.12768970815902467</t>
  </si>
  <si>
    <t>0.6282682641162584</t>
  </si>
  <si>
    <t>-0.9559653281567075</t>
  </si>
  <si>
    <t>0.507358493056611</t>
  </si>
  <si>
    <t>-0.9425782572502239</t>
  </si>
  <si>
    <t>0.18689201613987788</t>
  </si>
  <si>
    <t>0.5896437280564157</t>
  </si>
  <si>
    <t>0.6124562259261267</t>
  </si>
  <si>
    <t>-0.5662294749394587</t>
  </si>
  <si>
    <t>-1.0591580280412143</t>
  </si>
  <si>
    <t>-0.8380748333626097</t>
  </si>
  <si>
    <t>1.6250842683259636</t>
  </si>
  <si>
    <t>1.7744896453254464</t>
  </si>
  <si>
    <t>-1.7885436415363496</t>
  </si>
  <si>
    <t>-1.2316434170940533</t>
  </si>
  <si>
    <t>0.753493166619474</t>
  </si>
  <si>
    <t>-0.3955848926938674</t>
  </si>
  <si>
    <t>-0.5878971896524084</t>
  </si>
  <si>
    <t>-2.0237019620357835</t>
  </si>
  <si>
    <t>-0.18914543347944218</t>
  </si>
  <si>
    <t>-0.871714671894116</t>
  </si>
  <si>
    <t>-0.8069611201587658</t>
  </si>
  <si>
    <t>-0.3174414857003275</t>
  </si>
  <si>
    <t>0.9172572429850376</t>
  </si>
  <si>
    <t>1.4854842164018471</t>
  </si>
  <si>
    <t>-0.17938800193827797</t>
  </si>
  <si>
    <t>-0.28552898140819455</t>
  </si>
  <si>
    <t>0.9340472431994746</t>
  </si>
  <si>
    <t>0.6053617880363625</t>
  </si>
  <si>
    <t>1.6039557855031503</t>
  </si>
  <si>
    <t>-1.887078987785106</t>
  </si>
  <si>
    <t>0.4229534830051716</t>
  </si>
  <si>
    <t>1.5159836438020533</t>
  </si>
  <si>
    <t>0.2875651433342051</t>
  </si>
  <si>
    <t>-0.9267740656496378</t>
  </si>
  <si>
    <t>-0.6012427932735247</t>
  </si>
  <si>
    <t>0.34830496376344483</t>
  </si>
  <si>
    <t>-0.26651163551782764</t>
  </si>
  <si>
    <t>-0.27147771213247973</t>
  </si>
  <si>
    <t>-0.1513192639732601</t>
  </si>
  <si>
    <t>0.8673267079206443</t>
  </si>
  <si>
    <t>-0.3198390781391593</t>
  </si>
  <si>
    <t>-1.5665244417523034</t>
  </si>
  <si>
    <t>-0.8957289604869154</t>
  </si>
  <si>
    <t>-0.6938462024043272</t>
  </si>
  <si>
    <t>-0.08787778656433211</t>
  </si>
  <si>
    <t>-0.24975305857345395</t>
  </si>
  <si>
    <t>-1.3260084397308214</t>
  </si>
  <si>
    <t>-1.901622828478804</t>
  </si>
  <si>
    <t>-0.883876422562125</t>
  </si>
  <si>
    <t>0.9998999575187173</t>
  </si>
  <si>
    <t>-1.849391420584962</t>
  </si>
  <si>
    <t>-0.26583123504972217</t>
  </si>
  <si>
    <t>-0.8227595022181488</t>
  </si>
  <si>
    <t>-0.7923763851078237</t>
  </si>
  <si>
    <t>1.806438192620652</t>
  </si>
  <si>
    <t>0.02980305518358123</t>
  </si>
  <si>
    <t>0.483029479853439</t>
  </si>
  <si>
    <t>1.3846153477338838</t>
  </si>
  <si>
    <t>1.268725887626525</t>
  </si>
  <si>
    <t>-1.6907199930354802</t>
  </si>
  <si>
    <t>0.8143841705957682</t>
  </si>
  <si>
    <t>0.4102365727514425</t>
  </si>
  <si>
    <t>0.3282703480960435</t>
  </si>
  <si>
    <t>0.7881929286514641</t>
  </si>
  <si>
    <t>-2.1327551309247372</t>
  </si>
  <si>
    <t>2.761021025060179</t>
  </si>
  <si>
    <t>2.5339571062192268</t>
  </si>
  <si>
    <t>-0.42765122809286094</t>
  </si>
  <si>
    <t>2.1369758488883046</t>
  </si>
  <si>
    <t>-0.9040446846269423</t>
  </si>
  <si>
    <t>-0.16554202925533265</t>
  </si>
  <si>
    <t>-0.10820227492310476</t>
  </si>
  <si>
    <t>0.7758817376021846</t>
  </si>
  <si>
    <t>-1.0721769185266534</t>
  </si>
  <si>
    <t>-1.0599813020866442</t>
  </si>
  <si>
    <t>0.8026395648964535</t>
  </si>
  <si>
    <t>-1.4884012929617538</t>
  </si>
  <si>
    <t>3.3184900184918553</t>
  </si>
  <si>
    <t>-0.5281241911322174</t>
  </si>
  <si>
    <t>-0.05448966424752401</t>
  </si>
  <si>
    <t>0.8509306186748943</t>
  </si>
  <si>
    <t>1.1609236738809716</t>
  </si>
  <si>
    <t>-2.852274541018511</t>
  </si>
  <si>
    <t>-0.881964945677339</t>
  </si>
  <si>
    <t>-0.4115658196521736</t>
  </si>
  <si>
    <t>-0.6863600197597547</t>
  </si>
  <si>
    <t>-1.1913168875353037</t>
  </si>
  <si>
    <t>-2.7647992627895395</t>
  </si>
  <si>
    <t>2.39819369408073</t>
  </si>
  <si>
    <t>-1.3372086679366695</t>
  </si>
  <si>
    <t>0.21063358356356532</t>
  </si>
  <si>
    <t>1.0441880613589012</t>
  </si>
  <si>
    <t>1.2788068427762425</t>
  </si>
  <si>
    <t>1.545968767440006</t>
  </si>
  <si>
    <t>-2.2194314702038906</t>
  </si>
  <si>
    <t>-1.1824866120710724</t>
  </si>
  <si>
    <t>-1.6250268229984723</t>
  </si>
  <si>
    <t>-0.14687996797756947</t>
  </si>
  <si>
    <t>-2.7241406298425854</t>
  </si>
  <si>
    <t>-0.3942775129719942</t>
  </si>
  <si>
    <t>2.2019491212488815</t>
  </si>
  <si>
    <t>0.05975108903887128</t>
  </si>
  <si>
    <t>-2.225605642576078</t>
  </si>
  <si>
    <t>-0.0825102733849723</t>
  </si>
  <si>
    <t>0.06413319298739888</t>
  </si>
  <si>
    <t>-1.2703802982879857</t>
  </si>
  <si>
    <t>-1.6676814030103997</t>
  </si>
  <si>
    <t>-0.4171536769409088</t>
  </si>
  <si>
    <t>-1.3134527006684005</t>
  </si>
  <si>
    <t>0.10965535401115717</t>
  </si>
  <si>
    <t>-1.2489179350857922</t>
  </si>
  <si>
    <t>4.9732804018186005</t>
  </si>
  <si>
    <t>0.44941289372814586</t>
  </si>
  <si>
    <t>2.4015992656792373</t>
  </si>
  <si>
    <t>-0.0501732491864773</t>
  </si>
  <si>
    <t>-2.449870049734557</t>
  </si>
  <si>
    <t>1.9119482694369934</t>
  </si>
  <si>
    <t>2.267597967234508</t>
  </si>
  <si>
    <t>-0.835189577757818</t>
  </si>
  <si>
    <t>-0.9899652546129762</t>
  </si>
  <si>
    <t>-1.2295344000874202</t>
  </si>
  <si>
    <t>4.251872587357625</t>
  </si>
  <si>
    <t>-0.76901038288747</t>
  </si>
  <si>
    <t>-1.1007735794493076</t>
  </si>
  <si>
    <t>0.26344420510919603</t>
  </si>
  <si>
    <t>-0.729828662205575</t>
  </si>
  <si>
    <t>0.5308443452072098</t>
  </si>
  <si>
    <t>-1.0505802119594558</t>
  </si>
  <si>
    <t>1.6411145143551777</t>
  </si>
  <si>
    <t>0.38496989878449855</t>
  </si>
  <si>
    <t>0.5489076049919496</t>
  </si>
  <si>
    <t>-1.4458844832409692</t>
  </si>
  <si>
    <t>0.2986923001127359</t>
  </si>
  <si>
    <t>-1.4976031840975597</t>
  </si>
  <si>
    <t>0.1372322518103446</t>
  </si>
  <si>
    <t>-0.5388569144965241</t>
  </si>
  <si>
    <t>-0.5852683034952618</t>
  </si>
  <si>
    <t>-1.0242389218095067</t>
  </si>
  <si>
    <t>2.9351072869016535</t>
  </si>
  <si>
    <t>-0.8965157018691385</t>
  </si>
  <si>
    <t>-0.04853693321725054</t>
  </si>
  <si>
    <t>0.43610225100480704</t>
  </si>
  <si>
    <t>2.10705443663107</t>
  </si>
  <si>
    <t>-0.14739528917899414</t>
  </si>
  <si>
    <t>0.47972214820913256</t>
  </si>
  <si>
    <t>-2.1496365144092464</t>
  </si>
  <si>
    <t>0.232437830333126</t>
  </si>
  <si>
    <t>0.8370319216151769</t>
  </si>
  <si>
    <t>0.09414499716935923</t>
  </si>
  <si>
    <t>-0.15091348419861803</t>
  </si>
  <si>
    <t>0.3604081817719484</t>
  </si>
  <si>
    <t>1.3813285060979923</t>
  </si>
  <si>
    <t>-1.944647062319143</t>
  </si>
  <si>
    <t>3.2293813459551712</t>
  </si>
  <si>
    <t>0.322630394587541</t>
  </si>
  <si>
    <t>-1.3330340792591986</t>
  </si>
  <si>
    <t>-0.693873084943476</t>
  </si>
  <si>
    <t>-0.560516548524673</t>
  </si>
  <si>
    <t>-1.5412237694638349</t>
  </si>
  <si>
    <t>-0.9360651414207993</t>
  </si>
  <si>
    <t>-0.23255524003516073</t>
  </si>
  <si>
    <t>-0.780191591661278</t>
  </si>
  <si>
    <t>-0.7412949472076</t>
  </si>
  <si>
    <t>0.0647246008962062</t>
  </si>
  <si>
    <t>0.5932634820005128</t>
  </si>
  <si>
    <t>3.6439024884449203</t>
  </si>
  <si>
    <t>0.9066750045358719</t>
  </si>
  <si>
    <t>1.027510133252261</t>
  </si>
  <si>
    <t>-0.18577914400651394</t>
  </si>
  <si>
    <t>1.8538264159444913</t>
  </si>
  <si>
    <t>0.23337975456610918</t>
  </si>
  <si>
    <t>0.4844991165046565</t>
  </si>
  <si>
    <t>-1.2536686070999807</t>
  </si>
  <si>
    <t>2.0060946317282475</t>
  </si>
  <si>
    <t>-3.513623930239323</t>
  </si>
  <si>
    <t>1.3191550006070323</t>
  </si>
  <si>
    <t>-0.6774318363590603</t>
  </si>
  <si>
    <t>0.7489513744142737</t>
  </si>
  <si>
    <t>2.0231836488093906</t>
  </si>
  <si>
    <t>-1.3246136953993748</t>
  </si>
  <si>
    <t>-1.6579931048237284</t>
  </si>
  <si>
    <t>-1.4800755571561175</t>
  </si>
  <si>
    <t>-1.809875256859946</t>
  </si>
  <si>
    <t>-0.3299476809988031</t>
  </si>
  <si>
    <t>0.1729515333028891</t>
  </si>
  <si>
    <t>-1.0881201503010236</t>
  </si>
  <si>
    <t>0.5938008514344472</t>
  </si>
  <si>
    <t>1.6229974778969285</t>
  </si>
  <si>
    <t>-1.4429830692503214</t>
  </si>
  <si>
    <t>-2.5434521658102454</t>
  </si>
  <si>
    <t>0.06505769303563234</t>
  </si>
  <si>
    <t>-2.969511642999472</t>
  </si>
  <si>
    <t>-0.8482512102361471</t>
  </si>
  <si>
    <t>2.881037120673309</t>
  </si>
  <si>
    <t>0.9889668997931685</t>
  </si>
  <si>
    <t>1.6735980902751066</t>
  </si>
  <si>
    <t>-0.2707262213504398</t>
  </si>
  <si>
    <t>-3.107638707843239</t>
  </si>
  <si>
    <t>0.8710826867542171</t>
  </si>
  <si>
    <t>2.2151806657946795</t>
  </si>
  <si>
    <t>1.1031327192706066</t>
  </si>
  <si>
    <t>-1.9108424892184048</t>
  </si>
  <si>
    <t>0.09081937184775271</t>
  </si>
  <si>
    <t>-0.36479232812101436</t>
  </si>
  <si>
    <t>0.6413798384715864</t>
  </si>
  <si>
    <t>-1.738055174695925</t>
  </si>
  <si>
    <t>2.763088967864724</t>
  </si>
  <si>
    <t>1.0463007864301754</t>
  </si>
  <si>
    <t>-0.23335448880103046</t>
  </si>
  <si>
    <t>0.6772154595253428</t>
  </si>
  <si>
    <t>-1.063678295691124</t>
  </si>
  <si>
    <t>-0.06616042296284876</t>
  </si>
  <si>
    <t>-0.2136201351186867</t>
  </si>
  <si>
    <t>-0.928742141273552</t>
  </si>
  <si>
    <t>2.3868955256901154</t>
  </si>
  <si>
    <t>-1.2119441951234735</t>
  </si>
  <si>
    <t>1.4226657025277667</t>
  </si>
  <si>
    <t>1.2613065862143895</t>
  </si>
  <si>
    <t>0.6220261777490633</t>
  </si>
  <si>
    <t>-1.4553187499918459</t>
  </si>
  <si>
    <t>-1.6610402479666089</t>
  </si>
  <si>
    <t>0.63462786979207</t>
  </si>
  <si>
    <t>-1.901512494869509</t>
  </si>
  <si>
    <t>0.18545765511463277</t>
  </si>
  <si>
    <t>-0.794069601045875</t>
  </si>
  <si>
    <t>-0.051292532979387406</t>
  </si>
  <si>
    <t>-0.4023317932317248</t>
  </si>
  <si>
    <t>0.12061107388425739</t>
  </si>
  <si>
    <t>0.0721045493992075</t>
  </si>
  <si>
    <t>-2.5897527981087247</t>
  </si>
  <si>
    <t>-0.41124783196578396</t>
  </si>
  <si>
    <t>-1.3241830772413665</t>
  </si>
  <si>
    <t>1.0626659653386759</t>
  </si>
  <si>
    <t>1.0636239126040983</t>
  </si>
  <si>
    <t>3.0905246463952785</t>
  </si>
  <si>
    <t>-1.3617300286496465</t>
  </si>
  <si>
    <t>-0.6607028978232108</t>
  </si>
  <si>
    <t>-1.861545604447692</t>
  </si>
  <si>
    <t>0.8889083292463331</t>
  </si>
  <si>
    <t>0.44588044980028196</t>
  </si>
  <si>
    <t>-0.9365839956218174</t>
  </si>
  <si>
    <t>0.789550026507801</t>
  </si>
  <si>
    <t>1.838405084411126</t>
  </si>
  <si>
    <t>2.4942572082287375</t>
  </si>
  <si>
    <t>-1.0802006503695798</t>
  </si>
  <si>
    <t>-2.076767987887214</t>
  </si>
  <si>
    <t>0.20989850312113817</t>
  </si>
  <si>
    <t>0.5376370567359152</t>
  </si>
  <si>
    <t>-0.1369165774518877</t>
  </si>
  <si>
    <t>-0.8710414759061087</t>
  </si>
  <si>
    <t>1.1078583827121644</t>
  </si>
  <si>
    <t>0.9443149668149289</t>
  </si>
  <si>
    <t>0.5995545750982955</t>
  </si>
  <si>
    <t>-1.3753883361074886</t>
  </si>
  <si>
    <t>1.6232859075684842</t>
  </si>
  <si>
    <t>-0.6610083923926036</t>
  </si>
  <si>
    <t>-1.509739443440092</t>
  </si>
  <si>
    <t>1.4850877064664723</t>
  </si>
  <si>
    <t>-0.02270414905118884</t>
  </si>
  <si>
    <t>-0.8233896473021746</t>
  </si>
  <si>
    <t>0.2627741866114927</t>
  </si>
  <si>
    <t>0.5575670583351194</t>
  </si>
  <si>
    <t>0.4446835192258711</t>
  </si>
  <si>
    <t>0.22722773728570111</t>
  </si>
  <si>
    <t>-0.3000073583007203</t>
  </si>
  <si>
    <t>0.3531517773084472</t>
  </si>
  <si>
    <t>0.20675125306219327</t>
  </si>
  <si>
    <t>-0.3784879094273039</t>
  </si>
  <si>
    <t>0.8830113443216823</t>
  </si>
  <si>
    <t>-0.2531924795243733</t>
  </si>
  <si>
    <t>-0.4046341076294894</t>
  </si>
  <si>
    <t>0.9412599556481792</t>
  </si>
  <si>
    <t>1.4765073077946476</t>
  </si>
  <si>
    <t>0.03729353734736459</t>
  </si>
  <si>
    <t>1.3188070435758021</t>
  </si>
  <si>
    <t>-0.5219976918790549</t>
  </si>
  <si>
    <t>0.39393852444260413</t>
  </si>
  <si>
    <t>2.035490494094214</t>
  </si>
  <si>
    <t>0.7412203629196563</t>
  </si>
  <si>
    <t>1.5215359289203265</t>
  </si>
  <si>
    <t>2.027833504081742</t>
  </si>
  <si>
    <t>-1.1292992038963494</t>
  </si>
  <si>
    <t>0.8179381395153343</t>
  </si>
  <si>
    <t>-2.483072852370379</t>
  </si>
  <si>
    <t>0.9744577914032786</t>
  </si>
  <si>
    <t>-0.6264411558017877</t>
  </si>
  <si>
    <t>-1.4175640102966767</t>
  </si>
  <si>
    <t>-0.8284957558890416</t>
  </si>
  <si>
    <t>-1.0721069246478483</t>
  </si>
  <si>
    <t>-0.4736590875801877</t>
  </si>
  <si>
    <t>1.078507622790562</t>
  </si>
  <si>
    <t>1.2595418720858058</t>
  </si>
  <si>
    <t>0.2438745742092575</t>
  </si>
  <si>
    <t>-1.9010473640103438</t>
  </si>
  <si>
    <t>0.3522483267234303</t>
  </si>
  <si>
    <t>1.428406259215038</t>
  </si>
  <si>
    <t>0.9748773851461654</t>
  </si>
  <si>
    <t>0.02840516479205227</t>
  </si>
  <si>
    <t>0.47854910414482715</t>
  </si>
  <si>
    <t>-0.5681024196232815</t>
  </si>
  <si>
    <t>0.524474056006461</t>
  </si>
  <si>
    <t>-1.1743686474755544</t>
  </si>
  <si>
    <t>0.7258265396496161</t>
  </si>
  <si>
    <t>5.038818388387171</t>
  </si>
  <si>
    <t>-0.8083912017011046</t>
  </si>
  <si>
    <t>-0.22272524832855858</t>
  </si>
  <si>
    <t>0.753562671435522</t>
  </si>
  <si>
    <t>1.7585208771998715</t>
  </si>
  <si>
    <t>2.0920594027928345</t>
  </si>
  <si>
    <t>1.2124242164182621</t>
  </si>
  <si>
    <t>1.1099671796312058</t>
  </si>
  <si>
    <t>-0.6646403186685613</t>
  </si>
  <si>
    <t>1.243498475816388</t>
  </si>
  <si>
    <t>0.1081318953633036</t>
  </si>
  <si>
    <t>1.0520316660073294</t>
  </si>
  <si>
    <t>-0.4679689954751816</t>
  </si>
  <si>
    <t>0.6195041754593806</t>
  </si>
  <si>
    <t>1.5758203962103574</t>
  </si>
  <si>
    <t>0.7733261518622137</t>
  </si>
  <si>
    <t>0.38688274944382567</t>
  </si>
  <si>
    <t>-0.08703723746607198</t>
  </si>
  <si>
    <t>1.1669530208129608</t>
  </si>
  <si>
    <t>1.3702183284750442</t>
  </si>
  <si>
    <t>1.230867237440016</t>
  </si>
  <si>
    <t>-2.4982802963327706</t>
  </si>
  <si>
    <t>1.2571969009153863</t>
  </si>
  <si>
    <t>-0.2859492176506888</t>
  </si>
  <si>
    <t>1.8622318161235631</t>
  </si>
  <si>
    <t>1.7649570485915866</t>
  </si>
  <si>
    <t>-2.5727322620143838</t>
  </si>
  <si>
    <t>2.5845035642879175</t>
  </si>
  <si>
    <t>-1.9614698431043829</t>
  </si>
  <si>
    <t>-1.226893503138271</t>
  </si>
  <si>
    <t>1.474741153730657</t>
  </si>
  <si>
    <t>-0.3028359380249093</t>
  </si>
  <si>
    <t>0.3522641564141677</t>
  </si>
  <si>
    <t>0.6453981520396033</t>
  </si>
  <si>
    <t>0.902684620609757</t>
  </si>
  <si>
    <t>-0.5138128329448168</t>
  </si>
  <si>
    <t>-0.49550133162245996</t>
  </si>
  <si>
    <t>0.7591085789180445</t>
  </si>
  <si>
    <t>1.0876757861373103</t>
  </si>
  <si>
    <t>1.3326831383914246</t>
  </si>
  <si>
    <t>-0.5511864289585161</t>
  </si>
  <si>
    <t>-0.5827115904903543</t>
  </si>
  <si>
    <t>-0.0019591670184120353</t>
  </si>
  <si>
    <t>0.8453264855642683</t>
  </si>
  <si>
    <t>0.32255855987846777</t>
  </si>
  <si>
    <t>1.774307690107119</t>
  </si>
  <si>
    <t>0.6828523013569486</t>
  </si>
  <si>
    <t>0.78656346059297</t>
  </si>
  <si>
    <t>-0.5356804342772135</t>
  </si>
  <si>
    <t>1.2787748442346312</t>
  </si>
  <si>
    <t>1.2760182158229076</t>
  </si>
  <si>
    <t>0.15303591013240594</t>
  </si>
  <si>
    <t>0.5310105482830407</t>
  </si>
  <si>
    <t>1.8645964728875244</t>
  </si>
  <si>
    <t>0.9200859125224831</t>
  </si>
  <si>
    <t>0.07232143971142542</t>
  </si>
  <si>
    <t>-0.0908329605920249</t>
  </si>
  <si>
    <t>-0.8698420658960359</t>
  </si>
  <si>
    <t>0.6782294803487269</t>
  </si>
  <si>
    <t>1.2458128983923586</t>
  </si>
  <si>
    <t>-0.8802576387317418</t>
  </si>
  <si>
    <t>-1.147246945049964</t>
  </si>
  <si>
    <t>1.2352072323129457</t>
  </si>
  <si>
    <t>-1.6122390473986303</t>
  </si>
  <si>
    <t>1.7510422073691876</t>
  </si>
  <si>
    <t>0.3706081786399768</t>
  </si>
  <si>
    <t>-0.09419618573098568</t>
  </si>
  <si>
    <t>0.2689544356760833</t>
  </si>
  <si>
    <t>1.5369825796384484</t>
  </si>
  <si>
    <t>-0.11278718655578314</t>
  </si>
  <si>
    <t>1.1251380290657826</t>
  </si>
  <si>
    <t>-0.3710472942374002</t>
  </si>
  <si>
    <t>-0.04834727808938346</t>
  </si>
  <si>
    <t>-0.25841783986561473</t>
  </si>
  <si>
    <t>-1.9228263294547379</t>
  </si>
  <si>
    <t>0.03756003907233245</t>
  </si>
  <si>
    <t>0.18714091848402895</t>
  </si>
  <si>
    <t>1.2325896791949449</t>
  </si>
  <si>
    <t>0.636668116731244</t>
  </si>
  <si>
    <t>1.3012082547502788</t>
  </si>
  <si>
    <t>0.32344659794281944</t>
  </si>
  <si>
    <t>-0.4634696650161306</t>
  </si>
  <si>
    <t>1.270413783622722</t>
  </si>
  <si>
    <t>0.05611346171812742</t>
  </si>
  <si>
    <t>0.4300558901183574</t>
  </si>
  <si>
    <t>0.24735840119716054</t>
  </si>
  <si>
    <t>-0.40045975168857434</t>
  </si>
  <si>
    <t>-2.0456930479097353</t>
  </si>
  <si>
    <t>-0.8106900322450966</t>
  </si>
  <si>
    <t>-0.8095650509429821</t>
  </si>
  <si>
    <t>-0.5002191486057651</t>
  </si>
  <si>
    <t>-1.5863597216005902</t>
  </si>
  <si>
    <t>0.5878976573198939</t>
  </si>
  <si>
    <t>-0.8020532716055138</t>
  </si>
  <si>
    <t>0.016634700130913078</t>
  </si>
  <si>
    <t>1.1227227536582336</t>
  </si>
  <si>
    <t>0.3222534828707672</t>
  </si>
  <si>
    <t>-1.3140657708450445</t>
  </si>
  <si>
    <t>0.7587899865613023</t>
  </si>
  <si>
    <t>-0.5288081680975336</t>
  </si>
  <si>
    <t>1.0104581451909633</t>
  </si>
  <si>
    <t>-1.1106959050247243</t>
  </si>
  <si>
    <t>-0.6331553257585696</t>
  </si>
  <si>
    <t>-2.2583019374290187</t>
  </si>
  <si>
    <t>1.1787152352905108</t>
  </si>
  <si>
    <t>-1.3311540359556755</t>
  </si>
  <si>
    <t>-1.1951771114221719</t>
  </si>
  <si>
    <t>-0.18626725976622083</t>
  </si>
  <si>
    <t>-0.6455830746634529</t>
  </si>
  <si>
    <t>-0.20345246561322167</t>
  </si>
  <si>
    <t>4.6242001958323025</t>
  </si>
  <si>
    <t>-0.8793763206654507</t>
  </si>
  <si>
    <t>0.5609943888852637</t>
  </si>
  <si>
    <t>-0.5260679112093495</t>
  </si>
  <si>
    <t>0.9289724552636396</t>
  </si>
  <si>
    <t>-1.8931528276520493</t>
  </si>
  <si>
    <t>1.1341111127289727</t>
  </si>
  <si>
    <t>-0.6831433983807451</t>
  </si>
  <si>
    <t>-0.030093023210625822</t>
  </si>
  <si>
    <t>-1.9111530059863777</t>
  </si>
  <si>
    <t>0.2128642437102306</t>
  </si>
  <si>
    <t>0.2735183786326497</t>
  </si>
  <si>
    <t>0.3376804512371193</t>
  </si>
  <si>
    <t>0.6960265571790822</t>
  </si>
  <si>
    <t>-0.7560095209234312</t>
  </si>
  <si>
    <t>0.08123227996063942</t>
  </si>
  <si>
    <t>-1.167272426552796</t>
  </si>
  <si>
    <t>-0.1259775434949657</t>
  </si>
  <si>
    <t>0.363292369238083</t>
  </si>
  <si>
    <t>0.8588646301006263</t>
  </si>
  <si>
    <t>1.0577455925026202</t>
  </si>
  <si>
    <t>1.2462543119163059</t>
  </si>
  <si>
    <t>-0.8647673148567682</t>
  </si>
  <si>
    <t>-0.2485821377159041</t>
  </si>
  <si>
    <t>-2.8821779149471785</t>
  </si>
  <si>
    <t>-1.35099498340239</t>
  </si>
  <si>
    <t>-0.6568639642209593</t>
  </si>
  <si>
    <t>-1.20655004850351</t>
  </si>
  <si>
    <t>-0.9132784131784755</t>
  </si>
  <si>
    <t>0.7657501180981238</t>
  </si>
  <si>
    <t>-1.0282653546939828</t>
  </si>
  <si>
    <t>1.5131321014398373</t>
  </si>
  <si>
    <t>-1.2087137830604782</t>
  </si>
  <si>
    <t>0.49255254718498315</t>
  </si>
  <si>
    <t>-0.5894249892278608</t>
  </si>
  <si>
    <t>-1.2941351365911435</t>
  </si>
  <si>
    <t>1.1746068513337027</t>
  </si>
  <si>
    <t>-0.7176933188681636</t>
  </si>
  <si>
    <t>0.17513473322355502</t>
  </si>
  <si>
    <t>1.402770636344903</t>
  </si>
  <si>
    <t>-2.8193804695190483</t>
  </si>
  <si>
    <t>2.6744498969231674</t>
  </si>
  <si>
    <t>0.5287865810124179</t>
  </si>
  <si>
    <t>-0.8455229457514559</t>
  </si>
  <si>
    <t>1.2806263568672311</t>
  </si>
  <si>
    <t>-1.9111701172004811</t>
  </si>
  <si>
    <t>0.4292086648028066</t>
  </si>
  <si>
    <t>-1.299990894610293</t>
  </si>
  <si>
    <t>1.0817496944269143</t>
  </si>
  <si>
    <t>-0.38065041041576786</t>
  </si>
  <si>
    <t>-2.8879211159087195</t>
  </si>
  <si>
    <t>1.9602670870866825</t>
  </si>
  <si>
    <t>1.3525203285985956</t>
  </si>
  <si>
    <t>0.29569736104472794</t>
  </si>
  <si>
    <t>-0.8421393686239391</t>
  </si>
  <si>
    <t>0.4405190614278677</t>
  </si>
  <si>
    <t>1.0235308899148616</t>
  </si>
  <si>
    <t>-0.7182275760746418</t>
  </si>
  <si>
    <t>1.1960878921790261</t>
  </si>
  <si>
    <t>-0.9062066873333361</t>
  </si>
  <si>
    <t>0.07176214186925832</t>
  </si>
  <si>
    <t>0.009871311090178117</t>
  </si>
  <si>
    <t>-0.32952281148076074</t>
  </si>
  <si>
    <t>0.1153198299977028</t>
  </si>
  <si>
    <t>0.09900892036477264</t>
  </si>
  <si>
    <t>0.9667187535417666</t>
  </si>
  <si>
    <t>-0.4122710081374004</t>
  </si>
  <si>
    <t>-3.214968721332569</t>
  </si>
  <si>
    <t>-0.8468289121076191</t>
  </si>
  <si>
    <t>-0.3473784040585285</t>
  </si>
  <si>
    <t>-1.7736831030939626</t>
  </si>
  <si>
    <t>-1.7561371307622773</t>
  </si>
  <si>
    <t>0.8847267116594025</t>
  </si>
  <si>
    <t>-0.7119231938457071</t>
  </si>
  <si>
    <t>0.36449214292647664</t>
  </si>
  <si>
    <t>-0.08898211321023183</t>
  </si>
  <si>
    <t>-0.08215209671146688</t>
  </si>
  <si>
    <t>-1.0727029647557151</t>
  </si>
  <si>
    <t>0.7264989689956242</t>
  </si>
  <si>
    <t>1.922750994757758</t>
  </si>
  <si>
    <t>2.9692165959958485</t>
  </si>
  <si>
    <t>-0.35143315906061623</t>
  </si>
  <si>
    <t>-0.1758761788435791</t>
  </si>
  <si>
    <t>-0.6867026743359128</t>
  </si>
  <si>
    <t>-0.08530481555400071</t>
  </si>
  <si>
    <t>-1.4141754570612004</t>
  </si>
  <si>
    <t>0.739002030065782</t>
  </si>
  <si>
    <t>-1.4037045175551217</t>
  </si>
  <si>
    <t>-0.3966114951193107</t>
  </si>
  <si>
    <t>-2.3198673151995712</t>
  </si>
  <si>
    <t>-2.0920190953190687</t>
  </si>
  <si>
    <t>-0.35429858489483956</t>
  </si>
  <si>
    <t>2.7634586931301564</t>
  </si>
  <si>
    <t>3.1038676508601504</t>
  </si>
  <si>
    <t>-0.5399501770385028</t>
  </si>
  <si>
    <t>-1.9276566938208672</t>
  </si>
  <si>
    <t>-0.6843677973263643</t>
  </si>
  <si>
    <t>-1.2415153216049624</t>
  </si>
  <si>
    <t>0.7114208367089773</t>
  </si>
  <si>
    <t>-2.0783204806203948</t>
  </si>
  <si>
    <t>-2.7074068642271105</t>
  </si>
  <si>
    <t>2.0994171305533156</t>
  </si>
  <si>
    <t>-0.2693839348817288</t>
  </si>
  <si>
    <t>0.7201874133068976</t>
  </si>
  <si>
    <t>-2.19310911341688</t>
  </si>
  <si>
    <t>2.5732863013223803</t>
  </si>
  <si>
    <t>-0.489459999332992</t>
  </si>
  <si>
    <t>-0.5291798814073696</t>
  </si>
  <si>
    <t>-0.5456535537582637</t>
  </si>
  <si>
    <t>-1.112718570249309</t>
  </si>
  <si>
    <t>1.0126706755073585</t>
  </si>
  <si>
    <t>-0.21246729543874657</t>
  </si>
  <si>
    <t>-0.35283519588359097</t>
  </si>
  <si>
    <t>0.04240362886524242</t>
  </si>
  <si>
    <t>1.7970773959730941</t>
  </si>
  <si>
    <t>1.8729099439262187</t>
  </si>
  <si>
    <t>-0.37337924012079793</t>
  </si>
  <si>
    <t>-1.544829678582555</t>
  </si>
  <si>
    <t>-0.794911520792143</t>
  </si>
  <si>
    <t>1.1571323819012052</t>
  </si>
  <si>
    <t>-0.19357028768615592</t>
  </si>
  <si>
    <t>-2.257470499508195</t>
  </si>
  <si>
    <t>-2.9910603448033357</t>
  </si>
  <si>
    <t>1.2287544613459402</t>
  </si>
  <si>
    <t>-0.654922851339509</t>
  </si>
  <si>
    <t>-1.151539102962393</t>
  </si>
  <si>
    <t>0.1055165652969132</t>
  </si>
  <si>
    <t>2.234674502161317</t>
  </si>
  <si>
    <t>0.05941894383414728</t>
  </si>
  <si>
    <t>-1.285158244272519</t>
  </si>
  <si>
    <t>2.5697295934122746</t>
  </si>
  <si>
    <t>2.9404004535157426</t>
  </si>
  <si>
    <t>-1.4743084409322789</t>
  </si>
  <si>
    <t>-2.1765607497949393</t>
  </si>
  <si>
    <t>0.14428529329251613</t>
  </si>
  <si>
    <t>1.3027620683660956</t>
  </si>
  <si>
    <t>2.042341485216052</t>
  </si>
  <si>
    <t>-1.1140611476406355</t>
  </si>
  <si>
    <t>-1.7452406125434075</t>
  </si>
  <si>
    <t>-3.6081935837773815</t>
  </si>
  <si>
    <t>-0.7087599540326043</t>
  </si>
  <si>
    <t>2.081771004823924</t>
  </si>
  <si>
    <t>1.5674515666334268</t>
  </si>
  <si>
    <t>-0.22135994562892064</t>
  </si>
  <si>
    <t>-0.7235126439215193</t>
  </si>
  <si>
    <t>0.7420553238982931</t>
  </si>
  <si>
    <t>1.213184761743613</t>
  </si>
  <si>
    <t>0.14409998005070634</t>
  </si>
  <si>
    <t>-1.837401924945264</t>
  </si>
  <si>
    <t>-1.8004141846683825</t>
  </si>
  <si>
    <t>-0.24091274153395534</t>
  </si>
  <si>
    <t>-3.959535765565407</t>
  </si>
  <si>
    <t>-2.2117466268826127</t>
  </si>
  <si>
    <t>1.4388944084714281</t>
  </si>
  <si>
    <t>0.5538566503101139</t>
  </si>
  <si>
    <t>0.1470167678173876</t>
  </si>
  <si>
    <t>1.6501016287966572</t>
  </si>
  <si>
    <t>-0.7709105377972437</t>
  </si>
  <si>
    <t>1.8094250575180608</t>
  </si>
  <si>
    <t>3.9595300972563248</t>
  </si>
  <si>
    <t>-2.7843758291236114</t>
  </si>
  <si>
    <t>-2.4456920336798844</t>
  </si>
  <si>
    <t>-1.4098386397674811</t>
  </si>
  <si>
    <t>-0.6944708199392556</t>
  </si>
  <si>
    <t>-0.33280174652778255</t>
  </si>
  <si>
    <t>-2.5852395456530046</t>
  </si>
  <si>
    <t>-1.614758483727821</t>
  </si>
  <si>
    <t>0.23779666487729365</t>
  </si>
  <si>
    <t>-0.3311265432697172</t>
  </si>
  <si>
    <t>-0.7364063115060037</t>
  </si>
  <si>
    <t>2.8575524198501068</t>
  </si>
  <si>
    <t>0.43763227848698627</t>
  </si>
  <si>
    <t>0.9446484980193685</t>
  </si>
  <si>
    <t>1.9582423354377034</t>
  </si>
  <si>
    <t>-1.3895846241283172</t>
  </si>
  <si>
    <t>-1.36168903212006</t>
  </si>
  <si>
    <t>-1.4414515756131872</t>
  </si>
  <si>
    <t>-1.5271157933838324</t>
  </si>
  <si>
    <t>3.63790959463651</t>
  </si>
  <si>
    <t>-1.4664654062943312</t>
  </si>
  <si>
    <t>2.0093213973593365</t>
  </si>
  <si>
    <t>0.6112930643577819</t>
  </si>
  <si>
    <t>-2.8438327059736115</t>
  </si>
  <si>
    <t>3.292908376705277</t>
  </si>
  <si>
    <t>-0.30361754288823645</t>
  </si>
  <si>
    <t>-2.222242484436185</t>
  </si>
  <si>
    <t>1.3586907250349696</t>
  </si>
  <si>
    <t>1.0322945732047542</t>
  </si>
  <si>
    <t>-0.16729465378944763</t>
  </si>
  <si>
    <t>3.4994359212360564</t>
  </si>
  <si>
    <t>-2.219167463735284</t>
  </si>
  <si>
    <t>-0.40429611999248605</t>
  </si>
  <si>
    <t>-1.7164586616088953</t>
  </si>
  <si>
    <t>0.7301805773584508</t>
  </si>
  <si>
    <t>1.0843192982091685</t>
  </si>
  <si>
    <t>1.3830844153345045</t>
  </si>
  <si>
    <t>0.08675326295086386</t>
  </si>
  <si>
    <t>-1.289514208237269</t>
  </si>
  <si>
    <t>-0.5982457434954068</t>
  </si>
  <si>
    <t>1.6364951083187305</t>
  </si>
  <si>
    <t>-0.42355141746620184</t>
  </si>
  <si>
    <t>-0.029367315672087665</t>
  </si>
  <si>
    <t>-2.9425568702564058</t>
  </si>
  <si>
    <t>-0.8952441187839002</t>
  </si>
  <si>
    <t>-1.7785389118709376</t>
  </si>
  <si>
    <t>-0.06894894357764123</t>
  </si>
  <si>
    <t>-0.36305154293051684</t>
  </si>
  <si>
    <t>-0.8482010240416924</t>
  </si>
  <si>
    <t>-0.08371269724189669</t>
  </si>
  <si>
    <t>-0.9153298230856176</t>
  </si>
  <si>
    <t>0.36438880274723073</t>
  </si>
  <si>
    <t>0.09345547133572353</t>
  </si>
  <si>
    <t>-0.6292163881441152</t>
  </si>
  <si>
    <t>0.29804141974510645</t>
  </si>
  <si>
    <t>0.5947111701204655</t>
  </si>
  <si>
    <t>0.3090372417412515</t>
  </si>
  <si>
    <t>0.12438213382054177</t>
  </si>
  <si>
    <t>-0.2635931205713614</t>
  </si>
  <si>
    <t>-0.07330638899103517</t>
  </si>
  <si>
    <t>0.3689666662365872</t>
  </si>
  <si>
    <t>-0.5639301420451099</t>
  </si>
  <si>
    <t>-0.26574301355136026</t>
  </si>
  <si>
    <t>2.067996154011267</t>
  </si>
  <si>
    <t>0.8608334317121564</t>
  </si>
  <si>
    <t>0.10105703456979509</t>
  </si>
  <si>
    <t>-0.37244064624940515</t>
  </si>
  <si>
    <t>0.3423947164112734</t>
  </si>
  <si>
    <t>2.3051597351337376</t>
  </si>
  <si>
    <t>-2.4067946690059427</t>
  </si>
  <si>
    <t>0.36853891078465906</t>
  </si>
  <si>
    <t>1.3391445552057137</t>
  </si>
  <si>
    <t>-0.25359428341971574</t>
  </si>
  <si>
    <t>0.012007059981146472</t>
  </si>
  <si>
    <t>0.4664205138905455</t>
  </si>
  <si>
    <t>0.4375919922220916</t>
  </si>
  <si>
    <t>-0.9161080017167326</t>
  </si>
  <si>
    <t>-0.23458451297336352</t>
  </si>
  <si>
    <t>0.09155012222758387</t>
  </si>
  <si>
    <t>1.1205225874220912</t>
  </si>
  <si>
    <t>-0.17438429073634668</t>
  </si>
  <si>
    <t>-0.2621639539524157</t>
  </si>
  <si>
    <t>0.1149654288319024</t>
  </si>
  <si>
    <t>-0.2377247458392932</t>
  </si>
  <si>
    <t>-1.1977735432606285</t>
  </si>
  <si>
    <t>-0.47326377353580384</t>
  </si>
  <si>
    <t>0.6968425723191705</t>
  </si>
  <si>
    <t>0.3366001428970683</t>
  </si>
  <si>
    <t>0.5451008553481415</t>
  </si>
  <si>
    <t>-0.817055717722975</t>
  </si>
  <si>
    <t>-0.3304577940860372</t>
  </si>
  <si>
    <t>-0.5713083711555779</t>
  </si>
  <si>
    <t>-0.3618740148989472</t>
  </si>
  <si>
    <t>1.7182539783997308</t>
  </si>
  <si>
    <t>0.23331149867786302</t>
  </si>
  <si>
    <t>-0.5859201512318153</t>
  </si>
  <si>
    <t>-0.07585961197403457</t>
  </si>
  <si>
    <t>-0.607098502900491</t>
  </si>
  <si>
    <t>-0.17237747278324023</t>
  </si>
  <si>
    <t>0.2606341394625276</t>
  </si>
  <si>
    <t>-0.5701433631596368</t>
  </si>
  <si>
    <t>-0.11659910957504827</t>
  </si>
  <si>
    <t>0.32413903219460954</t>
  </si>
  <si>
    <t>0.901743162632838</t>
  </si>
  <si>
    <t>0.31612581276164475</t>
  </si>
  <si>
    <t>-0.6106832083298519</t>
  </si>
  <si>
    <t>0.7871843583748863</t>
  </si>
  <si>
    <t>-0.3203078286406967</t>
  </si>
  <si>
    <t>0.4306194486837846</t>
  </si>
  <si>
    <t>1.174526648218265</t>
  </si>
  <si>
    <t>-0.10535446825827847</t>
  </si>
  <si>
    <t>-0.09315248307258742</t>
  </si>
  <si>
    <t>-0.16494553475586698</t>
  </si>
  <si>
    <t>0.5839851366712459</t>
  </si>
  <si>
    <t>0.4474246414946697</t>
  </si>
  <si>
    <t>-0.2468584291867239</t>
  </si>
  <si>
    <t>0.8950173561303826</t>
  </si>
  <si>
    <t>1.0108908188825678</t>
  </si>
  <si>
    <t>-0.49994848359680155</t>
  </si>
  <si>
    <t>-0.45180275493482563</t>
  </si>
  <si>
    <t>0.7350534905075432</t>
  </si>
  <si>
    <t>0.5408206048222165</t>
  </si>
  <si>
    <t>0.3466819935263831</t>
  </si>
  <si>
    <t>-0.5082697944575768</t>
  </si>
  <si>
    <t>1.210927162278771</t>
  </si>
  <si>
    <t>-0.03848469102222735</t>
  </si>
  <si>
    <t>-0.7970147415315695</t>
  </si>
  <si>
    <t>0.6056962219100054</t>
  </si>
  <si>
    <t>-0.5511169304993432</t>
  </si>
  <si>
    <t>0.42555415623152615</t>
  </si>
  <si>
    <t>-0.31648321154832587</t>
  </si>
  <si>
    <t>0.8991625653419625</t>
  </si>
  <si>
    <t>-0.7872589785645727</t>
  </si>
  <si>
    <t>0.11303408710245469</t>
  </si>
  <si>
    <t>-0.29082890340222245</t>
  </si>
  <si>
    <t>1.1145195606111564</t>
  </si>
  <si>
    <t>0.061027879717779634</t>
  </si>
  <si>
    <t>0.14074773739131158</t>
  </si>
  <si>
    <t>-1.0951139945334274</t>
  </si>
  <si>
    <t>-0.6431063382435442</t>
  </si>
  <si>
    <t>0.3272277299358928</t>
  </si>
  <si>
    <t>0.27621330940482597</t>
  </si>
  <si>
    <t>-0.5465283189783726</t>
  </si>
  <si>
    <t>-1.464070582254156</t>
  </si>
  <si>
    <t>1.6333616921116698</t>
  </si>
  <si>
    <t>0.6629731572915967</t>
  </si>
  <si>
    <t>-1.466237718073328</t>
  </si>
  <si>
    <t>1.4020941146468564</t>
  </si>
  <si>
    <t>-1.3218885348558114</t>
  </si>
  <si>
    <t>0.4510189658697592</t>
  </si>
  <si>
    <t>-0.07266000155916241</t>
  </si>
  <si>
    <t>-1.2485812913980963</t>
  </si>
  <si>
    <t>0.7746060091612612</t>
  </si>
  <si>
    <t>-0.878257538981282</t>
  </si>
  <si>
    <t>-0.22146839064742094</t>
  </si>
  <si>
    <t>-0.02908630887656425</t>
  </si>
  <si>
    <t>0.24309883225390472</t>
  </si>
  <si>
    <t>0.2589897164894263</t>
  </si>
  <si>
    <t>-0.5945248440769487</t>
  </si>
  <si>
    <t>-0.8317584176518378</t>
  </si>
  <si>
    <t>1.090903780950403</t>
  </si>
  <si>
    <t>-0.26253566625017055</t>
  </si>
  <si>
    <t>0.3066743342891061</t>
  </si>
  <si>
    <t>-0.5416030952640476</t>
  </si>
  <si>
    <t>-0.7297861053689679</t>
  </si>
  <si>
    <t>0.3213715077104958</t>
  </si>
  <si>
    <t>0.32082390028568336</t>
  </si>
  <si>
    <t>0.7765781810038231</t>
  </si>
  <si>
    <t>0.0886917052987391</t>
  </si>
  <si>
    <t>-0.8197402481103354</t>
  </si>
  <si>
    <t>0.17351073921098673</t>
  </si>
  <si>
    <t>0.09788231835676754</t>
  </si>
  <si>
    <t>0.1307545070912693</t>
  </si>
  <si>
    <t>0.6658633177195143</t>
  </si>
  <si>
    <t>0.5874884964993082</t>
  </si>
  <si>
    <t>-0.6806270897129025</t>
  </si>
  <si>
    <t>-1.0993941756668446</t>
  </si>
  <si>
    <t>-0.02289395747981509</t>
  </si>
  <si>
    <t>-0.20310323200831895</t>
  </si>
  <si>
    <t>-0.6717254066130297</t>
  </si>
  <si>
    <t>-0.06647620500872566</t>
  </si>
  <si>
    <t>-0.8639161224526917</t>
  </si>
  <si>
    <t>-0.43302495628619325</t>
  </si>
  <si>
    <t>0.6600923744242982</t>
  </si>
  <si>
    <t>0.4853563079587567</t>
  </si>
  <si>
    <t>-0.6249272783320381</t>
  </si>
  <si>
    <t>-0.01736337441572202</t>
  </si>
  <si>
    <t>0.19547146489939746</t>
  </si>
  <si>
    <t>-0.1361807397816245</t>
  </si>
  <si>
    <t>0.3324207350144904</t>
  </si>
  <si>
    <t>1.3442154081520237</t>
  </si>
  <si>
    <t>0.09721395133505491</t>
  </si>
  <si>
    <t>0.17376468016933372</t>
  </si>
  <si>
    <t>-0.3437007997435126</t>
  </si>
  <si>
    <t>1.548862587574417</t>
  </si>
  <si>
    <t>0.5280054499131546</t>
  </si>
  <si>
    <t>-0.4001990463416385</t>
  </si>
  <si>
    <t>0.10249442095744699</t>
  </si>
  <si>
    <t>0.4158723954196402</t>
  </si>
  <si>
    <t>-0.3726275309235654</t>
  </si>
  <si>
    <t>0.38202193264706663</t>
  </si>
  <si>
    <t>-0.059215685050611123</t>
  </si>
  <si>
    <t>1.1253205520460838</t>
  </si>
  <si>
    <t>-0.6176663709311624</t>
  </si>
  <si>
    <t>-0.22699531587396796</t>
  </si>
  <si>
    <t>-0.41824299228036776</t>
  </si>
  <si>
    <t>1.0658776761704432</t>
  </si>
  <si>
    <t>0.5580774921962663</t>
  </si>
  <si>
    <t>-1.1137645622433705</t>
  </si>
  <si>
    <t>0.6133276443788502</t>
  </si>
  <si>
    <t>-1.0915534735569452</t>
  </si>
  <si>
    <t>-0.5603754560207815</t>
  </si>
  <si>
    <t>0.01003155981433624</t>
  </si>
  <si>
    <t>-0.5629424825722684</t>
  </si>
  <si>
    <t>-0.4131306836667272</t>
  </si>
  <si>
    <t>-0.6631414599261458</t>
  </si>
  <si>
    <t>0.5814937551532783</t>
  </si>
  <si>
    <t>-0.3772497511524494</t>
  </si>
  <si>
    <t>0.6636226957558039</t>
  </si>
  <si>
    <t>1.1876350600510743</t>
  </si>
  <si>
    <t>0.20864166230456108</t>
  </si>
  <si>
    <t>-0.6397573864757385</t>
  </si>
  <si>
    <t>0.18344751083744648</t>
  </si>
  <si>
    <t>1.0173710580979525</t>
  </si>
  <si>
    <t>-0.6114242676592063</t>
  </si>
  <si>
    <t>0.22494238095426708</t>
  </si>
  <si>
    <t>0.25412369967220705</t>
  </si>
  <si>
    <t>0.5256118832768822</t>
  </si>
  <si>
    <t>0.890853372480717</t>
  </si>
  <si>
    <t>0.4795162229974237</t>
  </si>
  <si>
    <t>-2.050353593091821</t>
  </si>
  <si>
    <t>0.9135292806841425</t>
  </si>
  <si>
    <t>-0.9180282325035791</t>
  </si>
  <si>
    <t>1.2653188550452885</t>
  </si>
  <si>
    <t>-0.2902383365131123</t>
  </si>
  <si>
    <t>0.2907635317704375</t>
  </si>
  <si>
    <t>-0.9237749123510991</t>
  </si>
  <si>
    <t>0.1929473951042511</t>
  </si>
  <si>
    <t>-0.03237293542336393</t>
  </si>
  <si>
    <t>0.1504293352129592</t>
  </si>
  <si>
    <t>0.43011959269846267</t>
  </si>
  <si>
    <t>-1.0804358340065998</t>
  </si>
  <si>
    <t>0.8718117908172125</t>
  </si>
  <si>
    <t>-0.6188042158421801</t>
  </si>
  <si>
    <t>-0.5054562715368119</t>
  </si>
  <si>
    <t>-0.8957988431403101</t>
  </si>
  <si>
    <t>0.3742575327828896</t>
  </si>
  <si>
    <t>-0.8774639458778446</t>
  </si>
  <si>
    <t>0.6714852419993772</t>
  </si>
  <si>
    <t>-0.04613326852000326</t>
  </si>
  <si>
    <t>-0.5924249490871195</t>
  </si>
  <si>
    <t>0.7497124997877262</t>
  </si>
  <si>
    <t>0.42358599251515877</t>
  </si>
  <si>
    <t>0.182029317304134</t>
  </si>
  <si>
    <t>1.1584767679735555</t>
  </si>
  <si>
    <t>-0.8224053027689582</t>
  </si>
  <si>
    <t>0.5301642301815083</t>
  </si>
  <si>
    <t>-0.25693241450283344</t>
  </si>
  <si>
    <t>0.025277078787943018</t>
  </si>
  <si>
    <t>-0.10408498809198768</t>
  </si>
  <si>
    <t>-0.22509746723555563</t>
  </si>
  <si>
    <t>0.6480566045718906</t>
  </si>
  <si>
    <t>0.243958180799741</t>
  </si>
  <si>
    <t>-0.08839577921687859</t>
  </si>
  <si>
    <t>-0.1109959622262074</t>
  </si>
  <si>
    <t>-0.6377460848541573</t>
  </si>
  <si>
    <t>0.24709983088256857</t>
  </si>
  <si>
    <t>0.5066490700752494</t>
  </si>
  <si>
    <t>-0.48217123968891923</t>
  </si>
  <si>
    <t>0.02845834308579523</t>
  </si>
  <si>
    <t>-0.43102569477935837</t>
  </si>
  <si>
    <t>-0.17357839076070977</t>
  </si>
  <si>
    <t>-0.0837226184124772</t>
  </si>
  <si>
    <t>-0.16668566048831607</t>
  </si>
  <si>
    <t>-0.3368392239803576</t>
  </si>
  <si>
    <t>0.46950006561151186</t>
  </si>
  <si>
    <t>-0.0855180093318765</t>
  </si>
  <si>
    <t>-0.13643053830565333</t>
  </si>
  <si>
    <t>0.8067566606986932</t>
  </si>
  <si>
    <t>0.08054587974367526</t>
  </si>
  <si>
    <t>0.1502451615259845</t>
  </si>
  <si>
    <t>-0.05858950640681473</t>
  </si>
  <si>
    <t>0.22033018607630345</t>
  </si>
  <si>
    <t>0.18180964237270053</t>
  </si>
  <si>
    <t>-0.6728900837100165</t>
  </si>
  <si>
    <t>0.021563862375097137</t>
  </si>
  <si>
    <t>-0.20469372046618328</t>
  </si>
  <si>
    <t>-0.0633277816336539</t>
  </si>
  <si>
    <t>0.4599730759971949</t>
  </si>
  <si>
    <t>0.5996864367684914</t>
  </si>
  <si>
    <t>1.3766846211271773</t>
  </si>
  <si>
    <t>-0.2586077034498168</t>
  </si>
  <si>
    <t>0.4645997569174206</t>
  </si>
  <si>
    <t>-0.12395028259678288</t>
  </si>
  <si>
    <t>-0.32961112580069984</t>
  </si>
  <si>
    <t>-0.36131063274576475</t>
  </si>
  <si>
    <t>-0.38430079596578004</t>
  </si>
  <si>
    <t>0.012395797805342848</t>
  </si>
  <si>
    <t>-0.31277218794071615</t>
  </si>
  <si>
    <t>-0.002171889540216234</t>
  </si>
  <si>
    <t>0.22165420421203186</t>
  </si>
  <si>
    <t>-0.1333471234311923</t>
  </si>
  <si>
    <t>0.2189469467368298</t>
  </si>
  <si>
    <t>-0.5043680135707077</t>
  </si>
  <si>
    <t>-0.20292148155936388</t>
  </si>
  <si>
    <t>-0.09396611806413316</t>
  </si>
  <si>
    <t>0.14594613499988837</t>
  </si>
  <si>
    <t>-0.45211875615480884</t>
  </si>
  <si>
    <t>-0.34865575840841334</t>
  </si>
  <si>
    <t>0.5140663575746828</t>
  </si>
  <si>
    <t>-0.11604136412519116</t>
  </si>
  <si>
    <t>-0.45773515985208724</t>
  </si>
  <si>
    <t>-0.8308683555805084</t>
  </si>
  <si>
    <t>0.7600256945337791</t>
  </si>
  <si>
    <t>-0.4550408220950584</t>
  </si>
  <si>
    <t>-0.5379820381418432</t>
  </si>
  <si>
    <t>-0.593904317324587</t>
  </si>
  <si>
    <t>-0.05009726760268338</t>
  </si>
  <si>
    <t>0.1241787092133602</t>
  </si>
  <si>
    <t>0.33265914342809405</t>
  </si>
  <si>
    <t>-0.2848271528884273</t>
  </si>
  <si>
    <t>-0.6708192193125868</t>
  </si>
  <si>
    <t>0.5821957733741452</t>
  </si>
  <si>
    <t>-0.8801093337628706</t>
  </si>
  <si>
    <t>-0.5102646190965847</t>
  </si>
  <si>
    <t>-2.156099942410919</t>
  </si>
  <si>
    <t>0.5697473875236627</t>
  </si>
  <si>
    <t>1.3818884040070885</t>
  </si>
  <si>
    <t>-0.1762175563793768</t>
  </si>
  <si>
    <t>-1.412886510624892</t>
  </si>
  <si>
    <t>0.08562483497639152</t>
  </si>
  <si>
    <t>-0.16315274533495797</t>
  </si>
  <si>
    <t>-0.4774497798863459</t>
  </si>
  <si>
    <t>-1.0119397781872084</t>
  </si>
  <si>
    <t>0.3496944248511074</t>
  </si>
  <si>
    <t>0.9828431690538669</t>
  </si>
  <si>
    <t>0.7672674268986798</t>
  </si>
  <si>
    <t>0.3552596852843906</t>
  </si>
  <si>
    <t>-0.7513013042306241</t>
  </si>
  <si>
    <t>0.11206165280140909</t>
  </si>
  <si>
    <t>1.1264328846768614</t>
  </si>
  <si>
    <t>-0.5545954690938335</t>
  </si>
  <si>
    <t>-0.1534932610678716</t>
  </si>
  <si>
    <t>0.19611521423964887</t>
  </si>
  <si>
    <t>0.7457426253288014</t>
  </si>
  <si>
    <t>-0.16642412067959317</t>
  </si>
  <si>
    <t>2.1380441768942244</t>
  </si>
  <si>
    <t>1.9463545026656386</t>
  </si>
  <si>
    <t>0.7678034288732094</t>
  </si>
  <si>
    <t>-1.1413359974378792</t>
  </si>
  <si>
    <t>0.17162331951703766</t>
  </si>
  <si>
    <t>0.7730754577689904</t>
  </si>
  <si>
    <t>0.8961630856738327</t>
  </si>
  <si>
    <t>0.6810694214595856</t>
  </si>
  <si>
    <t>0.07674724752368647</t>
  </si>
  <si>
    <t>0.5483282504378141</t>
  </si>
  <si>
    <t>-1.3929140658299708</t>
  </si>
  <si>
    <t>-0.29018932494373584</t>
  </si>
  <si>
    <t>0.4469640574521009</t>
  </si>
  <si>
    <t>1.4110795038162232</t>
  </si>
  <si>
    <t>0.05057044875503563</t>
  </si>
  <si>
    <t>1.153481889894196</t>
  </si>
  <si>
    <t>-0.4696259861814248</t>
  </si>
  <si>
    <t>0.26009811979575453</t>
  </si>
  <si>
    <t>0.3252480580907915</t>
  </si>
  <si>
    <t>-0.0174425757517793</t>
  </si>
  <si>
    <t>0.06529761657497546</t>
  </si>
  <si>
    <t>-0.08027309821141049</t>
  </si>
  <si>
    <t>-0.5861506289118489</t>
  </si>
  <si>
    <t>0.038511076851844815</t>
  </si>
  <si>
    <t>-0.6771125055857745</t>
  </si>
  <si>
    <t>-0.40798301480939797</t>
  </si>
  <si>
    <t>-0.4521485821986303</t>
  </si>
  <si>
    <t>0.9299040119580209</t>
  </si>
  <si>
    <t>0.811881467021533</t>
  </si>
  <si>
    <t>0.3616013786819245</t>
  </si>
  <si>
    <t>1.342438616578441</t>
  </si>
  <si>
    <t>-0.21576181938370764</t>
  </si>
  <si>
    <t>0.1673560290034091</t>
  </si>
  <si>
    <t>0.06638663302515427</t>
  </si>
  <si>
    <t>-1.331930670567989</t>
  </si>
  <si>
    <t>-1.2745825390939935</t>
  </si>
  <si>
    <t>1.3391380637623993</t>
  </si>
  <si>
    <t>-0.8088904868883555</t>
  </si>
  <si>
    <t>0.035003452883176384</t>
  </si>
  <si>
    <t>-0.7069133539408992</t>
  </si>
  <si>
    <t>0.35938712354318414</t>
  </si>
  <si>
    <t>-0.8985470834188511</t>
  </si>
  <si>
    <t>1.7176325268076078</t>
  </si>
  <si>
    <t>-0.34756735229148517</t>
  </si>
  <si>
    <t>-0.9322583422336024</t>
  </si>
  <si>
    <t>0.27165321300502876</t>
  </si>
  <si>
    <t>-0.40105241524041363</t>
  </si>
  <si>
    <t>0.06584747710698963</t>
  </si>
  <si>
    <t>-0.6578123512211687</t>
  </si>
  <si>
    <t>1.3908434140136892</t>
  </si>
  <si>
    <t>-1.1058193334244582</t>
  </si>
  <si>
    <t>0.40652376672002677</t>
  </si>
  <si>
    <t>0.3633478964825938</t>
  </si>
  <si>
    <t>-0.2682889824219745</t>
  </si>
  <si>
    <t>-0.06988507502748445</t>
  </si>
  <si>
    <t>-0.8042563176508865</t>
  </si>
  <si>
    <t>-0.5240897964530061</t>
  </si>
  <si>
    <t>-0.6672535356013508</t>
  </si>
  <si>
    <t>-0.42431837081914286</t>
  </si>
  <si>
    <t>0.7139223573840722</t>
  </si>
  <si>
    <t>-0.36213389849601285</t>
  </si>
  <si>
    <t>-0.2756292340103449</t>
  </si>
  <si>
    <t>1.0371322012535769</t>
  </si>
  <si>
    <t>-0.24247693164155223</t>
  </si>
  <si>
    <t>-1.2950012338340497</t>
  </si>
  <si>
    <t>0.14134124716648946</t>
  </si>
  <si>
    <t>0.012401326872098602</t>
  </si>
  <si>
    <t>0.3597355339392485</t>
  </si>
  <si>
    <t>-0.06341344764644911</t>
  </si>
  <si>
    <t>2.0928382668927674</t>
  </si>
  <si>
    <t>0.0007852525688089471</t>
  </si>
  <si>
    <t>0.04029790002845946</t>
  </si>
  <si>
    <t>1.0912191924609518</t>
  </si>
  <si>
    <t>0.2727183816407955</t>
  </si>
  <si>
    <t>0.6048602054595872</t>
  </si>
  <si>
    <t>-0.45730793528592456</t>
  </si>
  <si>
    <t>0.4137950932652704</t>
  </si>
  <si>
    <t>1.2913974788852312</t>
  </si>
  <si>
    <t>-0.3648791492686489</t>
  </si>
  <si>
    <t>1.5209732131952611</t>
  </si>
  <si>
    <t>0.3115095177480166</t>
  </si>
  <si>
    <t>0.22647134610881534</t>
  </si>
  <si>
    <t>0.2719088769060385</t>
  </si>
  <si>
    <t>0.9787349169578466</t>
  </si>
  <si>
    <t>-1.0203149030335228</t>
  </si>
  <si>
    <t>-0.1163480158687188</t>
  </si>
  <si>
    <t>0.21153769928151497</t>
  </si>
  <si>
    <t>0.20211079588021827</t>
  </si>
  <si>
    <t>0.7828641645990654</t>
  </si>
  <si>
    <t>0.12641537737043876</t>
  </si>
  <si>
    <t>-1.0985923455443636</t>
  </si>
  <si>
    <t>0.28708933152146937</t>
  </si>
  <si>
    <t>1.3095512124244466</t>
  </si>
  <si>
    <t>-0.858270201015056</t>
  </si>
  <si>
    <t>-0.11435139058179232</t>
  </si>
  <si>
    <t>-0.6804195472272142</t>
  </si>
  <si>
    <t>-0.6260232411405067</t>
  </si>
  <si>
    <t>-0.40279342958628844</t>
  </si>
  <si>
    <t>-0.5237942791624848</t>
  </si>
  <si>
    <t>-0.72983591608961</t>
  </si>
  <si>
    <t>1.3285503928034923</t>
  </si>
  <si>
    <t>-0.016858732622531507</t>
  </si>
  <si>
    <t>1.342577829493088</t>
  </si>
  <si>
    <t>-0.10132895157004009</t>
  </si>
  <si>
    <t>-0.4948584164915146</t>
  </si>
  <si>
    <t>-1.2183951254930148</t>
  </si>
  <si>
    <t>0.5598963603513051</t>
  </si>
  <si>
    <t>0.3897044318008463</t>
  </si>
  <si>
    <t>0.4423957205779222</t>
  </si>
  <si>
    <t>-0.5021164650871662</t>
  </si>
  <si>
    <t>0.03307471531303306</t>
  </si>
  <si>
    <t>0.38603149630281913</t>
  </si>
  <si>
    <t>-0.4476799347104704</t>
  </si>
  <si>
    <t>-0.8769369130360144</t>
  </si>
  <si>
    <t>-0.6368880540921296</t>
  </si>
  <si>
    <t>-1.0250995885566778</t>
  </si>
  <si>
    <t>0.3844301929719314</t>
  </si>
  <si>
    <t>0.9849568833324128</t>
  </si>
  <si>
    <t>0.28985330065878107</t>
  </si>
  <si>
    <t>0.4482109444658328</t>
  </si>
  <si>
    <t>-0.5225432083130307</t>
  </si>
  <si>
    <t>1.2497620442783777</t>
  </si>
  <si>
    <t>-0.2938343918208045</t>
  </si>
  <si>
    <t>0.20824014845883962</t>
  </si>
  <si>
    <t>0.6588092113797163</t>
  </si>
  <si>
    <t>0.4190893004876112</t>
  </si>
  <si>
    <t>-0.25195297588741145</t>
  </si>
  <si>
    <t>-0.40248036158427325</t>
  </si>
  <si>
    <t>0.009787605616365313</t>
  </si>
  <si>
    <t>0.9265231751371258</t>
  </si>
  <si>
    <t>-0.527307318045961</t>
  </si>
  <si>
    <t>-0.11915413086482658</t>
  </si>
  <si>
    <t>0.6736356431884919</t>
  </si>
  <si>
    <t>-0.8429391263367675</t>
  </si>
  <si>
    <t>-0.2619897377347906</t>
  </si>
  <si>
    <t>-0.9442785014902308</t>
  </si>
  <si>
    <t>-0.28064724019259557</t>
  </si>
  <si>
    <t>-0.9322360179028262</t>
  </si>
  <si>
    <t>0.3429645243892445</t>
  </si>
  <si>
    <t>1.0849845665591384</t>
  </si>
  <si>
    <t>0.7663248784891927</t>
  </si>
  <si>
    <t>0.060808291511490795</t>
  </si>
  <si>
    <t>-0.6257246958847076</t>
  </si>
  <si>
    <t>1.3688946278160918</t>
  </si>
  <si>
    <t>0.2393145987404506</t>
  </si>
  <si>
    <t>-0.43729382323120863</t>
  </si>
  <si>
    <t>-0.9798668531090571</t>
  </si>
  <si>
    <t>0.5165789286546113</t>
  </si>
  <si>
    <t>-0.8277515818415476</t>
  </si>
  <si>
    <t>-0.6120167577570188</t>
  </si>
  <si>
    <t>0.7248052763225085</t>
  </si>
  <si>
    <t>-0.7677268381563235</t>
  </si>
  <si>
    <t>-0.5843428541841836</t>
  </si>
  <si>
    <t>0.18232913886736937</t>
  </si>
  <si>
    <t>0.3814365133717684</t>
  </si>
  <si>
    <t>-0.24876892767138473</t>
  </si>
  <si>
    <t>-0.3892786213695408</t>
  </si>
  <si>
    <t>-1.350947825212285</t>
  </si>
  <si>
    <t>0.5164610368003348</t>
  </si>
  <si>
    <t>0.37667322875704506</t>
  </si>
  <si>
    <t>-0.4690644469224328</t>
  </si>
  <si>
    <t>0.27877351289184</t>
  </si>
  <si>
    <t>0.5991321546468498</t>
  </si>
  <si>
    <t>-0.16243668606137962</t>
  </si>
  <si>
    <t>-0.3339754383403292</t>
  </si>
  <si>
    <t>-0.6279417363160912</t>
  </si>
  <si>
    <t>0.685596991650073</t>
  </si>
  <si>
    <t>0.0865196824790323</t>
  </si>
  <si>
    <t>-0.9275522176408957</t>
  </si>
  <si>
    <t>-1.015193545959276</t>
  </si>
  <si>
    <t>1.0624045787556518</t>
  </si>
  <si>
    <t>-0.9118739958841937</t>
  </si>
  <si>
    <t>-0.19746034527086434</t>
  </si>
  <si>
    <t>-1.671278677179208</t>
  </si>
  <si>
    <t>-0.1588228383749764</t>
  </si>
  <si>
    <t>-0.4272235785259311</t>
  </si>
  <si>
    <t>-0.17686482696474404</t>
  </si>
  <si>
    <t>-0.5093162947778592</t>
  </si>
  <si>
    <t>-0.08057120300580636</t>
  </si>
  <si>
    <t>-0.4452435642090964</t>
  </si>
  <si>
    <t>-0.7853182878225711</t>
  </si>
  <si>
    <t>0.15117688767333928</t>
  </si>
  <si>
    <t>-0.4627368850738442</t>
  </si>
  <si>
    <t>0.6836318628896079</t>
  </si>
  <si>
    <t>-0.1733022522288792</t>
  </si>
  <si>
    <t>-0.4000969473260182</t>
  </si>
  <si>
    <t>0.3313512883484069</t>
  </si>
  <si>
    <t>-1.6590760825287194</t>
  </si>
  <si>
    <t>0.3480705570182721</t>
  </si>
  <si>
    <t>-1.5201054127559908</t>
  </si>
  <si>
    <t>-1.0474508808276402</t>
  </si>
  <si>
    <t>0.32976017025687615</t>
  </si>
  <si>
    <t>1.6526521155278626</t>
  </si>
  <si>
    <t>-1.3119909888913845</t>
  </si>
  <si>
    <t>-0.5465955074987694</t>
  </si>
  <si>
    <t>2.372805212021198</t>
  </si>
  <si>
    <t>-1.278196821482961</t>
  </si>
  <si>
    <t>-1.220156233661983</t>
  </si>
  <si>
    <t>0.4282071477532187</t>
  </si>
  <si>
    <t>1.2002279231612045</t>
  </si>
  <si>
    <t>0.7144402695125988</t>
  </si>
  <si>
    <t>-1.05425395356478</t>
  </si>
  <si>
    <t>-0.521260042310641</t>
  </si>
  <si>
    <t>-0.9037855705429634</t>
  </si>
  <si>
    <t>-0.17019437754501643</t>
  </si>
  <si>
    <t>2.2597859762471115</t>
  </si>
  <si>
    <t>-0.41817596544143576</t>
  </si>
  <si>
    <t>-0.6962815374018942</t>
  </si>
  <si>
    <t>-1.147786353567143</t>
  </si>
  <si>
    <t>-0.04607365107681659</t>
  </si>
  <si>
    <t>-0.5289784261716753</t>
  </si>
  <si>
    <t>0.4367994258646896</t>
  </si>
  <si>
    <t>-0.33597299749755655</t>
  </si>
  <si>
    <t>-1.5620010839440575</t>
  </si>
  <si>
    <t>1.5978067223297803</t>
  </si>
  <si>
    <t>-0.7929986930652667</t>
  </si>
  <si>
    <t>-0.6452034680834948</t>
  </si>
  <si>
    <t>1.9699402403780273</t>
  </si>
  <si>
    <t>-1.0273184215241904</t>
  </si>
  <si>
    <t>-0.8630831264861074</t>
  </si>
  <si>
    <t>1.620617997178203</t>
  </si>
  <si>
    <t>-1.3582738891004347</t>
  </si>
  <si>
    <t>0.47154081947008286</t>
  </si>
  <si>
    <t>1.9150923181947823</t>
  </si>
  <si>
    <t>-0.7039524938552738</t>
  </si>
  <si>
    <t>-0.14161195384220862</t>
  </si>
  <si>
    <t>-1.0927211658940954</t>
  </si>
  <si>
    <t>-0.11162638885724221</t>
  </si>
  <si>
    <t>0.9168159224262711</t>
  </si>
  <si>
    <t>0.6680859054591428</t>
  </si>
  <si>
    <t>-1.4627245251462577</t>
  </si>
  <si>
    <t>-0.5280810823292896</t>
  </si>
  <si>
    <t>-0.8841970235017172</t>
  </si>
  <si>
    <t>-0.4663183605358857</t>
  </si>
  <si>
    <t>0.060876519010537526</t>
  </si>
  <si>
    <t>1.3011087234339702</t>
  </si>
  <si>
    <t>-0.6934705913171736</t>
  </si>
  <si>
    <t>-0.5754962293810358</t>
  </si>
  <si>
    <t>-0.14000433755745892</t>
  </si>
  <si>
    <t>0.31525186253055093</t>
  </si>
  <si>
    <t>0.8521961898797795</t>
  </si>
  <si>
    <t>-2.2326439652776338</t>
  </si>
  <si>
    <t>1.265157697429163</t>
  </si>
  <si>
    <t>1.897219799365496</t>
  </si>
  <si>
    <t>-1.0611711186557997</t>
  </si>
  <si>
    <t>1.9083214926070617</t>
  </si>
  <si>
    <t>-0.4004399495433875</t>
  </si>
  <si>
    <t>0.4016202454394931</t>
  </si>
  <si>
    <t>-0.5735861483154283</t>
  </si>
  <si>
    <t>-0.344971677241767</t>
  </si>
  <si>
    <t>0.2799694100840123</t>
  </si>
  <si>
    <t>1.2968395176425604</t>
  </si>
  <si>
    <t>1.3134272085493952</t>
  </si>
  <si>
    <t>0.9005593899764504</t>
  </si>
  <si>
    <t>0.016560300760015786</t>
  </si>
  <si>
    <t>0.3702030843631045</t>
  </si>
  <si>
    <t>-0.39461672245313417</t>
  </si>
  <si>
    <t>0.9943671919780461</t>
  </si>
  <si>
    <t>-1.5252423062519684</t>
  </si>
  <si>
    <t>0.2675744963931929</t>
  </si>
  <si>
    <t>0.5274069963443746</t>
  </si>
  <si>
    <t>1.9960566158972775</t>
  </si>
  <si>
    <t>-1.811849722883795</t>
  </si>
  <si>
    <t>-0.3469175385957444</t>
  </si>
  <si>
    <t>0.9119641115917064</t>
  </si>
  <si>
    <t>0.1263904205144582</t>
  </si>
  <si>
    <t>-0.0016596725551154255</t>
  </si>
  <si>
    <t>-0.6003558966622611</t>
  </si>
  <si>
    <t>0.004529460470780684</t>
  </si>
  <si>
    <t>0.1231999194688206</t>
  </si>
  <si>
    <t>-0.8033248981058315</t>
  </si>
  <si>
    <t>0.42933766695261816</t>
  </si>
  <si>
    <t>-0.28864049984573287</t>
  </si>
  <si>
    <t>-0.234829565873152</t>
  </si>
  <si>
    <t>-0.35747214015359496</t>
  </si>
  <si>
    <t>-1.0086221777963205</t>
  </si>
  <si>
    <t>-0.11124944168907272</t>
  </si>
  <si>
    <t>-0.2308329959716845</t>
  </si>
  <si>
    <t>0.9655836034993294</t>
  </si>
  <si>
    <t>0.18373728294187316</t>
  </si>
  <si>
    <t>0.20852999876069808</t>
  </si>
  <si>
    <t>0.2796247984353403</t>
  </si>
  <si>
    <t>-0.7693756281344614</t>
  </si>
  <si>
    <t>1.4777019714813548</t>
  </si>
  <si>
    <t>-0.15676095210566</t>
  </si>
  <si>
    <t>-0.7025767079479123</t>
  </si>
  <si>
    <t>1.4036145998738876</t>
  </si>
  <si>
    <t>0.17819607555140793</t>
  </si>
  <si>
    <t>0.7200724325538662</t>
  </si>
  <si>
    <t>0.6414422462174945</t>
  </si>
  <si>
    <t>0.5227904861735659</t>
  </si>
  <si>
    <t>0.044874046897076116</t>
  </si>
  <si>
    <t>0.49229257712385854</t>
  </si>
  <si>
    <t>-0.24727278600429559</t>
  </si>
  <si>
    <t>0.6482205491091207</t>
  </si>
  <si>
    <t>-0.5343389224387571</t>
  </si>
  <si>
    <t>-0.6558870138903972</t>
  </si>
  <si>
    <t>0.3681135177212079</t>
  </si>
  <si>
    <t>0.23861227452823405</t>
  </si>
  <si>
    <t>-0.115219996554684</t>
  </si>
  <si>
    <t>-0.4641181076018408</t>
  </si>
  <si>
    <t>0.05209968191134202</t>
  </si>
  <si>
    <t>0.48452427525330183</t>
  </si>
  <si>
    <t>0.49371481011574236</t>
  </si>
  <si>
    <t>1.1413517038555239</t>
  </si>
  <si>
    <t>-0.5640769838910031</t>
  </si>
  <si>
    <t>0.10916376936419062</t>
  </si>
  <si>
    <t>1.239813134192678</t>
  </si>
  <si>
    <t>-0.9976323905014519</t>
  </si>
  <si>
    <t>-0.7489328377803944</t>
  </si>
  <si>
    <t>0.289875343096825</t>
  </si>
  <si>
    <t>0.1971701864328205</t>
  </si>
  <si>
    <t>0.07825713273887373</t>
  </si>
  <si>
    <t>0.22987442318842624</t>
  </si>
  <si>
    <t>-0.8876712264558925</t>
  </si>
  <si>
    <t>0.056397145588852816</t>
  </si>
  <si>
    <t>0.9153015134371492</t>
  </si>
  <si>
    <t>-0.401888035734911</t>
  </si>
  <si>
    <t>0.33995350007244934</t>
  </si>
  <si>
    <t>0.13719318927821653</t>
  </si>
  <si>
    <t>0.09152288972805024</t>
  </si>
  <si>
    <t>-0.45501822858482455</t>
  </si>
  <si>
    <t>-0.7573176606894009</t>
  </si>
  <si>
    <t>0.2935313817633256</t>
  </si>
  <si>
    <t>0.6068957422415753</t>
  </si>
  <si>
    <t>0.8474723349811581</t>
  </si>
  <si>
    <t>-0.5572554872634824</t>
  </si>
  <si>
    <t>-0.22984450589718966</t>
  </si>
  <si>
    <t>-0.2923419353184991</t>
  </si>
  <si>
    <t>0.4619269452573669</t>
  </si>
  <si>
    <t>-1.4831134707523925</t>
  </si>
  <si>
    <t>0.012084619983113446</t>
  </si>
  <si>
    <t>-0.33020689326771674</t>
  </si>
  <si>
    <t>0.9565063412521891</t>
  </si>
  <si>
    <t>0.10093574678105784</t>
  </si>
  <si>
    <t>-0.9487671977089832</t>
  </si>
  <si>
    <t>0.1272285791062602</t>
  </si>
  <si>
    <t>0.7965176843067183</t>
  </si>
  <si>
    <t>0.8734396220701464</t>
  </si>
  <si>
    <t>0.7453495362687625</t>
  </si>
  <si>
    <t>-0.2968134808416235</t>
  </si>
  <si>
    <t>0.28999986162423974</t>
  </si>
  <si>
    <t>0.3997685917733116</t>
  </si>
  <si>
    <t>0.07687405813672493</t>
  </si>
  <si>
    <t>-0.11894583533102956</t>
  </si>
  <si>
    <t>-0.41748615637664116</t>
  </si>
  <si>
    <t>-0.8204221893568472</t>
  </si>
  <si>
    <t>0.40036064209520783</t>
  </si>
  <si>
    <t>-0.11388042526493472</t>
  </si>
  <si>
    <t>-0.027368558233885346</t>
  </si>
  <si>
    <t>-0.8781908116239954</t>
  </si>
  <si>
    <t>0.5977105577456026</t>
  </si>
  <si>
    <t>-0.17776874993672517</t>
  </si>
  <si>
    <t>0.5927009621489415</t>
  </si>
  <si>
    <t>0.41896083168184495</t>
  </si>
  <si>
    <t>0.37914954842948345</t>
  </si>
  <si>
    <t>-0.4090489537285211</t>
  </si>
  <si>
    <t>1.0562301603625637</t>
  </si>
  <si>
    <t>0.08826108803925457</t>
  </si>
  <si>
    <t>0.6007586431668759</t>
  </si>
  <si>
    <t>0.13371734414398195</t>
  </si>
  <si>
    <t>-0.35487575938854715</t>
  </si>
  <si>
    <t>-0.7206665393462016</t>
  </si>
  <si>
    <t>0.469034024382395</t>
  </si>
  <si>
    <t>0.4485977485717296</t>
  </si>
  <si>
    <t>-0.45353646530213393</t>
  </si>
  <si>
    <t>0.04720405482189313</t>
  </si>
  <si>
    <t>-1.7738208694076114</t>
  </si>
  <si>
    <t>0.9828491117355673</t>
  </si>
  <si>
    <t>-0.29913572367609814</t>
  </si>
  <si>
    <t>1.16950320179812</t>
  </si>
  <si>
    <t>-0.758807534653551</t>
  </si>
  <si>
    <t>0.3050585207209801</t>
  </si>
  <si>
    <t>-0.44027304796658695</t>
  </si>
  <si>
    <t>-0.13799850868979913</t>
  </si>
  <si>
    <t>0.05285702057581929</t>
  </si>
  <si>
    <t>0.2470627014834566</t>
  </si>
  <si>
    <t>-0.016719897039528957</t>
  </si>
  <si>
    <t>0.7590221293202458</t>
  </si>
  <si>
    <t>-0.10452396262853626</t>
  </si>
  <si>
    <t>-0.43049465379820007</t>
  </si>
  <si>
    <t>0.25319574830499636</t>
  </si>
  <si>
    <t>-0.3518221872517103</t>
  </si>
  <si>
    <t>-0.5819328329262463</t>
  </si>
  <si>
    <t>-0.43425380330315017</t>
  </si>
  <si>
    <t>0.12133457928858721</t>
  </si>
  <si>
    <t>0.3088774468843119</t>
  </si>
  <si>
    <t>-0.15137740561053215</t>
  </si>
  <si>
    <t>1.5992015826340842</t>
  </si>
  <si>
    <t>-0.28910704036201235</t>
  </si>
  <si>
    <t>-0.41373883243457354</t>
  </si>
  <si>
    <t>0.16364600657462636</t>
  </si>
  <si>
    <t>0.5554587178531045</t>
  </si>
  <si>
    <t>1.2292823170055955</t>
  </si>
  <si>
    <t>-0.6551894115667299</t>
  </si>
  <si>
    <t>-0.27305890239725705</t>
  </si>
  <si>
    <t>0.3085611812753122</t>
  </si>
  <si>
    <t>-0.13623343033329227</t>
  </si>
  <si>
    <t>0.5007258829292578</t>
  </si>
  <si>
    <t>-0.6381310126237051</t>
  </si>
  <si>
    <t>0.015064113699060184</t>
  </si>
  <si>
    <t>-0.11689085156812175</t>
  </si>
  <si>
    <t>-0.3440734538463751</t>
  </si>
  <si>
    <t>0.5855908441027747</t>
  </si>
  <si>
    <t>0.14411994036285944</t>
  </si>
  <si>
    <t>-0.3550947121858412</t>
  </si>
  <si>
    <t>0.15542810774807184</t>
  </si>
  <si>
    <t>0.2379375129040704</t>
  </si>
  <si>
    <t>-0.6260873031882643</t>
  </si>
  <si>
    <t>-0.7726246779162473</t>
  </si>
  <si>
    <t>1.5413600680875919</t>
  </si>
  <si>
    <t>0.7817976650846202</t>
  </si>
  <si>
    <t>-1.1655869133980552</t>
  </si>
  <si>
    <t>-0.7853758900415304</t>
  </si>
  <si>
    <t>0.6716350457676789</t>
  </si>
  <si>
    <t>-0.23838505626843973</t>
  </si>
  <si>
    <t>0.9528202569310463</t>
  </si>
  <si>
    <t>0.7705954593303425</t>
  </si>
  <si>
    <t>0.7639628537881074</t>
  </si>
  <si>
    <t>0.8380420819973261</t>
  </si>
  <si>
    <t>-1.0296433623192847</t>
  </si>
  <si>
    <t>0.691444848339376</t>
  </si>
  <si>
    <t>0.2934524552358864</t>
  </si>
  <si>
    <t>-0.2001202395120795</t>
  </si>
  <si>
    <t>0.15970637753814498</t>
  </si>
  <si>
    <t>-0.06787560992325617</t>
  </si>
  <si>
    <t>-0.8243153578635097</t>
  </si>
  <si>
    <t>0.5466695312496449</t>
  </si>
  <si>
    <t>0.0414409470428148</t>
  </si>
  <si>
    <t>-0.582937370783782</t>
  </si>
  <si>
    <t>0.9061189003569459</t>
  </si>
  <si>
    <t>-0.40143465602654244</t>
  </si>
  <si>
    <t>0.08896680048106341</t>
  </si>
  <si>
    <t>-0.2041512259355854</t>
  </si>
  <si>
    <t>-0.332854344942174</t>
  </si>
  <si>
    <t>1.230168616803081</t>
  </si>
  <si>
    <t>-1.6125386087100173</t>
  </si>
  <si>
    <t>-0.05436330434787361</t>
  </si>
  <si>
    <t>-0.3305073924383776</t>
  </si>
  <si>
    <t>0.3268534387521148</t>
  </si>
  <si>
    <t>-0.23099964164409523</t>
  </si>
  <si>
    <t>0.14606065977946484</t>
  </si>
  <si>
    <t>-0.2929770773512421</t>
  </si>
  <si>
    <t>-0.8361363360815288</t>
  </si>
  <si>
    <t>0.09571100554348319</t>
  </si>
  <si>
    <t>0.4174132275261783</t>
  </si>
  <si>
    <t>-0.10568600875148863</t>
  </si>
  <si>
    <t>0.4864591009664598</t>
  </si>
  <si>
    <t>-0.09884958243705237</t>
  </si>
  <si>
    <t>-1.812039474098318</t>
  </si>
  <si>
    <t>-1.3027657581024843</t>
  </si>
  <si>
    <t>-0.017758784994601623</t>
  </si>
  <si>
    <t>-0.36189069325647694</t>
  </si>
  <si>
    <t>0.09700756328568723</t>
  </si>
  <si>
    <t>-0.3067321064307097</t>
  </si>
  <si>
    <t>0.4379856913946035</t>
  </si>
  <si>
    <t>0.32208384312068833</t>
  </si>
  <si>
    <t>-0.6788319361004099</t>
  </si>
  <si>
    <t>0.6491621354090111</t>
  </si>
  <si>
    <t>-0.5561678899742158</t>
  </si>
  <si>
    <t>-0.1291444495856795</t>
  </si>
  <si>
    <t>-0.14738826570938185</t>
  </si>
  <si>
    <t>0.20755814788471313</t>
  </si>
  <si>
    <t>0.18863698323035663</t>
  </si>
  <si>
    <t>0.9844751131318453</t>
  </si>
  <si>
    <t>0.03873021683795537</t>
  </si>
  <si>
    <t>-0.3538347217947413</t>
  </si>
  <si>
    <t>-0.15069946637109982</t>
  </si>
  <si>
    <t>-0.23544814801432137</t>
  </si>
  <si>
    <t>-0.23072207905475792</t>
  </si>
  <si>
    <t>-0.5247472260466537</t>
  </si>
  <si>
    <t>0.07688479478333102</t>
  </si>
  <si>
    <t>-0.3075838588690637</t>
  </si>
  <si>
    <t>-0.20563695357907744</t>
  </si>
  <si>
    <t>-0.0642651672699757</t>
  </si>
  <si>
    <t>-0.2768658766355358</t>
  </si>
  <si>
    <t>-0.17570603862830686</t>
  </si>
  <si>
    <t>0.014336062325369325</t>
  </si>
  <si>
    <t>0.17155319132158983</t>
  </si>
  <si>
    <t>-0.10593757897928328</t>
  </si>
  <si>
    <t>-0.13452001270592182</t>
  </si>
  <si>
    <t>-0.23052509769132548</t>
  </si>
  <si>
    <t>-0.1304972269348774</t>
  </si>
  <si>
    <t>-0.03956436275998006</t>
  </si>
  <si>
    <t>-0.09648256965810362</t>
  </si>
  <si>
    <t>-0.7023398992008016</t>
  </si>
  <si>
    <t>0.25858529608847136</t>
  </si>
  <si>
    <t>0.31273889807577276</t>
  </si>
  <si>
    <t>-0.08376974072850316</t>
  </si>
  <si>
    <t>-0.02558167082353178</t>
  </si>
  <si>
    <t>-0.06128045592154265</t>
  </si>
  <si>
    <t>0.1707718797345882</t>
  </si>
  <si>
    <t>-0.19723631417650792</t>
  </si>
  <si>
    <t>0.3431725450878205</t>
  </si>
  <si>
    <t>5.6817704605757875</t>
  </si>
  <si>
    <t>-0.46484541140841223</t>
  </si>
  <si>
    <t>-0.38468226576185355</t>
  </si>
  <si>
    <t>-0.09252242199395899</t>
  </si>
  <si>
    <t>0.13558361890161943</t>
  </si>
  <si>
    <t>-0.0915743160430985</t>
  </si>
  <si>
    <t>-0.3272930796198089</t>
  </si>
  <si>
    <t>0.29857688731603804</t>
  </si>
  <si>
    <t>-0.07986759122447983</t>
  </si>
  <si>
    <t>-0.04465064519806872</t>
  </si>
  <si>
    <t>-0.1508205377035475</t>
  </si>
  <si>
    <t>-0.9617723698447636</t>
  </si>
  <si>
    <t>-0.0352377521641994</t>
  </si>
  <si>
    <t>0.21194152984578415</t>
  </si>
  <si>
    <t>0.0710217268852436</t>
  </si>
  <si>
    <t>-0.5338890560958732</t>
  </si>
  <si>
    <t>-0.08976404610380125</t>
  </si>
  <si>
    <t>-0.10772706829386502</t>
  </si>
  <si>
    <t>0.06282946526786722</t>
  </si>
  <si>
    <t>0.21043876151583077</t>
  </si>
  <si>
    <t>0.4931833278430147</t>
  </si>
  <si>
    <t>0.022802968827741854</t>
  </si>
  <si>
    <t>-0.07338778180904817</t>
  </si>
  <si>
    <t>0.0072076833126176135</t>
  </si>
  <si>
    <t>-0.5333467567460419</t>
  </si>
  <si>
    <t>0.08224561971366916</t>
  </si>
  <si>
    <t>-0.49123270550947673</t>
  </si>
  <si>
    <t>0.29644517743795706</t>
  </si>
  <si>
    <t>0.028791489422814218</t>
  </si>
  <si>
    <t>-0.0720484347009471</t>
  </si>
  <si>
    <t>-0.3285333874037278</t>
  </si>
  <si>
    <t>-0.16577191470490124</t>
  </si>
  <si>
    <t>-1.4651991996052318</t>
  </si>
  <si>
    <t>0.25856975477741967</t>
  </si>
  <si>
    <t>-0.1508892722163409</t>
  </si>
  <si>
    <t>0.1751691388346851</t>
  </si>
  <si>
    <t>0.2602066827947392</t>
  </si>
  <si>
    <t>-0.6864727403485582</t>
  </si>
  <si>
    <t>-0.07928210338277666</t>
  </si>
  <si>
    <t>-0.22756810471855715</t>
  </si>
  <si>
    <t>-0.10715639050216744</t>
  </si>
  <si>
    <t>-0.03753025582492455</t>
  </si>
  <si>
    <t>-0.2620845427903069</t>
  </si>
  <si>
    <t>-0.13474121428255534</t>
  </si>
  <si>
    <t>-0.35500097104499756</t>
  </si>
  <si>
    <t>0.06391709690386249</t>
  </si>
  <si>
    <t>1.097766773933184</t>
  </si>
  <si>
    <t>0.7108798897940624</t>
  </si>
  <si>
    <t>-0.1284853347019132</t>
  </si>
  <si>
    <t>0.38976782481466565</t>
  </si>
  <si>
    <t>-0.209930720556191</t>
  </si>
  <si>
    <t>-0.10172853989708638</t>
  </si>
  <si>
    <t>-0.9613881249730416</t>
  </si>
  <si>
    <t>0.21781637102283927</t>
  </si>
  <si>
    <t>0.10844100742534529</t>
  </si>
  <si>
    <t>2.4502654513003836</t>
  </si>
  <si>
    <t>-0.011284974670684943</t>
  </si>
  <si>
    <t>-0.32143957583668764</t>
  </si>
  <si>
    <t>9.94430435297854e-05</t>
  </si>
  <si>
    <t>-0.021464451539321496</t>
  </si>
  <si>
    <t>0.09895597483261602</t>
  </si>
  <si>
    <t>0.19745305698434826</t>
  </si>
  <si>
    <t>3.7990100864123963</t>
  </si>
  <si>
    <t>-0.16937094204744074</t>
  </si>
  <si>
    <t>-0.20645508141780117</t>
  </si>
  <si>
    <t>-0.17239194784014908</t>
  </si>
  <si>
    <t>-0.18813360062054585</t>
  </si>
  <si>
    <t>1.5048667975494017</t>
  </si>
  <si>
    <t>-0.23185868275860047</t>
  </si>
  <si>
    <t>0.15594341518705318</t>
  </si>
  <si>
    <t>-0.16678481303605494</t>
  </si>
  <si>
    <t>-0.10791498379608937</t>
  </si>
  <si>
    <t>-0.36298406539343286</t>
  </si>
  <si>
    <t>-0.08835341969530616</t>
  </si>
  <si>
    <t>0.17716424117637192</t>
  </si>
  <si>
    <t>-0.187977186516562</t>
  </si>
  <si>
    <t>0.019077328095611464</t>
  </si>
  <si>
    <t>0.016726281803171063</t>
  </si>
  <si>
    <t>-0.15909104526781934</t>
  </si>
  <si>
    <t>0.239572471905634</t>
  </si>
  <si>
    <t>-0.05202946443871963</t>
  </si>
  <si>
    <t>-0.08855518998472446</t>
  </si>
  <si>
    <t>0.06244488976094121</t>
  </si>
  <si>
    <t>-0.2347158921235278</t>
  </si>
  <si>
    <t>-0.12621355459010933</t>
  </si>
  <si>
    <t>-0.19716306385229718</t>
  </si>
  <si>
    <t>-0.11954135962603106</t>
  </si>
  <si>
    <t>0.003100199663918958</t>
  </si>
  <si>
    <t>-0.1838791340768265</t>
  </si>
  <si>
    <t>-0.1365763676792245</t>
  </si>
  <si>
    <t>-0.19280778511811283</t>
  </si>
  <si>
    <t>-0.22217601301625778</t>
  </si>
  <si>
    <t>-0.09760447939166993</t>
  </si>
  <si>
    <t>-0.22213747263345412</t>
  </si>
  <si>
    <t>-0.3540389042506802</t>
  </si>
  <si>
    <t>-0.04273387645724767</t>
  </si>
  <si>
    <t>0.044933345656570055</t>
  </si>
  <si>
    <t>-0.18330118131723303</t>
  </si>
  <si>
    <t>0.06071914911492669</t>
  </si>
  <si>
    <t>0.7295658332951128</t>
  </si>
  <si>
    <t>0.14823570587233614</t>
  </si>
  <si>
    <t>0.3140812534881037</t>
  </si>
  <si>
    <t>-0.09991435899927045</t>
  </si>
  <si>
    <t>-1.0978369397338028</t>
  </si>
  <si>
    <t>0.28885591803948424</t>
  </si>
  <si>
    <t>-1.9747550092933353</t>
  </si>
  <si>
    <t>3.5687216115055804</t>
  </si>
  <si>
    <t>0.484297196203513</t>
  </si>
  <si>
    <t>-0.3555579757337503</t>
  </si>
  <si>
    <t>0.06407876418587938</t>
  </si>
  <si>
    <t>-0.24687416320853772</t>
  </si>
  <si>
    <t>-0.13425193196920993</t>
  </si>
  <si>
    <t>0.3933660826928781</t>
  </si>
  <si>
    <t>-0.2161090182819168</t>
  </si>
  <si>
    <t>0.19542001876946988</t>
  </si>
  <si>
    <t>0.38828363294764046</t>
  </si>
  <si>
    <t>0.33252192186172114</t>
  </si>
  <si>
    <t>0.10573671173138606</t>
  </si>
  <si>
    <t>0.1930660800391069</t>
  </si>
  <si>
    <t>-0.29596333434359706</t>
  </si>
  <si>
    <t>0.11346684213681812</t>
  </si>
  <si>
    <t>-0.46743054466022826</t>
  </si>
  <si>
    <t>0.13204510002281097</t>
  </si>
  <si>
    <t>0.020235850025491046</t>
  </si>
  <si>
    <t>-0.2746380856135187</t>
  </si>
  <si>
    <t>0.10473080429093258</t>
  </si>
  <si>
    <t>0.13828344020748526</t>
  </si>
  <si>
    <t>0.11272559241439307</t>
  </si>
  <si>
    <t>-0.46536245293406303</t>
  </si>
  <si>
    <t>-0.27706203669648477</t>
  </si>
  <si>
    <t>-0.30010331921970446</t>
  </si>
  <si>
    <t>-0.04677957614590622</t>
  </si>
  <si>
    <t>-0.15630264901989369</t>
  </si>
  <si>
    <t>0.9643475078120953</t>
  </si>
  <si>
    <t>-0.03594014812440307</t>
  </si>
  <si>
    <t>0.06914564512125851</t>
  </si>
  <si>
    <t>-0.041855813176377404</t>
  </si>
  <si>
    <t>-0.11569378082197351</t>
  </si>
  <si>
    <t>0.22879676539298588</t>
  </si>
  <si>
    <t>0.10756847478211042</t>
  </si>
  <si>
    <t>0.09452129836579541</t>
  </si>
  <si>
    <t>-0.10560814475619737</t>
  </si>
  <si>
    <t>0.24178933933465316</t>
  </si>
  <si>
    <t>0.3863647316415405</t>
  </si>
  <si>
    <t>-0.28739563535680596</t>
  </si>
  <si>
    <t>-0.24336135048754756</t>
  </si>
  <si>
    <t>-0.1358300478675255</t>
  </si>
  <si>
    <t>0.1067165386810483</t>
  </si>
  <si>
    <t>-0.08640993784319005</t>
  </si>
  <si>
    <t>-0.08148197799636045</t>
  </si>
  <si>
    <t>0.460587832736944</t>
  </si>
  <si>
    <t>-0.10931316334644796</t>
  </si>
  <si>
    <t>-0.10125200084119339</t>
  </si>
  <si>
    <t>0.0019786809649024826</t>
  </si>
  <si>
    <t>-0.16691998965846902</t>
  </si>
  <si>
    <t>1.025655901140314</t>
  </si>
  <si>
    <t>0.24892746430760265</t>
  </si>
  <si>
    <t>-0.002079209417179268</t>
  </si>
  <si>
    <t>-0.38043653474834427</t>
  </si>
  <si>
    <t>2.9428863894724997</t>
  </si>
  <si>
    <t>-0.10342372255758057</t>
  </si>
  <si>
    <t>-0.12620466608303563</t>
  </si>
  <si>
    <t>4.376303124351226</t>
  </si>
  <si>
    <t>-0.1395168961668287</t>
  </si>
  <si>
    <t>2.7899099176859843</t>
  </si>
  <si>
    <t>-0.04100827675530561</t>
  </si>
  <si>
    <t>-1.389043261742177</t>
  </si>
  <si>
    <t>-0.10966431874267892</t>
  </si>
  <si>
    <t>-0.26197119642970895</t>
  </si>
  <si>
    <t>-0.13542515377993739</t>
  </si>
  <si>
    <t>-2.5369197945756468</t>
  </si>
  <si>
    <t>0.24016407559193312</t>
  </si>
  <si>
    <t>-0.18704377463507696</t>
  </si>
  <si>
    <t>0.005257844854323102</t>
  </si>
  <si>
    <t>-0.03293565153736676</t>
  </si>
  <si>
    <t>-0.2176775730422498</t>
  </si>
  <si>
    <t>0.14549512546562032</t>
  </si>
  <si>
    <t>0.19849388970785123</t>
  </si>
  <si>
    <t>0.13425068833176082</t>
  </si>
  <si>
    <t>0.14759491243589642</t>
  </si>
  <si>
    <t>0.009734844076578712</t>
  </si>
  <si>
    <t>-0.2211010691969451</t>
  </si>
  <si>
    <t>1.2511154004470342</t>
  </si>
  <si>
    <t>1.9332919975059837</t>
  </si>
  <si>
    <t>0.5001862923419955</t>
  </si>
  <si>
    <t>1.0965196769961227</t>
  </si>
  <si>
    <t>0.28802665482905215</t>
  </si>
  <si>
    <t>-0.5880831354519082</t>
  </si>
  <si>
    <t>0.8496117730785866</t>
  </si>
  <si>
    <t>-0.3166173403018134</t>
  </si>
  <si>
    <t>-0.06804171680466825</t>
  </si>
  <si>
    <t>0.24262273430794346</t>
  </si>
  <si>
    <t>-0.2591527531093872</t>
  </si>
  <si>
    <t>-0.26194280146476995</t>
  </si>
  <si>
    <t>0.34477748697536353</t>
  </si>
  <si>
    <t>-2.376930271558119</t>
  </si>
  <si>
    <t>-0.42359862772061274</t>
  </si>
  <si>
    <t>0.09959650446502798</t>
  </si>
  <si>
    <t>-0.1569702110751774</t>
  </si>
  <si>
    <t>0.36348676343647185</t>
  </si>
  <si>
    <t>-0.003409093421511492</t>
  </si>
  <si>
    <t>-0.6636649129762369</t>
  </si>
  <si>
    <t>-0.06970772679694587</t>
  </si>
  <si>
    <t>0.12813283194343542</t>
  </si>
  <si>
    <t>-0.1338643425648417</t>
  </si>
  <si>
    <t>0.02879687872148099</t>
  </si>
  <si>
    <t>-1.1618737194379396</t>
  </si>
  <si>
    <t>0.6452880577874126</t>
  </si>
  <si>
    <t>0.9111860414879718</t>
  </si>
  <si>
    <t>-1.4123403880736025</t>
  </si>
  <si>
    <t>1.0612362984457884</t>
  </si>
  <si>
    <t>-0.004823279377601003</t>
  </si>
  <si>
    <t>-0.12382479859138815</t>
  </si>
  <si>
    <t>0.07716122901932579</t>
  </si>
  <si>
    <t>-1.245118150491028</t>
  </si>
  <si>
    <t>0.04199668630521734</t>
  </si>
  <si>
    <t>0.162930938121443</t>
  </si>
  <si>
    <t>0.2699482936064636</t>
  </si>
  <si>
    <t>1.7136279793186633</t>
  </si>
  <si>
    <t>0.1831426563487677</t>
  </si>
  <si>
    <t>0.28039370141449516</t>
  </si>
  <si>
    <t>-0.22902567503151455</t>
  </si>
  <si>
    <t>0.24313799407499145</t>
  </si>
  <si>
    <t>-0.1760563954887103</t>
  </si>
  <si>
    <t>0.2141658128303078</t>
  </si>
  <si>
    <t>0.02152661522132681</t>
  </si>
  <si>
    <t>-1.000724967129956</t>
  </si>
  <si>
    <t>0.640500487884066</t>
  </si>
  <si>
    <t>-0.17090858336723194</t>
  </si>
  <si>
    <t>-0.24313075760216837</t>
  </si>
  <si>
    <t>-0.08108915136028703</t>
  </si>
  <si>
    <t>0.30439365890374404</t>
  </si>
  <si>
    <t>-0.1455962700004778</t>
  </si>
  <si>
    <t>0.15433821043712767</t>
  </si>
  <si>
    <t>-0.017910715556153863</t>
  </si>
  <si>
    <t>-0.24957217856487593</t>
  </si>
  <si>
    <t>0.09019820358436105</t>
  </si>
  <si>
    <t>-0.4377385413221446</t>
  </si>
  <si>
    <t>-0.25139589323851386</t>
  </si>
  <si>
    <t>0.6167129541084087</t>
  </si>
  <si>
    <t>-0.1875345089963086</t>
  </si>
  <si>
    <t>0.2866731112594416</t>
  </si>
  <si>
    <t>-0.07898359535891607</t>
  </si>
  <si>
    <t>0.48251254138646665</t>
  </si>
  <si>
    <t>-0.29649435947606206</t>
  </si>
  <si>
    <t>0.19612353435451338</t>
  </si>
  <si>
    <t>0.2523524439980706</t>
  </si>
  <si>
    <t>0.24187830892927767</t>
  </si>
  <si>
    <t>-0.06204711144161812</t>
  </si>
  <si>
    <t>-0.40384906328193526</t>
  </si>
  <si>
    <t>0.16586204406894886</t>
  </si>
  <si>
    <t>0.01507541236404236</t>
  </si>
  <si>
    <t>-0.033821245610747876</t>
  </si>
  <si>
    <t>-0.39698916365122855</t>
  </si>
  <si>
    <t>-0.23863699676790068</t>
  </si>
  <si>
    <t>-0.3578531687786413</t>
  </si>
  <si>
    <t>0.08262418817715035</t>
  </si>
  <si>
    <t>-0.1199739165154547</t>
  </si>
  <si>
    <t>0.6375081799445028</t>
  </si>
  <si>
    <t>-0.6806852973323244</t>
  </si>
  <si>
    <t>0.6757844354450967</t>
  </si>
  <si>
    <t>-0.1329690252023237</t>
  </si>
  <si>
    <t>0.10778357489079594</t>
  </si>
  <si>
    <t>-1.461260217029167</t>
  </si>
  <si>
    <t>0.47269562488322414</t>
  </si>
  <si>
    <t>0.3481887073138596</t>
  </si>
  <si>
    <t>-0.26609904409869867</t>
  </si>
  <si>
    <t>-0.05687588929102752</t>
  </si>
  <si>
    <t>0.26920632770682384</t>
  </si>
  <si>
    <t>0.10874464088573024</t>
  </si>
  <si>
    <t>-0.05001709533815191</t>
  </si>
  <si>
    <t>0.18000075793451317</t>
  </si>
  <si>
    <t>-0.01947024623572046</t>
  </si>
  <si>
    <t>0.017988138440895522</t>
  </si>
  <si>
    <t>-0.49174749444821303</t>
  </si>
  <si>
    <t>-0.3107745035073974</t>
  </si>
  <si>
    <t>-0.005496562981191044</t>
  </si>
  <si>
    <t>0.09010430876284506</t>
  </si>
  <si>
    <t>-0.0798217590386468</t>
  </si>
  <si>
    <t>-0.07899108415422823</t>
  </si>
  <si>
    <t>-0.07914038567915983</t>
  </si>
  <si>
    <t>0.07969986407455434</t>
  </si>
  <si>
    <t>-0.6111450721585612</t>
  </si>
  <si>
    <t>0.10433872115817663</t>
  </si>
  <si>
    <t>0.1240524919833464</t>
  </si>
  <si>
    <t>0.5226572082360245</t>
  </si>
  <si>
    <t>-0.6198480343512168</t>
  </si>
  <si>
    <t>-0.3499422599850279</t>
  </si>
  <si>
    <t>-0.7603337140244483</t>
  </si>
  <si>
    <t>0.23395844189084838</t>
  </si>
  <si>
    <t>-0.31649015616324244</t>
  </si>
  <si>
    <t>0.37919782694039994</t>
  </si>
  <si>
    <t>1.6084455429562452</t>
  </si>
  <si>
    <t>-0.0380560233769956</t>
  </si>
  <si>
    <t>0.008355785938262153</t>
  </si>
  <si>
    <t>-0.8691670942834726</t>
  </si>
  <si>
    <t>-0.2701128869667146</t>
  </si>
  <si>
    <t>-0.40368000388716374</t>
  </si>
  <si>
    <t>0.3344503892738313</t>
  </si>
  <si>
    <t>-0.502110532160652</t>
  </si>
  <si>
    <t>0.1724174185143671</t>
  </si>
  <si>
    <t>0.037942857473020265</t>
  </si>
  <si>
    <t>-0.3398238373534452</t>
  </si>
  <si>
    <t>-0.04696306859114661</t>
  </si>
  <si>
    <t>-0.3194306625601227</t>
  </si>
  <si>
    <t>0.18308337776112887</t>
  </si>
  <si>
    <t>-0.16808925209499226</t>
  </si>
  <si>
    <t>0.035222575135791925</t>
  </si>
  <si>
    <t>0.2628513012253</t>
  </si>
  <si>
    <t>-2.3922924669386094</t>
  </si>
  <si>
    <t>0.6619277163232085</t>
  </si>
  <si>
    <t>0.10863512680980766</t>
  </si>
  <si>
    <t>-0.04746921367094397</t>
  </si>
  <si>
    <t>-0.27475461569358156</t>
  </si>
  <si>
    <t>0.1730735815477792</t>
  </si>
  <si>
    <t>0.3726306213703646</t>
  </si>
  <si>
    <t>-0.21650830587800576</t>
  </si>
  <si>
    <t>-0.052959967828370313</t>
  </si>
  <si>
    <t>0.22471949756317836</t>
  </si>
  <si>
    <t>-0.586985482026987</t>
  </si>
  <si>
    <t>0.7838203651075079</t>
  </si>
  <si>
    <t>-0.062051486062951126</t>
  </si>
  <si>
    <t>0.14697499312776505</t>
  </si>
  <si>
    <t>-0.04191588411384139</t>
  </si>
  <si>
    <t>0.786693543901231</t>
  </si>
  <si>
    <t>0.3616396043565744</t>
  </si>
  <si>
    <t>0.3270096963484681</t>
  </si>
  <si>
    <t>0.027691834844270253</t>
  </si>
  <si>
    <t>-0.2653022009129032</t>
  </si>
  <si>
    <t>-0.05783815077662611</t>
  </si>
  <si>
    <t>0.12195702421321172</t>
  </si>
  <si>
    <t>-2.3115206174973357</t>
  </si>
  <si>
    <t>-0.19892970199991722</t>
  </si>
  <si>
    <t>1.5038294572096578</t>
  </si>
  <si>
    <t>0.07354867687915395</t>
  </si>
  <si>
    <t>-0.19020504387912837</t>
  </si>
  <si>
    <t>-1.2584872719044524</t>
  </si>
  <si>
    <t>1.0426322506205843</t>
  </si>
  <si>
    <t>0.1367743687696227</t>
  </si>
  <si>
    <t>-0.06482460777990678</t>
  </si>
  <si>
    <t>-0.0134147443768667</t>
  </si>
  <si>
    <t>-1.6305162174740075</t>
  </si>
  <si>
    <t>-0.2834558865064674</t>
  </si>
  <si>
    <t>-0.1691288660432631</t>
  </si>
  <si>
    <t>1.832271599871684</t>
  </si>
  <si>
    <t>0.029545115102431088</t>
  </si>
  <si>
    <t>0.7664391410065224</t>
  </si>
  <si>
    <t>-0.07756973900507637</t>
  </si>
  <si>
    <t>-1.5971195792092994</t>
  </si>
  <si>
    <t>0.8058009002755359</t>
  </si>
  <si>
    <t>-0.030628807862369618</t>
  </si>
  <si>
    <t>0.04858529756089045</t>
  </si>
  <si>
    <t>-0.09775265304630877</t>
  </si>
  <si>
    <t>-1.2401666586121098</t>
  </si>
  <si>
    <t>-0.49266855336993287</t>
  </si>
  <si>
    <t>0.12966071392900128</t>
  </si>
  <si>
    <t>2.566626904277574</t>
  </si>
  <si>
    <t>0.7013414697195457</t>
  </si>
  <si>
    <t>0.9736735701885315</t>
  </si>
  <si>
    <t>0.4046010275916352</t>
  </si>
  <si>
    <t>-0.5931251249183807</t>
  </si>
  <si>
    <t>0.7543161720170823</t>
  </si>
  <si>
    <t>-0.023165510261368486</t>
  </si>
  <si>
    <t>-0.22315949487431164</t>
  </si>
  <si>
    <t>-0.047367140813734186</t>
  </si>
  <si>
    <t>0.0439648562153989</t>
  </si>
  <si>
    <t>0.3662258449583005</t>
  </si>
  <si>
    <t>0.6797995538368549</t>
  </si>
  <si>
    <t>-0.09182970613023256</t>
  </si>
  <si>
    <t>-2.4410491351316894</t>
  </si>
  <si>
    <t>1.2072206193792578</t>
  </si>
  <si>
    <t>0.167032939142767</t>
  </si>
  <si>
    <t>-0.006868026857931189</t>
  </si>
  <si>
    <t>1.1728049951857427</t>
  </si>
  <si>
    <t>0.155619908995799</t>
  </si>
  <si>
    <t>0.4261114605932654</t>
  </si>
  <si>
    <t>0.02151202571483292</t>
  </si>
  <si>
    <t>-0.24251258435434156</t>
  </si>
  <si>
    <t>-0.01463106708453427</t>
  </si>
  <si>
    <t>0.20277193491327788</t>
  </si>
  <si>
    <t>-0.6941262805869971</t>
  </si>
  <si>
    <t>-0.9234177418101372</t>
  </si>
  <si>
    <t>0.13895727423542456</t>
  </si>
  <si>
    <t>0.12244438414833772</t>
  </si>
  <si>
    <t>2.5488408918827385</t>
  </si>
  <si>
    <t>0.6804405586384621</t>
  </si>
  <si>
    <t>-0.05430129632979516</t>
  </si>
  <si>
    <t>0.16518011322061804</t>
  </si>
  <si>
    <t>-0.24226498108643288</t>
  </si>
  <si>
    <t>-0.8607106492940204</t>
  </si>
  <si>
    <t>0.08483430418122621</t>
  </si>
  <si>
    <t>0.15805172714365764</t>
  </si>
  <si>
    <t>-0.048210102346647604</t>
  </si>
  <si>
    <t>0.024375305257757017</t>
  </si>
  <si>
    <t>0.23767125651921767</t>
  </si>
  <si>
    <t>-0.02271361741994576</t>
  </si>
  <si>
    <t>0.34083414612458596</t>
  </si>
  <si>
    <t>0.1692124551827603</t>
  </si>
  <si>
    <t>-0.3070392167036877</t>
  </si>
  <si>
    <t>-0.04042219704005332</t>
  </si>
  <si>
    <t>0.6735840370687736</t>
  </si>
  <si>
    <t>1.0569046619282656</t>
  </si>
  <si>
    <t>0.053820905849856604</t>
  </si>
  <si>
    <t>0.44781800940776484</t>
  </si>
  <si>
    <t>0.15009035143631494</t>
  </si>
  <si>
    <t>0.15814587036725355</t>
  </si>
  <si>
    <t>-0.24524367708171482</t>
  </si>
  <si>
    <t>-0.17504598108730793</t>
  </si>
  <si>
    <t>-1.72689014056483</t>
  </si>
  <si>
    <t>1.5970899052546472</t>
  </si>
  <si>
    <t>-0.8126948163593163</t>
  </si>
  <si>
    <t>-0.09000396552243588</t>
  </si>
  <si>
    <t>1.402571749172695</t>
  </si>
  <si>
    <t>-0.8853258410140341</t>
  </si>
  <si>
    <t>-0.056341392991318656</t>
  </si>
  <si>
    <t>0.0016928868278468549</t>
  </si>
  <si>
    <t>0.10904487395600293</t>
  </si>
  <si>
    <t>-0.9507996638574161</t>
  </si>
  <si>
    <t>1.856949032014976</t>
  </si>
  <si>
    <t>-1.968342223154225</t>
  </si>
  <si>
    <t>2.147267832238003</t>
  </si>
  <si>
    <t>-1.42166096164032</t>
  </si>
  <si>
    <t>0.9497485496423139</t>
  </si>
  <si>
    <t>-1.317953103932836</t>
  </si>
  <si>
    <t>0.17763629620069446</t>
  </si>
  <si>
    <t>0.3334379493781447</t>
  </si>
  <si>
    <t>0.1681859825414089</t>
  </si>
  <si>
    <t>-0.267514155154755</t>
  </si>
  <si>
    <t>0.38346394364906905</t>
  </si>
  <si>
    <t>-0.06027357003650595</t>
  </si>
  <si>
    <t>-0.04844846201442598</t>
  </si>
  <si>
    <t>-1.173234907314785</t>
  </si>
  <si>
    <t>0.7230137606064941</t>
  </si>
  <si>
    <t>-0.80914254659415</t>
  </si>
  <si>
    <t>0.044890812665644104</t>
  </si>
  <si>
    <t>-0.16639053316620078</t>
  </si>
  <si>
    <t>0.30729440344404685</t>
  </si>
  <si>
    <t>0.1485165983062378</t>
  </si>
  <si>
    <t>0.1583672445022791</t>
  </si>
  <si>
    <t>0.071461614823625</t>
  </si>
  <si>
    <t>-0.5646813646586513</t>
  </si>
  <si>
    <t>0.07532003382771278</t>
  </si>
  <si>
    <t>0.33739812645246137</t>
  </si>
  <si>
    <t>0.0636051885413738</t>
  </si>
  <si>
    <t>0.03147884388140667</t>
  </si>
  <si>
    <t>0.17674016789772307</t>
  </si>
  <si>
    <t>0.12895810383770556</t>
  </si>
  <si>
    <t>-0.20583075348120766</t>
  </si>
  <si>
    <t>-0.037796974409556344</t>
  </si>
  <si>
    <t>0.007393422136823367</t>
  </si>
  <si>
    <t>-0.17940509509717123</t>
  </si>
  <si>
    <t>-0.09004432170903359</t>
  </si>
  <si>
    <t>0.37681288619770603</t>
  </si>
  <si>
    <t>-0.04713639842038994</t>
  </si>
  <si>
    <t>-0.005139054522798796</t>
  </si>
  <si>
    <t>-0.24988889680256768</t>
  </si>
  <si>
    <t>-0.1367045557464385</t>
  </si>
  <si>
    <t>-0.06625305147111563</t>
  </si>
  <si>
    <t>-0.6308604058043018</t>
  </si>
  <si>
    <t>0.0942623425981114</t>
  </si>
  <si>
    <t>0.9762041601333683</t>
  </si>
  <si>
    <t>-0.21669954887881052</t>
  </si>
  <si>
    <t>0.18273102121483956</t>
  </si>
  <si>
    <t>0.39437214987948854</t>
  </si>
  <si>
    <t>0.08580659697776492</t>
  </si>
  <si>
    <t>0.04897950947554372</t>
  </si>
  <si>
    <t>0.15531633343037807</t>
  </si>
  <si>
    <t>0.7152236839207893</t>
  </si>
  <si>
    <t>-0.11987399049757873</t>
  </si>
  <si>
    <t>-0.08651111981781585</t>
  </si>
  <si>
    <t>0.22903987462812897</t>
  </si>
  <si>
    <t>1.112313110852857</t>
  </si>
  <si>
    <t>0.5294567976042284</t>
  </si>
  <si>
    <t>-0.4934875188541622</t>
  </si>
  <si>
    <t>-0.7353958768189196</t>
  </si>
  <si>
    <t>-0.21335306526910286</t>
  </si>
  <si>
    <t>0.5571671648503719</t>
  </si>
  <si>
    <t>-0.016643413496221622</t>
  </si>
  <si>
    <t>0.7293048517361881</t>
  </si>
  <si>
    <t>0.25972608645396744</t>
  </si>
  <si>
    <t>-0.15828516777487125</t>
  </si>
  <si>
    <t>-0.3937761787695075</t>
  </si>
  <si>
    <t>-0.022628500651577572</t>
  </si>
  <si>
    <t>-0.46123867786192724</t>
  </si>
  <si>
    <t>0.40681798493917215</t>
  </si>
  <si>
    <t>0.0320418040353178</t>
  </si>
  <si>
    <t>0.39593135221525827</t>
  </si>
  <si>
    <t>-0.1090669617446293</t>
  </si>
  <si>
    <t>0.428954246827813</t>
  </si>
  <si>
    <t>0.41605385850974075</t>
  </si>
  <si>
    <t>0.17161621761560225</t>
  </si>
  <si>
    <t>-0.7502293126446136</t>
  </si>
  <si>
    <t>-0.01631948739067119</t>
  </si>
  <si>
    <t>-0.03947161549698793</t>
  </si>
  <si>
    <t>-0.04627858384090237</t>
  </si>
  <si>
    <t>-0.6025065474257236</t>
  </si>
  <si>
    <t>-0.0576562127127207</t>
  </si>
  <si>
    <t>0.17725645766765818</t>
  </si>
  <si>
    <t>-0.16615885107604683</t>
  </si>
  <si>
    <t>-0.10067551176502668</t>
  </si>
  <si>
    <t>-0.5014766070772346</t>
  </si>
  <si>
    <t>-0.08138026936773521</t>
  </si>
  <si>
    <t>0.8224327704638716</t>
  </si>
  <si>
    <t>-0.13268157291847324</t>
  </si>
  <si>
    <t>-0.02141144572479137</t>
  </si>
  <si>
    <t>-0.45843547747498076</t>
  </si>
  <si>
    <t>-0.7043780037582126</t>
  </si>
  <si>
    <t>0.02730456910275237</t>
  </si>
  <si>
    <t>-0.4835213489182165</t>
  </si>
  <si>
    <t>0.5277540448456205</t>
  </si>
  <si>
    <t>1.5176594737716802</t>
  </si>
  <si>
    <t>-0.861721415380561</t>
  </si>
  <si>
    <t>0.6420999405958873</t>
  </si>
  <si>
    <t>-0.2343277251972693</t>
  </si>
  <si>
    <t>-0.7763854185732978</t>
  </si>
  <si>
    <t>-0.32456737777746486</t>
  </si>
  <si>
    <t>-0.5558966267020079</t>
  </si>
  <si>
    <t>-0.150512187594447</t>
  </si>
  <si>
    <t>-0.48676125359665584</t>
  </si>
  <si>
    <t>0.7214660562654757</t>
  </si>
  <si>
    <t>-0.03697119265416906</t>
  </si>
  <si>
    <t>-0.236538671198911</t>
  </si>
  <si>
    <t>0.3771015871327187</t>
  </si>
  <si>
    <t>-0.5045401138098853</t>
  </si>
  <si>
    <t>0.08098741969072434</t>
  </si>
  <si>
    <t>0.5782962100763116</t>
  </si>
  <si>
    <t>-0.6674126176140789</t>
  </si>
  <si>
    <t>0.22599224016221517</t>
  </si>
  <si>
    <t>-0.4414096717973078</t>
  </si>
  <si>
    <t>-0.24246247774340401</t>
  </si>
  <si>
    <t>0.054145552416361264</t>
  </si>
  <si>
    <t>-0.447733899446905</t>
  </si>
  <si>
    <t>-0.31051764223324374</t>
  </si>
  <si>
    <t>-0.3298734586264884</t>
  </si>
  <si>
    <t>0.16970784061025226</t>
  </si>
  <si>
    <t>0.4959390456190307</t>
  </si>
  <si>
    <t>-0.781828608343756</t>
  </si>
  <si>
    <t>0.6018705527295369</t>
  </si>
  <si>
    <t>-0.020808386822725844</t>
  </si>
  <si>
    <t>0.8356231523064405</t>
  </si>
  <si>
    <t>0.07571012706691684</t>
  </si>
  <si>
    <t>0.18521211107376184</t>
  </si>
  <si>
    <t>0.48866093534554444</t>
  </si>
  <si>
    <t>0.12752627003933514</t>
  </si>
  <si>
    <t>0.16299467186762126</t>
  </si>
  <si>
    <t>-0.1547666898934438</t>
  </si>
  <si>
    <t>0.7624453131866855</t>
  </si>
  <si>
    <t>-0.13028374456203676</t>
  </si>
  <si>
    <t>-0.14206155339662882</t>
  </si>
  <si>
    <t>-0.2789284107891017</t>
  </si>
  <si>
    <t>-0.24208075783153618</t>
  </si>
  <si>
    <t>-0.06311981952657848</t>
  </si>
  <si>
    <t>0.04736160607036322</t>
  </si>
  <si>
    <t>0.861368759481901</t>
  </si>
  <si>
    <t>-0.18057879027996052</t>
  </si>
  <si>
    <t>-0.8567137250291268</t>
  </si>
  <si>
    <t>-0.26857918909317435</t>
  </si>
  <si>
    <t>1.2835953098778985</t>
  </si>
  <si>
    <t>-0.3490102271575328</t>
  </si>
  <si>
    <t>-0.09862285438505221</t>
  </si>
  <si>
    <t>0.8601258141054258</t>
  </si>
  <si>
    <t>0.09058032427039081</t>
  </si>
  <si>
    <t>-0.2479697492594365</t>
  </si>
  <si>
    <t>-0.32900724382514024</t>
  </si>
  <si>
    <t>-0.9897536808746829</t>
  </si>
  <si>
    <t>0.36672076900787104</t>
  </si>
  <si>
    <t>-0.12256976640040233</t>
  </si>
  <si>
    <t>0.04332069764199442</t>
  </si>
  <si>
    <t>0.06149682663359942</t>
  </si>
  <si>
    <t>-0.14040883138552582</t>
  </si>
  <si>
    <t>-0.042112167201874426</t>
  </si>
  <si>
    <t>0.03967578951219159</t>
  </si>
  <si>
    <t>-0.21977146193539435</t>
  </si>
  <si>
    <t>0.12146052155343538</t>
  </si>
  <si>
    <t>0.21120681422401583</t>
  </si>
  <si>
    <t>-0.4567539567285242</t>
  </si>
  <si>
    <t>-0.2709589785175987</t>
  </si>
  <si>
    <t>-0.19611192489600265</t>
  </si>
  <si>
    <t>1.5679686051921724</t>
  </si>
  <si>
    <t>0.7252844225602612</t>
  </si>
  <si>
    <t>0.22796768642489112</t>
  </si>
  <si>
    <t>-0.5826877311692298</t>
  </si>
  <si>
    <t>0.0014309784021413943</t>
  </si>
  <si>
    <t>-1.128540455745345</t>
  </si>
  <si>
    <t>0.046762684132790826</t>
  </si>
  <si>
    <t>-0.4035413590798532</t>
  </si>
  <si>
    <t>-0.48571105878386067</t>
  </si>
  <si>
    <t>-0.06798123435272742</t>
  </si>
  <si>
    <t>0.01948746100062233</t>
  </si>
  <si>
    <t>0.0698627610108128</t>
  </si>
  <si>
    <t>-0.10707049409006922</t>
  </si>
  <si>
    <t>0.010630866991468169</t>
  </si>
  <si>
    <t>1.4216918156894247</t>
  </si>
  <si>
    <t>-0.3251010896704315</t>
  </si>
  <si>
    <t>0.2232103530447706</t>
  </si>
  <si>
    <t>-0.31195285189783634</t>
  </si>
  <si>
    <t>0.12420862272912067</t>
  </si>
  <si>
    <t>-0.4706845848061249</t>
  </si>
  <si>
    <t>0.1380436396665448</t>
  </si>
  <si>
    <t>0.3480243363298839</t>
  </si>
  <si>
    <t>0.0693339975437107</t>
  </si>
  <si>
    <t>-0.27546828583254274</t>
  </si>
  <si>
    <t>-0.2221287929277646</t>
  </si>
  <si>
    <t>-0.14923966573154887</t>
  </si>
  <si>
    <t>0.061768859663882215</t>
  </si>
  <si>
    <t>-0.4899059182499929</t>
  </si>
  <si>
    <t>1.6164649304438556</t>
  </si>
  <si>
    <t>-0.22286570659869567</t>
  </si>
  <si>
    <t>-0.04304739752488513</t>
  </si>
  <si>
    <t>-1.1563229799748518</t>
  </si>
  <si>
    <t>0.17003301909576413</t>
  </si>
  <si>
    <t>0.6623860271315858</t>
  </si>
  <si>
    <t>-0.42008833503783966</t>
  </si>
  <si>
    <t>0.34617049120807325</t>
  </si>
  <si>
    <t>-0.6664104190191147</t>
  </si>
  <si>
    <t>0.014832538761859845</t>
  </si>
  <si>
    <t>-0.5393724105488011</t>
  </si>
  <si>
    <t>0.042960390710817635</t>
  </si>
  <si>
    <t>0.6435143209156717</t>
  </si>
  <si>
    <t>0.4936694929162823</t>
  </si>
  <si>
    <t>-0.8731805129983393</t>
  </si>
  <si>
    <t>1.9280837827257649</t>
  </si>
  <si>
    <t>0.2886771533847514</t>
  </si>
  <si>
    <t>0.16456587848705065</t>
  </si>
  <si>
    <t>-0.1305129636779656</t>
  </si>
  <si>
    <t>-0.28988238825243184</t>
  </si>
  <si>
    <t>-0.39029863157491856</t>
  </si>
  <si>
    <t>0.04675385623696548</t>
  </si>
  <si>
    <t>0.08761183115888344</t>
  </si>
  <si>
    <t>0.3448547971267798</t>
  </si>
  <si>
    <t>-0.022542540914857568</t>
  </si>
  <si>
    <t>-0.1289201588785554</t>
  </si>
  <si>
    <t>-0.12357089319784426</t>
  </si>
  <si>
    <t>0.2848685551659473</t>
  </si>
  <si>
    <t>-0.16125867798629034</t>
  </si>
  <si>
    <t>-0.7315106380908039</t>
  </si>
  <si>
    <t>-0.9344164307814776</t>
  </si>
  <si>
    <t>1.0031208387059685</t>
  </si>
  <si>
    <t>-0.4518495342237293</t>
  </si>
  <si>
    <t>-0.13983614736684874</t>
  </si>
  <si>
    <t>-0.24745032345342635</t>
  </si>
  <si>
    <t>0.0634706831152226</t>
  </si>
  <si>
    <t>-0.136089818778229</t>
  </si>
  <si>
    <t>-0.02712945686714317</t>
  </si>
  <si>
    <t>0.424091178147502</t>
  </si>
  <si>
    <t>-0.10215471085559552</t>
  </si>
  <si>
    <t>0.4001452872610919</t>
  </si>
  <si>
    <t>1.169836169494123</t>
  </si>
  <si>
    <t>-0.41705590570969286</t>
  </si>
  <si>
    <t>-0.4813636791379538</t>
  </si>
  <si>
    <t>0.35136113684954895</t>
  </si>
  <si>
    <t>-0.33915684449633116</t>
  </si>
  <si>
    <t>0.26027587935110474</t>
  </si>
  <si>
    <t>-0.3923801077162527</t>
  </si>
  <si>
    <t>0.3151831464015799</t>
  </si>
  <si>
    <t>-0.848721140559348</t>
  </si>
  <si>
    <t>0.20089163236061525</t>
  </si>
  <si>
    <t>-0.33983407294112095</t>
  </si>
  <si>
    <t>0.0301987379486686</t>
  </si>
  <si>
    <t>-0.2598352302734586</t>
  </si>
  <si>
    <t>0.26020908224445116</t>
  </si>
  <si>
    <t>0.9246417146837759</t>
  </si>
  <si>
    <t>-0.24771167775211547</t>
  </si>
  <si>
    <t>0.060368323258708986</t>
  </si>
  <si>
    <t>0.28342948952892755</t>
  </si>
  <si>
    <t>0.13806600554210383</t>
  </si>
  <si>
    <t>0.31307419489609434</t>
  </si>
  <si>
    <t>-0.14469256417827575</t>
  </si>
  <si>
    <t>0.10478773782765106</t>
  </si>
  <si>
    <t>0.39222529752685537</t>
  </si>
  <si>
    <t>0.1472913114288058</t>
  </si>
  <si>
    <t>-0.7666545322391541</t>
  </si>
  <si>
    <t>-0.359364365137453</t>
  </si>
  <si>
    <t>0.21690148639290924</t>
  </si>
  <si>
    <t>-0.4161435424541779</t>
  </si>
  <si>
    <t>0.14754612545840914</t>
  </si>
  <si>
    <t>-0.6200759317903795</t>
  </si>
  <si>
    <t>0.2011835958919201</t>
  </si>
  <si>
    <t>0.7271444249431408</t>
  </si>
  <si>
    <t>-0.2903032635025924</t>
  </si>
  <si>
    <t>0.2164202863429648</t>
  </si>
  <si>
    <t>-0.18275829125794565</t>
  </si>
  <si>
    <t>0.007782250128688709</t>
  </si>
  <si>
    <t>-0.2669630661916122</t>
  </si>
  <si>
    <t>-0.261271921805344</t>
  </si>
  <si>
    <t>0.10869967422542443</t>
  </si>
  <si>
    <t>-0.6013533241231801</t>
  </si>
  <si>
    <t>-0.03474637259785054</t>
  </si>
  <si>
    <t>-0.4342735520153319</t>
  </si>
  <si>
    <t>-0.20960597450690607</t>
  </si>
  <si>
    <t>-0.7246032433085018</t>
  </si>
  <si>
    <t>-0.4053295093179448</t>
  </si>
  <si>
    <t>0.030209725707097887</t>
  </si>
  <si>
    <t>-0.6514261592558813</t>
  </si>
  <si>
    <t>0.4647305887577701</t>
  </si>
  <si>
    <t>-0.046391708790350955</t>
  </si>
  <si>
    <t>0.14392227978284045</t>
  </si>
  <si>
    <t>0.3610386554838884</t>
  </si>
  <si>
    <t>-0.7519271263939841</t>
  </si>
  <si>
    <t>0.0707362980451881</t>
  </si>
  <si>
    <t>-0.6251732102722042</t>
  </si>
  <si>
    <t>-0.41239185668282147</t>
  </si>
  <si>
    <t>-0.4297089919669425</t>
  </si>
  <si>
    <t>-0.044167863902141245</t>
  </si>
  <si>
    <t>0.19816909047624906</t>
  </si>
  <si>
    <t>0.123084168243619</t>
  </si>
  <si>
    <t>-0.09927302008089015</t>
  </si>
  <si>
    <t>0.7893278995548967</t>
  </si>
  <si>
    <t>0.34709933086285527</t>
  </si>
  <si>
    <t>-0.648022223045408</t>
  </si>
  <si>
    <t>-0.7686924896263921</t>
  </si>
  <si>
    <t>-0.9094990501067539</t>
  </si>
  <si>
    <t>-0.6220388411893145</t>
  </si>
  <si>
    <t>0.3158917891075595</t>
  </si>
  <si>
    <t>-0.6107109668222939</t>
  </si>
  <si>
    <t>-0.07104913874458728</t>
  </si>
  <si>
    <t>-0.7250510136262434</t>
  </si>
  <si>
    <t>-0.2432554816192677</t>
  </si>
  <si>
    <t>-0.14769531309744555</t>
  </si>
  <si>
    <t>0.2025194579455755</t>
  </si>
  <si>
    <t>-0.7033563320473318</t>
  </si>
  <si>
    <t>0.20382769304923282</t>
  </si>
  <si>
    <t>1.1410858969841542</t>
  </si>
  <si>
    <t>0.11118117750166709</t>
  </si>
  <si>
    <t>-0.26355021405750084</t>
  </si>
  <si>
    <t>-0.1994578770602465</t>
  </si>
  <si>
    <t>-0.5236792912998829</t>
  </si>
  <si>
    <t>-0.008391443796225341</t>
  </si>
  <si>
    <t>-0.5874565323703602</t>
  </si>
  <si>
    <t>0.4370967084697394</t>
  </si>
  <si>
    <t>0.4495328268265266</t>
  </si>
  <si>
    <t>0.062145241942508984</t>
  </si>
  <si>
    <t>-0.18880207877410984</t>
  </si>
  <si>
    <t>-0.2565441688805029</t>
  </si>
  <si>
    <t>-0.11097015396057917</t>
  </si>
  <si>
    <t>0.8780952547865545</t>
  </si>
  <si>
    <t>0.08784444347581458</t>
  </si>
  <si>
    <t>0.636499868924333</t>
  </si>
  <si>
    <t>0.006571501261828535</t>
  </si>
  <si>
    <t>0.18431065079144507</t>
  </si>
  <si>
    <t>-0.04678243929782156</t>
  </si>
  <si>
    <t>0.44076827338566826</t>
  </si>
  <si>
    <t>-0.41064056261773896</t>
  </si>
  <si>
    <t>0.20676248654251309</t>
  </si>
  <si>
    <t>0.7210533162170426</t>
  </si>
  <si>
    <t>1.9892211496149579</t>
  </si>
  <si>
    <t>-0.4731011934446331</t>
  </si>
  <si>
    <t>0.3697900916596492</t>
  </si>
  <si>
    <t>-0.05559780224796424</t>
  </si>
  <si>
    <t>-1.146183880906692</t>
  </si>
  <si>
    <t>0.775756277491493</t>
  </si>
  <si>
    <t>-0.4294275297495414</t>
  </si>
  <si>
    <t>0.8682655247812553</t>
  </si>
  <si>
    <t>-1.0941092155565577</t>
  </si>
  <si>
    <t>-0.8990404584901694</t>
  </si>
  <si>
    <t>0.5838429537153116</t>
  </si>
  <si>
    <t>-0.07575386109989664</t>
  </si>
  <si>
    <t>0.28304817294866685</t>
  </si>
  <si>
    <t>-0.16930143594825206</t>
  </si>
  <si>
    <t>-1.081858963592226</t>
  </si>
  <si>
    <t>0.1935258899526548</t>
  </si>
  <si>
    <t>0.3611907755757598</t>
  </si>
  <si>
    <t>0.06683703620143112</t>
  </si>
  <si>
    <t>0.9699307444858531</t>
  </si>
  <si>
    <t>1.3672174157559343</t>
  </si>
  <si>
    <t>-1.3767358232605913</t>
  </si>
  <si>
    <t>0.6873990115052286</t>
  </si>
  <si>
    <t>-0.7097224465064746</t>
  </si>
  <si>
    <t>-0.26680362301386756</t>
  </si>
  <si>
    <t>0.7193618763668961</t>
  </si>
  <si>
    <t>-1.5198809661582708</t>
  </si>
  <si>
    <t>-0.22732570753832643</t>
  </si>
  <si>
    <t>-1.0804719512115564</t>
  </si>
  <si>
    <t>0.5666807320924345</t>
  </si>
  <si>
    <t>2.9830291338696693</t>
  </si>
  <si>
    <t>-0.1593675095740246</t>
  </si>
  <si>
    <t>0.3524812186231757</t>
  </si>
  <si>
    <t>1.0608233812345669</t>
  </si>
  <si>
    <t>-1.203888264988587</t>
  </si>
  <si>
    <t>0.24900251066533644</t>
  </si>
  <si>
    <t>1.0669311467148368</t>
  </si>
  <si>
    <t>1.341512875212358</t>
  </si>
  <si>
    <t>-0.2573280236623945</t>
  </si>
  <si>
    <t>-0.8734231927084966</t>
  </si>
  <si>
    <t>-0.011386290049843196</t>
  </si>
  <si>
    <t>0.4389184975999434</t>
  </si>
  <si>
    <t>0.0750829118727796</t>
  </si>
  <si>
    <t>-0.5853407727891651</t>
  </si>
  <si>
    <t>-0.3470596638073892</t>
  </si>
  <si>
    <t>0.6305974158977077</t>
  </si>
  <si>
    <t>0.7009165127742925</t>
  </si>
  <si>
    <t>-1.2543903275559132</t>
  </si>
  <si>
    <t>1.134986639306079</t>
  </si>
  <si>
    <t>-0.855245288330133</t>
  </si>
  <si>
    <t>1.3248537318210334</t>
  </si>
  <si>
    <t>-0.7763920659012419</t>
  </si>
  <si>
    <t>0.0204206470764615</t>
  </si>
  <si>
    <t>0.33844519183352945</t>
  </si>
  <si>
    <t>-0.5974350794693207</t>
  </si>
  <si>
    <t>0.35229777307420107</t>
  </si>
  <si>
    <t>0.4727224608919382</t>
  </si>
  <si>
    <t>-0.5703335309926231</t>
  </si>
  <si>
    <t>-1.238235801669784</t>
  </si>
  <si>
    <t>0.7419632646964499</t>
  </si>
  <si>
    <t>-0.5238145118849253</t>
  </si>
  <si>
    <t>-0.9613601024426615</t>
  </si>
  <si>
    <t>0.22291240782437752</t>
  </si>
  <si>
    <t>0.38290958533325775</t>
  </si>
  <si>
    <t>-0.848625588758534</t>
  </si>
  <si>
    <t>-0.06088991502055077</t>
  </si>
  <si>
    <t>0.36165228742565325</t>
  </si>
  <si>
    <t>0.35130862664397117</t>
  </si>
  <si>
    <t>0.7244803160186655</t>
  </si>
  <si>
    <t>0.5207416712903917</t>
  </si>
  <si>
    <t>-1.437907437184385</t>
  </si>
  <si>
    <t>0.34358736988128324</t>
  </si>
  <si>
    <t>1.402468559239779</t>
  </si>
  <si>
    <t>-3.1763201669854606</t>
  </si>
  <si>
    <t>-2.513386318507746</t>
  </si>
  <si>
    <t>1.1600972766940065</t>
  </si>
  <si>
    <t>-0.48136657536741706</t>
  </si>
  <si>
    <t>-0.11028010106769769</t>
  </si>
  <si>
    <t>-0.1597380485144637</t>
  </si>
  <si>
    <t>-0.2362982172596968</t>
  </si>
  <si>
    <t>-0.5061881022503996</t>
  </si>
  <si>
    <t>0.5802107187068003</t>
  </si>
  <si>
    <t>1.295380736633603</t>
  </si>
  <si>
    <t>-1.0250961429899221</t>
  </si>
  <si>
    <t>0.9006412830297885</t>
  </si>
  <si>
    <t>-0.8409407833444018</t>
  </si>
  <si>
    <t>-1.9486691512938004</t>
  </si>
  <si>
    <t>0.5397253657376422</t>
  </si>
  <si>
    <t>0.7135311572569379</t>
  </si>
  <si>
    <t>0.011378889984935399</t>
  </si>
  <si>
    <t>0.7973778241662087</t>
  </si>
  <si>
    <t>0.3081752515607533</t>
  </si>
  <si>
    <t>-0.40706658329535905</t>
  </si>
  <si>
    <t>-0.007750811650903361</t>
  </si>
  <si>
    <t>0.5331496805014486</t>
  </si>
  <si>
    <t>-1.0126735965868185</t>
  </si>
  <si>
    <t>0.029762271576274497</t>
  </si>
  <si>
    <t>0.22712789762596863</t>
  </si>
  <si>
    <t>0.8973514164550025</t>
  </si>
  <si>
    <t>0.4307538534816134</t>
  </si>
  <si>
    <t>0.4235578059734282</t>
  </si>
  <si>
    <t>0.3751390914593856</t>
  </si>
  <si>
    <t>1.1884075423490006</t>
  </si>
  <si>
    <t>0.14415681016248333</t>
  </si>
  <si>
    <t>-1.0969152929888875</t>
  </si>
  <si>
    <t>-0.27819107572311563</t>
  </si>
  <si>
    <t>0.9484333119407988</t>
  </si>
  <si>
    <t>0.504291509273024</t>
  </si>
  <si>
    <t>-0.5453960510850236</t>
  </si>
  <si>
    <t>0.31719258125250976</t>
  </si>
  <si>
    <t>-0.11928285058098331</t>
  </si>
  <si>
    <t>0.29975715984710005</t>
  </si>
  <si>
    <t>-0.5708711664316162</t>
  </si>
  <si>
    <t>0.07541619146386608</t>
  </si>
  <si>
    <t>-1.7729211378371392</t>
  </si>
  <si>
    <t>-0.23426661344854385</t>
  </si>
  <si>
    <t>2.2042638676681254</t>
  </si>
  <si>
    <t>0.2763464911145221</t>
  </si>
  <si>
    <t>-0.024932586751278796</t>
  </si>
  <si>
    <t>-0.5302815216831702</t>
  </si>
  <si>
    <t>-1.0483898302870704</t>
  </si>
  <si>
    <t>0.5747232385231371</t>
  </si>
  <si>
    <t>-0.757113074756116</t>
  </si>
  <si>
    <t>1.4390478529075008</t>
  </si>
  <si>
    <t>0.053659297199140206</t>
  </si>
  <si>
    <t>-0.4540685174632376</t>
  </si>
  <si>
    <t>-0.8782727293365815</t>
  </si>
  <si>
    <t>0.25362182128186594</t>
  </si>
  <si>
    <t>-0.3932398516196764</t>
  </si>
  <si>
    <t>0.1646636364588131</t>
  </si>
  <si>
    <t>-0.095759702523354</t>
  </si>
  <si>
    <t>0.7093902248231133</t>
  </si>
  <si>
    <t>-0.24972457935347284</t>
  </si>
  <si>
    <t>0.7718883848254837</t>
  </si>
  <si>
    <t>-1.5302196424136925</t>
  </si>
  <si>
    <t>-0.8156818679912216</t>
  </si>
  <si>
    <t>-0.38044386772177624</t>
  </si>
  <si>
    <t>-0.5113822976397641</t>
  </si>
  <si>
    <t>0.49170024939880735</t>
  </si>
  <si>
    <t>0.341193363972161</t>
  </si>
  <si>
    <t>0.8566693961286255</t>
  </si>
  <si>
    <t>-1.3912605893769767</t>
  </si>
  <si>
    <t>1.3820875848759002</t>
  </si>
  <si>
    <t>-0.02929213928098374</t>
  </si>
  <si>
    <t>0.8111647691107655</t>
  </si>
  <si>
    <t>-0.68671957094995</t>
  </si>
  <si>
    <t>0.27613335772672176</t>
  </si>
  <si>
    <t>-1.148892073958105</t>
  </si>
  <si>
    <t>1.9156423460767653</t>
  </si>
  <si>
    <t>-0.6426890399019591</t>
  </si>
  <si>
    <t>1.0900251184208234</t>
  </si>
  <si>
    <t>-0.9915848462860604</t>
  </si>
  <si>
    <t>1.3202139428516868</t>
  </si>
  <si>
    <t>-1.5448559780704596</t>
  </si>
  <si>
    <t>-0.8182694674450097</t>
  </si>
  <si>
    <t>1.7004155966184815</t>
  </si>
  <si>
    <t>0.6230883331601792</t>
  </si>
  <si>
    <t>-0.40209966795317925</t>
  </si>
  <si>
    <t>-0.16913103543284586</t>
  </si>
  <si>
    <t>-0.3416015111852925</t>
  </si>
  <si>
    <t>-1.3545052583015462</t>
  </si>
  <si>
    <t>0.8068614737434764</t>
  </si>
  <si>
    <t>0.35030966058868207</t>
  </si>
  <si>
    <t>0.41594615257506684</t>
  </si>
  <si>
    <t>0.04884952027931412</t>
  </si>
  <si>
    <t>-0.377613723559636</t>
  </si>
  <si>
    <t>-0.3486137203039243</t>
  </si>
  <si>
    <t>-0.38162522591128256</t>
  </si>
  <si>
    <t>0.11941892800473804</t>
  </si>
  <si>
    <t>0.30812698106289904</t>
  </si>
  <si>
    <t>0.14078174127670323</t>
  </si>
  <si>
    <t>-0.11324560000098603</t>
  </si>
  <si>
    <t>0.6593705111627823</t>
  </si>
  <si>
    <t>1.3000784780143335</t>
  </si>
  <si>
    <t>-0.26499591436542524</t>
  </si>
  <si>
    <t>0.88744759806281</t>
  </si>
  <si>
    <t>-0.028339693224787334</t>
  </si>
  <si>
    <t>0.43909743560194364</t>
  </si>
  <si>
    <t>0.009487372021274447</t>
  </si>
  <si>
    <t>-0.5571411812679485</t>
  </si>
  <si>
    <t>-0.4166975996660375</t>
  </si>
  <si>
    <t>-0.8926963922776168</t>
  </si>
  <si>
    <t>0.21694394783996984</t>
  </si>
  <si>
    <t>-0.9473083972408034</t>
  </si>
  <si>
    <t>0.3207960032206225</t>
  </si>
  <si>
    <t>-0.30183147265284455</t>
  </si>
  <si>
    <t>0.8379975015316662</t>
  </si>
  <si>
    <t>0.4811665608886807</t>
  </si>
  <si>
    <t>0.8883926393502534</t>
  </si>
  <si>
    <t>0.33283633741589597</t>
  </si>
  <si>
    <t>-0.9144415425389816</t>
  </si>
  <si>
    <t>0.578936816270811</t>
  </si>
  <si>
    <t>-0.5683712789809784</t>
  </si>
  <si>
    <t>-1.6283666067038989</t>
  </si>
  <si>
    <t>0.8854828253890416</t>
  </si>
  <si>
    <t>1.3610850912972008</t>
  </si>
  <si>
    <t>0.2369715409477119</t>
  </si>
  <si>
    <t>0.23327585513887567</t>
  </si>
  <si>
    <t>0.36920216451332705</t>
  </si>
  <si>
    <t>0.855441079507402</t>
  </si>
  <si>
    <t>-0.28835364274172154</t>
  </si>
  <si>
    <t>-0.4034578206266795</t>
  </si>
  <si>
    <t>-0.39446366094947777</t>
  </si>
  <si>
    <t>-0.5909826029382396</t>
  </si>
  <si>
    <t>-0.4156136701506849</t>
  </si>
  <si>
    <t>-0.27666959013757914</t>
  </si>
  <si>
    <t>-0.2676398609388301</t>
  </si>
  <si>
    <t>-0.14634345509258678</t>
  </si>
  <si>
    <t>2.5175758669289907</t>
  </si>
  <si>
    <t>0.5546966603465291</t>
  </si>
  <si>
    <t>0.9079205418415371</t>
  </si>
  <si>
    <t>-0.5277797797861056</t>
  </si>
  <si>
    <t>1.7081544766247874</t>
  </si>
  <si>
    <t>-1.2726726630900405</t>
  </si>
  <si>
    <t>0.4349103588661893</t>
  </si>
  <si>
    <t>-0.6827830873463528</t>
  </si>
  <si>
    <t>-0.3322138634161994</t>
  </si>
  <si>
    <t>0.7515464656986598</t>
  </si>
  <si>
    <t>-0.1538405850045611</t>
  </si>
  <si>
    <t>-0.6873422193594069</t>
  </si>
  <si>
    <t>0.34383623606642205</t>
  </si>
  <si>
    <t>-1.9070664080889421</t>
  </si>
  <si>
    <t>-0.14008515303637636</t>
  </si>
  <si>
    <t>-0.7671150665111837</t>
  </si>
  <si>
    <t>-0.44138567912401444</t>
  </si>
  <si>
    <t>0.7628054245104623</t>
  </si>
  <si>
    <t>-0.48728399236449216</t>
  </si>
  <si>
    <t>0.3440533603451205</t>
  </si>
  <si>
    <t>0.23984352787327506</t>
  </si>
  <si>
    <t>-0.9899950555038929</t>
  </si>
  <si>
    <t>-1.152609054625801</t>
  </si>
  <si>
    <t>-0.43749764018227555</t>
  </si>
  <si>
    <t>-0.29678091517372207</t>
  </si>
  <si>
    <t>-0.7946699701081846</t>
  </si>
  <si>
    <t>0.870143224270662</t>
  </si>
  <si>
    <t>0.03258646518229115</t>
  </si>
  <si>
    <t>0.08580435251028475</t>
  </si>
  <si>
    <t>-1.3172147269335321</t>
  </si>
  <si>
    <t>1.5566612156378126</t>
  </si>
  <si>
    <t>0.09490179880738334</t>
  </si>
  <si>
    <t>0.590772052721265</t>
  </si>
  <si>
    <t>-1.668551099672181</t>
  </si>
  <si>
    <t>1.8859225669420765</t>
  </si>
  <si>
    <t>-0.7495874029313893</t>
  </si>
  <si>
    <t>0.8174931860776256</t>
  </si>
  <si>
    <t>0.7565489028127892</t>
  </si>
  <si>
    <t>0.1768733610629906</t>
  </si>
  <si>
    <t>-0.29354948632650263</t>
  </si>
  <si>
    <t>0.49448955802271155</t>
  </si>
  <si>
    <t>-0.4932939673011754</t>
  </si>
  <si>
    <t>-0.9826894730304383</t>
  </si>
  <si>
    <t>0.6577410660329701</t>
  </si>
  <si>
    <t>0.47366445265339735</t>
  </si>
  <si>
    <t>1.3298971329500284</t>
  </si>
  <si>
    <t>-0.6802038397222003</t>
  </si>
  <si>
    <t>1.3659410708942463</t>
  </si>
  <si>
    <t>-1.8800576685717612</t>
  </si>
  <si>
    <t>-0.5838966918838533</t>
  </si>
  <si>
    <t>0.4618638445574005</t>
  </si>
  <si>
    <t>-0.7908514634215289</t>
  </si>
  <si>
    <t>-1.15693877436172</t>
  </si>
  <si>
    <t>-0.3528977088908886</t>
  </si>
  <si>
    <t>-1.0258792368360747</t>
  </si>
  <si>
    <t>0.007450924129244092</t>
  </si>
  <si>
    <t>0.5580021476353385</t>
  </si>
  <si>
    <t>-0.922878365679025</t>
  </si>
  <si>
    <t>0.5901095862621251</t>
  </si>
  <si>
    <t>0.42121879172251175</t>
  </si>
  <si>
    <t>0.01951642661644573</t>
  </si>
  <si>
    <t>-0.08993141214940276</t>
  </si>
  <si>
    <t>-0.46921529104097326</t>
  </si>
  <si>
    <t>0.37737006576876153</t>
  </si>
  <si>
    <t>-3.5471866912469303</t>
  </si>
  <si>
    <t>0.31707000409617186</t>
  </si>
  <si>
    <t>-0.5269273191560748</t>
  </si>
  <si>
    <t>-1.008838612887096</t>
  </si>
  <si>
    <t>0.786998983726812</t>
  </si>
  <si>
    <t>-0.029201973156064976</t>
  </si>
  <si>
    <t>-0.22713235160992196</t>
  </si>
  <si>
    <t>0.38490630624644656</t>
  </si>
  <si>
    <t>-0.6230398074263501</t>
  </si>
  <si>
    <t>-0.8666312121092814</t>
  </si>
  <si>
    <t>-0.24565544718045423</t>
  </si>
  <si>
    <t>-0.6899019795472223</t>
  </si>
  <si>
    <t>0.4869615105078931</t>
  </si>
  <si>
    <t>0.9530346926103722</t>
  </si>
  <si>
    <t>-0.396859741244496</t>
  </si>
  <si>
    <t>-0.17834268364337416</t>
  </si>
  <si>
    <t>-1.865149111831471</t>
  </si>
  <si>
    <t>0.5197020572902945</t>
  </si>
  <si>
    <t>0.20109573789015356</t>
  </si>
  <si>
    <t>0.3999797323563669</t>
  </si>
  <si>
    <t>-0.36595217324128193</t>
  </si>
  <si>
    <t>-1.9677944966878511</t>
  </si>
  <si>
    <t>0.3729682921874887</t>
  </si>
  <si>
    <t>-0.29277154778632325</t>
  </si>
  <si>
    <t>1.4455579781302779</t>
  </si>
  <si>
    <t>0.19990031846093434</t>
  </si>
  <si>
    <t>0.09952811440947283</t>
  </si>
  <si>
    <t>-1.9001622133689384</t>
  </si>
  <si>
    <t>-0.7778739306198273</t>
  </si>
  <si>
    <t>0.30997160597991946</t>
  </si>
  <si>
    <t>-0.7439284447131649</t>
  </si>
  <si>
    <t>-0.07486913410169942</t>
  </si>
  <si>
    <t>2.241173193247616</t>
  </si>
  <si>
    <t>1.5059993155516365</t>
  </si>
  <si>
    <t>-1.335114378151564</t>
  </si>
  <si>
    <t>-0.14358566099965483</t>
  </si>
  <si>
    <t>-0.1471467378519874</t>
  </si>
  <si>
    <t>-0.5291545149693712</t>
  </si>
  <si>
    <t>0.10872134661011652</t>
  </si>
  <si>
    <t>-1.181075449366557</t>
  </si>
  <si>
    <t>-2.8087032039586433</t>
  </si>
  <si>
    <t>-0.6126784382062666</t>
  </si>
  <si>
    <t>-0.6899616389856195</t>
  </si>
  <si>
    <t>-0.039680071836669835</t>
  </si>
  <si>
    <t>0.39064330609768916</t>
  </si>
  <si>
    <t>-1.6137858391689133</t>
  </si>
  <si>
    <t>1.6909956311039969</t>
  </si>
  <si>
    <t>0.6733709595294134</t>
  </si>
  <si>
    <t>-1.8809972674871875</t>
  </si>
  <si>
    <t>-0.2278982771570733</t>
  </si>
  <si>
    <t>-0.5824426245840978</t>
  </si>
  <si>
    <t>-1.8225116177941</t>
  </si>
  <si>
    <t>2.22888475417775</t>
  </si>
  <si>
    <t>0.3636816648641012</t>
  </si>
  <si>
    <t>0.20414269886064576</t>
  </si>
  <si>
    <t>0.4093132136526821</t>
  </si>
  <si>
    <t>0.2303737874067045</t>
  </si>
  <si>
    <t>-0.7130686327232539</t>
  </si>
  <si>
    <t>0.7668737853671114</t>
  </si>
  <si>
    <t>0.46575339783920383</t>
  </si>
  <si>
    <t>0.06679192170488894</t>
  </si>
  <si>
    <t>0.5888920501245646</t>
  </si>
  <si>
    <t>2.027521952524013</t>
  </si>
  <si>
    <t>-1.6967755931845556</t>
  </si>
  <si>
    <t>-1.0984962931613853</t>
  </si>
  <si>
    <t>0.03680347913226427</t>
  </si>
  <si>
    <t>-1.435465417393068</t>
  </si>
  <si>
    <t>-1.5120411872270634</t>
  </si>
  <si>
    <t>-0.15230721753033524</t>
  </si>
  <si>
    <t>0.35047036789138775</t>
  </si>
  <si>
    <t>1.119853300433048</t>
  </si>
  <si>
    <t>-0.21371302728371813</t>
  </si>
  <si>
    <t>0.40402224647595986</t>
  </si>
  <si>
    <t>0.4393456492129651</t>
  </si>
  <si>
    <t>-0.19271069721174497</t>
  </si>
  <si>
    <t>-0.11259031910633586</t>
  </si>
  <si>
    <t>0.2634530046929947</t>
  </si>
  <si>
    <t>-0.23857209006170588</t>
  </si>
  <si>
    <t>0.7926342316103242</t>
  </si>
  <si>
    <t>-1.8173375635122406</t>
  </si>
  <si>
    <t>1.0494366864229863</t>
  </si>
  <si>
    <t>-0.1791677488630786</t>
  </si>
  <si>
    <t>0.15755353819019458</t>
  </si>
  <si>
    <t>0.27817483116397185</t>
  </si>
  <si>
    <t>-0.9320607322629368</t>
  </si>
  <si>
    <t>-0.07955385233232615</t>
  </si>
  <si>
    <t>1.02948232356144</t>
  </si>
  <si>
    <t>-0.1822576290758635</t>
  </si>
  <si>
    <t>0.2659019737864883</t>
  </si>
  <si>
    <t>1.0157312352524754</t>
  </si>
  <si>
    <t>0.35489921361412535</t>
  </si>
  <si>
    <t>-1.6313224055587836</t>
  </si>
  <si>
    <t>-1.2755359401513944</t>
  </si>
  <si>
    <t>1.1800149375202027</t>
  </si>
  <si>
    <t>2.460579588017738</t>
  </si>
  <si>
    <t>-0.2482147269407691</t>
  </si>
  <si>
    <t>0.6918395289686751</t>
  </si>
  <si>
    <t>-1.2535491251707949</t>
  </si>
  <si>
    <t>-0.13133731980011015</t>
  </si>
  <si>
    <t>1.3374099532147674</t>
  </si>
  <si>
    <t>-0.814662462477401</t>
  </si>
  <si>
    <t>-1.5001702674829287</t>
  </si>
  <si>
    <t>0.5316303810571803</t>
  </si>
  <si>
    <t>0.07971515728488245</t>
  </si>
  <si>
    <t>-0.7017774735063447</t>
  </si>
  <si>
    <t>0.1210125285998713</t>
  </si>
  <si>
    <t>-0.31925474842826457</t>
  </si>
  <si>
    <t>1.550302368156308</t>
  </si>
  <si>
    <t>-1.1793879699271115</t>
  </si>
  <si>
    <t>0.02188691287220256</t>
  </si>
  <si>
    <t>0.5554590532786892</t>
  </si>
  <si>
    <t>0.8241824250386556</t>
  </si>
  <si>
    <t>-0.8285348965672024</t>
  </si>
  <si>
    <t>1.0364324241459248</t>
  </si>
  <si>
    <t>-0.050219414858796156</t>
  </si>
  <si>
    <t>-0.24699359515008765</t>
  </si>
  <si>
    <t>-0.30269314887330145</t>
  </si>
  <si>
    <t>-0.19402497173515307</t>
  </si>
  <si>
    <t>0.23288532484598934</t>
  </si>
  <si>
    <t>-0.4022287343903007</t>
  </si>
  <si>
    <t>-0.3302049408631501</t>
  </si>
  <si>
    <t>0.8393249862254112</t>
  </si>
  <si>
    <t>-1.3674747059567072</t>
  </si>
  <si>
    <t>1.2050974880835086</t>
  </si>
  <si>
    <t>-1.251907414800671</t>
  </si>
  <si>
    <t>-0.30471568862305304</t>
  </si>
  <si>
    <t>1.232427492778878</t>
  </si>
  <si>
    <t>-0.41792539061466955</t>
  </si>
  <si>
    <t>-0.515307828526679</t>
  </si>
  <si>
    <t>-0.1060635629262801</t>
  </si>
  <si>
    <t>1.0823325244174191</t>
  </si>
  <si>
    <t>0.9082485244662114</t>
  </si>
  <si>
    <t>-0.14237910424145103</t>
  </si>
  <si>
    <t>-1.2527819454219682</t>
  </si>
  <si>
    <t>0.1763690092010394</t>
  </si>
  <si>
    <t>0.6365252795050824</t>
  </si>
  <si>
    <t>-0.3529308773574529</t>
  </si>
  <si>
    <t>-0.9458551472586557</t>
  </si>
  <si>
    <t>-0.8549650783142343</t>
  </si>
  <si>
    <t>0.5641292572445721</t>
  </si>
  <si>
    <t>0.45241667768249294</t>
  </si>
  <si>
    <t>-0.3716001963662698</t>
  </si>
  <si>
    <t>0.20755097430851913</t>
  </si>
  <si>
    <t>0.8054669743068117</t>
  </si>
  <si>
    <t>-0.48685381885519</t>
  </si>
  <si>
    <t>-2.2992564715027637</t>
  </si>
  <si>
    <t>0.15124749681017205</t>
  </si>
  <si>
    <t>0.8642924851448621</t>
  </si>
  <si>
    <t>-4.096302549898387</t>
  </si>
  <si>
    <t>-3.3664678479430425</t>
  </si>
  <si>
    <t>-1.1442975711816188</t>
  </si>
  <si>
    <t>1.6275601493389806</t>
  </si>
  <si>
    <t>2.091563926242685</t>
  </si>
  <si>
    <t>-0.6575076398956149</t>
  </si>
  <si>
    <t>0.21307586449920593</t>
  </si>
  <si>
    <t>0.32730037942226126</t>
  </si>
  <si>
    <t>0.08764872528278181</t>
  </si>
  <si>
    <t>-0.47743841457772657</t>
  </si>
  <si>
    <t>-0.24421346738856975</t>
  </si>
  <si>
    <t>0.24531493639792798</t>
  </si>
  <si>
    <t>1.9346711896486037</t>
  </si>
  <si>
    <t>-0.509460740890685</t>
  </si>
  <si>
    <t>-0.2952982816253864</t>
  </si>
  <si>
    <t>-0.039267933982415806</t>
  </si>
  <si>
    <t>-0.7144262870027437</t>
  </si>
  <si>
    <t>1.3577171539081239</t>
  </si>
  <si>
    <t>-0.6259349940232498</t>
  </si>
  <si>
    <t>-1.1111694083070525</t>
  </si>
  <si>
    <t>-0.1806119357726527</t>
  </si>
  <si>
    <t>-0.9992077101166363</t>
  </si>
  <si>
    <t>0.9821026851306044</t>
  </si>
  <si>
    <t>-0.5313119804857883</t>
  </si>
  <si>
    <t>-0.3142262838131562</t>
  </si>
  <si>
    <t>0.1355260742315626</t>
  </si>
  <si>
    <t>-1.935151133588964</t>
  </si>
  <si>
    <t>3.2744780546972088</t>
  </si>
  <si>
    <t>1.2871958674141486</t>
  </si>
  <si>
    <t>-0.255898248861457</t>
  </si>
  <si>
    <t>-0.39111637803746024</t>
  </si>
  <si>
    <t>0.24719600384692983</t>
  </si>
  <si>
    <t>1.5724887008675086</t>
  </si>
  <si>
    <t>1.8745789290349208</t>
  </si>
  <si>
    <t>-0.14059840261404188</t>
  </si>
  <si>
    <t>0.14213013061025948</t>
  </si>
  <si>
    <t>-1.909635782956022</t>
  </si>
  <si>
    <t>1.4671994408594007</t>
  </si>
  <si>
    <t>0.5640901967620598</t>
  </si>
  <si>
    <t>-0.04353145526766678</t>
  </si>
  <si>
    <t>0.5049601834374823</t>
  </si>
  <si>
    <t>-0.6086343511711202</t>
  </si>
  <si>
    <t>0.434868669815669</t>
  </si>
  <si>
    <t>-0.4809466537913717</t>
  </si>
  <si>
    <t>-0.5952303483797253</t>
  </si>
  <si>
    <t>-0.34368535846742626</t>
  </si>
  <si>
    <t>1.7880475708785302</t>
  </si>
  <si>
    <t>-0.00036378184269407563</t>
  </si>
  <si>
    <t>1.0435659960734267</t>
  </si>
  <si>
    <t>-0.30676780997094505</t>
  </si>
  <si>
    <t>-0.11791014027272335</t>
  </si>
  <si>
    <t>-0.6713091563759322</t>
  </si>
  <si>
    <t>0.04439875821629315</t>
  </si>
  <si>
    <t>-0.03420227344183338</t>
  </si>
  <si>
    <t>-0.49896478712507086</t>
  </si>
  <si>
    <t>0.14765874252501668</t>
  </si>
  <si>
    <t>-0.9311566050560062</t>
  </si>
  <si>
    <t>-0.34809477217937485</t>
  </si>
  <si>
    <t>-1.1617695208563532</t>
  </si>
  <si>
    <t>-0.5953591434936498</t>
  </si>
  <si>
    <t>0.12454318158226158</t>
  </si>
  <si>
    <t>-0.3759812164296027</t>
  </si>
  <si>
    <t>0.3003796170569624</t>
  </si>
  <si>
    <t>-0.250792776209733</t>
  </si>
  <si>
    <t>-0.47115074636456566</t>
  </si>
  <si>
    <t>-0.14391208455979723</t>
  </si>
  <si>
    <t>-1.4596547555788142</t>
  </si>
  <si>
    <t>-0.18330561064595235</t>
  </si>
  <si>
    <t>-0.7408397484821589</t>
  </si>
  <si>
    <t>-0.9293275469527378</t>
  </si>
  <si>
    <t>-1.3267831833183545</t>
  </si>
  <si>
    <t>1.0613412154752275</t>
  </si>
  <si>
    <t>-0.2988260353267604</t>
  </si>
  <si>
    <t>0.15302674654376808</t>
  </si>
  <si>
    <t>0.028634254611338138</t>
  </si>
  <si>
    <t>0.4413451778509585</t>
  </si>
  <si>
    <t>1.4080435884687181</t>
  </si>
  <si>
    <t>0.21451046798086912</t>
  </si>
  <si>
    <t>-1.0358974931236309</t>
  </si>
  <si>
    <t>0.1815756902317098</t>
  </si>
  <si>
    <t>-1.4925656832732275</t>
  </si>
  <si>
    <t>-1.225134685755403</t>
  </si>
  <si>
    <t>0.8004448298649358</t>
  </si>
  <si>
    <t>2.864354810396277</t>
  </si>
  <si>
    <t>-0.37827178001170686</t>
  </si>
  <si>
    <t>0.37283389384120663</t>
  </si>
  <si>
    <t>-1.789495388643581</t>
  </si>
  <si>
    <t>1.325234770271625</t>
  </si>
  <si>
    <t>0.43004044042532424</t>
  </si>
  <si>
    <t>0.14964700154854582</t>
  </si>
  <si>
    <t>0.9468320738101803</t>
  </si>
  <si>
    <t>0.13442761684343396</t>
  </si>
  <si>
    <t>-0.43449688154757926</t>
  </si>
  <si>
    <t>-1.2088458419787431</t>
  </si>
  <si>
    <t>0.8607622950880996</t>
  </si>
  <si>
    <t>0.21467176313137307</t>
  </si>
  <si>
    <t>0.6518173166511531</t>
  </si>
  <si>
    <t>-0.48829769079388885</t>
  </si>
  <si>
    <t>2.4466568951989367</t>
  </si>
  <si>
    <t>0.9721466027424193</t>
  </si>
  <si>
    <t>-1.9667191849590044</t>
  </si>
  <si>
    <t>-0.2350108417423114</t>
  </si>
  <si>
    <t>3.0848877637441516</t>
  </si>
  <si>
    <t>-0.988004956027215</t>
  </si>
  <si>
    <t>-0.775052134641475</t>
  </si>
  <si>
    <t>-0.9165081996108614</t>
  </si>
  <si>
    <t>-1.0925084626068318</t>
  </si>
  <si>
    <t>0.24921701601320462</t>
  </si>
  <si>
    <t>-0.46681145736724045</t>
  </si>
  <si>
    <t>-0.5716285229510197</t>
  </si>
  <si>
    <t>-0.26420218307676085</t>
  </si>
  <si>
    <t>0.5376375858009141</t>
  </si>
  <si>
    <t>-0.15706272087930592</t>
  </si>
  <si>
    <t>1.9550736773932187</t>
  </si>
  <si>
    <t>-0.4417833782778645</t>
  </si>
  <si>
    <t>0.9097065541798193</t>
  </si>
  <si>
    <t>-1.1126519761616476</t>
  </si>
  <si>
    <t>0.36975287622442055</t>
  </si>
  <si>
    <t>-0.25867426669054977</t>
  </si>
  <si>
    <t>-2.5855603111746444</t>
  </si>
  <si>
    <t>0.29683284408811245</t>
  </si>
  <si>
    <t>-0.9006298236364328</t>
  </si>
  <si>
    <t>-0.1663332360426569</t>
  </si>
  <si>
    <t>1.4963579724063487</t>
  </si>
  <si>
    <t>-1.1618330573448374</t>
  </si>
  <si>
    <t>-0.05718705259388881</t>
  </si>
  <si>
    <t>-0.6056499441083547</t>
  </si>
  <si>
    <t>1.143650577399975</t>
  </si>
  <si>
    <t>1.0794317979746528</t>
  </si>
  <si>
    <t>-0.16721202294114745</t>
  </si>
  <si>
    <t>0.050142411127470254</t>
  </si>
  <si>
    <t>0.12075852148788067</t>
  </si>
  <si>
    <t>3.229533694174769</t>
  </si>
  <si>
    <t>0.6414005666620264</t>
  </si>
  <si>
    <t>-0.3580268481047333</t>
  </si>
  <si>
    <t>-0.8639649290868509</t>
  </si>
  <si>
    <t>0.4325409970631894</t>
  </si>
  <si>
    <t>0.9178916085171339</t>
  </si>
  <si>
    <t>-0.08929312449753178</t>
  </si>
  <si>
    <t>-0.14258672047387683</t>
  </si>
  <si>
    <t>0.6082354202160869</t>
  </si>
  <si>
    <t>0.11912794893312972</t>
  </si>
  <si>
    <t>-0.2314708292875594</t>
  </si>
  <si>
    <t>0.7243128381592903</t>
  </si>
  <si>
    <t>0.6087104004832108</t>
  </si>
  <si>
    <t>0.9005452913825779</t>
  </si>
  <si>
    <t>-0.2312916376908657</t>
  </si>
  <si>
    <t>-0.13283236733725032</t>
  </si>
  <si>
    <t>-0.03731717154792481</t>
  </si>
  <si>
    <t>0.004673135222776257</t>
  </si>
  <si>
    <t>0.24445823978138315</t>
  </si>
  <si>
    <t>0.2700804689537033</t>
  </si>
  <si>
    <t>-0.6801496641450403</t>
  </si>
  <si>
    <t>1.5499802362140376</t>
  </si>
  <si>
    <t>1.4264999257595772</t>
  </si>
  <si>
    <t>1.7538095652526375</t>
  </si>
  <si>
    <t>-0.6928722687290982</t>
  </si>
  <si>
    <t>0.11931946355071285</t>
  </si>
  <si>
    <t>-0.24204911970503593</t>
  </si>
  <si>
    <t>0.4310098463095287</t>
  </si>
  <si>
    <t>0.6541417426288412</t>
  </si>
  <si>
    <t>0.12667388607722158</t>
  </si>
  <si>
    <t>0.3533807508506754</t>
  </si>
  <si>
    <t>-1.1339709409739143</t>
  </si>
  <si>
    <t>-0.8599949948697541</t>
  </si>
  <si>
    <t>-0.23416911760222003</t>
  </si>
  <si>
    <t>4.57823832173091</t>
  </si>
  <si>
    <t>-0.8333477533800606</t>
  </si>
  <si>
    <t>-0.6180486609322117</t>
  </si>
  <si>
    <t>1.1259009688649826</t>
  </si>
  <si>
    <t>0.17425396820377767</t>
  </si>
  <si>
    <t>-0.9804146892968545</t>
  </si>
  <si>
    <t>2.088368966855135</t>
  </si>
  <si>
    <t>-1.0811894027371751</t>
  </si>
  <si>
    <t>-0.7707500243225226</t>
  </si>
  <si>
    <t>-0.6097387223533127</t>
  </si>
  <si>
    <t>-1.0398863040248225</t>
  </si>
  <si>
    <t>0.348357089398587</t>
  </si>
  <si>
    <t>1.6378239269668406</t>
  </si>
  <si>
    <t>1.3917247570615343</t>
  </si>
  <si>
    <t>-0.3494534391420392</t>
  </si>
  <si>
    <t>-0.6732092111512405</t>
  </si>
  <si>
    <t>1.2436382215894664</t>
  </si>
  <si>
    <t>0.16179006758544834</t>
  </si>
  <si>
    <t>0.8781069055347092</t>
  </si>
  <si>
    <t>-1.3118777746403751</t>
  </si>
  <si>
    <t>0.17541069276622995</t>
  </si>
  <si>
    <t>-0.8066791553233073</t>
  </si>
  <si>
    <t>-1.9058516796786658</t>
  </si>
  <si>
    <t>0.05239303181478516</t>
  </si>
  <si>
    <t>-0.1492250006540684</t>
  </si>
  <si>
    <t>-0.7020852649408775</t>
  </si>
  <si>
    <t>1.2275115920401822</t>
  </si>
  <si>
    <t>0.2340823270045051</t>
  </si>
  <si>
    <t>-0.4711595107871862</t>
  </si>
  <si>
    <t>-0.8950953997688599</t>
  </si>
  <si>
    <t>-0.5814791795944696</t>
  </si>
  <si>
    <t>-1.2805826814244374</t>
  </si>
  <si>
    <t>-0.31664265855110374</t>
  </si>
  <si>
    <t>0.005353208146303506</t>
  </si>
  <si>
    <t>-0.26403182775473694</t>
  </si>
  <si>
    <t>0.6015062315318019</t>
  </si>
  <si>
    <t>0.10805478083152133</t>
  </si>
  <si>
    <t>-0.7415999744109543</t>
  </si>
  <si>
    <t>-1.0480426399480376</t>
  </si>
  <si>
    <t>1.3079081984394285</t>
  </si>
  <si>
    <t>0.7348372723296146</t>
  </si>
  <si>
    <t>-2.1473740940319987</t>
  </si>
  <si>
    <t>-1.0194989266765937</t>
  </si>
  <si>
    <t>-0.40352075053741265</t>
  </si>
  <si>
    <t>1.0818856258867817</t>
  </si>
  <si>
    <t>-0.6359168382318453</t>
  </si>
  <si>
    <t>0.0903530687475344</t>
  </si>
  <si>
    <t>-0.7706420080258838</t>
  </si>
  <si>
    <t>-0.5466478422043222</t>
  </si>
  <si>
    <t>0.7523071549829671</t>
  </si>
  <si>
    <t>-0.3537683739218162</t>
  </si>
  <si>
    <t>0.6282530247900757</t>
  </si>
  <si>
    <t>0.6304772821452966</t>
  </si>
  <si>
    <t>-0.5600649441388637</t>
  </si>
  <si>
    <t>-0.5304159362022122</t>
  </si>
  <si>
    <t>0.4650298947612395</t>
  </si>
  <si>
    <t>-0.37707400729628915</t>
  </si>
  <si>
    <t>-0.5863342361857581</t>
  </si>
  <si>
    <t>-0.8806005732144239</t>
  </si>
  <si>
    <t>0.6845221783739566</t>
  </si>
  <si>
    <t>0.10596050736787459</t>
  </si>
  <si>
    <t>-0.24896481797199502</t>
  </si>
  <si>
    <t>0.38542414142623355</t>
  </si>
  <si>
    <t>0.17739338119117506</t>
  </si>
  <si>
    <t>1.4428301120313136</t>
  </si>
  <si>
    <t>-0.08240018665099227</t>
  </si>
  <si>
    <t>0.3047286682423652</t>
  </si>
  <si>
    <t>0.28998375899049555</t>
  </si>
  <si>
    <t>-0.09236454597082704</t>
  </si>
  <si>
    <t>0.08708948995535706</t>
  </si>
  <si>
    <t>0.12029318155262478</t>
  </si>
  <si>
    <t>-1.2385664400190233</t>
  </si>
  <si>
    <t>-0.32628080187845754</t>
  </si>
  <si>
    <t>-0.48374885618887303</t>
  </si>
  <si>
    <t>0.44909851095667247</t>
  </si>
  <si>
    <t>-0.02730980635874645</t>
  </si>
  <si>
    <t>-0.5728457200889506</t>
  </si>
  <si>
    <t>0.11267424367942173</t>
  </si>
  <si>
    <t>-1.701783159953588</t>
  </si>
  <si>
    <t>0.34034042926066044</t>
  </si>
  <si>
    <t>-0.3305854837097881</t>
  </si>
  <si>
    <t>0.6231796198110819</t>
  </si>
  <si>
    <t>1.3034895607915153</t>
  </si>
  <si>
    <t>1.4105053311622917</t>
  </si>
  <si>
    <t>0.3308381449332193</t>
  </si>
  <si>
    <t>0.1520809885884438</t>
  </si>
  <si>
    <t>0.1289881385478266</t>
  </si>
  <si>
    <t>-0.698803451368575</t>
  </si>
  <si>
    <t>-0.4473256472669257</t>
  </si>
  <si>
    <t>-0.18654206445482055</t>
  </si>
  <si>
    <t>0.6951145239546351</t>
  </si>
  <si>
    <t>-2.228290547721345</t>
  </si>
  <si>
    <t>0.038504061852689786</t>
  </si>
  <si>
    <t>0.8792955486690581</t>
  </si>
  <si>
    <t>-1.4230620122606235</t>
  </si>
  <si>
    <t>-0.5547461776012084</t>
  </si>
  <si>
    <t>0.3371052114364355</t>
  </si>
  <si>
    <t>-0.39764896578059084</t>
  </si>
  <si>
    <t>-1.9876806383848908</t>
  </si>
  <si>
    <t>0.02473977928754225</t>
  </si>
  <si>
    <t>0.08738937395100116</t>
  </si>
  <si>
    <t>-1.0451362250656786</t>
  </si>
  <si>
    <t>0.24887578163260224</t>
  </si>
  <si>
    <t>-0.7845101403178553</t>
  </si>
  <si>
    <t>-2.075925392110496</t>
  </si>
  <si>
    <t>-0.35843623231011923</t>
  </si>
  <si>
    <t>-0.4373798200745326</t>
  </si>
  <si>
    <t>1.6494040923310802</t>
  </si>
  <si>
    <t>0.23640104489108102</t>
  </si>
  <si>
    <t>0.4510499142167756</t>
  </si>
  <si>
    <t>1.5183962623286134</t>
  </si>
  <si>
    <t>-0.5335076095274894</t>
  </si>
  <si>
    <t>-0.028948493885055274</t>
  </si>
  <si>
    <t>0.1959696627040492</t>
  </si>
  <si>
    <t>-0.45581609931525957</t>
  </si>
  <si>
    <t>-1.1581800902717865</t>
  </si>
  <si>
    <t>-0.8538255382971398</t>
  </si>
  <si>
    <t>-2.5586781316999465</t>
  </si>
  <si>
    <t>-0.39482275480668305</t>
  </si>
  <si>
    <t>-0.2347560361230088</t>
  </si>
  <si>
    <t>-1.8023317817297084</t>
  </si>
  <si>
    <t>-0.2701627587630291</t>
  </si>
  <si>
    <t>-0.4944880874231268</t>
  </si>
  <si>
    <t>0.9383947508909198</t>
  </si>
  <si>
    <t>0.9443493443753934</t>
  </si>
  <si>
    <t>0.9793782887067065</t>
  </si>
  <si>
    <t>1.041330899561799</t>
  </si>
  <si>
    <t>-1.336946218846452</t>
  </si>
  <si>
    <t>-0.912175104658629</t>
  </si>
  <si>
    <t>0.7706090403791472</t>
  </si>
  <si>
    <t>2.064779441757146</t>
  </si>
  <si>
    <t>-1.0207755286766542</t>
  </si>
  <si>
    <t>-2.5382389426364496</t>
  </si>
  <si>
    <t>-0.041273326878659186</t>
  </si>
  <si>
    <t>-0.6312535718763663</t>
  </si>
  <si>
    <t>-0.5082294720637531</t>
  </si>
  <si>
    <t>0.09458204653297873</t>
  </si>
  <si>
    <t>-0.3041539678028563</t>
  </si>
  <si>
    <t>0.20343397071370714</t>
  </si>
  <si>
    <t>-1.3505783941161753</t>
  </si>
  <si>
    <t>-0.7297242431795024</t>
  </si>
  <si>
    <t>-2.200033259311646</t>
  </si>
  <si>
    <t>0.4326360227768971</t>
  </si>
  <si>
    <t>-0.7872490766026772</t>
  </si>
  <si>
    <t>3.6902017176913042</t>
  </si>
  <si>
    <t>1.4960749857775923</t>
  </si>
  <si>
    <t>1.338934642022235</t>
  </si>
  <si>
    <t>-1.639061234933584</t>
  </si>
  <si>
    <t>1.2972148264905468</t>
  </si>
  <si>
    <t>0.04215114853487583</t>
  </si>
  <si>
    <t>-0.23471876957881388</t>
  </si>
  <si>
    <t>-0.9258518551729233</t>
  </si>
  <si>
    <t>-2.3100721526183876</t>
  </si>
  <si>
    <t>0.540222390914736</t>
  </si>
  <si>
    <t>0.7102379679188876</t>
  </si>
  <si>
    <t>-0.8224593852489565</t>
  </si>
  <si>
    <t>-0.4424378939305733</t>
  </si>
  <si>
    <t>-1.0812060060387203</t>
  </si>
  <si>
    <t>-0.5115790458720082</t>
  </si>
  <si>
    <t>-1.182997059852303</t>
  </si>
  <si>
    <t>0.21315312406600168</t>
  </si>
  <si>
    <t>1.2295915101524941</t>
  </si>
  <si>
    <t>0.4786985213643356</t>
  </si>
  <si>
    <t>-1.2223965914195367</t>
  </si>
  <si>
    <t>5.276686144470381</t>
  </si>
  <si>
    <t>0.3272539192245248</t>
  </si>
  <si>
    <t>-0.6354028477715084</t>
  </si>
  <si>
    <t>3.9035379349691133</t>
  </si>
  <si>
    <t>2.4277629858866594</t>
  </si>
  <si>
    <t>0.2896549936507306</t>
  </si>
  <si>
    <t>-0.14925279237724776</t>
  </si>
  <si>
    <t>-0.8561386993986416</t>
  </si>
  <si>
    <t>0.6941797594787827</t>
  </si>
  <si>
    <t>1.0876444318477352</t>
  </si>
  <si>
    <t>-0.4866762632060134</t>
  </si>
  <si>
    <t>-0.4447013562545784</t>
  </si>
  <si>
    <t>0.35934284502041575</t>
  </si>
  <si>
    <t>1.8731617729494177</t>
  </si>
  <si>
    <t>-1.2394878501488935</t>
  </si>
  <si>
    <t>-0.5636717110251045</t>
  </si>
  <si>
    <t>0.3024785299990125</t>
  </si>
  <si>
    <t>0.6000894977473984</t>
  </si>
  <si>
    <t>1.3465838872156517</t>
  </si>
  <si>
    <t>-0.677433763155255</t>
  </si>
  <si>
    <t>0.4415734796730078</t>
  </si>
  <si>
    <t>-0.26011079619087596</t>
  </si>
  <si>
    <t>0.38811970009908925</t>
  </si>
  <si>
    <t>-0.4019061067352496</t>
  </si>
  <si>
    <t>-0.5648476682580243</t>
  </si>
  <si>
    <t>-0.5155278178423855</t>
  </si>
  <si>
    <t>-0.7364656568301028</t>
  </si>
  <si>
    <t>-0.4739094522350389</t>
  </si>
  <si>
    <t>-1.0339643920668888</t>
  </si>
  <si>
    <t>0.3405006369641421</t>
  </si>
  <si>
    <t>-0.3255477654173092</t>
  </si>
  <si>
    <t>-0.08066048726483262</t>
  </si>
  <si>
    <t>-0.42133782880479725</t>
  </si>
  <si>
    <t>-0.921139057401251</t>
  </si>
  <si>
    <t>-0.3557675928470862</t>
  </si>
  <si>
    <t>0.2506973648264081</t>
  </si>
  <si>
    <t>0.5788312160858329</t>
  </si>
  <si>
    <t>-0.06638546494709055</t>
  </si>
  <si>
    <t>-1.0190310731246852</t>
  </si>
  <si>
    <t>-0.16664144038712336</t>
  </si>
  <si>
    <t>-0.5749523926599893</t>
  </si>
  <si>
    <t>0.9403043042516696</t>
  </si>
  <si>
    <t>-1.9965598273308487</t>
  </si>
  <si>
    <t>0.10348289480151772</t>
  </si>
  <si>
    <t>0.9571311944943018</t>
  </si>
  <si>
    <t>-0.2366517914079696</t>
  </si>
  <si>
    <t>1.7789257354617383</t>
  </si>
  <si>
    <t>-0.7995439873730358</t>
  </si>
  <si>
    <t>-0.7050105629782661</t>
  </si>
  <si>
    <t>0.29764980454861206</t>
  </si>
  <si>
    <t>-0.3377316756525026</t>
  </si>
  <si>
    <t>-0.014027755015780421</t>
  </si>
  <si>
    <t>0.11433684729521407</t>
  </si>
  <si>
    <t>-0.2668075580571935</t>
  </si>
  <si>
    <t>-0.5490896118491346</t>
  </si>
  <si>
    <t>1.2132826624448698</t>
  </si>
  <si>
    <t>0.591345599687416</t>
  </si>
  <si>
    <t>-0.3686461434041097</t>
  </si>
  <si>
    <t>0.34243390107620575</t>
  </si>
  <si>
    <t>-0.7587540910666749</t>
  </si>
  <si>
    <t>1.1460109278776318</t>
  </si>
  <si>
    <t>0.36824950853837185</t>
  </si>
  <si>
    <t>-0.7885784881777026</t>
  </si>
  <si>
    <t>0.6066816359144899</t>
  </si>
  <si>
    <t>0.4542534719002734</t>
  </si>
  <si>
    <t>-0.006796809454135531</t>
  </si>
  <si>
    <t>-0.02782425132672311</t>
  </si>
  <si>
    <t>0.08421000866785822</t>
  </si>
  <si>
    <t>0.11635251873198153</t>
  </si>
  <si>
    <t>-0.3346766884268311</t>
  </si>
  <si>
    <t>-0.3463182793826789</t>
  </si>
  <si>
    <t>-0.17474050301814517</t>
  </si>
  <si>
    <t>0.06848713244971615</t>
  </si>
  <si>
    <t>-0.22492404550326112</t>
  </si>
  <si>
    <t>-0.2335409991284347</t>
  </si>
  <si>
    <t>-0.1901201630452698</t>
  </si>
  <si>
    <t>-1.0565379502496888</t>
  </si>
  <si>
    <t>0.3530731474217533</t>
  </si>
  <si>
    <t>-0.5064117860546147</t>
  </si>
  <si>
    <t>-0.2170162924799609</t>
  </si>
  <si>
    <t>0.34105561157553627</t>
  </si>
  <si>
    <t>0.07101299428841192</t>
  </si>
  <si>
    <t>-0.10288773209320434</t>
  </si>
  <si>
    <t>-0.36187877693212817</t>
  </si>
  <si>
    <t>2.0438923469022687</t>
  </si>
  <si>
    <t>-1.2830715542571947</t>
  </si>
  <si>
    <t>-0.5879739386457644</t>
  </si>
  <si>
    <t>1.464121583097547</t>
  </si>
  <si>
    <t>0.05332302865948026</t>
  </si>
  <si>
    <t>-0.839022716982297</t>
  </si>
  <si>
    <t>-0.06209796081232462</t>
  </si>
  <si>
    <t>0.37278960162852137</t>
  </si>
  <si>
    <t>-0.11397148043191423</t>
  </si>
  <si>
    <t>-0.8588946265368719</t>
  </si>
  <si>
    <t>-0.25639593580266384</t>
  </si>
  <si>
    <t>1.6362031619471507</t>
  </si>
  <si>
    <t>-0.12346040875193111</t>
  </si>
  <si>
    <t>-0.4535405640968458</t>
  </si>
  <si>
    <t>1.108143405265987</t>
  </si>
  <si>
    <t>0.4303182866127159</t>
  </si>
  <si>
    <t>-0.5413630531016397</t>
  </si>
  <si>
    <t>-0.1044177474446869</t>
  </si>
  <si>
    <t>0.9524285034701736</t>
  </si>
  <si>
    <t>0.729233248238865</t>
  </si>
  <si>
    <t>-0.21759701874556736</t>
  </si>
  <si>
    <t>-0.5173102680601492</t>
  </si>
  <si>
    <t>0.16849438545665835</t>
  </si>
  <si>
    <t>-2.3256490052439007</t>
  </si>
  <si>
    <t>-1.0261770513438524</t>
  </si>
  <si>
    <t>-0.03526287226015108</t>
  </si>
  <si>
    <t>0.6969040250737274</t>
  </si>
  <si>
    <t>-1.0419408289474565</t>
  </si>
  <si>
    <t>-0.38304693399955</t>
  </si>
  <si>
    <t>-0.38930346739026267</t>
  </si>
  <si>
    <t>0.5313579564042028</t>
  </si>
  <si>
    <t>0.39584789428012784</t>
  </si>
  <si>
    <t>-0.03911500210336762</t>
  </si>
  <si>
    <t>-0.42688107462041014</t>
  </si>
  <si>
    <t>-0.29129891489719284</t>
  </si>
  <si>
    <t>0.1737772014283114</t>
  </si>
  <si>
    <t>0.4234868642409827</t>
  </si>
  <si>
    <t>-0.31390545468317294</t>
  </si>
  <si>
    <t>1.2342963820913102</t>
  </si>
  <si>
    <t>0.5762440486456343</t>
  </si>
  <si>
    <t>0.7726842411621496</t>
  </si>
  <si>
    <t>0.0654025149209319</t>
  </si>
  <si>
    <t>0.0008249765276579047</t>
  </si>
  <si>
    <t>-1.0687066021218128</t>
  </si>
  <si>
    <t>2.0988661684435415</t>
  </si>
  <si>
    <t>0.06028804213604776</t>
  </si>
  <si>
    <t>-0.6426710934938578</t>
  </si>
  <si>
    <t>-0.2943485577363935</t>
  </si>
  <si>
    <t>0.7332003557203196</t>
  </si>
  <si>
    <t>-0.07670740451457651</t>
  </si>
  <si>
    <t>0.8254583622843152</t>
  </si>
  <si>
    <t>-0.12288966583276957</t>
  </si>
  <si>
    <t>1.3752753306543253</t>
  </si>
  <si>
    <t>1.2246702741331852</t>
  </si>
  <si>
    <t>-0.3526441003135644</t>
  </si>
  <si>
    <t>0.03698033367576758</t>
  </si>
  <si>
    <t>-0.23319646214483247</t>
  </si>
  <si>
    <t>-0.8315688790878036</t>
  </si>
  <si>
    <t>-0.3270156246261708</t>
  </si>
  <si>
    <t>-0.01643439554590528</t>
  </si>
  <si>
    <t>-0.5148283406317563</t>
  </si>
  <si>
    <t>0.19274490479233675</t>
  </si>
  <si>
    <t>-0.331694237056405</t>
  </si>
  <si>
    <t>0.5769228499870667</t>
  </si>
  <si>
    <t>0.25792564724182154</t>
  </si>
  <si>
    <t>0.0528449084991075</t>
  </si>
  <si>
    <t>-0.08478811249604146</t>
  </si>
  <si>
    <t>0.5283500866466007</t>
  </si>
  <si>
    <t>0.268336023460203</t>
  </si>
  <si>
    <t>0.3105030101416767</t>
  </si>
  <si>
    <t>-0.5435615963236127</t>
  </si>
  <si>
    <t>-0.40963432682341167</t>
  </si>
  <si>
    <t>-0.07248392268934441</t>
  </si>
  <si>
    <t>0.32215500469922653</t>
  </si>
  <si>
    <t>-0.20417841250541374</t>
  </si>
  <si>
    <t>0.0859293381526675</t>
  </si>
  <si>
    <t>0.7291934610347438</t>
  </si>
  <si>
    <t>0.4510351306141487</t>
  </si>
  <si>
    <t>-0.49450951771159823</t>
  </si>
  <si>
    <t>0.8745473041856842</t>
  </si>
  <si>
    <t>-0.266157934051982</t>
  </si>
  <si>
    <t>0.041489371715874364</t>
  </si>
  <si>
    <t>0.02660909963107344</t>
  </si>
  <si>
    <t>0.14965599103212587</t>
  </si>
  <si>
    <t>1.3249759482771744</t>
  </si>
  <si>
    <t>1.4249327835001078</t>
  </si>
  <si>
    <t>-0.2844767083957193</t>
  </si>
  <si>
    <t>-1.6068685723383338</t>
  </si>
  <si>
    <t>-1.1544141247253326</t>
  </si>
  <si>
    <t>-1.4401074062397814</t>
  </si>
  <si>
    <t>0.1433958480333403</t>
  </si>
  <si>
    <t>0.8906856884147286</t>
  </si>
  <si>
    <t>-0.9715061825220814</t>
  </si>
  <si>
    <t>-0.35209305405904606</t>
  </si>
  <si>
    <t>-0.15459731190764112</t>
  </si>
  <si>
    <t>-0.13768467769532838</t>
  </si>
  <si>
    <t>1.0192385825404562</t>
  </si>
  <si>
    <t>-0.805053435946099</t>
  </si>
  <si>
    <t>-0.5711302434313753</t>
  </si>
  <si>
    <t>-0.17391318363230862</t>
  </si>
  <si>
    <t>-1.226798092701382</t>
  </si>
  <si>
    <t>3.0013545941980557</t>
  </si>
  <si>
    <t>1.3642380290520342</t>
  </si>
  <si>
    <t>-0.40238905184213286</t>
  </si>
  <si>
    <t>0.4229529871503772</t>
  </si>
  <si>
    <t>0.4206686522712303</t>
  </si>
  <si>
    <t>0.22626280262673762</t>
  </si>
  <si>
    <t>-0.34033372708346543</t>
  </si>
  <si>
    <t>-0.3713589431369494</t>
  </si>
  <si>
    <t>0.12764931525090892</t>
  </si>
  <si>
    <t>0.31738376736337853</t>
  </si>
  <si>
    <t>-0.2285296453483429</t>
  </si>
  <si>
    <t>0.8154703321284262</t>
  </si>
  <si>
    <t>2.273665365917806</t>
  </si>
  <si>
    <t>-0.18491289161667976</t>
  </si>
  <si>
    <t>-1.1128366444678843</t>
  </si>
  <si>
    <t>-0.20307084934624872</t>
  </si>
  <si>
    <t>-0.03813035279890428</t>
  </si>
  <si>
    <t>-0.06781522211910264</t>
  </si>
  <si>
    <t>0.010236560649975782</t>
  </si>
  <si>
    <t>-0.5651278892100965</t>
  </si>
  <si>
    <t>-0.7241087826906463</t>
  </si>
  <si>
    <t>-0.43617678233244234</t>
  </si>
  <si>
    <t>0.21940198256059554</t>
  </si>
  <si>
    <t>-0.37506518917080817</t>
  </si>
  <si>
    <t>-1.8031569656304591</t>
  </si>
  <si>
    <t>0.30125060460833275</t>
  </si>
  <si>
    <t>1.8093518033747196</t>
  </si>
  <si>
    <t>-0.41392198496282834</t>
  </si>
  <si>
    <t>0.8856115476130879</t>
  </si>
  <si>
    <t>0.3333300101220217</t>
  </si>
  <si>
    <t>0.8359138488312036</t>
  </si>
  <si>
    <t>-0.4723715052899089</t>
  </si>
  <si>
    <t>0.2549273513834274</t>
  </si>
  <si>
    <t>0.17646488649400568</t>
  </si>
  <si>
    <t>0.8928765098161588</t>
  </si>
  <si>
    <t>-0.860315285642761</t>
  </si>
  <si>
    <t>-0.5341063031077661</t>
  </si>
  <si>
    <t>0.9073134030932107</t>
  </si>
  <si>
    <t>-1.2385816564181413</t>
  </si>
  <si>
    <t>1.2617453455459169</t>
  </si>
  <si>
    <t>-1.0137261977463399</t>
  </si>
  <si>
    <t>0.638902538662033</t>
  </si>
  <si>
    <t>-0.9267212212850399</t>
  </si>
  <si>
    <t>-0.601192684466649</t>
  </si>
  <si>
    <t>-0.40989089993501737</t>
  </si>
  <si>
    <t>-0.6863177764742544</t>
  </si>
  <si>
    <t>0.4290745684238901</t>
  </si>
  <si>
    <t>0.7792007913075585</t>
  </si>
  <si>
    <t>-0.3581452039653661</t>
  </si>
  <si>
    <t>0.5668452075302207</t>
  </si>
  <si>
    <t>0.5577596086097527</t>
  </si>
  <si>
    <t>0.577075019032541</t>
  </si>
  <si>
    <t>0.37514942617420644</t>
  </si>
  <si>
    <t>1.4908966754700166</t>
  </si>
  <si>
    <t>-0.7115070179571825</t>
  </si>
  <si>
    <t>0.5922360904885958</t>
  </si>
  <si>
    <t>0.1941640087811406</t>
  </si>
  <si>
    <t>-0.8838640312158851</t>
  </si>
  <si>
    <t>0.4242658125598574</t>
  </si>
  <si>
    <t>0.4717737332810523</t>
  </si>
  <si>
    <t>0.5481897423257783</t>
  </si>
  <si>
    <t>0.5342277180112294</t>
  </si>
  <si>
    <t>0.9748124809942817</t>
  </si>
  <si>
    <t>-0.2592906692967969</t>
  </si>
  <si>
    <t>0.9394432233638121</t>
  </si>
  <si>
    <t>-0.6845487389959282</t>
  </si>
  <si>
    <t>0.04115001010562058</t>
  </si>
  <si>
    <t>-0.6022404560913693</t>
  </si>
  <si>
    <t>-0.14174299033899918</t>
  </si>
  <si>
    <t>0.3626399620997606</t>
  </si>
  <si>
    <t>-0.28658445616949235</t>
  </si>
  <si>
    <t>-0.2528007888300159</t>
  </si>
  <si>
    <t>0.2488031185553331</t>
  </si>
  <si>
    <t>-0.02585966920890642</t>
  </si>
  <si>
    <t>0.5986816068244752</t>
  </si>
  <si>
    <t>0.2776114152220223</t>
  </si>
  <si>
    <t>-0.1648957098175609</t>
  </si>
  <si>
    <t>-0.4685134449001912</t>
  </si>
  <si>
    <t>0.12188568907271402</t>
  </si>
  <si>
    <t>0.6281472518325038</t>
  </si>
  <si>
    <t>-0.33878137152524695</t>
  </si>
  <si>
    <t>0.47098084358486964</t>
  </si>
  <si>
    <t>0.6598268558502127</t>
  </si>
  <si>
    <t>-0.137193665029692</t>
  </si>
  <si>
    <t>-0.16419923216536114</t>
  </si>
  <si>
    <t>-0.1449751752352613</t>
  </si>
  <si>
    <t>-0.21294770411485958</t>
  </si>
  <si>
    <t>-0.05852861320992361</t>
  </si>
  <si>
    <t>-0.8801888493527716</t>
  </si>
  <si>
    <t>0.5181650803122072</t>
  </si>
  <si>
    <t>-0.9765658101908902</t>
  </si>
  <si>
    <t>-0.29685541724805653</t>
  </si>
  <si>
    <t>-0.20535785911729243</t>
  </si>
  <si>
    <t>-1.108437189089438</t>
  </si>
  <si>
    <t>1.0306101537275907</t>
  </si>
  <si>
    <t>0.8562247153835751</t>
  </si>
  <si>
    <t>0.7857167816468877</t>
  </si>
  <si>
    <t>-0.5937458193391855</t>
  </si>
  <si>
    <t>-0.135322116640819</t>
  </si>
  <si>
    <t>-0.46592676710217734</t>
  </si>
  <si>
    <t>0.49524889864666183</t>
  </si>
  <si>
    <t>-0.9122610458098209</t>
  </si>
  <si>
    <t>-0.2563588672398814</t>
  </si>
  <si>
    <t>0.26245007543368104</t>
  </si>
  <si>
    <t>-0.9652111991307344</t>
  </si>
  <si>
    <t>-1.39345193857123</t>
  </si>
  <si>
    <t>0.4059939346653547</t>
  </si>
  <si>
    <t>-0.1330991701662233</t>
  </si>
  <si>
    <t>0.2172843416050842</t>
  </si>
  <si>
    <t>-0.37192220932356546</t>
  </si>
  <si>
    <t>-0.7215493869418453</t>
  </si>
  <si>
    <t>-0.09299365420426933</t>
  </si>
  <si>
    <t>0.608922235453252</t>
  </si>
  <si>
    <t>-0.19338341516006385</t>
  </si>
  <si>
    <t>-0.16686837901881157</t>
  </si>
  <si>
    <t>1.3849607055652853</t>
  </si>
  <si>
    <t>-1.3182086747882276</t>
  </si>
  <si>
    <t>-0.6718988800362686</t>
  </si>
  <si>
    <t>-0.7468008716091981</t>
  </si>
  <si>
    <t>1.0105266135421458</t>
  </si>
  <si>
    <t>-0.1163548514801154</t>
  </si>
  <si>
    <t>-0.5381904258336618</t>
  </si>
  <si>
    <t>-0.4795986618432827</t>
  </si>
  <si>
    <t>0.26982951760833523</t>
  </si>
  <si>
    <t>0.31015062156606965</t>
  </si>
  <si>
    <t>0.3363629550783262</t>
  </si>
  <si>
    <t>-0.40244568306538286</t>
  </si>
  <si>
    <t>-0.835161071432556</t>
  </si>
  <si>
    <t>0.7573428705543507</t>
  </si>
  <si>
    <t>-0.17673676250494985</t>
  </si>
  <si>
    <t>-0.2711569380651756</t>
  </si>
  <si>
    <t>-0.7689584806388058</t>
  </si>
  <si>
    <t>0.7579991469569398</t>
  </si>
  <si>
    <t>-0.10901695221649498</t>
  </si>
  <si>
    <t>0.9392133091359216</t>
  </si>
  <si>
    <t>-0.5814984713313778</t>
  </si>
  <si>
    <t>0.08807620487329015</t>
  </si>
  <si>
    <t>-0.885942600173408</t>
  </si>
  <si>
    <t>-1.0534192850755437</t>
  </si>
  <si>
    <t>-0.567245901291222</t>
  </si>
  <si>
    <t>-0.09799245637834249</t>
  </si>
  <si>
    <t>-0.38227710833302125</t>
  </si>
  <si>
    <t>0.7676520829959466</t>
  </si>
  <si>
    <t>1.22096161503577</t>
  </si>
  <si>
    <t>-0.9659244586286506</t>
  </si>
  <si>
    <t>-0.9345483792532759</t>
  </si>
  <si>
    <t>-0.716878662199361</t>
  </si>
  <si>
    <t>0.2663859160842133</t>
  </si>
  <si>
    <t>-0.7113256303109841</t>
  </si>
  <si>
    <t>0.19459346434718625</t>
  </si>
  <si>
    <t>0.7495249032510146</t>
  </si>
  <si>
    <t>-0.669293778769405</t>
  </si>
  <si>
    <t>0.23335401042021378</t>
  </si>
  <si>
    <t>1.2121999664404857</t>
  </si>
  <si>
    <t>-0.399351491326518</t>
  </si>
  <si>
    <t>0.2324514640632655</t>
  </si>
  <si>
    <t>-0.27042209323347927</t>
  </si>
  <si>
    <t>1.1151144786987819</t>
  </si>
  <si>
    <t>0.6306389415851691</t>
  </si>
  <si>
    <t>-0.6104838550400155</t>
  </si>
  <si>
    <t>-1.226272454026736</t>
  </si>
  <si>
    <t>0.1673959180133802</t>
  </si>
  <si>
    <t>-0.8474909765412546</t>
  </si>
  <si>
    <t>0.6277293183694025</t>
  </si>
  <si>
    <t>0.44578934944198406</t>
  </si>
  <si>
    <t>0.007261868990075007</t>
  </si>
  <si>
    <t>0.05023691785551627</t>
  </si>
  <si>
    <t>-0.31495465190654864</t>
  </si>
  <si>
    <t>-0.0037971197077189627</t>
  </si>
  <si>
    <t>-0.23250881793816858</t>
  </si>
  <si>
    <t>0.9889061420549394</t>
  </si>
  <si>
    <t>-0.01776026048833401</t>
  </si>
  <si>
    <t>0.06473469729556795</t>
  </si>
  <si>
    <t>-0.07908278305990994</t>
  </si>
  <si>
    <t>1.0388338865614521</t>
  </si>
  <si>
    <t>0.32678719337756446</t>
  </si>
  <si>
    <t>-0.2524390912718783</t>
  </si>
  <si>
    <t>-0.40806376474146483</t>
  </si>
  <si>
    <t>-0.7841337239043809</t>
  </si>
  <si>
    <t>-0.4638293201006142</t>
  </si>
  <si>
    <t>2.105455314957511</t>
  </si>
  <si>
    <t>-0.7138976969017222</t>
  </si>
  <si>
    <t>0.23793698038634464</t>
  </si>
  <si>
    <t>-0.21653361929892884</t>
  </si>
  <si>
    <t>0.3959585625977107</t>
  </si>
  <si>
    <t>0.06589736032374091</t>
  </si>
  <si>
    <t>-1.3332371075520921</t>
  </si>
  <si>
    <t>-0.94712510777207</t>
  </si>
  <si>
    <t>1.3424643951118254</t>
  </si>
  <si>
    <t>0.03587181864299224</t>
  </si>
  <si>
    <t>0.5399728151970046</t>
  </si>
  <si>
    <t>-0.4286238394072989</t>
  </si>
  <si>
    <t>-0.329939847971282</t>
  </si>
  <si>
    <t>-0.90006122662303</t>
  </si>
  <si>
    <t>0.7031804988879141</t>
  </si>
  <si>
    <t>0.2801885315944523</t>
  </si>
  <si>
    <t>-2.209998582280654</t>
  </si>
  <si>
    <t>-0.7560009669727148</t>
  </si>
  <si>
    <t>1.7390308886455121</t>
  </si>
  <si>
    <t>-0.18509308913374334</t>
  </si>
  <si>
    <t>-0.6573827898485044</t>
  </si>
  <si>
    <t>0.27163161578834616</t>
  </si>
  <si>
    <t>-0.02111059870698671</t>
  </si>
  <si>
    <t>-0.75600659163032</t>
  </si>
  <si>
    <t>0.03675751206002928</t>
  </si>
  <si>
    <t>0.08980374976716461</t>
  </si>
  <si>
    <t>0.43705260688880293</t>
  </si>
  <si>
    <t>0.3128944880465579</t>
  </si>
  <si>
    <t>-1.740830813120193</t>
  </si>
  <si>
    <t>-1.5549449305433092</t>
  </si>
  <si>
    <t>-1.017882213225151</t>
  </si>
  <si>
    <t>-0.532040182150579</t>
  </si>
  <si>
    <t>-0.824206680057558</t>
  </si>
  <si>
    <t>0.3361714763970132</t>
  </si>
  <si>
    <t>1.7944164477681617</t>
  </si>
  <si>
    <t>-0.23822798316814955</t>
  </si>
  <si>
    <t>-1.29771629938331</t>
  </si>
  <si>
    <t>0.5314903879390206</t>
  </si>
  <si>
    <t>0.3446365245311551</t>
  </si>
  <si>
    <t>-0.11634098522033222</t>
  </si>
  <si>
    <t>-0.06611202191404886</t>
  </si>
  <si>
    <t>1.1694478251206963</t>
  </si>
  <si>
    <t>-0.37014315750921134</t>
  </si>
  <si>
    <t>0.30053171686867985</t>
  </si>
  <si>
    <t>0.1316419681514651</t>
  </si>
  <si>
    <t>0.27359367132475115</t>
  </si>
  <si>
    <t>-0.3819196020769966</t>
  </si>
  <si>
    <t>-0.45536525185375754</t>
  </si>
  <si>
    <t>2.2932572151807973</t>
  </si>
  <si>
    <t>0.6610069300614099</t>
  </si>
  <si>
    <t>-0.36428510819376464</t>
  </si>
  <si>
    <t>0.878769160549758</t>
  </si>
  <si>
    <t>0.18543112482141083</t>
  </si>
  <si>
    <t>-0.5900094705242676</t>
  </si>
  <si>
    <t>-0.7038949126232631</t>
  </si>
  <si>
    <t>-0.863235865109401</t>
  </si>
  <si>
    <t>1.7159013376183452</t>
  </si>
  <si>
    <t>0.4491162117000716</t>
  </si>
  <si>
    <t>-0.8077306316119004</t>
  </si>
  <si>
    <t>0.20392905576859383</t>
  </si>
  <si>
    <t>-0.2734546273532158</t>
  </si>
  <si>
    <t>-0.10847504818028897</t>
  </si>
  <si>
    <t>-0.4844289125648322</t>
  </si>
  <si>
    <t>-0.9579610761003254</t>
  </si>
  <si>
    <t>-0.1482224168709182</t>
  </si>
  <si>
    <t>-0.6606848411569796</t>
  </si>
  <si>
    <t>-1.5703173448949168</t>
  </si>
  <si>
    <t>-0.1590401536855256</t>
  </si>
  <si>
    <t>-0.8962055536505582</t>
  </si>
  <si>
    <t>-0.4002689496039038</t>
  </si>
  <si>
    <t>0.13345782933021708</t>
  </si>
  <si>
    <t>-0.09009565595901019</t>
  </si>
  <si>
    <t>-0.1263557780085345</t>
  </si>
  <si>
    <t>-0.01676047943611096</t>
  </si>
  <si>
    <t>-0.6526857259365214</t>
  </si>
  <si>
    <t>0.20981402554027975</t>
  </si>
  <si>
    <t>-0.8430621485486989</t>
  </si>
  <si>
    <t>-1.2187722435880073</t>
  </si>
  <si>
    <t>0.35542139239633874</t>
  </si>
  <si>
    <t>-0.3259181619230619</t>
  </si>
  <si>
    <t>0.9443740237604861</t>
  </si>
  <si>
    <t>0.15921393185746865</t>
  </si>
  <si>
    <t>-0.4357239441870751</t>
  </si>
  <si>
    <t>0.7976806910122638</t>
  </si>
  <si>
    <t>-0.2387200526368123</t>
  </si>
  <si>
    <t>-0.46122774741739897</t>
  </si>
  <si>
    <t>0.6361482007385413</t>
  </si>
  <si>
    <t>-0.6935817849652962</t>
  </si>
  <si>
    <t>0.9856565428725613</t>
  </si>
  <si>
    <t>0.4442291454159385</t>
  </si>
  <si>
    <t>0.5576065061756252</t>
  </si>
  <si>
    <t>0.23265087575426371</t>
  </si>
  <si>
    <t>-0.2680287947596088</t>
  </si>
  <si>
    <t>-0.9627735506421375</t>
  </si>
  <si>
    <t>-0.5087578691913865</t>
  </si>
  <si>
    <t>-0.04461332341309492</t>
  </si>
  <si>
    <t>-0.3784439739457369</t>
  </si>
  <si>
    <t>0.41679020350680107</t>
  </si>
  <si>
    <t>-0.2531706397664177</t>
  </si>
  <si>
    <t>-0.4045961591387203</t>
  </si>
  <si>
    <t>0.01146247731650236</t>
  </si>
  <si>
    <t>-0.17607385351456134</t>
  </si>
  <si>
    <t>-0.528016515315131</t>
  </si>
  <si>
    <t>-0.5292838020818424</t>
  </si>
  <si>
    <t>-0.7208147478827907</t>
  </si>
  <si>
    <t>-0.5930296766565593</t>
  </si>
  <si>
    <t>-0.2608056261856699</t>
  </si>
  <si>
    <t>0.5304276931887989</t>
  </si>
  <si>
    <t>2.6462274009162483</t>
  </si>
  <si>
    <t>-1.1574127464193926</t>
  </si>
  <si>
    <t>0.8328508058770925</t>
  </si>
  <si>
    <t>0.8178229869382061</t>
  </si>
  <si>
    <t>-0.5861067061863351</t>
  </si>
  <si>
    <t>0.06369253598988826</t>
  </si>
  <si>
    <t>0.8233452146920632</t>
  </si>
  <si>
    <t>0.12841329484402697</t>
  </si>
  <si>
    <t>0.24215648258325218</t>
  </si>
  <si>
    <t>-0.11968332768347913</t>
  </si>
  <si>
    <t>1.3139592887104905</t>
  </si>
  <si>
    <t>0.3277813748776449</t>
  </si>
  <si>
    <t>-0.8290942998252214</t>
  </si>
  <si>
    <t>0.24389742772626113</t>
  </si>
  <si>
    <t>1.015832781340384</t>
  </si>
  <si>
    <t>-0.7700596954294009</t>
  </si>
  <si>
    <t>-0.9150037835614072</t>
  </si>
  <si>
    <t>-0.34803360813897194</t>
  </si>
  <si>
    <t>0.7266159429318177</t>
  </si>
  <si>
    <t>-1.2232235167503756</t>
  </si>
  <si>
    <t>-0.388867933951069</t>
  </si>
  <si>
    <t>-0.10089402063131798</t>
  </si>
  <si>
    <t>0.09382974281338177</t>
  </si>
  <si>
    <t>-0.3256061521388577</t>
  </si>
  <si>
    <t>0.22034152936843512</t>
  </si>
  <si>
    <t>1.056701986546025</t>
  </si>
  <si>
    <t>0.32555633494958464</t>
  </si>
  <si>
    <t>0.29478191589607644</t>
  </si>
  <si>
    <t>0.5626477295362535</t>
  </si>
  <si>
    <t>0.7306609537540587</t>
  </si>
  <si>
    <t>0.1510571239188682</t>
  </si>
  <si>
    <t>-0.254913828254624</t>
  </si>
  <si>
    <t>0.3872795472612564</t>
  </si>
  <si>
    <t>0.5987257042022853</t>
  </si>
  <si>
    <t>-0.08263367324459828</t>
  </si>
  <si>
    <t>1.3797531729289627</t>
  </si>
  <si>
    <t>0.0747965880486238</t>
  </si>
  <si>
    <t>-1.162257148955316</t>
  </si>
  <si>
    <t>0.708459698935266</t>
  </si>
  <si>
    <t>0.2925876626010505</t>
  </si>
  <si>
    <t>0.3868802579716733</t>
  </si>
  <si>
    <t>0.33667718260226986</t>
  </si>
  <si>
    <t>-0.3934581004944848</t>
  </si>
  <si>
    <t>-0.1411731451329841</t>
  </si>
  <si>
    <t>-0.27677322306254004</t>
  </si>
  <si>
    <t>-0.09031522901770457</t>
  </si>
  <si>
    <t>-0.9541296594814019</t>
  </si>
  <si>
    <t>0.6835945362086258</t>
  </si>
  <si>
    <t>0.053343604714731666</t>
  </si>
  <si>
    <t>-0.39874587881576196</t>
  </si>
  <si>
    <t>-0.010131093562948095</t>
  </si>
  <si>
    <t>0.4624334199217262</t>
  </si>
  <si>
    <t>0.5443726011838662</t>
  </si>
  <si>
    <t>-0.052087253574428206</t>
  </si>
  <si>
    <t>0.8022842071038258</t>
  </si>
  <si>
    <t>-0.30288922229594845</t>
  </si>
  <si>
    <t>-1.1104168589071803</t>
  </si>
  <si>
    <t>0.6454340673508526</t>
  </si>
  <si>
    <t>-0.02875982690081049</t>
  </si>
  <si>
    <t>0.4044432335449459</t>
  </si>
  <si>
    <t>-0.027643047948870486</t>
  </si>
  <si>
    <t>-0.15433678083827354</t>
  </si>
  <si>
    <t>0.16805027946298334</t>
  </si>
  <si>
    <t>-0.0032701543287716995</t>
  </si>
  <si>
    <t>-0.2636413206743513</t>
  </si>
  <si>
    <t>-0.1100109226899435</t>
  </si>
  <si>
    <t>-0.1748930563296041</t>
  </si>
  <si>
    <t>-0.26877207665309183</t>
  </si>
  <si>
    <t>-0.49898830180431647</t>
  </si>
  <si>
    <t>-0.004461409264906961</t>
  </si>
  <si>
    <t>0.24228244387090406</t>
  </si>
  <si>
    <t>-0.3256149272220787</t>
  </si>
  <si>
    <t>-0.7390241933752679</t>
  </si>
  <si>
    <t>-0.6140529726386036</t>
  </si>
  <si>
    <t>-0.12850698359797236</t>
  </si>
  <si>
    <t>-0.13152840168814653</t>
  </si>
  <si>
    <t>0.09879747622390486</t>
  </si>
  <si>
    <t>-0.2776801304473205</t>
  </si>
  <si>
    <t>-0.2604234390914297</t>
  </si>
  <si>
    <t>-0.27419137950313144</t>
  </si>
  <si>
    <t>0.09319374084607168</t>
  </si>
  <si>
    <t>0.6248834509266955</t>
  </si>
  <si>
    <t>-1.5980306457262092</t>
  </si>
  <si>
    <t>-0.510302578448742</t>
  </si>
  <si>
    <t>0.3094402526640759</t>
  </si>
  <si>
    <t>-1.1473066790008621</t>
  </si>
  <si>
    <t>-0.29645635397091263</t>
  </si>
  <si>
    <t>0.9066999260902748</t>
  </si>
  <si>
    <t>0.11425509290156527</t>
  </si>
  <si>
    <t>-0.6533621215711913</t>
  </si>
  <si>
    <t>-0.7602459370257361</t>
  </si>
  <si>
    <t>0.07864437195035381</t>
  </si>
  <si>
    <t>-0.5306182019205972</t>
  </si>
  <si>
    <t>0.6695718112536658</t>
  </si>
  <si>
    <t>0.2622672705169417</t>
  </si>
  <si>
    <t>0.2527118191935519</t>
  </si>
  <si>
    <t>-0.3270999680761464</t>
  </si>
  <si>
    <t>-0.25844334430126076</t>
  </si>
  <si>
    <t>0.7244782615703756</t>
  </si>
  <si>
    <t>-0.1203582122021158</t>
  </si>
  <si>
    <t>-0.03360097325072303</t>
  </si>
  <si>
    <t>-0.3765950356593659</t>
  </si>
  <si>
    <t>-0.1386219728573228</t>
  </si>
  <si>
    <t>-0.2780950348443423</t>
  </si>
  <si>
    <t>1.3788131151769316</t>
  </si>
  <si>
    <t>-0.24235197921354867</t>
  </si>
  <si>
    <t>-0.017261044371065584</t>
  </si>
  <si>
    <t>-0.2507162947519778</t>
  </si>
  <si>
    <t>0.1316848617963774</t>
  </si>
  <si>
    <t>1.2428200808690435</t>
  </si>
  <si>
    <t>-0.08936421758964887</t>
  </si>
  <si>
    <t>0.40174506178205394</t>
  </si>
  <si>
    <t>0.6026857718681565</t>
  </si>
  <si>
    <t>0.8175811849585198</t>
  </si>
  <si>
    <t>-1.0185297914492317</t>
  </si>
  <si>
    <t>-0.8178714230814065</t>
  </si>
  <si>
    <t>0.5879993027761324</t>
  </si>
  <si>
    <t>-0.3155910617444947</t>
  </si>
  <si>
    <t>-0.23102453120928257</t>
  </si>
  <si>
    <t>-0.13032500850835466</t>
  </si>
  <si>
    <t>0.32224704480892147</t>
  </si>
  <si>
    <t>0.005105469972894354</t>
  </si>
  <si>
    <t>1.0123139713901748</t>
  </si>
  <si>
    <t>-0.5287912362813644</t>
  </si>
  <si>
    <t>-1.1662332884543083</t>
  </si>
  <si>
    <t>0.8870146250123528</t>
  </si>
  <si>
    <t>-0.6331653887626252</t>
  </si>
  <si>
    <t>-0.34574755253737227</t>
  </si>
  <si>
    <t>-0.42942710411284013</t>
  </si>
  <si>
    <t>-0.11432186958710056</t>
  </si>
  <si>
    <t>0.954224522255518</t>
  </si>
  <si>
    <t>0.020386309769579496</t>
  </si>
  <si>
    <t>-0.2119727714812978</t>
  </si>
  <si>
    <t>0.9351918322393091</t>
  </si>
  <si>
    <t>-0.1470959664390798</t>
  </si>
  <si>
    <t>-1.4020779388450173</t>
  </si>
  <si>
    <t>-0.8508745171707699</t>
  </si>
  <si>
    <t>-1.1080336201801249</t>
  </si>
  <si>
    <t>-0.5726537083366445</t>
  </si>
  <si>
    <t>-0.29978977909799076</t>
  </si>
  <si>
    <t>0.3891778310997031</t>
  </si>
  <si>
    <t>-1.1349420385551874</t>
  </si>
  <si>
    <t>-0.22889553426747106</t>
  </si>
  <si>
    <t>-0.04893905721645852</t>
  </si>
  <si>
    <t>0.21278787534970667</t>
  </si>
  <si>
    <t>-0.18528685030122397</t>
  </si>
  <si>
    <t>-0.21559335735362953</t>
  </si>
  <si>
    <t>0.9567629790297304</t>
  </si>
  <si>
    <t>0.4348880247648368</t>
  </si>
  <si>
    <t>0.08125845682771603</t>
  </si>
  <si>
    <t>0.0012271188722666696</t>
  </si>
  <si>
    <t>-0.12593747727944576</t>
  </si>
  <si>
    <t>-0.349974774898959</t>
  </si>
  <si>
    <t>-0.6839167812213842</t>
  </si>
  <si>
    <t>-0.9107693945643934</t>
  </si>
  <si>
    <t>-0.28635605038374573</t>
  </si>
  <si>
    <t>-0.2828309431870868</t>
  </si>
  <si>
    <t>-0.9605720700817977</t>
  </si>
  <si>
    <t>-0.05726259194759393</t>
  </si>
  <si>
    <t>0.01016660060588511</t>
  </si>
  <si>
    <t>0.5956655974781512</t>
  </si>
  <si>
    <t>-0.576577338850984</t>
  </si>
  <si>
    <t>0.04770485787297401</t>
  </si>
  <si>
    <t>-0.1154467956477192</t>
  </si>
  <si>
    <t>-0.18511364991325174</t>
  </si>
  <si>
    <t>-1.043264859973112</t>
  </si>
  <si>
    <t>-0.001861484261690739</t>
  </si>
  <si>
    <t>0.26059950119765074</t>
  </si>
  <si>
    <t>-0.8774818984315771</t>
  </si>
  <si>
    <t>-0.5677672376071187</t>
  </si>
  <si>
    <t>1.3877320175947665</t>
  </si>
  <si>
    <t>0.017589667982053338</t>
  </si>
  <si>
    <t>-0.26472160100670317</t>
  </si>
  <si>
    <t>-0.2122811617159637</t>
  </si>
  <si>
    <t>0.2894786360255665</t>
  </si>
  <si>
    <t>-1.0349697761187382</t>
  </si>
  <si>
    <t>-0.37271090315256433</t>
  </si>
  <si>
    <t>1.6599403457679744</t>
  </si>
  <si>
    <t>1.0097079525756305</t>
  </si>
  <si>
    <t>0.2994529848809357</t>
  </si>
  <si>
    <t>1.1562008066321003</t>
  </si>
  <si>
    <t>0.04809149881514015</t>
  </si>
  <si>
    <t>-0.40191738481699735</t>
  </si>
  <si>
    <t>1.4287033465013685</t>
  </si>
  <si>
    <t>0.36286289926945586</t>
  </si>
  <si>
    <t>-0.4575647441134958</t>
  </si>
  <si>
    <t>-1.8120647667329914</t>
  </si>
  <si>
    <t>0.5278712942551191</t>
  </si>
  <si>
    <t>0.6052878846395254</t>
  </si>
  <si>
    <t>0.8524486320584953</t>
  </si>
  <si>
    <t>-0.3602043814985112</t>
  </si>
  <si>
    <t>-0.554986642074664</t>
  </si>
  <si>
    <t>0.20114316563507714</t>
  </si>
  <si>
    <t>1.2809242875838862</t>
  </si>
  <si>
    <t>-0.8159737006057327</t>
  </si>
  <si>
    <t>0.9161963638339954</t>
  </si>
  <si>
    <t>-1.152449471267614</t>
  </si>
  <si>
    <t>0.6742546239758922</t>
  </si>
  <si>
    <t>-0.3998059997396483</t>
  </si>
  <si>
    <t>-0.07867122250272326</t>
  </si>
  <si>
    <t>0.677594936257057</t>
  </si>
  <si>
    <t>-0.12867309624780032</t>
  </si>
  <si>
    <t>0.588174367098212</t>
  </si>
  <si>
    <t>0.747749691385022</t>
  </si>
  <si>
    <t>0.2871756543647793</t>
  </si>
  <si>
    <t>0.2900059276430216</t>
  </si>
  <si>
    <t>0.16390488462614797</t>
  </si>
  <si>
    <t>-0.18860085374310398</t>
  </si>
  <si>
    <t>-0.600801902844913</t>
  </si>
  <si>
    <t>-0.08895271872699946</t>
  </si>
  <si>
    <t>-0.3284312328469536</t>
  </si>
  <si>
    <t>-0.18881553943680762</t>
  </si>
  <si>
    <t>0.16570570383522895</t>
  </si>
  <si>
    <t>-0.3059824166877442</t>
  </si>
  <si>
    <t>0.007043428160806444</t>
  </si>
  <si>
    <t>1.0772738400527695</t>
  </si>
  <si>
    <t>-0.1759095254940895</t>
  </si>
  <si>
    <t>-0.43105060148554286</t>
  </si>
  <si>
    <t>-0.08527542424801444</t>
  </si>
  <si>
    <t>1.1546774587177033</t>
  </si>
  <si>
    <t>-0.979632477628707</t>
  </si>
  <si>
    <t>0.7038382291981746</t>
  </si>
  <si>
    <t>0.08819548140962581</t>
  </si>
  <si>
    <t>0.1512367377697632</t>
  </si>
  <si>
    <t>-0.1827225367434611</t>
  </si>
  <si>
    <t>0.33053632848836895</t>
  </si>
  <si>
    <t>0.081869824306736</t>
  </si>
  <si>
    <t>-0.19131159543232149</t>
  </si>
  <si>
    <t>0.44885615915085925</t>
  </si>
  <si>
    <t>0.4333500179963108</t>
  </si>
  <si>
    <t>1.152843436372908</t>
  </si>
  <si>
    <t>-0.17913494544748762</t>
  </si>
  <si>
    <t>0.9797225549065802</t>
  </si>
  <si>
    <t>0.20986719682079616</t>
  </si>
  <si>
    <t>0.893107709307495</t>
  </si>
  <si>
    <t>-1.475113645946087</t>
  </si>
  <si>
    <t>1.4516728772388352</t>
  </si>
  <si>
    <t>-0.2083965005115821</t>
  </si>
  <si>
    <t>1.0055515504242514</t>
  </si>
  <si>
    <t>0.3660560782257669</t>
  </si>
  <si>
    <t>0.4916555117719676</t>
  </si>
  <si>
    <t>-0.016935068694592582</t>
  </si>
  <si>
    <t>0.9784295498324949</t>
  </si>
  <si>
    <t>0.14832834696910432</t>
  </si>
  <si>
    <t>-0.6679884613444257</t>
  </si>
  <si>
    <t>-1.139776821108352</t>
  </si>
  <si>
    <t>-0.7432050251466609</t>
  </si>
  <si>
    <t>0.45741479149076014</t>
  </si>
  <si>
    <t>-0.7132450079347563</t>
  </si>
  <si>
    <t>0.3395140581640381</t>
  </si>
  <si>
    <t>0.3078335494066267</t>
  </si>
  <si>
    <t>0.5459875059902677</t>
  </si>
  <si>
    <t>-0.11065321755675775</t>
  </si>
  <si>
    <t>0.0006588729053191781</t>
  </si>
  <si>
    <t>-0.1935630291057926</t>
  </si>
  <si>
    <t>-1.0470972917187111</t>
  </si>
  <si>
    <t>-0.15260854934932486</t>
  </si>
  <si>
    <t>0.05643184974286171</t>
  </si>
  <si>
    <t>0.20490787953409043</t>
  </si>
  <si>
    <t>0.8956762615127929</t>
  </si>
  <si>
    <t>-0.7011112334852244</t>
  </si>
  <si>
    <t>1.5883179310164837</t>
  </si>
  <si>
    <t>-1.0402209906091129</t>
  </si>
  <si>
    <t>-0.9613815893707885</t>
  </si>
  <si>
    <t>0.013626827477042611</t>
  </si>
  <si>
    <t>-0.27109331503362044</t>
  </si>
  <si>
    <t>1.6364614546034915</t>
  </si>
  <si>
    <t>-0.5194702720395409</t>
  </si>
  <si>
    <t>0.6931654390351306</t>
  </si>
  <si>
    <t>0.6400589452718196</t>
  </si>
  <si>
    <t>0.15382569417959785</t>
  </si>
  <si>
    <t>-0.3010343882963957</t>
  </si>
  <si>
    <t>-0.34385751967439504</t>
  </si>
  <si>
    <t>-0.2601270636338747</t>
  </si>
  <si>
    <t>1.0592558319492333</t>
  </si>
  <si>
    <t>-0.515225754966065</t>
  </si>
  <si>
    <t>-0.1411863995291752</t>
  </si>
  <si>
    <t>-0.22137294912114508</t>
  </si>
  <si>
    <t>-0.37432562822341736</t>
  </si>
  <si>
    <t>0.08924793931171796</t>
  </si>
  <si>
    <t>2.7807655059585463</t>
  </si>
  <si>
    <t>1.3938330877310616</t>
  </si>
  <si>
    <t>0.11376811241832384</t>
  </si>
  <si>
    <t>0.5088100181220202</t>
  </si>
  <si>
    <t>-0.24090524424104323</t>
  </si>
  <si>
    <t>0.17607539733609442</t>
  </si>
  <si>
    <t>0.04226001274979346</t>
  </si>
  <si>
    <t>-0.20302255635473643</t>
  </si>
  <si>
    <t>0.3568639835686365</t>
  </si>
  <si>
    <t>-0.49424728290236947</t>
  </si>
  <si>
    <t>0.16577241820701602</t>
  </si>
  <si>
    <t>-0.1109279333573026</t>
  </si>
  <si>
    <t>-0.18171146000684676</t>
  </si>
  <si>
    <t>-0.5878785682629696</t>
  </si>
  <si>
    <t>0.9082872683274951</t>
  </si>
  <si>
    <t>0.960479711065831</t>
  </si>
  <si>
    <t>0.08930114333546083</t>
  </si>
  <si>
    <t>0.2853968248903084</t>
  </si>
  <si>
    <t>-0.33280267329927793</t>
  </si>
  <si>
    <t>0.2764786526386843</t>
  </si>
  <si>
    <t>0.17280762420989287</t>
  </si>
  <si>
    <t>-0.34565954428377205</t>
  </si>
  <si>
    <t>-0.3311156339799892</t>
  </si>
  <si>
    <t>0.8582556636061387</t>
  </si>
  <si>
    <t>-1.0583507528389704</t>
  </si>
  <si>
    <t>0.7270553288591387</t>
  </si>
  <si>
    <t>-0.5400014290415117</t>
  </si>
  <si>
    <t>-0.27935191346375793</t>
  </si>
  <si>
    <t>-0.3999923743369779</t>
  </si>
  <si>
    <t>-0.34459829538032954</t>
  </si>
  <si>
    <t>-0.10490629934404791</t>
  </si>
  <si>
    <t>2.3010314376904346</t>
  </si>
  <si>
    <t>-0.742534915293764</t>
  </si>
  <si>
    <t>-0.09326387983926562</t>
  </si>
  <si>
    <t>2.4827898848036316</t>
  </si>
  <si>
    <t>-0.3332799636407894</t>
  </si>
  <si>
    <t>-0.1877406573324759</t>
  </si>
  <si>
    <t>-0.5713525165202423</t>
  </si>
  <si>
    <t>0.6223267300529822</t>
  </si>
  <si>
    <t>1.1050571463093175</t>
  </si>
  <si>
    <t>1.0142145529526871</t>
  </si>
  <si>
    <t>-0.3940815311957085</t>
  </si>
  <si>
    <t>0.4459383547633018</t>
  </si>
  <si>
    <t>-0.5585039619958111</t>
  </si>
  <si>
    <t>0.13457024357249808</t>
  </si>
  <si>
    <t>0.36130460147062027</t>
  </si>
  <si>
    <t>-0.17511705871382963</t>
  </si>
  <si>
    <t>0.5734690456781113</t>
  </si>
  <si>
    <t>-0.29646049275928893</t>
  </si>
  <si>
    <t>0.559004610377389</t>
  </si>
  <si>
    <t>0.18623987221354865</t>
  </si>
  <si>
    <t>0.36130777218636173</t>
  </si>
  <si>
    <t>-0.5288797502030258</t>
  </si>
  <si>
    <t>1.2034650883905516</t>
  </si>
  <si>
    <t>1.0908409078203778</t>
  </si>
  <si>
    <t>-0.45502230323896115</t>
  </si>
  <si>
    <t>-0.10801953878032311</t>
  </si>
  <si>
    <t>0.051062872392094553</t>
  </si>
  <si>
    <t>-0.04164884346846882</t>
  </si>
  <si>
    <t>0.5027842115665448</t>
  </si>
  <si>
    <t>-0.2838431599955025</t>
  </si>
  <si>
    <t>0.623141460958857</t>
  </si>
  <si>
    <t>0.7230898795557257</t>
  </si>
  <si>
    <t>-0.428109691319731</t>
  </si>
  <si>
    <t>0.20063396143716722</t>
  </si>
  <si>
    <t>-1.4764075503560983</t>
  </si>
  <si>
    <t>0.0956346398337681</t>
  </si>
  <si>
    <t>0.11802795110568498</t>
  </si>
  <si>
    <t>0.4747160786377105</t>
  </si>
  <si>
    <t>-1.02140991913844</t>
  </si>
  <si>
    <t>-1.2668066270206941</t>
  </si>
  <si>
    <t>0.2901379364422257</t>
  </si>
  <si>
    <t>-0.8521395924232807</t>
  </si>
  <si>
    <t>-1.1315742190065097</t>
  </si>
  <si>
    <t>1.1255552337368329</t>
  </si>
  <si>
    <t>-0.39645471171166996</t>
  </si>
  <si>
    <t>0.5620543668136135</t>
  </si>
  <si>
    <t>1.100893438337579</t>
  </si>
  <si>
    <t>0.3056979847937178</t>
  </si>
  <si>
    <t>-0.14721595299517598</t>
  </si>
  <si>
    <t>0.10267962709392042</t>
  </si>
  <si>
    <t>0.3970405967778013</t>
  </si>
  <si>
    <t>0.09446342639881997</t>
  </si>
  <si>
    <t>0.13750568007220113</t>
  </si>
  <si>
    <t>0.6348501081144124</t>
  </si>
  <si>
    <t>0.025365917971619637</t>
  </si>
  <si>
    <t>-0.4362702404334119</t>
  </si>
  <si>
    <t>-0.17275455147823193</t>
  </si>
  <si>
    <t>-0.024720521110260005</t>
  </si>
  <si>
    <t>-0.26390875234777783</t>
  </si>
  <si>
    <t>0.23404655070954225</t>
  </si>
  <si>
    <t>0.503508232557315</t>
  </si>
  <si>
    <t>-0.5113704422371491</t>
  </si>
  <si>
    <t>0.41037544186703007</t>
  </si>
  <si>
    <t>-0.03708272558228516</t>
  </si>
  <si>
    <t>0.10964343706874917</t>
  </si>
  <si>
    <t>0.14474970275510818</t>
  </si>
  <si>
    <t>0.9904761811139068</t>
  </si>
  <si>
    <t>0.877226418087569</t>
  </si>
  <si>
    <t>-0.3148543878306631</t>
  </si>
  <si>
    <t>0.6209943965573135</t>
  </si>
  <si>
    <t>-0.08906594913586983</t>
  </si>
  <si>
    <t>0.61820383924908</t>
  </si>
  <si>
    <t>-0.46403126681097356</t>
  </si>
  <si>
    <t>-0.4131320681945121</t>
  </si>
  <si>
    <t>-0.9460988180900416</t>
  </si>
  <si>
    <t>0.3055677886104737</t>
  </si>
  <si>
    <t>0.10873454119186067</t>
  </si>
  <si>
    <t>0.31353000379179524</t>
  </si>
  <si>
    <t>0.931801159154355</t>
  </si>
  <si>
    <t>0.49257068947919774</t>
  </si>
  <si>
    <t>-0.07452486300994217</t>
  </si>
  <si>
    <t>-0.38244637523920194</t>
  </si>
  <si>
    <t>-1.0559669450970923</t>
  </si>
  <si>
    <t>0.6611796431397751</t>
  </si>
  <si>
    <t>0.3376015169437028</t>
  </si>
  <si>
    <t>-0.11741437918536096</t>
  </si>
  <si>
    <t>-0.5430481387645436</t>
  </si>
  <si>
    <t>0.3325061909473042</t>
  </si>
  <si>
    <t>0.3605412881514829</t>
  </si>
  <si>
    <t>0.4811181530625378</t>
  </si>
  <si>
    <t>0.1517311924890705</t>
  </si>
  <si>
    <t>-0.11610449925165102</t>
  </si>
  <si>
    <t>-0.48376133059136317</t>
  </si>
  <si>
    <t>0.3350598489082837</t>
  </si>
  <si>
    <t>-0.45343637333825115</t>
  </si>
  <si>
    <t>0.4228689377651606</t>
  </si>
  <si>
    <t>-0.01756187807251781</t>
  </si>
  <si>
    <t>0.4400228583871587</t>
  </si>
  <si>
    <t>0.21928917329059291</t>
  </si>
  <si>
    <t>-0.20963115907234933</t>
  </si>
  <si>
    <t>0.28247367399682766</t>
  </si>
  <si>
    <t>0.42554730761202186</t>
  </si>
  <si>
    <t>0.26684039809623183</t>
  </si>
  <si>
    <t>-0.6937029274084284</t>
  </si>
  <si>
    <t>0.4666688321920234</t>
  </si>
  <si>
    <t>0.8775578363983677</t>
  </si>
  <si>
    <t>0.24785118934101283</t>
  </si>
  <si>
    <t>-0.03520008062429074</t>
  </si>
  <si>
    <t>0.10753522455306856</t>
  </si>
  <si>
    <t>-0.32019275974124745</t>
  </si>
  <si>
    <t>0.4105653720699973</t>
  </si>
  <si>
    <t>0.7972558872781957</t>
  </si>
  <si>
    <t>0.25856435990809845</t>
  </si>
  <si>
    <t>0.33103780928018256</t>
  </si>
  <si>
    <t>0.31839125386707307</t>
  </si>
  <si>
    <t>1.295360444474496</t>
  </si>
  <si>
    <t>0.06796974898454793</t>
  </si>
  <si>
    <t>1.490278363065706</t>
  </si>
  <si>
    <t>0.24213759654589403</t>
  </si>
  <si>
    <t>0.5393205178096728</t>
  </si>
  <si>
    <t>-0.7137422459140557</t>
  </si>
  <si>
    <t>-1.4995392837119959</t>
  </si>
  <si>
    <t>0.015160013199257803</t>
  </si>
  <si>
    <t>0.1232420981457963</t>
  </si>
  <si>
    <t>-0.9361784736570782</t>
  </si>
  <si>
    <t>-1.2088745990204213</t>
  </si>
  <si>
    <t>0.955901869656364</t>
  </si>
  <si>
    <t>0.05503313972876177</t>
  </si>
  <si>
    <t>-0.572242550151309</t>
  </si>
  <si>
    <t>-0.37202640470606285</t>
  </si>
  <si>
    <t>1.4018252933496063</t>
  </si>
  <si>
    <t>-1.033608195043231</t>
  </si>
  <si>
    <t>-1.3414351840656746</t>
  </si>
  <si>
    <t>1.5972982480642848</t>
  </si>
  <si>
    <t>0.14542605357924648</t>
  </si>
  <si>
    <t>-0.6608252902237225</t>
  </si>
  <si>
    <t>-0.48716080272822776</t>
  </si>
  <si>
    <t>1.483499803081887</t>
  </si>
  <si>
    <t>-0.10608719430393536</t>
  </si>
  <si>
    <t>0.2645346815382472</t>
  </si>
  <si>
    <t>-0.1616351996227956</t>
  </si>
  <si>
    <t>0.5470767252003584</t>
  </si>
  <si>
    <t>-0.6908410129484793</t>
  </si>
  <si>
    <t>-1.512822871751898</t>
  </si>
  <si>
    <t>0.4016811974999681</t>
  </si>
  <si>
    <t>-1.349309555190326</t>
  </si>
  <si>
    <t>0.5383989083563896</t>
  </si>
  <si>
    <t>-0.4917775318146585</t>
  </si>
  <si>
    <t>-0.34763008458080463</t>
  </si>
  <si>
    <t>-0.8701670254794445</t>
  </si>
  <si>
    <t>0.10308666061904256</t>
  </si>
  <si>
    <t>-0.39831668694400807</t>
  </si>
  <si>
    <t>0.7406136648000287</t>
  </si>
  <si>
    <t>-0.025678274237749796</t>
  </si>
  <si>
    <t>0.6062124926032771</t>
  </si>
  <si>
    <t>0.43329620601408714</t>
  </si>
  <si>
    <t>0.213071571508381</t>
  </si>
  <si>
    <t>-0.1036746015279225</t>
  </si>
  <si>
    <t>-0.20464793307233126</t>
  </si>
  <si>
    <t>-0.12515134527440483</t>
  </si>
  <si>
    <t>-0.0726875431906935</t>
  </si>
  <si>
    <t>-0.19235966461510165</t>
  </si>
  <si>
    <t>-1.377914136072034</t>
  </si>
  <si>
    <t>0.010918850613046479</t>
  </si>
  <si>
    <t>0.7830550951391274</t>
  </si>
  <si>
    <t>-0.5616915871584204</t>
  </si>
  <si>
    <t>0.750871409614186</t>
  </si>
  <si>
    <t>-0.3014846905250606</t>
  </si>
  <si>
    <t>-0.23465636053712569</t>
  </si>
  <si>
    <t>0.3185438903803713</t>
  </si>
  <si>
    <t>-0.9287714422646433</t>
  </si>
  <si>
    <t>0.09757012810221745</t>
  </si>
  <si>
    <t>-0.8148321446533197</t>
  </si>
  <si>
    <t>-0.12240073056917476</t>
  </si>
  <si>
    <t>-1.0894372357069562</t>
  </si>
  <si>
    <t>0.2486245640582629</t>
  </si>
  <si>
    <t>0.34926160393931915</t>
  </si>
  <si>
    <t>1.2715516077346498</t>
  </si>
  <si>
    <t>0.02493283279730175</t>
  </si>
  <si>
    <t>-0.5445792890631032</t>
  </si>
  <si>
    <t>0.6270725862696955</t>
  </si>
  <si>
    <t>0.41360020626325406</t>
  </si>
  <si>
    <t>0.37021537324029863</t>
  </si>
  <si>
    <t>-0.49379109062242993</t>
  </si>
  <si>
    <t>-0.7196080296117194</t>
  </si>
  <si>
    <t>-1.4597699307532368</t>
  </si>
  <si>
    <t>0.14470430120138977</t>
  </si>
  <si>
    <t>-0.11626543362205885</t>
  </si>
  <si>
    <t>-0.4170285188109827</t>
  </si>
  <si>
    <t>-0.06469561484655413</t>
  </si>
  <si>
    <t>-0.2673681643549578</t>
  </si>
  <si>
    <t>-0.37898540455713503</t>
  </si>
  <si>
    <t>-0.02149069011016403</t>
  </si>
  <si>
    <t>-0.7095215450569687</t>
  </si>
  <si>
    <t>0.008963281155631336</t>
  </si>
  <si>
    <t>-0.020584097452426463</t>
  </si>
  <si>
    <t>-0.31602552532388345</t>
  </si>
  <si>
    <t>-0.44590038224105516</t>
  </si>
  <si>
    <t>-0.7521471991898371</t>
  </si>
  <si>
    <t>-0.8901977866646423</t>
  </si>
  <si>
    <t>0.4468450682172562</t>
  </si>
  <si>
    <t>0.18497397963951143</t>
  </si>
  <si>
    <t>0.29647359201431633</t>
  </si>
  <si>
    <t>0.1038147844877516</t>
  </si>
  <si>
    <t>0.7731839657110199</t>
  </si>
  <si>
    <t>1.3207454040371476</t>
  </si>
  <si>
    <t>-0.7363116783115448</t>
  </si>
  <si>
    <t>0.8168822954805679</t>
  </si>
  <si>
    <t>-1.2540605339421809</t>
  </si>
  <si>
    <t>0.7273455439531126</t>
  </si>
  <si>
    <t>0.6839036503506503</t>
  </si>
  <si>
    <t>0.2994497388791529</t>
  </si>
  <si>
    <t>-0.1348983703482757</t>
  </si>
  <si>
    <t>-0.215335644289696</t>
  </si>
  <si>
    <t>-0.18080049312903815</t>
  </si>
  <si>
    <t>-0.8128786725526165</t>
  </si>
  <si>
    <t>-0.045612591376505945</t>
  </si>
  <si>
    <t>-0.7467061567494152</t>
  </si>
  <si>
    <t>0.6560488402137651</t>
  </si>
  <si>
    <t>-0.05627600200598123</t>
  </si>
  <si>
    <t>0.21218947814867356</t>
  </si>
  <si>
    <t>-0.5635785160904996</t>
  </si>
  <si>
    <t>0.6690764916745173</t>
  </si>
  <si>
    <t>1.09778135146084</t>
  </si>
  <si>
    <t>-0.4669510966735164</t>
  </si>
  <si>
    <t>-0.5375999001512805</t>
  </si>
  <si>
    <t>1.7313174877282869</t>
  </si>
  <si>
    <t>-0.2824877538779438</t>
  </si>
  <si>
    <t>0.45869409444994164</t>
  </si>
  <si>
    <t>-0.48377893723564996</t>
  </si>
  <si>
    <t>-0.34012127225435895</t>
  </si>
  <si>
    <t>0.3855548906324913</t>
  </si>
  <si>
    <t>0.7139868909359739</t>
  </si>
  <si>
    <t>1.025460312705726</t>
  </si>
  <si>
    <t>0.2281694022952174</t>
  </si>
  <si>
    <t>-0.009314352722133025</t>
  </si>
  <si>
    <t>0.614585277974992</t>
  </si>
  <si>
    <t>-0.911057456674851</t>
  </si>
  <si>
    <t>0.6626435238027049</t>
  </si>
  <si>
    <t>0.35787326135869135</t>
  </si>
  <si>
    <t>1.4424972218610916</t>
  </si>
  <si>
    <t>-0.21855298213605714</t>
  </si>
  <si>
    <t>-0.03317280524709756</t>
  </si>
  <si>
    <t>-1.4154763787807982</t>
  </si>
  <si>
    <t>0.7522157641914513</t>
  </si>
  <si>
    <t>-0.5363936112383922</t>
  </si>
  <si>
    <t>0.41881433344871744</t>
  </si>
  <si>
    <t>-0.04378572568553042</t>
  </si>
  <si>
    <t>1.2270491489664481</t>
  </si>
  <si>
    <t>-0.07755040557798999</t>
  </si>
  <si>
    <t>0.15017890588170457</t>
  </si>
  <si>
    <t>0.6215478789237648</t>
  </si>
  <si>
    <t>-0.18548554529924197</t>
  </si>
  <si>
    <t>-0.048802748454215256</t>
  </si>
  <si>
    <t>0.8032311486618832</t>
  </si>
  <si>
    <t>0.8857390177946742</t>
  </si>
  <si>
    <t>0.2882519712107105</t>
  </si>
  <si>
    <t>0.36015881378569087</t>
  </si>
  <si>
    <t>0.228586283123538</t>
  </si>
  <si>
    <t>0.9953810144228882</t>
  </si>
  <si>
    <t>-1.1059894684630494</t>
  </si>
  <si>
    <t>-0.8066020967091231</t>
  </si>
  <si>
    <t>-0.9746877017746771</t>
  </si>
  <si>
    <t>0.17589150845489457</t>
  </si>
  <si>
    <t>0.5852013930540066</t>
  </si>
  <si>
    <t>0.3845606626944677</t>
  </si>
  <si>
    <t>-1.2923245955655565</t>
  </si>
  <si>
    <t>-2.006755788689975</t>
  </si>
  <si>
    <t>1.3774892429117243</t>
  </si>
  <si>
    <t>0.5163925109026367</t>
  </si>
  <si>
    <t>0.7548650738318553</t>
  </si>
  <si>
    <t>-0.3418716879660667</t>
  </si>
  <si>
    <t>-0.10680505629243746</t>
  </si>
  <si>
    <t>1.3068374144424728</t>
  </si>
  <si>
    <t>-0.4088135567159128</t>
  </si>
  <si>
    <t>0.34622436841825144</t>
  </si>
  <si>
    <t>1.3093542637264044</t>
  </si>
  <si>
    <t>-0.8012797944345833</t>
  </si>
  <si>
    <t>1.03597709956216</t>
  </si>
  <si>
    <t>-0.9900773171441473</t>
  </si>
  <si>
    <t>0.7045003369723477</t>
  </si>
  <si>
    <t>-0.06866061077684596</t>
  </si>
  <si>
    <t>0.15997280344043988</t>
  </si>
  <si>
    <t>0.23551018402946314</t>
  </si>
  <si>
    <t>0.15966293481227686</t>
  </si>
  <si>
    <t>-0.8950191605250464</t>
  </si>
  <si>
    <t>0.13277535571647636</t>
  </si>
  <si>
    <t>0.058938831579441665</t>
  </si>
  <si>
    <t>0.4428577253530312</t>
  </si>
  <si>
    <t>1.3438747729040632</t>
  </si>
  <si>
    <t>0.2141543127431383</t>
  </si>
  <si>
    <t>-0.2787456897325528</t>
  </si>
  <si>
    <t>-0.11217013961177207</t>
  </si>
  <si>
    <t>-0.4560971781590112</t>
  </si>
  <si>
    <t>-0.4229369454282766</t>
  </si>
  <si>
    <t>0.804719550198234</t>
  </si>
  <si>
    <t>-0.45179018245188063</t>
  </si>
  <si>
    <t>-0.09795964040834358</t>
  </si>
  <si>
    <t>-0.20482859937682055</t>
  </si>
  <si>
    <t>0.5902945591254363</t>
  </si>
  <si>
    <t>-0.49942343825451985</t>
  </si>
  <si>
    <t>0.4183928243833826</t>
  </si>
  <si>
    <t>-0.5477388541602468</t>
  </si>
  <si>
    <t>-0.22853028244583837</t>
  </si>
  <si>
    <t>0.05583568517653047</t>
  </si>
  <si>
    <t>-0.712401404355609</t>
  </si>
  <si>
    <t>0.03969777308781492</t>
  </si>
  <si>
    <t>-0.28763984838634127</t>
  </si>
  <si>
    <t>0.9911194223096813</t>
  </si>
  <si>
    <t>0.02128993568056563</t>
  </si>
  <si>
    <t>0.736964715567655</t>
  </si>
  <si>
    <t>-0.1926370808753476</t>
  </si>
  <si>
    <t>0.3765039513608862</t>
  </si>
  <si>
    <t>-0.2794790361105395</t>
  </si>
  <si>
    <t>0.005192874357846578</t>
  </si>
  <si>
    <t>-0.03530176513476864</t>
  </si>
  <si>
    <t>-0.5573623720818228</t>
  </si>
  <si>
    <t>-0.7037132931395332</t>
  </si>
  <si>
    <t>0.17797275651641242</t>
  </si>
  <si>
    <t>0.43409066352138115</t>
  </si>
  <si>
    <t>-0.6744937358519778</t>
  </si>
  <si>
    <t>-0.7089596704853203</t>
  </si>
  <si>
    <t>-0.31295836713028924</t>
  </si>
  <si>
    <t>-0.48530910185126797</t>
  </si>
  <si>
    <t>-0.6964761647878783</t>
  </si>
  <si>
    <t>0.528182667940312</t>
  </si>
  <si>
    <t>0.09905183817044877</t>
  </si>
  <si>
    <t>0.24425190502005828</t>
  </si>
  <si>
    <t>-0.014027838229124468</t>
  </si>
  <si>
    <t>-0.24208997250296546</t>
  </si>
  <si>
    <t>-0.5919522008903162</t>
  </si>
  <si>
    <t>-0.7708288024505027</t>
  </si>
  <si>
    <t>-1.0144870194247126</t>
  </si>
  <si>
    <t>-0.2568129864229086</t>
  </si>
  <si>
    <t>-0.0327100992979818</t>
  </si>
  <si>
    <t>0.7738279163201133</t>
  </si>
  <si>
    <t>-0.5791820695568175</t>
  </si>
  <si>
    <t>-0.10778060601526074</t>
  </si>
  <si>
    <t>-0.4059653512031922</t>
  </si>
  <si>
    <t>0.2054180564067192</t>
  </si>
  <si>
    <t>-0.23867090158546972</t>
  </si>
  <si>
    <t>-0.6838735482719105</t>
  </si>
  <si>
    <t>-0.5075433508749428</t>
  </si>
  <si>
    <t>1.3005546859880373</t>
  </si>
  <si>
    <t>0.852655362760391</t>
  </si>
  <si>
    <t>0.27358567633037567</t>
  </si>
  <si>
    <t>1.2822360984898615</t>
  </si>
  <si>
    <t>-0.2569634202723782</t>
  </si>
  <si>
    <t>-0.0318359579816137</t>
  </si>
  <si>
    <t>0.3617406679953619</t>
  </si>
  <si>
    <t>-0.6779207012350753</t>
  </si>
  <si>
    <t>0.7238517220568309</t>
  </si>
  <si>
    <t>-0.09786956464603007</t>
  </si>
  <si>
    <t>-0.18527615026106925</t>
  </si>
  <si>
    <t>-0.8801679017710773</t>
  </si>
  <si>
    <t>0.8102594084160577</t>
  </si>
  <si>
    <t>1.3685753396960312</t>
  </si>
  <si>
    <t>0.15980172086763456</t>
  </si>
  <si>
    <t>0.013252319222934341</t>
  </si>
  <si>
    <t>0.287817143273751</t>
  </si>
  <si>
    <t>0.25579048425851575</t>
  </si>
  <si>
    <t>0.6883699634724715</t>
  </si>
  <si>
    <t>-1.1358307122450462</t>
  </si>
  <si>
    <t>-0.65605505820088</t>
  </si>
  <si>
    <t>0.6994720960008168</t>
  </si>
  <si>
    <t>0.425636913596269</t>
  </si>
  <si>
    <t>-0.04894351741914817</t>
  </si>
  <si>
    <t>-0.7175019958118155</t>
  </si>
  <si>
    <t>-1.1309325865593063</t>
  </si>
  <si>
    <t>-0.8906567406004859</t>
  </si>
  <si>
    <t>-0.03669251579897457</t>
  </si>
  <si>
    <t>1.3221076147076423</t>
  </si>
  <si>
    <t>0.26061765849741003</t>
  </si>
  <si>
    <t>0.25655713699532257</t>
  </si>
  <si>
    <t>-0.5140277406693345</t>
  </si>
  <si>
    <t>-0.26366233093962227</t>
  </si>
  <si>
    <t>-0.04348108727195225</t>
  </si>
  <si>
    <t>0.5162532542388739</t>
  </si>
  <si>
    <t>1.8152627802963972</t>
  </si>
  <si>
    <t>-0.37305775293493965</t>
  </si>
  <si>
    <t>-0.5136646766896273</t>
  </si>
  <si>
    <t>-0.4961367688679028</t>
  </si>
  <si>
    <t>0.4336253590106775</t>
  </si>
  <si>
    <t>0.02881871010392596</t>
  </si>
  <si>
    <t>0.08196955655438048</t>
  </si>
  <si>
    <t>-0.658625978123358</t>
  </si>
  <si>
    <t>0.26103799617978546</t>
  </si>
  <si>
    <t>-0.3229593084025359</t>
  </si>
  <si>
    <t>-0.19537093275563658</t>
  </si>
  <si>
    <t>-0.9952024208351821</t>
  </si>
  <si>
    <t>1.119546278186728</t>
  </si>
  <si>
    <t>-1.2650321831796028</t>
  </si>
  <si>
    <t>-0.40182810309656203</t>
  </si>
  <si>
    <t>0.10143455230780873</t>
  </si>
  <si>
    <t>-0.7618068744962628</t>
  </si>
  <si>
    <t>1.3196904161575376</t>
  </si>
  <si>
    <t>0.3250284302395926</t>
  </si>
  <si>
    <t>1.0242321886699968</t>
  </si>
  <si>
    <t>0.30337503036948954</t>
  </si>
  <si>
    <t>0.3040280741765043</t>
  </si>
  <si>
    <t>0.8346262410050317</t>
  </si>
  <si>
    <t>1.4172134968699681</t>
  </si>
  <si>
    <t>-1.4722267813534795</t>
  </si>
  <si>
    <t>-1.257492938022932</t>
  </si>
  <si>
    <t>0.2308773198525055</t>
  </si>
  <si>
    <t>0.7836704364695884</t>
  </si>
  <si>
    <t>-0.767535682605622</t>
  </si>
  <si>
    <t>0.8825150087606483</t>
  </si>
  <si>
    <t>-0.6741400484258323</t>
  </si>
  <si>
    <t>-0.18029065160309238</t>
  </si>
  <si>
    <t>-0.7226435309142447</t>
  </si>
  <si>
    <t>0.8171085297437819</t>
  </si>
  <si>
    <t>-0.03998322471029421</t>
  </si>
  <si>
    <t>0.00959252954661019</t>
  </si>
  <si>
    <t>-1.056215880711796</t>
  </si>
  <si>
    <t>0.6027753388185596</t>
  </si>
  <si>
    <t>0.0245582442188931</t>
  </si>
  <si>
    <t>0.5202382311415209</t>
  </si>
  <si>
    <t>-0.8656265302554792</t>
  </si>
  <si>
    <t>-0.1314426829071153</t>
  </si>
  <si>
    <t>-0.21919004200493647</t>
  </si>
  <si>
    <t>-0.9192213524084957</t>
  </si>
  <si>
    <t>-0.4065868509813197</t>
  </si>
  <si>
    <t>0.11922139432834372</t>
  </si>
  <si>
    <t>-0.080010934971916</t>
  </si>
  <si>
    <t>-0.3265553450708138</t>
  </si>
  <si>
    <t>0.2354671048024566</t>
  </si>
  <si>
    <t>-1.0350454747616595</t>
  </si>
  <si>
    <t>-0.5206800375621758</t>
  </si>
  <si>
    <t>-0.25369116882501147</t>
  </si>
  <si>
    <t>0.5913591090089796</t>
  </si>
  <si>
    <t>-0.12587321435784574</t>
  </si>
  <si>
    <t>-0.24901928390063816</t>
  </si>
  <si>
    <t>0.4063637174798194</t>
  </si>
  <si>
    <t>0.9009172387424552</t>
  </si>
  <si>
    <t>0.3831674841099701</t>
  </si>
  <si>
    <t>-0.8878350819594631</t>
  </si>
  <si>
    <t>-0.28634189158733325</t>
  </si>
  <si>
    <t>0.027640122651362915</t>
  </si>
  <si>
    <t>0.34622831654659236</t>
  </si>
  <si>
    <t>0.5488502838207634</t>
  </si>
  <si>
    <t>-0.1588525001255428</t>
  </si>
  <si>
    <t>-0.06892630245919155</t>
  </si>
  <si>
    <t>-0.1098837847004719</t>
  </si>
  <si>
    <t>-0.008305498302284836</t>
  </si>
  <si>
    <t>0.23882996681649687</t>
  </si>
  <si>
    <t>0.9312039411330199</t>
  </si>
  <si>
    <t>-0.5235069064216114</t>
  </si>
  <si>
    <t>0.8441214428148875</t>
  </si>
  <si>
    <t>0.38229900880575596</t>
  </si>
  <si>
    <t>-1.3740828042904543</t>
  </si>
  <si>
    <t>0.21586221482837292</t>
  </si>
  <si>
    <t>1.7063778886989738</t>
  </si>
  <si>
    <t>-0.5014546424973696</t>
  </si>
  <si>
    <t>3.149321846331291</t>
  </si>
  <si>
    <t>-0.3914547412910455</t>
  </si>
  <si>
    <t>-0.5568007714450897</t>
  </si>
  <si>
    <t>-0.4461284446767299</t>
  </si>
  <si>
    <t>-1.6542571696387391</t>
  </si>
  <si>
    <t>-0.3273884604403145</t>
  </si>
  <si>
    <t>-0.5068837766088037</t>
  </si>
  <si>
    <t>-0.119335734984881</t>
  </si>
  <si>
    <t>2.028114627788554</t>
  </si>
  <si>
    <t>-1.3608777427737893</t>
  </si>
  <si>
    <t>-0.06902739332006404</t>
  </si>
  <si>
    <t>-0.9444188562182868</t>
  </si>
  <si>
    <t>2.063214033469327</t>
  </si>
  <si>
    <t>1.5986916355904202</t>
  </si>
  <si>
    <t>0.7528945760906335</t>
  </si>
  <si>
    <t>-0.561364127546673</t>
  </si>
  <si>
    <t>-0.1387990243277595</t>
  </si>
  <si>
    <t>-0.15745632808251042</t>
  </si>
  <si>
    <t>0.9383074143529363</t>
  </si>
  <si>
    <t>-1.0729488103628149</t>
  </si>
  <si>
    <t>-0.19065196780333044</t>
  </si>
  <si>
    <t>0.1469954194731149</t>
  </si>
  <si>
    <t>-1.2005109619192833</t>
  </si>
  <si>
    <t>-0.03391794334327996</t>
  </si>
  <si>
    <t>-0.14681940473057217</t>
  </si>
  <si>
    <t>-3.2808572927348556</t>
  </si>
  <si>
    <t>1.4028583601717772</t>
  </si>
  <si>
    <t>-0.3406435638551096</t>
  </si>
  <si>
    <t>1.0998542075890245</t>
  </si>
  <si>
    <t>-0.7246159046243039</t>
  </si>
  <si>
    <t>-0.03293504883295853</t>
  </si>
  <si>
    <t>-0.0964982037799852</t>
  </si>
  <si>
    <t>-0.7522713068354943</t>
  </si>
  <si>
    <t>0.20824980297112772</t>
  </si>
  <si>
    <t>1.4184042908864942</t>
  </si>
  <si>
    <t>-0.8133764863324573</t>
  </si>
  <si>
    <t>0.04786958297918048</t>
  </si>
  <si>
    <t>0.30466180242008967</t>
  </si>
  <si>
    <t>-1.2293961963871296</t>
  </si>
  <si>
    <t>0.7483428140250171</t>
  </si>
  <si>
    <t>0.44015512117151123</t>
  </si>
  <si>
    <t>-0.9360375786775276</t>
  </si>
  <si>
    <t>0.12471338238393588</t>
  </si>
  <si>
    <t>-1.026035825482737</t>
  </si>
  <si>
    <t>0.30140637109601764</t>
  </si>
  <si>
    <t>-0.24528840861504772</t>
  </si>
  <si>
    <t>-0.4733656527759688</t>
  </si>
  <si>
    <t>0.6198368654113288</t>
  </si>
  <si>
    <t>0.27527296157517767</t>
  </si>
  <si>
    <t>0.5412441294456731</t>
  </si>
  <si>
    <t>2.922245254803069</t>
  </si>
  <si>
    <t>-0.9257850725696921</t>
  </si>
  <si>
    <t>-0.07639296304875275</t>
  </si>
  <si>
    <t>0.14992757210728938</t>
  </si>
  <si>
    <t>0.43951315386579837</t>
  </si>
  <si>
    <t>0.8771940604566205</t>
  </si>
  <si>
    <t>-0.4628050242274737</t>
  </si>
  <si>
    <t>0.4414406046451295</t>
  </si>
  <si>
    <t>0.050014257700767964</t>
  </si>
  <si>
    <t>-0.2525890143487298</t>
  </si>
  <si>
    <t>0.15947788451104394</t>
  </si>
  <si>
    <t>-0.6657969882725573</t>
  </si>
  <si>
    <t>0.04048003577525475</t>
  </si>
  <si>
    <t>-1.4001299724117084</t>
  </si>
  <si>
    <t>-1.21818565468339</t>
  </si>
  <si>
    <t>-2.4400754565607436</t>
  </si>
  <si>
    <t>1.7350568319360078</t>
  </si>
  <si>
    <t>-1.1615969853165413</t>
  </si>
  <si>
    <t>-1.4799626294938266</t>
  </si>
  <si>
    <t>0.2775959792848614</t>
  </si>
  <si>
    <t>-0.35695982989228076</t>
  </si>
  <si>
    <t>0.7582611408195874</t>
  </si>
  <si>
    <t>-0.37344853131712996</t>
  </si>
  <si>
    <t>-0.9314826831807328</t>
  </si>
  <si>
    <t>0.946846236263851</t>
  </si>
  <si>
    <t>-0.733306534517304</t>
  </si>
  <si>
    <t>-0.17810904272610437</t>
  </si>
  <si>
    <t>-0.8952864228496965</t>
  </si>
  <si>
    <t>0.6522619784430154</t>
  </si>
  <si>
    <t>-2.266174680068677</t>
  </si>
  <si>
    <t>3.7694297515301742</t>
  </si>
  <si>
    <t>-1.9935122177215523</t>
  </si>
  <si>
    <t>-0.3457790932950785</t>
  </si>
  <si>
    <t>0.1438882422809294</t>
  </si>
  <si>
    <t>0.07727010739780348</t>
  </si>
  <si>
    <t>1.5709726963579604</t>
  </si>
  <si>
    <t>-1.6460423475349024</t>
  </si>
  <si>
    <t>0.37156978961732445</t>
  </si>
  <si>
    <t>1.4450894514590769</t>
  </si>
  <si>
    <t>4.929906581721611</t>
  </si>
  <si>
    <t>0.26398515382272675</t>
  </si>
  <si>
    <t>1.5204824496878366</t>
  </si>
  <si>
    <t>-1.2084638570977468</t>
  </si>
  <si>
    <t>0.5336415764128322</t>
  </si>
  <si>
    <t>0.5632746656630025</t>
  </si>
  <si>
    <t>-0.5450819906973956</t>
  </si>
  <si>
    <t>2.7802776441600785</t>
  </si>
  <si>
    <t>-0.398030768518023</t>
  </si>
  <si>
    <t>-0.293776994627668</t>
  </si>
  <si>
    <t>1.7344456402261887</t>
  </si>
  <si>
    <t>-2.088920534221826</t>
  </si>
  <si>
    <t>2.743243885821442</t>
  </si>
  <si>
    <t>-1.1502023479136214</t>
  </si>
  <si>
    <t>-0.12204293825531258</t>
  </si>
  <si>
    <t>-1.4586722963405612</t>
  </si>
  <si>
    <t>-0.6896016344609873</t>
  </si>
  <si>
    <t>0.7905716787668559</t>
  </si>
  <si>
    <t>1.5908018388720122</t>
  </si>
  <si>
    <t>0.27227638906787105</t>
  </si>
  <si>
    <t>1.617860848678761</t>
  </si>
  <si>
    <t>-1.7844275233167817</t>
  </si>
  <si>
    <t>1.0454639703688962</t>
  </si>
  <si>
    <t>2.5662205650899783</t>
  </si>
  <si>
    <t>0.7158187854891361</t>
  </si>
  <si>
    <t>0.0661928924105231</t>
  </si>
  <si>
    <t>1.083130657476878</t>
  </si>
  <si>
    <t>-0.37122742938227793</t>
  </si>
  <si>
    <t>0.6704843128577618</t>
  </si>
  <si>
    <t>0.434270950003093</t>
  </si>
  <si>
    <t>-0.0727228533361075</t>
  </si>
  <si>
    <t>-0.40033857689812774</t>
  </si>
  <si>
    <t>-0.414843633732067</t>
  </si>
  <si>
    <t>-0.5656728262676983</t>
  </si>
  <si>
    <t>1.0481576209320773</t>
  </si>
  <si>
    <t>-1.261523898631403</t>
  </si>
  <si>
    <t>0.34376070048299745</t>
  </si>
  <si>
    <t>-0.09656198118811807</t>
  </si>
  <si>
    <t>-0.3156240493467634</t>
  </si>
  <si>
    <t>1.25446903205649</t>
  </si>
  <si>
    <t>-0.6358005593296137</t>
  </si>
  <si>
    <t>-2.1877492896272575</t>
  </si>
  <si>
    <t>0.33416403843460385</t>
  </si>
  <si>
    <t>-1.0283592220834856</t>
  </si>
  <si>
    <t>1.0679156040472717</t>
  </si>
  <si>
    <t>-1.4040581545586286</t>
  </si>
  <si>
    <t>-0.6717727362817312</t>
  </si>
  <si>
    <t>0.24694228883651834</t>
  </si>
  <si>
    <t>0.6032732386359453</t>
  </si>
  <si>
    <t>0.11441567343997375</t>
  </si>
  <si>
    <t>2.789645510122025</t>
  </si>
  <si>
    <t>1.6670314744496935</t>
  </si>
  <si>
    <t>0.42911393722899177</t>
  </si>
  <si>
    <t>-0.864294937491361</t>
  </si>
  <si>
    <t>-0.6832810311497448</t>
  </si>
  <si>
    <t>0.02914397276237182</t>
  </si>
  <si>
    <t>-0.34515421253069734</t>
  </si>
  <si>
    <t>-0.866375175867195</t>
  </si>
  <si>
    <t>0.3484371115719557</t>
  </si>
  <si>
    <t>-0.9975823403574406</t>
  </si>
  <si>
    <t>1.2894502554542087</t>
  </si>
  <si>
    <t>0.3652580765753545</t>
  </si>
  <si>
    <t>-0.2282585057830794</t>
  </si>
  <si>
    <t>0.575753794146412</t>
  </si>
  <si>
    <t>-0.7478949813056877</t>
  </si>
  <si>
    <t>-1.1644737492829809</t>
  </si>
  <si>
    <t>0.7697980689547514</t>
  </si>
  <si>
    <t>1.4409844255883373</t>
  </si>
  <si>
    <t>-0.08966160231091598</t>
  </si>
  <si>
    <t>-0.7325508528110559</t>
  </si>
  <si>
    <t>0.6138531674331725</t>
  </si>
  <si>
    <t>1.6383151959602666</t>
  </si>
  <si>
    <t>-1.3196614301332206</t>
  </si>
  <si>
    <t>-0.34908874152428654</t>
  </si>
  <si>
    <t>-1.1065284915835676</t>
  </si>
  <si>
    <t>0.3536699939444042</t>
  </si>
  <si>
    <t>-0.8163262765990327</t>
  </si>
  <si>
    <t>0.2940825455875394</t>
  </si>
  <si>
    <t>0.29343989882233307</t>
  </si>
  <si>
    <t>0.40890645762055217</t>
  </si>
  <si>
    <t>-0.2623180209297241</t>
  </si>
  <si>
    <t>0.1006216732643626</t>
  </si>
  <si>
    <t>0.36667721935497927</t>
  </si>
  <si>
    <t>1.000674931959202</t>
  </si>
  <si>
    <t>0.47342919591976745</t>
  </si>
  <si>
    <t>0.67063463186913</t>
  </si>
  <si>
    <t>0.050888781561280697</t>
  </si>
  <si>
    <t>-0.7031313228788854</t>
  </si>
  <si>
    <t>0.2676912299815043</t>
  </si>
  <si>
    <t>0.28833926734719606</t>
  </si>
  <si>
    <t>0.6656561280306972</t>
  </si>
  <si>
    <t>0.11002356653676025</t>
  </si>
  <si>
    <t>1.2223649930973033</t>
  </si>
  <si>
    <t>-0.9966488330685283</t>
  </si>
  <si>
    <t>0.33669529504193474</t>
  </si>
  <si>
    <t>1.2063108534403704</t>
  </si>
  <si>
    <t>-0.134388516169778</t>
  </si>
  <si>
    <t>-1.2728623372592118</t>
  </si>
  <si>
    <t>0.2382688546639454</t>
  </si>
  <si>
    <t>0.19026101961180586</t>
  </si>
  <si>
    <t>-0.42148179991457707</t>
  </si>
  <si>
    <t>0.43807203700280156</t>
  </si>
  <si>
    <t>3.189822631038393</t>
  </si>
  <si>
    <t>0.34014638005106657</t>
  </si>
  <si>
    <t>-1.1506356967185938</t>
  </si>
  <si>
    <t>0.3601257760088177</t>
  </si>
  <si>
    <t>-0.44174809636876117</t>
  </si>
  <si>
    <t>0.08597755036441238</t>
  </si>
  <si>
    <t>-0.18198105833720077</t>
  </si>
  <si>
    <t>-0.8321239754626566</t>
  </si>
  <si>
    <t>-0.002497266542379699</t>
  </si>
  <si>
    <t>-0.15863215021690705</t>
  </si>
  <si>
    <t>-0.40035158579024793</t>
  </si>
  <si>
    <t>1.2211494176564093</t>
  </si>
  <si>
    <t>-1.1723142552536416</t>
  </si>
  <si>
    <t>-0.6024688765501883</t>
  </si>
  <si>
    <t>0.023415158929119967</t>
  </si>
  <si>
    <t>-0.059404027885566354</t>
  </si>
  <si>
    <t>-0.9849484186305033</t>
  </si>
  <si>
    <t>0.609648573204909</t>
  </si>
  <si>
    <t>-1.1173821415993193</t>
  </si>
  <si>
    <t>3.369053948210152</t>
  </si>
  <si>
    <t>0.4842303294891742</t>
  </si>
  <si>
    <t>-0.2836638855638315</t>
  </si>
  <si>
    <t>0.45904931591637993</t>
  </si>
  <si>
    <t>0.6114038717666739</t>
  </si>
  <si>
    <t>0.28996825102915247</t>
  </si>
  <si>
    <t>-3.2267929552627477</t>
  </si>
  <si>
    <t>-0.16469899481430453</t>
  </si>
  <si>
    <t>-1.8122709179936103</t>
  </si>
  <si>
    <t>0.25139879002961435</t>
  </si>
  <si>
    <t>0.16780290045437984</t>
  </si>
  <si>
    <t>-0.18933165405722868</t>
  </si>
  <si>
    <t>-0.6704265294009023</t>
  </si>
  <si>
    <t>-0.30584495024909486</t>
  </si>
  <si>
    <t>0.32460946887261816</t>
  </si>
  <si>
    <t>-0.848293234243785</t>
  </si>
  <si>
    <t>-0.6214799093418636</t>
  </si>
  <si>
    <t>0.3434891376994684</t>
  </si>
  <si>
    <t>0.6787990124637748</t>
  </si>
  <si>
    <t>0.6107907739739215</t>
  </si>
  <si>
    <t>-0.8028451897754225</t>
  </si>
  <si>
    <t>0.886534614424724</t>
  </si>
  <si>
    <t>0.5734087701866997</t>
  </si>
  <si>
    <t>0.3773170260214544</t>
  </si>
  <si>
    <t>-0.19378783550042836</t>
  </si>
  <si>
    <t>-0.3578304748828322</t>
  </si>
  <si>
    <t>-0.17417599811238915</t>
  </si>
  <si>
    <t>-0.8422460955941533</t>
  </si>
  <si>
    <t>1.6832648604428455</t>
  </si>
  <si>
    <t>0.12891110275895867</t>
  </si>
  <si>
    <t>-1.439690651973339</t>
  </si>
  <si>
    <t>0.8765188023319908</t>
  </si>
  <si>
    <t>0.19440497095161588</t>
  </si>
  <si>
    <t>0.7151584342808156</t>
  </si>
  <si>
    <t>-1.6030908731625166</t>
  </si>
  <si>
    <t>-1.4664494672168868</t>
  </si>
  <si>
    <t>0.5957965095590552</t>
  </si>
  <si>
    <t>0.48972607433770887</t>
  </si>
  <si>
    <t>0.08441409476341621</t>
  </si>
  <si>
    <t>0.0639305457414381</t>
  </si>
  <si>
    <t>0.9864493501475757</t>
  </si>
  <si>
    <t>0.24052185943702403</t>
  </si>
  <si>
    <t>-0.12063851651909877</t>
  </si>
  <si>
    <t>1.4054077527753523</t>
  </si>
  <si>
    <t>0.03616431707970651</t>
  </si>
  <si>
    <t>-1.1276299936064118</t>
  </si>
  <si>
    <t>-1.1274116730097634</t>
  </si>
  <si>
    <t>0.2390761986256448</t>
  </si>
  <si>
    <t>-0.4339079907268753</t>
  </si>
  <si>
    <t>-0.31220076927878015</t>
  </si>
  <si>
    <t>1.3361083945500947</t>
  </si>
  <si>
    <t>-0.1535833619403327</t>
  </si>
  <si>
    <t>0.5684765995814742</t>
  </si>
  <si>
    <t>0.8639652324384699</t>
  </si>
  <si>
    <t>-0.41162991191277765</t>
  </si>
  <si>
    <t>0.46820141748692035</t>
  </si>
  <si>
    <t>-0.39879213543132974</t>
  </si>
  <si>
    <t>0.059652643486022804</t>
  </si>
  <si>
    <t>-1.229777625323155</t>
  </si>
  <si>
    <t>-0.2673735700975698</t>
  </si>
  <si>
    <t>-0.8943443397568012</t>
  </si>
  <si>
    <t>-0.7876831716758445</t>
  </si>
  <si>
    <t>0.06823566159753601</t>
  </si>
  <si>
    <t>0.33043626519433</t>
  </si>
  <si>
    <t>-0.7442846158916775</t>
  </si>
  <si>
    <t>0.04267276192693549</t>
  </si>
  <si>
    <t>-1.4801842806384187</t>
  </si>
  <si>
    <t>0.2191121232182419</t>
  </si>
  <si>
    <t>0.9665980419223544</t>
  </si>
  <si>
    <t>-0.6923213297087748</t>
  </si>
  <si>
    <t>0.433570511687202</t>
  </si>
  <si>
    <t>-0.3201819493196049</t>
  </si>
  <si>
    <t>-0.07566184989553533</t>
  </si>
  <si>
    <t>-0.2440874292979987</t>
  </si>
  <si>
    <t>0.5765581960373665</t>
  </si>
  <si>
    <t>0.3413514030106616</t>
  </si>
  <si>
    <t>-0.4780052468188865</t>
  </si>
  <si>
    <t>1.7455967749219896</t>
  </si>
  <si>
    <t>-1.0832656643397294</t>
  </si>
  <si>
    <t>0.7343286650574209</t>
  </si>
  <si>
    <t>0.43488711795101825</t>
  </si>
  <si>
    <t>0.1541564203251785</t>
  </si>
  <si>
    <t>0.43774356405049253</t>
  </si>
  <si>
    <t>1.1644998940690334</t>
  </si>
  <si>
    <t>0.2877951234684235</t>
  </si>
  <si>
    <t>1.4586150887336808</t>
  </si>
  <si>
    <t>0.2973542748504497</t>
  </si>
  <si>
    <t>-0.8886970017834804</t>
  </si>
  <si>
    <t>-0.2351481430332768</t>
  </si>
  <si>
    <t>-0.28748215134504673</t>
  </si>
  <si>
    <t>-0.5797502858710525</t>
  </si>
  <si>
    <t>0.20400026178277644</t>
  </si>
  <si>
    <t>0.05140042895852139</t>
  </si>
  <si>
    <t>0.20072788953773138</t>
  </si>
  <si>
    <t>-0.11228121173411303</t>
  </si>
  <si>
    <t>0.2826658120409594</t>
  </si>
  <si>
    <t>0.9867119762657072</t>
  </si>
  <si>
    <t>0.7777019855057125</t>
  </si>
  <si>
    <t>-0.6061959280789552</t>
  </si>
  <si>
    <t>-0.04284077167810828</t>
  </si>
  <si>
    <t>0.4842737040229489</t>
  </si>
  <si>
    <t>-0.6400423211077197</t>
  </si>
  <si>
    <t>-0.32733778848913364</t>
  </si>
  <si>
    <t>-0.7354665695879674</t>
  </si>
  <si>
    <t>-1.2461971494970625</t>
  </si>
  <si>
    <t>-0.15420826038666705</t>
  </si>
  <si>
    <t>-0.7900260220477753</t>
  </si>
  <si>
    <t>0.296368222752059</t>
  </si>
  <si>
    <t>0.10048157869011591</t>
  </si>
  <si>
    <t>-0.09539968193596438</t>
  </si>
  <si>
    <t>0.692186408685744</t>
  </si>
  <si>
    <t>-3.5495971822887697</t>
  </si>
  <si>
    <t>-0.2302725758189987</t>
  </si>
  <si>
    <t>-0.7936969946615228</t>
  </si>
  <si>
    <t>-0.8193411075122987</t>
  </si>
  <si>
    <t>-0.014321758811140803</t>
  </si>
  <si>
    <t>-0.34667806755802466</t>
  </si>
  <si>
    <t>-0.025291943036816977</t>
  </si>
  <si>
    <t>-0.014010033010581258</t>
  </si>
  <si>
    <t>0.5959843014726532</t>
  </si>
  <si>
    <t>-0.7283462912060692</t>
  </si>
  <si>
    <t>0.46502121609713043</t>
  </si>
  <si>
    <t>0.4385200548386486</t>
  </si>
  <si>
    <t>-0.8338502402986712</t>
  </si>
  <si>
    <t>0.3825364193515963</t>
  </si>
  <si>
    <t>-0.024737699878197593</t>
  </si>
  <si>
    <t>-1.3287420277141064</t>
  </si>
  <si>
    <t>1.5493224035098316</t>
  </si>
  <si>
    <t>-1.6607773325159152</t>
  </si>
  <si>
    <t>1.383960668035509</t>
  </si>
  <si>
    <t>-0.18842090532604466</t>
  </si>
  <si>
    <t>0.7654645231217075</t>
  </si>
  <si>
    <t>-0.6136332773329681</t>
  </si>
  <si>
    <t>-0.08405970402473806</t>
  </si>
  <si>
    <t>1.4750877744145867</t>
  </si>
  <si>
    <t>-1.347676431684459</t>
  </si>
  <si>
    <t>1.4931876163910909</t>
  </si>
  <si>
    <t>0.5297289600988743</t>
  </si>
  <si>
    <t>3.887874013829515</t>
  </si>
  <si>
    <t>-0.07910544608700935</t>
  </si>
  <si>
    <t>-1.3796358072734727</t>
  </si>
  <si>
    <t>0.5105786667460606</t>
  </si>
  <si>
    <t>2.375979601500535</t>
  </si>
  <si>
    <t>0.5625569529907131</t>
  </si>
  <si>
    <t>-0.5852456726697678</t>
  </si>
  <si>
    <t>-2.015740236255375</t>
  </si>
  <si>
    <t>0.9745098398714205</t>
  </si>
  <si>
    <t>0.8317824200967009</t>
  </si>
  <si>
    <t>-0.5827753902762756</t>
  </si>
  <si>
    <t>-1.148916818787196</t>
  </si>
  <si>
    <t>-2.788113172835451</t>
  </si>
  <si>
    <t>1.4117156204324717</t>
  </si>
  <si>
    <t>-1.6423357492543222</t>
  </si>
  <si>
    <t>0.0029071931858865494</t>
  </si>
  <si>
    <t>2.142754562796688</t>
  </si>
  <si>
    <t>0.14725213132701515</t>
  </si>
  <si>
    <t>0.5643147606641982</t>
  </si>
  <si>
    <t>-0.5489964231572431</t>
  </si>
  <si>
    <t>0.3145566153639108</t>
  </si>
  <si>
    <t>0.3475201479053298</t>
  </si>
  <si>
    <t>0.34223946676613426</t>
  </si>
  <si>
    <t>1.4214422851921062</t>
  </si>
  <si>
    <t>0.6893977452048268</t>
  </si>
  <si>
    <t>-1.0255624759147195</t>
  </si>
  <si>
    <t>1.3426793295820088</t>
  </si>
  <si>
    <t>0.5997024028359251</t>
  </si>
  <si>
    <t>-0.43448135922389564</t>
  </si>
  <si>
    <t>-1.9109207772327612</t>
  </si>
  <si>
    <t>0.904488369362014</t>
  </si>
  <si>
    <t>0.07181765279370589</t>
  </si>
  <si>
    <t>0.8189872260797162</t>
  </si>
  <si>
    <t>0.9373557822451916</t>
  </si>
  <si>
    <t>-0.34794280234728664</t>
  </si>
  <si>
    <t>2.450092668217135</t>
  </si>
  <si>
    <t>-0.2590314530858319</t>
  </si>
  <si>
    <t>0.45182986860374375</t>
  </si>
  <si>
    <t>1.5649428094348874</t>
  </si>
  <si>
    <t>1.3257399276641544</t>
  </si>
  <si>
    <t>0.09922065554987457</t>
  </si>
  <si>
    <t>1.047686415538597</t>
  </si>
  <si>
    <t>-0.5029629584094216</t>
  </si>
  <si>
    <t>-2.121160042592892</t>
  </si>
  <si>
    <t>2.291632251231765</t>
  </si>
  <si>
    <t>-0.7317766960616059</t>
  </si>
  <si>
    <t>-0.569853398846376</t>
  </si>
  <si>
    <t>-1.6764167895606128</t>
  </si>
  <si>
    <t>0.4157691910081279</t>
  </si>
  <si>
    <t>-0.9023842204080221</t>
  </si>
  <si>
    <t>1.7075681199871577</t>
  </si>
  <si>
    <t>0.21868756652810284</t>
  </si>
  <si>
    <t>1.3731200748999906</t>
  </si>
  <si>
    <t>1.155757589080373</t>
  </si>
  <si>
    <t>0.5843453529595396</t>
  </si>
  <si>
    <t>0.357667864214866</t>
  </si>
  <si>
    <t>-0.6018927217880715</t>
  </si>
  <si>
    <t>0.33437457271500426</t>
  </si>
  <si>
    <t>0.137465640605597</t>
  </si>
  <si>
    <t>-0.5487866185129977</t>
  </si>
  <si>
    <t>0.3379203394656372</t>
  </si>
  <si>
    <t>-0.46523589126567505</t>
  </si>
  <si>
    <t>0.6382874343071009</t>
  </si>
  <si>
    <t>2.114558493468308</t>
  </si>
  <si>
    <t>0.12019523379264711</t>
  </si>
  <si>
    <t>-0.856116800117417</t>
  </si>
  <si>
    <t>-0.11871586346300542</t>
  </si>
  <si>
    <t>-0.15717323672207936</t>
  </si>
  <si>
    <t>0.9670604062998558</t>
  </si>
  <si>
    <t>-0.9830548714994684</t>
  </si>
  <si>
    <t>0.16461771263050684</t>
  </si>
  <si>
    <t>0.8915403526487196</t>
  </si>
  <si>
    <t>-1.4320638634187786</t>
  </si>
  <si>
    <t>0.4363108645315014</t>
  </si>
  <si>
    <t>1.447587658544653</t>
  </si>
  <si>
    <t>0.2723217046392478</t>
  </si>
  <si>
    <t>1.0013259972564907</t>
  </si>
  <si>
    <t>1.817611554681786</t>
  </si>
  <si>
    <t>0.011310425148628352</t>
  </si>
  <si>
    <t>1.2033792254572886</t>
  </si>
  <si>
    <t>-0.7259608817099902</t>
  </si>
  <si>
    <t>0.726688684630138</t>
  </si>
  <si>
    <t>-0.9154800806946737</t>
  </si>
  <si>
    <t>1.6184132338391302</t>
  </si>
  <si>
    <t>1.1556025228683635</t>
  </si>
  <si>
    <t>0.026392018707102984</t>
  </si>
  <si>
    <t>-0.44127011855865383</t>
  </si>
  <si>
    <t>1.5699520733563497</t>
  </si>
  <si>
    <t>2.0652685975788057</t>
  </si>
  <si>
    <t>-0.6458360370392792</t>
  </si>
  <si>
    <t>0.3763525832801985</t>
  </si>
  <si>
    <t>0.6209679099968494</t>
  </si>
  <si>
    <t>0.9295969249862903</t>
  </si>
  <si>
    <t>0.4418288177034905</t>
  </si>
  <si>
    <t>-0.6448307779715362</t>
  </si>
  <si>
    <t>0.6372402112912816</t>
  </si>
  <si>
    <t>0.960974763338032</t>
  </si>
  <si>
    <t>-1.72045700899367</t>
  </si>
  <si>
    <t>-2.2266988148224374</t>
  </si>
  <si>
    <t>1.6372719268581608</t>
  </si>
  <si>
    <t>0.29547001792235095</t>
  </si>
  <si>
    <t>0.026287842175976957</t>
  </si>
  <si>
    <t>-0.807593191204721</t>
  </si>
  <si>
    <t>0.49432505499799206</t>
  </si>
  <si>
    <t>0.4498587892264718</t>
  </si>
  <si>
    <t>1.4440374937196214</t>
  </si>
  <si>
    <t>1.4983692823003696</t>
  </si>
  <si>
    <t>-0.8213386208356568</t>
  </si>
  <si>
    <t>-1.613412176793543</t>
  </si>
  <si>
    <t>-1.0453834168363731</t>
  </si>
  <si>
    <t>1.790939836674326</t>
  </si>
  <si>
    <t>-2.4127627459778873</t>
  </si>
  <si>
    <t>1.048027890077444</t>
  </si>
  <si>
    <t>0.7015432424813575</t>
  </si>
  <si>
    <t>0.2959773911357627</t>
  </si>
  <si>
    <t>-1.7222121004025923</t>
  </si>
  <si>
    <t>-2.9127148633845485</t>
  </si>
  <si>
    <t>2.0158819244671444</t>
  </si>
  <si>
    <t>-0.88437739680624</t>
  </si>
  <si>
    <t>0.8588866157127378</t>
  </si>
  <si>
    <t>-0.08998809635026601</t>
  </si>
  <si>
    <t>-1.3854948697202927</t>
  </si>
  <si>
    <t>-1.1954680229085266</t>
  </si>
  <si>
    <t>1.0753827406106806</t>
  </si>
  <si>
    <t>-1.1237755265904206</t>
  </si>
  <si>
    <t>0.7385256656337791</t>
  </si>
  <si>
    <t>-0.5174186089758469</t>
  </si>
  <si>
    <t>0.11700094120960014</t>
  </si>
  <si>
    <t>2.5207152265021646</t>
  </si>
  <si>
    <t>0.854352148285865</t>
  </si>
  <si>
    <t>-0.6887622513106955</t>
  </si>
  <si>
    <t>1.6265154941378253</t>
  </si>
  <si>
    <t>-1.3779030456057904</t>
  </si>
  <si>
    <t>-0.20703496319517734</t>
  </si>
  <si>
    <t>1.595496947586225</t>
  </si>
  <si>
    <t>-0.9216922819467017</t>
  </si>
  <si>
    <t>-0.5689425341083573</t>
  </si>
  <si>
    <t>1.2369302312373556</t>
  </si>
  <si>
    <t>0.39218735304445496</t>
  </si>
  <si>
    <t>1.4935076561003142</t>
  </si>
  <si>
    <t>-0.9987680766848388</t>
  </si>
  <si>
    <t>-0.6808786134567131</t>
  </si>
  <si>
    <t>0.20065597198930848</t>
  </si>
  <si>
    <t>-1.5023841912163134</t>
  </si>
  <si>
    <t>0.6704221919508788</t>
  </si>
  <si>
    <t>-0.45439170553893576</t>
  </si>
  <si>
    <t>-0.23440966136217173</t>
  </si>
  <si>
    <t>-1.2065281678961857</t>
  </si>
  <si>
    <t>0.24763675243797512</t>
  </si>
  <si>
    <t>-0.2600562878629353</t>
  </si>
  <si>
    <t>1.6431804154308385</t>
  </si>
  <si>
    <t>-0.1432905118484877</t>
  </si>
  <si>
    <t>-0.22364313888364565</t>
  </si>
  <si>
    <t>1.105451436295538</t>
  </si>
  <si>
    <t>0.2169424433301859</t>
  </si>
  <si>
    <t>0.3730453938084573</t>
  </si>
  <si>
    <t>0.8745116696239976</t>
  </si>
  <si>
    <t>1.116397792231559</t>
  </si>
  <si>
    <t>-1.2493800075416164</t>
  </si>
  <si>
    <t>1.2339000244168539</t>
  </si>
  <si>
    <t>1.1177421265744352</t>
  </si>
  <si>
    <t>-0.5489352080852996</t>
  </si>
  <si>
    <t>0.5557082907355534</t>
  </si>
  <si>
    <t>0.5850227570570243</t>
  </si>
  <si>
    <t>0.34487189458048517</t>
  </si>
  <si>
    <t>-0.024837041638825795</t>
  </si>
  <si>
    <t>-0.5481585637734503</t>
  </si>
  <si>
    <t>0.2919910367773839</t>
  </si>
  <si>
    <t>-1.5498526988331711</t>
  </si>
  <si>
    <t>-0.4184543912912824</t>
  </si>
  <si>
    <t>-1.3455415242575404</t>
  </si>
  <si>
    <t>0.2160645750921614</t>
  </si>
  <si>
    <t>-0.5739915148655372</t>
  </si>
  <si>
    <t>0.3252689413850981</t>
  </si>
  <si>
    <t>1.7692855993064565</t>
  </si>
  <si>
    <t>0.19446693870345516</t>
  </si>
  <si>
    <t>0.2549996852026958</t>
  </si>
  <si>
    <t>-1.9223125256764195</t>
  </si>
  <si>
    <t>1.0168358557007877</t>
  </si>
  <si>
    <t>-0.6332952497620367</t>
  </si>
  <si>
    <t>-0.11266086732593103</t>
  </si>
  <si>
    <t>0.25093963153744986</t>
  </si>
  <si>
    <t>0.49855790577054315</t>
  </si>
  <si>
    <t>-0.29560407556183976</t>
  </si>
  <si>
    <t>1.3534215018392626</t>
  </si>
  <si>
    <t>1.0007308894027178</t>
  </si>
  <si>
    <t>-0.8037280845162875</t>
  </si>
  <si>
    <t>1.012891360920655</t>
  </si>
  <si>
    <t>1.6988409843466448</t>
  </si>
  <si>
    <t>0.07396355349239515</t>
  </si>
  <si>
    <t>-0.048068771394837034</t>
  </si>
  <si>
    <t>0.652368623113296</t>
  </si>
  <si>
    <t>0.20401638887572843</t>
  </si>
  <si>
    <t>1.856842316447748</t>
  </si>
  <si>
    <t>1.39874023067274</t>
  </si>
  <si>
    <t>0.08399321033306036</t>
  </si>
  <si>
    <t>1.2511716002701923</t>
  </si>
  <si>
    <t>-0.744799329110818</t>
  </si>
  <si>
    <t>-0.6319747466292865</t>
  </si>
  <si>
    <t>0.9065290238744805</t>
  </si>
  <si>
    <t>0.20853306838121963</t>
  </si>
  <si>
    <t>0.1034709447588241</t>
  </si>
  <si>
    <t>0.7005464854053675</t>
  </si>
  <si>
    <t>-0.029620838489770138</t>
  </si>
  <si>
    <t>0.27768863833424856</t>
  </si>
  <si>
    <t>0.19086713175407863</t>
  </si>
  <si>
    <t>-0.06399309123363124</t>
  </si>
  <si>
    <t>0.13308156952538755</t>
  </si>
  <si>
    <t>1.3441944144762907</t>
  </si>
  <si>
    <t>0.7505457061910378</t>
  </si>
  <si>
    <t>-0.006838103419797656</t>
  </si>
  <si>
    <t>1.4025387424837432</t>
  </si>
  <si>
    <t>-0.24758900884804402</t>
  </si>
  <si>
    <t>-0.6746288199780693</t>
  </si>
  <si>
    <t>-0.7009025093457462</t>
  </si>
  <si>
    <t>-0.21537315612625188</t>
  </si>
  <si>
    <t>1.595257628791935</t>
  </si>
  <si>
    <t>-0.536685439166325</t>
  </si>
  <si>
    <t>0.36621957954224993</t>
  </si>
  <si>
    <t>0.0686713895758807</t>
  </si>
  <si>
    <t>0.34054556942086084</t>
  </si>
  <si>
    <t>1.0493902954477923</t>
  </si>
  <si>
    <t>0.26632306938522876</t>
  </si>
  <si>
    <t>-1.2917839020877668</t>
  </si>
  <si>
    <t>0.03461966426197643</t>
  </si>
  <si>
    <t>0.08147018893656052</t>
  </si>
  <si>
    <t>0.7164460371945355</t>
  </si>
  <si>
    <t>-0.08538952512185671</t>
  </si>
  <si>
    <t>-0.7002765122577105</t>
  </si>
  <si>
    <t>-0.559758365818441</t>
  </si>
  <si>
    <t>0.7685075582813498</t>
  </si>
  <si>
    <t>1.6345186455745213</t>
  </si>
  <si>
    <t>0.7893669196069607</t>
  </si>
  <si>
    <t>-2.077952835747672</t>
  </si>
  <si>
    <t>-1.032527070052883</t>
  </si>
  <si>
    <t>-0.16317337624197</t>
  </si>
  <si>
    <t>-0.2936291003018583</t>
  </si>
  <si>
    <t>-0.05649936954644749</t>
  </si>
  <si>
    <t>0.1673266970048187</t>
  </si>
  <si>
    <t>0.23652514847285652</t>
  </si>
  <si>
    <t>0.33699040796775637</t>
  </si>
  <si>
    <t>0.136235184270763</t>
  </si>
  <si>
    <t>0.9812115338536544</t>
  </si>
  <si>
    <t>0.46661454328629914</t>
  </si>
  <si>
    <t>0.3413880015594127</t>
  </si>
  <si>
    <t>0.19005572886173674</t>
  </si>
  <si>
    <t>0.41695616042565886</t>
  </si>
  <si>
    <t>0.2601988360229099</t>
  </si>
  <si>
    <t>-0.10943567088276064</t>
  </si>
  <si>
    <t>-0.3355200711238466</t>
  </si>
  <si>
    <t>-0.6226447336450399</t>
  </si>
  <si>
    <t>-0.5098826615586006</t>
  </si>
  <si>
    <t>0.5013984465390464</t>
  </si>
  <si>
    <t>-2.048316700345875</t>
  </si>
  <si>
    <t>-1.1517342284300414</t>
  </si>
  <si>
    <t>0.22146346658611873</t>
  </si>
  <si>
    <t>-0.13432951428393858</t>
  </si>
  <si>
    <t>-0.38599784606593457</t>
  </si>
  <si>
    <t>-0.22144754059590285</t>
  </si>
  <si>
    <t>0.3091526377104157</t>
  </si>
  <si>
    <t>-0.09781901994334842</t>
  </si>
  <si>
    <t>0.8295015054093785</t>
  </si>
  <si>
    <t>1.34542488743216</t>
  </si>
  <si>
    <t>0.9471492902178692</t>
  </si>
  <si>
    <t>-2.533471327186426</t>
  </si>
  <si>
    <t>0.7879702537229554</t>
  </si>
  <si>
    <t>0.1850583822062084</t>
  </si>
  <si>
    <t>-0.3107137867429449</t>
  </si>
  <si>
    <t>1.0132427350733304</t>
  </si>
  <si>
    <t>-0.4525693575470902</t>
  </si>
  <si>
    <t>-0.2079540537063836</t>
  </si>
  <si>
    <t>-0.013925428484762765</t>
  </si>
  <si>
    <t>-2.769813670946867</t>
  </si>
  <si>
    <t>-0.9876416124147397</t>
  </si>
  <si>
    <t>0.31798464141684457</t>
  </si>
  <si>
    <t>-1.323581716340202</t>
  </si>
  <si>
    <t>0.31199278857739093</t>
  </si>
  <si>
    <t>0.23108629075907455</t>
  </si>
  <si>
    <t>0.34228368621354127</t>
  </si>
  <si>
    <t>-0.15736272697382375</t>
  </si>
  <si>
    <t>-0.5229269947069828</t>
  </si>
  <si>
    <t>1.1180010854911027</t>
  </si>
  <si>
    <t>-1.2215426817537218</t>
  </si>
  <si>
    <t>0.3694331321214071</t>
  </si>
  <si>
    <t>-1.1232655028128895</t>
  </si>
  <si>
    <t>1.4423529681698317</t>
  </si>
  <si>
    <t>-1.0626289471128512</t>
  </si>
  <si>
    <t>-0.1873550795223083</t>
  </si>
  <si>
    <t>-0.11193788739107896</t>
  </si>
  <si>
    <t>0.11862188703997109</t>
  </si>
  <si>
    <t>-0.3670373743330924</t>
  </si>
  <si>
    <t>1.5208308081492634</t>
  </si>
  <si>
    <t>2.7444201498410856</t>
  </si>
  <si>
    <t>-0.31993662454759203</t>
  </si>
  <si>
    <t>-0.5910817885167905</t>
  </si>
  <si>
    <t>1.122659018352078</t>
  </si>
  <si>
    <t>0.47248894991888235</t>
  </si>
  <si>
    <t>-0.14402092304803812</t>
  </si>
  <si>
    <t>-0.2840618201524899</t>
  </si>
  <si>
    <t>0.10377625920033616</t>
  </si>
  <si>
    <t>0.8355585880118837</t>
  </si>
  <si>
    <t>-0.14223292545330327</t>
  </si>
  <si>
    <t>1.2206717900500035</t>
  </si>
  <si>
    <t>-1.2729935291568573</t>
  </si>
  <si>
    <t>-0.3135957561414316</t>
  </si>
  <si>
    <t>-4.926271234815007</t>
  </si>
  <si>
    <t>-1.9563492427865259</t>
  </si>
  <si>
    <t>-1.428267446308138</t>
  </si>
  <si>
    <t>1.3168059635046088</t>
  </si>
  <si>
    <t>-0.5782154720681886</t>
  </si>
  <si>
    <t>0.3440943853413908</t>
  </si>
  <si>
    <t>-0.04127565695646807</t>
  </si>
  <si>
    <t>0.6153838656567866</t>
  </si>
  <si>
    <t>-0.7342499889252122</t>
  </si>
  <si>
    <t>-1.036431814745932</t>
  </si>
  <si>
    <t>-1.1696030702814226</t>
  </si>
  <si>
    <t>0.8957194588331623</t>
  </si>
  <si>
    <t>1.1630317955981904</t>
  </si>
  <si>
    <t>0.5153620718459782</t>
  </si>
  <si>
    <t>0.7665537414370299</t>
  </si>
  <si>
    <t>-0.4985365679998628</t>
  </si>
  <si>
    <t>0.36772890258740737</t>
  </si>
  <si>
    <t>0.5873357889003994</t>
  </si>
  <si>
    <t>-1.550317546033937</t>
  </si>
  <si>
    <t>0.6250966462371816</t>
  </si>
  <si>
    <t>-1.522558458366346</t>
  </si>
  <si>
    <t>1.37062546881416</t>
  </si>
  <si>
    <t>-1.432543149336952</t>
  </si>
  <si>
    <t>1.9730805497586161</t>
  </si>
  <si>
    <t>0.8243458022208818</t>
  </si>
  <si>
    <t>0.07506501936888915</t>
  </si>
  <si>
    <t>0.013989633174055022</t>
  </si>
  <si>
    <t>0.6864987250520664</t>
  </si>
  <si>
    <t>-0.2855199446806217</t>
  </si>
  <si>
    <t>0.8116455526942328</t>
  </si>
  <si>
    <t>-1.5160465593240555</t>
  </si>
  <si>
    <t>-1.2643525733659544</t>
  </si>
  <si>
    <t>1.3259591387287313</t>
  </si>
  <si>
    <t>-0.23575996790058001</t>
  </si>
  <si>
    <t>0.2876779476445993</t>
  </si>
  <si>
    <t>-1.2674790536401765</t>
  </si>
  <si>
    <t>-0.32777281249732554</t>
  </si>
  <si>
    <t>0.1804918693329555</t>
  </si>
  <si>
    <t>0.1454688058444609</t>
  </si>
  <si>
    <t>2.4726714802919636</t>
  </si>
  <si>
    <t>1.112301872902065</t>
  </si>
  <si>
    <t>-0.4268584092241065</t>
  </si>
  <si>
    <t>0.31723942314117043</t>
  </si>
  <si>
    <t>0.0689214672247585</t>
  </si>
  <si>
    <t>-0.6595142734090103</t>
  </si>
  <si>
    <t>2.508031327896986</t>
  </si>
  <si>
    <t>1.4479632090608219</t>
  </si>
  <si>
    <t>-0.46903062500484316</t>
  </si>
  <si>
    <t>-1.276549139666133</t>
  </si>
  <si>
    <t>0.8226582986110553</t>
  </si>
  <si>
    <t>-0.07207128505159928</t>
  </si>
  <si>
    <t>1.1461695934328429</t>
  </si>
  <si>
    <t>-0.2217255648397353</t>
  </si>
  <si>
    <t>-0.9560392555898803</t>
  </si>
  <si>
    <t>0.7593481458290595</t>
  </si>
  <si>
    <t>-0.5308741039008187</t>
  </si>
  <si>
    <t>0.1076744090625891</t>
  </si>
  <si>
    <t>-1.1968644493867822</t>
  </si>
  <si>
    <t>0.7835255520917834</t>
  </si>
  <si>
    <t>-1.2597248467184827</t>
  </si>
  <si>
    <t>-0.4052194754500092</t>
  </si>
  <si>
    <t>-0.27149096727993577</t>
  </si>
  <si>
    <t>3.007055001960663</t>
  </si>
  <si>
    <t>0.3693618184577587</t>
  </si>
  <si>
    <t>1.0704163635739377</t>
  </si>
  <si>
    <t>0.7151886455612966</t>
  </si>
  <si>
    <t>0.5535126555400416</t>
  </si>
  <si>
    <t>1.3465118851104998</t>
  </si>
  <si>
    <t>1.0907087739868107</t>
  </si>
  <si>
    <t>-0.49678707094358615</t>
  </si>
  <si>
    <t>-0.37777579822970647</t>
  </si>
  <si>
    <t>0.181409104452987</t>
  </si>
  <si>
    <t>0.6277691065508404</t>
  </si>
  <si>
    <t>2.3353706349056096</t>
  </si>
  <si>
    <t>-0.16745227536939647</t>
  </si>
  <si>
    <t>0.4540277175574847</t>
  </si>
  <si>
    <t>0.3056489980362518</t>
  </si>
  <si>
    <t>0.6356079500518215</t>
  </si>
  <si>
    <t>-1.0451471734089446</t>
  </si>
  <si>
    <t>0.5117753090133556</t>
  </si>
  <si>
    <t>0.11368803069081136</t>
  </si>
  <si>
    <t>0.8263843244868335</t>
  </si>
  <si>
    <t>-0.29372373279637226</t>
  </si>
  <si>
    <t>-0.830442316010802</t>
  </si>
  <si>
    <t>-0.5078653253050922</t>
  </si>
  <si>
    <t>0.12902972625515247</t>
  </si>
  <si>
    <t>-0.7687801084065939</t>
  </si>
  <si>
    <t>-0.33826481642931294</t>
  </si>
  <si>
    <t>-0.14028863341117317</t>
  </si>
  <si>
    <t>-0.8542814984594203</t>
  </si>
  <si>
    <t>1.9235074603050322</t>
  </si>
  <si>
    <t>-0.6700457282791751</t>
  </si>
  <si>
    <t>-1.4243253940258431</t>
  </si>
  <si>
    <t>0.12356490510002584</t>
  </si>
  <si>
    <t>-0.2004382717115082</t>
  </si>
  <si>
    <t>-0.7175064692965312</t>
  </si>
  <si>
    <t>-0.13121936157273612</t>
  </si>
  <si>
    <t>-0.7262093005415282</t>
  </si>
  <si>
    <t>0.779249046597198</t>
  </si>
  <si>
    <t>0.18644299639720466</t>
  </si>
  <si>
    <t>-0.1377230403998272</t>
  </si>
  <si>
    <t>-0.946435376063561</t>
  </si>
  <si>
    <t>0.3557423507471777</t>
  </si>
  <si>
    <t>1.5795294218697002</t>
  </si>
  <si>
    <t>-2.0709136052760897</t>
  </si>
  <si>
    <t>-1.1659411247601283</t>
  </si>
  <si>
    <t>0.49878433759347657</t>
  </si>
  <si>
    <t>0.6658513705278399</t>
  </si>
  <si>
    <t>0.19427156062757256</t>
  </si>
  <si>
    <t>-0.652710409207635</t>
  </si>
  <si>
    <t>1.4869965974591868</t>
  </si>
  <si>
    <t>-1.009423951945317</t>
  </si>
  <si>
    <t>0.0899738888118715</t>
  </si>
  <si>
    <t>0.42515535364109214</t>
  </si>
  <si>
    <t>1.108425091336103</t>
  </si>
  <si>
    <t>-0.8106284194355017</t>
  </si>
  <si>
    <t>2.173152473109723</t>
  </si>
  <si>
    <t>-0.726311914934969</t>
  </si>
  <si>
    <t>0.5658804731620081</t>
  </si>
  <si>
    <t>-1.5457004601084317</t>
  </si>
  <si>
    <t>1.0134490515041397</t>
  </si>
  <si>
    <t>0.42819832288264575</t>
  </si>
  <si>
    <t>-0.247128591515603</t>
  </si>
  <si>
    <t>0.6773607778844338</t>
  </si>
  <si>
    <t>-3.3440110136665786</t>
  </si>
  <si>
    <t>0.6545210918073887</t>
  </si>
  <si>
    <t>0.6061480669279047</t>
  </si>
  <si>
    <t>-1.353406855491702</t>
  </si>
  <si>
    <t>0.08666718660603011</t>
  </si>
  <si>
    <t>0.6248218165861176</t>
  </si>
  <si>
    <t>-0.05792892574518103</t>
  </si>
  <si>
    <t>-0.5188413894473073</t>
  </si>
  <si>
    <t>-1.8654125253896232</t>
  </si>
  <si>
    <t>-1.1690132361866983</t>
  </si>
  <si>
    <t>1.3266023351824054</t>
  </si>
  <si>
    <t>0.23880191040787432</t>
  </si>
  <si>
    <t>1.2981173408764592</t>
  </si>
  <si>
    <t>0.6565232641734033</t>
  </si>
  <si>
    <t>-0.3813071395754919</t>
  </si>
  <si>
    <t>1.3837653777937817</t>
  </si>
  <si>
    <t>-0.12884601520249894</t>
  </si>
  <si>
    <t>-1.0727799888150036</t>
  </si>
  <si>
    <t>-1.2176461777563343</t>
  </si>
  <si>
    <t>0.5209807507035988</t>
  </si>
  <si>
    <t>-0.06291891323939007</t>
  </si>
  <si>
    <t>-0.03550952088844662</t>
  </si>
  <si>
    <t>1.0191043617734021</t>
  </si>
  <si>
    <t>-1.039071523426049</t>
  </si>
  <si>
    <t>-0.2658303458769975</t>
  </si>
  <si>
    <t>0.45162964712043</t>
  </si>
  <si>
    <t>0.39685291260422456</t>
  </si>
  <si>
    <t>-1.9426823358107752</t>
  </si>
  <si>
    <t>0.3260616417447929</t>
  </si>
  <si>
    <t>-0.9312232602837981</t>
  </si>
  <si>
    <t>0.7274231676463644</t>
  </si>
  <si>
    <t>-1.7210544003412362</t>
  </si>
  <si>
    <t>1.247634104324203</t>
  </si>
  <si>
    <t>-0.3460999121300291</t>
  </si>
  <si>
    <t>-0.49971013615403026</t>
  </si>
  <si>
    <t>-0.6149436826599171</t>
  </si>
  <si>
    <t>0.2650949811670667</t>
  </si>
  <si>
    <t>-0.07208283604583615</t>
  </si>
  <si>
    <t>-0.3606957065803535</t>
  </si>
  <si>
    <t>-0.5950815658921185</t>
  </si>
  <si>
    <t>0.38760989201048285</t>
  </si>
  <si>
    <t>-1.0234369418452625</t>
  </si>
  <si>
    <t>0.3009047097752896</t>
  </si>
  <si>
    <t>0.07970510482463372</t>
  </si>
  <si>
    <t>1.4274504564614765</t>
  </si>
  <si>
    <t>-0.3983797238285173</t>
  </si>
  <si>
    <t>0.9256951429423286</t>
  </si>
  <si>
    <t>0.29919872159078414</t>
  </si>
  <si>
    <t>0.3861909831641851</t>
  </si>
  <si>
    <t>-0.08013675418548541</t>
  </si>
  <si>
    <t>-0.7015646838851967</t>
  </si>
  <si>
    <t>0.4544460058822062</t>
  </si>
  <si>
    <t>0.44705058905829115</t>
  </si>
  <si>
    <t>-0.0868574104818574</t>
  </si>
  <si>
    <t>-1.199897466630762</t>
  </si>
  <si>
    <t>0.6837797512022086</t>
  </si>
  <si>
    <t>-0.17542601218862433</t>
  </si>
  <si>
    <t>-0.40544988085595274</t>
  </si>
  <si>
    <t>-0.011114800052912887</t>
  </si>
  <si>
    <t>-0.38356602136408047</t>
  </si>
  <si>
    <t>0.5268068780687447</t>
  </si>
  <si>
    <t>-0.4608900552092761</t>
  </si>
  <si>
    <t>0.37950683494806914</t>
  </si>
  <si>
    <t>-0.6354406232560699</t>
  </si>
  <si>
    <t>0.6783989324098938</t>
  </si>
  <si>
    <t>-0.6042617925822176</t>
  </si>
  <si>
    <t>0.17638926022350623</t>
  </si>
  <si>
    <t>-0.3791631519362068</t>
  </si>
  <si>
    <t>0.2704129212634265</t>
  </si>
  <si>
    <t>-0.9162142769247407</t>
  </si>
  <si>
    <t>0.1552480465941567</t>
  </si>
  <si>
    <t>0.4030892469008418</t>
  </si>
  <si>
    <t>-0.03134894870038178</t>
  </si>
  <si>
    <t>-0.2620226511363596</t>
  </si>
  <si>
    <t>-0.177462285565494</t>
  </si>
  <si>
    <t>0.21680415486392396</t>
  </si>
  <si>
    <t>-0.3338152562156672</t>
  </si>
  <si>
    <t>-0.8112519425018456</t>
  </si>
  <si>
    <t>-1.7382935913036641</t>
  </si>
  <si>
    <t>0.04540867006891473</t>
  </si>
  <si>
    <t>0.2668242397508051</t>
  </si>
  <si>
    <t>-0.23484051479772775</t>
  </si>
  <si>
    <t>-0.7263555640688082</t>
  </si>
  <si>
    <t>1.0028374347418558</t>
  </si>
  <si>
    <t>-0.7784568404523903</t>
  </si>
  <si>
    <t>0.15602072072385895</t>
  </si>
  <si>
    <t>1.4412699059748033</t>
  </si>
  <si>
    <t>-0.26928639376172137</t>
  </si>
  <si>
    <t>0.4507196022558892</t>
  </si>
  <si>
    <t>0.3249482375049866</t>
  </si>
  <si>
    <t>-1.0208213764021583</t>
  </si>
  <si>
    <t>0.5355939849459521</t>
  </si>
  <si>
    <t>0.2031806673923767</t>
  </si>
  <si>
    <t>-0.5409219651346483</t>
  </si>
  <si>
    <t>0.9395544261882772</t>
  </si>
  <si>
    <t>0.9107821886216579</t>
  </si>
  <si>
    <t>-1.1124066313857937</t>
  </si>
  <si>
    <t>1.3934145054836957</t>
  </si>
  <si>
    <t>-0.42446406036078943</t>
  </si>
  <si>
    <t>1.0303968624156448</t>
  </si>
  <si>
    <t>-0.9435821781704733</t>
  </si>
  <si>
    <t>0.2710059222513211</t>
  </si>
  <si>
    <t>-0.1653165530156615</t>
  </si>
  <si>
    <t>-0.8442096548537459</t>
  </si>
  <si>
    <t>-0.32499847788744196</t>
  </si>
  <si>
    <t>0.7667659122498762</t>
  </si>
  <si>
    <t>0.4950957315361039</t>
  </si>
  <si>
    <t>0.35427182599435164</t>
  </si>
  <si>
    <t>-0.2420319492137851</t>
  </si>
  <si>
    <t>-0.7677271635350095</t>
  </si>
  <si>
    <t>-0.3392975905418449</t>
  </si>
  <si>
    <t>-0.8648792001134623</t>
  </si>
  <si>
    <t>1.1202203420768673</t>
  </si>
  <si>
    <t>0.8622597645529128</t>
  </si>
  <si>
    <t>1.2447000082922133</t>
  </si>
  <si>
    <t>0.3635106935108568</t>
  </si>
  <si>
    <t>-0.7601069474061747</t>
  </si>
  <si>
    <t>-0.40688395732928007</t>
  </si>
  <si>
    <t>-1.6447436165799856</t>
  </si>
  <si>
    <t>-0.6866255428608893</t>
  </si>
  <si>
    <t>1.0813370205811184</t>
  </si>
  <si>
    <t>0.3511837491578051</t>
  </si>
  <si>
    <t>0.031114717360738526</t>
  </si>
  <si>
    <t>2.647350589029698</t>
  </si>
  <si>
    <t>-0.10364083148902814</t>
  </si>
  <si>
    <t>-1.531773178109657</t>
  </si>
  <si>
    <t>0.5115865651120328</t>
  </si>
  <si>
    <t>-0.634943568645129</t>
  </si>
  <si>
    <t>-0.03778647665639142</t>
  </si>
  <si>
    <t>0.3343118062168456</t>
  </si>
  <si>
    <t>-1.2794650339668323</t>
  </si>
  <si>
    <t>1.8621581373701206</t>
  </si>
  <si>
    <t>0.5299783540991457</t>
  </si>
  <si>
    <t>0.43908026093628755</t>
  </si>
  <si>
    <t>0.8367047406408162</t>
  </si>
  <si>
    <t>-0.9253256342920773</t>
  </si>
  <si>
    <t>-0.6912329282975694</t>
  </si>
  <si>
    <t>-1.1010430941271265</t>
  </si>
  <si>
    <t>-0.003996767870613051</t>
  </si>
  <si>
    <t>-0.1899603532080171</t>
  </si>
  <si>
    <t>-0.43029735297689986</t>
  </si>
  <si>
    <t>-0.6849156918879425</t>
  </si>
  <si>
    <t>0.19131736532104027</t>
  </si>
  <si>
    <t>0.17527693586050497</t>
  </si>
  <si>
    <t>-0.29852822802518475</t>
  </si>
  <si>
    <t>-0.8158140023440086</t>
  </si>
  <si>
    <t>0.9322684207571115</t>
  </si>
  <si>
    <t>-1.188301492853255</t>
  </si>
  <si>
    <t>-0.8713718424895719</t>
  </si>
  <si>
    <t>0.6747393938227977</t>
  </si>
  <si>
    <t>1.3691949957756064</t>
  </si>
  <si>
    <t>-0.7477692861588242</t>
  </si>
  <si>
    <t>-0.3486659294516409</t>
  </si>
  <si>
    <t>-1.5322591423374683</t>
  </si>
  <si>
    <t>-0.21816242502178856</t>
  </si>
  <si>
    <t>-0.34971631477118653</t>
  </si>
  <si>
    <t>0.45357502959195545</t>
  </si>
  <si>
    <t>1.6590896656978884</t>
  </si>
  <si>
    <t>-1.633713909705629</t>
  </si>
  <si>
    <t>-0.41675269611608223</t>
  </si>
  <si>
    <t>0.8989550508107501</t>
  </si>
  <si>
    <t>0.21224087588431712</t>
  </si>
  <si>
    <t>-0.5434832149842455</t>
  </si>
  <si>
    <t>0.2749303340587315</t>
  </si>
  <si>
    <t>-0.6748225895214646</t>
  </si>
  <si>
    <t>-0.2421765396147585</t>
  </si>
  <si>
    <t>0.4098420895386057</t>
  </si>
  <si>
    <t>0.009965152447571263</t>
  </si>
  <si>
    <t>0.3499253414313067</t>
  </si>
  <si>
    <t>0.9969991518181863</t>
  </si>
  <si>
    <t>0.23348592623059686</t>
  </si>
  <si>
    <t>-0.9955224000982764</t>
  </si>
  <si>
    <t>-0.7370980040498082</t>
  </si>
  <si>
    <t>0.598977488961575</t>
  </si>
  <si>
    <t>-0.46635967921073745</t>
  </si>
  <si>
    <t>-0.4296555401910272</t>
  </si>
  <si>
    <t>0.2856367309024355</t>
  </si>
  <si>
    <t>-1.2757579098011558</t>
  </si>
  <si>
    <t>0.9623063018933833</t>
  </si>
  <si>
    <t>0.49120425452456123</t>
  </si>
  <si>
    <t>-0.9968845908087166</t>
  </si>
  <si>
    <t>-0.20380040120557427</t>
  </si>
  <si>
    <t>-0.2571738429229956</t>
  </si>
  <si>
    <t>0.18010383570315683</t>
  </si>
  <si>
    <t>-0.1462570932069128</t>
  </si>
  <si>
    <t>0.5941759176556405</t>
  </si>
  <si>
    <t>1.004315266387444</t>
  </si>
  <si>
    <t>-0.1790645981445094</t>
  </si>
  <si>
    <t>-0.5329941438030543</t>
  </si>
  <si>
    <t>1.1684507607894703</t>
  </si>
  <si>
    <t>0.09282218972715832</t>
  </si>
  <si>
    <t>-1.6686813713156163</t>
  </si>
  <si>
    <t>0.902474883668348</t>
  </si>
  <si>
    <t>-0.9285044348774771</t>
  </si>
  <si>
    <t>0.0861198363847693</t>
  </si>
  <si>
    <t>-0.4115353141220834</t>
  </si>
  <si>
    <t>-0.3516662025456936</t>
  </si>
  <si>
    <t>0.003718596767152862</t>
  </si>
  <si>
    <t>0.03826278151166532</t>
  </si>
  <si>
    <t>-0.39861587189407016</t>
  </si>
  <si>
    <t>0.4698612171016454</t>
  </si>
  <si>
    <t>-2.5407180913999388</t>
  </si>
  <si>
    <t>-0.6007749416430948</t>
  </si>
  <si>
    <t>-0.28139611159715827</t>
  </si>
  <si>
    <t>-0.332869469950524</t>
  </si>
  <si>
    <t>0.40875323963005317</t>
  </si>
  <si>
    <t>0.10843532239561479</t>
  </si>
  <si>
    <t>-0.07331991724090352</t>
  </si>
  <si>
    <t>0.10589284413038473</t>
  </si>
  <si>
    <t>-0.44078566608612946</t>
  </si>
  <si>
    <t>-0.281488402781853</t>
  </si>
  <si>
    <t>0.18825454947891887</t>
  </si>
  <si>
    <t>-0.27778383835140114</t>
  </si>
  <si>
    <t>0.9720235504587815</t>
  </si>
  <si>
    <t>-1.0590873073382339</t>
  </si>
  <si>
    <t>-0.9543858023618136</t>
  </si>
  <si>
    <t>-0.3633717434491765</t>
  </si>
  <si>
    <t>-0.5760790950460963</t>
  </si>
  <si>
    <t>0.6596472841597286</t>
  </si>
  <si>
    <t>0.10540177873907555</t>
  </si>
  <si>
    <t>-0.3910441188602553</t>
  </si>
  <si>
    <t>1.3656777606026922</t>
  </si>
  <si>
    <t>-0.8645765875891896</t>
  </si>
  <si>
    <t>0.10834945401585339</t>
  </si>
  <si>
    <t>-0.4021462801845234</t>
  </si>
  <si>
    <t>-0.42493923603148553</t>
  </si>
  <si>
    <t>-1.3336381117937806</t>
  </si>
  <si>
    <t>0.3599498517211757</t>
  </si>
  <si>
    <t>-0.7999959960108466</t>
  </si>
  <si>
    <t>1.5876203281175094</t>
  </si>
  <si>
    <t>0.5733268213328362</t>
  </si>
  <si>
    <t>-0.5215533159374455</t>
  </si>
  <si>
    <t>0.7631017287219471</t>
  </si>
  <si>
    <t>0.6701453920775274</t>
  </si>
  <si>
    <t>0.3597120485594844</t>
  </si>
  <si>
    <t>-0.18483574374004455</t>
  </si>
  <si>
    <t>2.177993125065135</t>
  </si>
  <si>
    <t>-1.3448626460351598</t>
  </si>
  <si>
    <t>-1.0681429027790381</t>
  </si>
  <si>
    <t>-0.18452436525844285</t>
  </si>
  <si>
    <t>-1.1507285974579993</t>
  </si>
  <si>
    <t>-0.5554191391494723</t>
  </si>
  <si>
    <t>-1.0484545632396813</t>
  </si>
  <si>
    <t>-0.21709736500648116</t>
  </si>
  <si>
    <t>1.7422245664397737</t>
  </si>
  <si>
    <t>0.7215352058313201</t>
  </si>
  <si>
    <t>-1.056518478207967</t>
  </si>
  <si>
    <t>0.06127623275312067</t>
  </si>
  <si>
    <t>0.004492951845078384</t>
  </si>
  <si>
    <t>0.2402530897926126</t>
  </si>
  <si>
    <t>1.4055693531599847</t>
  </si>
  <si>
    <t>-0.10706213128480208</t>
  </si>
  <si>
    <t>-0.6808584461596311</t>
  </si>
  <si>
    <t>2.3474694529712328</t>
  </si>
  <si>
    <t>-0.9334608819533828</t>
  </si>
  <si>
    <t>0.656294051350693</t>
  </si>
  <si>
    <t>-0.7129157254515939</t>
  </si>
  <si>
    <t>-0.31329913431688006</t>
  </si>
  <si>
    <t>0.3130133687622155</t>
  </si>
  <si>
    <t>-0.8499961887766789</t>
  </si>
  <si>
    <t>1.9380572719394842</t>
  </si>
  <si>
    <t>-0.002568673004677984</t>
  </si>
  <si>
    <t>1.793669597397466</t>
  </si>
  <si>
    <t>-0.4400441396429735</t>
  </si>
  <si>
    <t>-0.16031276715637385</t>
  </si>
  <si>
    <t>0.6451708756815162</t>
  </si>
  <si>
    <t>-0.08300329636968677</t>
  </si>
  <si>
    <t>0.31617674609036883</t>
  </si>
  <si>
    <t>0.5156015913620173</t>
  </si>
  <si>
    <t>0.07532718016745904</t>
  </si>
  <si>
    <t>-0.3733984644942231</t>
  </si>
  <si>
    <t>-0.31646713815815264</t>
  </si>
  <si>
    <t>-0.7460799216288334</t>
  </si>
  <si>
    <t>-0.7235642717112152</t>
  </si>
  <si>
    <t>-0.6306096071138214</t>
  </si>
  <si>
    <t>1.3234126528861785</t>
  </si>
  <si>
    <t>1.5156840033030485</t>
  </si>
  <si>
    <t>-1.0222520905625563</t>
  </si>
  <si>
    <t>0.1617768704158361</t>
  </si>
  <si>
    <t>0.22572345913997965</t>
  </si>
  <si>
    <t>-0.6337980830358042</t>
  </si>
  <si>
    <t>1.0403869669077273</t>
  </si>
  <si>
    <t>0.5766609837888202</t>
  </si>
  <si>
    <t>0.7760058147726746</t>
  </si>
  <si>
    <t>-0.4789930001274007</t>
  </si>
  <si>
    <t>-0.7882483506610173</t>
  </si>
  <si>
    <t>1.014151142561427</t>
  </si>
  <si>
    <t>0.08309293893551563</t>
  </si>
  <si>
    <t>0.695048081524684</t>
  </si>
  <si>
    <t>0.7769918994443318</t>
  </si>
  <si>
    <t>0.4379889430315492</t>
  </si>
  <si>
    <t>0.8354319323779881</t>
  </si>
  <si>
    <t>0.2872729927588923</t>
  </si>
  <si>
    <t>0.6851631011707365</t>
  </si>
  <si>
    <t>-0.7053557475124606</t>
  </si>
  <si>
    <t>0.04594574289652415</t>
  </si>
  <si>
    <t>1.1439892251400587</t>
  </si>
  <si>
    <t>0.3551660306848526</t>
  </si>
  <si>
    <t>-0.3316873891983144</t>
  </si>
  <si>
    <t>-0.4529922278677493</t>
  </si>
  <si>
    <t>-0.39346924819798107</t>
  </si>
  <si>
    <t>-0.5633603460336787</t>
  </si>
  <si>
    <t>0.5618276455064433</t>
  </si>
  <si>
    <t>0.2819783328942781</t>
  </si>
  <si>
    <t>0.08764213406909992</t>
  </si>
  <si>
    <t>2.491980781016121</t>
  </si>
  <si>
    <t>0.21308556668497808</t>
  </si>
  <si>
    <t>0.2753999054404738</t>
  </si>
  <si>
    <t>0.1836285621792424</t>
  </si>
  <si>
    <t>0.8191136542723165</t>
  </si>
  <si>
    <t>-1.1288945281151304</t>
  </si>
  <si>
    <t>0.32745116545632275</t>
  </si>
  <si>
    <t>-1.0437657255834474</t>
  </si>
  <si>
    <t>-0.7305379376863671</t>
  </si>
  <si>
    <t>-1.5318275574443416</t>
  </si>
  <si>
    <t>-0.8257324643752334</t>
  </si>
  <si>
    <t>0.3467320345960427</t>
  </si>
  <si>
    <t>-0.34865486385630895</t>
  </si>
  <si>
    <t>-0.9107107740588567</t>
  </si>
  <si>
    <t>0.8845550040270533</t>
  </si>
  <si>
    <t>-0.7449979234410823</t>
  </si>
  <si>
    <t>-0.7909192235435947</t>
  </si>
  <si>
    <t>-0.11158467994385074</t>
  </si>
  <si>
    <t>-0.9597304682895454</t>
  </si>
  <si>
    <t>-0.5273938314428089</t>
  </si>
  <si>
    <t>0.10533450836923514</t>
  </si>
  <si>
    <t>-0.31885458129180927</t>
  </si>
  <si>
    <t>0.9307229007271273</t>
  </si>
  <si>
    <t>0.3090226319701068</t>
  </si>
  <si>
    <t>-0.10619090895706475</t>
  </si>
  <si>
    <t>0.8488482133094399</t>
  </si>
  <si>
    <t>-0.8367682140735065</t>
  </si>
  <si>
    <t>-0.1377971762721041</t>
  </si>
  <si>
    <t>0.36650861794703227</t>
  </si>
  <si>
    <t>1.7437772545773025</t>
  </si>
  <si>
    <t>-0.1130147382924459</t>
  </si>
  <si>
    <t>1.0765883241388237</t>
  </si>
  <si>
    <t>-0.7824794607358919</t>
  </si>
  <si>
    <t>0.6501229541088634</t>
  </si>
  <si>
    <t>-0.46266892963777756</t>
  </si>
  <si>
    <t>0.465228855652977</t>
  </si>
  <si>
    <t>-1.801264413168639</t>
  </si>
  <si>
    <t>0.33269700513957307</t>
  </si>
  <si>
    <t>0.4254938681307318</t>
  </si>
  <si>
    <t>0.3842651750911075</t>
  </si>
  <si>
    <t>-0.6134548173770725</t>
  </si>
  <si>
    <t>-1.3026303150592478</t>
  </si>
  <si>
    <t>-1.8320008030623172</t>
  </si>
  <si>
    <t>-0.38116648583409063</t>
  </si>
  <si>
    <t>-0.16957738772115163</t>
  </si>
  <si>
    <t>-0.5885294702994304</t>
  </si>
  <si>
    <t>-0.5486987453858162</t>
  </si>
  <si>
    <t>-0.5841273157950302</t>
  </si>
  <si>
    <t>-1.5925383020887036</t>
  </si>
  <si>
    <t>0.9712585882477377</t>
  </si>
  <si>
    <t>0.2970661612557376</t>
  </si>
  <si>
    <t>0.20610668730646872</t>
  </si>
  <si>
    <t>2.161875580886509</t>
  </si>
  <si>
    <t>-0.7102112640941077</t>
  </si>
  <si>
    <t>1.9728718375532321</t>
  </si>
  <si>
    <t>0.9826951019541191</t>
  </si>
  <si>
    <t>0.7589019366390596</t>
  </si>
  <si>
    <t>0.11110297591500115</t>
  </si>
  <si>
    <t>0.14626390766221742</t>
  </si>
  <si>
    <t>0.5659946488953728</t>
  </si>
  <si>
    <t>0.15683080160929158</t>
  </si>
  <si>
    <t>0.5627384670938591</t>
  </si>
  <si>
    <t>-0.01645469749571038</t>
  </si>
  <si>
    <t>-0.3762568408672819</t>
  </si>
  <si>
    <t>0.10931442637377704</t>
  </si>
  <si>
    <t>-0.19575557858472692</t>
  </si>
  <si>
    <t>0.7182288681007287</t>
  </si>
  <si>
    <t>-1.3166874696866513</t>
  </si>
  <si>
    <t>1.8893121742992762</t>
  </si>
  <si>
    <t>1.770919453655366</t>
  </si>
  <si>
    <t>-1.4352818445948108</t>
  </si>
  <si>
    <t>-0.0258085845147446</t>
  </si>
  <si>
    <t>-0.9236845049124355</t>
  </si>
  <si>
    <t>0.8188858025287927</t>
  </si>
  <si>
    <t>-0.34834429151879304</t>
  </si>
  <si>
    <t>-0.8366949680089123</t>
  </si>
  <si>
    <t>1.575406778724074</t>
  </si>
  <si>
    <t>0.4031180393859531</t>
  </si>
  <si>
    <t>-0.5699543356538861</t>
  </si>
  <si>
    <t>-0.8568314710206145</t>
  </si>
  <si>
    <t>-1.1957172697843659</t>
  </si>
  <si>
    <t>-1.364690031004224</t>
  </si>
  <si>
    <t>1.3868502877505533</t>
  </si>
  <si>
    <t>-0.7843804696194089</t>
  </si>
  <si>
    <t>-0.9783582707715156</t>
  </si>
  <si>
    <t>-0.0335984579635395</t>
  </si>
  <si>
    <t>-0.3303022313685198</t>
  </si>
  <si>
    <t>1.3049571808250715</t>
  </si>
  <si>
    <t>-0.36185956834987404</t>
  </si>
  <si>
    <t>-0.8778761429382613</t>
  </si>
  <si>
    <t>0.6133475090892708</t>
  </si>
  <si>
    <t>0.5629859929535773</t>
  </si>
  <si>
    <t>-1.9297624315331063</t>
  </si>
  <si>
    <t>0.3828526223807177</t>
  </si>
  <si>
    <t>-0.8496218045155467</t>
  </si>
  <si>
    <t>-1.027969217024968</t>
  </si>
  <si>
    <t>-0.10944584174123366</t>
  </si>
  <si>
    <t>-1.074336421744645</t>
  </si>
  <si>
    <t>1.1189431805630483</t>
  </si>
  <si>
    <t>-0.24958530012995672</t>
  </si>
  <si>
    <t>0.3300629442378292</t>
  </si>
  <si>
    <t>-0.14094429221652688</t>
  </si>
  <si>
    <t>0.15849305777131953</t>
  </si>
  <si>
    <t>1.113628752236693</t>
  </si>
  <si>
    <t>0.4315330820990346</t>
  </si>
  <si>
    <t>0.4695062927627362</t>
  </si>
  <si>
    <t>0.6388548518367451</t>
  </si>
  <si>
    <t>-0.11272629917675119</t>
  </si>
  <si>
    <t>-0.15899430568926293</t>
  </si>
  <si>
    <t>1.778510126285837</t>
  </si>
  <si>
    <t>1.4183488194811285</t>
  </si>
  <si>
    <t>0.1653429727728829</t>
  </si>
  <si>
    <t>0.8923550233049039</t>
  </si>
  <si>
    <t>0.6044336726139429</t>
  </si>
  <si>
    <t>-0.9622844914859102</t>
  </si>
  <si>
    <t>-0.07794569746273007</t>
  </si>
  <si>
    <t>-1.5049872217271056</t>
  </si>
  <si>
    <t>1.0017090046838955</t>
  </si>
  <si>
    <t>-0.02318629723921909</t>
  </si>
  <si>
    <t>0.5311467291596639</t>
  </si>
  <si>
    <t>-1.2458053253359973</t>
  </si>
  <si>
    <t>0.3084142212201566</t>
  </si>
  <si>
    <t>-1.1561220303303261</t>
  </si>
  <si>
    <t>-0.009514512991565386</t>
  </si>
  <si>
    <t>0.17079206465057406</t>
  </si>
  <si>
    <t>0.4318256864907545</t>
  </si>
  <si>
    <t>0.3818732704866225</t>
  </si>
  <si>
    <t>0.8909729276411698</t>
  </si>
  <si>
    <t>-0.46300821086796734</t>
  </si>
  <si>
    <t>0.4292989826101908</t>
  </si>
  <si>
    <t>0.06706976308353425</t>
  </si>
  <si>
    <t>0.3754909792032931</t>
  </si>
  <si>
    <t>-0.7916580349463191</t>
  </si>
  <si>
    <t>-1.0309978969110523</t>
  </si>
  <si>
    <t>0.8273665589274825</t>
  </si>
  <si>
    <t>0.819855852464304</t>
  </si>
  <si>
    <t>-0.6061524773877115</t>
  </si>
  <si>
    <t>0.9610969822461407</t>
  </si>
  <si>
    <t>0.630384288497087</t>
  </si>
  <si>
    <t>1.8437031704665765</t>
  </si>
  <si>
    <t>-0.9965408860671219</t>
  </si>
  <si>
    <t>1.007537105347773</t>
  </si>
  <si>
    <t>1.521436679250104</t>
  </si>
  <si>
    <t>0.9531624860593427</t>
  </si>
  <si>
    <t>0.4935557342020323</t>
  </si>
  <si>
    <t>0.10787649452170618</t>
  </si>
  <si>
    <t>-0.454132103193809</t>
  </si>
  <si>
    <t>-1.25631430180019</t>
  </si>
  <si>
    <t>-0.5547247138539257</t>
  </si>
  <si>
    <t>0.5457175545697025</t>
  </si>
  <si>
    <t>-0.6310052643574985</t>
  </si>
  <si>
    <t>-0.34036049614071723</t>
  </si>
  <si>
    <t>0.23203196355780645</t>
  </si>
  <si>
    <t>-0.13019338913648754</t>
  </si>
  <si>
    <t>-1.2414414052190328</t>
  </si>
  <si>
    <t>1.0430432571284807</t>
  </si>
  <si>
    <t>0.24689749192812693</t>
  </si>
  <si>
    <t>1.0423635022498365</t>
  </si>
  <si>
    <t>0.6399346661029905</t>
  </si>
  <si>
    <t>1.56754169389972</t>
  </si>
  <si>
    <t>-0.09627099763098866</t>
  </si>
  <si>
    <t>1.9002020154204033</t>
  </si>
  <si>
    <t>1.450815693640598</t>
  </si>
  <si>
    <t>-0.5388124676840343</t>
  </si>
  <si>
    <t>1.072818417024725</t>
  </si>
  <si>
    <t>0.11517528162046901</t>
  </si>
  <si>
    <t>0.7369738983498708</t>
  </si>
  <si>
    <t>-0.2146283327708567</t>
  </si>
  <si>
    <t>-1.3604194190784291</t>
  </si>
  <si>
    <t>0.651652590630981</t>
  </si>
  <si>
    <t>0.8559974417722153</t>
  </si>
  <si>
    <t>0.018326730162803465</t>
  </si>
  <si>
    <t>-0.6120337079902535</t>
  </si>
  <si>
    <t>1.0461617792932485</t>
  </si>
  <si>
    <t>0.8107885358721362</t>
  </si>
  <si>
    <t>0.455939686675936</t>
  </si>
  <si>
    <t>0.10503914532347505</t>
  </si>
  <si>
    <t>-0.5703452065878475</t>
  </si>
  <si>
    <t>0.22958180256863456</t>
  </si>
  <si>
    <t>0.13475644133020342</t>
  </si>
  <si>
    <t>-0.5283943046922593</t>
  </si>
  <si>
    <t>1.470843432770105</t>
  </si>
  <si>
    <t>1.3205919355685583</t>
  </si>
  <si>
    <t>0.1994412289454189</t>
  </si>
  <si>
    <t>-0.1316182531193921</t>
  </si>
  <si>
    <t>2.0427591092009445</t>
  </si>
  <si>
    <t>2.0563869256483898</t>
  </si>
  <si>
    <t>0.09894665444795607</t>
  </si>
  <si>
    <t>1.563211683254453</t>
  </si>
  <si>
    <t>-1.5177103142879496</t>
  </si>
  <si>
    <t>1.5563530057594943</t>
  </si>
  <si>
    <t>0.24936232573984304</t>
  </si>
  <si>
    <t>-1.1382504385575452</t>
  </si>
  <si>
    <t>0.41521925345849436</t>
  </si>
  <si>
    <t>0.047031116794860627</t>
  </si>
  <si>
    <t>-0.6768318539611513</t>
  </si>
  <si>
    <t>0.37514861942341016</t>
  </si>
  <si>
    <t>0.8771194385347225</t>
  </si>
  <si>
    <t>0.11856509577079724</t>
  </si>
  <si>
    <t>-1.5578677303285005</t>
  </si>
  <si>
    <t>-0.22234063053189443</t>
  </si>
  <si>
    <t>-0.11369343690543993</t>
  </si>
  <si>
    <t>1.0607659090086725</t>
  </si>
  <si>
    <t>-0.9309133293847137</t>
  </si>
  <si>
    <t>-1.5421955127581908</t>
  </si>
  <si>
    <t>1.9751620634062086</t>
  </si>
  <si>
    <t>1.5568292191987425</t>
  </si>
  <si>
    <t>0.9359102386127656</t>
  </si>
  <si>
    <t>-0.27336204017459836</t>
  </si>
  <si>
    <t>0.041028649829385824</t>
  </si>
  <si>
    <t>-1.0418506151736024</t>
  </si>
  <si>
    <t>0.00830669747091672</t>
  </si>
  <si>
    <t>0.9422176793466042</t>
  </si>
  <si>
    <t>0.9327286603275317</t>
  </si>
  <si>
    <t>0.6740014220610209</t>
  </si>
  <si>
    <t>0.586299991731802</t>
  </si>
  <si>
    <t>-0.12163838240031566</t>
  </si>
  <si>
    <t>-0.19351385228206144</t>
  </si>
  <si>
    <t>-1.2200939308188288</t>
  </si>
  <si>
    <t>-1.0355671406418978</t>
  </si>
  <si>
    <t>0.5252835197479391</t>
  </si>
  <si>
    <t>-2.8943069185237995</t>
  </si>
  <si>
    <t>0.2516856667054783</t>
  </si>
  <si>
    <t>-0.207054000288175</t>
  </si>
  <si>
    <t>-1.4721677616513054</t>
  </si>
  <si>
    <t>1.3588628075056375</t>
  </si>
  <si>
    <t>-1.2812116628205414</t>
  </si>
  <si>
    <t>2.6742710207235354</t>
  </si>
  <si>
    <t>1.0163527192431596</t>
  </si>
  <si>
    <t>1.6955236719803628</t>
  </si>
  <si>
    <t>-1.3722512854204763</t>
  </si>
  <si>
    <t>1.002857579620208</t>
  </si>
  <si>
    <t>-0.9148367141107105</t>
  </si>
  <si>
    <t>-0.19425024927822146</t>
  </si>
  <si>
    <t>-1.5534590250047098</t>
  </si>
  <si>
    <t>0.1420382870222766</t>
  </si>
  <si>
    <t>-0.2672436611853512</t>
  </si>
  <si>
    <t>-0.61107765570984</t>
  </si>
  <si>
    <t>-0.748889500617702</t>
  </si>
  <si>
    <t>-0.6288888581580172</t>
  </si>
  <si>
    <t>0.19941598363121635</t>
  </si>
  <si>
    <t>0.5767981005782443</t>
  </si>
  <si>
    <t>-0.1629540110880083</t>
  </si>
  <si>
    <t>1.8848097661759304</t>
  </si>
  <si>
    <t>0.8958091457416443</t>
  </si>
  <si>
    <t>-0.6823890688236738</t>
  </si>
  <si>
    <t>-0.8564154552470854</t>
  </si>
  <si>
    <t>-1.289298676649478</t>
  </si>
  <si>
    <t>0.7093346027955801</t>
  </si>
  <si>
    <t>-0.10690094868122632</t>
  </si>
  <si>
    <t>0.34374834399154147</t>
  </si>
  <si>
    <t>0.5356312761078098</t>
  </si>
  <si>
    <t>-0.5829711830768521</t>
  </si>
  <si>
    <t>-0.24977819228025122</t>
  </si>
  <si>
    <t>0.23921855915977341</t>
  </si>
  <si>
    <t>1.053435664510125</t>
  </si>
  <si>
    <t>0.3197521569843791</t>
  </si>
  <si>
    <t>-0.9021740531881342</t>
  </si>
  <si>
    <t>0.6265070664496878</t>
  </si>
  <si>
    <t>-1.4414786964734234</t>
  </si>
  <si>
    <t>-0.8036641056842128</t>
  </si>
  <si>
    <t>0.3382573534663205</t>
  </si>
  <si>
    <t>0.7812918384475538</t>
  </si>
  <si>
    <t>1.314324364149248</t>
  </si>
  <si>
    <t>0.05938501106294558</t>
  </si>
  <si>
    <t>1.0360087547796464</t>
  </si>
  <si>
    <t>0.08454753395120941</t>
  </si>
  <si>
    <t>1.2904288185442592</t>
  </si>
  <si>
    <t>0.5305637871344885</t>
  </si>
  <si>
    <t>0.8881852854797202</t>
  </si>
  <si>
    <t>-0.7921752046987873</t>
  </si>
  <si>
    <t>-0.754489501296169</t>
  </si>
  <si>
    <t>-0.3421597576499728</t>
  </si>
  <si>
    <t>1.4038411372375692</t>
  </si>
  <si>
    <t>-0.4701885225670724</t>
  </si>
  <si>
    <t>0.5332641746795961</t>
  </si>
  <si>
    <t>-0.8788088416731455</t>
  </si>
  <si>
    <t>0.8804191024772312</t>
  </si>
  <si>
    <t>2.42095109909331</t>
  </si>
  <si>
    <t>1.1688200117907692</t>
  </si>
  <si>
    <t>0.23808063821766073</t>
  </si>
  <si>
    <t>-0.30093096468417124</t>
  </si>
  <si>
    <t>0.13561865999381964</t>
  </si>
  <si>
    <t>0.981390203708764</t>
  </si>
  <si>
    <t>-0.10725493848863829</t>
  </si>
  <si>
    <t>-0.4258924539472752</t>
  </si>
  <si>
    <t>1.6701740484362357</t>
  </si>
  <si>
    <t>0.7468974489008902</t>
  </si>
  <si>
    <t>0.6617906026093296</t>
  </si>
  <si>
    <t>0.9021026055371285</t>
  </si>
  <si>
    <t>0.4892330294170468</t>
  </si>
  <si>
    <t>0.7438662060780884</t>
  </si>
  <si>
    <t>-0.7680997358341857</t>
  </si>
  <si>
    <t>0.2549361837263741</t>
  </si>
  <si>
    <t>0.7755114766394269</t>
  </si>
  <si>
    <t>0.23558986930259138</t>
  </si>
  <si>
    <t>-1.6214077301188559</t>
  </si>
  <si>
    <t>0.97634890818219</t>
  </si>
  <si>
    <t>-0.18369724185960773</t>
  </si>
  <si>
    <t>-0.22425470484553872</t>
  </si>
  <si>
    <t>-0.7304744253569874</t>
  </si>
  <si>
    <t>0.8509190269966888</t>
  </si>
  <si>
    <t>1.5228238622646793</t>
  </si>
  <si>
    <t>0.0591051575366828</t>
  </si>
  <si>
    <t>0.39343980777580206</t>
  </si>
  <si>
    <t>0.29991296665030925</t>
  </si>
  <si>
    <t>1.0876367394443562</t>
  </si>
  <si>
    <t>0.6124653800706709</t>
  </si>
  <si>
    <t>0.11606087533570456</t>
  </si>
  <si>
    <t>-0.8701276811988655</t>
  </si>
  <si>
    <t>-0.2834935465200417</t>
  </si>
  <si>
    <t>0.1210548510152634</t>
  </si>
  <si>
    <t>-0.13004935772979964</t>
  </si>
  <si>
    <t>-0.049870824206509005</t>
  </si>
  <si>
    <t>0.1182078517013554</t>
  </si>
  <si>
    <t>-2.8296148530493164</t>
  </si>
  <si>
    <t>0.06807993760285488</t>
  </si>
  <si>
    <t>0.3105173801311534</t>
  </si>
  <si>
    <t>0.23147203868031196</t>
  </si>
  <si>
    <t>-0.35821634979242956</t>
  </si>
  <si>
    <t>-0.2754104311883558</t>
  </si>
  <si>
    <t>-0.29394077076226505</t>
  </si>
  <si>
    <t>-0.5527323238245855</t>
  </si>
  <si>
    <t>0.6399330973016712</t>
  </si>
  <si>
    <t>-1.0189655548051126</t>
  </si>
  <si>
    <t>-1.1259651981137722</t>
  </si>
  <si>
    <t>-0.6050321003742476</t>
  </si>
  <si>
    <t>-0.5218281683329563</t>
  </si>
  <si>
    <t>0.6751192244944105</t>
  </si>
  <si>
    <t>1.2258319750286966</t>
  </si>
  <si>
    <t>1.2433934516274354</t>
  </si>
  <si>
    <t>1.6731850115632179</t>
  </si>
  <si>
    <t>0.011013109465240326</t>
  </si>
  <si>
    <t>-1.374838172462688</t>
  </si>
  <si>
    <t>-0.7480258262738487</t>
  </si>
  <si>
    <t>0.10852017512017073</t>
  </si>
  <si>
    <t>-0.7207208176193836</t>
  </si>
  <si>
    <t>-0.5540962440218375</t>
  </si>
  <si>
    <t>-0.8868290786003429</t>
  </si>
  <si>
    <t>-0.04237136679908372</t>
  </si>
  <si>
    <t>0.42077786303745623</t>
  </si>
  <si>
    <t>0.3325516597663505</t>
  </si>
  <si>
    <t>0.2375354684909997</t>
  </si>
  <si>
    <t>-0.6120311346974155</t>
  </si>
  <si>
    <t>0.47700587313772336</t>
  </si>
  <si>
    <t>1.8849747641339365</t>
  </si>
  <si>
    <t>0.8332658329838486</t>
  </si>
  <si>
    <t>0.08723428321539535</t>
  </si>
  <si>
    <t>0.12998105041091135</t>
  </si>
  <si>
    <t>-0.9457952515565448</t>
  </si>
  <si>
    <t>-0.25154872732399125</t>
  </si>
  <si>
    <t>0.15494977804286325</t>
  </si>
  <si>
    <t>-0.8549312210810075</t>
  </si>
  <si>
    <t>-0.2977371522398054</t>
  </si>
  <si>
    <t>-0.735340478095429</t>
  </si>
  <si>
    <t>-0.33681587505085925</t>
  </si>
  <si>
    <t>0.6623297635160926</t>
  </si>
  <si>
    <t>0.4081173290275443</t>
  </si>
  <si>
    <t>0.4635540977796944</t>
  </si>
  <si>
    <t>-0.22206865560582645</t>
  </si>
  <si>
    <t>-0.7811833794588942</t>
  </si>
  <si>
    <t>-0.016478817633762365</t>
  </si>
  <si>
    <t>0.36720634091879406</t>
  </si>
  <si>
    <t>-0.7562090653641566</t>
  </si>
  <si>
    <t>-0.5763838034565625</t>
  </si>
  <si>
    <t>0.9134934142609827</t>
  </si>
  <si>
    <t>1.4622272672163625</t>
  </si>
  <si>
    <t>-0.6300241133143495</t>
  </si>
  <si>
    <t>-0.11561790540208787</t>
  </si>
  <si>
    <t>0.5792998209985945</t>
  </si>
  <si>
    <t>-0.475294441250461</t>
  </si>
  <si>
    <t>0.618803675232747</t>
  </si>
  <si>
    <t>0.45657435905998917</t>
  </si>
  <si>
    <t>-0.21342041500323236</t>
  </si>
  <si>
    <t>-0.7491862313057582</t>
  </si>
  <si>
    <t>0.06787093643558907</t>
  </si>
  <si>
    <t>1.5114125414543285</t>
  </si>
  <si>
    <t>0.5484675054276349</t>
  </si>
  <si>
    <t>-0.2712356565326895</t>
  </si>
  <si>
    <t>0.6091565406839143</t>
  </si>
  <si>
    <t>1.0451563109691953</t>
  </si>
  <si>
    <t>1.220725363092055</t>
  </si>
  <si>
    <t>-1.3615135962676508</t>
  </si>
  <si>
    <t>-0.17859369218437351</t>
  </si>
  <si>
    <t>-0.6137221139524489</t>
  </si>
  <si>
    <t>1.21877323811921</t>
  </si>
  <si>
    <t>-0.16543303017188457</t>
  </si>
  <si>
    <t>-0.08065215736863472</t>
  </si>
  <si>
    <t>1.0299175374930385</t>
  </si>
  <si>
    <t>0.06820122361282256</t>
  </si>
  <si>
    <t>0.26573911430647934</t>
  </si>
  <si>
    <t>-0.8510196197116667</t>
  </si>
  <si>
    <t>-0.3692811184006015</t>
  </si>
  <si>
    <t>-0.46831023725207366</t>
  </si>
  <si>
    <t>-0.2937337399213523</t>
  </si>
  <si>
    <t>0.459948630933683</t>
  </si>
  <si>
    <t>-0.07155905054729259</t>
  </si>
  <si>
    <t>0.030567644233386645</t>
  </si>
  <si>
    <t>0.08303773965294213</t>
  </si>
  <si>
    <t>-0.6622309119174898</t>
  </si>
  <si>
    <t>1.3563137176424038</t>
  </si>
  <si>
    <t>0.7146352803888237</t>
  </si>
  <si>
    <t>0.10525005407161289</t>
  </si>
  <si>
    <t>0.6355638091193636</t>
  </si>
  <si>
    <t>-3.253290023364772</t>
  </si>
  <si>
    <t>0.4115754483138818</t>
  </si>
  <si>
    <t>0.47128477983978223</t>
  </si>
  <si>
    <t>-1.0293642007958317</t>
  </si>
  <si>
    <t>0.01346316549855962</t>
  </si>
  <si>
    <t>-1.0538342433131571</t>
  </si>
  <si>
    <t>0.22555771449569395</t>
  </si>
  <si>
    <t>-0.6691187058780735</t>
  </si>
  <si>
    <t>-0.37614817049525623</t>
  </si>
  <si>
    <t>0.8243958452360896</t>
  </si>
  <si>
    <t>-0.2527601075966439</t>
  </si>
  <si>
    <t>-1.2620120885711568</t>
  </si>
  <si>
    <t>0.60739366587746</t>
  </si>
  <si>
    <t>0.18321251025740215</t>
  </si>
  <si>
    <t>0.16394610967388856</t>
  </si>
  <si>
    <t>-1.2506276730253072</t>
  </si>
  <si>
    <t>1.0317819649377586</t>
  </si>
  <si>
    <t>-1.043601047823631</t>
  </si>
  <si>
    <t>-0.2032081677013976</t>
  </si>
  <si>
    <t>0.2272566675376267</t>
  </si>
  <si>
    <t>1.5678479412693191</t>
  </si>
  <si>
    <t>0.5132005885084074</t>
  </si>
  <si>
    <t>0.3428807217500441</t>
  </si>
  <si>
    <t>-0.3046960230213138</t>
  </si>
  <si>
    <t>0.7236548691908574</t>
  </si>
  <si>
    <t>-0.008475080529001458</t>
  </si>
  <si>
    <t>0.8001332841625818</t>
  </si>
  <si>
    <t>-0.340043961681111</t>
  </si>
  <si>
    <t>0.7746350650974524</t>
  </si>
  <si>
    <t>0.2851659453052007</t>
  </si>
  <si>
    <t>0.3436186630722188</t>
  </si>
  <si>
    <t>1.7264812320889262</t>
  </si>
  <si>
    <t>-0.40616744626907</t>
  </si>
  <si>
    <t>0.375519104579239</t>
  </si>
  <si>
    <t>1.258276995763289</t>
  </si>
  <si>
    <t>0.394088558742169</t>
  </si>
  <si>
    <t>-0.5273773599389495</t>
  </si>
  <si>
    <t>1.2081612655140264</t>
  </si>
  <si>
    <t>-1.003841269129846</t>
  </si>
  <si>
    <t>-0.017156802674812687</t>
  </si>
  <si>
    <t>0.49296388979610395</t>
  </si>
  <si>
    <t>-0.11561765331388746</t>
  </si>
  <si>
    <t>1.9306076683956594</t>
  </si>
  <si>
    <t>0.40554258028572565</t>
  </si>
  <si>
    <t>0.5600925895425513</t>
  </si>
  <si>
    <t>-0.33097814405367193</t>
  </si>
  <si>
    <t>0.9576557180056111</t>
  </si>
  <si>
    <t>-0.06434556019655965</t>
  </si>
  <si>
    <t>0.7346732325263124</t>
  </si>
  <si>
    <t>-0.5736681765799859</t>
  </si>
  <si>
    <t>-0.6522371277333374</t>
  </si>
  <si>
    <t>-0.027049009625995223</t>
  </si>
  <si>
    <t>-2.333617951295749</t>
  </si>
  <si>
    <t>0.3288004045383172</t>
  </si>
  <si>
    <t>-0.8161841714319539</t>
  </si>
  <si>
    <t>-0.11584797182668338</t>
  </si>
  <si>
    <t>-1.0532374076681754</t>
  </si>
  <si>
    <t>0.03453392843800107</t>
  </si>
  <si>
    <t>-0.2960567549833643</t>
  </si>
  <si>
    <t>-0.5082748434220807</t>
  </si>
  <si>
    <t>-0.7264572348793578</t>
  </si>
  <si>
    <t>-0.03871339557949879</t>
  </si>
  <si>
    <t>0.3213060150985657</t>
  </si>
  <si>
    <t>-0.5064606978122425</t>
  </si>
  <si>
    <t>0.12895542766331772</t>
  </si>
  <si>
    <t>0.6753966691019746</t>
  </si>
  <si>
    <t>0.37661353351550075</t>
  </si>
  <si>
    <t>0.9291500524745027</t>
  </si>
  <si>
    <t>-0.7135967551295982</t>
  </si>
  <si>
    <t>0.084504577300263</t>
  </si>
  <si>
    <t>1.4764387974459223</t>
  </si>
  <si>
    <t>-0.3591357575317461</t>
  </si>
  <si>
    <t>-0.6830864932922314</t>
  </si>
  <si>
    <t>0.11269407840816953</t>
  </si>
  <si>
    <t>0.38643635019384437</t>
  </si>
  <si>
    <t>-0.48429919743146965</t>
  </si>
  <si>
    <t>-0.6361378806745402</t>
  </si>
  <si>
    <t>0.5183437380865186</t>
  </si>
  <si>
    <t>0.21650275150322582</t>
  </si>
  <si>
    <t>-1.4657974958998956</t>
  </si>
  <si>
    <t>0.10129740032476395</t>
  </si>
  <si>
    <t>0.7619171293062554</t>
  </si>
  <si>
    <t>-0.8400100156713461</t>
  </si>
  <si>
    <t>1.1496728591520886</t>
  </si>
  <si>
    <t>0.055047409640395416</t>
  </si>
  <si>
    <t>-0.7938564130826363</t>
  </si>
  <si>
    <t>0.6953474526862848</t>
  </si>
  <si>
    <t>-0.03669235563489371</t>
  </si>
  <si>
    <t>-0.4399418556833032</t>
  </si>
  <si>
    <t>0.36170019955253707</t>
  </si>
  <si>
    <t>0.07273938825794787</t>
  </si>
  <si>
    <t>-0.6078207314854038</t>
  </si>
  <si>
    <t>-1.0030411661608436</t>
  </si>
  <si>
    <t>1.9453155391122143</t>
  </si>
  <si>
    <t>-1.465975631160057</t>
  </si>
  <si>
    <t>0.11042102752186463</t>
  </si>
  <si>
    <t>0.7275179600662907</t>
  </si>
  <si>
    <t>0.7311285251760109</t>
  </si>
  <si>
    <t>-0.6443522979806173</t>
  </si>
  <si>
    <t>-0.3453569597697979</t>
  </si>
  <si>
    <t>0.3232567892251083</t>
  </si>
  <si>
    <t>-0.7693567534065672</t>
  </si>
  <si>
    <t>-0.03413964899560556</t>
  </si>
  <si>
    <t>-0.34701545854584487</t>
  </si>
  <si>
    <t>0.9625508180502426</t>
  </si>
  <si>
    <t>-0.9364998556249831</t>
  </si>
  <si>
    <t>-0.1384112458521465</t>
  </si>
  <si>
    <t>2.2021717773033775</t>
  </si>
  <si>
    <t>0.30053188317761137</t>
  </si>
  <si>
    <t>-0.5776593766243859</t>
  </si>
  <si>
    <t>-0.20008865244912794</t>
  </si>
  <si>
    <t>0.6197205713284439</t>
  </si>
  <si>
    <t>-0.15858139451294248</t>
  </si>
  <si>
    <t>0.29796190388674526</t>
  </si>
  <si>
    <t>-0.4590893265208955</t>
  </si>
  <si>
    <t>0.34226649847366764</t>
  </si>
  <si>
    <t>0.23394630393653085</t>
  </si>
  <si>
    <t>-1.6597872646956595</t>
  </si>
  <si>
    <t>-0.8036245692552603</t>
  </si>
  <si>
    <t>1.1164719742468179</t>
  </si>
  <si>
    <t>0.2743322222891559</t>
  </si>
  <si>
    <t>1.41090241388079</t>
  </si>
  <si>
    <t>0.051181414764712774</t>
  </si>
  <si>
    <t>0.6776436723925032</t>
  </si>
  <si>
    <t>0.33074986474174634</t>
  </si>
  <si>
    <t>0.6062082049392952</t>
  </si>
  <si>
    <t>-0.14457385448238974</t>
  </si>
  <si>
    <t>0.4785034921463347</t>
  </si>
  <si>
    <t>0.211862080768131</t>
  </si>
  <si>
    <t>0.10887415597772883</t>
  </si>
  <si>
    <t>-0.6219693426692677</t>
  </si>
  <si>
    <t>0.5135521846468606</t>
  </si>
  <si>
    <t>0.07323985953665883</t>
  </si>
  <si>
    <t>0.27607788763215785</t>
  </si>
  <si>
    <t>-0.35086775608795034</t>
  </si>
  <si>
    <t>-0.763847497399227</t>
  </si>
  <si>
    <t>0.28901159019863004</t>
  </si>
  <si>
    <t>0.6692423679951608</t>
  </si>
  <si>
    <t>-0.7793683012215242</t>
  </si>
  <si>
    <t>-0.7357412895217392</t>
  </si>
  <si>
    <t>0.8605659889353646</t>
  </si>
  <si>
    <t>0.056128996581139914</t>
  </si>
  <si>
    <t>-0.49828671445549755</t>
  </si>
  <si>
    <t>-0.48816445745088693</t>
  </si>
  <si>
    <t>0.24392551142088725</t>
  </si>
  <si>
    <t>-0.14001015783757503</t>
  </si>
  <si>
    <t>0.268821799150738</t>
  </si>
  <si>
    <t>2.0364347337392887</t>
  </si>
  <si>
    <t>0.07547222141405983</t>
  </si>
  <si>
    <t>-0.13464670907453705</t>
  </si>
  <si>
    <t>-0.34387306417898655</t>
  </si>
  <si>
    <t>0.3692696343415716</t>
  </si>
  <si>
    <t>-0.5853930556165736</t>
  </si>
  <si>
    <t>0.9426528872823007</t>
  </si>
  <si>
    <t>0.8208335330742704</t>
  </si>
  <si>
    <t>0.4746062459066749</t>
  </si>
  <si>
    <t>-0.8326528555823814</t>
  </si>
  <si>
    <t>-0.34099873761023175</t>
  </si>
  <si>
    <t>-0.8698831071164438</t>
  </si>
  <si>
    <t>-0.12255674924747341</t>
  </si>
  <si>
    <t>-0.13462929933360632</t>
  </si>
  <si>
    <t>0.10396271646990483</t>
  </si>
  <si>
    <t>-0.7033832111633677</t>
  </si>
  <si>
    <t>-0.1423184822778235</t>
  </si>
  <si>
    <t>-0.4249789182704901</t>
  </si>
  <si>
    <t>-0.11150497825576984</t>
  </si>
  <si>
    <t>-0.1166451880025291</t>
  </si>
  <si>
    <t>-0.5100003503257033</t>
  </si>
  <si>
    <t>-0.1660384188131524</t>
  </si>
  <si>
    <t>1.4959522959665592</t>
  </si>
  <si>
    <t>-0.6041519173724538</t>
  </si>
  <si>
    <t>-0.057726169737934284</t>
  </si>
  <si>
    <t>-1.0475428357501557</t>
  </si>
  <si>
    <t>-0.7513398364441028</t>
  </si>
  <si>
    <t>0.19722963576708522</t>
  </si>
  <si>
    <t>0.23594803241781565</t>
  </si>
  <si>
    <t>-0.33801433230081324</t>
  </si>
  <si>
    <t>-0.2736549057792504</t>
  </si>
  <si>
    <t>0.06389169441801079</t>
  </si>
  <si>
    <t>-0.022039275511306404</t>
  </si>
  <si>
    <t>1.5713888505358773</t>
  </si>
  <si>
    <t>-1.1707536743714893</t>
  </si>
  <si>
    <t>0.13441438144232076</t>
  </si>
  <si>
    <t>-0.07682247424305871</t>
  </si>
  <si>
    <t>0.5329046211820149</t>
  </si>
  <si>
    <t>-0.14263404205803135</t>
  </si>
  <si>
    <t>-1.2756536081662722</t>
  </si>
  <si>
    <t>0.11901357085900485</t>
  </si>
  <si>
    <t>-0.23048291058858603</t>
  </si>
  <si>
    <t>-0.812066530044689</t>
  </si>
  <si>
    <t>-1.1885427963927104</t>
  </si>
  <si>
    <t>0.4140809726759367</t>
  </si>
  <si>
    <t>0.2639964931799109</t>
  </si>
  <si>
    <t>0.618728789609051</t>
  </si>
  <si>
    <t>0.6790515562042277</t>
  </si>
  <si>
    <t>0.3344216248479087</t>
  </si>
  <si>
    <t>0.24371357420444748</t>
  </si>
  <si>
    <t>0.6681492308100491</t>
  </si>
  <si>
    <t>0.04566408427799359</t>
  </si>
  <si>
    <t>-0.226080575919218</t>
  </si>
  <si>
    <t>0.8372255738608684</t>
  </si>
  <si>
    <t>0.2233056931655526</t>
  </si>
  <si>
    <t>-1.2284518364022121</t>
  </si>
  <si>
    <t>-0.3684424003683796</t>
  </si>
  <si>
    <t>0.23537439872528157</t>
  </si>
  <si>
    <t>-0.6026056673162518</t>
  </si>
  <si>
    <t>-1.0804372842445735</t>
  </si>
  <si>
    <t>-0.6861305453681673</t>
  </si>
  <si>
    <t>-0.468547481878393</t>
  </si>
  <si>
    <t>-0.8719044124840303</t>
  </si>
  <si>
    <t>0.5508829784121513</t>
  </si>
  <si>
    <t>0.9298655515335487</t>
  </si>
  <si>
    <t>-0.5699840123899752</t>
  </si>
  <si>
    <t>0.2286498386956752</t>
  </si>
  <si>
    <t>0.12535546834479402</t>
  </si>
  <si>
    <t>0.4483770224366388</t>
  </si>
  <si>
    <t>-0.8193237185493231</t>
  </si>
  <si>
    <t>0.648985943668997</t>
  </si>
  <si>
    <t>-0.6148764250538188</t>
  </si>
  <si>
    <t>-1.078915069501575</t>
  </si>
  <si>
    <t>1.442111771334884</t>
  </si>
  <si>
    <t>-0.08845594543436065</t>
  </si>
  <si>
    <t>-0.44304349336704474</t>
  </si>
  <si>
    <t>-0.698149101919837</t>
  </si>
  <si>
    <t>0.4694006825976092</t>
  </si>
  <si>
    <t>-0.11692672978690287</t>
  </si>
  <si>
    <t>0.007235496349125107</t>
  </si>
  <si>
    <t>-0.010883837390401432</t>
  </si>
  <si>
    <t>-1.0821128075880775</t>
  </si>
  <si>
    <t>-2.464565528634379</t>
  </si>
  <si>
    <t>-0.09211877993448689</t>
  </si>
  <si>
    <t>1.3586586534133518</t>
  </si>
  <si>
    <t>-1.4727484024330322</t>
  </si>
  <si>
    <t>-0.534462084864912</t>
  </si>
  <si>
    <t>-1.153980406138586</t>
  </si>
  <si>
    <t>1.312243841217674</t>
  </si>
  <si>
    <t>1.7722974069803705</t>
  </si>
  <si>
    <t>-0.40826561814388956</t>
  </si>
  <si>
    <t>2.6334747635455265</t>
  </si>
  <si>
    <t>-0.4964037123018722</t>
  </si>
  <si>
    <t>-0.9524822393903992</t>
  </si>
  <si>
    <t>0.2652051084354654</t>
  </si>
  <si>
    <t>-1.1568503256592322</t>
  </si>
  <si>
    <t>0.41552039664133994</t>
  </si>
  <si>
    <t>-0.10345789760455136</t>
  </si>
  <si>
    <t>0.49431247394910127</t>
  </si>
  <si>
    <t>0.32251935629487394</t>
  </si>
  <si>
    <t>0.06379340026017818</t>
  </si>
  <si>
    <t>-0.07466846221808764</t>
  </si>
  <si>
    <t>-1.0523449469151618</t>
  </si>
  <si>
    <t>1.4311685635147504</t>
  </si>
  <si>
    <t>-1.554834669303224</t>
  </si>
  <si>
    <t>2.0889197940208986</t>
  </si>
  <si>
    <t>-1.1639233470125971</t>
  </si>
  <si>
    <t>-1.7459260785590707</t>
  </si>
  <si>
    <t>0.7196572496132195</t>
  </si>
  <si>
    <t>-0.1544901271804392</t>
  </si>
  <si>
    <t>0.39832206389926517</t>
  </si>
  <si>
    <t>-1.2643106402391895</t>
  </si>
  <si>
    <t>0.5198581209860029</t>
  </si>
  <si>
    <t>-1.1796076398378152</t>
  </si>
  <si>
    <t>1.448136728743424</t>
  </si>
  <si>
    <t>0.6117734893861071</t>
  </si>
  <si>
    <t>0.21434753827965763</t>
  </si>
  <si>
    <t>-0.753031532222046</t>
  </si>
  <si>
    <t>0.2557375113656722</t>
  </si>
  <si>
    <t>0.4661263211265354</t>
  </si>
  <si>
    <t>-0.35469318983726134</t>
  </si>
  <si>
    <t>0.9539791220517823</t>
  </si>
  <si>
    <t>-1.49179594508058</t>
  </si>
  <si>
    <t>-0.3322456215406035</t>
  </si>
  <si>
    <t>-1.8293924647186464</t>
  </si>
  <si>
    <t>0.10667815297682183</t>
  </si>
  <si>
    <t>0.4483836032554078</t>
  </si>
  <si>
    <t>-0.706580037218195</t>
  </si>
  <si>
    <t>0.7943889945538084</t>
  </si>
  <si>
    <t>1.1551628979517612</t>
  </si>
  <si>
    <t>0.19048262925583384</t>
  </si>
  <si>
    <t>-0.871034706044613</t>
  </si>
  <si>
    <t>0.6310053203832195</t>
  </si>
  <si>
    <t>-0.8147698561728937</t>
  </si>
  <si>
    <t>-0.17307818249680088</t>
  </si>
  <si>
    <t>-0.603964016881906</t>
  </si>
  <si>
    <t>0.08274415020233056</t>
  </si>
  <si>
    <t>-0.07976802309885575</t>
  </si>
  <si>
    <t>-0.18915072163339203</t>
  </si>
  <si>
    <t>0.16900461069107323</t>
  </si>
  <si>
    <t>-0.027301415307176467</t>
  </si>
  <si>
    <t>-0.2753194747481579</t>
  </si>
  <si>
    <t>0.11142014336206812</t>
  </si>
  <si>
    <t>0.6846360644864212</t>
  </si>
  <si>
    <t>1.6189572907943752</t>
  </si>
  <si>
    <t>0.6752309139263837</t>
  </si>
  <si>
    <t>0.107554405734776</t>
  </si>
  <si>
    <t>-0.034059145175644956</t>
  </si>
  <si>
    <t>-1.5747197770395256</t>
  </si>
  <si>
    <t>-0.15394278146661755</t>
  </si>
  <si>
    <t>-0.07247687393988998</t>
  </si>
  <si>
    <t>0.12831270464978295</t>
  </si>
  <si>
    <t>1.0130942879075193</t>
  </si>
  <si>
    <t>0.35790111394085233</t>
  </si>
  <si>
    <t>-0.5155675318465784</t>
  </si>
  <si>
    <t>0.44781381007937854</t>
  </si>
  <si>
    <t>0.1321747759399291</t>
  </si>
  <si>
    <t>0.03726151275122578</t>
  </si>
  <si>
    <t>0.8788837612529009</t>
  </si>
  <si>
    <t>-0.8853853597759248</t>
  </si>
  <si>
    <t>0.970523283563283</t>
  </si>
  <si>
    <t>0.05992644139810417</t>
  </si>
  <si>
    <t>0.3177910612136545</t>
  </si>
  <si>
    <t>-0.2663536861919104</t>
  </si>
  <si>
    <t>0.25698958069043865</t>
  </si>
  <si>
    <t>0.7723799024249001</t>
  </si>
  <si>
    <t>-0.571344505957973</t>
  </si>
  <si>
    <t>-1.2225201622167976</t>
  </si>
  <si>
    <t>0.7522942979704911</t>
  </si>
  <si>
    <t>-0.5524479984711822</t>
  </si>
  <si>
    <t>1.4068026568760017</t>
  </si>
  <si>
    <t>-0.4383631722680769</t>
  </si>
  <si>
    <t>-0.2045436606291798</t>
  </si>
  <si>
    <t>1.017553695954518</t>
  </si>
  <si>
    <t>0.6579108126888059</t>
  </si>
  <si>
    <t>0.12379720272657169</t>
  </si>
  <si>
    <t>-0.31411542148761373</t>
  </si>
  <si>
    <t>-0.028552721333757098</t>
  </si>
  <si>
    <t>0.19580916980872073</t>
  </si>
  <si>
    <t>-1.4825397859379106</t>
  </si>
  <si>
    <t>0.576266067741789</t>
  </si>
  <si>
    <t>0.02864990100831368</t>
  </si>
  <si>
    <t>-2.2559436446461985</t>
  </si>
  <si>
    <t>0.07766853241468295</t>
  </si>
  <si>
    <t>0.6446894976939384</t>
  </si>
  <si>
    <t>1.923522457641611</t>
  </si>
  <si>
    <t>-0.562205668515655</t>
  </si>
  <si>
    <t>-1.0989626248280926</t>
  </si>
  <si>
    <t>-0.13920871361031734</t>
  </si>
  <si>
    <t>0.2850867809169629</t>
  </si>
  <si>
    <t>0.33160266848165343</t>
  </si>
  <si>
    <t>0.5306501085164241</t>
  </si>
  <si>
    <t>-0.11302865202675082</t>
  </si>
  <si>
    <t>2.481052878195836</t>
  </si>
  <si>
    <t>-0.3339856891379242</t>
  </si>
  <si>
    <t>0.4180686784696623</t>
  </si>
  <si>
    <t>-1.0212037013448654</t>
  </si>
  <si>
    <t>-0.10950273657695153</t>
  </si>
  <si>
    <t>0.49961259323474444</t>
  </si>
  <si>
    <t>0.4891429714269959</t>
  </si>
  <si>
    <t>-0.5072504010977882</t>
  </si>
  <si>
    <t>-1.1912798879278188</t>
  </si>
  <si>
    <t>-0.7375366220163724</t>
  </si>
  <si>
    <t>1.2289250669007374</t>
  </si>
  <si>
    <t>-0.5059363567908544</t>
  </si>
  <si>
    <t>1.3649386154531564</t>
  </si>
  <si>
    <t>0.4106370040344162</t>
  </si>
  <si>
    <t>-0.8733342691578161</t>
  </si>
  <si>
    <t>-1.7239151051557011</t>
  </si>
  <si>
    <t>-0.21221988219264667</t>
  </si>
  <si>
    <t>-0.813410802157167</t>
  </si>
  <si>
    <t>0.023832911780155865</t>
  </si>
  <si>
    <t>0.428157455318837</t>
  </si>
  <si>
    <t>-0.4556071293326244</t>
  </si>
  <si>
    <t>-0.6604495055521936</t>
  </si>
  <si>
    <t>-1.0227410626215605</t>
  </si>
  <si>
    <t>-0.2850342058485005</t>
  </si>
  <si>
    <t>-0.0837981807320551</t>
  </si>
  <si>
    <t>1.199327763487508</t>
  </si>
  <si>
    <t>-3.0501378300022783</t>
  </si>
  <si>
    <t>-0.31530855382408735</t>
  </si>
  <si>
    <t>-0.1075598058542517</t>
  </si>
  <si>
    <t>-1.0809973397964432</t>
  </si>
  <si>
    <t>-0.5117058051824979</t>
  </si>
  <si>
    <t>-0.2029913151322988</t>
  </si>
  <si>
    <t>0.21313353381085123</t>
  </si>
  <si>
    <t>-0.6783056449955113</t>
  </si>
  <si>
    <t>-0.4142381843455331</t>
  </si>
  <si>
    <t>-0.34738607058797033</t>
  </si>
  <si>
    <t>1.6733302977338267</t>
  </si>
  <si>
    <t>-0.2042419731569816</t>
  </si>
  <si>
    <t>-0.01597962988666689</t>
  </si>
  <si>
    <t>0.13976827956354637</t>
  </si>
  <si>
    <t>0.44808195923547023</t>
  </si>
  <si>
    <t>0.8500608923802635</t>
  </si>
  <si>
    <t>-0.148905712479819</t>
  </si>
  <si>
    <t>1.4320385012513115</t>
  </si>
  <si>
    <t>-1.7119225212706837</t>
  </si>
  <si>
    <t>0.2812481093155613</t>
  </si>
  <si>
    <t>0.5438262777125427</t>
  </si>
  <si>
    <t>-0.7888548288768438</t>
  </si>
  <si>
    <t>-0.35008145144622266</t>
  </si>
  <si>
    <t>-1.9049275993395431</t>
  </si>
  <si>
    <t>0.5323120604637961</t>
  </si>
  <si>
    <t>0.10338348420403064</t>
  </si>
  <si>
    <t>-0.9333470221630825</t>
  </si>
  <si>
    <t>0.4331142815772205</t>
  </si>
  <si>
    <t>-1.4100023164360098</t>
  </si>
  <si>
    <t>-0.1066798529970765</t>
  </si>
  <si>
    <t>0.6455388047034257</t>
  </si>
  <si>
    <t>-0.5490809634838165</t>
  </si>
  <si>
    <t>0.3872917077391108</t>
  </si>
  <si>
    <t>0.11446340448739102</t>
  </si>
  <si>
    <t>1.228814633490576</t>
  </si>
  <si>
    <t>-0.10250336004262636</t>
  </si>
  <si>
    <t>-0.7389543300125637</t>
  </si>
  <si>
    <t>0.14523076554563175</t>
  </si>
  <si>
    <t>-0.006568684776287264</t>
  </si>
  <si>
    <t>-0.88125147368073</t>
  </si>
  <si>
    <t>0.20828783257192923</t>
  </si>
  <si>
    <t>0.06182389779971256</t>
  </si>
  <si>
    <t>1.1024279813444215</t>
  </si>
  <si>
    <t>-0.3255267508807179</t>
  </si>
  <si>
    <t>-0.23236186465018116</t>
  </si>
  <si>
    <t>-0.32295493470460346</t>
  </si>
  <si>
    <t>0.2656715896142635</t>
  </si>
  <si>
    <t>-0.6539805763252944</t>
  </si>
  <si>
    <t>-0.4732367930912265</t>
  </si>
  <si>
    <t>0.05959166348847948</t>
  </si>
  <si>
    <t>-0.4133709237039728</t>
  </si>
  <si>
    <t>-0.04998346071627843</t>
  </si>
  <si>
    <t>0.04946324310940617</t>
  </si>
  <si>
    <t>0.7835127211017928</t>
  </si>
  <si>
    <t>-1.5125483934307828</t>
  </si>
  <si>
    <t>0.8330636372636429</t>
  </si>
  <si>
    <t>0.06733084694887036</t>
  </si>
  <si>
    <t>0.18619528421974701</t>
  </si>
  <si>
    <t>-0.7062696749474627</t>
  </si>
  <si>
    <t>0.10979087602874854</t>
  </si>
  <si>
    <t>0.014207862921080621</t>
  </si>
  <si>
    <t>-0.01069477693161507</t>
  </si>
  <si>
    <t>0.000643034105485607</t>
  </si>
  <si>
    <t>-0.9470636502298424</t>
  </si>
  <si>
    <t>-0.6755661512822392</t>
  </si>
  <si>
    <t>0.8608131303796465</t>
  </si>
  <si>
    <t>-0.22090784422763715</t>
  </si>
  <si>
    <t>-0.37235175787849456</t>
  </si>
  <si>
    <t>0.5819065286726787</t>
  </si>
  <si>
    <t>0.9912608702410236</t>
  </si>
  <si>
    <t>-0.18784734003152803</t>
  </si>
  <si>
    <t>0.1359907983038671</t>
  </si>
  <si>
    <t>-0.7877072185583563</t>
  </si>
  <si>
    <t>1.0347427400794247</t>
  </si>
  <si>
    <t>0.45285487778300504</t>
  </si>
  <si>
    <t>-0.16618092787176414</t>
  </si>
  <si>
    <t>0.28260810760284066</t>
  </si>
  <si>
    <t>1.4121984725916659</t>
  </si>
  <si>
    <t>0.35049007468204224</t>
  </si>
  <si>
    <t>0.0916294964580541</t>
  </si>
  <si>
    <t>-0.3466380027956934</t>
  </si>
  <si>
    <t>-0.17439263521010737</t>
  </si>
  <si>
    <t>0.06925924759684778</t>
  </si>
  <si>
    <t>0.4559001083102147</t>
  </si>
  <si>
    <t>0.3687877807983448</t>
  </si>
  <si>
    <t>-0.1894582292954452</t>
  </si>
  <si>
    <t>-0.27753947389891725</t>
  </si>
  <si>
    <t>0.46919926785260246</t>
  </si>
  <si>
    <t>-0.5993237846232756</t>
  </si>
  <si>
    <t>-1.232816772626504</t>
  </si>
  <si>
    <t>-0.17202359760728148</t>
  </si>
  <si>
    <t>-0.33045899530971784</t>
  </si>
  <si>
    <t>1.3038345095738404</t>
  </si>
  <si>
    <t>-0.43490532877656535</t>
  </si>
  <si>
    <t>0.20708581543682347</t>
  </si>
  <si>
    <t>-0.2720448415284232</t>
  </si>
  <si>
    <t>-0.9668601232519884</t>
  </si>
  <si>
    <t>-1.2027337691442137</t>
  </si>
  <si>
    <t>-0.6070949832889467</t>
  </si>
  <si>
    <t>0.16232052237937525</t>
  </si>
  <si>
    <t>-0.7065782304641952</t>
  </si>
  <si>
    <t>0.05651833063551949</t>
  </si>
  <si>
    <t>0.04175675924356769</t>
  </si>
  <si>
    <t>-0.06940489641719079</t>
  </si>
  <si>
    <t>-0.25474705179600143</t>
  </si>
  <si>
    <t>-0.27272467912864296</t>
  </si>
  <si>
    <t>0.35519500781759</t>
  </si>
  <si>
    <t>-0.4558423289842645</t>
  </si>
  <si>
    <t>0.6328677259278833</t>
  </si>
  <si>
    <t>-0.6912181666333012</t>
  </si>
  <si>
    <t>0.371368802090788</t>
  </si>
  <si>
    <t>0.8907355335310945</t>
  </si>
  <si>
    <t>1.2925037902526593</t>
  </si>
  <si>
    <t>-0.3143482378905031</t>
  </si>
  <si>
    <t>1.1219045924726199</t>
  </si>
  <si>
    <t>0.4473533489882098</t>
  </si>
  <si>
    <t>0.3059219291159943</t>
  </si>
  <si>
    <t>0.6265759183469783</t>
  </si>
  <si>
    <t>0.467744663444867</t>
  </si>
  <si>
    <t>0.5869866671625485</t>
  </si>
  <si>
    <t>0.18493816097110446</t>
  </si>
  <si>
    <t>0.14136210552254191</t>
  </si>
  <si>
    <t>0.5408302699106758</t>
  </si>
  <si>
    <t>-0.6353272073669083</t>
  </si>
  <si>
    <t>-0.16174343937893976</t>
  </si>
  <si>
    <t>-0.42299691099901415</t>
  </si>
  <si>
    <t>-0.4984817785712747</t>
  </si>
  <si>
    <t>-2.048993469594459</t>
  </si>
  <si>
    <t>-0.19565890094890762</t>
  </si>
  <si>
    <t>0.17305448705522639</t>
  </si>
  <si>
    <t>-1.379138660322898</t>
  </si>
  <si>
    <t>0.15436157803624487</t>
  </si>
  <si>
    <t>-0.09807696609404042</t>
  </si>
  <si>
    <t>-0.22112365488761143</t>
  </si>
  <si>
    <t>0.5503324855977133</t>
  </si>
  <si>
    <t>-0.40972016880943285</t>
  </si>
  <si>
    <t>-0.12190933510970017</t>
  </si>
  <si>
    <t>-0.3159913498805177</t>
  </si>
  <si>
    <t>-0.12053603469911237</t>
  </si>
  <si>
    <t>0.5728358024102577</t>
  </si>
  <si>
    <t>1.6753512915755022</t>
  </si>
  <si>
    <t>0.22359958876506145</t>
  </si>
  <si>
    <t>0.8092143466998513</t>
  </si>
  <si>
    <t>0.23720744049100476</t>
  </si>
  <si>
    <t>0.9952117913155364</t>
  </si>
  <si>
    <t>-1.4871315134253424</t>
  </si>
  <si>
    <t>-0.2823142008984782</t>
  </si>
  <si>
    <t>0.32735589356765715</t>
  </si>
  <si>
    <t>0.0837731094615916</t>
  </si>
  <si>
    <t>-0.11328785581059958</t>
  </si>
  <si>
    <t>0.5651105344870644</t>
  </si>
  <si>
    <t>-0.07264662606644356</t>
  </si>
  <si>
    <t>-0.22739199495174697</t>
  </si>
  <si>
    <t>-0.19500879079025035</t>
  </si>
  <si>
    <t>0.43891088475025</t>
  </si>
  <si>
    <t>0.19499051059650604</t>
  </si>
  <si>
    <t>1.1899896026176782</t>
  </si>
  <si>
    <t>-0.41716777687787954</t>
  </si>
  <si>
    <t>-0.0026426536520710382</t>
  </si>
  <si>
    <t>-0.1628016681744617</t>
  </si>
  <si>
    <t>-0.08348642728325492</t>
  </si>
  <si>
    <t>0.15325059058754162</t>
  </si>
  <si>
    <t>1.0546722402015416</t>
  </si>
  <si>
    <t>0.4217224767931661</t>
  </si>
  <si>
    <t>0.39310804674047556</t>
  </si>
  <si>
    <t>-1.5798963175983447</t>
  </si>
  <si>
    <t>1.7785254204560552</t>
  </si>
  <si>
    <t>1.4548850383102845</t>
  </si>
  <si>
    <t>0.8857888206855764</t>
  </si>
  <si>
    <t>-0.12820556837539487</t>
  </si>
  <si>
    <t>-0.3029552150401826</t>
  </si>
  <si>
    <t>0.17347158078482008</t>
  </si>
  <si>
    <t>-0.49901827074719174</t>
  </si>
  <si>
    <t>-0.11593798334527836</t>
  </si>
  <si>
    <t>-0.2707325006055244</t>
  </si>
  <si>
    <t>0.22234902514658592</t>
  </si>
  <si>
    <t>-0.4455180258587792</t>
  </si>
  <si>
    <t>0.06313726118491429</t>
  </si>
  <si>
    <t>0.6947409833208686</t>
  </si>
  <si>
    <t>0.40706138532955993</t>
  </si>
  <si>
    <t>0.854807914038201</t>
  </si>
  <si>
    <t>-0.18057309336945812</t>
  </si>
  <si>
    <t>0.3883254855303991</t>
  </si>
  <si>
    <t>-0.0960072501449777</t>
  </si>
  <si>
    <t>0.6601425475420107</t>
  </si>
  <si>
    <t>-0.6607904230322381</t>
  </si>
  <si>
    <t>1.3702819756100464</t>
  </si>
  <si>
    <t>0.20510172267704205</t>
  </si>
  <si>
    <t>-0.38582622007059303</t>
  </si>
  <si>
    <t>0.6642118941955917</t>
  </si>
  <si>
    <t>1.7036610332652213</t>
  </si>
  <si>
    <t>0.7467958342207838</t>
  </si>
  <si>
    <t>-0.014094935208674959</t>
  </si>
  <si>
    <t>0.28919046762995954</t>
  </si>
  <si>
    <t>-0.5397874297685886</t>
  </si>
  <si>
    <t>1.063817720723495</t>
  </si>
  <si>
    <t>-0.2153465442456968</t>
  </si>
  <si>
    <t>-0.4002503484566087</t>
  </si>
  <si>
    <t>0.4210806171677287</t>
  </si>
  <si>
    <t>-0.29259706040598266</t>
  </si>
  <si>
    <t>-0.571587525004282</t>
  </si>
  <si>
    <t>-1.3087080687240664</t>
  </si>
  <si>
    <t>0.5707549729979554</t>
  </si>
  <si>
    <t>0.7920655345634164</t>
  </si>
  <si>
    <t>-0.5139940132417768</t>
  </si>
  <si>
    <t>1.227785068400591</t>
  </si>
  <si>
    <t>-0.3155043130405643</t>
  </si>
  <si>
    <t>-0.5422197742670214</t>
  </si>
  <si>
    <t>-0.18549686474624444</t>
  </si>
  <si>
    <t>-0.2625109604505972</t>
  </si>
  <si>
    <t>0.7039234160854408</t>
  </si>
  <si>
    <t>-0.21153111157202625</t>
  </si>
  <si>
    <t>0.9264835618171182</t>
  </si>
  <si>
    <t>0.010036362074621222</t>
  </si>
  <si>
    <t>0.1007188547165656</t>
  </si>
  <si>
    <t>-1.3500645798663047</t>
  </si>
  <si>
    <t>-0.21230647402153371</t>
  </si>
  <si>
    <t>0.9442738768139002</t>
  </si>
  <si>
    <t>0.3124520297511628</t>
  </si>
  <si>
    <t>0.3116341948453974</t>
  </si>
  <si>
    <t>-0.09669651462955554</t>
  </si>
  <si>
    <t>-0.004225525104086314</t>
  </si>
  <si>
    <t>0.18437765290686456</t>
  </si>
  <si>
    <t>-0.16803282992209823</t>
  </si>
  <si>
    <t>-0.5030171816409355</t>
  </si>
  <si>
    <t>0.2537958034102788</t>
  </si>
  <si>
    <t>-1.1647888316263133</t>
  </si>
  <si>
    <t>-0.4294921692738662</t>
  </si>
  <si>
    <t>-1.0167880539408216</t>
  </si>
  <si>
    <t>-0.09113404920303601</t>
  </si>
  <si>
    <t>1.2272607818387646</t>
  </si>
  <si>
    <t>-1.0375163989996197</t>
  </si>
  <si>
    <t>0.5650067357150319</t>
  </si>
  <si>
    <t>0.7034696343694619</t>
  </si>
  <si>
    <t>-0.552008355588206</t>
  </si>
  <si>
    <t>-0.29025496825341063</t>
  </si>
  <si>
    <t>0.7590646485102378</t>
  </si>
  <si>
    <t>-0.22852381607117633</t>
  </si>
  <si>
    <t>-0.5984643411657311</t>
  </si>
  <si>
    <t>-1.169587919187471</t>
  </si>
  <si>
    <t>-1.3886131527992154</t>
  </si>
  <si>
    <t>0.19658393333987956</t>
  </si>
  <si>
    <t>0.31527605865697433</t>
  </si>
  <si>
    <t>-0.08149770864220934</t>
  </si>
  <si>
    <t>-0.027563738928240083</t>
  </si>
  <si>
    <t>0.3206865481575002</t>
  </si>
  <si>
    <t>-0.15939462952641742</t>
  </si>
  <si>
    <t>0.28519412377342007</t>
  </si>
  <si>
    <t>-0.219635267751219</t>
  </si>
  <si>
    <t>0.594583139291534</t>
  </si>
  <si>
    <t>-0.04615761403018577</t>
  </si>
  <si>
    <t>-0.33043454027527186</t>
  </si>
  <si>
    <t>-0.33889412310002626</t>
  </si>
  <si>
    <t>0.4236019176834217</t>
  </si>
  <si>
    <t>-0.6884143007765946</t>
  </si>
  <si>
    <t>0.005279923539814166</t>
  </si>
  <si>
    <t>-0.008224866302324474</t>
  </si>
  <si>
    <t>-1.1633740636822785</t>
  </si>
  <si>
    <t>-1.375947035781631</t>
  </si>
  <si>
    <t>-0.20204874447076673</t>
  </si>
  <si>
    <t>0.577045029795464</t>
  </si>
  <si>
    <t>0.4018160714447298</t>
  </si>
  <si>
    <t>-0.0796311265027604</t>
  </si>
  <si>
    <t>0.11491075748086758</t>
  </si>
  <si>
    <t>-0.9919269735277704</t>
  </si>
  <si>
    <t>-0.7498034709910395</t>
  </si>
  <si>
    <t>-0.25039359570766323</t>
  </si>
  <si>
    <t>0.33703294140671114</t>
  </si>
  <si>
    <t>0.0675981044894062</t>
  </si>
  <si>
    <t>-0.30198330013892216</t>
  </si>
  <si>
    <t>-0.138716870023626</t>
  </si>
  <si>
    <t>0.44510187976047066</t>
  </si>
  <si>
    <t>-0.27020869208206155</t>
  </si>
  <si>
    <t>0.4634541277843171</t>
  </si>
  <si>
    <t>0.5388601524346098</t>
  </si>
  <si>
    <t>-0.721241270788842</t>
  </si>
  <si>
    <t>-0.6483378083672763</t>
  </si>
  <si>
    <t>0.7393426855686721</t>
  </si>
  <si>
    <t>0.991386412528791</t>
  </si>
  <si>
    <t>-0.05281483130128895</t>
  </si>
  <si>
    <t>-0.0687584430716939</t>
  </si>
  <si>
    <t>0.738613117020054</t>
  </si>
  <si>
    <t>1.5067341536827</t>
  </si>
  <si>
    <t>0.4038267390263377</t>
  </si>
  <si>
    <t>-0.483504675858554</t>
  </si>
  <si>
    <t>0.2432032102934719</t>
  </si>
  <si>
    <t>0.02158753100516419</t>
  </si>
  <si>
    <t>-0.20470927828895016</t>
  </si>
  <si>
    <t>1.4465572146693013</t>
  </si>
  <si>
    <t>-0.016993999823755063</t>
  </si>
  <si>
    <t>0.002497614469473957</t>
  </si>
  <si>
    <t>-0.29993618232068997</t>
  </si>
  <si>
    <t>-0.7019282952159626</t>
  </si>
  <si>
    <t>1.0655764187135235</t>
  </si>
  <si>
    <t>-0.34957812032113356</t>
  </si>
  <si>
    <t>-0.5125469932045092</t>
  </si>
  <si>
    <t>-0.08749428235095484</t>
  </si>
  <si>
    <t>0.13063537488138555</t>
  </si>
  <si>
    <t>-0.2357520610840446</t>
  </si>
  <si>
    <t>-0.023102295603129937</t>
  </si>
  <si>
    <t>-0.542475488177341</t>
  </si>
  <si>
    <t>-0.39264996371031363</t>
  </si>
  <si>
    <t>0.545265946348324</t>
  </si>
  <si>
    <t>-0.3246760313475493</t>
  </si>
  <si>
    <t>-0.2786559070621736</t>
  </si>
  <si>
    <t>-0.46328991326661434</t>
  </si>
  <si>
    <t>0.7749056895996939</t>
  </si>
  <si>
    <t>1.0679506947611994</t>
  </si>
  <si>
    <t>0.5778877147571394</t>
  </si>
  <si>
    <t>0.20303136766303628</t>
  </si>
  <si>
    <t>-0.21277775930363044</t>
  </si>
  <si>
    <t>0.48465344813205075</t>
  </si>
  <si>
    <t>0.682787579910787</t>
  </si>
  <si>
    <t>0.13977713505866027</t>
  </si>
  <si>
    <t>-0.5370700293036148</t>
  </si>
  <si>
    <t>-0.28540055339494386</t>
  </si>
  <si>
    <t>0.23015190249341128</t>
  </si>
  <si>
    <t>-0.0560996360752673</t>
  </si>
  <si>
    <t>-0.8501025861962018</t>
  </si>
  <si>
    <t>-0.6117901109508191</t>
  </si>
  <si>
    <t>-1.242772976281381</t>
  </si>
  <si>
    <t>0.256890590905588</t>
  </si>
  <si>
    <t>0.034404371181802215</t>
  </si>
  <si>
    <t>0.7569370654374333</t>
  </si>
  <si>
    <t>-0.2366817755049896</t>
  </si>
  <si>
    <t>-0.5499154487386595</t>
  </si>
  <si>
    <t>0.7011269363991821</t>
  </si>
  <si>
    <t>-0.6074467393837077</t>
  </si>
  <si>
    <t>0.6369074017232618</t>
  </si>
  <si>
    <t>-0.45433596091200684</t>
  </si>
  <si>
    <t>-0.4859588223063882</t>
  </si>
  <si>
    <t>0.31342233651527457</t>
  </si>
  <si>
    <t>-0.2233391286615443</t>
  </si>
  <si>
    <t>0.769149376178783</t>
  </si>
  <si>
    <t>0.4762657670952236</t>
  </si>
  <si>
    <t>0.2748478729665304</t>
  </si>
  <si>
    <t>0.18824264556508025</t>
  </si>
  <si>
    <t>-0.826796938531841</t>
  </si>
  <si>
    <t>-0.36724104638039207</t>
  </si>
  <si>
    <t>-0.46660199054274215</t>
  </si>
  <si>
    <t>-0.12075042586380232</t>
  </si>
  <si>
    <t>-0.20551329157717058</t>
  </si>
  <si>
    <t>-0.3493128376750407</t>
  </si>
  <si>
    <t>0.03159792389782035</t>
  </si>
  <si>
    <t>-0.2901266411805499</t>
  </si>
  <si>
    <t>0.014353416458010028</t>
  </si>
  <si>
    <t>-0.08224854470135262</t>
  </si>
  <si>
    <t>-0.27327458308144487</t>
  </si>
  <si>
    <t>-0.006878014719289335</t>
  </si>
  <si>
    <t>0.5733208457929495</t>
  </si>
  <si>
    <t>0.7830128396642215</t>
  </si>
  <si>
    <t>0.5407908751851546</t>
  </si>
  <si>
    <t>0.5462265085677106</t>
  </si>
  <si>
    <t>1.4170198209849456</t>
  </si>
  <si>
    <t>-0.7211871179019591</t>
  </si>
  <si>
    <t>-0.683780856741513</t>
  </si>
  <si>
    <t>-0.027626284034267593</t>
  </si>
  <si>
    <t>-0.849292291545729</t>
  </si>
  <si>
    <t>-1.2055616861656422</t>
  </si>
  <si>
    <t>-0.1459975805429089</t>
  </si>
  <si>
    <t>0.008829575672591796</t>
  </si>
  <si>
    <t>-0.1021242354549354</t>
  </si>
  <si>
    <t>0.25425027327384553</t>
  </si>
  <si>
    <t>0.07418677763000944</t>
  </si>
  <si>
    <t>0.17836770569693178</t>
  </si>
  <si>
    <t>0.3989663808809122</t>
  </si>
  <si>
    <t>0.22372631190196174</t>
  </si>
  <si>
    <t>-0.23491656991584045</t>
  </si>
  <si>
    <t>-0.5284618249560433</t>
  </si>
  <si>
    <t>-0.26058525319589276</t>
  </si>
  <si>
    <t>0.32843065189061554</t>
  </si>
  <si>
    <t>0.03394363310438421</t>
  </si>
  <si>
    <t>-0.7784616881694666</t>
  </si>
  <si>
    <t>-0.23236758862277723</t>
  </si>
  <si>
    <t>-0.11587632725455245</t>
  </si>
  <si>
    <t>0.05538787682012852</t>
  </si>
  <si>
    <t>0.09177654691445715</t>
  </si>
  <si>
    <t>-0.13100344265849556</t>
  </si>
  <si>
    <t>0.3836885495136065</t>
  </si>
  <si>
    <t>-0.14044099638384344</t>
  </si>
  <si>
    <t>0.06637517153595981</t>
  </si>
  <si>
    <t>-0.25930665225918154</t>
  </si>
  <si>
    <t>-0.6145641205727943</t>
  </si>
  <si>
    <t>-0.9723033991410002</t>
  </si>
  <si>
    <t>0.13207376447738733</t>
  </si>
  <si>
    <t>-0.301672145201694</t>
  </si>
  <si>
    <t>1.2269372521539788</t>
  </si>
  <si>
    <t>-0.21469831143679402</t>
  </si>
  <si>
    <t>1.7244039113680654</t>
  </si>
  <si>
    <t>0.6088460223498571</t>
  </si>
  <si>
    <t>1.1159235949748614</t>
  </si>
  <si>
    <t>-0.08048288710425867</t>
  </si>
  <si>
    <t>0.27172107478031576</t>
  </si>
  <si>
    <t>-0.16316472470749194</t>
  </si>
  <si>
    <t>-0.1843353960210673</t>
  </si>
  <si>
    <t>-0.04123253979114276</t>
  </si>
  <si>
    <t>0.1465315522573477</t>
  </si>
  <si>
    <t>0.34520217482364896</t>
  </si>
  <si>
    <t>-1.6292442227944672</t>
  </si>
  <si>
    <t>-0.2913646213862791</t>
  </si>
  <si>
    <t>-1.5901308378254233</t>
  </si>
  <si>
    <t>0.2677184426521855</t>
  </si>
  <si>
    <t>-0.6181795709747212</t>
  </si>
  <si>
    <t>-0.6255142705600462</t>
  </si>
  <si>
    <t>-1.0610859999531368</t>
  </si>
  <si>
    <t>-0.3250557216742185</t>
  </si>
  <si>
    <t>-0.5318106855377408</t>
  </si>
  <si>
    <t>-1.7405786549303408</t>
  </si>
  <si>
    <t>-2.208418839415941</t>
  </si>
  <si>
    <t>-1.1496319437327225</t>
  </si>
  <si>
    <t>1.8696068287931171</t>
  </si>
  <si>
    <t>2.611711468633596</t>
  </si>
  <si>
    <t>-2.153426047605057</t>
  </si>
  <si>
    <t>-0.4310538228171849</t>
  </si>
  <si>
    <t>-0.5876151147886308</t>
  </si>
  <si>
    <t>0.49809236662205636</t>
  </si>
  <si>
    <t>-0.6732807094234798</t>
  </si>
  <si>
    <t>-0.12331891459520856</t>
  </si>
  <si>
    <t>0.0402847132788761</t>
  </si>
  <si>
    <t>0.259476964584053</t>
  </si>
  <si>
    <t>-0.11027989160268793</t>
  </si>
  <si>
    <t>0.05709358705939486</t>
  </si>
  <si>
    <t>0.6200941592197864</t>
  </si>
  <si>
    <t>-1.069932504183653</t>
  </si>
  <si>
    <t>-0.9602670806419052</t>
  </si>
  <si>
    <t>1.3665654603593878</t>
  </si>
  <si>
    <t>-0.04739882343954967</t>
  </si>
  <si>
    <t>0.05642901830529252</t>
  </si>
  <si>
    <t>-0.24966418893067188</t>
  </si>
  <si>
    <t>-1.3593910094851445</t>
  </si>
  <si>
    <t>0.8251453721348391</t>
  </si>
  <si>
    <t>-0.33657582375585715</t>
  </si>
  <si>
    <t>-0.6190302069147989</t>
  </si>
  <si>
    <t>0.12665738096212692</t>
  </si>
  <si>
    <t>-2.3270412200419512</t>
  </si>
  <si>
    <t>-1.9313872587349676</t>
  </si>
  <si>
    <t>0.2825536330151539</t>
  </si>
  <si>
    <t>-3.6789520051878073</t>
  </si>
  <si>
    <t>0.390911218161461</t>
  </si>
  <si>
    <t>0.09603482299195663</t>
  </si>
  <si>
    <t>-0.1301227529359073</t>
  </si>
  <si>
    <t>0.46811655016893156</t>
  </si>
  <si>
    <t>-1.9904751889519432</t>
  </si>
  <si>
    <t>-1.5208094747261556</t>
  </si>
  <si>
    <t>-1.028488004191605</t>
  </si>
  <si>
    <t>-1.507873131302942</t>
  </si>
  <si>
    <t>0.2343694629062336</t>
  </si>
  <si>
    <t>-1.583199319801188</t>
  </si>
  <si>
    <t>-0.6076575049759205</t>
  </si>
  <si>
    <t>1.0577298683492407</t>
  </si>
  <si>
    <t>-1.3269505184500836</t>
  </si>
  <si>
    <t>-0.7250546023393499</t>
  </si>
  <si>
    <t>-1.6691799722161333</t>
  </si>
  <si>
    <t>-1.1435241939980403</t>
  </si>
  <si>
    <t>-0.40679620775034436</t>
  </si>
  <si>
    <t>4.231851021531682</t>
  </si>
  <si>
    <t>3.4608331189729866</t>
  </si>
  <si>
    <t>-0.9065839513772804</t>
  </si>
  <si>
    <t>-0.4396218586958434</t>
  </si>
  <si>
    <t>-0.8699801591432743</t>
  </si>
  <si>
    <t>5.064170489495638</t>
  </si>
  <si>
    <t>-2.5470263903133437</t>
  </si>
  <si>
    <t>-0.46606843939270365</t>
  </si>
  <si>
    <t>1.2888956790685604</t>
  </si>
  <si>
    <t>-0.6486682006718649</t>
  </si>
  <si>
    <t>-0.3400876178726815</t>
  </si>
  <si>
    <t>-2.803990434717877</t>
  </si>
  <si>
    <t>-2.5029080604935108</t>
  </si>
  <si>
    <t>-1.2543065644834637</t>
  </si>
  <si>
    <t>-2.7358707810684146</t>
  </si>
  <si>
    <t>-1.6353267252244954</t>
  </si>
  <si>
    <t>-0.7209862869803505</t>
  </si>
  <si>
    <t>-0.3580685186982191</t>
  </si>
  <si>
    <t>-1.1321483976686788</t>
  </si>
  <si>
    <t>1.2641830626402484</t>
  </si>
  <si>
    <t>6.518198907777987</t>
  </si>
  <si>
    <t>0.2838263996227378</t>
  </si>
  <si>
    <t>4.372140098435891</t>
  </si>
  <si>
    <t>-1.7618797008437945</t>
  </si>
  <si>
    <t>0.2758576545448481</t>
  </si>
  <si>
    <t>4.420661461575161</t>
  </si>
  <si>
    <t>-0.5402983486242215</t>
  </si>
  <si>
    <t>2.0070382299535874</t>
  </si>
  <si>
    <t>3.7684671088459654</t>
  </si>
  <si>
    <t>-1.1596958462966163</t>
  </si>
  <si>
    <t>0.5882166349882189</t>
  </si>
  <si>
    <t>0.26438941738059946</t>
  </si>
  <si>
    <t>0.7663852520699047</t>
  </si>
  <si>
    <t>-1.1534088423983535</t>
  </si>
  <si>
    <t>-0.38411222586824356</t>
  </si>
  <si>
    <t>0.7504427092237518</t>
  </si>
  <si>
    <t>0.23938117147353394</t>
  </si>
  <si>
    <t>1.1500860446533792</t>
  </si>
  <si>
    <t>-0.2138827683722304</t>
  </si>
  <si>
    <t>-0.797252903198756</t>
  </si>
  <si>
    <t>-0.06827021590908254</t>
  </si>
  <si>
    <t>0.5308712216613455</t>
  </si>
  <si>
    <t>1.0164766631966484</t>
  </si>
  <si>
    <t>0.35456837712542333</t>
  </si>
  <si>
    <t>0.7548026414386222</t>
  </si>
  <si>
    <t>-0.3468716665982438</t>
  </si>
  <si>
    <t>-1.0149366146902168</t>
  </si>
  <si>
    <t>0.237415353220867</t>
  </si>
  <si>
    <t>0.8654239609302012</t>
  </si>
  <si>
    <t>0.3167176501832965</t>
  </si>
  <si>
    <t>0.09373002160444398</t>
  </si>
  <si>
    <t>0.20139988015098859</t>
  </si>
  <si>
    <t>-0.985303087322931</t>
  </si>
  <si>
    <t>-1.2754640245810906</t>
  </si>
  <si>
    <t>-0.9086569633255555</t>
  </si>
  <si>
    <t>0.4492717655429145</t>
  </si>
  <si>
    <t>-0.6329516943656319</t>
  </si>
  <si>
    <t>0.46115118252149745</t>
  </si>
  <si>
    <t>-0.6412870967949648</t>
  </si>
  <si>
    <t>-0.5959276988147768</t>
  </si>
  <si>
    <t>0.12436489466043898</t>
  </si>
  <si>
    <t>2.208532464386685</t>
  </si>
  <si>
    <t>0.49007685463720996</t>
  </si>
  <si>
    <t>-2.5503388829172406</t>
  </si>
  <si>
    <t>-0.33313533066376105</t>
  </si>
  <si>
    <t>0.11048235402862383</t>
  </si>
  <si>
    <t>-0.5925057651244533</t>
  </si>
  <si>
    <t>-0.427254789284946</t>
  </si>
  <si>
    <t>-0.45866466003146233</t>
  </si>
  <si>
    <t>-0.9330383217973665</t>
  </si>
  <si>
    <t>-0.3926750859878526</t>
  </si>
  <si>
    <t>0.15934225434497967</t>
  </si>
  <si>
    <t>-0.5339215587371263</t>
  </si>
  <si>
    <t>0.6327510770557717</t>
  </si>
  <si>
    <t>-0.9541424289600127</t>
  </si>
  <si>
    <t>-0.28591209588493965</t>
  </si>
  <si>
    <t>-0.17328969536998753</t>
  </si>
  <si>
    <t>-0.5546137759930406</t>
  </si>
  <si>
    <t>0.16051561747359216</t>
  </si>
  <si>
    <t>0.6044629533974093</t>
  </si>
  <si>
    <t>-0.519275493822262</t>
  </si>
  <si>
    <t>2.0630162308758444</t>
  </si>
  <si>
    <t>-1.2996070602796896</t>
  </si>
  <si>
    <t>0.4357664684648833</t>
  </si>
  <si>
    <t>-0.8664215615338946</t>
  </si>
  <si>
    <t>0.0875531706892982</t>
  </si>
  <si>
    <t>0.07437170346975985</t>
  </si>
  <si>
    <t>-0.9066524117785003</t>
  </si>
  <si>
    <t>-0.18634486021022084</t>
  </si>
  <si>
    <t>0.7589732792233838</t>
  </si>
  <si>
    <t>-0.22857472111919283</t>
  </si>
  <si>
    <t>-0.13577177709462807</t>
  </si>
  <si>
    <t>-0.2631959718829977</t>
  </si>
  <si>
    <t>1.6242433208274913</t>
  </si>
  <si>
    <t>0.516299702017524</t>
  </si>
  <si>
    <t>0.21030403799944383</t>
  </si>
  <si>
    <t>-0.005888455737275336</t>
  </si>
  <si>
    <t>-0.3275319320780952</t>
  </si>
  <si>
    <t>0.0223916558613438</t>
  </si>
  <si>
    <t>0.04517003444879601</t>
  </si>
  <si>
    <t>0.07209504015511022</t>
  </si>
  <si>
    <t>-0.0460767028544443</t>
  </si>
  <si>
    <t>-0.5289977687274449</t>
  </si>
  <si>
    <t>0.15226708905730305</t>
  </si>
  <si>
    <t>-0.3359119947886306</t>
  </si>
  <si>
    <t>-0.7051076100518155</t>
  </si>
  <si>
    <t>-0.5947412747040334</t>
  </si>
  <si>
    <t>-0.09996075163688624</t>
  </si>
  <si>
    <t>1.1954969111277804</t>
  </si>
  <si>
    <t>1.2225803647447844</t>
  </si>
  <si>
    <t>2.5767682659610736</t>
  </si>
  <si>
    <t>0.8930409312069584</t>
  </si>
  <si>
    <t>1.0257320314168783</t>
  </si>
  <si>
    <t>1.1334454403422929</t>
  </si>
  <si>
    <t>-1.5197221574775948</t>
  </si>
  <si>
    <t>-0.9061220778784442</t>
  </si>
  <si>
    <t>0.5236359703926345</t>
  </si>
  <si>
    <t>0.3703765633656353</t>
  </si>
  <si>
    <t>-1.0927341581936834</t>
  </si>
  <si>
    <t>0.07868345516356878</t>
  </si>
  <si>
    <t>-0.11698810189392375</t>
  </si>
  <si>
    <t>-0.11426493505574131</t>
  </si>
  <si>
    <t>0.26302667016168846</t>
  </si>
  <si>
    <t>0.09572228858014903</t>
  </si>
  <si>
    <t>-0.8842069446208531</t>
  </si>
  <si>
    <t>-0.4662850497112304</t>
  </si>
  <si>
    <t>-0.15969343031566163</t>
  </si>
  <si>
    <t>-0.4360305572290589</t>
  </si>
  <si>
    <t>-0.031169264249202775</t>
  </si>
  <si>
    <t>-0.3743958442947006</t>
  </si>
  <si>
    <t>-0.3337882788321091</t>
  </si>
  <si>
    <t>-1.0666815769157187</t>
  </si>
  <si>
    <t>-0.46701301968279485</t>
  </si>
  <si>
    <t>0.19969482300492802</t>
  </si>
  <si>
    <t>0.943383100497734</t>
  </si>
  <si>
    <t>-0.8642689970935382</t>
  </si>
  <si>
    <t>-1.3595701353752663</t>
  </si>
  <si>
    <t>0.5810401733898082</t>
  </si>
  <si>
    <t>-0.7115355904362819</t>
  </si>
  <si>
    <t>0.12968535284711125</t>
  </si>
  <si>
    <t>0.13305256256365205</t>
  </si>
  <si>
    <t>-0.5774148453479444</t>
  </si>
  <si>
    <t>0.2799083688299571</t>
  </si>
  <si>
    <t>1.104690184107937</t>
  </si>
  <si>
    <t>-0.12622698531308219</t>
  </si>
  <si>
    <t>-2.0182143163247495</t>
  </si>
  <si>
    <t>-0.47875382798338967</t>
  </si>
  <si>
    <t>-1.1334233915260008</t>
  </si>
  <si>
    <t>0.6801489110833991</t>
  </si>
  <si>
    <t>-1.973770102675036</t>
  </si>
  <si>
    <t>1.0103958379909481</t>
  </si>
  <si>
    <t>1.0629740905247687</t>
  </si>
  <si>
    <t>0.04367999880114043</t>
  </si>
  <si>
    <t>-0.0016494936823749028</t>
  </si>
  <si>
    <t>-0.6337133030198937</t>
  </si>
  <si>
    <t>-0.5381476679629876</t>
  </si>
  <si>
    <t>-1.232285031883589</t>
  </si>
  <si>
    <t>-0.11692316922774547</t>
  </si>
  <si>
    <t>-0.4792930129151103</t>
  </si>
  <si>
    <t>1.8796639230135483</t>
  </si>
  <si>
    <t>0.6549602989191158</t>
  </si>
  <si>
    <t>-0.852791444773942</t>
  </si>
  <si>
    <t>0.019274032040228452</t>
  </si>
  <si>
    <t>0.6906618135842807</t>
  </si>
  <si>
    <t>0.8408772777693926</t>
  </si>
  <si>
    <t>-1.1077906511083784</t>
  </si>
  <si>
    <t>-0.35748764433965674</t>
  </si>
  <si>
    <t>0.23068507563011714</t>
  </si>
  <si>
    <t>-0.11115922670666738</t>
  </si>
  <si>
    <t>0.6727704332050587</t>
  </si>
  <si>
    <t>-0.028598879061783097</t>
  </si>
  <si>
    <t>0.18373964023406344</t>
  </si>
  <si>
    <t>-1.4123489207043185</t>
  </si>
  <si>
    <t>-0.17942855004498315</t>
  </si>
  <si>
    <t>-0.21609897721929097</t>
  </si>
  <si>
    <t>-0.60825588260456</t>
  </si>
  <si>
    <t>0.14085832646566782</t>
  </si>
  <si>
    <t>0.08268374480363097</t>
  </si>
  <si>
    <t>0.7025124390564069</t>
  </si>
  <si>
    <t>-0.7275553021566482</t>
  </si>
  <si>
    <t>0.3634342394502504</t>
  </si>
  <si>
    <t>-0.24024579543283636</t>
  </si>
  <si>
    <t>0.16482828627626708</t>
  </si>
  <si>
    <t>0.2637599082933783</t>
  </si>
  <si>
    <t>-0.28362298155044485</t>
  </si>
  <si>
    <t>-0.06929966716097881</t>
  </si>
  <si>
    <t>-0.5288155530807506</t>
  </si>
  <si>
    <t>0.28235941589754077</t>
  </si>
  <si>
    <t>0.09559791257632655</t>
  </si>
  <si>
    <t>-0.5768465054063204</t>
  </si>
  <si>
    <t>0.04644128881468521</t>
  </si>
  <si>
    <t>-0.11522530945145225</t>
  </si>
  <si>
    <t>1.2220646945275742</t>
  </si>
  <si>
    <t>0.5999035810911275</t>
  </si>
  <si>
    <t>-0.23963359616872149</t>
  </si>
  <si>
    <t>-0.43420603595209234</t>
  </si>
  <si>
    <t>0.5651095903348587</t>
  </si>
  <si>
    <t>-0.07996228924355037</t>
  </si>
  <si>
    <t>-1.3826955445031863</t>
  </si>
  <si>
    <t>-0.7210232058556447</t>
  </si>
  <si>
    <t>0.3219423465391532</t>
  </si>
  <si>
    <t>0.058568351042443276</t>
  </si>
  <si>
    <t>0.4727396964975139</t>
  </si>
  <si>
    <t>-1.3482882471080677</t>
  </si>
  <si>
    <t>-0.3724986498893535</t>
  </si>
  <si>
    <t>-0.12808251239568108</t>
  </si>
  <si>
    <t>-0.07494903241737705</t>
  </si>
  <si>
    <t>-0.1892825935527647</t>
  </si>
  <si>
    <t>-0.538665060628345</t>
  </si>
  <si>
    <t>0.27217308488294417</t>
  </si>
  <si>
    <t>-0.15460328135488785</t>
  </si>
  <si>
    <t>0.9126033157699316</t>
  </si>
  <si>
    <t>1.7169291725611724</t>
  </si>
  <si>
    <t>-0.29388604848469396</t>
  </si>
  <si>
    <t>-0.3353705852856955</t>
  </si>
  <si>
    <t>0.2935812270364334</t>
  </si>
  <si>
    <t>-0.35807419944672075</t>
  </si>
  <si>
    <t>0.023551258695368393</t>
  </si>
  <si>
    <t>-0.5572701743435116</t>
  </si>
  <si>
    <t>-0.3930778114199589</t>
  </si>
  <si>
    <t>-0.29243618440455593</t>
  </si>
  <si>
    <t>-0.08487793954270269</t>
  </si>
  <si>
    <t>0.07041345598461426</t>
  </si>
  <si>
    <t>-0.2900616660673943</t>
  </si>
  <si>
    <t>-0.3301911506224423</t>
  </si>
  <si>
    <t>0.676998325206957</t>
  </si>
  <si>
    <t>0.1008914050877759</t>
  </si>
  <si>
    <t>-0.07761802866079769</t>
  </si>
  <si>
    <t>0.1273547279265227</t>
  </si>
  <si>
    <t>-1.055250804571049</t>
  </si>
  <si>
    <t>0.2994666143524769</t>
  </si>
  <si>
    <t>0.1978201892018437</t>
  </si>
  <si>
    <t>2.352638791045229</t>
  </si>
  <si>
    <t>0.2900000037241536</t>
  </si>
  <si>
    <t>1.360862218169379</t>
  </si>
  <si>
    <t>1.3849172073263183</t>
  </si>
  <si>
    <t>0.12239252492385315</t>
  </si>
  <si>
    <t>-1.9032999480690442</t>
  </si>
  <si>
    <t>-0.32785659356413716</t>
  </si>
  <si>
    <t>0.10573295008869014</t>
  </si>
  <si>
    <t>-2.076727351606361</t>
  </si>
  <si>
    <t>-0.5845525287997986</t>
  </si>
  <si>
    <t>0.010399133088409836</t>
  </si>
  <si>
    <t>-0.35472283945313565</t>
  </si>
  <si>
    <t>-0.8287590451919238</t>
  </si>
  <si>
    <t>-0.1742178371701978</t>
  </si>
  <si>
    <t>-0.5862726748639577</t>
  </si>
  <si>
    <t>-0.6483128649614559</t>
  </si>
  <si>
    <t>-0.027085831821073502</t>
  </si>
  <si>
    <t>-1.051318834907535</t>
  </si>
  <si>
    <t>-0.3965462486555856</t>
  </si>
  <si>
    <t>0.15146233891300903</t>
  </si>
  <si>
    <t>0.4519804963138523</t>
  </si>
  <si>
    <t>-2.4093977261603574</t>
  </si>
  <si>
    <t>-1.5251993951418443</t>
  </si>
  <si>
    <t>-0.8490776096994318</t>
  </si>
  <si>
    <t>0.9430092874784222</t>
  </si>
  <si>
    <t>0.7270154446730014</t>
  </si>
  <si>
    <t>-1.7899891868291642</t>
  </si>
  <si>
    <t>0.6166042520412789</t>
  </si>
  <si>
    <t>-2.236171820968308</t>
  </si>
  <si>
    <t>-0.5533677671420484</t>
  </si>
  <si>
    <t>0.06166273400006094</t>
  </si>
  <si>
    <t>-0.5801124223903743</t>
  </si>
  <si>
    <t>0.30504100053809236</t>
  </si>
  <si>
    <t>-0.44027938796805627</t>
  </si>
  <si>
    <t>-0.13797124611756978</t>
  </si>
  <si>
    <t>-0.2625168065910647</t>
  </si>
  <si>
    <t>0.24704670170745133</t>
  </si>
  <si>
    <t>-0.016724937556999754</t>
  </si>
  <si>
    <t>-1.2005126770384584</t>
  </si>
  <si>
    <t>-0.10450895555322444</t>
  </si>
  <si>
    <t>-2.591221544666201</t>
  </si>
  <si>
    <t>1.8760029893590033</t>
  </si>
  <si>
    <t>-0.35184549942849347</t>
  </si>
  <si>
    <t>0.4557139656723452</t>
  </si>
  <si>
    <t>0.6814440173308046</t>
  </si>
  <si>
    <t>1.4356668295523443</t>
  </si>
  <si>
    <t>0.30885299299668234</t>
  </si>
  <si>
    <t>2.636398880395222</t>
  </si>
  <si>
    <t>1.257084403254801</t>
  </si>
  <si>
    <t>0.8673700394750294</t>
  </si>
  <si>
    <t>-2.8401338297308745</t>
  </si>
  <si>
    <t>3.7947365247480973</t>
  </si>
  <si>
    <t>2.447814851631154</t>
  </si>
  <si>
    <t>1.8154361257096001</t>
  </si>
  <si>
    <t>-0.08195965886569735</t>
  </si>
  <si>
    <t>0.3118286248792683</t>
  </si>
  <si>
    <t>1.1151815291240303</t>
  </si>
  <si>
    <t>-1.213442090287387</t>
  </si>
  <si>
    <t>1.160491918535195</t>
  </si>
  <si>
    <t>0.6570265875366142</t>
  </si>
  <si>
    <t>-0.24058241002118763</t>
  </si>
  <si>
    <t>0.49479677343090833</t>
  </si>
  <si>
    <t>0.22154624608165047</t>
  </si>
  <si>
    <t>0.21734194165467233</t>
  </si>
  <si>
    <t>-0.4047593136230556</t>
  </si>
  <si>
    <t>-1.0177511235640961</t>
  </si>
  <si>
    <t>-1.1935698093958405</t>
  </si>
  <si>
    <t>-0.033017621360519944</t>
  </si>
  <si>
    <t>-0.06547451305656365</t>
  </si>
  <si>
    <t>-0.5151451569144305</t>
  </si>
  <si>
    <t>-1.0302994761024458</t>
  </si>
  <si>
    <t>-1.165895995520878</t>
  </si>
  <si>
    <t>0.8847771414497297</t>
  </si>
  <si>
    <t>-1.6302758138236448</t>
  </si>
  <si>
    <t>1.7193267232250422</t>
  </si>
  <si>
    <t>0.0880365697156839</t>
  </si>
  <si>
    <t>0.16901715444677406</t>
  </si>
  <si>
    <t>0.14570556434174506</t>
  </si>
  <si>
    <t>-0.21161932474835918</t>
  </si>
  <si>
    <t>-0.15161506482696394</t>
  </si>
  <si>
    <t>-0.24049702879615464</t>
  </si>
  <si>
    <t>-0.08395043546487639</t>
  </si>
  <si>
    <t>0.042991225267951294</t>
  </si>
  <si>
    <t>-0.43475523080201733</t>
  </si>
  <si>
    <t>-0.8252379600852001</t>
  </si>
  <si>
    <t>-0.2815972358324664</t>
  </si>
  <si>
    <t>0.6600168251294136</t>
  </si>
  <si>
    <t>-0.11329974016115876</t>
  </si>
  <si>
    <t>0.04139617592989097</t>
  </si>
  <si>
    <t>-0.0777756444818816</t>
  </si>
  <si>
    <t>0.2347693339944595</t>
  </si>
  <si>
    <t>-0.0608313617191394</t>
  </si>
  <si>
    <t>0.08897463265114332</t>
  </si>
  <si>
    <t>-0.6940905761367806</t>
  </si>
  <si>
    <t>-0.05978081716485557</t>
  </si>
  <si>
    <t>-0.3596719001961468</t>
  </si>
  <si>
    <t>-0.12298386571701356</t>
  </si>
  <si>
    <t>0.529095254582213</t>
  </si>
  <si>
    <t>0.06987685351328099</t>
  </si>
  <si>
    <t>-0.204703185087039</t>
  </si>
  <si>
    <t>0.1811373859367257</t>
  </si>
  <si>
    <t>0.14610924826032737</t>
  </si>
  <si>
    <t>0.9442347229964526</t>
  </si>
  <si>
    <t>-1.6753133546253505</t>
  </si>
  <si>
    <t>-0.39909835484141076</t>
  </si>
  <si>
    <t>0.1631560286233529</t>
  </si>
  <si>
    <t>-0.3729795958124626</t>
  </si>
  <si>
    <t>0.6879704842731421</t>
  </si>
  <si>
    <t>-0.09883795459439405</t>
  </si>
  <si>
    <t>0.9344954454738882</t>
  </si>
  <si>
    <t>-0.5926595166080525</t>
  </si>
  <si>
    <t>0.29708738369216414</t>
  </si>
  <si>
    <t>1.2316647345121505</t>
  </si>
  <si>
    <t>-1.2355584250756224</t>
  </si>
  <si>
    <t>-1.2326595823734678</t>
  </si>
  <si>
    <t>0.10529046428423385</t>
  </si>
  <si>
    <t>0.3221610683196189</t>
  </si>
  <si>
    <t>-0.1082900539607053</t>
  </si>
  <si>
    <t>0.0359356836442833</t>
  </si>
  <si>
    <t>0.6032007526538822</t>
  </si>
  <si>
    <t>-0.3906240540158699</t>
  </si>
  <si>
    <t>0.10396401646750054</t>
  </si>
  <si>
    <t>0.5924670518495141</t>
  </si>
  <si>
    <t>0.8539505413086451</t>
  </si>
  <si>
    <t>0.16151727860541135</t>
  </si>
  <si>
    <t>0.04304830647298284</t>
  </si>
  <si>
    <t>-1.1208776471023125</t>
  </si>
  <si>
    <t>0.4946025056716834</t>
  </si>
  <si>
    <t>-0.4360068375118087</t>
  </si>
  <si>
    <t>-0.3706457040834362</t>
  </si>
  <si>
    <t>-1.196187685383308</t>
  </si>
  <si>
    <t>0.7263026116594781</t>
  </si>
  <si>
    <t>0.014986278374878611</t>
  </si>
  <si>
    <t>-0.23386153215914593</t>
  </si>
  <si>
    <t>-0.5145511375439028</t>
  </si>
  <si>
    <t>-0.7822603388053033</t>
  </si>
  <si>
    <t>0.2728072658521859</t>
  </si>
  <si>
    <t>-0.3974936439363644</t>
  </si>
  <si>
    <t>0.5610537434775091</t>
  </si>
  <si>
    <t>-0.1797072632299411</t>
  </si>
  <si>
    <t>1.4614628579208735</t>
  </si>
  <si>
    <t>0.1876041176337023</t>
  </si>
  <si>
    <t>0.2693374256140576</t>
  </si>
  <si>
    <t>-0.5950544445543885</t>
  </si>
  <si>
    <t>0.20914111730903565</t>
  </si>
  <si>
    <t>-0.4108486862171077</t>
  </si>
  <si>
    <t>-0.01969865779790366</t>
  </si>
  <si>
    <t>0.10447783075846624</t>
  </si>
  <si>
    <t>-0.7660642585873854</t>
  </si>
  <si>
    <t>0.2573526293977093</t>
  </si>
  <si>
    <t>-0.341611555956288</t>
  </si>
  <si>
    <t>1.2377591576036955</t>
  </si>
  <si>
    <t>-0.43409727720419683</t>
  </si>
  <si>
    <t>0.9823922184070303</t>
  </si>
  <si>
    <t>1.1169934373798471</t>
  </si>
  <si>
    <t>-1.0015166160280866</t>
  </si>
  <si>
    <t>-1.0948418709100705</t>
  </si>
  <si>
    <t>0.398687545093465</t>
  </si>
  <si>
    <t>1.5758980485009617</t>
  </si>
  <si>
    <t>-0.21154984999417642</t>
  </si>
  <si>
    <t>0.10239163390736931</t>
  </si>
  <si>
    <t>0.45598420234641407</t>
  </si>
  <si>
    <t>-1.3166936378642191</t>
  </si>
  <si>
    <t>-0.013540069104681777</t>
  </si>
  <si>
    <t>-0.33508537969453195</t>
  </si>
  <si>
    <t>0.4034065458690582</t>
  </si>
  <si>
    <t>1.404108906022898</t>
  </si>
  <si>
    <t>0.07674434904756934</t>
  </si>
  <si>
    <t>0.140979839087301</t>
  </si>
  <si>
    <t>-0.7557312626060138</t>
  </si>
  <si>
    <t>0.6251354034908005</t>
  </si>
  <si>
    <t>-0.4576817526371694</t>
  </si>
  <si>
    <t>0.14827030351395987</t>
  </si>
  <si>
    <t>1.1579610046825883</t>
  </si>
  <si>
    <t>0.5868333006081268</t>
  </si>
  <si>
    <t>-0.7720389174380324</t>
  </si>
  <si>
    <t>0.3396372237451834</t>
  </si>
  <si>
    <t>0.41877989833390156</t>
  </si>
  <si>
    <t>0.2285527258743772</t>
  </si>
  <si>
    <t>-0.8655964839480261</t>
  </si>
  <si>
    <t>0.524134649878805</t>
  </si>
  <si>
    <t>2.340301279277824</t>
  </si>
  <si>
    <t>0.6309196515495322</t>
  </si>
  <si>
    <t>-0.6495723318271723</t>
  </si>
  <si>
    <t>-0.8308738301413433</t>
  </si>
  <si>
    <t>0.6271703995384699</t>
  </si>
  <si>
    <t>-0.49770980622701194</t>
  </si>
  <si>
    <t>0.4854136828318744</t>
  </si>
  <si>
    <t>-0.3827245381648666</t>
  </si>
  <si>
    <t>0.6697208537314745</t>
  </si>
  <si>
    <t>0.3468021489391085</t>
  </si>
  <si>
    <t>-0.3203781077120067</t>
  </si>
  <si>
    <t>-1.0182968155372365</t>
  </si>
  <si>
    <t>1.0721288377343545</t>
  </si>
  <si>
    <t>-0.3076975030957903</t>
  </si>
  <si>
    <t>0.7768853066938319</t>
  </si>
  <si>
    <t>-0.4732335909859902</t>
  </si>
  <si>
    <t>0.15147776619698897</t>
  </si>
  <si>
    <t>0.4622447292983738</t>
  </si>
  <si>
    <t>-0.2339560703305386</t>
  </si>
  <si>
    <t>-0.8140983160056052</t>
  </si>
  <si>
    <t>0.739766849075535</t>
  </si>
  <si>
    <t>-0.11062453264437962</t>
  </si>
  <si>
    <t>-0.1804047766874402</t>
  </si>
  <si>
    <t>0.44068029483655535</t>
  </si>
  <si>
    <t>0.4884896546837193</t>
  </si>
  <si>
    <t>0.7406135995142294</t>
  </si>
  <si>
    <t>-0.3396198026902158</t>
  </si>
  <si>
    <t>-0.9728836632643315</t>
  </si>
  <si>
    <t>-0.32326111498778115</t>
  </si>
  <si>
    <t>0.23092438859586437</t>
  </si>
  <si>
    <t>-0.39215346205224383</t>
  </si>
  <si>
    <t>0.18455164510669014</t>
  </si>
  <si>
    <t>0.5217824229835998</t>
  </si>
  <si>
    <t>0.7692385797035514</t>
  </si>
  <si>
    <t>0.8540837985572621</t>
  </si>
  <si>
    <t>0.28481992477413937</t>
  </si>
  <si>
    <t>0.41118812063422777</t>
  </si>
  <si>
    <t>-0.04665110957977073</t>
  </si>
  <si>
    <t>1.0846062360008335</t>
  </si>
  <si>
    <t>-0.44237045755381943</t>
  </si>
  <si>
    <t>0.4358549961731686</t>
  </si>
  <si>
    <t>0.42417258234593164</t>
  </si>
  <si>
    <t>0.899793013996743</t>
  </si>
  <si>
    <t>-0.36511339699272616</t>
  </si>
  <si>
    <t>-0.039454192888237136</t>
  </si>
  <si>
    <t>0.2769861560524919</t>
  </si>
  <si>
    <t>0.6981574499164964</t>
  </si>
  <si>
    <t>-0.2789375359934875</t>
  </si>
  <si>
    <t>0.22261532977829668</t>
  </si>
  <si>
    <t>0.2756380170526254</t>
  </si>
  <si>
    <t>0.003957499862232523</t>
  </si>
  <si>
    <t>-0.7849868879601652</t>
  </si>
  <si>
    <t>-0.11759022262843569</t>
  </si>
  <si>
    <t>0.7668155671999589</t>
  </si>
  <si>
    <t>-0.6714345437881086</t>
  </si>
  <si>
    <t>0.2165524952098919</t>
  </si>
  <si>
    <t>0.04143031241134608</t>
  </si>
  <si>
    <t>-0.23476882048818082</t>
  </si>
  <si>
    <t>-1.0877947567106678</t>
  </si>
  <si>
    <t>-0.03436408097465178</t>
  </si>
  <si>
    <t>0.32368633930556673</t>
  </si>
  <si>
    <t>-0.7770006415382562</t>
  </si>
  <si>
    <t>0.3439297388861913</t>
  </si>
  <si>
    <t>0.16469667943986765</t>
  </si>
  <si>
    <t>0.11709992098013676</t>
  </si>
  <si>
    <t>-0.9135942238477254</t>
  </si>
  <si>
    <t>-0.1618227196199446</t>
  </si>
  <si>
    <t>-0.7012169351964083</t>
  </si>
  <si>
    <t>0.3406111156915293</t>
  </si>
  <si>
    <t>-0.10451363845433093</t>
  </si>
  <si>
    <t>-0.054930806437625324</t>
  </si>
  <si>
    <t>0.16802253563335662</t>
  </si>
  <si>
    <t>0.008195122360542857</t>
  </si>
  <si>
    <t>0.3059571130069035</t>
  </si>
  <si>
    <t>0.5040124998666577</t>
  </si>
  <si>
    <t>0.22301217565683595</t>
  </si>
  <si>
    <t>-0.007654138575971934</t>
  </si>
  <si>
    <t>0.11721765642161028</t>
  </si>
  <si>
    <t>0.553076345027841</t>
  </si>
  <si>
    <t>0.27671119972211333</t>
  </si>
  <si>
    <t>0.8559074408597347</t>
  </si>
  <si>
    <t>0.2290812297576362</t>
  </si>
  <si>
    <t>0.21456300312674847</t>
  </si>
  <si>
    <t>1.661010468438074</t>
  </si>
  <si>
    <t>0.3795804242189146</t>
  </si>
  <si>
    <t>-0.12312312646409199</t>
  </si>
  <si>
    <t>0.19932146522855038</t>
  </si>
  <si>
    <t>0.1939937248271334</t>
  </si>
  <si>
    <t>-1.6062059707751797</t>
  </si>
  <si>
    <t>1.0692663543870844</t>
  </si>
  <si>
    <t>-0.5615461993796166</t>
  </si>
  <si>
    <t>-0.04105092821507477</t>
  </si>
  <si>
    <t>0.27959443934983097</t>
  </si>
  <si>
    <t>0.642000030011409</t>
  </si>
  <si>
    <t>-1.1254491412620624</t>
  </si>
  <si>
    <t>1.2474699957061215</t>
  </si>
  <si>
    <t>-0.12960913350357847</t>
  </si>
  <si>
    <t>-1.3868896383591618</t>
  </si>
  <si>
    <t>0.3814056094829757</t>
  </si>
  <si>
    <t>-0.5680633806446315</t>
  </si>
  <si>
    <t>-0.2823432809489853</t>
  </si>
  <si>
    <t>0.5420612480121957</t>
  </si>
  <si>
    <t>-0.9865304352789309</t>
  </si>
  <si>
    <t>-0.12226323276879754</t>
  </si>
  <si>
    <t>-0.059653956114060665</t>
  </si>
  <si>
    <t>-0.11824419483276571</t>
  </si>
  <si>
    <t>0.1587207371770201</t>
  </si>
  <si>
    <t>-0.08232916299240295</t>
  </si>
  <si>
    <t>-0.9563505037816273</t>
  </si>
  <si>
    <t>0.24346180287552563</t>
  </si>
  <si>
    <t>-0.5510590252960317</t>
  </si>
  <si>
    <t>-0.11066918795763901</t>
  </si>
  <si>
    <t>-1.1901684618548654</t>
  </si>
  <si>
    <t>0.3982836017343767</t>
  </si>
  <si>
    <t>0.12043503884249447</t>
  </si>
  <si>
    <t>0.1836703714843555</t>
  </si>
  <si>
    <t>0.7265165158128853</t>
  </si>
  <si>
    <t>-0.19847412712626422</t>
  </si>
  <si>
    <t>-0.19976209754043758</t>
  </si>
  <si>
    <t>-0.3816871409554495</t>
  </si>
  <si>
    <t>0.4804219387557786</t>
  </si>
  <si>
    <t>-0.08879435876223794</t>
  </si>
  <si>
    <t>-0.0025730246588673527</t>
  </si>
  <si>
    <t>0.6072797252224472</t>
  </si>
  <si>
    <t>-0.38881684978528597</t>
  </si>
  <si>
    <t>-0.3867954119822767</t>
  </si>
  <si>
    <t>-0.6117588885369777</t>
  </si>
  <si>
    <t>-0.10905763762443789</t>
  </si>
  <si>
    <t>-1.191172792898495</t>
  </si>
  <si>
    <t>0.4793174297000604</t>
  </si>
  <si>
    <t>0.5382352527003706</t>
  </si>
  <si>
    <t>-0.5036106085659983</t>
  </si>
  <si>
    <t>-0.7316664699317408</t>
  </si>
  <si>
    <t>1.0464098607504693</t>
  </si>
  <si>
    <t>-0.15956875336640444</t>
  </si>
  <si>
    <t>-0.4534929590413479</t>
  </si>
  <si>
    <t>-1.0820565569396698</t>
  </si>
  <si>
    <t>0.005339293824885923</t>
  </si>
  <si>
    <t>0.7487742515503952</t>
  </si>
  <si>
    <t>0.12781066207755082</t>
  </si>
  <si>
    <t>0.47090137971559387</t>
  </si>
  <si>
    <t>0.022842006920194537</t>
  </si>
  <si>
    <t>-0.5280619570518821</t>
  </si>
  <si>
    <t>-0.515162801099344</t>
  </si>
  <si>
    <t>0.47973950800067977</t>
  </si>
  <si>
    <t>0.33704618406353215</t>
  </si>
  <si>
    <t>0.592591083981298</t>
  </si>
  <si>
    <t>0.27826208014260595</t>
  </si>
  <si>
    <t>0.7849526988047794</t>
  </si>
  <si>
    <t>0.4763107212726737</t>
  </si>
  <si>
    <t>-0.19831411732106147</t>
  </si>
  <si>
    <t>2.3224833331316583</t>
  </si>
  <si>
    <t>-0.1560563581640902</t>
  </si>
  <si>
    <t>0.3312388537081134</t>
  </si>
  <si>
    <t>-0.2532297988968341</t>
  </si>
  <si>
    <t>0.042643386430645774</t>
  </si>
  <si>
    <t>0.12340641202065616</t>
  </si>
  <si>
    <t>0.59781655956947</t>
  </si>
  <si>
    <t>0.4525711568057701</t>
  </si>
  <si>
    <t>1.0248789468937467</t>
  </si>
  <si>
    <t>-0.6346914605066414</t>
  </si>
  <si>
    <t>0.087063686654313</t>
  </si>
  <si>
    <t>0.5469449302723</t>
  </si>
  <si>
    <t>0.1742345215078081</t>
  </si>
  <si>
    <t>-0.14495295158452212</t>
  </si>
  <si>
    <t>-0.41877538224520594</t>
  </si>
  <si>
    <t>0.5365187859271496</t>
  </si>
  <si>
    <t>-0.02119306438445166</t>
  </si>
  <si>
    <t>1.666540356312538</t>
  </si>
  <si>
    <t>-0.4824498941886043</t>
  </si>
  <si>
    <t>0.23718517150299076</t>
  </si>
  <si>
    <t>-0.38641495488884975</t>
  </si>
  <si>
    <t>0.011162201909095986</t>
  </si>
  <si>
    <t>0.21241353177077488</t>
  </si>
  <si>
    <t>-0.4794885343847642</t>
  </si>
  <si>
    <t>0.2686916007496131</t>
  </si>
  <si>
    <t>1.3211801459760864</t>
  </si>
  <si>
    <t>1.2052250110713334</t>
  </si>
  <si>
    <t>0.34293396873671145</t>
  </si>
  <si>
    <t>1.008167062310845</t>
  </si>
  <si>
    <t>0.5983976013604069</t>
  </si>
  <si>
    <t>0.710304547201444</t>
  </si>
  <si>
    <t>-0.40522412732083424</t>
  </si>
  <si>
    <t>0.5646544373631728</t>
  </si>
  <si>
    <t>0.3136185165326791</t>
  </si>
  <si>
    <t>-0.6457481745154192</t>
  </si>
  <si>
    <t>-0.5722199726375783</t>
  </si>
  <si>
    <t>-1.3303988017708932</t>
  </si>
  <si>
    <t>-0.2768052933059952</t>
  </si>
  <si>
    <t>-1.3111133721919623</t>
  </si>
  <si>
    <t>1.6864635829737342</t>
  </si>
  <si>
    <t>0.16583673247908176</t>
  </si>
  <si>
    <t>-2.1051848288065265</t>
  </si>
  <si>
    <t>-1.57999935494202</t>
  </si>
  <si>
    <t>-0.3145575630346409</t>
  </si>
  <si>
    <t>-0.5287474038408299</t>
  </si>
  <si>
    <t>0.37191223713932564</t>
  </si>
  <si>
    <t>0.42646046482126154</t>
  </si>
  <si>
    <t>1.3732449260529</t>
  </si>
  <si>
    <t>-0.24683153959232804</t>
  </si>
  <si>
    <t>0.1930062438007525</t>
  </si>
  <si>
    <t>0.6814546186114142</t>
  </si>
  <si>
    <t>1.9510070882597712</t>
  </si>
  <si>
    <t>-0.0735717745513646</t>
  </si>
  <si>
    <t>0.3487001653644373</t>
  </si>
  <si>
    <t>0.3351781806700365</t>
  </si>
  <si>
    <t>-0.020257288974365878</t>
  </si>
  <si>
    <t>0.3155098643629613</t>
  </si>
  <si>
    <t>0.2828743736047338</t>
  </si>
  <si>
    <t>0.9143260967265885</t>
  </si>
  <si>
    <t>-0.11352815393465755</t>
  </si>
  <si>
    <t>-0.12990179755150186</t>
  </si>
  <si>
    <t>0.22144401986928558</t>
  </si>
  <si>
    <t>-0.572133046781907</t>
  </si>
  <si>
    <t>0.21404892648671112</t>
  </si>
  <si>
    <t>0.31494166027441367</t>
  </si>
  <si>
    <t>1.377144109797445</t>
  </si>
  <si>
    <t>0.446989132963648</t>
  </si>
  <si>
    <t>-0.3130326752092557</t>
  </si>
  <si>
    <t>-0.17122915596010085</t>
  </si>
  <si>
    <t>-0.6812127013505334</t>
  </si>
  <si>
    <t>1.0134658486236965</t>
  </si>
  <si>
    <t>-0.791624863019489</t>
  </si>
  <si>
    <t>1.3284085294567192</t>
  </si>
  <si>
    <t>-0.013541087494502098</t>
  </si>
  <si>
    <t>0.003562462899402251</t>
  </si>
  <si>
    <t>-0.31376349296627903</t>
  </si>
  <si>
    <t>0.5265441545629064</t>
  </si>
  <si>
    <t>-0.43293501897264275</t>
  </si>
  <si>
    <t>1.343406425386953</t>
  </si>
  <si>
    <t>-0.40976546149727877</t>
  </si>
  <si>
    <t>-0.5356771312009471</t>
  </si>
  <si>
    <t>-0.9116276388651448</t>
  </si>
  <si>
    <t>0.1732701307196121</t>
  </si>
  <si>
    <t>0.0637063438168499</t>
  </si>
  <si>
    <t>0.8895745442651055</t>
  </si>
  <si>
    <t>0.0901492848179242</t>
  </si>
  <si>
    <t>1.6589073183109624</t>
  </si>
  <si>
    <t>-0.8360469768343683</t>
  </si>
  <si>
    <t>-0.28012664423243944</t>
  </si>
  <si>
    <t>0.19646669966424646</t>
  </si>
  <si>
    <t>0.3352619359147133</t>
  </si>
  <si>
    <t>-0.10669199822582635</t>
  </si>
  <si>
    <t>0.08823081058810969</t>
  </si>
  <si>
    <t>0.09439784384228059</t>
  </si>
  <si>
    <t>-0.36169075664757877</t>
  </si>
  <si>
    <t>0.7482207338666065</t>
  </si>
  <si>
    <t>-0.5915576124952795</t>
  </si>
  <si>
    <t>-0.4146159449746451</t>
  </si>
  <si>
    <t>-1.5803088387970048</t>
  </si>
  <si>
    <t>0.04210075507728196</t>
  </si>
  <si>
    <t>0.44586775551527025</t>
  </si>
  <si>
    <t>-0.21125588530694084</t>
  </si>
  <si>
    <t>0.8347781645512221</t>
  </si>
  <si>
    <t>-0.5225411014384289</t>
  </si>
  <si>
    <t>-0.24352669050407788</t>
  </si>
  <si>
    <t>-0.39773069174096704</t>
  </si>
  <si>
    <t>-0.03837640249412812</t>
  </si>
  <si>
    <t>1.0535115443034606</t>
  </si>
  <si>
    <t>-0.5957110380361982</t>
  </si>
  <si>
    <t>0.9181718042373143</t>
  </si>
  <si>
    <t>-0.949669493050011</t>
  </si>
  <si>
    <t>1.0512110371619385</t>
  </si>
  <si>
    <t>1.110872472848998</t>
  </si>
  <si>
    <t>0.7733403640981423</t>
  </si>
  <si>
    <t>-0.3010608853265969</t>
  </si>
  <si>
    <t>0.7485641208234705</t>
  </si>
  <si>
    <t>-0.33467132915902714</t>
  </si>
  <si>
    <t>-0.10065902587081531</t>
  </si>
  <si>
    <t>-1.0676873348724059</t>
  </si>
  <si>
    <t>0.9300894174382501</t>
  </si>
  <si>
    <t>0.2714076869828568</t>
  </si>
  <si>
    <t>-1.0026481579260174</t>
  </si>
  <si>
    <t>0.7074745680918376</t>
  </si>
  <si>
    <t>0.06775734834773</t>
  </si>
  <si>
    <t>-1.0939616723758085</t>
  </si>
  <si>
    <t>-0.572082920613687</t>
  </si>
  <si>
    <t>-0.5340534024308411</t>
  </si>
  <si>
    <t>0.6115600775652434</t>
  </si>
  <si>
    <t>-1.0744883770959828</t>
  </si>
  <si>
    <t>0.5468680526707603</t>
  </si>
  <si>
    <t>-0.11878056702958831</t>
  </si>
  <si>
    <t>0.17726818863142768</t>
  </si>
  <si>
    <t>0.613202007749025</t>
  </si>
  <si>
    <t>-0.8703244962721921</t>
  </si>
  <si>
    <t>0.9865475345919879</t>
  </si>
  <si>
    <t>-1.4386656050079505</t>
  </si>
  <si>
    <t>0.06852455875133398</t>
  </si>
  <si>
    <t>0.5666978575203742</t>
  </si>
  <si>
    <t>-0.27318178766081563</t>
  </si>
  <si>
    <t>0.2577482277824693</t>
  </si>
  <si>
    <t>0.8943342883198254</t>
  </si>
  <si>
    <t>0.2876952869333334</t>
  </si>
  <si>
    <t>0.6654957347034708</t>
  </si>
  <si>
    <t>1.7390759327536771</t>
  </si>
  <si>
    <t>3.400228784984465</t>
  </si>
  <si>
    <t>0.9094726615704484</t>
  </si>
  <si>
    <t>0.9044347038089331</t>
  </si>
  <si>
    <t>0.6012658958719178</t>
  </si>
  <si>
    <t>-0.08452215802571263</t>
  </si>
  <si>
    <t>-0.396036426017368</t>
  </si>
  <si>
    <t>-0.18092698732760018</t>
  </si>
  <si>
    <t>-0.6596893623581871</t>
  </si>
  <si>
    <t>-0.10533570073500567</t>
  </si>
  <si>
    <t>0.3611093829879917</t>
  </si>
  <si>
    <t>0.6939594501702904</t>
  </si>
  <si>
    <t>-0.622134337813603</t>
  </si>
  <si>
    <t>0.10266015681577956</t>
  </si>
  <si>
    <t>0.4340896912055594</t>
  </si>
  <si>
    <t>0.029494616403556627</t>
  </si>
  <si>
    <t>1.299613968521151</t>
  </si>
  <si>
    <t>0.8167071344443604</t>
  </si>
  <si>
    <t>0.46096512678190166</t>
  </si>
  <si>
    <t>1.3378129894427848</t>
  </si>
  <si>
    <t>0.5682000838412627</t>
  </si>
  <si>
    <t>-0.5870843185410101</t>
  </si>
  <si>
    <t>-0.22588610432023243</t>
  </si>
  <si>
    <t>1.4063128336781396</t>
  </si>
  <si>
    <t>-0.4041128164154273</t>
  </si>
  <si>
    <t>-0.27461237394877464</t>
  </si>
  <si>
    <t>0.013930752797150768</t>
  </si>
  <si>
    <t>1.5544693093533368</t>
  </si>
  <si>
    <t>-1.1747598188032626</t>
  </si>
  <si>
    <t>0.9462508139479604</t>
  </si>
  <si>
    <t>-0.5643455130730145</t>
  </si>
  <si>
    <t>0.5643511170187823</t>
  </si>
  <si>
    <t>-1.0206970525767882</t>
  </si>
  <si>
    <t>-0.11412506107772465</t>
  </si>
  <si>
    <t>-1.0347318755402766</t>
  </si>
  <si>
    <t>-2.1895672214190687</t>
  </si>
  <si>
    <t>-2.888697320634578</t>
  </si>
  <si>
    <t>-0.4101144257288607</t>
  </si>
  <si>
    <t>-2.165499052928483</t>
  </si>
  <si>
    <t>2.3790764248419602</t>
  </si>
  <si>
    <t>-3.6492387425300232</t>
  </si>
  <si>
    <t>-0.5886194614409334</t>
  </si>
  <si>
    <t>1.56381541653796</t>
  </si>
  <si>
    <t>0.7415877665977255</t>
  </si>
  <si>
    <t>-0.7984872932356545</t>
  </si>
  <si>
    <t>-1.624164290950809</t>
  </si>
  <si>
    <t>-4.111905551131028</t>
  </si>
  <si>
    <t>4.910771892484726</t>
  </si>
  <si>
    <t>0.5450812613928983</t>
  </si>
  <si>
    <t>0.8319903922176024</t>
  </si>
  <si>
    <t>-0.14744601960417886</t>
  </si>
  <si>
    <t>-0.027102133805737904</t>
  </si>
  <si>
    <t>-0.8677242798101434</t>
  </si>
  <si>
    <t>1.3306419425680558</t>
  </si>
  <si>
    <t>-0.6976564789595907</t>
  </si>
  <si>
    <t>2.737006696248183</t>
  </si>
  <si>
    <t>0.1869325516223291</t>
  </si>
  <si>
    <t>-1.4865450450226099</t>
  </si>
  <si>
    <t>0.7831868345852333</t>
  </si>
  <si>
    <t>-0.07338586556102646</t>
  </si>
  <si>
    <t>-0.7139734113197614</t>
  </si>
  <si>
    <t>1.0461538734898184</t>
  </si>
  <si>
    <t>-0.6441573504783241</t>
  </si>
  <si>
    <t>-0.1219097727398382</t>
  </si>
  <si>
    <t>-0.13649396123472804</t>
  </si>
  <si>
    <t>0.9469775896174623</t>
  </si>
  <si>
    <t>0.7645892849904783</t>
  </si>
  <si>
    <t>-0.3326539432376923</t>
  </si>
  <si>
    <t>0.7094189439413852</t>
  </si>
  <si>
    <t>0.5950177999392892</t>
  </si>
  <si>
    <t>-0.44132384026000804</t>
  </si>
  <si>
    <t>-0.7097177298095514</t>
  </si>
  <si>
    <t>0.4062787172293414</t>
  </si>
  <si>
    <t>1.4456769223809416</t>
  </si>
  <si>
    <t>1.062679646574597</t>
  </si>
  <si>
    <t>0.6695602102214158</t>
  </si>
  <si>
    <t>-0.21080361273201753</t>
  </si>
  <si>
    <t>-1.0286026749236767</t>
  </si>
  <si>
    <t>0.29946376704209576</t>
  </si>
  <si>
    <t>-0.17293158878545534</t>
  </si>
  <si>
    <t>-0.5529051978278893</t>
  </si>
  <si>
    <t>1.2634299176856247</t>
  </si>
  <si>
    <t>2.289455208992482</t>
  </si>
  <si>
    <t>-2.8020583325046524</t>
  </si>
  <si>
    <t>-1.055159666150283</t>
  </si>
  <si>
    <t>-0.9696516973878241</t>
  </si>
  <si>
    <t>0.8850108812206139</t>
  </si>
  <si>
    <t>-0.39323517375757855</t>
  </si>
  <si>
    <t>-0.3694378881175341</t>
  </si>
  <si>
    <t>-0.44685709554725733</t>
  </si>
  <si>
    <t>-0.5242084100498373</t>
  </si>
  <si>
    <t>0.28910550900416987</t>
  </si>
  <si>
    <t>0.08765617245800274</t>
  </si>
  <si>
    <t>0.13006940385679033</t>
  </si>
  <si>
    <t>-0.05841156887847273</t>
  </si>
  <si>
    <t>0.11398116473699596</t>
  </si>
  <si>
    <t>-0.5167701678959917</t>
  </si>
  <si>
    <t>0.19512141650754444</t>
  </si>
  <si>
    <t>-0.39000449648768526</t>
  </si>
  <si>
    <t>-0.5845605351118608</t>
  </si>
  <si>
    <t>-0.5999455166256958</t>
  </si>
  <si>
    <t>0.9589188226533746</t>
  </si>
  <si>
    <t>0.10223765911512862</t>
  </si>
  <si>
    <t>-0.16061474740202494</t>
  </si>
  <si>
    <t>0.5837977746323448</t>
  </si>
  <si>
    <t>0.8320169641717334</t>
  </si>
  <si>
    <t>0.8270642081835635</t>
  </si>
  <si>
    <t>-0.6046856643999708</t>
  </si>
  <si>
    <t>0.31738478770784867</t>
  </si>
  <si>
    <t>0.536468750283486</t>
  </si>
  <si>
    <t>-0.7307478888477644</t>
  </si>
  <si>
    <t>1.2065790753123649</t>
  </si>
  <si>
    <t>-0.26750208415590276</t>
  </si>
  <si>
    <t>0.18752814769912854</t>
  </si>
  <si>
    <t>-0.29970208060784415</t>
  </si>
  <si>
    <t>0.4892846760303345</t>
  </si>
  <si>
    <t>0.3258942458076433</t>
  </si>
  <si>
    <t>0.5282870102996874</t>
  </si>
  <si>
    <t>0.9387482499692903</t>
  </si>
  <si>
    <t>0.3823913118888673</t>
  </si>
  <si>
    <t>-0.47367368421721373</t>
  </si>
  <si>
    <t>-0.34642612647490967</t>
  </si>
  <si>
    <t>-0.22579659810624464</t>
  </si>
  <si>
    <t>1.068005393287329</t>
  </si>
  <si>
    <t>-0.6316973371251785</t>
  </si>
  <si>
    <t>0.7459472309562782</t>
  </si>
  <si>
    <t>0.436938889831184</t>
  </si>
  <si>
    <t>0.08744737811125744</t>
  </si>
  <si>
    <t>1.1765760317981928</t>
  </si>
  <si>
    <t>-0.05718181790701556</t>
  </si>
  <si>
    <t>-0.46202267803367614</t>
  </si>
  <si>
    <t>0.4082655814977581</t>
  </si>
  <si>
    <t>0.20583979794110016</t>
  </si>
  <si>
    <t>0.6197919215212716</t>
  </si>
  <si>
    <t>-0.1584750731940561</t>
  </si>
  <si>
    <t>-0.9021641829053119</t>
  </si>
  <si>
    <t>0.9497405375124678</t>
  </si>
  <si>
    <t>-0.5032615284471016</t>
  </si>
  <si>
    <t>-0.7012378719025922</t>
  </si>
  <si>
    <t>0.15144106442034727</t>
  </si>
  <si>
    <t>-0.057919739988851526</t>
  </si>
  <si>
    <t>0.39501714287111606</t>
  </si>
  <si>
    <t>1.0114235295591476</t>
  </si>
  <si>
    <t>-0.28574811884174195</t>
  </si>
  <si>
    <t>0.05046532603941488</t>
  </si>
  <si>
    <t>0.21219333729478243</t>
  </si>
  <si>
    <t>0.3304850240846642</t>
  </si>
  <si>
    <t>0.3240267972810248</t>
  </si>
  <si>
    <t>0.4289829587033909</t>
  </si>
  <si>
    <t>-0.6956543814692977</t>
  </si>
  <si>
    <t>0.7155256459307457</t>
  </si>
  <si>
    <t>0.740525627132655</t>
  </si>
  <si>
    <t>-0.8654567816779298</t>
  </si>
  <si>
    <t>1.6359001087443081</t>
  </si>
  <si>
    <t>-0.34122709458596956</t>
  </si>
  <si>
    <t>-0.7724119271383896</t>
  </si>
  <si>
    <t>-0.042666463957848455</t>
  </si>
  <si>
    <t>0.9106161098904934</t>
  </si>
  <si>
    <t>1.0737756491560653</t>
  </si>
  <si>
    <t>-0.26444013395529586</t>
  </si>
  <si>
    <t>0.7164329448910948</t>
  </si>
  <si>
    <t>0.6837943480375411</t>
  </si>
  <si>
    <t>-0.004748730267339346</t>
  </si>
  <si>
    <t>-1.0558199934398798</t>
  </si>
  <si>
    <t>-0.16943436548710925</t>
  </si>
  <si>
    <t>-0.3259881401039923</t>
  </si>
  <si>
    <t>-0.6366846530745425</t>
  </si>
  <si>
    <t>-0.6960198985783133</t>
  </si>
  <si>
    <t>-1.3604941599354723</t>
  </si>
  <si>
    <t>-0.9919194759626709</t>
  </si>
  <si>
    <t>-0.12407328992681349</t>
  </si>
  <si>
    <t>0.14887099503808723</t>
  </si>
  <si>
    <t>-0.1312687254232202</t>
  </si>
  <si>
    <t>1.0133695193121708</t>
  </si>
  <si>
    <t>-1.5932202207923836</t>
  </si>
  <si>
    <t>0.2509123455951621</t>
  </si>
  <si>
    <t>0.08171846551020143</t>
  </si>
  <si>
    <t>-1.4688079472505702</t>
  </si>
  <si>
    <t>-0.8304621839208829</t>
  </si>
  <si>
    <t>-1.3967393035352083</t>
  </si>
  <si>
    <t>-0.15267123030938362</t>
  </si>
  <si>
    <t>0.7035412080682885</t>
  </si>
  <si>
    <t>-1.9698047608009492</t>
  </si>
  <si>
    <t>-0.39872307047500855</t>
  </si>
  <si>
    <t>1.342855576262206</t>
  </si>
  <si>
    <t>0.7106754960593096</t>
  </si>
  <si>
    <t>-0.091208147940757</t>
  </si>
  <si>
    <t>0.26917004872161604</t>
  </si>
  <si>
    <t>0.9173060558893966</t>
  </si>
  <si>
    <t>-0.1207925563776999</t>
  </si>
  <si>
    <t>-0.5964419501741776</t>
  </si>
  <si>
    <t>-1.0005903706820176</t>
  </si>
  <si>
    <t>1.0689755777433254</t>
  </si>
  <si>
    <t>-1.5047970209505994</t>
  </si>
  <si>
    <t>1.3768206627316095</t>
  </si>
  <si>
    <t>-0.5931853327741176</t>
  </si>
  <si>
    <t>-0.46180356317326215</t>
  </si>
  <si>
    <t>-0.36450299606826053</t>
  </si>
  <si>
    <t>0.43540425425546064</t>
  </si>
  <si>
    <t>2.0968001551531543</t>
  </si>
  <si>
    <t>-0.7262071172296817</t>
  </si>
  <si>
    <t>1.5255419022819077</t>
  </si>
  <si>
    <t>-0.044986838013115996</t>
  </si>
  <si>
    <t>0.05672518076889698</t>
  </si>
  <si>
    <t>1.6272341878068386</t>
  </si>
  <si>
    <t>-2.0651630439815136</t>
  </si>
  <si>
    <t>0.22183542368614503</t>
  </si>
  <si>
    <t>0.12913703153223924</t>
  </si>
  <si>
    <t>-0.8025087751067012</t>
  </si>
  <si>
    <t>-0.11383968834781648</t>
  </si>
  <si>
    <t>0.03217682100288412</t>
  </si>
  <si>
    <t>-0.4259127826622479</t>
  </si>
  <si>
    <t>-0.4612112486290142</t>
  </si>
  <si>
    <t>0.41407387757591857</t>
  </si>
  <si>
    <t>1.7498463765015337</t>
  </si>
  <si>
    <t>-1.3870444923753102</t>
  </si>
  <si>
    <t>0.3203196235853151</t>
  </si>
  <si>
    <t>0.6640569278815202</t>
  </si>
  <si>
    <t>-0.5195879781718745</t>
  </si>
  <si>
    <t>-0.12601135001474575</t>
  </si>
  <si>
    <t>-0.19532480322853243</t>
  </si>
  <si>
    <t>-0.8930645927106249</t>
  </si>
  <si>
    <t>0.24741441562649616</t>
  </si>
  <si>
    <t>0.03048516487112545</t>
  </si>
  <si>
    <t>0.11336055792417388</t>
  </si>
  <si>
    <t>1.0882550795072654</t>
  </si>
  <si>
    <t>0.23458637765082113</t>
  </si>
  <si>
    <t>-1.0169301091674305</t>
  </si>
  <si>
    <t>0.4368096307782387</t>
  </si>
  <si>
    <t>-0.3590620400321852</t>
  </si>
  <si>
    <t>-0.46602856643429136</t>
  </si>
  <si>
    <t>-0.8694407698468427</t>
  </si>
  <si>
    <t>0.5475490372877666</t>
  </si>
  <si>
    <t>0.05724266429490986</t>
  </si>
  <si>
    <t>-0.1400604059935357</t>
  </si>
  <si>
    <t>-0.3033645195369933</t>
  </si>
  <si>
    <t>0.12021071579874236</t>
  </si>
  <si>
    <t>0.9008445149034742</t>
  </si>
  <si>
    <t>-0.6184872065609537</t>
  </si>
  <si>
    <t>-0.04947939488381326</t>
  </si>
  <si>
    <t>0.18992478356629983</t>
  </si>
  <si>
    <t>-0.15307555674431803</t>
  </si>
  <si>
    <t>1.9946846305107488</t>
  </si>
  <si>
    <t>0.17155069809936777</t>
  </si>
  <si>
    <t>-0.43801244123126887</t>
  </si>
  <si>
    <t>-0.43443449722878785</t>
  </si>
  <si>
    <t>0.7033566132493734</t>
  </si>
  <si>
    <t>1.0936562413707338</t>
  </si>
  <si>
    <t>-1.2407959119838246</t>
  </si>
  <si>
    <t>0.8746496634179002</t>
  </si>
  <si>
    <t>-0.005836712401358628</t>
  </si>
  <si>
    <t>-0.052354517260753373</t>
  </si>
  <si>
    <t>-0.8691368072719132</t>
  </si>
  <si>
    <t>-0.2416522521758467</t>
  </si>
  <si>
    <t>-0.06128468174754973</t>
  </si>
  <si>
    <t>-1.0789812450790819</t>
  </si>
  <si>
    <t>0.09981405990131716</t>
  </si>
  <si>
    <t>0.6818979813938773</t>
  </si>
  <si>
    <t>0.04075724643523577</t>
  </si>
  <si>
    <t>-0.11422897536287516</t>
  </si>
  <si>
    <t>1.2309998895345275</t>
  </si>
  <si>
    <t>-0.4967141363582548</t>
  </si>
  <si>
    <t>-0.9475778905942196</t>
  </si>
  <si>
    <t>-1.3570842488152395</t>
  </si>
  <si>
    <t>0.5746143267819547</t>
  </si>
  <si>
    <t>0.17834965809664666</t>
  </si>
  <si>
    <t>-0.5294818956178665</t>
  </si>
  <si>
    <t>-0.7357322319854702</t>
  </si>
  <si>
    <t>0.1761515926690058</t>
  </si>
  <si>
    <t>-0.472284164977069</t>
  </si>
  <si>
    <t>0.2916087940965457</t>
  </si>
  <si>
    <t>-0.13076377014559976</t>
  </si>
  <si>
    <t>0.07920684195514939</t>
  </si>
  <si>
    <t>-0.1210058896630066</t>
  </si>
  <si>
    <t>-0.8924200934991221</t>
  </si>
  <si>
    <t>0.06760010136151574</t>
  </si>
  <si>
    <t>-1.017058578887825</t>
  </si>
  <si>
    <t>-0.8539400746038337</t>
  </si>
  <si>
    <t>-0.4017186380291426</t>
  </si>
  <si>
    <t>0.39948989153770065</t>
  </si>
  <si>
    <t>0.08959728178051116</t>
  </si>
  <si>
    <t>-1.0886583103905274</t>
  </si>
  <si>
    <t>-0.9687876112330461</t>
  </si>
  <si>
    <t>0.5164457786951364</t>
  </si>
  <si>
    <t>-0.35101084078394357</t>
  </si>
  <si>
    <t>1.2377467344441053</t>
  </si>
  <si>
    <t>-0.9498720356911459</t>
  </si>
  <si>
    <t>1.3967421658377728</t>
  </si>
  <si>
    <t>-0.026007314874994338</t>
  </si>
  <si>
    <t>0.46703461927329587</t>
  </si>
  <si>
    <t>-1.0451834592956428</t>
  </si>
  <si>
    <t>0.02158548777536389</t>
  </si>
  <si>
    <t>1.3126858245367385</t>
  </si>
  <si>
    <t>0.13045619494312422</t>
  </si>
  <si>
    <t>-0.38964201276632954</t>
  </si>
  <si>
    <t>-0.7698198847242407</t>
  </si>
  <si>
    <t>-0.44128338116539406</t>
  </si>
  <si>
    <t>-0.13244085042283105</t>
  </si>
  <si>
    <t>0.2918155092108653</t>
  </si>
  <si>
    <t>-0.6341021103412934</t>
  </si>
  <si>
    <t>1.7849464887111268</t>
  </si>
  <si>
    <t>-1.0741220892508228</t>
  </si>
  <si>
    <t>0.6208598910781519</t>
  </si>
  <si>
    <t>-0.16793727900407754</t>
  </si>
  <si>
    <t>-0.12237127451638267</t>
  </si>
  <si>
    <t>0.415105842211972</t>
  </si>
  <si>
    <t>-0.8178510146447647</t>
  </si>
  <si>
    <t>-1.3677802838172448</t>
  </si>
  <si>
    <t>1.29171303247299</t>
  </si>
  <si>
    <t>1.3656867817563996</t>
  </si>
  <si>
    <t>-0.2707290349057126</t>
  </si>
  <si>
    <t>0.10700118060422412</t>
  </si>
  <si>
    <t>-0.1858928160355917</t>
  </si>
  <si>
    <t>0.8537126896973183</t>
  </si>
  <si>
    <t>0.4261212783506824</t>
  </si>
  <si>
    <t>-1.1833892579984655</t>
  </si>
  <si>
    <t>-0.03710635749113627</t>
  </si>
  <si>
    <t>-0.34381120960983186</t>
  </si>
  <si>
    <t>0.0885477627318874</t>
  </si>
  <si>
    <t>0.8264135226647181</t>
  </si>
  <si>
    <t>0.12593273775276562</t>
  </si>
  <si>
    <t>1.0123368227955916</t>
  </si>
  <si>
    <t>-2.0529542811945958</t>
  </si>
  <si>
    <t>-0.18430379027400093</t>
  </si>
  <si>
    <t>-0.5413423731383185</t>
  </si>
  <si>
    <t>0.42530160599575206</t>
  </si>
  <si>
    <t>0.40033725518268837</t>
  </si>
  <si>
    <t>-1.5129668958115463</t>
  </si>
  <si>
    <t>-0.6129629329420165</t>
  </si>
  <si>
    <t>-0.8098730390962681</t>
  </si>
  <si>
    <t>0.6130945989901333</t>
  </si>
  <si>
    <t>-0.0378009936003176</t>
  </si>
  <si>
    <t>-0.5521951168356162</t>
  </si>
  <si>
    <t>0.025203944353409977</t>
  </si>
  <si>
    <t>0.0853934227361851</t>
  </si>
  <si>
    <t>-0.5685057186042554</t>
  </si>
  <si>
    <t>-0.7310561014251493</t>
  </si>
  <si>
    <t>1.008702223786053</t>
  </si>
  <si>
    <t>0.09850309601788924</t>
  </si>
  <si>
    <t>0.3971001120453014</t>
  </si>
  <si>
    <t>0.758609459591082</t>
  </si>
  <si>
    <t>0.26174122665867106</t>
  </si>
  <si>
    <t>0.628495457440375</t>
  </si>
  <si>
    <t>2.938317366487882</t>
  </si>
  <si>
    <t>1.2395852297394476</t>
  </si>
  <si>
    <t>0.5632945124596537</t>
  </si>
  <si>
    <t>-1.7301433384921092</t>
  </si>
  <si>
    <t>0.5437144513277836</t>
  </si>
  <si>
    <t>1.5955831655612205</t>
  </si>
  <si>
    <t>-0.29194925774081565</t>
  </si>
  <si>
    <t>-0.4119704633254405</t>
  </si>
  <si>
    <t>0.4678843005412603</t>
  </si>
  <si>
    <t>0.7852142573742218</t>
  </si>
  <si>
    <t>-0.8200326520017139</t>
  </si>
  <si>
    <t>0.7767253958313058</t>
  </si>
  <si>
    <t>0.02416489690032154</t>
  </si>
  <si>
    <t>0.3144917650034912</t>
  </si>
  <si>
    <t>-0.3559652251584914</t>
  </si>
  <si>
    <t>0.7268437825852675</t>
  </si>
  <si>
    <t>-0.3166854834826988</t>
  </si>
  <si>
    <t>-0.48988123017659424</t>
  </si>
  <si>
    <t>0.04160145379315696</t>
  </si>
  <si>
    <t>0.21740230858253215</t>
  </si>
  <si>
    <t>0.5870685316044718</t>
  </si>
  <si>
    <t>-0.40547291419233994</t>
  </si>
  <si>
    <t>-0.6913709820409623</t>
  </si>
  <si>
    <t>-1.4563224424490546</t>
  </si>
  <si>
    <t>0.2244669117760507</t>
  </si>
  <si>
    <t>0.48654305306675905</t>
  </si>
  <si>
    <t>-0.24626051945112584</t>
  </si>
  <si>
    <t>-0.38774560945176684</t>
  </si>
  <si>
    <t>0.3425815421730057</t>
  </si>
  <si>
    <t>-0.8204011102957437</t>
  </si>
  <si>
    <t>-0.22526592304638507</t>
  </si>
  <si>
    <t>-0.7326250234517862</t>
  </si>
  <si>
    <t>0.08258734153470958</t>
  </si>
  <si>
    <t>0.17288533354485447</t>
  </si>
  <si>
    <t>0.7776499471424181</t>
  </si>
  <si>
    <t>0.11271327848439315</t>
  </si>
  <si>
    <t>-0.48440003176674273</t>
  </si>
  <si>
    <t>-1.0278168369487344</t>
  </si>
  <si>
    <t>-0.09091557225435097</t>
  </si>
  <si>
    <t>0.7976115836415926</t>
  </si>
  <si>
    <t>0.04712872544220186</t>
  </si>
  <si>
    <t>-1.0229654302089575</t>
  </si>
  <si>
    <t>-0.927779986220466</t>
  </si>
  <si>
    <t>0.4102516686004022</t>
  </si>
  <si>
    <t>-0.12396908213384242</t>
  </si>
  <si>
    <t>-0.17144904161777988</t>
  </si>
  <si>
    <t>-0.056068840362776706</t>
  </si>
  <si>
    <t>-0.44615672234315645</t>
  </si>
  <si>
    <t>0.28220266833417407</t>
  </si>
  <si>
    <t>0.08750585612893465</t>
  </si>
  <si>
    <t>-0.6924109347413409</t>
  </si>
  <si>
    <t>-0.06000781198454892</t>
  </si>
  <si>
    <t>-0.36062695125599137</t>
  </si>
  <si>
    <t>0.7803597705770184</t>
  </si>
  <si>
    <t>2.5692847876057563</t>
  </si>
  <si>
    <t>-1.9294435979460398</t>
  </si>
  <si>
    <t>-0.20404043185202914</t>
  </si>
  <si>
    <t>0.19404999953271568</t>
  </si>
  <si>
    <t>-1.889224374553576</t>
  </si>
  <si>
    <t>-0.2947950889451479</t>
  </si>
  <si>
    <t>0.573863698277572</t>
  </si>
  <si>
    <t>-0.1476827376352146</t>
  </si>
  <si>
    <t>1.6852227121438696</t>
  </si>
  <si>
    <t>0.4255306778397798</t>
  </si>
  <si>
    <t>-0.7278066811146865</t>
  </si>
  <si>
    <t>-0.3586912210490938</t>
  </si>
  <si>
    <t>1.2680364641677273</t>
  </si>
  <si>
    <t>-0.8209543952429239</t>
  </si>
  <si>
    <t>0.29998484466895675</t>
  </si>
  <si>
    <t>1.4215585026125739</t>
  </si>
  <si>
    <t>-0.5600672164304028</t>
  </si>
  <si>
    <t>0.6058974435299637</t>
  </si>
  <si>
    <t>-0.40086298215410876</t>
  </si>
  <si>
    <t>0.9965130206509668</t>
  </si>
  <si>
    <t>-0.10597622418286737</t>
  </si>
  <si>
    <t>0.030688817915276986</t>
  </si>
  <si>
    <t>-0.4010322701531671</t>
  </si>
  <si>
    <t>-0.1386873443619638</t>
  </si>
  <si>
    <t>0.37073449771905254</t>
  </si>
  <si>
    <t>0.5896874996584306</t>
  </si>
  <si>
    <t>0.7258291917585112</t>
  </si>
  <si>
    <t>-0.28640579266663024</t>
  </si>
  <si>
    <t>0.1455158414482335</t>
  </si>
  <si>
    <t>-0.19162517418525138</t>
  </si>
  <si>
    <t>-0.46859219245739686</t>
  </si>
  <si>
    <t>1.009724321554997</t>
  </si>
  <si>
    <t>-0.08221250355551667</t>
  </si>
  <si>
    <t>-0.807834716786184</t>
  </si>
  <si>
    <t>-0.4689989222975416</t>
  </si>
  <si>
    <t>0.014303497668299836</t>
  </si>
  <si>
    <t>-0.038670484569745346</t>
  </si>
  <si>
    <t>-2.2485516766314046</t>
  </si>
  <si>
    <t>0.6299168593628247</t>
  </si>
  <si>
    <t>-0.37060847516314727</t>
  </si>
  <si>
    <t>-0.5087063000938855</t>
  </si>
  <si>
    <t>0.4066331695898433</t>
  </si>
  <si>
    <t>0.5663057767295973</t>
  </si>
  <si>
    <t>0.835294827564221</t>
  </si>
  <si>
    <t>0.49465864883674787</t>
  </si>
  <si>
    <t>-0.0948340068745067</t>
  </si>
  <si>
    <t>-0.7723947981542432</t>
  </si>
  <si>
    <t>0.5975857970908229</t>
  </si>
  <si>
    <t>-1.1591796021243659</t>
  </si>
  <si>
    <t>0.5380914436302627</t>
  </si>
  <si>
    <t>0.8549432803392607</t>
  </si>
  <si>
    <t>-0.5964131167156135</t>
  </si>
  <si>
    <t>0.7528673999262355</t>
  </si>
  <si>
    <t>-0.2262121169880801</t>
  </si>
  <si>
    <t>0.5531590626420362</t>
  </si>
  <si>
    <t>-0.5531894163022402</t>
  </si>
  <si>
    <t>1.9218777863885501</t>
  </si>
  <si>
    <t>-0.14951658206937826</t>
  </si>
  <si>
    <t>-0.377242789829531</t>
  </si>
  <si>
    <t>0.701611467657862</t>
  </si>
  <si>
    <t>1.864701262171878</t>
  </si>
  <si>
    <t>0.6963729882674005</t>
  </si>
  <si>
    <t>-0.3287188346108741</t>
  </si>
  <si>
    <t>-0.7865572318083458</t>
  </si>
  <si>
    <t>0.1740603622383764</t>
  </si>
  <si>
    <t>0.010194607604390109</t>
  </si>
  <si>
    <t>2.3627237855131975</t>
  </si>
  <si>
    <t>-1.4214417458663704</t>
  </si>
  <si>
    <t>0.5774621791923831</t>
  </si>
  <si>
    <t>1.5207851980783063</t>
  </si>
  <si>
    <t>0.5168771446746286</t>
  </si>
  <si>
    <t>-0.3470600049870595</t>
  </si>
  <si>
    <t>-0.6111110929417969</t>
  </si>
  <si>
    <t>-0.5926050847103197</t>
  </si>
  <si>
    <t>-0.22723781163122292</t>
  </si>
  <si>
    <t>-0.8494340180804928</t>
  </si>
  <si>
    <t>1.3239122436622826</t>
  </si>
  <si>
    <t>1.2828768685143683</t>
  </si>
  <si>
    <t>-1.3484209863705354</t>
  </si>
  <si>
    <t>0.8990243500488841</t>
  </si>
  <si>
    <t>0.16431416980455327</t>
  </si>
  <si>
    <t>-1.5872876450749458</t>
  </si>
  <si>
    <t>1.6772174348304423</t>
  </si>
  <si>
    <t>0.3667321217016693</t>
  </si>
  <si>
    <t>0.29541283262405466</t>
  </si>
  <si>
    <t>1.7159664337543257</t>
  </si>
  <si>
    <t>0.6127502848150577</t>
  </si>
  <si>
    <t>-2.487780279338459</t>
  </si>
  <si>
    <t>-0.38729907141707426</t>
  </si>
  <si>
    <t>0.05298263704591874</t>
  </si>
  <si>
    <t>0.15893355353761923</t>
  </si>
  <si>
    <t>0.2610524782269398</t>
  </si>
  <si>
    <t>0.3658853102969816</t>
  </si>
  <si>
    <t>1.3047243231940855</t>
  </si>
  <si>
    <t>0.3274084962070057</t>
  </si>
  <si>
    <t>-0.25257069361954065</t>
  </si>
  <si>
    <t>0.32193990550504553</t>
  </si>
  <si>
    <t>0.34960798267587734</t>
  </si>
  <si>
    <t>1.4057424282429938</t>
  </si>
  <si>
    <t>-0.795190531560324</t>
  </si>
  <si>
    <t>0.8516870453361216</t>
  </si>
  <si>
    <t>-0.2094128062637424</t>
  </si>
  <si>
    <t>-0.8535909818087244</t>
  </si>
  <si>
    <t>0.24505827495760815</t>
  </si>
  <si>
    <t>1.629818101128228</t>
  </si>
  <si>
    <t>-0.22919034550627393</t>
  </si>
  <si>
    <t>-0.9912611406405897</t>
  </si>
  <si>
    <t>0.16672437200802884</t>
  </si>
  <si>
    <t>2.1019857032755884</t>
  </si>
  <si>
    <t>1.0112651307408644</t>
  </si>
  <si>
    <t>0.8990365057748071</t>
  </si>
  <si>
    <t>1.0728246207305392</t>
  </si>
  <si>
    <t>-0.6065369490896407</t>
  </si>
  <si>
    <t>1.4645785799661069</t>
  </si>
  <si>
    <t>2.187300847021503</t>
  </si>
  <si>
    <t>-0.5083360660333787</t>
  </si>
  <si>
    <t>-0.016960345779656716</t>
  </si>
  <si>
    <t>-0.03768699908861016</t>
  </si>
  <si>
    <t>1.8387355021294662</t>
  </si>
  <si>
    <t>0.9003579408318124</t>
  </si>
  <si>
    <t>0.5341776187575032</t>
  </si>
  <si>
    <t>-0.2936873322960653</t>
  </si>
  <si>
    <t>-0.6728338020162501</t>
  </si>
  <si>
    <t>1.2281803863887437</t>
  </si>
  <si>
    <t>1.2439938642400017</t>
  </si>
  <si>
    <t>-1.2034478560961959</t>
  </si>
  <si>
    <t>0.7796284342179851</t>
  </si>
  <si>
    <t>0.3738498863825344</t>
  </si>
  <si>
    <t>0.6248055655620434</t>
  </si>
  <si>
    <t>2.1017756612625016</t>
  </si>
  <si>
    <t>-1.0959727564378854</t>
  </si>
  <si>
    <t>-2.1079397533140964</t>
  </si>
  <si>
    <t>1.5705448584724044</t>
  </si>
  <si>
    <t>-1.322947170035979</t>
  </si>
  <si>
    <t>-0.7811122401417545</t>
  </si>
  <si>
    <t>-0.19183499306643148</t>
  </si>
  <si>
    <t>1.3420666392948941</t>
  </si>
  <si>
    <t>-1.1137344685651624</t>
  </si>
  <si>
    <t>-1.1679864164174103</t>
  </si>
  <si>
    <t>2.2770742426033443</t>
  </si>
  <si>
    <t>-1.3208397261016749</t>
  </si>
  <si>
    <t>0.10839425210250997</t>
  </si>
  <si>
    <t>1.8253170350423686</t>
  </si>
  <si>
    <t>-1.2518072378376692</t>
  </si>
  <si>
    <t>-0.5506131429905884</t>
  </si>
  <si>
    <t>-1.2428096169012741</t>
  </si>
  <si>
    <t>0.6144672481686768</t>
  </si>
  <si>
    <t>-0.3365617033858745</t>
  </si>
  <si>
    <t>-0.421869950645486</t>
  </si>
  <si>
    <t>1.437569849005851</t>
  </si>
  <si>
    <t>1.3485349560917002</t>
  </si>
  <si>
    <t>-0.455919943251066</t>
  </si>
  <si>
    <t>0.24696603348925675</t>
  </si>
  <si>
    <t>-1.3213219745377438</t>
  </si>
  <si>
    <t>-0.3879217787019702</t>
  </si>
  <si>
    <t>-1.240192274574399</t>
  </si>
  <si>
    <t>0.5437198735662329</t>
  </si>
  <si>
    <t>-0.08047598809604385</t>
  </si>
  <si>
    <t>0.8861542954864431</t>
  </si>
  <si>
    <t>1.1018501010344726</t>
  </si>
  <si>
    <t>0.417436472184298</t>
  </si>
  <si>
    <t>-1.748082955712201</t>
  </si>
  <si>
    <t>1.0132142574334262</t>
  </si>
  <si>
    <t>0.39054375070075315</t>
  </si>
  <si>
    <t>0.8666827335850481</t>
  </si>
  <si>
    <t>2.221111008064676</t>
  </si>
  <si>
    <t>-0.23641174591131062</t>
  </si>
  <si>
    <t>0.3745486939776491</t>
  </si>
  <si>
    <t>0.3906630580255848</t>
  </si>
  <si>
    <t>-1.6404958434283035</t>
  </si>
  <si>
    <t>-0.20435911620869274</t>
  </si>
  <si>
    <t>0.46592693685888065</t>
  </si>
  <si>
    <t>0.27596195558096676</t>
  </si>
  <si>
    <t>0.2939441332071566</t>
  </si>
  <si>
    <t>-0.7746508869687213</t>
  </si>
  <si>
    <t>0.9168009687332136</t>
  </si>
  <si>
    <t>1.0911368652391582</t>
  </si>
  <si>
    <t>-1.3360264717839063</t>
  </si>
  <si>
    <t>-0.3498342956016067</t>
  </si>
  <si>
    <t>0.545887732919504</t>
  </si>
  <si>
    <t>-1.1633989671552536</t>
  </si>
  <si>
    <t>-0.35471893406307126</t>
  </si>
  <si>
    <t>0.2668013106116904</t>
  </si>
  <si>
    <t>-0.23594974530334017</t>
  </si>
  <si>
    <t>-1.556425903313361</t>
  </si>
  <si>
    <t>0.539606498297814</t>
  </si>
  <si>
    <t>-0.9941945607930893</t>
  </si>
  <si>
    <t>1.3643228239873233</t>
  </si>
  <si>
    <t>-1.39035440902025</t>
  </si>
  <si>
    <t>-0.21847328515768288</t>
  </si>
  <si>
    <t>1.8269661009828253</t>
  </si>
  <si>
    <t>-0.07649868537591738</t>
  </si>
  <si>
    <t>2.915329235901928</t>
  </si>
  <si>
    <t>-0.3777232609495609</t>
  </si>
  <si>
    <t>-0.8773762230360985</t>
  </si>
  <si>
    <t>-0.31003287210219477</t>
  </si>
  <si>
    <t>0.13865054074191957</t>
  </si>
  <si>
    <t>-0.11160486763443013</t>
  </si>
  <si>
    <t>2.2698479142629076</t>
  </si>
  <si>
    <t>0.18552653296887991</t>
  </si>
  <si>
    <t>0.5875248384373849</t>
  </si>
  <si>
    <t>0.07071608591121374</t>
  </si>
  <si>
    <t>-0.03206088534954171</t>
  </si>
  <si>
    <t>0.4348143973479986</t>
  </si>
  <si>
    <t>-0.8385429504242768</t>
  </si>
  <si>
    <t>-1.9539730516649245</t>
  </si>
  <si>
    <t>-1.039474778703747</t>
  </si>
  <si>
    <t>-0.43972355333615304</t>
  </si>
  <si>
    <t>1.3061712845471385</t>
  </si>
  <si>
    <t>-0.38001442961580395</t>
  </si>
  <si>
    <t>0.31604398553811286</t>
  </si>
  <si>
    <t>-0.0015236435347698544</t>
  </si>
  <si>
    <t>0.523540428263402</t>
  </si>
  <si>
    <t>-0.4163646771817147</t>
  </si>
  <si>
    <t>-0.1670519284501913</t>
  </si>
  <si>
    <t>0.33302397043207166</t>
  </si>
  <si>
    <t>1.4001347451285109</t>
  </si>
  <si>
    <t>-1.1615956507814975</t>
  </si>
  <si>
    <t>1.4836490869181715</t>
  </si>
  <si>
    <t>-0.5509558528202186</t>
  </si>
  <si>
    <t>2.066734763206554</t>
  </si>
  <si>
    <t>-0.42503056331438305</t>
  </si>
  <si>
    <t>-0.147200824082627</t>
  </si>
  <si>
    <t>0.5730188672485929</t>
  </si>
  <si>
    <t>-0.5984649699308747</t>
  </si>
  <si>
    <t>0.8504774354639886</t>
  </si>
  <si>
    <t>-1.7348955737316347</t>
  </si>
  <si>
    <t>-0.05654109940166976</t>
  </si>
  <si>
    <t>1.1659141427655928</t>
  </si>
  <si>
    <t>0.19648308300633838</t>
  </si>
  <si>
    <t>0.723813082364623</t>
  </si>
  <si>
    <t>0.1469288780006312</t>
  </si>
  <si>
    <t>0.7817088946747227</t>
  </si>
  <si>
    <t>-0.1482254031236254</t>
  </si>
  <si>
    <t>-1.165197008418105</t>
  </si>
  <si>
    <t>-0.32742987969872506</t>
  </si>
  <si>
    <t>0.9093988806295623</t>
  </si>
  <si>
    <t>0.5769194858042835</t>
  </si>
  <si>
    <t>0.9076346073259696</t>
  </si>
  <si>
    <t>-0.4830146203427825</t>
  </si>
  <si>
    <t>0.4379019157628137</t>
  </si>
  <si>
    <t>-0.6842266462329754</t>
  </si>
  <si>
    <t>0.7166084073841045</t>
  </si>
  <si>
    <t>-1.6987416515333351</t>
  </si>
  <si>
    <t>-0.7285182593292754</t>
  </si>
  <si>
    <t>-0.39775353644288186</t>
  </si>
  <si>
    <t>-0.6733731744432259</t>
  </si>
  <si>
    <t>0.2636198405797395</t>
  </si>
  <si>
    <t>0.0847622589631343</t>
  </si>
  <si>
    <t>-1.0286121032709714</t>
  </si>
  <si>
    <t>0.01965014039049771</t>
  </si>
  <si>
    <t>0.767383329947487</t>
  </si>
  <si>
    <t>-0.22199130150313884</t>
  </si>
  <si>
    <t>0.3399545546842332</t>
  </si>
  <si>
    <t>0.24199653631345097</t>
  </si>
  <si>
    <t>0.8160314933172022</t>
  </si>
  <si>
    <t>-1.1545218089635818</t>
  </si>
  <si>
    <t>0.14019388456694734</t>
  </si>
  <si>
    <t>0.24494423045311708</t>
  </si>
  <si>
    <t>0.5140031083096671</t>
  </si>
  <si>
    <t>-1.292646036934815</t>
  </si>
  <si>
    <t>1.0332591125030222</t>
  </si>
  <si>
    <t>0.09040893705491404</t>
  </si>
  <si>
    <t>0.12279740175016704</t>
  </si>
  <si>
    <t>0.3261201016246829</t>
  </si>
  <si>
    <t>-0.16810748462853783</t>
  </si>
  <si>
    <t>-1.0262231254093506</t>
  </si>
  <si>
    <t>-1.361619947660537</t>
  </si>
  <si>
    <t>0.6529526928803634</t>
  </si>
  <si>
    <t>-1.3658300275406137</t>
  </si>
  <si>
    <t>1.1341790364190036</t>
  </si>
  <si>
    <t>-1.2607989979941012</t>
  </si>
  <si>
    <t>0.1629400501921991</t>
  </si>
  <si>
    <t>0.17613176508409115</t>
  </si>
  <si>
    <t>-1.9820257328214985</t>
  </si>
  <si>
    <t>0.1771834608262115</t>
  </si>
  <si>
    <t>-0.3696593229534213</t>
  </si>
  <si>
    <t>0.9785741452468317</t>
  </si>
  <si>
    <t>-0.2038532179577476</t>
  </si>
  <si>
    <t>2.375466349979985</t>
  </si>
  <si>
    <t>-0.682532227161958</t>
  </si>
  <si>
    <t>0.3429903544919059</t>
  </si>
  <si>
    <t>-0.10369917451245433</t>
  </si>
  <si>
    <t>-0.5876401062314804</t>
  </si>
  <si>
    <t>0.8639304337755009</t>
  </si>
  <si>
    <t>-0.45762701491079216</t>
  </si>
  <si>
    <t>0.49187004271438894</t>
  </si>
  <si>
    <t>0.19048137818693348</t>
  </si>
  <si>
    <t>-0.38329242852401607</t>
  </si>
  <si>
    <t>0.5064213400840197</t>
  </si>
  <si>
    <t>0.3398388002773999</t>
  </si>
  <si>
    <t>-1.1572660325178774</t>
  </si>
  <si>
    <t>0.2215932782841348</t>
  </si>
  <si>
    <t>0.05141378626455663</t>
  </si>
  <si>
    <t>-0.18663696170167457</t>
  </si>
  <si>
    <t>-0.09413172932429847</t>
  </si>
  <si>
    <t>0.5755391195852371</t>
  </si>
  <si>
    <t>-0.3321556479801351</t>
  </si>
  <si>
    <t>0.14341855592677763</t>
  </si>
  <si>
    <t>0.8337824542523338</t>
  </si>
  <si>
    <t>0.20577034581988357</t>
  </si>
  <si>
    <t>-0.574531630378309</t>
  </si>
  <si>
    <t>-0.11510120861404884</t>
  </si>
  <si>
    <t>-0.24348796956371857</t>
  </si>
  <si>
    <t>0.11326549048239862</t>
  </si>
  <si>
    <t>0.1330976798304738</t>
  </si>
  <si>
    <t>-0.11494161744381563</t>
  </si>
  <si>
    <t>-0.20851596013534726</t>
  </si>
  <si>
    <t>-0.13171660500803675</t>
  </si>
  <si>
    <t>-0.6900056592272779</t>
  </si>
  <si>
    <t>0.12168787245891419</t>
  </si>
  <si>
    <t>0.32797177434093944</t>
  </si>
  <si>
    <t>-0.6311629147789983</t>
  </si>
  <si>
    <t>0.14495467991802272</t>
  </si>
  <si>
    <t>-0.11725634489133584</t>
  </si>
  <si>
    <t>-0.355582408371737</t>
  </si>
  <si>
    <t>-0.630625728047836</t>
  </si>
  <si>
    <t>-0.06738484356735494</t>
  </si>
  <si>
    <t>-0.3626598899089478</t>
  </si>
  <si>
    <t>-0.4792535953377572</t>
  </si>
  <si>
    <t>0.09854227647699547</t>
  </si>
  <si>
    <t>0.2593864278303316</t>
  </si>
  <si>
    <t>0.31026257383268635</t>
  </si>
  <si>
    <t>-0.3426838508240677</t>
  </si>
  <si>
    <t>-0.47667847711689015</t>
  </si>
  <si>
    <t>-0.11673836721984046</t>
  </si>
  <si>
    <t>0.7969510714899454</t>
  </si>
  <si>
    <t>0.3057055523638578</t>
  </si>
  <si>
    <t>0.01169323557571371</t>
  </si>
  <si>
    <t>-0.2933653960050002</t>
  </si>
  <si>
    <t>-0.7499348872852003</t>
  </si>
  <si>
    <t>0.110584269903602</t>
  </si>
  <si>
    <t>-0.10428194879469717</t>
  </si>
  <si>
    <t>-0.14381423686724315</t>
  </si>
  <si>
    <t>0.7752683724179776</t>
  </si>
  <si>
    <t>-0.5312682423263617</t>
  </si>
  <si>
    <t>-0.5130060084506103</t>
  </si>
  <si>
    <t>-0.42123942297583167</t>
  </si>
  <si>
    <t>0.23570255621945976</t>
  </si>
  <si>
    <t>-0.9812735508110818</t>
  </si>
  <si>
    <t>0.7681854326748088</t>
  </si>
  <si>
    <t>0.5090831247058201</t>
  </si>
  <si>
    <t>0.17044695722772218</t>
  </si>
  <si>
    <t>0.09025013534259217</t>
  </si>
  <si>
    <t>-0.13941205082606306</t>
  </si>
  <si>
    <t>0.3537858697244238</t>
  </si>
  <si>
    <t>-0.9020772415919308</t>
  </si>
  <si>
    <t>0.3524143929423722</t>
  </si>
  <si>
    <t>-0.57988056040873</t>
  </si>
  <si>
    <t>-0.9036251153560355</t>
  </si>
  <si>
    <t>0.4484507124262298</t>
  </si>
  <si>
    <t>-1.391313534716229</t>
  </si>
  <si>
    <t>-0.5597549345333391</t>
  </si>
  <si>
    <t>-1.3031614134956317</t>
  </si>
  <si>
    <t>-0.7023088916078274</t>
  </si>
  <si>
    <t>-0.4716543756024627</t>
  </si>
  <si>
    <t>0.7672137977614266</t>
  </si>
  <si>
    <t>0.22413580064401706</t>
  </si>
  <si>
    <t>0.6664120202052763</t>
  </si>
  <si>
    <t>-0.08177950484652285</t>
  </si>
  <si>
    <t>0.3948461348101574</t>
  </si>
  <si>
    <t>0.04064085149575502</t>
  </si>
  <si>
    <t>0.1787269405130048</t>
  </si>
  <si>
    <t>-0.4078808215093319</t>
  </si>
  <si>
    <t>-0.4493199285504157</t>
  </si>
  <si>
    <t>0.23187013459717887</t>
  </si>
  <si>
    <t>-0.15667700514800587</t>
  </si>
  <si>
    <t>0.08637165446435359</t>
  </si>
  <si>
    <t>0.2365996722799015</t>
  </si>
  <si>
    <t>0.08494915850854258</t>
  </si>
  <si>
    <t>-0.29146957367426835</t>
  </si>
  <si>
    <t>-1.4196350089384338</t>
  </si>
  <si>
    <t>-0.5731093369208303</t>
  </si>
  <si>
    <t>-1.9313937596075916</t>
  </si>
  <si>
    <t>0.0013595404767684021</t>
  </si>
  <si>
    <t>2.58148424131122</t>
  </si>
  <si>
    <t>0.5400691918735104</t>
  </si>
  <si>
    <t>0.6718029779802596</t>
  </si>
  <si>
    <t>0.35993982360470717</t>
  </si>
  <si>
    <t>-0.5389508828707539</t>
  </si>
  <si>
    <t>-0.08553150400262655</t>
  </si>
  <si>
    <t>-0.034662247213327835</t>
  </si>
  <si>
    <t>-1.187697292152478</t>
  </si>
  <si>
    <t>-0.41904704138123816</t>
  </si>
  <si>
    <t>1.0278878377634906</t>
  </si>
  <si>
    <t>-0.6836647145908693</t>
  </si>
  <si>
    <t>-1.1207832953397998</t>
  </si>
  <si>
    <t>0.2700836020584152</t>
  </si>
  <si>
    <t>-0.7384601651020274</t>
  </si>
  <si>
    <t>-0.46693811843216415</t>
  </si>
  <si>
    <t>-0.947094188424696</t>
  </si>
  <si>
    <t>1.176689234899849</t>
  </si>
  <si>
    <t>-1.0833551748841697</t>
  </si>
  <si>
    <t>0.8692485406028229</t>
  </si>
  <si>
    <t>-0.5247106477707077</t>
  </si>
  <si>
    <t>-0.9605035299485124</t>
  </si>
  <si>
    <t>-1.319542851484037</t>
  </si>
  <si>
    <t>-0.22007588902185737</t>
  </si>
  <si>
    <t>0.10063239768243774</t>
  </si>
  <si>
    <t>1.5536497851495739</t>
  </si>
  <si>
    <t>1.289040975779023</t>
  </si>
  <si>
    <t>-0.9147965874343893</t>
  </si>
  <si>
    <t>-0.11953228378892408</t>
  </si>
  <si>
    <t>-1.0158237330737616</t>
  </si>
  <si>
    <t>-1.3174965616712295</t>
  </si>
  <si>
    <t>-0.34765991180178335</t>
  </si>
  <si>
    <t>1.063139800276133</t>
  </si>
  <si>
    <t>0.2505031513888223</t>
  </si>
  <si>
    <t>0.7437354540568712</t>
  </si>
  <si>
    <t>-0.21978643149771945</t>
  </si>
  <si>
    <t>-0.25253232070238263</t>
  </si>
  <si>
    <t>0.27161065635821474</t>
  </si>
  <si>
    <t>-1.0373240884378705</t>
  </si>
  <si>
    <t>0.18664744794847016</t>
  </si>
  <si>
    <t>-0.29557009118814137</t>
  </si>
  <si>
    <t>0.23221592815583256</t>
  </si>
  <si>
    <t>0.6332713837971867</t>
  </si>
  <si>
    <t>0.4524015174027275</t>
  </si>
  <si>
    <t>0.3096375347048763</t>
  </si>
  <si>
    <t>-0.18131201985128312</t>
  </si>
  <si>
    <t>-0.38445952108498815</t>
  </si>
  <si>
    <t>1.8985449132547743</t>
  </si>
  <si>
    <t>-0.7941720872024984</t>
  </si>
  <si>
    <t>0.6377390927622157</t>
  </si>
  <si>
    <t>-0.8055104034547907</t>
  </si>
  <si>
    <t>-0.21032997439059967</t>
  </si>
  <si>
    <t>0.002098484750617602</t>
  </si>
  <si>
    <t>1.064172738597257</t>
  </si>
  <si>
    <t>-0.16325879326463041</t>
  </si>
  <si>
    <t>-0.33655524702744327</t>
  </si>
  <si>
    <t>0.3407915680619892</t>
  </si>
  <si>
    <t>-0.6584040193596636</t>
  </si>
  <si>
    <t>0.7590999851286572</t>
  </si>
  <si>
    <t>-0.15310819158805936</t>
  </si>
  <si>
    <t>-0.6237973834915219</t>
  </si>
  <si>
    <t>-0.40598829221647326</t>
  </si>
  <si>
    <t>-1.1813600307511243</t>
  </si>
  <si>
    <t>0.23838066671660554</t>
  </si>
  <si>
    <t>0.1626008716402661</t>
  </si>
  <si>
    <t>-0.7259443660022852</t>
  </si>
  <si>
    <t>0.7749663593689996</t>
  </si>
  <si>
    <t>-1.6394545840212602</t>
  </si>
  <si>
    <t>1.2348993550131702</t>
  </si>
  <si>
    <t>-0.9474522551325968</t>
  </si>
  <si>
    <t>0.3555679357397962</t>
  </si>
  <si>
    <t>1.3439529160064339</t>
  </si>
  <si>
    <t>0.6991982866203531</t>
  </si>
  <si>
    <t>-0.28301940116688323</t>
  </si>
  <si>
    <t>-0.4380866641948175</t>
  </si>
  <si>
    <t>0.112295713933217</t>
  </si>
  <si>
    <t>-0.8671896841712381</t>
  </si>
  <si>
    <t>-0.45291500640014315</t>
  </si>
  <si>
    <t>0.000306838622112743</t>
  </si>
  <si>
    <t>0.32180476319661544</t>
  </si>
  <si>
    <t>-0.21632389406039793</t>
  </si>
  <si>
    <t>0.9800921333021845</t>
  </si>
  <si>
    <t>-0.2472684484657744</t>
  </si>
  <si>
    <t>0.028406838390756337</t>
  </si>
  <si>
    <t>1.6967567249307602</t>
  </si>
  <si>
    <t>-0.513805493055602</t>
  </si>
  <si>
    <t>0.3518925212158586</t>
  </si>
  <si>
    <t>-0.5440812077071571</t>
  </si>
  <si>
    <t>-0.37289427818511056</t>
  </si>
  <si>
    <t>0.4219989290362292</t>
  </si>
  <si>
    <t>-0.627626342559184</t>
  </si>
  <si>
    <t>1.385961207556961</t>
  </si>
  <si>
    <t>0.5655284300151662</t>
  </si>
  <si>
    <t>-1.0004104557320326</t>
  </si>
  <si>
    <t>0.03891298119377895</t>
  </si>
  <si>
    <t>-0.7358834404022435</t>
  </si>
  <si>
    <t>0.08012461475468233</t>
  </si>
  <si>
    <t>0.38667322695149736</t>
  </si>
  <si>
    <t>-0.05473603135561809</t>
  </si>
  <si>
    <t>0.32180050305550556</t>
  </si>
  <si>
    <t>0.16601098569618108</t>
  </si>
  <si>
    <t>0.20237826077465007</t>
  </si>
  <si>
    <t>-0.14674959553431788</t>
  </si>
  <si>
    <t>0.5296956782012728</t>
  </si>
  <si>
    <t>0.22105969556409882</t>
  </si>
  <si>
    <t>-1.4606977457784611</t>
  </si>
  <si>
    <t>-0.8664629119783963</t>
  </si>
  <si>
    <t>-0.1722653030057992</t>
  </si>
  <si>
    <t>-0.478084095151197</t>
  </si>
  <si>
    <t>-0.43746486925368905</t>
  </si>
  <si>
    <t>-0.9742503294390203</t>
  </si>
  <si>
    <t>-0.6081342915785992</t>
  </si>
  <si>
    <t>-0.06653948152117133</t>
  </si>
  <si>
    <t>-1.4675925797625498</t>
  </si>
  <si>
    <t>-0.14942080655603923</t>
  </si>
  <si>
    <t>0.07698791365872219</t>
  </si>
  <si>
    <t>-0.5895334239211415</t>
  </si>
  <si>
    <t>0.4484213774625352</t>
  </si>
  <si>
    <t>0.7354313556919976</t>
  </si>
  <si>
    <t>0.23998385977341738</t>
  </si>
  <si>
    <t>0.685652742072676</t>
  </si>
  <si>
    <t>-0.5162111203099852</t>
  </si>
  <si>
    <t>-0.11776830381640717</t>
  </si>
  <si>
    <t>0.027843950881697128</t>
  </si>
  <si>
    <t>0.3900395125704953</t>
  </si>
  <si>
    <t>0.2777606520106457</t>
  </si>
  <si>
    <t>0.05011887456991653</t>
  </si>
  <si>
    <t>-0.6192328775471051</t>
  </si>
  <si>
    <t>0.5632946214866218</t>
  </si>
  <si>
    <t>-0.07975913318607517</t>
  </si>
  <si>
    <t>0.6904339922739386</t>
  </si>
  <si>
    <t>0.08678836792477396</t>
  </si>
  <si>
    <t>-0.4015086276405373</t>
  </si>
  <si>
    <t>-0.050723492518067764</t>
  </si>
  <si>
    <t>0.1090489903087148</t>
  </si>
  <si>
    <t>0.7292652676258493</t>
  </si>
  <si>
    <t>0.07283377650621219</t>
  </si>
  <si>
    <t>0.11055119783623085</t>
  </si>
  <si>
    <t>-0.5924031786543702</t>
  </si>
  <si>
    <t>-0.1851562421667703</t>
  </si>
  <si>
    <t>1.2319748098777683</t>
  </si>
  <si>
    <t>-0.08387310542727401</t>
  </si>
  <si>
    <t>-0.3916415869564407</t>
  </si>
  <si>
    <t>0.45929577163072416</t>
  </si>
  <si>
    <t>0.21206644688641316</t>
  </si>
  <si>
    <t>0.8744445711393157</t>
  </si>
  <si>
    <t>0.2743553421193898</t>
  </si>
  <si>
    <t>0.6836791017740556</t>
  </si>
  <si>
    <t>0.05212919528186741</t>
  </si>
  <si>
    <t>-0.40180679581931456</t>
  </si>
  <si>
    <t>-0.010580234822689263</t>
  </si>
  <si>
    <t>0.6051988067876741</t>
  </si>
  <si>
    <t>0.5363524334929207</t>
  </si>
  <si>
    <t>-0.10974212797187999</t>
  </si>
  <si>
    <t>-0.2915839364616712</t>
  </si>
  <si>
    <t>0.7497472397601913</t>
  </si>
  <si>
    <t>-0.9473987561338969</t>
  </si>
  <si>
    <t>-1.4494159037955376</t>
  </si>
  <si>
    <t>0.280880661534618</t>
  </si>
  <si>
    <t>-0.9057537314064984</t>
  </si>
  <si>
    <t>0.12198772908795436</t>
  </si>
  <si>
    <t>-0.6113664613266103</t>
  </si>
  <si>
    <t>-0.23190035605494058</t>
  </si>
  <si>
    <t>1.3352452181346266</t>
  </si>
  <si>
    <t>-0.6651598576453709</t>
  </si>
  <si>
    <t>0.05008260744388854</t>
  </si>
  <si>
    <t>-1.3865383339713706</t>
  </si>
  <si>
    <t>0.053245208900568324</t>
  </si>
  <si>
    <t>0.15864573477071603</t>
  </si>
  <si>
    <t>-0.16537210598435717</t>
  </si>
  <si>
    <t>1.7852253563029463</t>
  </si>
  <si>
    <t>-0.14011602892817104</t>
  </si>
  <si>
    <t>-1.1505096099727414</t>
  </si>
  <si>
    <t>-0.4244748112231217</t>
  </si>
  <si>
    <t>0.6759579807091015</t>
  </si>
  <si>
    <t>-0.9869311601862625</t>
  </si>
  <si>
    <t>-0.12318545141625965</t>
  </si>
  <si>
    <t>0.5816313667567236</t>
  </si>
  <si>
    <t>0.25246037131433013</t>
  </si>
  <si>
    <t>-0.2719518583681353</t>
  </si>
  <si>
    <t>-0.2797779949911757</t>
  </si>
  <si>
    <t>0.17601298456083353</t>
  </si>
  <si>
    <t>0.3025924459537653</t>
  </si>
  <si>
    <t>-1.391887493543708</t>
  </si>
  <si>
    <t>0.672136977365509</t>
  </si>
  <si>
    <t>0.2986054789167632</t>
  </si>
  <si>
    <t>3.078150399394924</t>
  </si>
  <si>
    <t>-2.7186870655822557</t>
  </si>
  <si>
    <t>0.11468023142715678</t>
  </si>
  <si>
    <t>-1.3365338368388062</t>
  </si>
  <si>
    <t>0.24010013338671388</t>
  </si>
  <si>
    <t>-1.2534404296955066</t>
  </si>
  <si>
    <t>0.503437319495426</t>
  </si>
  <si>
    <t>1.8397838863127074</t>
  </si>
  <si>
    <t>0.6954713528405101</t>
  </si>
  <si>
    <t>-0.06160152050410954</t>
  </si>
  <si>
    <t>1.6251815341374936</t>
  </si>
  <si>
    <t>0.15124113185229213</t>
  </si>
  <si>
    <t>1.3823075888046479</t>
  </si>
  <si>
    <t>-0.27788424267231576</t>
  </si>
  <si>
    <t>-1.5734655250291232</t>
  </si>
  <si>
    <t>-0.9749525511799898</t>
  </si>
  <si>
    <t>0.24587885486552422</t>
  </si>
  <si>
    <t>-0.8678473418552723</t>
  </si>
  <si>
    <t>0.8535336963502221</t>
  </si>
  <si>
    <t>0.8628002831721158</t>
  </si>
  <si>
    <t>-0.9946458326863802</t>
  </si>
  <si>
    <t>0.3632045297251399</t>
  </si>
  <si>
    <t>-1.358697909538394</t>
  </si>
  <si>
    <t>0.25165776489645436</t>
  </si>
  <si>
    <t>-0.08932014525670619</t>
  </si>
  <si>
    <t>0.4014622837716382</t>
  </si>
  <si>
    <t>-0.3361062449034927</t>
  </si>
  <si>
    <t>1.514248405523227</t>
  </si>
  <si>
    <t>0.8016245081310339</t>
  </si>
  <si>
    <t>0.3380826672290231</t>
  </si>
  <si>
    <t>2.040360051618082</t>
  </si>
  <si>
    <t>1.3870149736470245</t>
  </si>
  <si>
    <t>0.5117836443243645</t>
  </si>
  <si>
    <t>-1.3849148376974745</t>
  </si>
  <si>
    <t>-1.4698282183595053</t>
  </si>
  <si>
    <t>0.9942174771357707</t>
  </si>
  <si>
    <t>0.2471864582515164</t>
  </si>
  <si>
    <t>1.4619017715347573</t>
  </si>
  <si>
    <t>-0.6810511392014867</t>
  </si>
  <si>
    <t>0.21928204182405495</t>
  </si>
  <si>
    <t>-0.04537485538790326</t>
  </si>
  <si>
    <t>0.22537439316236255</t>
  </si>
  <si>
    <t>-0.6946138923402065</t>
  </si>
  <si>
    <t>0.3663953581648831</t>
  </si>
  <si>
    <t>0.47524096472075344</t>
  </si>
  <si>
    <t>0.018706188114108038</t>
  </si>
  <si>
    <t>-1.2967047257098243</t>
  </si>
  <si>
    <t>-0.8511045884545122</t>
  </si>
  <si>
    <t>-0.3073527768971065</t>
  </si>
  <si>
    <t>-0.352430476233382</t>
  </si>
  <si>
    <t>0.5552956221689956</t>
  </si>
  <si>
    <t>0.6384405572425672</t>
  </si>
  <si>
    <t>0.07240490305716116</t>
  </si>
  <si>
    <t>-1.1865063684128174</t>
  </si>
  <si>
    <t>0.6287409538213915</t>
  </si>
  <si>
    <t>-0.23020776198414153</t>
  </si>
  <si>
    <t>-0.02666232839258565</t>
  </si>
  <si>
    <t>0.18360993157473507</t>
  </si>
  <si>
    <t>-0.6073479000572436</t>
  </si>
  <si>
    <t>-0.1716961931227766</t>
  </si>
  <si>
    <t>0.889762701025255</t>
  </si>
  <si>
    <t>-1.3912086671693151</t>
  </si>
  <si>
    <t>-0.7474098512263664</t>
  </si>
  <si>
    <t>-0.17719990151075393</t>
  </si>
  <si>
    <t>0.7027601322155886</t>
  </si>
  <si>
    <t>0.18102315610527925</t>
  </si>
  <si>
    <t>-0.17133416052833683</t>
  </si>
  <si>
    <t>-0.016064343695049974</t>
  </si>
  <si>
    <t>0.1672618645844389</t>
  </si>
  <si>
    <t>-0.6084333950749373</t>
  </si>
  <si>
    <t>-0.09068475172879399</t>
  </si>
  <si>
    <t>-0.06764167850346817</t>
  </si>
  <si>
    <t>-0.058959600591955236</t>
  </si>
  <si>
    <t>0.2823070857267108</t>
  </si>
  <si>
    <t>-0.6546724164539779</t>
  </si>
  <si>
    <t>0.6827535286230967</t>
  </si>
  <si>
    <t>-0.1474277886121416</t>
  </si>
  <si>
    <t>-1.2898676124222384</t>
  </si>
  <si>
    <t>-0.4615440360353601</t>
  </si>
  <si>
    <t>-0.13079387945937554</t>
  </si>
  <si>
    <t>-1.200330689705824</t>
  </si>
  <si>
    <t>-0.6647078257231653</t>
  </si>
  <si>
    <t>-0.5844844398753959</t>
  </si>
  <si>
    <t>0.6510960792242738</t>
  </si>
  <si>
    <t>0.10937257746804867</t>
  </si>
  <si>
    <t>0.7453470302715635</t>
  </si>
  <si>
    <t>-0.11767408733522586</t>
  </si>
  <si>
    <t>0.5991322150927704</t>
  </si>
  <si>
    <t>0.1075037503413047</t>
  </si>
  <si>
    <t>0.1917188065645674</t>
  </si>
  <si>
    <t>0.30390753950997174</t>
  </si>
  <si>
    <t>1.3056706726184886</t>
  </si>
  <si>
    <t>0.46544793342556307</t>
  </si>
  <si>
    <t>-0.18597785877692316</t>
  </si>
  <si>
    <t>-0.7791531625879843</t>
  </si>
  <si>
    <t>0.49606252395048217</t>
  </si>
  <si>
    <t>-0.40183352915145937</t>
  </si>
  <si>
    <t>-2.963422903698679</t>
  </si>
  <si>
    <t>-0.7217327975844581</t>
  </si>
  <si>
    <t>0.6765473568381333</t>
  </si>
  <si>
    <t>-0.3355174145738756</t>
  </si>
  <si>
    <t>0.7552627137866856</t>
  </si>
  <si>
    <t>1.5738628475972893</t>
  </si>
  <si>
    <t>-0.18887249262791395</t>
  </si>
  <si>
    <t>-0.5564620261352103</t>
  </si>
  <si>
    <t>-0.39486894757810614</t>
  </si>
  <si>
    <t>-3.2723008472511124</t>
  </si>
  <si>
    <t>-0.08337123825005888</t>
  </si>
  <si>
    <t>0.5125211924432956</t>
  </si>
  <si>
    <t>0.014836325185789158</t>
  </si>
  <si>
    <t>-0.33105738070678636</t>
  </si>
  <si>
    <t>0.6806197300989117</t>
  </si>
  <si>
    <t>0.10333128148986803</t>
  </si>
  <si>
    <t>0.7949465119681632</t>
  </si>
  <si>
    <t>-0.9695490692641213</t>
  </si>
  <si>
    <t>-1.0561552581604399</t>
  </si>
  <si>
    <t>0.010214763847938815</t>
  </si>
  <si>
    <t>-0.6266519168210678</t>
  </si>
  <si>
    <t>0.2980571936075354</t>
  </si>
  <si>
    <t>3.7002307967642274</t>
  </si>
  <si>
    <t>1.595459037113949</t>
  </si>
  <si>
    <t>-0.7031357532092787</t>
  </si>
  <si>
    <t>1.086662047764743</t>
  </si>
  <si>
    <t>-0.25032591991396114</t>
  </si>
  <si>
    <t>-0.32709812850739584</t>
  </si>
  <si>
    <t>0.10562584165576314</t>
  </si>
  <si>
    <t>-0.39324937528357784</t>
  </si>
  <si>
    <t>-0.5845240006119868</t>
  </si>
  <si>
    <t>2.0883926793846745</t>
  </si>
  <si>
    <t>0.11726886944859354</t>
  </si>
  <si>
    <t>0.036889586302096704</t>
  </si>
  <si>
    <t>0.08299969424682499</t>
  </si>
  <si>
    <t>0.16973590859479998</t>
  </si>
  <si>
    <t>-0.6545592033322564</t>
  </si>
  <si>
    <t>-0.03002600184825225</t>
  </si>
  <si>
    <t>-0.1717174029407325</t>
  </si>
  <si>
    <t>0.8155528164247646</t>
  </si>
  <si>
    <t>0.3764055556637219</t>
  </si>
  <si>
    <t>-0.1867587045359929</t>
  </si>
  <si>
    <t>0.3292517491555384</t>
  </si>
  <si>
    <t>-0.9863600927638733</t>
  </si>
  <si>
    <t>0.4706856833754067</t>
  </si>
  <si>
    <t>-0.04613476914506188</t>
  </si>
  <si>
    <t>-0.45543338334706596</t>
  </si>
  <si>
    <t>0.04305636763082351</t>
  </si>
  <si>
    <t>0.8808042071451907</t>
  </si>
  <si>
    <t>-0.3544222703415646</t>
  </si>
  <si>
    <t>0.9714333781733668</t>
  </si>
  <si>
    <t>-0.4929962281977658</t>
  </si>
  <si>
    <t>-0.39958656958047917</t>
  </si>
  <si>
    <t>-0.5545166602789698</t>
  </si>
  <si>
    <t>0.024363851020128988</t>
  </si>
  <si>
    <t>0.5459604044038074</t>
  </si>
  <si>
    <t>-0.8904258361202015</t>
  </si>
  <si>
    <t>0.24792708026371701</t>
  </si>
  <si>
    <t>-1.2970499695562057</t>
  </si>
  <si>
    <t>-0.5494828865193522</t>
  </si>
  <si>
    <t>0.146876970157791</t>
  </si>
  <si>
    <t>-1.1540396795405559</t>
  </si>
  <si>
    <t>-0.20800155384466384</t>
  </si>
  <si>
    <t>0.039824918046316625</t>
  </si>
  <si>
    <t>-0.16909455042005545</t>
  </si>
  <si>
    <t>-0.15524497636728207</t>
  </si>
  <si>
    <t>0.3415062250924575</t>
  </si>
  <si>
    <t>-0.7115925453825136</t>
  </si>
  <si>
    <t>0.5450284539543376</t>
  </si>
  <si>
    <t>1.2560170145248222</t>
  </si>
  <si>
    <t>-0.2899302224669951</t>
  </si>
  <si>
    <t>-0.4132266654847482</t>
  </si>
  <si>
    <t>-1.3488351312442342</t>
  </si>
  <si>
    <t>0.3169537951286489</t>
  </si>
  <si>
    <t>0.3506896414619037</t>
  </si>
  <si>
    <t>-0.08229719524294214</t>
  </si>
  <si>
    <t>0.020778364957825177</t>
  </si>
  <si>
    <t>-0.4963733050955823</t>
  </si>
  <si>
    <t>-0.13747461636501426</t>
  </si>
  <si>
    <t>-0.5971481446391544</t>
  </si>
  <si>
    <t>0.6563360997532915</t>
  </si>
  <si>
    <t>0.7837216386938678</t>
  </si>
  <si>
    <t>-1.6445732948185998</t>
  </si>
  <si>
    <t>-0.6280660502143005</t>
  </si>
  <si>
    <t>0.4018983316325255</t>
  </si>
  <si>
    <t>-0.9538517537769121</t>
  </si>
  <si>
    <t>0.9688417617523963</t>
  </si>
  <si>
    <t>-0.6519201811453751</t>
  </si>
  <si>
    <t>1.318145469222314</t>
  </si>
  <si>
    <t>0.4925840980373893</t>
  </si>
  <si>
    <t>2.063583678218109</t>
  </si>
  <si>
    <t>0.2554251900168515</t>
  </si>
  <si>
    <t>0.5635334049100793</t>
  </si>
  <si>
    <t>-0.1393948553645295</t>
  </si>
  <si>
    <t>-1.0679323883010967</t>
  </si>
  <si>
    <t>-0.37815754314833633</t>
  </si>
  <si>
    <t>0.7392228223438526</t>
  </si>
  <si>
    <t>-0.09110868996358541</t>
  </si>
  <si>
    <t>1.3974907031670887</t>
  </si>
  <si>
    <t>-0.5370681322714321</t>
  </si>
  <si>
    <t>0.177426621291617</t>
  </si>
  <si>
    <t>0.5491978994077727</t>
  </si>
  <si>
    <t>0.6894383156836832</t>
  </si>
  <si>
    <t>0.5448437310124382</t>
  </si>
  <si>
    <t>-1.1347152159163063</t>
  </si>
  <si>
    <t>2.129390369853796</t>
  </si>
  <si>
    <t>-0.283046371374157</t>
  </si>
  <si>
    <t>1.4014786663320726</t>
  </si>
  <si>
    <t>-0.11643028246110262</t>
  </si>
  <si>
    <t>-0.6198639179406887</t>
  </si>
  <si>
    <t>0.1812321903274135</t>
  </si>
  <si>
    <t>-1.110826368549155</t>
  </si>
  <si>
    <t>1.642959005604443</t>
  </si>
  <si>
    <t>0.08854367195612475</t>
  </si>
  <si>
    <t>0.041297845830802066</t>
  </si>
  <si>
    <t>-0.605992055472801</t>
  </si>
  <si>
    <t>0.9119243615417867</t>
  </si>
  <si>
    <t>0.17774825412411446</t>
  </si>
  <si>
    <t>-0.6383535262053691</t>
  </si>
  <si>
    <t>-0.7301361250246909</t>
  </si>
  <si>
    <t>0.32704436623120225</t>
  </si>
  <si>
    <t>-0.22727974616553834</t>
  </si>
  <si>
    <t>-0.1460245573546355</t>
  </si>
  <si>
    <t>0.6962580210515905</t>
  </si>
  <si>
    <t>-0.5531079349252941</t>
  </si>
  <si>
    <t>-1.6348881283470995</t>
  </si>
  <si>
    <t>-0.09217409575381154</t>
  </si>
  <si>
    <t>0.4279509322373484</t>
  </si>
  <si>
    <t>0.08193855446714748</t>
  </si>
  <si>
    <t>-0.7436594769321433</t>
  </si>
  <si>
    <t>-1.1282331401936845</t>
  </si>
  <si>
    <t>0.11996282517731745</t>
  </si>
  <si>
    <t>-0.016924077759947517</t>
  </si>
  <si>
    <t>0.7042196810809116</t>
  </si>
  <si>
    <t>-0.3000876478527652</t>
  </si>
  <si>
    <t>0.3067284670952422</t>
  </si>
  <si>
    <t>-0.2295121798227344</t>
  </si>
  <si>
    <t>1.3511629295668695</t>
  </si>
  <si>
    <t>-0.10761114217655433</t>
  </si>
  <si>
    <t>-0.37444011107335967</t>
  </si>
  <si>
    <t>-0.6981393883645958</t>
  </si>
  <si>
    <t>-0.6549698553235235</t>
  </si>
  <si>
    <t>0.7612828353794385</t>
  </si>
  <si>
    <t>-1.3317263421603622</t>
  </si>
  <si>
    <t>-0.521129839280543</t>
  </si>
  <si>
    <t>0.17104898067806354</t>
  </si>
  <si>
    <t>0.14537512210404432</t>
  </si>
  <si>
    <t>0.08750106287265295</t>
  </si>
  <si>
    <t>-0.8790648915001364</t>
  </si>
  <si>
    <t>-0.8695039520901733</t>
  </si>
  <si>
    <t>0.3476835318115915</t>
  </si>
  <si>
    <t>0.7195012592959907</t>
  </si>
  <si>
    <t>-0.027138141888279184</t>
  </si>
  <si>
    <t>-0.35540920732955006</t>
  </si>
  <si>
    <t>-0.8961440727723332</t>
  </si>
  <si>
    <t>0.10931726268937013</t>
  </si>
  <si>
    <t>-0.0705621060285667</t>
  </si>
  <si>
    <t>-0.03583377977039745</t>
  </si>
  <si>
    <t>0.1725885378552647</t>
  </si>
  <si>
    <t>-0.08583082333369871</t>
  </si>
  <si>
    <t>-1.6579022470258065</t>
  </si>
  <si>
    <t>-1.5260920026847828</t>
  </si>
  <si>
    <t>1.3288255823730277</t>
  </si>
  <si>
    <t>-1.1569623851057167</t>
  </si>
  <si>
    <t>0.29783911948438935</t>
  </si>
  <si>
    <t>0.596140556504517</t>
  </si>
  <si>
    <t>-0.056826066156742475</t>
  </si>
  <si>
    <t>0.12357078538300124</t>
  </si>
  <si>
    <t>-0.8243876945679213</t>
  </si>
  <si>
    <t>0.1904668423047347</t>
  </si>
  <si>
    <t>-0.3880486112179613</t>
  </si>
  <si>
    <t>0.1130306243667391</t>
  </si>
  <si>
    <t>-1.0826279490306718</t>
  </si>
  <si>
    <t>-0.17791009873297536</t>
  </si>
  <si>
    <t>-0.19856879554441928</t>
  </si>
  <si>
    <t>-0.14500415344060105</t>
  </si>
  <si>
    <t>-0.7423257829420706</t>
  </si>
  <si>
    <t>-0.016896283476466285</t>
  </si>
  <si>
    <t>0.11402025992249579</t>
  </si>
  <si>
    <t>-0.18953579327097433</t>
  </si>
  <si>
    <t>-0.6777149711078903</t>
  </si>
  <si>
    <t>0.27629054811616505</t>
  </si>
  <si>
    <t>0.17495529384778907</t>
  </si>
  <si>
    <t>0.4519201008769447</t>
  </si>
  <si>
    <t>2.837995967609862</t>
  </si>
  <si>
    <t>0.9028229874532286</t>
  </si>
  <si>
    <t>0.5790512235561444</t>
  </si>
  <si>
    <t>-0.5855620475495129</t>
  </si>
  <si>
    <t>-0.7698124665389304</t>
  </si>
  <si>
    <t>0.142204390522975</t>
  </si>
  <si>
    <t>0.7001950841271187</t>
  </si>
  <si>
    <t>0.06977530540049975</t>
  </si>
  <si>
    <t>-0.5674987603190573</t>
  </si>
  <si>
    <t>-0.24035752109152556</t>
  </si>
  <si>
    <t>-0.18901581331854508</t>
  </si>
  <si>
    <t>-1.6493898909529052</t>
  </si>
  <si>
    <t>0.3569645228030005</t>
  </si>
  <si>
    <t>-1.3475962350014887</t>
  </si>
  <si>
    <t>0.16421618723123546</t>
  </si>
  <si>
    <t>-0.04099488980754205</t>
  </si>
  <si>
    <t>-0.33042552532995384</t>
  </si>
  <si>
    <t>-0.5710772771648881</t>
  </si>
  <si>
    <t>-0.8000582321616541</t>
  </si>
  <si>
    <t>-0.873530067042479</t>
  </si>
  <si>
    <t>-0.1454872682681001</t>
  </si>
  <si>
    <t>0.9389397129892131</t>
  </si>
  <si>
    <t>1.458856717134551</t>
  </si>
  <si>
    <t>-0.2770574085814419</t>
  </si>
  <si>
    <t>-2.181849657563277</t>
  </si>
  <si>
    <t>0.26084215522942117</t>
  </si>
  <si>
    <t>-1.5119465753506671</t>
  </si>
  <si>
    <t>-0.5931355864448187</t>
  </si>
  <si>
    <t>1.8996983897367514</t>
  </si>
  <si>
    <t>-0.639128542844593</t>
  </si>
  <si>
    <t>0.9813525573495002</t>
  </si>
  <si>
    <t>-1.0962991649617864</t>
  </si>
  <si>
    <t>-1.0789217076601245</t>
  </si>
  <si>
    <t>-1.0343576312398797</t>
  </si>
  <si>
    <t>0.2204657358244166</t>
  </si>
  <si>
    <t>0.65470842957537</t>
  </si>
  <si>
    <t>0.26758158796150167</t>
  </si>
  <si>
    <t>-0.09721272776080683</t>
  </si>
  <si>
    <t>0.28435919014831873</t>
  </si>
  <si>
    <t>0.9841146272999779</t>
  </si>
  <si>
    <t>-0.03150598408364792</t>
  </si>
  <si>
    <t>0.7890787828135596</t>
  </si>
  <si>
    <t>-0.31361387909137584</t>
  </si>
  <si>
    <t>-0.8220179480847349</t>
  </si>
  <si>
    <t>0.1995399790731351</t>
  </si>
  <si>
    <t>1.8385474729568574</t>
  </si>
  <si>
    <t>-1.2717633235149055</t>
  </si>
  <si>
    <t>-1.0769292513064002</t>
  </si>
  <si>
    <t>-0.021910122505955965</t>
  </si>
  <si>
    <t>-0.5083027474942934</t>
  </si>
  <si>
    <t>0.18849788157214092</t>
  </si>
  <si>
    <t>0.3068986968381879</t>
  </si>
  <si>
    <t>-1.3569361187185627</t>
  </si>
  <si>
    <t>0.9033178346673203</t>
  </si>
  <si>
    <t>-0.008467073167715142</t>
  </si>
  <si>
    <t>-0.4754671193993512</t>
  </si>
  <si>
    <t>0.38807124716324937</t>
  </si>
  <si>
    <t>1.229898025422681</t>
  </si>
  <si>
    <t>0.0585800950709979</t>
  </si>
  <si>
    <t>0.9303852131135772</t>
  </si>
  <si>
    <t>0.6010430716530755</t>
  </si>
  <si>
    <t>0.5587204113522545</t>
  </si>
  <si>
    <t>-0.22265716466712465</t>
  </si>
  <si>
    <t>0.14155588652301546</t>
  </si>
  <si>
    <t>-0.3257253606763766</t>
  </si>
  <si>
    <t>0.8209023579915121</t>
  </si>
  <si>
    <t>-0.4501636845321263</t>
  </si>
  <si>
    <t>0.276130458858654</t>
  </si>
  <si>
    <t>0.15911127076004059</t>
  </si>
  <si>
    <t>-0.4463399836384177</t>
  </si>
  <si>
    <t>-0.2675537019974755</t>
  </si>
  <si>
    <t>0.12914235227860732</t>
  </si>
  <si>
    <t>0.3270057632974635</t>
  </si>
  <si>
    <t>-0.7971931445400268</t>
  </si>
  <si>
    <t>-0.18828568582839197</t>
  </si>
  <si>
    <t>-0.40480062309741854</t>
  </si>
  <si>
    <t>0.49659058140558093</t>
  </si>
  <si>
    <t>-1.4033548062713537</t>
  </si>
  <si>
    <t>0.9053703171266952</t>
  </si>
  <si>
    <t>0.9150852334341502</t>
  </si>
  <si>
    <t>1.0295169391872516</t>
  </si>
  <si>
    <t>0.4266962830243625</t>
  </si>
  <si>
    <t>0.07571518822319424</t>
  </si>
  <si>
    <t>0.4558649036726918</t>
  </si>
  <si>
    <t>-0.9181809099632603</t>
  </si>
  <si>
    <t>-0.6438438321737588</t>
  </si>
  <si>
    <t>1.3721756163420777</t>
  </si>
  <si>
    <t>0.7886215378497077</t>
  </si>
  <si>
    <t>0.821578041578644</t>
  </si>
  <si>
    <t>0.3359640701640768</t>
  </si>
  <si>
    <t>0.0663731788356399</t>
  </si>
  <si>
    <t>0.5178431461239917</t>
  </si>
  <si>
    <t>0.319986254271163</t>
  </si>
  <si>
    <t>0.2842047830307997</t>
  </si>
  <si>
    <t>0.9035521393461252</t>
  </si>
  <si>
    <t>0.11149934899347469</t>
  </si>
  <si>
    <t>0.03496466018830667</t>
  </si>
  <si>
    <t>-0.9497883384198228</t>
  </si>
  <si>
    <t>-0.05651033568007596</t>
  </si>
  <si>
    <t>-0.11767240715105468</t>
  </si>
  <si>
    <t>0.4494303030712777</t>
  </si>
  <si>
    <t>0.5521508605965129</t>
  </si>
  <si>
    <t>0.1438388151597027</t>
  </si>
  <si>
    <t>0.7828650892217134</t>
  </si>
  <si>
    <t>0.4064136598708107</t>
  </si>
  <si>
    <t>-0.8660800236411338</t>
  </si>
  <si>
    <t>-0.40868054490811967</t>
  </si>
  <si>
    <t>0.00399573306434318</t>
  </si>
  <si>
    <t>-0.2668941757144948</t>
  </si>
  <si>
    <t>-1.0274800325084694</t>
  </si>
  <si>
    <t>0.28258813846772335</t>
  </si>
  <si>
    <t>0.9559440099487608</t>
  </si>
  <si>
    <t>-0.684201332354763</t>
  </si>
  <si>
    <t>0.19629492279312488</t>
  </si>
  <si>
    <t>0.37932643810012906</t>
  </si>
  <si>
    <t>-1.382356779109272</t>
  </si>
  <si>
    <t>0.6262769173623169</t>
  </si>
  <si>
    <t>-0.31978478091747536</t>
  </si>
  <si>
    <t>-0.5181505170785626</t>
  </si>
  <si>
    <t>-0.6373053027281442</t>
  </si>
  <si>
    <t>-0.6320252797476151</t>
  </si>
  <si>
    <t>-0.16886266975245712</t>
  </si>
  <si>
    <t>-0.7711685043089832</t>
  </si>
  <si>
    <t>0.2605585417938311</t>
  </si>
  <si>
    <t>0.23570872310293214</t>
  </si>
  <si>
    <t>0.07394944023578469</t>
  </si>
  <si>
    <t>-0.16286980419226177</t>
  </si>
  <si>
    <t>0.5689213953535367</t>
  </si>
  <si>
    <t>0.3739608544374743</t>
  </si>
  <si>
    <t>-0.30842124855666037</t>
  </si>
  <si>
    <t>0.31952633947748066</t>
  </si>
  <si>
    <t>0.6594792681216797</t>
  </si>
  <si>
    <t>0.2607488685369674</t>
  </si>
  <si>
    <t>0.37180409947793513</t>
  </si>
  <si>
    <t>0.3753072750349275</t>
  </si>
  <si>
    <t>0.20609513932223214</t>
  </si>
  <si>
    <t>-0.29779099309701224</t>
  </si>
  <si>
    <t>-0.06279129050473956</t>
  </si>
  <si>
    <t>0.4340600909913081</t>
  </si>
  <si>
    <t>-0.16333971671214473</t>
  </si>
  <si>
    <t>-1.3509416237941518</t>
  </si>
  <si>
    <t>-0.3260278867734608</t>
  </si>
  <si>
    <t>1.1252170500268763</t>
  </si>
  <si>
    <t>0.46776491398848874</t>
  </si>
  <si>
    <t>-0.03804113657962804</t>
  </si>
  <si>
    <t>0.14846639711959658</t>
  </si>
  <si>
    <t>-0.2727494579562986</t>
  </si>
  <si>
    <t>-0.3033000557266451</t>
  </si>
  <si>
    <t>0.711120163619794</t>
  </si>
  <si>
    <t>-0.008978146175420866</t>
  </si>
  <si>
    <t>0.5385562965719415</t>
  </si>
  <si>
    <t>0.05279216226406202</t>
  </si>
  <si>
    <t>0.6637987894781399</t>
  </si>
  <si>
    <t>0.3433272060427645</t>
  </si>
  <si>
    <t>0.30035935061219227</t>
  </si>
  <si>
    <t>-0.19701888865435782</t>
  </si>
  <si>
    <t>0.4205772644539828</t>
  </si>
  <si>
    <t>-0.3018784224179358</t>
  </si>
  <si>
    <t>0.5388948278573554</t>
  </si>
  <si>
    <t>-0.20020597920343225</t>
  </si>
  <si>
    <t>-0.4704860238251569</t>
  </si>
  <si>
    <t>-0.05854026944700925</t>
  </si>
  <si>
    <t>-1.9649010128096394</t>
  </si>
  <si>
    <t>-1.7836602364355567</t>
  </si>
  <si>
    <t>-0.03335835041613458</t>
  </si>
  <si>
    <t>0.9882018224023409</t>
  </si>
  <si>
    <t>-2.7216237051652996</t>
  </si>
  <si>
    <t>0.7814082845983352</t>
  </si>
  <si>
    <t>-0.7594834544919639</t>
  </si>
  <si>
    <t>-0.62089609793495</t>
  </si>
  <si>
    <t>-1.2142270741847219</t>
  </si>
  <si>
    <t>-0.1594394390816115</t>
  </si>
  <si>
    <t>0.1064433699809765</t>
  </si>
  <si>
    <t>1.095886571497111</t>
  </si>
  <si>
    <t>1.1318452583373144</t>
  </si>
  <si>
    <t>0.9136336757217922</t>
  </si>
  <si>
    <t>0.71703115862778</t>
  </si>
  <si>
    <t>0.34192584215106775</t>
  </si>
  <si>
    <t>-1.879329616459508</t>
  </si>
  <si>
    <t>-0.3980082533866525</t>
  </si>
  <si>
    <t>-0.2662131037819739</t>
  </si>
  <si>
    <t>-1.364978728891378</t>
  </si>
  <si>
    <t>0.30747314998561703</t>
  </si>
  <si>
    <t>-0.2554483966382025</t>
  </si>
  <si>
    <t>0.47733908389437935</t>
  </si>
  <si>
    <t>2.2288792202835137</t>
  </si>
  <si>
    <t>0.04514892186000771</t>
  </si>
  <si>
    <t>-0.9092691712137285</t>
  </si>
  <si>
    <t>0.6302339689322616</t>
  </si>
  <si>
    <t>0.3638153394137528</t>
  </si>
  <si>
    <t>-0.4585522595031546</t>
  </si>
  <si>
    <t>-0.4424898183534629</t>
  </si>
  <si>
    <t>-0.5630109154671499</t>
  </si>
  <si>
    <t>-0.5430898094431671</t>
  </si>
  <si>
    <t>-1.0225563261903992</t>
  </si>
  <si>
    <t>0.2801451247462283</t>
  </si>
  <si>
    <t>-0.17029680980621106</t>
  </si>
  <si>
    <t>0.4088550051340897</t>
  </si>
  <si>
    <t>0.1212002098898003</t>
  </si>
  <si>
    <t>0.6263167798754972</t>
  </si>
  <si>
    <t>0.5868386653915316</t>
  </si>
  <si>
    <t>0.4685682320489808</t>
  </si>
  <si>
    <t>-0.8297380518355266</t>
  </si>
  <si>
    <t>-0.7511329461601792</t>
  </si>
  <si>
    <t>-0.15760949572501434</t>
  </si>
  <si>
    <t>0.305465804471503</t>
  </si>
  <si>
    <t>0.15655759830253113</t>
  </si>
  <si>
    <t>1.3501621845962992</t>
  </si>
  <si>
    <t>3.5228440186463432</t>
  </si>
  <si>
    <t>-1.816690539752925</t>
  </si>
  <si>
    <t>1.1581635540965327</t>
  </si>
  <si>
    <t>1.298646669192349</t>
  </si>
  <si>
    <t>0.8106169750772478</t>
  </si>
  <si>
    <t>0.2849850591670651</t>
  </si>
  <si>
    <t>0.17487125897224096</t>
  </si>
  <si>
    <t>-0.6804076774276282</t>
  </si>
  <si>
    <t>1.3761892545288228</t>
  </si>
  <si>
    <t>0.07553133159120529</t>
  </si>
  <si>
    <t>0.263633679955302</t>
  </si>
  <si>
    <t>1.231607195793535</t>
  </si>
  <si>
    <t>-0.05609343998758187</t>
  </si>
  <si>
    <t>0.18846490382183176</t>
  </si>
  <si>
    <t>-1.0274929377720088</t>
  </si>
  <si>
    <t>-1.7261168950064891</t>
  </si>
  <si>
    <t>1.2084819316554056</t>
  </si>
  <si>
    <t>-0.0008808984136910312</t>
  </si>
  <si>
    <t>-1.0684172116490855</t>
  </si>
  <si>
    <t>0.42172096584072505</t>
  </si>
  <si>
    <t>0.016149190189549956</t>
  </si>
  <si>
    <t>-1.044344141748393</t>
  </si>
  <si>
    <t>0.3165266726567975</t>
  </si>
  <si>
    <t>-0.5684957275982608</t>
  </si>
  <si>
    <t>1.0666470894493656</t>
  </si>
  <si>
    <t>-0.19540534501401985</t>
  </si>
  <si>
    <t>0.020506028532104925</t>
  </si>
  <si>
    <t>-0.13925922323824744</t>
  </si>
  <si>
    <t>1.3862066577264858</t>
  </si>
  <si>
    <t>1.039408401385976</t>
  </si>
  <si>
    <t>-1.3437642188723644</t>
  </si>
  <si>
    <t>1.7645633698652308</t>
  </si>
  <si>
    <t>-0.45464827812592146</t>
  </si>
  <si>
    <t>0.449756154574498</t>
  </si>
  <si>
    <t>-0.1323165647387328</t>
  </si>
  <si>
    <t>-0.21005100990228825</t>
  </si>
  <si>
    <t>-1.5330934237088019</t>
  </si>
  <si>
    <t>0.3303283848220932</t>
  </si>
  <si>
    <t>-0.9804055764336961</t>
  </si>
  <si>
    <t>-1.1580765520370297</t>
  </si>
  <si>
    <t>0.23247116443281504</t>
  </si>
  <si>
    <t>0.34724832066553835</t>
  </si>
  <si>
    <t>-0.6299547910331396</t>
  </si>
  <si>
    <t>-0.5325711405263114</t>
  </si>
  <si>
    <t>0.01061125877378067</t>
  </si>
  <si>
    <t>-0.8523622303299583</t>
  </si>
  <si>
    <t>0.9348079024944775</t>
  </si>
  <si>
    <t>-0.020562702068568948</t>
  </si>
  <si>
    <t>-0.37139793259465964</t>
  </si>
  <si>
    <t>-0.3431735166596206</t>
  </si>
  <si>
    <t>1.2490138825330461</t>
  </si>
  <si>
    <t>-0.5643452857681821</t>
  </si>
  <si>
    <t>0.34867488807874986</t>
  </si>
  <si>
    <t>-0.03676085220338445</t>
  </si>
  <si>
    <t>0.011937979281944476</t>
  </si>
  <si>
    <t>-0.07742793487199971</t>
  </si>
  <si>
    <t>0.5306388643791533</t>
  </si>
  <si>
    <t>0.4605861732527862</t>
  </si>
  <si>
    <t>-1.3331852702118827</t>
  </si>
  <si>
    <t>-0.7597783999458839</t>
  </si>
  <si>
    <t>0.2183056166611997</t>
  </si>
  <si>
    <t>-1.2615457918330621</t>
  </si>
  <si>
    <t>-0.19710898215490685</t>
  </si>
  <si>
    <t>0.08476316578011424</t>
  </si>
  <si>
    <t>0.6157736886415358</t>
  </si>
  <si>
    <t>-0.9823598740004894</t>
  </si>
  <si>
    <t>0.47628010915424773</t>
  </si>
  <si>
    <t>0.5085994724615652</t>
  </si>
  <si>
    <t>0.1710383823212212</t>
  </si>
  <si>
    <t>-0.5893313247826295</t>
  </si>
  <si>
    <t>0.6388453019349652</t>
  </si>
  <si>
    <t>-0.29159558464622615</t>
  </si>
  <si>
    <t>-0.2496881038680843</t>
  </si>
  <si>
    <t>-0.22164919433486704</t>
  </si>
  <si>
    <t>-1.3940747998632845</t>
  </si>
  <si>
    <t>1.2339627507422508</t>
  </si>
  <si>
    <t>1.6335715249176477</t>
  </si>
  <si>
    <t>0.36043046287012254</t>
  </si>
  <si>
    <t>0.05078033524166979</t>
  </si>
  <si>
    <t>-0.32009389208455064</t>
  </si>
  <si>
    <t>-0.0033043710069544916</t>
  </si>
  <si>
    <t>0.7517455623904744</t>
  </si>
  <si>
    <t>-0.11718151435392403</t>
  </si>
  <si>
    <t>4.323931271722842</t>
  </si>
  <si>
    <t>-3.836961143188155</t>
  </si>
  <si>
    <t>-1.0895095211814763</t>
  </si>
  <si>
    <t>0.39279770711987877</t>
  </si>
  <si>
    <t>-0.540347903864604</t>
  </si>
  <si>
    <t>-0.24919972120698902</t>
  </si>
  <si>
    <t>-0.18564613092026933</t>
  </si>
  <si>
    <t>0.868258058480233</t>
  </si>
  <si>
    <t>-0.8135050540886143</t>
  </si>
  <si>
    <t>0.8138611837105008</t>
  </si>
  <si>
    <t>-0.18088343807422735</t>
  </si>
  <si>
    <t>-0.2050615191822598</t>
  </si>
  <si>
    <t>0.38419231261626</t>
  </si>
  <si>
    <t>-0.7544914822776586</t>
  </si>
  <si>
    <t>0.8100149469151672</t>
  </si>
  <si>
    <t>0.18322738997729743</t>
  </si>
  <si>
    <t>-0.447859078679298</t>
  </si>
  <si>
    <t>0.0034759729690514436</t>
  </si>
  <si>
    <t>1.7332025438809142</t>
  </si>
  <si>
    <t>0.28753617391784136</t>
  </si>
  <si>
    <t>0.12058068949057084</t>
  </si>
  <si>
    <t>0.7041070720957581</t>
  </si>
  <si>
    <t>0.5331256361303084</t>
  </si>
  <si>
    <t>0.17627332917949487</t>
  </si>
  <si>
    <t>0.5928932158340336</t>
  </si>
  <si>
    <t>0.6009874609964343</t>
  </si>
  <si>
    <t>0.2698302260714636</t>
  </si>
  <si>
    <t>-0.4003300391387106</t>
  </si>
  <si>
    <t>-0.18382897745769314</t>
  </si>
  <si>
    <t>0.2667719546821347</t>
  </si>
  <si>
    <t>-0.4760783688225818</t>
  </si>
  <si>
    <t>-0.37798751153712107</t>
  </si>
  <si>
    <t>0.11520883012557659</t>
  </si>
  <si>
    <t>1.672321573157619</t>
  </si>
  <si>
    <t>-0.6272693122657514</t>
  </si>
  <si>
    <t>0.43615357549575884</t>
  </si>
  <si>
    <t>-0.8047617738216895</t>
  </si>
  <si>
    <t>-0.220090611582156</t>
  </si>
  <si>
    <t>0.8105146220724396</t>
  </si>
  <si>
    <t>-0.7230924685184211</t>
  </si>
  <si>
    <t>0.40263835628289263</t>
  </si>
  <si>
    <t>0.09897073182167494</t>
  </si>
  <si>
    <t>-0.5817151772643351</t>
  </si>
  <si>
    <t>-0.22467127537161494</t>
  </si>
  <si>
    <t>-0.5786219311266154</t>
  </si>
  <si>
    <t>-0.12125978846103791</t>
  </si>
  <si>
    <t>-0.24596895983473294</t>
  </si>
  <si>
    <t>-0.6525488389178732</t>
  </si>
  <si>
    <t>0.12444104841247328</t>
  </si>
  <si>
    <t>-0.061715271337255226</t>
  </si>
  <si>
    <t>-0.672392098347631</t>
  </si>
  <si>
    <t>-0.18636013623042394</t>
  </si>
  <si>
    <t>-0.22014459935312314</t>
  </si>
  <si>
    <t>0.7072557013169398</t>
  </si>
  <si>
    <t>-0.4938699811225277</t>
  </si>
  <si>
    <t>-0.709207205912745</t>
  </si>
  <si>
    <t>0.4033548291298563</t>
  </si>
  <si>
    <t>-0.5265989682495879</t>
  </si>
  <si>
    <t>0.022967060822842524</t>
  </si>
  <si>
    <t>0.6336493521053808</t>
  </si>
  <si>
    <t>-0.40345015868940387</t>
  </si>
  <si>
    <t>0.18302111336674118</t>
  </si>
  <si>
    <t>0.6347452223566337</t>
  </si>
  <si>
    <t>-0.3825389071963458</t>
  </si>
  <si>
    <t>0.28645393811029746</t>
  </si>
  <si>
    <t>1.9415384954871204</t>
  </si>
  <si>
    <t>-1.058842204452871</t>
  </si>
  <si>
    <t>0.4667264804884867</t>
  </si>
  <si>
    <t>-0.4142429101430295</t>
  </si>
  <si>
    <t>-0.0015234231930217022</t>
  </si>
  <si>
    <t>0.12683061573133608</t>
  </si>
  <si>
    <t>1.381644104968501</t>
  </si>
  <si>
    <t>-0.024730745127247534</t>
  </si>
  <si>
    <t>1.7959489574916785</t>
  </si>
  <si>
    <t>0.1353238241695306</t>
  </si>
  <si>
    <t>-0.40570431624328</t>
  </si>
  <si>
    <t>0.10722471524061496</t>
  </si>
  <si>
    <t>0.44877758880295016</t>
  </si>
  <si>
    <t>0.40015843610839724</t>
  </si>
  <si>
    <t>-0.1965020197431519</t>
  </si>
  <si>
    <t>-0.08502543873213023</t>
  </si>
  <si>
    <t>0.7455790529044677</t>
  </si>
  <si>
    <t>-0.7258818508123157</t>
  </si>
  <si>
    <t>0.48914504149413296</t>
  </si>
  <si>
    <t>0.5085730586427548</t>
  </si>
  <si>
    <t>-1.183337504378106</t>
  </si>
  <si>
    <t>0.13417022738320103</t>
  </si>
  <si>
    <t>0.15111649526800586</t>
  </si>
  <si>
    <t>-0.5669209937285582</t>
  </si>
  <si>
    <t>-0.3134387221643057</t>
  </si>
  <si>
    <t>0.1578419303538003</t>
  </si>
  <si>
    <t>0.7371807620920726</t>
  </si>
  <si>
    <t>-0.30125785069701505</t>
  </si>
  <si>
    <t>0.6093061685149932</t>
  </si>
  <si>
    <t>-0.24556041033014508</t>
  </si>
  <si>
    <t>6.294733170493708e-05</t>
  </si>
  <si>
    <t>0.3192873783130418</t>
  </si>
  <si>
    <t>0.6870517072700325</t>
  </si>
  <si>
    <t>-0.2881294008873005</t>
  </si>
  <si>
    <t>0.29123734893576503</t>
  </si>
  <si>
    <t>0.450391593829223</t>
  </si>
  <si>
    <t>0.2157820782904697</t>
  </si>
  <si>
    <t>1.6936119484240324</t>
  </si>
  <si>
    <t>-0.7251312969097617</t>
  </si>
  <si>
    <t>-0.042230228940091014</t>
  </si>
  <si>
    <t>-0.0295183466518485</t>
  </si>
  <si>
    <t>-1.4445134165591822</t>
  </si>
  <si>
    <t>1.6348852063555765</t>
  </si>
  <si>
    <t>-1.8297600513343653</t>
  </si>
  <si>
    <t>0.1946871191336696</t>
  </si>
  <si>
    <t>0.10076972878763389</t>
  </si>
  <si>
    <t>-0.3384201055667356</t>
  </si>
  <si>
    <t>0.49652359706677845</t>
  </si>
  <si>
    <t>0.07858079897534193</t>
  </si>
  <si>
    <t>-0.35148573792051147</t>
  </si>
  <si>
    <t>-0.47148714515479445</t>
  </si>
  <si>
    <t>-1.1544821618515413</t>
  </si>
  <si>
    <t>0.1676382670656002</t>
  </si>
  <si>
    <t>-0.2511634225345286</t>
  </si>
  <si>
    <t>-0.39242939356271733</t>
  </si>
  <si>
    <t>0.26019883007661054</t>
  </si>
  <si>
    <t>0.2226995140644769</t>
  </si>
  <si>
    <t>-0.2445778992927818</t>
  </si>
  <si>
    <t>0.5828630075044664</t>
  </si>
  <si>
    <t>-0.7930174237644712</t>
  </si>
  <si>
    <t>0.23752623965273909</t>
  </si>
  <si>
    <t>0.5150471465146471</t>
  </si>
  <si>
    <t>-0.21098603205715688</t>
  </si>
  <si>
    <t>-0.6088411898412365</t>
  </si>
  <si>
    <t>0.1224843972595634</t>
  </si>
  <si>
    <t>-0.03975601610087778</t>
  </si>
  <si>
    <t>-1.0249008100146102</t>
  </si>
  <si>
    <t>0.6366785271168705</t>
  </si>
  <si>
    <t>0.7521255919438998</t>
  </si>
  <si>
    <t>-0.3460950609304133</t>
  </si>
  <si>
    <t>-1.0123968697812875</t>
  </si>
  <si>
    <t>-0.2475149683043074</t>
  </si>
  <si>
    <t>-0.031053358063417115</t>
  </si>
  <si>
    <t>-0.09974091543205764</t>
  </si>
  <si>
    <t>-0.5404367398423212</t>
  </si>
  <si>
    <t>-1.0244448335236735</t>
  </si>
  <si>
    <t>-0.6418160283308867</t>
  </si>
  <si>
    <t>-0.8097095244449348</t>
  </si>
  <si>
    <t>-0.3607372560901687</t>
  </si>
  <si>
    <t>0.6032464525531531</t>
  </si>
  <si>
    <t>-0.6327653229974078</t>
  </si>
  <si>
    <t>-0.3538603698684395</t>
  </si>
  <si>
    <t>2.2801556192372114</t>
  </si>
  <si>
    <t>1.792759303990685</t>
  </si>
  <si>
    <t>0.6503676848398477</t>
  </si>
  <si>
    <t>-0.6941351216367101</t>
  </si>
  <si>
    <t>1.2534300848480877</t>
  </si>
  <si>
    <t>-0.9105191032762194</t>
  </si>
  <si>
    <t>0.07338501981727179</t>
  </si>
  <si>
    <t>0.11051721511314017</t>
  </si>
  <si>
    <t>0.49174883847116196</t>
  </si>
  <si>
    <t>-1.1475287351904668</t>
  </si>
  <si>
    <t>-0.17695224157845907</t>
  </si>
  <si>
    <t>-0.08475475229876278</t>
  </si>
  <si>
    <t>-0.08006664295708169</t>
  </si>
  <si>
    <t>0.15816830203748555</t>
  </si>
  <si>
    <t>-1.2916263480880124</t>
  </si>
  <si>
    <t>0.3924106690048668</t>
  </si>
  <si>
    <t>0.2743636618013601</t>
  </si>
  <si>
    <t>1.1684268942533829</t>
  </si>
  <si>
    <t>-1.0780788687261005</t>
  </si>
  <si>
    <t>-0.2463986782672709</t>
  </si>
  <si>
    <t>0.16038621862876776</t>
  </si>
  <si>
    <t>-0.3854686046181917</t>
  </si>
  <si>
    <t>0.5386048472869511</t>
  </si>
  <si>
    <t>-0.46248614378136127</t>
  </si>
  <si>
    <t>0.5492962017197747</t>
  </si>
  <si>
    <t>1.069447596459055</t>
  </si>
  <si>
    <t>-0.29745628865866136</t>
  </si>
  <si>
    <t>-0.05109892021095039</t>
  </si>
  <si>
    <t>0.1776231381268935</t>
  </si>
  <si>
    <t>-0.6438420352572767</t>
  </si>
  <si>
    <t>0.123767916454372</t>
  </si>
  <si>
    <t>-0.1545584396598639</t>
  </si>
  <si>
    <t>-0.23025875407139845</t>
  </si>
  <si>
    <t>-0.40223411592406233</t>
  </si>
  <si>
    <t>-0.4929278577707425</t>
  </si>
  <si>
    <t>0.6796119548651329</t>
  </si>
  <si>
    <t>-0.3486612723767796</t>
  </si>
  <si>
    <t>-0.26611475632667375</t>
  </si>
  <si>
    <t>-0.0057749283917965825</t>
  </si>
  <si>
    <t>-0.0038888472175220385</t>
  </si>
  <si>
    <t>-1.0787853796210762</t>
  </si>
  <si>
    <t>0.045209116935456976</t>
  </si>
  <si>
    <t>0.07069051376320029</t>
  </si>
  <si>
    <t>-0.045991670451995884</t>
  </si>
  <si>
    <t>-0.32781024979585466</t>
  </si>
  <si>
    <t>0.43631294649020436</t>
  </si>
  <si>
    <t>0.526721002952215</t>
  </si>
  <si>
    <t>-0.061729435188110325</t>
  </si>
  <si>
    <t>-1.098701461809556</t>
  </si>
  <si>
    <t>0.7670108329101563</t>
  </si>
  <si>
    <t>0.08971182172528247</t>
  </si>
  <si>
    <t>0.47508567108924643</t>
  </si>
  <si>
    <t>1.2500030453400028</t>
  </si>
  <si>
    <t>0.36519447072760414</t>
  </si>
  <si>
    <t>-0.400179003844852</t>
  </si>
  <si>
    <t>1.5465451779151882</t>
  </si>
  <si>
    <t>-1.211980934184677</t>
  </si>
  <si>
    <t>-0.3010432761481727</t>
  </si>
  <si>
    <t>2.3651477441827518</t>
  </si>
  <si>
    <t>-0.8244025928205492</t>
  </si>
  <si>
    <t>-0.2597975271122642</t>
  </si>
  <si>
    <t>-0.4922227674159524</t>
  </si>
  <si>
    <t>-0.7371957258761067</t>
  </si>
  <si>
    <t>0.2759580206796559</t>
  </si>
  <si>
    <t>1.5578612878646816</t>
  </si>
  <si>
    <t>0.09502387352510593</t>
  </si>
  <si>
    <t>-1.441451082314768</t>
  </si>
  <si>
    <t>0.3585989238375346</t>
  </si>
  <si>
    <t>0.7215982228970201</t>
  </si>
  <si>
    <t>-0.5938380367582264</t>
  </si>
  <si>
    <t>-1.35426330071609</t>
  </si>
  <si>
    <t>0.2305334414343156</t>
  </si>
  <si>
    <t>0.05294208297057713</t>
  </si>
  <si>
    <t>-0.868547718428956</t>
  </si>
  <si>
    <t>-0.2024863069064826</t>
  </si>
  <si>
    <t>0.8629278264673692</t>
  </si>
  <si>
    <t>0.29622172951726244</t>
  </si>
  <si>
    <t>-0.5573630929904804</t>
  </si>
  <si>
    <t>0.13278736734655772</t>
  </si>
  <si>
    <t>0.9140784062669618</t>
  </si>
  <si>
    <t>1.4661434032542966</t>
  </si>
  <si>
    <t>1.2173551496592705</t>
  </si>
  <si>
    <t>1.311834213384158</t>
  </si>
  <si>
    <t>0.11973894645911957</t>
  </si>
  <si>
    <t>0.022430486198862846</t>
  </si>
  <si>
    <t>-0.6234110932156812</t>
  </si>
  <si>
    <t>-0.12252794384093288</t>
  </si>
  <si>
    <t>-0.8020620201305838</t>
  </si>
  <si>
    <t>0.5118301480548073</t>
  </si>
  <si>
    <t>-0.13144284529919437</t>
  </si>
  <si>
    <t>-0.03659019694150689</t>
  </si>
  <si>
    <t>-0.32488061520852446</t>
  </si>
  <si>
    <t>0.2484361772373054</t>
  </si>
  <si>
    <t>-0.9249640045602385</t>
  </si>
  <si>
    <t>-0.19775228495078997</t>
  </si>
  <si>
    <t>0.21979437355517117</t>
  </si>
  <si>
    <t>-0.6340795119062833</t>
  </si>
  <si>
    <t>0.6086338897479837</t>
  </si>
  <si>
    <t>-0.1593567376084895</t>
  </si>
  <si>
    <t>0.12471419119518735</t>
  </si>
  <si>
    <t>-0.24085445387935187</t>
  </si>
  <si>
    <t>-0.3941557014905952</t>
  </si>
  <si>
    <t>-1.296510244065781</t>
  </si>
  <si>
    <t>1.0999841599708207</t>
  </si>
  <si>
    <t>-0.1440238677880673</t>
  </si>
  <si>
    <t>1.47596757030423</t>
  </si>
  <si>
    <t>3.0981669747438105</t>
  </si>
  <si>
    <t>0.6382822559158484</t>
  </si>
  <si>
    <t>-1.6441739627175604</t>
  </si>
  <si>
    <t>-0.6549577861184376</t>
  </si>
  <si>
    <t>0.6311913004037035</t>
  </si>
  <si>
    <t>-0.004618352542609232</t>
  </si>
  <si>
    <t>-1.0217655379189994</t>
  </si>
  <si>
    <t>-0.7474339183716857</t>
  </si>
  <si>
    <t>1.2865030163297935</t>
  </si>
  <si>
    <t>0.2833997786402999</t>
  </si>
  <si>
    <t>1.443356649252139</t>
  </si>
  <si>
    <t>0.17362176113428768</t>
  </si>
  <si>
    <t>1.33414645395667</t>
  </si>
  <si>
    <t>0.8689310048816458</t>
  </si>
  <si>
    <t>-0.6995574528455498</t>
  </si>
  <si>
    <t>1.3872005505602194</t>
  </si>
  <si>
    <t>-1.776281757201835</t>
  </si>
  <si>
    <t>-0.4587382547077053</t>
  </si>
  <si>
    <t>0.34501958647971426</t>
  </si>
  <si>
    <t>-0.7196924936661185</t>
  </si>
  <si>
    <t>-0.8661032736754388</t>
  </si>
  <si>
    <t>0.6435529069353703</t>
  </si>
  <si>
    <t>-0.05848300635771452</t>
  </si>
  <si>
    <t>-0.8065969327566201</t>
  </si>
  <si>
    <t>0.5972292835090206</t>
  </si>
  <si>
    <t>0.9979177249479889</t>
  </si>
  <si>
    <t>0.04559675846787679</t>
  </si>
  <si>
    <t>-0.1150772749511457</t>
  </si>
  <si>
    <t>2.0665075027435287</t>
  </si>
  <si>
    <t>-0.8610439715095575</t>
  </si>
  <si>
    <t>-1.2026665366107265</t>
  </si>
  <si>
    <t>-0.20148725490904865</t>
  </si>
  <si>
    <t>-1.450148208858604</t>
  </si>
  <si>
    <t>0.6487480951995005</t>
  </si>
  <si>
    <t>1.8142452533752778</t>
  </si>
  <si>
    <t>-1.9487803953243727</t>
  </si>
  <si>
    <t>2.3747442322792813</t>
  </si>
  <si>
    <t>-5.323924247864334</t>
  </si>
  <si>
    <t>0.8387459249576124</t>
  </si>
  <si>
    <t>-1.0419879422150542</t>
  </si>
  <si>
    <t>0.9798952872239207</t>
  </si>
  <si>
    <t>0.2308881262782054</t>
  </si>
  <si>
    <t>0.19524051390291539</t>
  </si>
  <si>
    <t>-1.1700878629392675</t>
  </si>
  <si>
    <t>-0.29541410078115143</t>
  </si>
  <si>
    <t>-1.3010040343965004</t>
  </si>
  <si>
    <t>-0.154579122304662</t>
  </si>
  <si>
    <t>1.1716507744597142</t>
  </si>
  <si>
    <t>0.3621449005061768</t>
  </si>
  <si>
    <t>0.0301597602065988</t>
  </si>
  <si>
    <t>-0.5464171400921841</t>
  </si>
  <si>
    <t>0.5244044736404693</t>
  </si>
  <si>
    <t>-0.35702473141976254</t>
  </si>
  <si>
    <t>-0.39171565478401954</t>
  </si>
  <si>
    <t>-0.16150479716243193</t>
  </si>
  <si>
    <t>0.09581276569278374</t>
  </si>
  <si>
    <t>1.7002236769195347</t>
  </si>
  <si>
    <t>-0.9042812306692884</t>
  </si>
  <si>
    <t>-0.15239958669002085</t>
  </si>
  <si>
    <t>-0.2886424671363025</t>
  </si>
  <si>
    <t>1.0408945523743915</t>
  </si>
  <si>
    <t>-0.9978210793560023</t>
  </si>
  <si>
    <t>1.598673519160745</t>
  </si>
  <si>
    <t>-0.42538387958791773</t>
  </si>
  <si>
    <t>-0.69363208420084</t>
  </si>
  <si>
    <t>0.17881448290725324</t>
  </si>
  <si>
    <t>0.2983298194365778</t>
  </si>
  <si>
    <t>0.470046365070062</t>
  </si>
  <si>
    <t>-0.29379099306185386</t>
  </si>
  <si>
    <t>0.6310199055613014</t>
  </si>
  <si>
    <t>0.6372575162063925</t>
  </si>
  <si>
    <t>0.07929571144492634</t>
  </si>
  <si>
    <t>-0.11943914887204896</t>
  </si>
  <si>
    <t>-0.08628252429297355</t>
  </si>
  <si>
    <t>0.6576862373875375</t>
  </si>
  <si>
    <t>-1.3674694802527203</t>
  </si>
  <si>
    <t>-0.6741737047396257</t>
  </si>
  <si>
    <t>1.0870122735918657</t>
  </si>
  <si>
    <t>0.9013124217593653</t>
  </si>
  <si>
    <t>0.5956289789343101</t>
  </si>
  <si>
    <t>0.25508383101131943</t>
  </si>
  <si>
    <t>-2.2184537954465613</t>
  </si>
  <si>
    <t>1.1738883805135807</t>
  </si>
  <si>
    <t>0.11920606766288508</t>
  </si>
  <si>
    <t>-0.21952951729492975</t>
  </si>
  <si>
    <t>0.7056926979829551</t>
  </si>
  <si>
    <t>1.542719772871987</t>
  </si>
  <si>
    <t>-0.522323215258627</t>
  </si>
  <si>
    <t>0.7690390838011391</t>
  </si>
  <si>
    <t>1.0144575982642614</t>
  </si>
  <si>
    <t>-0.4512765454566899</t>
  </si>
  <si>
    <t>0.46985529924694325</t>
  </si>
  <si>
    <t>0.9428406197803136</t>
  </si>
  <si>
    <t>-0.45447969336373883</t>
  </si>
  <si>
    <t>0.41259565211949034</t>
  </si>
  <si>
    <t>1.1470952447448535</t>
  </si>
  <si>
    <t>-1.1611485158781287</t>
  </si>
  <si>
    <t>-0.5537037300593904</t>
  </si>
  <si>
    <t>0.06129202580142998</t>
  </si>
  <si>
    <t>-0.22174634075622776</t>
  </si>
  <si>
    <t>-0.8418330956528414</t>
  </si>
  <si>
    <t>-0.20795554299604957</t>
  </si>
  <si>
    <t>0.5467008883999923</t>
  </si>
  <si>
    <t>0.36951829638806716</t>
  </si>
  <si>
    <t>0.9833199529100592</t>
  </si>
  <si>
    <t>0.23953598429454506</t>
  </si>
  <si>
    <t>0.3225059283171651</t>
  </si>
  <si>
    <t>0.6517079431870527</t>
  </si>
  <si>
    <t>-0.19203932322242873</t>
  </si>
  <si>
    <t>-0.4410820288926446</t>
  </si>
  <si>
    <t>-0.15600210761182418</t>
  </si>
  <si>
    <t>0.03953478645021034</t>
  </si>
  <si>
    <t>0.12363764426226644</t>
  </si>
  <si>
    <t>-0.3162296870191078</t>
  </si>
  <si>
    <t>-1.0528537753563307</t>
  </si>
  <si>
    <t>0.5452977977035165</t>
  </si>
  <si>
    <t>0.572270743951733</t>
  </si>
  <si>
    <t>-0.2895163613989993</t>
  </si>
  <si>
    <t>0.02767684177656309</t>
  </si>
  <si>
    <t>-0.4413000714157528</t>
  </si>
  <si>
    <t>0.5544816602031462</t>
  </si>
  <si>
    <t>-1.1150551879492292</t>
  </si>
  <si>
    <t>0.20448122887371262</t>
  </si>
  <si>
    <t>0.6049972796483586</t>
  </si>
  <si>
    <t>-1.3038890113856274</t>
  </si>
  <si>
    <t>0.5094883800503444</t>
  </si>
  <si>
    <t>0.2816835258098773</t>
  </si>
  <si>
    <t>0.6566769387619662</t>
  </si>
  <si>
    <t>-1.0064828394265921</t>
  </si>
  <si>
    <t>-0.11608970604344511</t>
  </si>
  <si>
    <t>0.5037293445571652</t>
  </si>
  <si>
    <t>0.03344218202484697</t>
  </si>
  <si>
    <t>0.4184592490232406</t>
  </si>
  <si>
    <t>-0.35580540106885156</t>
  </si>
  <si>
    <t>-0.11335559099389557</t>
  </si>
  <si>
    <t>0.7780522497312812</t>
  </si>
  <si>
    <t>1.0543895887750465</t>
  </si>
  <si>
    <t>-0.2559195667402483</t>
  </si>
  <si>
    <t>0.2554775482666592</t>
  </si>
  <si>
    <t>-0.3011933159247426</t>
  </si>
  <si>
    <t>0.8852932903011862</t>
  </si>
  <si>
    <t>-0.785832124420328</t>
  </si>
  <si>
    <t>0.6705706820066976</t>
  </si>
  <si>
    <t>-0.5655582086791175</t>
  </si>
  <si>
    <t>-0.6141905903127042</t>
  </si>
  <si>
    <t>-1.1029448177898584</t>
  </si>
  <si>
    <t>0.11344804633395462</t>
  </si>
  <si>
    <t>0.1778457909469549</t>
  </si>
  <si>
    <t>-0.2402241902607515</t>
  </si>
  <si>
    <t>0.6904471152467774</t>
  </si>
  <si>
    <t>0.5443673250612375</t>
  </si>
  <si>
    <t>0.0362731521252731</t>
  </si>
  <si>
    <t>-0.4313682753456351</t>
  </si>
  <si>
    <t>-0.28233104818757104</t>
  </si>
  <si>
    <t>0.16489025220237546</t>
  </si>
  <si>
    <t>-0.444898064770917</t>
  </si>
  <si>
    <t>0.9276084425056866</t>
  </si>
  <si>
    <t>-0.327189203680797</t>
  </si>
  <si>
    <t>-0.10234616670562237</t>
  </si>
  <si>
    <t>0.9613764413302416</t>
  </si>
  <si>
    <t>-0.5109019088796442</t>
  </si>
  <si>
    <t>-0.2039106227924481</t>
  </si>
  <si>
    <t>0.4863300908111664</t>
  </si>
  <si>
    <t>0.27612444300464384</t>
  </si>
  <si>
    <t>0.7722030406234311</t>
  </si>
  <si>
    <t>0.5288158767562803</t>
  </si>
  <si>
    <t>-0.730523128611103</t>
  </si>
  <si>
    <t>-0.7361578034998435</t>
  </si>
  <si>
    <t>-0.22914995192714288</t>
  </si>
  <si>
    <t>0.14475541591633764</t>
  </si>
  <si>
    <t>-0.045798486930302425</t>
  </si>
  <si>
    <t>-1.6735993888801204</t>
  </si>
  <si>
    <t>-0.39850081995426556</t>
  </si>
  <si>
    <t>-0.09165393095718784</t>
  </si>
  <si>
    <t>0.42844703504584664</t>
  </si>
  <si>
    <t>0.284203116792979</t>
  </si>
  <si>
    <t>-0.48567096808026544</t>
  </si>
  <si>
    <t>0.24642321950468402</t>
  </si>
  <si>
    <t>-0.11797405568443153</t>
  </si>
  <si>
    <t>-0.33220535241277455</t>
  </si>
  <si>
    <t>0.7023622437485751</t>
  </si>
  <si>
    <t>-0.3014248902371976</t>
  </si>
  <si>
    <t>8.858333687157345e-06</t>
  </si>
  <si>
    <t>0.7697080460535048</t>
  </si>
  <si>
    <t>1.3532604581283445</t>
  </si>
  <si>
    <t>-0.10794626703332452</t>
  </si>
  <si>
    <t>-0.16926203481759955</t>
  </si>
  <si>
    <t>0.025013851788500126</t>
  </si>
  <si>
    <t>0.6540735260372228</t>
  </si>
  <si>
    <t>-2.343622105579449</t>
  </si>
  <si>
    <t>-3.0632271979261425</t>
  </si>
  <si>
    <t>1.987688978104205</t>
  </si>
  <si>
    <t>0.17885002259473312</t>
  </si>
  <si>
    <t>4.786629855012317</t>
  </si>
  <si>
    <t>-0.056077804673375274</t>
  </si>
  <si>
    <t>-0.07263743841848451</t>
  </si>
  <si>
    <t>0.48645602293031753</t>
  </si>
  <si>
    <t>-1.5827901277245162</t>
  </si>
  <si>
    <t>0.5355365287573054</t>
  </si>
  <si>
    <t>-0.7041540637449247</t>
  </si>
  <si>
    <t>2.970072179076028</t>
  </si>
  <si>
    <t>6.833685505725461</t>
  </si>
  <si>
    <t>-1.3101256368275946</t>
  </si>
  <si>
    <t>1.5170327316069039</t>
  </si>
  <si>
    <t>1.9682976848241318</t>
  </si>
  <si>
    <t>-0.5060150859526726</t>
  </si>
  <si>
    <t>0.17177568992508613</t>
  </si>
  <si>
    <t>0.015173130537628553</t>
  </si>
  <si>
    <t>-1.522404103164713</t>
  </si>
  <si>
    <t>-2.1585725764258896</t>
  </si>
  <si>
    <t>-0.6377337530822857</t>
  </si>
  <si>
    <t>-2.108742873471009</t>
  </si>
  <si>
    <t>3.9508975986557804</t>
  </si>
  <si>
    <t>-1.3573814578477819</t>
  </si>
  <si>
    <t>-1.741516904798879</t>
  </si>
  <si>
    <t>0.5793983352228336</t>
  </si>
  <si>
    <t>0.5790820070178493</t>
  </si>
  <si>
    <t>1.3096204931209305</t>
  </si>
  <si>
    <t>2.3172469668896283</t>
  </si>
  <si>
    <t>1.775555215722487</t>
  </si>
  <si>
    <t>1.6982690755570278</t>
  </si>
  <si>
    <t>-0.02456378699262968</t>
  </si>
  <si>
    <t>-0.7272897192999577</t>
  </si>
  <si>
    <t>-0.3632127865456856</t>
  </si>
  <si>
    <t>0.5221231804368388</t>
  </si>
  <si>
    <t>-2.5078778985390655</t>
  </si>
  <si>
    <t>-1.7348377391393344</t>
  </si>
  <si>
    <t>-0.15538288657320504</t>
  </si>
  <si>
    <t>-0.5240021278966697</t>
  </si>
  <si>
    <t>-2.1826298366967882</t>
  </si>
  <si>
    <t>-0.8661386467530595</t>
  </si>
  <si>
    <t>-3.0890740385621336</t>
  </si>
  <si>
    <t>-4.677705144236372</t>
  </si>
  <si>
    <t>-1.159489582980092</t>
  </si>
  <si>
    <t>-3.043220520000155</t>
  </si>
  <si>
    <t>-2.907515909382186</t>
  </si>
  <si>
    <t>3.322071163985935</t>
  </si>
  <si>
    <t>1.3548710625992701</t>
  </si>
  <si>
    <t>-0.5955284266080388</t>
  </si>
  <si>
    <t>-2.950747714084852</t>
  </si>
  <si>
    <t>-0.2275502831342337</t>
  </si>
  <si>
    <t>-1.9556703094999792</t>
  </si>
  <si>
    <t>-1.344780376554955</t>
  </si>
  <si>
    <t>1.0324152683066787</t>
  </si>
  <si>
    <t>2.861860497645685</t>
  </si>
  <si>
    <t>0.5447263517195801</t>
  </si>
  <si>
    <t>1.6913695788532126</t>
  </si>
  <si>
    <t>-0.9328655980007104</t>
  </si>
  <si>
    <t>-0.5722014429009322</t>
  </si>
  <si>
    <t>-0.0332451852384104</t>
  </si>
  <si>
    <t>-0.2203351828994754</t>
  </si>
  <si>
    <t>0.9905127175746271</t>
  </si>
  <si>
    <t>-1.9240362744182946</t>
  </si>
  <si>
    <t>-3.909875682392933</t>
  </si>
  <si>
    <t>-1.1019365815696205</t>
  </si>
  <si>
    <t>-1.169896637243024</t>
  </si>
  <si>
    <t>5.095853386492659</t>
  </si>
  <si>
    <t>-0.32776075654069825</t>
  </si>
  <si>
    <t>-3.196948117454496</t>
  </si>
  <si>
    <t>-1.2560772525540616</t>
  </si>
  <si>
    <t>-0.0660718348403815</t>
  </si>
  <si>
    <t>-0.5781609295158291</t>
  </si>
  <si>
    <t>2.055743641748619</t>
  </si>
  <si>
    <t>-0.13939512632981296</t>
  </si>
  <si>
    <t>-0.800218633790199</t>
  </si>
  <si>
    <t>0.6402302820694141</t>
  </si>
  <si>
    <t>-1.5663749160577973</t>
  </si>
  <si>
    <t>0.08368630610394599</t>
  </si>
  <si>
    <t>4.771806440011601</t>
  </si>
  <si>
    <t>-0.393751346759886</t>
  </si>
  <si>
    <t>-1.823668409858632</t>
  </si>
  <si>
    <t>2.1229836850256265</t>
  </si>
  <si>
    <t>-1.903244621250823</t>
  </si>
  <si>
    <t>-2.3243923851669694</t>
  </si>
  <si>
    <t>-1.6376321945048666</t>
  </si>
  <si>
    <t>0.8947646954447832</t>
  </si>
  <si>
    <t>2.0377744654466547</t>
  </si>
  <si>
    <t>-0.590311683133032</t>
  </si>
  <si>
    <t>5.625364669791047</t>
  </si>
  <si>
    <t>-1.1250596898151042</t>
  </si>
  <si>
    <t>-2.067505523881117</t>
  </si>
  <si>
    <t>-1.6438850901537956</t>
  </si>
  <si>
    <t>0.304969195708894</t>
  </si>
  <si>
    <t>0.12868864186685117</t>
  </si>
  <si>
    <t>-0.5851867808269746</t>
  </si>
  <si>
    <t>-3.4459335259658914</t>
  </si>
  <si>
    <t>-0.12086661236820165</t>
  </si>
  <si>
    <t>-0.48675851059974284</t>
  </si>
  <si>
    <t>-1.2550950374250676</t>
  </si>
  <si>
    <t>3.4701789012508093</t>
  </si>
  <si>
    <t>-1.1892592570461877</t>
  </si>
  <si>
    <t>0.06481066621791216</t>
  </si>
  <si>
    <t>0.18495703519777013</t>
  </si>
  <si>
    <t>-0.3596951130578003</t>
  </si>
  <si>
    <t>-0.6461364512375677</t>
  </si>
  <si>
    <t>-0.32364814014221277</t>
  </si>
  <si>
    <t>-0.4590125418581924</t>
  </si>
  <si>
    <t>-1.5376284156238307</t>
  </si>
  <si>
    <t>-0.9798188295279938</t>
  </si>
  <si>
    <t>-0.5475656136058906</t>
  </si>
  <si>
    <t>0.18921986586991252</t>
  </si>
  <si>
    <t>-0.12430285955370496</t>
  </si>
  <si>
    <t>0.6709474730112276</t>
  </si>
  <si>
    <t>1.225438380522333</t>
  </si>
  <si>
    <t>-0.12844336357141753</t>
  </si>
  <si>
    <t>-0.19082260213685082</t>
  </si>
  <si>
    <t>1.4784934710876891</t>
  </si>
  <si>
    <t>-0.4510113657966025</t>
  </si>
  <si>
    <t>-0.6297045217830876</t>
  </si>
  <si>
    <t>-0.14533232985175035</t>
  </si>
  <si>
    <t>-0.6883739664875773</t>
  </si>
  <si>
    <t>-1.060086017534174</t>
  </si>
  <si>
    <t>0.5856513449403177</t>
  </si>
  <si>
    <t>-0.07820565745669643</t>
  </si>
  <si>
    <t>-1.117037075346454</t>
  </si>
  <si>
    <t>-0.2712704758855824</t>
  </si>
  <si>
    <t>-0.4608483155726251</t>
  </si>
  <si>
    <t>-0.5967793241403492</t>
  </si>
  <si>
    <t>1.0643693788628594</t>
  </si>
  <si>
    <t>1.005736021070368</t>
  </si>
  <si>
    <t>0.5052356703811156</t>
  </si>
  <si>
    <t>2.142722151356267</t>
  </si>
  <si>
    <t>0.32995039471669935</t>
  </si>
  <si>
    <t>-0.9517226846739001</t>
  </si>
  <si>
    <t>-0.36540256351255185</t>
  </si>
  <si>
    <t>-1.3816459060939943</t>
  </si>
  <si>
    <t>0.5719580701773411</t>
  </si>
  <si>
    <t>-0.38894645906241254</t>
  </si>
  <si>
    <t>0.5568667407937525</t>
  </si>
  <si>
    <t>-1.7116070312661522</t>
  </si>
  <si>
    <t>-1.0400384351852903</t>
  </si>
  <si>
    <t>0.3179129603292554</t>
  </si>
  <si>
    <t>-0.4993379498888123</t>
  </si>
  <si>
    <t>-0.2188755058554517</t>
  </si>
  <si>
    <t>4.019346497833718</t>
  </si>
  <si>
    <t>-0.6074508229070671</t>
  </si>
  <si>
    <t>-1.2303893106707058</t>
  </si>
  <si>
    <t>-0.6657697863646758</t>
  </si>
  <si>
    <t>0.2883572738415144</t>
  </si>
  <si>
    <t>-1.0978643283011131</t>
  </si>
  <si>
    <t>0.6653010478020044</t>
  </si>
  <si>
    <t>-0.3217552145966636</t>
  </si>
  <si>
    <t>-0.611566081503906</t>
  </si>
  <si>
    <t>0.3139446952080896</t>
  </si>
  <si>
    <t>-0.15647103902138595</t>
  </si>
  <si>
    <t>0.20320234373030627</t>
  </si>
  <si>
    <t>-1.0358439686442742</t>
  </si>
  <si>
    <t>-0.8027990579181663</t>
  </si>
  <si>
    <t>-0.5719480786389782</t>
  </si>
  <si>
    <t>0.17058243536931136</t>
  </si>
  <si>
    <t>0.5366824680272173</t>
  </si>
  <si>
    <t>-0.27584331503460935</t>
  </si>
  <si>
    <t>0.2491577598444788</t>
  </si>
  <si>
    <t>-0.6537566580212834</t>
  </si>
  <si>
    <t>-0.21138421607434468</t>
  </si>
  <si>
    <t>0.42753642286512</t>
  </si>
  <si>
    <t>-0.6665655672531418</t>
  </si>
  <si>
    <t>1.4744637695246536</t>
  </si>
  <si>
    <t>-1.1547175543494164</t>
  </si>
  <si>
    <t>-0.6190684108877714</t>
  </si>
  <si>
    <t>-0.45608697837587653</t>
  </si>
  <si>
    <t>-0.04887461420119975</t>
  </si>
  <si>
    <t>0.3549621906743276</t>
  </si>
  <si>
    <t>-0.9401957268625796</t>
  </si>
  <si>
    <t>-0.36995373232019146</t>
  </si>
  <si>
    <t>1.2293796711950682</t>
  </si>
  <si>
    <t>-1.291686555572073</t>
  </si>
  <si>
    <t>0.4860846204485931</t>
  </si>
  <si>
    <t>0.42341323435151657</t>
  </si>
  <si>
    <t>1.0002310177988862</t>
  </si>
  <si>
    <t>-0.26958653846445274</t>
  </si>
  <si>
    <t>0.9955851031319805</t>
  </si>
  <si>
    <t>4.637545908657733</t>
  </si>
  <si>
    <t>0.7645116188910367</t>
  </si>
  <si>
    <t>2.4493608247600736</t>
  </si>
  <si>
    <t>4.526294732440365</t>
  </si>
  <si>
    <t>-1.769516244426575</t>
  </si>
  <si>
    <t>1.015908438748928</t>
  </si>
  <si>
    <t>0.2618935150285159</t>
  </si>
  <si>
    <t>-0.872790688203135</t>
  </si>
  <si>
    <t>1.4738169901594587</t>
  </si>
  <si>
    <t>-0.7421815053323839</t>
  </si>
  <si>
    <t>-0.8233370459136707</t>
  </si>
  <si>
    <t>-1.7948259828103743</t>
  </si>
  <si>
    <t>-0.34772060543145517</t>
  </si>
  <si>
    <t>-0.8718892221149076</t>
  </si>
  <si>
    <t>0.26948873895020947</t>
  </si>
  <si>
    <t>0.031190941187077825</t>
  </si>
  <si>
    <t>-0.4950948636302609</t>
  </si>
  <si>
    <t>-0.2603962389264721</t>
  </si>
  <si>
    <t>-1.259554876985227</t>
  </si>
  <si>
    <t>-0.47265941413184176</t>
  </si>
  <si>
    <t>-0.7707207080134018</t>
  </si>
  <si>
    <t>-0.409449961018895</t>
  </si>
  <si>
    <t>-1.000866262651393</t>
  </si>
  <si>
    <t>1.6773127389084823</t>
  </si>
  <si>
    <t>-1.102113736381862</t>
  </si>
  <si>
    <t>0.4275781958973789</t>
  </si>
  <si>
    <t>2.173004362328445</t>
  </si>
  <si>
    <t>-0.9772297152568674</t>
  </si>
  <si>
    <t>-0.46292940452094716</t>
  </si>
  <si>
    <t>2.152510951604735</t>
  </si>
  <si>
    <t>0.024871366968856026</t>
  </si>
  <si>
    <t>0.7773058897767892</t>
  </si>
  <si>
    <t>-0.6796456039789014</t>
  </si>
  <si>
    <t>-1.4009960807911332</t>
  </si>
  <si>
    <t>0.9104522710766577</t>
  </si>
  <si>
    <t>-1.3767336652649786</t>
  </si>
  <si>
    <t>-0.6807425862018575</t>
  </si>
  <si>
    <t>-0.5820991673847122</t>
  </si>
  <si>
    <t>-0.6893784879636804</t>
  </si>
  <si>
    <t>-0.3672565829844328</t>
  </si>
  <si>
    <t>-1.6374400914881184</t>
  </si>
  <si>
    <t>2.1938540038139474</t>
  </si>
  <si>
    <t>-0.5208888543374471</t>
  </si>
  <si>
    <t>0.03608987462103589</t>
  </si>
  <si>
    <t>-2.4311081318617296</t>
  </si>
  <si>
    <t>-1.440224737713677</t>
  </si>
  <si>
    <t>-0.4505475559345354</t>
  </si>
  <si>
    <t>-1.4949027025608816</t>
  </si>
  <si>
    <t>1.0392427002691054</t>
  </si>
  <si>
    <t>-0.7240848540502579</t>
  </si>
  <si>
    <t>-0.9342982409049495</t>
  </si>
  <si>
    <t>-1.0971560908649534</t>
  </si>
  <si>
    <t>0.2291685526345817</t>
  </si>
  <si>
    <t>0.598223784875444</t>
  </si>
  <si>
    <t>-0.22603169299548165</t>
  </si>
  <si>
    <t>-0.9485938673951554</t>
  </si>
  <si>
    <t>-1.0553013772801427</t>
  </si>
  <si>
    <t>0.738050875852204</t>
  </si>
  <si>
    <t>0.4974710610528776</t>
  </si>
  <si>
    <t>-0.45686930208113075</t>
  </si>
  <si>
    <t>0.47310117277827685</t>
  </si>
  <si>
    <t>2.3962297431167667</t>
  </si>
  <si>
    <t>1.5534658534211752</t>
  </si>
  <si>
    <t>-1.4592057562566492</t>
  </si>
  <si>
    <t>-0.8189955922054514</t>
  </si>
  <si>
    <t>0.3024313851779423</t>
  </si>
  <si>
    <t>-0.17584058763155475</t>
  </si>
  <si>
    <t>-0.19153436778442187</t>
  </si>
  <si>
    <t>-0.8074005530672314</t>
  </si>
  <si>
    <t>0.7052659244501197</t>
  </si>
  <si>
    <t>-0.13569382968680596</t>
  </si>
  <si>
    <t>0.30113754034079393</t>
  </si>
  <si>
    <t>-0.9339446135612414</t>
  </si>
  <si>
    <t>0.026661471935867598</t>
  </si>
  <si>
    <t>-0.9345326110657575</t>
  </si>
  <si>
    <t>-0.69254361056088</t>
  </si>
  <si>
    <t>1.0646106463598382</t>
  </si>
  <si>
    <t>0.5672649373070818</t>
  </si>
  <si>
    <t>-1.1477985348824808</t>
  </si>
  <si>
    <t>-0.1887560722975542</t>
  </si>
  <si>
    <t>2.506833319035533</t>
  </si>
  <si>
    <t>-0.9011933234409433</t>
  </si>
  <si>
    <t>-0.6035528375849667</t>
  </si>
  <si>
    <t>-0.531610931466727</t>
  </si>
  <si>
    <t>1.034760424836561</t>
  </si>
  <si>
    <t>0.31391707459443724</t>
  </si>
  <si>
    <t>0.607554705198498</t>
  </si>
  <si>
    <t>3.476407837433395</t>
  </si>
  <si>
    <t>0.7075059060212632</t>
  </si>
  <si>
    <t>2.406662034586542</t>
  </si>
  <si>
    <t>-0.9209570706443713</t>
  </si>
  <si>
    <t>-0.5406651675875396</t>
  </si>
  <si>
    <t>-0.44910078746011206</t>
  </si>
  <si>
    <t>-1.549253318063004</t>
  </si>
  <si>
    <t>-0.2522074286378853</t>
  </si>
  <si>
    <t>-0.7185601934910716</t>
  </si>
  <si>
    <t>-0.030800780976811087</t>
  </si>
  <si>
    <t>-0.192349693923487</t>
  </si>
  <si>
    <t>1.0097428126027936</t>
  </si>
  <si>
    <t>-0.5413852642743114</t>
  </si>
  <si>
    <t>0.11991588815069025</t>
  </si>
  <si>
    <t>-0.2504516697848863</t>
  </si>
  <si>
    <t>-0.21027950561437259</t>
  </si>
  <si>
    <t>-0.8830553905755574</t>
  </si>
  <si>
    <t>-0.2885411024174452</t>
  </si>
  <si>
    <t>-0.11440920670274599</t>
  </si>
  <si>
    <t>-0.9188131206137949</t>
  </si>
  <si>
    <t>0.4958405455382824</t>
  </si>
  <si>
    <t>0.1763377473144377</t>
  </si>
  <si>
    <t>0.08743277493923726</t>
  </si>
  <si>
    <t>-0.8889383633303913</t>
  </si>
  <si>
    <t>-0.7256590983140722</t>
  </si>
  <si>
    <t>0.8207631357145762</t>
  </si>
  <si>
    <t>1.082175883194661</t>
  </si>
  <si>
    <t>-1.2809095809463238</t>
  </si>
  <si>
    <t>-0.9332440189210706</t>
  </si>
  <si>
    <t>-0.345529384844729</t>
  </si>
  <si>
    <t>-0.3350919135225756</t>
  </si>
  <si>
    <t>-0.23493948271238288</t>
  </si>
  <si>
    <t>-0.09567256399722884</t>
  </si>
  <si>
    <t>-0.8974432638875041</t>
  </si>
  <si>
    <t>0.01311548416211163</t>
  </si>
  <si>
    <t>-1.2733729123502693</t>
  </si>
  <si>
    <t>0.42056197255774025</t>
  </si>
  <si>
    <t>0.11490061042151441</t>
  </si>
  <si>
    <t>0.6676832935109426</t>
  </si>
  <si>
    <t>-0.5549956632923735</t>
  </si>
  <si>
    <t>-0.43702823167135335</t>
  </si>
  <si>
    <t>0.07086291548139301</t>
  </si>
  <si>
    <t>0.12795977447328102</t>
  </si>
  <si>
    <t>-2.4332973331151995</t>
  </si>
  <si>
    <t>1.5644271277165338</t>
  </si>
  <si>
    <t>-3.1849279525401015</t>
  </si>
  <si>
    <t>-1.4207801459684912</t>
  </si>
  <si>
    <t>0.9186368175413203</t>
  </si>
  <si>
    <t>-0.15834737079192132</t>
  </si>
  <si>
    <t>-0.35722106339050697</t>
  </si>
  <si>
    <t>0.18928115895917108</t>
  </si>
  <si>
    <t>-0.6063312163169076</t>
  </si>
  <si>
    <t>0.730525917980983</t>
  </si>
  <si>
    <t>-0.724227596766066</t>
  </si>
  <si>
    <t>0.6046930421212998</t>
  </si>
  <si>
    <t>2.0552951139861833</t>
  </si>
  <si>
    <t>-0.24764919060316676</t>
  </si>
  <si>
    <t>-1.2803980766820153</t>
  </si>
  <si>
    <t>0.5587155711046918</t>
  </si>
  <si>
    <t>-1.046233434187156</t>
  </si>
  <si>
    <t>0.07345837674359187</t>
  </si>
  <si>
    <t>0.6621526917548245</t>
  </si>
  <si>
    <t>-0.5587077049846625</t>
  </si>
  <si>
    <t>0.7053138348420269</t>
  </si>
  <si>
    <t>1.7650676507619476</t>
  </si>
  <si>
    <t>-0.30148667348589503</t>
  </si>
  <si>
    <t>0.057301569206388764</t>
  </si>
  <si>
    <t>-0.6421525190884294</t>
  </si>
  <si>
    <t>0.5980372373694532</t>
  </si>
  <si>
    <t>-0.0377026089970908</t>
  </si>
  <si>
    <t>-0.8972508634713968</t>
  </si>
  <si>
    <t>0.2343145312639602</t>
  </si>
  <si>
    <t>-0.9247289832491657</t>
  </si>
  <si>
    <t>0.641721792615322</t>
  </si>
  <si>
    <t>-0.645291330018673</t>
  </si>
  <si>
    <t>-0.017815945023721816</t>
  </si>
  <si>
    <t>-0.7612459019777041</t>
  </si>
  <si>
    <t>-0.9258971252426954</t>
  </si>
  <si>
    <t>0.43161746280779684</t>
  </si>
  <si>
    <t>-0.5657762814256808</t>
  </si>
  <si>
    <t>1.080513601101734</t>
  </si>
  <si>
    <t>-0.34361386779115743</t>
  </si>
  <si>
    <t>0.37157460125930686</t>
  </si>
  <si>
    <t>-0.057370867188759035</t>
  </si>
  <si>
    <t>0.013879925476990133</t>
  </si>
  <si>
    <t>-0.544549359138384</t>
  </si>
  <si>
    <t>0.2898760523426167</t>
  </si>
  <si>
    <t>1.0127165434877734</t>
  </si>
  <si>
    <t>-0.0806621779523645</t>
  </si>
  <si>
    <t>0.16419254037575096</t>
  </si>
  <si>
    <t>0.4288569690728791</t>
  </si>
  <si>
    <t>-0.10281582392696982</t>
  </si>
  <si>
    <t>-0.8109101371649212</t>
  </si>
  <si>
    <t>-1.2205834314333461</t>
  </si>
  <si>
    <t>-0.1472210652322296</t>
  </si>
  <si>
    <t>0.8931219724983881</t>
  </si>
  <si>
    <t>0.1469889451675293</t>
  </si>
  <si>
    <t>-0.5144363595389965</t>
  </si>
  <si>
    <t>-0.9125196436291266</t>
  </si>
  <si>
    <t>0.03495772590643762</t>
  </si>
  <si>
    <t>-0.21858886226246965</t>
  </si>
  <si>
    <t>0.21475595602327233</t>
  </si>
  <si>
    <t>0.37374234504931064</t>
  </si>
  <si>
    <t>-0.7399979378491199</t>
  </si>
  <si>
    <t>-0.3684850267960828</t>
  </si>
  <si>
    <t>-1.0859585974934962</t>
  </si>
  <si>
    <t>-0.5601034451230384</t>
  </si>
  <si>
    <t>-1.2325574855637091</t>
  </si>
  <si>
    <t>-0.324909931532457</t>
  </si>
  <si>
    <t>1.0524440850213475</t>
  </si>
  <si>
    <t>1.8961996634604026</t>
  </si>
  <si>
    <t>0.195944567257699</t>
  </si>
  <si>
    <t>-1.380303852682956</t>
  </si>
  <si>
    <t>-0.06187362353294924</t>
  </si>
  <si>
    <t>-1.9197494796678098</t>
  </si>
  <si>
    <t>0.03892893045621012</t>
  </si>
  <si>
    <t>-2.107487685250203</t>
  </si>
  <si>
    <t>0.7855387037204616</t>
  </si>
  <si>
    <t>0.27418107221388843</t>
  </si>
  <si>
    <t>2.1330722872879684</t>
  </si>
  <si>
    <t>1.67582223475852</t>
  </si>
  <si>
    <t>-0.3903269793921901</t>
  </si>
  <si>
    <t>0.9684352650339648</t>
  </si>
  <si>
    <t>-0.7617413099715868</t>
  </si>
  <si>
    <t>-0.6203154731163352</t>
  </si>
  <si>
    <t>0.49791579165451333</t>
  </si>
  <si>
    <t>-1.243362816024709</t>
  </si>
  <si>
    <t>-0.5537863652233203</t>
  </si>
  <si>
    <t>0.8822506556158803</t>
  </si>
  <si>
    <t>1.3915687683046971</t>
  </si>
  <si>
    <t>-1.827422224047698</t>
  </si>
  <si>
    <t>0.47995907033888235</t>
  </si>
  <si>
    <t>-0.7193666249833133</t>
  </si>
  <si>
    <t>0.4371180988007178</t>
  </si>
  <si>
    <t>0.02432469206725846</t>
  </si>
  <si>
    <t>0.08101710788555617</t>
  </si>
  <si>
    <t>-0.7168020664882833</t>
  </si>
  <si>
    <t>-0.1325474618269557</t>
  </si>
  <si>
    <t>-0.599269155004353</t>
  </si>
  <si>
    <t>-1.7347825114723097</t>
  </si>
  <si>
    <t>-0.7197749805516981</t>
  </si>
  <si>
    <t>0.1397061833100945</t>
  </si>
  <si>
    <t>-0.3022316334501868</t>
  </si>
  <si>
    <t>-0.41597772055341264</t>
  </si>
  <si>
    <t>0.8456386149395195</t>
  </si>
  <si>
    <t>-0.725581079272948</t>
  </si>
  <si>
    <t>-1.8891399120591876</t>
  </si>
  <si>
    <t>-0.9070292889125477</t>
  </si>
  <si>
    <t>0.6484361427278116</t>
  </si>
  <si>
    <t>0.22317100025383724</t>
  </si>
  <si>
    <t>0.2190552491644131</t>
  </si>
  <si>
    <t>-0.7223869549323108</t>
  </si>
  <si>
    <t>-0.07088276577031592</t>
  </si>
  <si>
    <t>-0.059743051339274746</t>
  </si>
  <si>
    <t>0.11391784402422454</t>
  </si>
  <si>
    <t>-0.2589525015636006</t>
  </si>
  <si>
    <t>-0.382569776646611</t>
  </si>
  <si>
    <t>-0.5363780593483453</t>
  </si>
  <si>
    <t>0.2818716705096022</t>
  </si>
  <si>
    <t>0.7544748641286558</t>
  </si>
  <si>
    <t>0.07860288096949812</t>
  </si>
  <si>
    <t>-0.5183941472022744</t>
  </si>
  <si>
    <t>-0.34538480442877073</t>
  </si>
  <si>
    <t>-0.762086769980223</t>
  </si>
  <si>
    <t>0.23705262697051066</t>
  </si>
  <si>
    <t>-0.6726647776053325</t>
  </si>
  <si>
    <t>-1.0107430876649954</t>
  </si>
  <si>
    <t>0.12088616216970077</t>
  </si>
  <si>
    <t>-0.9568424413479555</t>
  </si>
  <si>
    <t>-1.140709801531884</t>
  </si>
  <si>
    <t>0.2480382974357648</t>
  </si>
  <si>
    <t>-0.7647785573861261</t>
  </si>
  <si>
    <t>0.4477522008949228</t>
  </si>
  <si>
    <t>-1.0036120845738503</t>
  </si>
  <si>
    <t>-1.2199820719124357</t>
  </si>
  <si>
    <t>0.01909038617978764</t>
  </si>
  <si>
    <t>0.20372694713187015</t>
  </si>
  <si>
    <t>-1.5753849778823816</t>
  </si>
  <si>
    <t>-0.8157827930305594</t>
  </si>
  <si>
    <t>0.24796818532849205</t>
  </si>
  <si>
    <t>-1.6241123467600458</t>
  </si>
  <si>
    <t>-0.31984497265190154</t>
  </si>
  <si>
    <t>-0.47616977077796263</t>
  </si>
  <si>
    <t>2.1037314811828027</t>
  </si>
  <si>
    <t>1.1339281927606368</t>
  </si>
  <si>
    <t>-1.2476525986276712</t>
  </si>
  <si>
    <t>-0.3858073985637978</t>
  </si>
  <si>
    <t>-1.4228711128260039</t>
  </si>
  <si>
    <t>-0.3486093343812618</t>
  </si>
  <si>
    <t>-0.4369651390359128</t>
  </si>
  <si>
    <t>1.3927254004874055</t>
  </si>
  <si>
    <t>-0.8624909262362758</t>
  </si>
  <si>
    <t>-0.7677242056315442</t>
  </si>
  <si>
    <t>-0.1388996905179498</t>
  </si>
  <si>
    <t>-2.3881243501391696</t>
  </si>
  <si>
    <t>1.471299608739113</t>
  </si>
  <si>
    <t>-0.5743685898757922</t>
  </si>
  <si>
    <t>1.149586006521184</t>
  </si>
  <si>
    <t>-0.32616716453543826</t>
  </si>
  <si>
    <t>0.23261605769655222</t>
  </si>
  <si>
    <t>-1.8222146831340993</t>
  </si>
  <si>
    <t>0.45398658838672773</t>
  </si>
  <si>
    <t>-1.1742242627444526</t>
  </si>
  <si>
    <t>3.235788159188359</t>
  </si>
  <si>
    <t>1.082290877792261</t>
  </si>
  <si>
    <t>3.8037007533373686</t>
  </si>
  <si>
    <t>-1.958176560754217</t>
  </si>
  <si>
    <t>-0.4721779304451198</t>
  </si>
  <si>
    <t>0.6618953954423269</t>
  </si>
  <si>
    <t>-0.18104841838952362</t>
  </si>
  <si>
    <t>0.23403729858948955</t>
  </si>
  <si>
    <t>1.5646285902252584</t>
  </si>
  <si>
    <t>-2.154952571828319</t>
  </si>
  <si>
    <t>0.38679312296418883</t>
  </si>
  <si>
    <t>0.10756401801514233</t>
  </si>
  <si>
    <t>-0.6986547711953445</t>
  </si>
  <si>
    <t>5.232457812604781</t>
  </si>
  <si>
    <t>-0.7381045114197782</t>
  </si>
  <si>
    <t>-2.18286134493579</t>
  </si>
  <si>
    <t>1.172077592844869</t>
  </si>
  <si>
    <t>-0.4583300969065501</t>
  </si>
  <si>
    <t>0.6171527687297002</t>
  </si>
  <si>
    <t>-0.39460619543778347</t>
  </si>
  <si>
    <t>1.3727614546626021</t>
  </si>
  <si>
    <t>-1.5244095237254662</t>
  </si>
  <si>
    <t>-1.1347591771781342</t>
  </si>
  <si>
    <t>0.27440368924996106</t>
  </si>
  <si>
    <t>-0.2860019963228499</t>
  </si>
  <si>
    <t>0.3555909167185667</t>
  </si>
  <si>
    <t>-1.1695536719313893</t>
  </si>
  <si>
    <t>1.812449470903252</t>
  </si>
  <si>
    <t>-1.283205674699366</t>
  </si>
  <si>
    <t>0.6458226025621158</t>
  </si>
  <si>
    <t>-0.26815258485090177</t>
  </si>
  <si>
    <t>-0.7100029212964462</t>
  </si>
  <si>
    <t>-1.8876858468203022</t>
  </si>
  <si>
    <t>0.8666020362128368</t>
  </si>
  <si>
    <t>-1.316860723987326</t>
  </si>
  <si>
    <t>-0.6836859252309284</t>
  </si>
  <si>
    <t>2.0213026099176434</t>
  </si>
  <si>
    <t>0.4442716870408787</t>
  </si>
  <si>
    <t>-0.9660912373885008</t>
  </si>
  <si>
    <t>1.1351133843237675</t>
  </si>
  <si>
    <t>0.48498016739586713</t>
  </si>
  <si>
    <t>0.4833017021027959</t>
  </si>
  <si>
    <t>0.04594813783359132</t>
  </si>
  <si>
    <t>-0.5200008496326718</t>
  </si>
  <si>
    <t>-1.8627186329833134</t>
  </si>
  <si>
    <t>0.10323263122811667</t>
  </si>
  <si>
    <t>-1.1908148749667515</t>
  </si>
  <si>
    <t>0.46198776061783864</t>
  </si>
  <si>
    <t>-0.2021251695815107</t>
  </si>
  <si>
    <t>0.21281445236665286</t>
  </si>
  <si>
    <t>-2.633258344805628</t>
  </si>
  <si>
    <t>0.6729049815576357</t>
  </si>
  <si>
    <t>0.8180800394481389</t>
  </si>
  <si>
    <t>0.17455403223565694</t>
  </si>
  <si>
    <t>0.006446648208665289</t>
  </si>
  <si>
    <t>-1.1080621251200626</t>
  </si>
  <si>
    <t>1.1105153668130137</t>
  </si>
  <si>
    <t>-1.6830414728248133</t>
  </si>
  <si>
    <t>-0.321492794839221</t>
  </si>
  <si>
    <t>0.3597594773875874</t>
  </si>
  <si>
    <t>-0.8007456703586046</t>
  </si>
  <si>
    <t>1.0790475262852626</t>
  </si>
  <si>
    <t>-1.2463562112097377</t>
  </si>
  <si>
    <t>-0.4526996157905483</t>
  </si>
  <si>
    <t>1.560442189522136</t>
  </si>
  <si>
    <t>0.5231840117327595</t>
  </si>
  <si>
    <t>-0.9090201711888373</t>
  </si>
  <si>
    <t>0.8208516853644112</t>
  </si>
  <si>
    <t>-0.49234527839355957</t>
  </si>
  <si>
    <t>-0.6341589565799648</t>
  </si>
  <si>
    <t>1.062892307333738</t>
  </si>
  <si>
    <t>-0.17028855198628817</t>
  </si>
  <si>
    <t>-0.8373680504996496</t>
  </si>
  <si>
    <t>-1.303367403966443</t>
  </si>
  <si>
    <t>-0.8757662901691444</t>
  </si>
  <si>
    <t>1.609454822028195</t>
  </si>
  <si>
    <t>0.43211674751977763</t>
  </si>
  <si>
    <t>-1.4722790579114395</t>
  </si>
  <si>
    <t>0.22363981468595828</t>
  </si>
  <si>
    <t>2.673694135402733</t>
  </si>
  <si>
    <t>1.2996518168967004</t>
  </si>
  <si>
    <t>-0.46955843155706906</t>
  </si>
  <si>
    <t>-0.7948681488945193</t>
  </si>
  <si>
    <t>-0.3317630072647942</t>
  </si>
  <si>
    <t>-1.0179583601884823</t>
  </si>
  <si>
    <t>1.7718233303586353</t>
  </si>
  <si>
    <t>0.2446961781977298</t>
  </si>
  <si>
    <t>-1.0226776282902375</t>
  </si>
  <si>
    <t>2.8493641349447407</t>
  </si>
  <si>
    <t>-1.9906276880313436</t>
  </si>
  <si>
    <t>-2.6687403594182544</t>
  </si>
  <si>
    <t>-0.7630822864586032</t>
  </si>
  <si>
    <t>-1.0120476969512504</t>
  </si>
  <si>
    <t>1.659525522477538</t>
  </si>
  <si>
    <t>1.6302657636763132</t>
  </si>
  <si>
    <t>1.2550276469783614</t>
  </si>
  <si>
    <t>-0.8811638690401449</t>
  </si>
  <si>
    <t>-0.03549138127833475</t>
  </si>
  <si>
    <t>-0.9841051580226772</t>
  </si>
  <si>
    <t>3.2971593540404687</t>
  </si>
  <si>
    <t>-0.9278538408585846</t>
  </si>
  <si>
    <t>-1.6508743943215698</t>
  </si>
  <si>
    <t>1.110137056767338</t>
  </si>
  <si>
    <t>-2.694077743900034</t>
  </si>
  <si>
    <t>0.6122154377937571</t>
  </si>
  <si>
    <t>-2.30741480691428</t>
  </si>
  <si>
    <t>-2.0575156212675085</t>
  </si>
  <si>
    <t>-1.194343044244742</t>
  </si>
  <si>
    <t>1.2614494243612038</t>
  </si>
  <si>
    <t>-1.5123824515030275</t>
  </si>
  <si>
    <t>-0.04264277296618018</t>
  </si>
  <si>
    <t>1.001904452857507</t>
  </si>
  <si>
    <t>-0.3592492254101223</t>
  </si>
  <si>
    <t>2.823441772436189</t>
  </si>
  <si>
    <t>-0.23543461653935518</t>
  </si>
  <si>
    <t>-0.5736014113354754</t>
  </si>
  <si>
    <t>0.7634134837119525</t>
  </si>
  <si>
    <t>-1.343324208638568</t>
  </si>
  <si>
    <t>0.445676798268862</t>
  </si>
  <si>
    <t>0.564271017986216</t>
  </si>
  <si>
    <t>-0.2815719354716569</t>
  </si>
  <si>
    <t>-1.6722570349880261</t>
  </si>
  <si>
    <t>2.559600353076074</t>
  </si>
  <si>
    <t>-0.7681165146416815</t>
  </si>
  <si>
    <t>0.17531678364173997</t>
  </si>
  <si>
    <t>-1.356749549962883</t>
  </si>
  <si>
    <t>1.387993031515305</t>
  </si>
  <si>
    <t>0.46835040066334516</t>
  </si>
  <si>
    <t>-0.7329355261558428</t>
  </si>
  <si>
    <t>-0.8851313175895011</t>
  </si>
  <si>
    <t>-0.9085169879994894</t>
  </si>
  <si>
    <t>0.16028110633199874</t>
  </si>
  <si>
    <t>-0.2903694126611135</t>
  </si>
  <si>
    <t>-1.44557145353852</t>
  </si>
  <si>
    <t>-0.6064073975759272</t>
  </si>
  <si>
    <t>-1.4686544068236105</t>
  </si>
  <si>
    <t>0.2824571956576903</t>
  </si>
  <si>
    <t>0.8447938180295187</t>
  </si>
  <si>
    <t>2.5737055924382424</t>
  </si>
  <si>
    <t>0.6261614525517685</t>
  </si>
  <si>
    <t>-0.11577154976120076</t>
  </si>
  <si>
    <t>2.6223580130299102</t>
  </si>
  <si>
    <t>-3.4167254377230467</t>
  </si>
  <si>
    <t>-1.93797657760165</t>
  </si>
  <si>
    <t>-0.20498247154882596</t>
  </si>
  <si>
    <t>-0.5924842428839576</t>
  </si>
  <si>
    <t>1.6058538142452716</t>
  </si>
  <si>
    <t>-1.809337341665083</t>
  </si>
  <si>
    <t>0.02238406054147138</t>
  </si>
  <si>
    <t>0.17486785699695587</t>
  </si>
  <si>
    <t>-1.5606305292642528</t>
  </si>
  <si>
    <t>1.9347734086991035</t>
  </si>
  <si>
    <t>-1.0288018447145981</t>
  </si>
  <si>
    <t>1.6553559909494904</t>
  </si>
  <si>
    <t>3.8051489268618965</t>
  </si>
  <si>
    <t>-2.7813206249197386</t>
  </si>
  <si>
    <t>0.5414014959232888</t>
  </si>
  <si>
    <t>0.18487450571193045</t>
  </si>
  <si>
    <t>0.9477011539198475</t>
  </si>
  <si>
    <t>-0.15469242710842016</t>
  </si>
  <si>
    <t>0.6520209957605219</t>
  </si>
  <si>
    <t>0.0925945875350577</t>
  </si>
  <si>
    <t>0.6671317304211134</t>
  </si>
  <si>
    <t>-2.444818267242992</t>
  </si>
  <si>
    <t>-0.397930271471071</t>
  </si>
  <si>
    <t>1.5679178665664582</t>
  </si>
  <si>
    <t>-0.376482270638124</t>
  </si>
  <si>
    <t>-0.7564582859773427</t>
  </si>
  <si>
    <t>0.10006652663171822</t>
  </si>
  <si>
    <t>-1.5458974229026907</t>
  </si>
  <si>
    <t>-0.08769323497696385</t>
  </si>
  <si>
    <t>0.9613911843579873</t>
  </si>
  <si>
    <t>1.2151783149006639</t>
  </si>
  <si>
    <t>-0.6028774546818965</t>
  </si>
  <si>
    <t>-1.844748141666864</t>
  </si>
  <si>
    <t>0.595181327379949</t>
  </si>
  <si>
    <t>-0.08021546786980942</t>
  </si>
  <si>
    <t>-0.1321660364714891</t>
  </si>
  <si>
    <t>-0.43629917652855005</t>
  </si>
  <si>
    <t>-0.8443662797655295</t>
  </si>
  <si>
    <t>1.0249792647320684</t>
  </si>
  <si>
    <t>2.341070782978466</t>
  </si>
  <si>
    <t>-0.39203310881289105</t>
  </si>
  <si>
    <t>0.6506778434453497</t>
  </si>
  <si>
    <t>0.06751548442330685</t>
  </si>
  <si>
    <t>1.5722005686493414</t>
  </si>
  <si>
    <t>-1.411988669825316</t>
  </si>
  <si>
    <t>-0.32927379763883713</t>
  </si>
  <si>
    <t>0.40056272247456953</t>
  </si>
  <si>
    <t>-0.9570812272757793</t>
  </si>
  <si>
    <t>-2.256156190480099</t>
  </si>
  <si>
    <t>0.594570085896504</t>
  </si>
  <si>
    <t>-1.2992668701271715</t>
  </si>
  <si>
    <t>1.779854247931473</t>
  </si>
  <si>
    <t>0.8453357325320642</t>
  </si>
  <si>
    <t>-0.08762187710824638</t>
  </si>
  <si>
    <t>0.6478284340122583</t>
  </si>
  <si>
    <t>1.1241369868578985</t>
  </si>
  <si>
    <t>-0.3515527409947388</t>
  </si>
  <si>
    <t>-2.3359274599782607</t>
  </si>
  <si>
    <t>1.7234240743902258</t>
  </si>
  <si>
    <t>-0.1801715489661281</t>
  </si>
  <si>
    <t>1.0161933069761824</t>
  </si>
  <si>
    <t>-1.529897836128737</t>
  </si>
  <si>
    <t>0.795380441027343</t>
  </si>
  <si>
    <t>0.20202343507336773</t>
  </si>
  <si>
    <t>-1.0401497225231744</t>
  </si>
  <si>
    <t>0.4226283060575039</t>
  </si>
  <si>
    <t>1.6816200483578245</t>
  </si>
  <si>
    <t>-0.09773693238342214</t>
  </si>
  <si>
    <t>0.7190924253227118</t>
  </si>
  <si>
    <t>0.893920959003731</t>
  </si>
  <si>
    <t>-1.4771110808571781</t>
  </si>
  <si>
    <t>-0.8441225852057394</t>
  </si>
  <si>
    <t>-0.44093122904787646</t>
  </si>
  <si>
    <t>1.0072179920777915</t>
  </si>
  <si>
    <t>-0.42529682033100824</t>
  </si>
  <si>
    <t>2.6981598524992227</t>
  </si>
  <si>
    <t>-2.322327463935129</t>
  </si>
  <si>
    <t>1.416291710087786</t>
  </si>
  <si>
    <t>-0.3551776991900374</t>
  </si>
  <si>
    <t>0.5361630596841025</t>
  </si>
  <si>
    <t>-1.8380855954770732</t>
  </si>
  <si>
    <t>3.3544406250221095</t>
  </si>
  <si>
    <t>-2.4453881730026636</t>
  </si>
  <si>
    <t>-0.4344151863693202</t>
  </si>
  <si>
    <t>0.33825494463208633</t>
  </si>
  <si>
    <t>-1.0560493424696629</t>
  </si>
  <si>
    <t>0.546593657703289</t>
  </si>
  <si>
    <t>-1.4780137864971588</t>
  </si>
  <si>
    <t>0.001590257413344151</t>
  </si>
  <si>
    <t>0.9087599903707437</t>
  </si>
  <si>
    <t>1.0705043817430773</t>
  </si>
  <si>
    <t>0.08615465471442947</t>
  </si>
  <si>
    <t>-1.1166425825362891</t>
  </si>
  <si>
    <t>1.0651182700486872</t>
  </si>
  <si>
    <t>1.1865705907442905</t>
  </si>
  <si>
    <t>-1.9130328774926868</t>
  </si>
  <si>
    <t>0.2970443022029706</t>
  </si>
  <si>
    <t>2.0368151601710394</t>
  </si>
  <si>
    <t>-3.227118379242778</t>
  </si>
  <si>
    <t>0.2671816286959974</t>
  </si>
  <si>
    <t>0.7975892624655658</t>
  </si>
  <si>
    <t>0.7894157630305423</t>
  </si>
  <si>
    <t>1.8736118683947043</t>
  </si>
  <si>
    <t>-2.8743418485043897</t>
  </si>
  <si>
    <t>-1.346372528056502</t>
  </si>
  <si>
    <t>1.7702836503555193</t>
  </si>
  <si>
    <t>-0.5676474708977515</t>
  </si>
  <si>
    <t>1.3406308239930085</t>
  </si>
  <si>
    <t>0.7663352303488745</t>
  </si>
  <si>
    <t>2.184475556893113</t>
  </si>
  <si>
    <t>-2.677274645560268</t>
  </si>
  <si>
    <t>-3.217892581849631</t>
  </si>
  <si>
    <t>2.032776936782421</t>
  </si>
  <si>
    <t>0.3265309690976516</t>
  </si>
  <si>
    <t>2.702164656057431</t>
  </si>
  <si>
    <t>-1.6619293517836293</t>
  </si>
  <si>
    <t>3.266077584162202</t>
  </si>
  <si>
    <t>0.4392449966936812</t>
  </si>
  <si>
    <t>-0.4799192300115618</t>
  </si>
  <si>
    <t>0.2846002936263336</t>
  </si>
  <si>
    <t>0.17834567680286847</t>
  </si>
  <si>
    <t>-0.4596995075705303</t>
  </si>
  <si>
    <t>0.496522618499269</t>
  </si>
  <si>
    <t>0.5540941282740822</t>
  </si>
  <si>
    <t>-0.7063854271835235</t>
  </si>
  <si>
    <t>-1.565158370784047</t>
  </si>
  <si>
    <t>3.1926805535878584</t>
  </si>
  <si>
    <t>-1.511895319768024</t>
  </si>
  <si>
    <t>-0.8475926179769674</t>
  </si>
  <si>
    <t>0.9113921591299827</t>
  </si>
  <si>
    <t>0.6190754302910415</t>
  </si>
  <si>
    <t>0.3896090455551339</t>
  </si>
  <si>
    <t>0.2848493474341049</t>
  </si>
  <si>
    <t>1.8518498541576598</t>
  </si>
  <si>
    <t>0.9127281944922742</t>
  </si>
  <si>
    <t>1.6592908158585324</t>
  </si>
  <si>
    <t>1.1135746777318756</t>
  </si>
  <si>
    <t>0.06841191798975033</t>
  </si>
  <si>
    <t>0.32648655009891103</t>
  </si>
  <si>
    <t>1.2045727521024565</t>
  </si>
  <si>
    <t>-2.4540374436937644</t>
  </si>
  <si>
    <t>0.6977963808086602</t>
  </si>
  <si>
    <t>-1.4019326388785176</t>
  </si>
  <si>
    <t>0.3408786423243591</t>
  </si>
  <si>
    <t>0.673677722871723</t>
  </si>
  <si>
    <t>0.16352202044241218</t>
  </si>
  <si>
    <t>-0.7194476603430541</t>
  </si>
  <si>
    <t>-0.999496838961022</t>
  </si>
  <si>
    <t>-0.7767002811948515</t>
  </si>
  <si>
    <t>0.8230253308244417</t>
  </si>
  <si>
    <t>-0.6490860074265706</t>
  </si>
  <si>
    <t>0.6934257870890195</t>
  </si>
  <si>
    <t>-0.7076136242384704</t>
  </si>
  <si>
    <t>-1.5339567846022666</t>
  </si>
  <si>
    <t>1.1073564498828237</t>
  </si>
  <si>
    <t>-1.3919843210337006</t>
  </si>
  <si>
    <t>0.1757184987801747</t>
  </si>
  <si>
    <t>3.9227570043371798</t>
  </si>
  <si>
    <t>-0.1270652261802534</t>
  </si>
  <si>
    <t>0.399228180387476</t>
  </si>
  <si>
    <t>0.37507821731827695</t>
  </si>
  <si>
    <t>0.5880600481326701</t>
  </si>
  <si>
    <t>-1.3498330387221715</t>
  </si>
  <si>
    <t>-1.193440930533396</t>
  </si>
  <si>
    <t>-0.7832724642286396</t>
  </si>
  <si>
    <t>1.7653914196843612</t>
  </si>
  <si>
    <t>-1.699704257350465</t>
  </si>
  <si>
    <t>-0.05847391513183167</t>
  </si>
  <si>
    <t>-0.5104276241319224</t>
  </si>
  <si>
    <t>1.4850796770393568</t>
  </si>
  <si>
    <t>-0.47543701159738344</t>
  </si>
  <si>
    <t>1.8617674681044982</t>
  </si>
  <si>
    <t>0.2500565189664201</t>
  </si>
  <si>
    <t>-0.3640508629514312</t>
  </si>
  <si>
    <t>0.9856308530882377</t>
  </si>
  <si>
    <t>0.30219472896148103</t>
  </si>
  <si>
    <t>-0.5073834615555527</t>
  </si>
  <si>
    <t>-0.5764606834774202</t>
  </si>
  <si>
    <t>0.9396813089597057</t>
  </si>
  <si>
    <t>-0.579807659482153</t>
  </si>
  <si>
    <t>0.09898953665261458</t>
  </si>
  <si>
    <t>0.4287506439656833</t>
  </si>
  <si>
    <t>-0.23679584686660565</t>
  </si>
  <si>
    <t>0.9889529133216793</t>
  </si>
  <si>
    <t>0.6751951120566139</t>
  </si>
  <si>
    <t>2.2017987269949186</t>
  </si>
  <si>
    <t>-0.2629256459385654</t>
  </si>
  <si>
    <t>0.451055608981596</t>
  </si>
  <si>
    <t>0.3670830950797191</t>
  </si>
  <si>
    <t>-0.22475504395404594</t>
  </si>
  <si>
    <t>0.14244689120834245</t>
  </si>
  <si>
    <t>0.5724832215206564</t>
  </si>
  <si>
    <t>-0.9062241674626693</t>
  </si>
  <si>
    <t>-0.37822543642508116</t>
  </si>
  <si>
    <t>0.7321454355284052</t>
  </si>
  <si>
    <t>2.1387480496943434</t>
  </si>
  <si>
    <t>0.5543136001083887</t>
  </si>
  <si>
    <t>-1.074034978432487</t>
  </si>
  <si>
    <t>-0.6780568071178307</t>
  </si>
  <si>
    <t>0.2752367361341151</t>
  </si>
  <si>
    <t>-0.682252717358018</t>
  </si>
  <si>
    <t>-2.1912738955550197</t>
  </si>
  <si>
    <t>0.4671135931731031</t>
  </si>
  <si>
    <t>0.9022327432051912</t>
  </si>
  <si>
    <t>-0.4158193961354653</t>
  </si>
  <si>
    <t>1.169540342032491</t>
  </si>
  <si>
    <t>0.5230353042189544</t>
  </si>
  <si>
    <t>0.6316471866922146</t>
  </si>
  <si>
    <t>0.26259672582589794</t>
  </si>
  <si>
    <t>1.0631665899962768</t>
  </si>
  <si>
    <t>0.11552906674952904</t>
  </si>
  <si>
    <t>0.37099875490149103</t>
  </si>
  <si>
    <t>0.8185147612581497</t>
  </si>
  <si>
    <t>-1.645087180364087</t>
  </si>
  <si>
    <t>1.7196675328018094</t>
  </si>
  <si>
    <t>-2.1907340924036807</t>
  </si>
  <si>
    <t>1.3069790175848823</t>
  </si>
  <si>
    <t>1.503621604463206</t>
  </si>
  <si>
    <t>-1.1335302276332822</t>
  </si>
  <si>
    <t>-0.10272317298339972</t>
  </si>
  <si>
    <t>-1.2382510709235979</t>
  </si>
  <si>
    <t>-0.5475642082293446</t>
  </si>
  <si>
    <t>0.9911477275978243</t>
  </si>
  <si>
    <t>2.460081264895056</t>
  </si>
  <si>
    <t>-1.3034760694410552</t>
  </si>
  <si>
    <t>0.05325570211118455</t>
  </si>
  <si>
    <t>1.8368913500475637</t>
  </si>
  <si>
    <t>0.26045170672461776</t>
  </si>
  <si>
    <t>-0.09851873625529324</t>
  </si>
  <si>
    <t>-0.11514893931383666</t>
  </si>
  <si>
    <t>-0.4642535642909003</t>
  </si>
  <si>
    <t>-0.6411228895825583</t>
  </si>
  <si>
    <t>0.7551475077343772</t>
  </si>
  <si>
    <t>0.35748562904188136</t>
  </si>
  <si>
    <t>-0.4545967425165469</t>
  </si>
  <si>
    <t>1.5853564831046099</t>
  </si>
  <si>
    <t>-0.8316061410488448</t>
  </si>
  <si>
    <t>-0.1995337439730791</t>
  </si>
  <si>
    <t>0.26868802341407383</t>
  </si>
  <si>
    <t>0.2567846903998825</t>
  </si>
  <si>
    <t>1.1781825513108883</t>
  </si>
  <si>
    <t>-2.236638512400282</t>
  </si>
  <si>
    <t>0.9265908034178919</t>
  </si>
  <si>
    <t>2.241002004042872</t>
  </si>
  <si>
    <t>-1.5206562711709395</t>
  </si>
  <si>
    <t>0.1960187454667901</t>
  </si>
  <si>
    <t>-2.3639499041236482</t>
  </si>
  <si>
    <t>0.3136934364876662</t>
  </si>
  <si>
    <t>0.2921296854153809</t>
  </si>
  <si>
    <t>-0.845371880219355</t>
  </si>
  <si>
    <t>1.0834911447294442</t>
  </si>
  <si>
    <t>0.011546798389971693</t>
  </si>
  <si>
    <t>-0.830482312091644</t>
  </si>
  <si>
    <t>-0.03883255532704001</t>
  </si>
  <si>
    <t>-0.4244515066020044</t>
  </si>
  <si>
    <t>0.3077145769608918</t>
  </si>
  <si>
    <t>1.2596767018494948</t>
  </si>
  <si>
    <t>-0.6583734012933108</t>
  </si>
  <si>
    <t>1.8034692533368955</t>
  </si>
  <si>
    <t>-0.42908459311076597</t>
  </si>
  <si>
    <t>-0.44485476952580794</t>
  </si>
  <si>
    <t>0.11515191932242494</t>
  </si>
  <si>
    <t>-1.0043465150347617</t>
  </si>
  <si>
    <t>1.48492946927248</t>
  </si>
  <si>
    <t>-2.2005020683154686</t>
  </si>
  <si>
    <t>-0.6437220854757628</t>
  </si>
  <si>
    <t>1.2147074417210109</t>
  </si>
  <si>
    <t>1.1874871076495954</t>
  </si>
  <si>
    <t>-0.2944489562753524</t>
  </si>
  <si>
    <t>-2.4648463599107404</t>
  </si>
  <si>
    <t>0.628854905570949</t>
  </si>
  <si>
    <t>0.571117157972299</t>
  </si>
  <si>
    <t>-0.4149914841683821</t>
  </si>
  <si>
    <t>-0.7532634182663092</t>
  </si>
  <si>
    <t>-0.8680813209749032</t>
  </si>
  <si>
    <t>0.9643516466046939</t>
  </si>
  <si>
    <t>0.9438167653860836</t>
  </si>
  <si>
    <t>0.7934347015142137</t>
  </si>
  <si>
    <t>1.0668749014684025</t>
  </si>
  <si>
    <t>-0.9408356180353421</t>
  </si>
  <si>
    <t>-0.8108421760856269</t>
  </si>
  <si>
    <t>1.2792805424019718</t>
  </si>
  <si>
    <t>-0.6392502210732356</t>
  </si>
  <si>
    <t>-0.6374133758515386</t>
  </si>
  <si>
    <t>0.5752881625036355</t>
  </si>
  <si>
    <t>-0.13400870151085412</t>
  </si>
  <si>
    <t>0.7005373594895113</t>
  </si>
  <si>
    <t>1.7865672097626173</t>
  </si>
  <si>
    <t>-0.8781484317884658</t>
  </si>
  <si>
    <t>-0.2603136046297978</t>
  </si>
  <si>
    <t>-0.3809633677854055</t>
  </si>
  <si>
    <t>1.9110532017313022</t>
  </si>
  <si>
    <t>-0.4102386447743353</t>
  </si>
  <si>
    <t>-1.266213910388058</t>
  </si>
  <si>
    <t>0.6050660165980029</t>
  </si>
  <si>
    <t>-1.1874933647528536</t>
  </si>
  <si>
    <t>-0.23808167142665113</t>
  </si>
  <si>
    <t>-2.3710465398802323</t>
  </si>
  <si>
    <t>-1.781783826482807</t>
  </si>
  <si>
    <t>0.9959434711881017</t>
  </si>
  <si>
    <t>-1.3479725236002214</t>
  </si>
  <si>
    <t>-0.2682570009461496</t>
  </si>
  <si>
    <t>-0.5070763199706748</t>
  </si>
  <si>
    <t>1.7886462347691676</t>
  </si>
  <si>
    <t>0.1480560778386069</t>
  </si>
  <si>
    <t>1.0548039655307224</t>
  </si>
  <si>
    <t>0.20420535851644678</t>
  </si>
  <si>
    <t>0.0945924336330756</t>
  </si>
  <si>
    <t>0.10459668862429983</t>
  </si>
  <si>
    <t>-1.4427240354558648</t>
  </si>
  <si>
    <t>-0.09404666444393019</t>
  </si>
  <si>
    <t>-0.635821417294136</t>
  </si>
  <si>
    <t>0.08126904304139604</t>
  </si>
  <si>
    <t>-0.9739681422329326</t>
  </si>
  <si>
    <t>0.6495517448562509</t>
  </si>
  <si>
    <t>-1.2002915942160608</t>
  </si>
  <si>
    <t>-1.5091728062148622</t>
  </si>
  <si>
    <t>-0.009713406882930053</t>
  </si>
  <si>
    <t>0.26966268620331163</t>
  </si>
  <si>
    <t>0.4307852568564717</t>
  </si>
  <si>
    <t>1.5585197946291438</t>
  </si>
  <si>
    <t>-0.6382394059870898</t>
  </si>
  <si>
    <t>0.8200193809370236</t>
  </si>
  <si>
    <t>-0.029528544339055864</t>
  </si>
  <si>
    <t>0.09505576994505488</t>
  </si>
  <si>
    <t>-1.489153857462581</t>
  </si>
  <si>
    <t>0.4185194162404752</t>
  </si>
  <si>
    <t>-0.6700968772574613</t>
  </si>
  <si>
    <t>-2.152902279762568</t>
  </si>
  <si>
    <t>-1.6324274541542967</t>
  </si>
  <si>
    <t>1.1265634619503289</t>
  </si>
  <si>
    <t>0.9379268729073051</t>
  </si>
  <si>
    <t>-2.0463625101574436</t>
  </si>
  <si>
    <t>-0.41759108327306405</t>
  </si>
  <si>
    <t>-0.13929507704856728</t>
  </si>
  <si>
    <t>1.3019958788402968</t>
  </si>
  <si>
    <t>-0.26202058607728157</t>
  </si>
  <si>
    <t>2.2439400473740387</t>
  </si>
  <si>
    <t>-1.6210830793660136</t>
  </si>
  <si>
    <t>0.9248540236515436</t>
  </si>
  <si>
    <t>-1.6864854433764354</t>
  </si>
  <si>
    <t>1.8252165207158688</t>
  </si>
  <si>
    <t>-0.4123891094148804</t>
  </si>
  <si>
    <t>0.013920009399829547</t>
  </si>
  <si>
    <t>0.5818649546616204</t>
  </si>
  <si>
    <t>-0.5641306355707884</t>
  </si>
  <si>
    <t>0.3098262272957256</t>
  </si>
  <si>
    <t>-1.182007385196475</t>
  </si>
  <si>
    <t>-1.7059428140645312</t>
  </si>
  <si>
    <t>-2.661977261896686</t>
  </si>
  <si>
    <t>-0.1684349891523679</t>
  </si>
  <si>
    <t>0.7893868993368586</t>
  </si>
  <si>
    <t>0.2567130428631313</t>
  </si>
  <si>
    <t>0.9184117687816601</t>
  </si>
  <si>
    <t>-2.2065176723216844</t>
  </si>
  <si>
    <t>-0.18257031124430306</t>
  </si>
  <si>
    <t>-1.464913627647969</t>
  </si>
  <si>
    <t>-0.4143775328529273</t>
  </si>
  <si>
    <t>-0.15286773790613145</t>
  </si>
  <si>
    <t>-1.5285397606523887</t>
  </si>
  <si>
    <t>-2.5373809202673097</t>
  </si>
  <si>
    <t>1.263346659989648</t>
  </si>
  <si>
    <t>0.07075876846903201</t>
  </si>
  <si>
    <t>0.28902946526690954</t>
  </si>
  <si>
    <t>-0.40391087335164744</t>
  </si>
  <si>
    <t>-0.5999407680212656</t>
  </si>
  <si>
    <t>-0.03150871268778344</t>
  </si>
  <si>
    <t>-0.6875572184362803</t>
  </si>
  <si>
    <t>3.2316769999657926</t>
  </si>
  <si>
    <t>0.3145600468073532</t>
  </si>
  <si>
    <t>-1.1732047779364898</t>
  </si>
  <si>
    <t>-0.9125509086573736</t>
  </si>
  <si>
    <t>-0.5048688860549352</t>
  </si>
  <si>
    <t>-2.0003648630704975</t>
  </si>
  <si>
    <t>-2.2977793009207703</t>
  </si>
  <si>
    <t>-0.08796806678185666</t>
  </si>
  <si>
    <t>-0.48161445479461956</t>
  </si>
  <si>
    <t>-1.6452284100357617</t>
  </si>
  <si>
    <t>0.4558411195893529</t>
  </si>
  <si>
    <t>0.749331211891242</t>
  </si>
  <si>
    <t>3.302070939735182</t>
  </si>
  <si>
    <t>-1.8492048493584352</t>
  </si>
  <si>
    <t>-0.8764581273273738</t>
  </si>
  <si>
    <t>0.5343836406512129</t>
  </si>
  <si>
    <t>-2.1191289877170028</t>
  </si>
  <si>
    <t>0.5164302657179802</t>
  </si>
  <si>
    <t>-0.42712903530469565</t>
  </si>
  <si>
    <t>-0.6860256108332771</t>
  </si>
  <si>
    <t>-0.49515390231604695</t>
  </si>
  <si>
    <t>0.33459148905934566</t>
  </si>
  <si>
    <t>-2.078693574081708</t>
  </si>
  <si>
    <t>2.169991819145083</t>
  </si>
  <si>
    <t>-0.2859673850979956</t>
  </si>
  <si>
    <t>-1.6076320448340577</t>
  </si>
  <si>
    <t>-1.1003582872243711</t>
  </si>
  <si>
    <t>-0.549953560730787</t>
  </si>
  <si>
    <t>0.3285317359131204</t>
  </si>
  <si>
    <t>-0.22310808375644983</t>
  </si>
  <si>
    <t>-0.16638118856547385</t>
  </si>
  <si>
    <t>-0.17657264873326528</t>
  </si>
  <si>
    <t>-2.135366263426462</t>
  </si>
  <si>
    <t>-1.753484482479243</t>
  </si>
  <si>
    <t>0.12331677937540961</t>
  </si>
  <si>
    <t>-3.188174724534188</t>
  </si>
  <si>
    <t>-3.0530860704394382</t>
  </si>
  <si>
    <t>-1.6748082856070678</t>
  </si>
  <si>
    <t>-1.4516019586801214</t>
  </si>
  <si>
    <t>4.781540576826408</t>
  </si>
  <si>
    <t>0.1447090661557817</t>
  </si>
  <si>
    <t>0.6458391052597249</t>
  </si>
  <si>
    <t>-0.6051390386312877</t>
  </si>
  <si>
    <t>-1.8123727814636261</t>
  </si>
  <si>
    <t>2.381548151866593</t>
  </si>
  <si>
    <t>3.535847694694684</t>
  </si>
  <si>
    <t>0.4715349207400122</t>
  </si>
  <si>
    <t>-2.8506932290060845</t>
  </si>
  <si>
    <t>-0.11326542695982064</t>
  </si>
  <si>
    <t>-3.751034158035017</t>
  </si>
  <si>
    <t>-2.1734110987019943</t>
  </si>
  <si>
    <t>1.0696773111003661</t>
  </si>
  <si>
    <t>-3.1405465475392065</t>
  </si>
  <si>
    <t>1.5655930257191124</t>
  </si>
  <si>
    <t>-3.073350095933322</t>
  </si>
  <si>
    <t>-0.3630597088985899</t>
  </si>
  <si>
    <t>-0.6422179513808399</t>
  </si>
  <si>
    <t>0.01342385425453852</t>
  </si>
  <si>
    <t>-0.7476571991547383</t>
  </si>
  <si>
    <t>2.7751529597543945</t>
  </si>
  <si>
    <t>-0.14690240409151278</t>
  </si>
  <si>
    <t>-1.9839573561139678</t>
  </si>
  <si>
    <t>-1.616566736824698</t>
  </si>
  <si>
    <t>0.984130516496905</t>
  </si>
  <si>
    <t>-2.2850624599174343</t>
  </si>
  <si>
    <t>-1.5151823755353868</t>
  </si>
  <si>
    <t>-4.693229929766908</t>
  </si>
  <si>
    <t>-0.4514338618497473</t>
  </si>
  <si>
    <t>-3.6602499093638126</t>
  </si>
  <si>
    <t>0.29531431129276364</t>
  </si>
  <si>
    <t>4.088534147537846</t>
  </si>
  <si>
    <t>-3.4518001545508388</t>
  </si>
  <si>
    <t>-0.9173893424122492</t>
  </si>
  <si>
    <t>-0.49551792026690866</t>
  </si>
  <si>
    <t>1.0715088438021894</t>
  </si>
  <si>
    <t>3.083128830388032</t>
  </si>
  <si>
    <t>-2.3231536222302984</t>
  </si>
  <si>
    <t>-2.290148458570976</t>
  </si>
  <si>
    <t>2.517313443772871</t>
  </si>
  <si>
    <t>1.280014581487923</t>
  </si>
  <si>
    <t>4.125751046814024</t>
  </si>
  <si>
    <t>0.30481861120253484</t>
  </si>
  <si>
    <t>3.552861589585927</t>
  </si>
  <si>
    <t>2.805598049040817</t>
  </si>
  <si>
    <t>1.156689677955215</t>
  </si>
  <si>
    <t>3.170771433121716</t>
  </si>
  <si>
    <t>-3.3324564966589683</t>
  </si>
  <si>
    <t>-3.0884047212857193</t>
  </si>
  <si>
    <t>3.4416373800695506</t>
  </si>
  <si>
    <t>1.6445946650138363</t>
  </si>
  <si>
    <t>2.592118573954102</t>
  </si>
  <si>
    <t>4.710059291846525</t>
  </si>
  <si>
    <t>-2.779226320162182</t>
  </si>
  <si>
    <t>-1.905870662160128</t>
  </si>
  <si>
    <t>-2.345253598087528</t>
  </si>
  <si>
    <t>0.3001236518310878</t>
  </si>
  <si>
    <t>-2.5045656352564</t>
  </si>
  <si>
    <t>-1.3793683183449463</t>
  </si>
  <si>
    <t>2.4512546374651922</t>
  </si>
  <si>
    <t>1.160483336103098</t>
  </si>
  <si>
    <t>0.8195812276169362</t>
  </si>
  <si>
    <t>3.961616410633128</t>
  </si>
  <si>
    <t>1.1412176098148055</t>
  </si>
  <si>
    <t>2.3832033051158175</t>
  </si>
  <si>
    <t>-2.3870748654853386</t>
  </si>
  <si>
    <t>1.8537699423219776</t>
  </si>
  <si>
    <t>1.756741359801331</t>
  </si>
  <si>
    <t>-1.350600147507124</t>
  </si>
  <si>
    <t>1.0593501095980342</t>
  </si>
  <si>
    <t>-0.8668459935573115</t>
  </si>
  <si>
    <t>0.17213631762161277</t>
  </si>
  <si>
    <t>0.7740168012971681</t>
  </si>
  <si>
    <t>-3.274414477266546</t>
  </si>
  <si>
    <t>-0.6117834035098425</t>
  </si>
  <si>
    <t>1.706916249232427</t>
  </si>
  <si>
    <t>-0.602022489285601</t>
  </si>
  <si>
    <t>1.597786023130703</t>
  </si>
  <si>
    <t>0.016327332582609513</t>
  </si>
  <si>
    <t>2.8180522234532175</t>
  </si>
  <si>
    <t>0.35853430116576324</t>
  </si>
  <si>
    <t>3.104123796577589</t>
  </si>
  <si>
    <t>-1.297428664425353</t>
  </si>
  <si>
    <t>2.0939292463110823</t>
  </si>
  <si>
    <t>-1.456395757238432</t>
  </si>
  <si>
    <t>0.5465209200769287</t>
  </si>
  <si>
    <t>1.1882637442401691</t>
  </si>
  <si>
    <t>-2.6368220527635238</t>
  </si>
  <si>
    <t>-0.7519410873757508</t>
  </si>
  <si>
    <t>0.38899495830827413</t>
  </si>
  <si>
    <t>0.32754130402746023</t>
  </si>
  <si>
    <t>-3.2381795564340443</t>
  </si>
  <si>
    <t>5.815982353219507</t>
  </si>
  <si>
    <t>0.20611793147232102</t>
  </si>
  <si>
    <t>2.324663304376171</t>
  </si>
  <si>
    <t>0.48596527318675653</t>
  </si>
  <si>
    <t>-0.7157766810639712</t>
  </si>
  <si>
    <t>0.016654089258596006</t>
  </si>
  <si>
    <t>-2.6140615653764994</t>
  </si>
  <si>
    <t>3.166655335284119</t>
  </si>
  <si>
    <t>-2.1638446567561114</t>
  </si>
  <si>
    <t>0.3709762455276599</t>
  </si>
  <si>
    <t>0.8692488990768434</t>
  </si>
  <si>
    <t>-3.7265878837498554</t>
  </si>
  <si>
    <t>0.31914002829311783</t>
  </si>
  <si>
    <t>-1.985067634026522</t>
  </si>
  <si>
    <t>-3.468367663054067</t>
  </si>
  <si>
    <t>2.0813717106505294</t>
  </si>
  <si>
    <t>0.8890171335929045</t>
  </si>
  <si>
    <t>-0.8365040426409611</t>
  </si>
  <si>
    <t>-1.2880705649564976</t>
  </si>
  <si>
    <t>2.134098490242552</t>
  </si>
  <si>
    <t>-2.474884244554681</t>
  </si>
  <si>
    <t>0.31205779505339465</t>
  </si>
  <si>
    <t>4.068054448420671</t>
  </si>
  <si>
    <t>1.1921339668520445</t>
  </si>
  <si>
    <t>-1.5951663701504792</t>
  </si>
  <si>
    <t>0.3432885862892612</t>
  </si>
  <si>
    <t>2.1519116215486975</t>
  </si>
  <si>
    <t>1.6732369298287582</t>
  </si>
  <si>
    <t>-0.9905844324903971</t>
  </si>
  <si>
    <t>1.4495771186611486</t>
  </si>
  <si>
    <t>1.9870559360162938</t>
  </si>
  <si>
    <t>1.6063362389328122</t>
  </si>
  <si>
    <t>-0.37282199664081944</t>
  </si>
  <si>
    <t>1.0649750857030587</t>
  </si>
  <si>
    <t>-0.5319348762736847</t>
  </si>
  <si>
    <t>1.0148083623294724</t>
  </si>
  <si>
    <t>1.2510760750988577</t>
  </si>
  <si>
    <t>1.794270905590184</t>
  </si>
  <si>
    <t>2.094166389004423</t>
  </si>
  <si>
    <t>-0.12446676831690409</t>
  </si>
  <si>
    <t>2.4405143468701165</t>
  </si>
  <si>
    <t>0.3447933687442532</t>
  </si>
  <si>
    <t>0.12157119226655966</t>
  </si>
  <si>
    <t>1.61980431765294</t>
  </si>
  <si>
    <t>0.47853611292107145</t>
  </si>
  <si>
    <t>2.049901041424092</t>
  </si>
  <si>
    <t>1.083174180294795</t>
  </si>
  <si>
    <t>-0.2522981819075215</t>
  </si>
  <si>
    <t>-0.10981732946455602</t>
  </si>
  <si>
    <t>1.5903440153538335</t>
  </si>
  <si>
    <t>0.19017816982787517</t>
  </si>
  <si>
    <t>-1.9262921801606483</t>
  </si>
  <si>
    <t>-0.39579644505861444</t>
  </si>
  <si>
    <t>-0.5643317668067267</t>
  </si>
  <si>
    <t>-0.19029552856612034</t>
  </si>
  <si>
    <t>-0.45301958227089606</t>
  </si>
  <si>
    <t>0.6344394546183023</t>
  </si>
  <si>
    <t>-1.0315216741316209</t>
  </si>
  <si>
    <t>0.5187057342337908</t>
  </si>
  <si>
    <t>-0.791645497248491</t>
  </si>
  <si>
    <t>-0.3048820087525649</t>
  </si>
  <si>
    <t>-0.807291489481802</t>
  </si>
  <si>
    <t>-0.41209521877832594</t>
  </si>
  <si>
    <t>0.5170659584021986</t>
  </si>
  <si>
    <t>-0.8108710713230004</t>
  </si>
  <si>
    <t>-0.48214614606304096</t>
  </si>
  <si>
    <t>0.9102814440354361</t>
  </si>
  <si>
    <t>1.065972999185645</t>
  </si>
  <si>
    <t>0.5313188829153335</t>
  </si>
  <si>
    <t>-0.696708515100704</t>
  </si>
  <si>
    <t>0.3661308600129197</t>
  </si>
  <si>
    <t>2.0572411857812476</t>
  </si>
  <si>
    <t>-1.2059406734534504</t>
  </si>
  <si>
    <t>0.788999585676776</t>
  </si>
  <si>
    <t>-0.41012727329938103</t>
  </si>
  <si>
    <t>1.9114458742938663</t>
  </si>
  <si>
    <t>-0.7257657961595244</t>
  </si>
  <si>
    <t>-1.7912170310251836</t>
  </si>
  <si>
    <t>-0.4051625096574914</t>
  </si>
  <si>
    <t>-0.49652260020221606</t>
  </si>
  <si>
    <t>0.13372478320810438</t>
  </si>
  <si>
    <t>-0.4621907613559176</t>
  </si>
  <si>
    <t>0.15143773487458168</t>
  </si>
  <si>
    <t>-1.0752344646674565</t>
  </si>
  <si>
    <t>1.2596504360303091</t>
  </si>
  <si>
    <t>0.9733333754439818</t>
  </si>
  <si>
    <t>-0.30263256750952594</t>
  </si>
  <si>
    <t>2.929121375080381</t>
  </si>
  <si>
    <t>-0.6692727356273485</t>
  </si>
  <si>
    <t>-0.8493361989411046</t>
  </si>
  <si>
    <t>-1.0272831510871734</t>
  </si>
  <si>
    <t>-0.5210584480352705</t>
  </si>
  <si>
    <t>0.26098273115482</t>
  </si>
  <si>
    <t>-0.5212183245563056</t>
  </si>
  <si>
    <t>0.8704880761879289</t>
  </si>
  <si>
    <t>-0.5187084012132943</t>
  </si>
  <si>
    <t>-2.7288980147812447</t>
  </si>
  <si>
    <t>2.076694283876565</t>
  </si>
  <si>
    <t>-0.2953487051233155</t>
  </si>
  <si>
    <t>0.31252276594535877</t>
  </si>
  <si>
    <t>0.8840828217681951</t>
  </si>
  <si>
    <t>-1.7614825343778262</t>
  </si>
  <si>
    <t>0.310657510726544</t>
  </si>
  <si>
    <t>0.010711955666763494</t>
  </si>
  <si>
    <t>0.9260452905557311</t>
  </si>
  <si>
    <t>3.0526788411693926</t>
  </si>
  <si>
    <t>1.1132060818707257</t>
  </si>
  <si>
    <t>1.0700176974965432</t>
  </si>
  <si>
    <t>0.1457279483419079</t>
  </si>
  <si>
    <t>-1.0963452829132725</t>
  </si>
  <si>
    <t>0.5308594244249601</t>
  </si>
  <si>
    <t>1.2953965336734168</t>
  </si>
  <si>
    <t>1.11668558188524</t>
  </si>
  <si>
    <t>2.30474510617952</t>
  </si>
  <si>
    <t>0.26778232110264405</t>
  </si>
  <si>
    <t>1.309750780540711</t>
  </si>
  <si>
    <t>-1.4554557877132341</t>
  </si>
  <si>
    <t>-1.1093710536639125</t>
  </si>
  <si>
    <t>0.7484591888530406</t>
  </si>
  <si>
    <t>-0.8298201952096038</t>
  </si>
  <si>
    <t>0.8326821294161606</t>
  </si>
  <si>
    <t>1.3159479875275593</t>
  </si>
  <si>
    <t>-0.4224669485309274</t>
  </si>
  <si>
    <t>0.1208984062594843</t>
  </si>
  <si>
    <t>1.1016567700385638</t>
  </si>
  <si>
    <t>0.14106773439366638</t>
  </si>
  <si>
    <t>1.195097935743999</t>
  </si>
  <si>
    <t>-1.5863663693148846</t>
  </si>
  <si>
    <t>-0.34750044439710615</t>
  </si>
  <si>
    <t>0.7283595561387779</t>
  </si>
  <si>
    <t>0.47947777283533616</t>
  </si>
  <si>
    <t>-1.2852612242056676</t>
  </si>
  <si>
    <t>-0.10057687907289309</t>
  </si>
  <si>
    <t>1.361984206918035</t>
  </si>
  <si>
    <t>-1.201233225673925</t>
  </si>
  <si>
    <t>-0.29639450336251744</t>
  </si>
  <si>
    <t>0.5900664670420784</t>
  </si>
  <si>
    <t>-0.08591797997335111</t>
  </si>
  <si>
    <t>-0.7750602876328598</t>
  </si>
  <si>
    <t>-1.2310417241772256</t>
  </si>
  <si>
    <t>-0.08493307229282249</t>
  </si>
  <si>
    <t>0.4181287201726943</t>
  </si>
  <si>
    <t>-2.6433671197124204</t>
  </si>
  <si>
    <t>-0.40162962394740936</t>
  </si>
  <si>
    <t>0.9201610933370987</t>
  </si>
  <si>
    <t>-0.2732264764578845</t>
  </si>
  <si>
    <t>0.7253521946904</t>
  </si>
  <si>
    <t>0.0744083607220961</t>
  </si>
  <si>
    <t>-0.1440833401126999</t>
  </si>
  <si>
    <t>1.359016956168439</t>
  </si>
  <si>
    <t>0.5335658852058752</t>
  </si>
  <si>
    <t>0.10501492400232199</t>
  </si>
  <si>
    <t>0.337298105162222</t>
  </si>
  <si>
    <t>-0.7051839100947542</t>
  </si>
  <si>
    <t>-0.14197909959734445</t>
  </si>
  <si>
    <t>0.9767996141053478</t>
  </si>
  <si>
    <t>-2.2571602730114413</t>
  </si>
  <si>
    <t>-1.4455413690259602</t>
  </si>
  <si>
    <t>-1.013089135104153</t>
  </si>
  <si>
    <t>0.9575427035454894</t>
  </si>
  <si>
    <t>0.5279395672512357</t>
  </si>
  <si>
    <t>-2.0603037092083634</t>
  </si>
  <si>
    <t>0.17974518457571237</t>
  </si>
  <si>
    <t>-0.03549970501045926</t>
  </si>
  <si>
    <t>2.18024290552946</t>
  </si>
  <si>
    <t>-0.45878117827536435</t>
  </si>
  <si>
    <t>0.6492098679361425</t>
  </si>
  <si>
    <t>0.027325406032621555</t>
  </si>
  <si>
    <t>-0.05346415985516999</t>
  </si>
  <si>
    <t>0.28155353850942516</t>
  </si>
  <si>
    <t>-0.25113260294508266</t>
  </si>
  <si>
    <t>0.5949811632745263</t>
  </si>
  <si>
    <t>1.8247285816704264</t>
  </si>
  <si>
    <t>1.4805787551369705</t>
  </si>
  <si>
    <t>0.6652193311233013</t>
  </si>
  <si>
    <t>-0.6659886703491473</t>
  </si>
  <si>
    <t>0.9934115758220144</t>
  </si>
  <si>
    <t>-1.0397480900972798</t>
  </si>
  <si>
    <t>-0.10888011042311659</t>
  </si>
  <si>
    <t>-1.156150346808591</t>
  </si>
  <si>
    <t>0.48081662825834515</t>
  </si>
  <si>
    <t>2.0047736273402523</t>
  </si>
  <si>
    <t>1.1573178531201647</t>
  </si>
  <si>
    <t>0.6831477061022981</t>
  </si>
  <si>
    <t>0.1431374661149291</t>
  </si>
  <si>
    <t>0.273160165039583</t>
  </si>
  <si>
    <t>-0.4164252637938424</t>
  </si>
  <si>
    <t>0.5297969224843027</t>
  </si>
  <si>
    <t>-0.06297720569073958</t>
  </si>
  <si>
    <t>-0.2590531941425146</t>
  </si>
  <si>
    <t>-0.7935442447585669</t>
  </si>
  <si>
    <t>-0.09182893222111617</t>
  </si>
  <si>
    <t>-0.8699349921862636</t>
  </si>
  <si>
    <t>0.48930292091850286</t>
  </si>
  <si>
    <t>1.2450844458159411</t>
  </si>
  <si>
    <t>-0.9980294943242388</t>
  </si>
  <si>
    <t>0.5122951384331728</t>
  </si>
  <si>
    <t>0.010845759367205816</t>
  </si>
  <si>
    <t>-0.8057998820440201</t>
  </si>
  <si>
    <t>-0.49945724840271627</t>
  </si>
  <si>
    <t>1.3944657632494706</t>
  </si>
  <si>
    <t>0.5721219900004937</t>
  </si>
  <si>
    <t>0.839905431628857</t>
  </si>
  <si>
    <t>-0.5305679382261758</t>
  </si>
  <si>
    <t>1.84248443958484</t>
  </si>
  <si>
    <t>-0.6002689801664743</t>
  </si>
  <si>
    <t>0.5641214882603112</t>
  </si>
  <si>
    <t>-0.6056704733651603</t>
  </si>
  <si>
    <t>0.9796376353012524</t>
  </si>
  <si>
    <t>-2.144261496561024</t>
  </si>
  <si>
    <t>-0.7519655398660056</t>
  </si>
  <si>
    <t>-0.25327172175666224</t>
  </si>
  <si>
    <t>2.038251734162747</t>
  </si>
  <si>
    <t>-0.5268740679833603</t>
  </si>
  <si>
    <t>0.11722898157884895</t>
  </si>
  <si>
    <t>-1.2590822047538395</t>
  </si>
  <si>
    <t>-0.9058056482771685</t>
  </si>
  <si>
    <t>1.5899029377627152</t>
  </si>
  <si>
    <t>0.05616637779338599</t>
  </si>
  <si>
    <t>-0.46477824341770524</t>
  </si>
  <si>
    <t>0.9118544755203813</t>
  </si>
  <si>
    <t>1.1550252403000953</t>
  </si>
  <si>
    <t>-0.41412431874553435</t>
  </si>
  <si>
    <t>0.6033662459675588</t>
  </si>
  <si>
    <t>-0.11235494364387681</t>
  </si>
  <si>
    <t>-1.535719514135615</t>
  </si>
  <si>
    <t>-1.5856890389530338</t>
  </si>
  <si>
    <t>0.9504191680268883</t>
  </si>
  <si>
    <t>-0.3155934416752211</t>
  </si>
  <si>
    <t>-0.9740310439846309</t>
  </si>
  <si>
    <t>2.375438463111865</t>
  </si>
  <si>
    <t>1.7550958297467512</t>
  </si>
  <si>
    <t>0.9944324809039251</t>
  </si>
  <si>
    <t>0.7578746112409915</t>
  </si>
  <si>
    <t>-0.528368212457128</t>
  </si>
  <si>
    <t>2.461895991951042</t>
  </si>
  <si>
    <t>-0.2231934046169245</t>
  </si>
  <si>
    <t>-1.222478440846683</t>
  </si>
  <si>
    <t>-1.876332127030272</t>
  </si>
  <si>
    <t>1.4473270584435725</t>
  </si>
  <si>
    <t>-0.3588914796760839</t>
  </si>
  <si>
    <t>0.2374894561122083</t>
  </si>
  <si>
    <t>-2.8732821925546</t>
  </si>
  <si>
    <t>-1.946572881990271</t>
  </si>
  <si>
    <t>-1.1788032739410859</t>
  </si>
  <si>
    <t>-0.1462510390599976</t>
  </si>
  <si>
    <t>1.212421922626782</t>
  </si>
  <si>
    <t>-1.134357660020125</t>
  </si>
  <si>
    <t>-1.9808773894041611</t>
  </si>
  <si>
    <t>-2.503034601982467</t>
  </si>
  <si>
    <t>0.2310368959303731</t>
  </si>
  <si>
    <t>-0.35741209723209855</t>
  </si>
  <si>
    <t>1.5761243513523688</t>
  </si>
  <si>
    <t>0.1694366132795641</t>
  </si>
  <si>
    <t>-0.5145380881988844</t>
  </si>
  <si>
    <t>0.4810430016944367</t>
  </si>
  <si>
    <t>-0.18259873461200174</t>
  </si>
  <si>
    <t>-0.7690898863830156</t>
  </si>
  <si>
    <t>0.17427579658255346</t>
  </si>
  <si>
    <t>1.6274056048194607</t>
  </si>
  <si>
    <t>2.6995612647215235</t>
  </si>
  <si>
    <t>0.235012447943881</t>
  </si>
  <si>
    <t>2.8940603622577274</t>
  </si>
  <si>
    <t>2.146533108636575</t>
  </si>
  <si>
    <t>-0.9030087165330906</t>
  </si>
  <si>
    <t>-1.2678413457504454</t>
  </si>
  <si>
    <t>1.2475605452429368</t>
  </si>
  <si>
    <t>-0.6711616535115176</t>
  </si>
  <si>
    <t>-0.425985926392144</t>
  </si>
  <si>
    <t>0.6486339437071931</t>
  </si>
  <si>
    <t>1.6435431828826477</t>
  </si>
  <si>
    <t>-0.9069191555177049</t>
  </si>
  <si>
    <t>0.05327680565538723</t>
  </si>
  <si>
    <t>-4.181303440512901</t>
  </si>
  <si>
    <t>1.3533231372116845</t>
  </si>
  <si>
    <t>-0.465240630694122</t>
  </si>
  <si>
    <t>-0.8607695011845967</t>
  </si>
  <si>
    <t>2.1719992122000575</t>
  </si>
  <si>
    <t>1.1890052417345771</t>
  </si>
  <si>
    <t>2.292540489691812</t>
  </si>
  <si>
    <t>-0.5661136092684541</t>
  </si>
  <si>
    <t>-1.1696605312833317</t>
  </si>
  <si>
    <t>-0.474139408068497</t>
  </si>
  <si>
    <t>0.4684625085066802</t>
  </si>
  <si>
    <t>-0.4806956923157655</t>
  </si>
  <si>
    <t>-2.2705746476070505</t>
  </si>
  <si>
    <t>0.19954747068031226</t>
  </si>
  <si>
    <t>1.205013909733514</t>
  </si>
  <si>
    <t>-2.9922874075448935</t>
  </si>
  <si>
    <t>-0.3452736073397991</t>
  </si>
  <si>
    <t>-0.6818768593270473</t>
  </si>
  <si>
    <t>1.1568384241611442</t>
  </si>
  <si>
    <t>-2.199006488646361</t>
  </si>
  <si>
    <t>0.33993307266963896</t>
  </si>
  <si>
    <t>-0.12176613505507457</t>
  </si>
  <si>
    <t>-0.991831206809183</t>
  </si>
  <si>
    <t>1.3166865374951426</t>
  </si>
  <si>
    <t>0.5085784271008321</t>
  </si>
  <si>
    <t>-1.795203167023293</t>
  </si>
  <si>
    <t>0.8472414459852498</t>
  </si>
  <si>
    <t>-2.651941288876703</t>
  </si>
  <si>
    <t>3.198281895576081</t>
  </si>
  <si>
    <t>1.240315107221585</t>
  </si>
  <si>
    <t>1.6954713862460908</t>
  </si>
  <si>
    <t>-1.725828178320819</t>
  </si>
  <si>
    <t>0.5149858865904784</t>
  </si>
  <si>
    <t>1.8234567424388837</t>
  </si>
  <si>
    <t>-1.1527506118776025</t>
  </si>
  <si>
    <t>0.11662918439100782</t>
  </si>
  <si>
    <t>1.0975888222161387</t>
  </si>
  <si>
    <t>0.9672213607383205</t>
  </si>
  <si>
    <t>-0.95976195628171</t>
  </si>
  <si>
    <t>-1.0548799881641606</t>
  </si>
  <si>
    <t>0.8744008257367979</t>
  </si>
  <si>
    <t>0.4728813791679338</t>
  </si>
  <si>
    <t>-0.2994642449120449</t>
  </si>
  <si>
    <t>0.29000320941784463</t>
  </si>
  <si>
    <t>-1.2795460196041974</t>
  </si>
  <si>
    <t>-0.18687642503137705</t>
  </si>
  <si>
    <t>0.36412680027489086</t>
  </si>
  <si>
    <t>-1.4089075727055596</t>
  </si>
  <si>
    <t>0.16441182372728239</t>
  </si>
  <si>
    <t>0.69503614054938</t>
  </si>
  <si>
    <t>-0.9555436848255483</t>
  </si>
  <si>
    <t>1.9227613094033607</t>
  </si>
  <si>
    <t>-1.7687576660710875</t>
  </si>
  <si>
    <t>-0.8292301963297989</t>
  </si>
  <si>
    <t>0.6913024746271904</t>
  </si>
  <si>
    <t>0.8476512147233943</t>
  </si>
  <si>
    <t>0.9206540061349439</t>
  </si>
  <si>
    <t>-0.9026459154746153</t>
  </si>
  <si>
    <t>0.7379389828073264</t>
  </si>
  <si>
    <t>0.7043482686298178</t>
  </si>
  <si>
    <t>0.8154335799301154</t>
  </si>
  <si>
    <t>-1.42117786808713</t>
  </si>
  <si>
    <t>-2.09284936804809</t>
  </si>
  <si>
    <t>-0.696985374900851</t>
  </si>
  <si>
    <t>0.6190687600900956</t>
  </si>
  <si>
    <t>-1.179287572208542</t>
  </si>
  <si>
    <t>2.1791595627998834</t>
  </si>
  <si>
    <t>-1.3380968394066342</t>
  </si>
  <si>
    <t>-1.420803199108976</t>
  </si>
  <si>
    <t>-0.7108215801566239</t>
  </si>
  <si>
    <t>0.7128779458067936</t>
  </si>
  <si>
    <t>0.46388064895237807</t>
  </si>
  <si>
    <t>-0.7689274518458337</t>
  </si>
  <si>
    <t>2.8149783970491122</t>
  </si>
  <si>
    <t>-0.555875943774752</t>
  </si>
  <si>
    <t>-0.440422414815576</t>
  </si>
  <si>
    <t>0.3195982874408078</t>
  </si>
  <si>
    <t>0.5246703252344729</t>
  </si>
  <si>
    <t>0.49196157102833166</t>
  </si>
  <si>
    <t>1.5198842115400337</t>
  </si>
  <si>
    <t>0.7599476352232066</t>
  </si>
  <si>
    <t>-0.6085937673762816</t>
  </si>
  <si>
    <t>1.011461896214984</t>
  </si>
  <si>
    <t>1.8749694833113453</t>
  </si>
  <si>
    <t>-0.15717756983579978</t>
  </si>
  <si>
    <t>-0.7884928425643172</t>
  </si>
  <si>
    <t>-0.7132152711819763</t>
  </si>
  <si>
    <t>0.3399080917347124</t>
  </si>
  <si>
    <t>-0.0322957060813644</t>
  </si>
  <si>
    <t>-0.49961457486321126</t>
  </si>
  <si>
    <t>-2.1638437569600346</t>
  </si>
  <si>
    <t>-0.28874806008577264</t>
  </si>
  <si>
    <t>1.3506818298042735</t>
  </si>
  <si>
    <t>-0.7443368106209157</t>
  </si>
  <si>
    <t>-0.8629242105863425</t>
  </si>
  <si>
    <t>0.9359131520488855</t>
  </si>
  <si>
    <t>-0.36843308172090905</t>
  </si>
  <si>
    <t>-0.5661175630874693</t>
  </si>
  <si>
    <t>-0.4988400105046863</t>
  </si>
  <si>
    <t>-3.582833393695518</t>
  </si>
  <si>
    <t>2.6992753626901362</t>
  </si>
  <si>
    <t>-0.637835371185191</t>
  </si>
  <si>
    <t>0.014270885422739169</t>
  </si>
  <si>
    <t>0.647053342746364</t>
  </si>
  <si>
    <t>-0.060754052204400846</t>
  </si>
  <si>
    <t>-0.33519824339663173</t>
  </si>
  <si>
    <t>-0.13023194004426025</t>
  </si>
  <si>
    <t>0.9708943062989269</t>
  </si>
  <si>
    <t>0.6941278987175742</t>
  </si>
  <si>
    <t>-0.03138846180324263</t>
  </si>
  <si>
    <t>-1.1855804176260984</t>
  </si>
  <si>
    <t>-1.0315899114108624</t>
  </si>
  <si>
    <t>-1.0302559885984957</t>
  </si>
  <si>
    <t>-0.2994666084726631</t>
  </si>
  <si>
    <t>-1.166023337032274</t>
  </si>
  <si>
    <t>1.186497017775771</t>
  </si>
  <si>
    <t>-1.0735182521256033</t>
  </si>
  <si>
    <t>-2.8488410192544658</t>
  </si>
  <si>
    <t>-0.876491476521138</t>
  </si>
  <si>
    <t>-1.4172778076626906</t>
  </si>
  <si>
    <t>0.4388756772620641</t>
  </si>
  <si>
    <t>-1.4708303519071109</t>
  </si>
  <si>
    <t>-0.5037699740336521</t>
  </si>
  <si>
    <t>-0.34159002579698466</t>
  </si>
  <si>
    <t>-1.7105102961968692</t>
  </si>
  <si>
    <t>1.9093810179120128</t>
  </si>
  <si>
    <t>-1.219128511901887</t>
  </si>
  <si>
    <t>2.283972439975188</t>
  </si>
  <si>
    <t>-0.32924337269199516</t>
  </si>
  <si>
    <t>-1.1020554985599578</t>
  </si>
  <si>
    <t>-1.2870610327445637</t>
  </si>
  <si>
    <t>-0.585664383329603</t>
  </si>
  <si>
    <t>0.23591524596291913</t>
  </si>
  <si>
    <t>0.2794939665092588</t>
  </si>
  <si>
    <t>-0.21067783398230916</t>
  </si>
  <si>
    <t>-0.6942926318641585</t>
  </si>
  <si>
    <t>-0.059753510381676325</t>
  </si>
  <si>
    <t>0.5943503553819041</t>
  </si>
  <si>
    <t>-0.7199786586071383</t>
  </si>
  <si>
    <t>-0.9292998779533049</t>
  </si>
  <si>
    <t>0.8703524063415407</t>
  </si>
  <si>
    <t>0.32677017746792314</t>
  </si>
  <si>
    <t>0.3856869796698728</t>
  </si>
  <si>
    <t>2.4628873940813407</t>
  </si>
  <si>
    <t>0.44957377512891056</t>
  </si>
  <si>
    <t>1.1203506185876817</t>
  </si>
  <si>
    <t>-2.873521723737811</t>
  </si>
  <si>
    <t>0.16358806500216552</t>
  </si>
  <si>
    <t>2.5678628293906463</t>
  </si>
  <si>
    <t>-0.1173104046004883</t>
  </si>
  <si>
    <t>-0.7427573439625129</t>
  </si>
  <si>
    <t>1.6222913728390245</t>
  </si>
  <si>
    <t>-0.8303897289331716</t>
  </si>
  <si>
    <t>-1.59243088743862</t>
  </si>
  <si>
    <t>-1.2488483848088785</t>
  </si>
  <si>
    <t>0.4956026747731442</t>
  </si>
  <si>
    <t>-0.613709870773667</t>
  </si>
  <si>
    <t>0.6052383255094499</t>
  </si>
  <si>
    <t>0.3239032251323019</t>
  </si>
  <si>
    <t>-1.820231062142068</t>
  </si>
  <si>
    <t>0.24098500902121237</t>
  </si>
  <si>
    <t>-0.7023850726906891</t>
  </si>
  <si>
    <t>-1.1740622111670218</t>
  </si>
  <si>
    <t>0.7596050150986968</t>
  </si>
  <si>
    <t>0.5897463732293917</t>
  </si>
  <si>
    <t>1.1419853742116397</t>
  </si>
  <si>
    <t>-1.6540733334554851</t>
  </si>
  <si>
    <t>-0.4733938521850257</t>
  </si>
  <si>
    <t>0.08833528583926216</t>
  </si>
  <si>
    <t>-0.4683719414186898</t>
  </si>
  <si>
    <t>-0.06578781914417393</t>
  </si>
  <si>
    <t>-0.08225754329633927</t>
  </si>
  <si>
    <t>-1.1894621389405413</t>
  </si>
  <si>
    <t>-0.024651343063044274</t>
  </si>
  <si>
    <t>1.1230362062356216</t>
  </si>
  <si>
    <t>0.8196190140548673</t>
  </si>
  <si>
    <t>-0.8332166187574476</t>
  </si>
  <si>
    <t>0.9808033293772384</t>
  </si>
  <si>
    <t>-0.7019764552073522</t>
  </si>
  <si>
    <t>-0.16833829028301386</t>
  </si>
  <si>
    <t>-0.08819374071369478</t>
  </si>
  <si>
    <t>-0.546331936574789</t>
  </si>
  <si>
    <t>0.36278494910338904</t>
  </si>
  <si>
    <t>-0.33378744296131907</t>
  </si>
  <si>
    <t>-0.624553715716843</t>
  </si>
  <si>
    <t>-0.7724159341069589</t>
  </si>
  <si>
    <t>1.7842211418813307</t>
  </si>
  <si>
    <t>-0.42241257425319123</t>
  </si>
  <si>
    <t>1.3686886871608603</t>
  </si>
  <si>
    <t>-0.2652032307314348</t>
  </si>
  <si>
    <t>-1.384296574007392</t>
  </si>
  <si>
    <t>-1.1448156784536652</t>
  </si>
  <si>
    <t>-0.2262648270634998</t>
  </si>
  <si>
    <t>-0.673103205517724</t>
  </si>
  <si>
    <t>1.6914590859839758</t>
  </si>
  <si>
    <t>-1.2579079957436037</t>
  </si>
  <si>
    <t>-1.5995724231027444</t>
  </si>
  <si>
    <t>-0.744989573115574</t>
  </si>
  <si>
    <t>-0.7354564746346114</t>
  </si>
  <si>
    <t>-1.6392799824739963</t>
  </si>
  <si>
    <t>-1.0789064718848675</t>
  </si>
  <si>
    <t>-0.32869980737565857</t>
  </si>
  <si>
    <t>-0.786498574651486</t>
  </si>
  <si>
    <t>0.6034025786872824</t>
  </si>
  <si>
    <t>0.8917289870669046</t>
  </si>
  <si>
    <t>1.888168074339896</t>
  </si>
  <si>
    <t>-0.49157581962462005</t>
  </si>
  <si>
    <t>1.5751185386545155</t>
  </si>
  <si>
    <t>-0.9365316362834704</t>
  </si>
  <si>
    <t>1.3758847113398431</t>
  </si>
  <si>
    <t>-1.8142497895513916</t>
  </si>
  <si>
    <t>-1.9226204961032702</t>
  </si>
  <si>
    <t>2.0589806781905056</t>
  </si>
  <si>
    <t>-0.9091264682504242</t>
  </si>
  <si>
    <t>0.3631199545062849</t>
  </si>
  <si>
    <t>0.3156256154479225</t>
  </si>
  <si>
    <t>1.2826373715507446</t>
  </si>
  <si>
    <t>-0.6655018924337189</t>
  </si>
  <si>
    <t>0.89907004713567</t>
  </si>
  <si>
    <t>-0.9786204329410635</t>
  </si>
  <si>
    <t>-0.03883535900040287</t>
  </si>
  <si>
    <t>-0.7319115939803654</t>
  </si>
  <si>
    <t>-1.0396073465363163</t>
  </si>
  <si>
    <t>0.295413145711899</t>
  </si>
  <si>
    <t>0.09669348032887698</t>
  </si>
  <si>
    <t>-0.14525014959613494</t>
  </si>
  <si>
    <t>-0.9640778060832962</t>
  </si>
  <si>
    <t>0.22718839577479782</t>
  </si>
  <si>
    <t>1.373515328739734</t>
  </si>
  <si>
    <t>1.4973065600666042</t>
  </si>
  <si>
    <t>-1.0285319572293559</t>
  </si>
  <si>
    <t>-0.10425778139324807</t>
  </si>
  <si>
    <t>1.3045515653167468</t>
  </si>
  <si>
    <t>1.1145451687049799</t>
  </si>
  <si>
    <t>-1.0234267924284575</t>
  </si>
  <si>
    <t>0.7637991073182034</t>
  </si>
  <si>
    <t>-2.0651186910929993</t>
  </si>
  <si>
    <t>0.7840465142947127</t>
  </si>
  <si>
    <t>-0.31849741855935315</t>
  </si>
  <si>
    <t>0.010333925421518626</t>
  </si>
  <si>
    <t>0.13449489273893164</t>
  </si>
  <si>
    <t>-0.10660152415522856</t>
  </si>
  <si>
    <t>0.24463406818970618</t>
  </si>
  <si>
    <t>0.7338065833627904</t>
  </si>
  <si>
    <t>0.5771725875795721</t>
  </si>
  <si>
    <t>-2.4335983687820946</t>
  </si>
  <si>
    <t>1.4103876332174334</t>
  </si>
  <si>
    <t>-0.31422995719925273</t>
  </si>
  <si>
    <t>-0.21077868386095183</t>
  </si>
  <si>
    <t>-0.9642513320858774</t>
  </si>
  <si>
    <t>1.072647998441768</t>
  </si>
  <si>
    <t>0.2838658121449116</t>
  </si>
  <si>
    <t>1.0024113907088477</t>
  </si>
  <si>
    <t>-0.3905408391962328</t>
  </si>
  <si>
    <t>0.011448183668306317</t>
  </si>
  <si>
    <t>0.7998987518394773</t>
  </si>
  <si>
    <t>-0.7276190414655791</t>
  </si>
  <si>
    <t>-1.5409076685010286</t>
  </si>
  <si>
    <t>-0.0015950211546724483</t>
  </si>
  <si>
    <t>-0.9141792000089352</t>
  </si>
  <si>
    <t>0.4283063409061041</t>
  </si>
  <si>
    <t>0.7393499315678917</t>
  </si>
  <si>
    <t>0.5631343858590676</t>
  </si>
  <si>
    <t>-1.1336092388469534</t>
  </si>
  <si>
    <t>-0.21998101514133714</t>
  </si>
  <si>
    <t>-0.2902786368652474</t>
  </si>
  <si>
    <t>0.37391090889823125</t>
  </si>
  <si>
    <t>-0.5064457153099265</t>
  </si>
  <si>
    <t>0.1424574332422229</t>
  </si>
  <si>
    <t>-0.7111095465992165</t>
  </si>
  <si>
    <t>-1.0097564268043466</t>
  </si>
  <si>
    <t>-0.9166712243626791</t>
  </si>
  <si>
    <t>-0.1808173551044713</t>
  </si>
  <si>
    <t>-0.31083674600237887</t>
  </si>
  <si>
    <t>-0.19182506253557247</t>
  </si>
  <si>
    <t>1.3421315269591316</t>
  </si>
  <si>
    <t>-2.5319963123350275</t>
  </si>
  <si>
    <t>0.027699012576346434</t>
  </si>
  <si>
    <t>-1.6783132466834993</t>
  </si>
  <si>
    <t>0.03891236474165857</t>
  </si>
  <si>
    <t>1.135137380792846</t>
  </si>
  <si>
    <t>0.6860597111238144</t>
  </si>
  <si>
    <t>-0.3329582034934563</t>
  </si>
  <si>
    <t>-0.8152212841928624</t>
  </si>
  <si>
    <t>-0.165485412635593</t>
  </si>
  <si>
    <t>0.6146184308209534</t>
  </si>
  <si>
    <t>-1.5557285404060859</t>
  </si>
  <si>
    <t>1.2287703695708951</t>
  </si>
  <si>
    <t>1.8300509735982162</t>
  </si>
  <si>
    <t>1.9961422013210448</t>
  </si>
  <si>
    <t>-1.2041355234159479</t>
  </si>
  <si>
    <t>-0.5969252037696178</t>
  </si>
  <si>
    <t>-0.00447309817224278</t>
  </si>
  <si>
    <t>-2.1125503055735626</t>
  </si>
  <si>
    <t>-1.5905973925171915</t>
  </si>
  <si>
    <t>0.862434383964266</t>
  </si>
  <si>
    <t>1.1114413065439892</t>
  </si>
  <si>
    <t>-0.8149781544304175</t>
  </si>
  <si>
    <t>0.1192106615681909</t>
  </si>
  <si>
    <t>1.7186134706245488</t>
  </si>
  <si>
    <t>-0.8177049158904588</t>
  </si>
  <si>
    <t>0.17573615371767023</t>
  </si>
  <si>
    <t>-1.40078602380556</t>
  </si>
  <si>
    <t>1.6067759302643176</t>
  </si>
  <si>
    <t>-0.27707843746449695</t>
  </si>
  <si>
    <t>0.5851289545562317</t>
  </si>
  <si>
    <t>0.37441369654949</t>
  </si>
  <si>
    <t>1.1377161877995736</t>
  </si>
  <si>
    <t>-1.1024704504599343</t>
  </si>
  <si>
    <t>-0.8145657313316464</t>
  </si>
  <si>
    <t>0.8471558208609319</t>
  </si>
  <si>
    <t>0.4471110651497393</t>
  </si>
  <si>
    <t>1.1610044793185879</t>
  </si>
  <si>
    <t>-0.1010332064275144</t>
  </si>
  <si>
    <t>-0.3804356901739844</t>
  </si>
  <si>
    <t>-0.9315607231826067</t>
  </si>
  <si>
    <t>0.7760505373696711</t>
  </si>
  <si>
    <t>-0.016036067492079184</t>
  </si>
  <si>
    <t>0.894733985014888</t>
  </si>
  <si>
    <t>0.5519024787002672</t>
  </si>
  <si>
    <t>1.7020192514583574</t>
  </si>
  <si>
    <t>-0.4502499465466801</t>
  </si>
  <si>
    <t>-0.5697987147812628</t>
  </si>
  <si>
    <t>-0.5172319040198308</t>
  </si>
  <si>
    <t>-0.048545821448387955</t>
  </si>
  <si>
    <t>0.09718858427744183</t>
  </si>
  <si>
    <t>-0.029458060354860278</t>
  </si>
  <si>
    <t>0.3474117044120692</t>
  </si>
  <si>
    <t>0.09994194259701071</t>
  </si>
  <si>
    <t>1.8266507630459563</t>
  </si>
  <si>
    <t>-0.07662218046220948</t>
  </si>
  <si>
    <t>-0.7079263143872635</t>
  </si>
  <si>
    <t>-1.3227652319497258</t>
  </si>
  <si>
    <t>0.6223606921561928</t>
  </si>
  <si>
    <t>0.6223177951174959</t>
  </si>
  <si>
    <t>-0.5886567456021919</t>
  </si>
  <si>
    <t>1.1208495718203602</t>
  </si>
  <si>
    <t>-0.5445024830576604</t>
  </si>
  <si>
    <t>0.18548721769528118</t>
  </si>
  <si>
    <t>1.0130797633272295</t>
  </si>
  <si>
    <t>-0.744770060167554</t>
  </si>
  <si>
    <t>-0.5599358202755066</t>
  </si>
  <si>
    <t>-0.5562703723362784</t>
  </si>
  <si>
    <t>-0.5557847382595835</t>
  </si>
  <si>
    <t>-0.16180553292989425</t>
  </si>
  <si>
    <t>-0.4149195400197331</t>
  </si>
  <si>
    <t>-0.43982648115187456</t>
  </si>
  <si>
    <t>0.21783396642525313</t>
  </si>
  <si>
    <t>-0.9444176442785565</t>
  </si>
  <si>
    <t>-0.035639443597031</t>
  </si>
  <si>
    <t>0.5910901994312006</t>
  </si>
  <si>
    <t>-0.7544007694574001</t>
  </si>
  <si>
    <t>0.7073505021891692</t>
  </si>
  <si>
    <t>0.18446061831147137</t>
  </si>
  <si>
    <t>1.017191220985205</t>
  </si>
  <si>
    <t>-0.33040970395839575</t>
  </si>
  <si>
    <t>-1.1614327768095194</t>
  </si>
  <si>
    <t>0.25305379859706306</t>
  </si>
  <si>
    <t>0.8724966469674331</t>
  </si>
  <si>
    <t>0.2989390819831994</t>
  </si>
  <si>
    <t>1.8174058068669372</t>
  </si>
  <si>
    <t>0.23284551700282025</t>
  </si>
  <si>
    <t>-0.12332632852835981</t>
  </si>
  <si>
    <t>0.04985408992257564</t>
  </si>
  <si>
    <t>0.01198461298755609</t>
  </si>
  <si>
    <t>0.4334847415194386</t>
  </si>
  <si>
    <t>-1.4614586830931366</t>
  </si>
  <si>
    <t>0.12312767993476827</t>
  </si>
  <si>
    <t>1.3836862006323398</t>
  </si>
  <si>
    <t>-1.1717093159910452</t>
  </si>
  <si>
    <t>-0.2730095055418905</t>
  </si>
  <si>
    <t>0.0812440643199913</t>
  </si>
  <si>
    <t>0.7823594303393102</t>
  </si>
  <si>
    <t>-0.756390345511391</t>
  </si>
  <si>
    <t>-0.3276484356256574</t>
  </si>
  <si>
    <t>0.20122785922938344</t>
  </si>
  <si>
    <t>0.5769149722071442</t>
  </si>
  <si>
    <t>0.9075759683016997</t>
  </si>
  <si>
    <t>0.7010560958049253</t>
  </si>
  <si>
    <t>-1.1782433417333167</t>
  </si>
  <si>
    <t>0.5946589424317504</t>
  </si>
  <si>
    <t>-0.3313346534739818</t>
  </si>
  <si>
    <t>1.5670750874629729</t>
  </si>
  <si>
    <t>-0.44075197931007415</t>
  </si>
  <si>
    <t>1.0529965174834615</t>
  </si>
  <si>
    <t>0.14063671913144796</t>
  </si>
  <si>
    <t>-0.550545869895331</t>
  </si>
  <si>
    <t>0.747290564702394</t>
  </si>
  <si>
    <t>-0.5120142660939152</t>
  </si>
  <si>
    <t>-0.2080721631308012</t>
  </si>
  <si>
    <t>2.810325077506498</t>
  </si>
  <si>
    <t>-0.22182993322856995</t>
  </si>
  <si>
    <t>1.5874947453232362</t>
  </si>
  <si>
    <t>0.24189462701003975</t>
  </si>
  <si>
    <t>-0.0874353715909049</t>
  </si>
  <si>
    <t>-0.10916268029900199</t>
  </si>
  <si>
    <t>-1.0218747490779156</t>
  </si>
  <si>
    <t>0.7841915052473839</t>
  </si>
  <si>
    <t>-0.2756615566824576</t>
  </si>
  <si>
    <t>-0.21145243933535599</t>
  </si>
  <si>
    <t>-0.7215958758226598</t>
  </si>
  <si>
    <t>-0.6982539405039683</t>
  </si>
  <si>
    <t>0.7021733509796689</t>
  </si>
  <si>
    <t>0.12090485650952972</t>
  </si>
  <si>
    <t>0.3609582713149023</t>
  </si>
  <si>
    <t>0.588202078137943</t>
  </si>
  <si>
    <t>-0.14221996348182878</t>
  </si>
  <si>
    <t>0.15787943357027243</t>
  </si>
  <si>
    <t>1.7101333114363249</t>
  </si>
  <si>
    <t>-0.15477016671070976</t>
  </si>
  <si>
    <t>-1.0367928808583051</t>
  </si>
  <si>
    <t>1.2230848532640846</t>
  </si>
  <si>
    <t>0.17612776155891074</t>
  </si>
  <si>
    <t>0.7702542241895453</t>
  </si>
  <si>
    <t>-0.15575684848048185</t>
  </si>
  <si>
    <t>0.5462845521980925</t>
  </si>
  <si>
    <t>0.6590780606721691</t>
  </si>
  <si>
    <t>-0.8804047277619537</t>
  </si>
  <si>
    <t>-0.06358401495651801</t>
  </si>
  <si>
    <t>0.17604803737426905</t>
  </si>
  <si>
    <t>1.622671448037767</t>
  </si>
  <si>
    <t>0.48800409772332864</t>
  </si>
  <si>
    <t>1.0747525550960024</t>
  </si>
  <si>
    <t>0.8638626723074534</t>
  </si>
  <si>
    <t>0.5575529315485025</t>
  </si>
  <si>
    <t>-0.33159663197916106</t>
  </si>
  <si>
    <t>-0.08320084686603985</t>
  </si>
  <si>
    <t>-0.2545013339044305</t>
  </si>
  <si>
    <t>-0.4864671140769771</t>
  </si>
  <si>
    <t>0.12261758169097131</t>
  </si>
  <si>
    <t>-1.1571311521805512</t>
  </si>
  <si>
    <t>-0.3312846529790316</t>
  </si>
  <si>
    <t>0.42154689943528506</t>
  </si>
  <si>
    <t>-0.18652765094366158</t>
  </si>
  <si>
    <t>-0.9067515141793409</t>
  </si>
  <si>
    <t>0.05455311980967606</t>
  </si>
  <si>
    <t>0.3786568925135295</t>
  </si>
  <si>
    <t>0.6042661327353003</t>
  </si>
  <si>
    <t>-0.19627653677581416</t>
  </si>
  <si>
    <t>0.573734654737156</t>
  </si>
  <si>
    <t>0.2977295795177121</t>
  </si>
  <si>
    <t>0.18530374069785124</t>
  </si>
  <si>
    <t>0.18423148495058364</t>
  </si>
  <si>
    <t>-0.3148728565394365</t>
  </si>
  <si>
    <t>1.0118027305361688</t>
  </si>
  <si>
    <t>-1.132829893484579</t>
  </si>
  <si>
    <t>-0.20850225933765437</t>
  </si>
  <si>
    <t>-0.5926489843403738</t>
  </si>
  <si>
    <t>0.2700035323413786</t>
  </si>
  <si>
    <t>0.8575733970241533</t>
  </si>
  <si>
    <t>-0.4600311807511095</t>
  </si>
  <si>
    <t>-0.3988823294509128</t>
  </si>
  <si>
    <t>0.14505917470569032</t>
  </si>
  <si>
    <t>0.05744789259686712</t>
  </si>
  <si>
    <t>-0.004738897064052121</t>
  </si>
  <si>
    <t>0.6785974883476189</t>
  </si>
  <si>
    <t>-0.06719458703994184</t>
  </si>
  <si>
    <t>0.19482884651677015</t>
  </si>
  <si>
    <t>-0.10670961570672882</t>
  </si>
  <si>
    <t>-0.45799898433139746</t>
  </si>
  <si>
    <t>1.371972609167666</t>
  </si>
  <si>
    <t>-1.056339056477826</t>
  </si>
  <si>
    <t>0.5598920751083467</t>
  </si>
  <si>
    <t>0.09872163879390045</t>
  </si>
  <si>
    <t>-0.33985840601019257</t>
  </si>
  <si>
    <t>0.34753752370357277</t>
  </si>
  <si>
    <t>0.986931973789706</t>
  </si>
  <si>
    <t>1.2701469269403072</t>
  </si>
  <si>
    <t>0.14020035149732327</t>
  </si>
  <si>
    <t>-0.9634073553177688</t>
  </si>
  <si>
    <t>0.809025794159709</t>
  </si>
  <si>
    <t>1.4325421450965423</t>
  </si>
  <si>
    <t>0.2667695550823011</t>
  </si>
  <si>
    <t>-0.3354575850423763</t>
  </si>
  <si>
    <t>-1.2604775036869358</t>
  </si>
  <si>
    <t>-0.5132546806451073</t>
  </si>
  <si>
    <t>-1.178541818100481</t>
  </si>
  <si>
    <t>0.9972321249234045</t>
  </si>
  <si>
    <t>-2.0798320924606086</t>
  </si>
  <si>
    <t>1.0599185463390353</t>
  </si>
  <si>
    <t>-1.140324021826787</t>
  </si>
  <si>
    <t>-0.4940765617741982</t>
  </si>
  <si>
    <t>0.43047135165410905</t>
  </si>
  <si>
    <t>-0.9205429863282301</t>
  </si>
  <si>
    <t>1.000821879748251</t>
  </si>
  <si>
    <t>0.07571703634923362</t>
  </si>
  <si>
    <t>0.16020259030329712</t>
  </si>
  <si>
    <t>-0.5800018317286814</t>
  </si>
  <si>
    <t>0.011641950974130498</t>
  </si>
  <si>
    <t>-0.4408732341241186</t>
  </si>
  <si>
    <t>0.36155741271466</t>
  </si>
  <si>
    <t>0.051014478255635626</t>
  </si>
  <si>
    <t>0.4134871715900552</t>
  </si>
  <si>
    <t>0.22997358965772796</t>
  </si>
  <si>
    <t>-0.7164935569302499</t>
  </si>
  <si>
    <t>-0.3384911238025892</t>
  </si>
  <si>
    <t>0.4653330169569155</t>
  </si>
  <si>
    <t>0.36624803048680876</t>
  </si>
  <si>
    <t>0.25430469380263604</t>
  </si>
  <si>
    <t>-1.2331461628222549</t>
  </si>
  <si>
    <t>-1.1190844945782128</t>
  </si>
  <si>
    <t>0.6055192872000428</t>
  </si>
  <si>
    <t>0.2589826946753449</t>
  </si>
  <si>
    <t>0.21032707979618628</t>
  </si>
  <si>
    <t>-1.162567765241628</t>
  </si>
  <si>
    <t>1.464429604949294</t>
  </si>
  <si>
    <t>0.356019027044858</t>
  </si>
  <si>
    <t>-2.41565973293594</t>
  </si>
  <si>
    <t>0.3847341261591398</t>
  </si>
  <si>
    <t>-1.4453695216042974</t>
  </si>
  <si>
    <t>-0.304622209096531</t>
  </si>
  <si>
    <t>-0.3837314508576662</t>
  </si>
  <si>
    <t>-0.776085918672547</t>
  </si>
  <si>
    <t>1.6014234957788316</t>
  </si>
  <si>
    <t>1.1701036987182474</t>
  </si>
  <si>
    <t>1.045083891079906</t>
  </si>
  <si>
    <t>0.39541181215561844</t>
  </si>
  <si>
    <t>-1.0178119537124783</t>
  </si>
  <si>
    <t>0.176508611858208</t>
  </si>
  <si>
    <t>-0.34206298133568436</t>
  </si>
  <si>
    <t>-0.6619033483679398</t>
  </si>
  <si>
    <t>-1.1876923978649603</t>
  </si>
  <si>
    <t>0.9548306176578429</t>
  </si>
  <si>
    <t>-0.04265230609566725</t>
  </si>
  <si>
    <t>-0.9337784018088312</t>
  </si>
  <si>
    <t>1.1913250201000989</t>
  </si>
  <si>
    <t>-0.10325968194150935</t>
  </si>
  <si>
    <t>0.350107653993194</t>
  </si>
  <si>
    <t>-0.4669891393989046</t>
  </si>
  <si>
    <t>-0.9471451388985531</t>
  </si>
  <si>
    <t>1.5373336794069707</t>
  </si>
  <si>
    <t>0.43576620857416065</t>
  </si>
  <si>
    <t>-0.5262387492789233</t>
  </si>
  <si>
    <t>-0.5247429015892519</t>
  </si>
  <si>
    <t>-1.5510851998808548</t>
  </si>
  <si>
    <t>0.46632499777374686</t>
  </si>
  <si>
    <t>-0.5314923229131351</t>
  </si>
  <si>
    <t>-0.8181182847068629</t>
  </si>
  <si>
    <t>-1.4982707491172247</t>
  </si>
  <si>
    <t>2.550618710225126</t>
  </si>
  <si>
    <t>0.7522800265594637</t>
  </si>
  <si>
    <t>-1.29138666858186</t>
  </si>
  <si>
    <t>-0.2513449933663158</t>
  </si>
  <si>
    <t>1.3432081529832123</t>
  </si>
  <si>
    <t>-1.2947939029511635</t>
  </si>
  <si>
    <t>-0.3406053521752908</t>
  </si>
  <si>
    <t>0.7116071738793847</t>
  </si>
  <si>
    <t>0.9298461377797586</t>
  </si>
  <si>
    <t>1.345031007649744</t>
  </si>
  <si>
    <t>0.13134163037162933</t>
  </si>
  <si>
    <t>-0.1114656684258922</t>
  </si>
  <si>
    <t>2.249213150311076</t>
  </si>
  <si>
    <t>0.8329336746035467</t>
  </si>
  <si>
    <t>0.1726762427858782</t>
  </si>
  <si>
    <t>1.4986243028420145</t>
  </si>
  <si>
    <t>0.43345186289361587</t>
  </si>
  <si>
    <t>0.4524411685584718</t>
  </si>
  <si>
    <t>-0.07313244177962427</t>
  </si>
  <si>
    <t>0.4308714624023202</t>
  </si>
  <si>
    <t>1.8992608553350456</t>
  </si>
  <si>
    <t>-1.327691769831762</t>
  </si>
  <si>
    <t>-0.5663613162698812</t>
  </si>
  <si>
    <t>0.8262478690495417</t>
  </si>
  <si>
    <t>0.46741444898866297</t>
  </si>
  <si>
    <t>-0.41551935214900526</t>
  </si>
  <si>
    <t>0.7904425074024392</t>
  </si>
  <si>
    <t>0.12729384308291009</t>
  </si>
  <si>
    <t>0.45633381416891605</t>
  </si>
  <si>
    <t>0.5976663808328795</t>
  </si>
  <si>
    <t>0.09820090414973238</t>
  </si>
  <si>
    <t>-0.45974573006949043</t>
  </si>
  <si>
    <t>-0.11460782168625828</t>
  </si>
  <si>
    <t>-1.462930351070627</t>
  </si>
  <si>
    <t>0.18158878131319237</t>
  </si>
  <si>
    <t>-1.210694755203017</t>
  </si>
  <si>
    <t>-1.181437683831506</t>
  </si>
  <si>
    <t>-0.08284082709987055</t>
  </si>
  <si>
    <t>0.162536428988128</t>
  </si>
  <si>
    <t>-0.3714701814286841</t>
  </si>
  <si>
    <t>1.3446922928906877</t>
  </si>
  <si>
    <t>-1.3333312756413407</t>
  </si>
  <si>
    <t>-0.1456556808484595</t>
  </si>
  <si>
    <t>-1.4883586758947098</t>
  </si>
  <si>
    <t>0.35557218844915767</t>
  </si>
  <si>
    <t>-0.567801619150052</t>
  </si>
  <si>
    <t>0.6994147699071175</t>
  </si>
  <si>
    <t>-0.7234003053514877</t>
  </si>
  <si>
    <t>0.2666070920382843</t>
  </si>
  <si>
    <t>-0.3004408123112168</t>
  </si>
  <si>
    <t>1.0330754487845852</t>
  </si>
  <si>
    <t>-1.0817413011774406</t>
  </si>
  <si>
    <t>0.8492784212076726</t>
  </si>
  <si>
    <t>0.6575391890235698</t>
  </si>
  <si>
    <t>0.9898025593826347</t>
  </si>
  <si>
    <t>-0.47235182286484767</t>
  </si>
  <si>
    <t>0.022828752812506157</t>
  </si>
  <si>
    <t>0.8770138520024489</t>
  </si>
  <si>
    <t>-0.03666178406112397</t>
  </si>
  <si>
    <t>0.14922245354447197</t>
  </si>
  <si>
    <t>0.35185626445425033</t>
  </si>
  <si>
    <t>-0.29259423212705993</t>
  </si>
  <si>
    <t>-0.372733225198616</t>
  </si>
  <si>
    <t>-0.5103746668331209</t>
  </si>
  <si>
    <t>0.1268824839205993</t>
  </si>
  <si>
    <t>-0.04251081834169522</t>
  </si>
  <si>
    <t>0.00755784985564677</t>
  </si>
  <si>
    <t>-0.17405517968117032</t>
  </si>
  <si>
    <t>-0.7148040883410249</t>
  </si>
  <si>
    <t>-0.3252352853022254</t>
  </si>
  <si>
    <t>-0.7151581588926605</t>
  </si>
  <si>
    <t>0.8799196107169114</t>
  </si>
  <si>
    <t>-0.47231840680815973</t>
  </si>
  <si>
    <t>0.3218638470695389</t>
  </si>
  <si>
    <t>-0.9588945081810548</t>
  </si>
  <si>
    <t>-0.25280463455486013</t>
  </si>
  <si>
    <t>-1.6183107573633875</t>
  </si>
  <si>
    <t>1.0764372652398448</t>
  </si>
  <si>
    <t>-0.05011151749506677</t>
  </si>
  <si>
    <t>-0.24660267629593052</t>
  </si>
  <si>
    <t>-0.14152976377729343</t>
  </si>
  <si>
    <t>-0.48120053030025794</t>
  </si>
  <si>
    <t>2.3769376201465096</t>
  </si>
  <si>
    <t>-0.4374737552578168</t>
  </si>
  <si>
    <t>0.8135802315949462</t>
  </si>
  <si>
    <t>-0.23268815898447961</t>
  </si>
  <si>
    <t>-0.6360858171736159</t>
  </si>
  <si>
    <t>-0.6103204353567145</t>
  </si>
  <si>
    <t>0.7256830379401499</t>
  </si>
  <si>
    <t>-1.04520857251418</t>
  </si>
  <si>
    <t>-0.9245654333301809</t>
  </si>
  <si>
    <t>0.9776725371599989</t>
  </si>
  <si>
    <t>0.03754619142999804</t>
  </si>
  <si>
    <t>-1.218578009729728</t>
  </si>
  <si>
    <t>-0.5690672209744043</t>
  </si>
  <si>
    <t>-0.09924407537199705</t>
  </si>
  <si>
    <t>0.3049583898325736</t>
  </si>
  <si>
    <t>-0.1473127064166254</t>
  </si>
  <si>
    <t>0.9062335108842213</t>
  </si>
  <si>
    <t>-0.033143224213698544</t>
  </si>
  <si>
    <t>0.0500813934167359</t>
  </si>
  <si>
    <t>-0.46619186681392183</t>
  </si>
  <si>
    <t>0.5633133943860814</t>
  </si>
  <si>
    <t>-0.0795719643111023</t>
  </si>
  <si>
    <t>-0.9014681867650949</t>
  </si>
  <si>
    <t>0.4280235303338452</t>
  </si>
  <si>
    <t>-0.9274635864892559</t>
  </si>
  <si>
    <t>-0.05086028602001954</t>
  </si>
  <si>
    <t>0.1090753954958754</t>
  </si>
  <si>
    <t>0.0740410441311665</t>
  </si>
  <si>
    <t>-0.470004307159678</t>
  </si>
  <si>
    <t>-0.6530576973854051</t>
  </si>
  <si>
    <t>-0.1587168836766182</t>
  </si>
  <si>
    <t>-1.38697460985764</t>
  </si>
  <si>
    <t>0.6683595027068449</t>
  </si>
  <si>
    <t>0.3399075641368962</t>
  </si>
  <si>
    <t>-0.7036739719000957</t>
  </si>
  <si>
    <t>-0.44763800760777733</t>
  </si>
  <si>
    <t>0.4629250820274862</t>
  </si>
  <si>
    <t>-0.5702811537963016</t>
  </si>
  <si>
    <t>-0.21705136776391443</t>
  </si>
  <si>
    <t>0.683681555879191</t>
  </si>
  <si>
    <t>-1.078455170338821</t>
  </si>
  <si>
    <t>0.3708467669667882</t>
  </si>
  <si>
    <t>0.3310873609232391</t>
  </si>
  <si>
    <t>0.03934823803787705</t>
  </si>
  <si>
    <t>1.6926916583616363</t>
  </si>
  <si>
    <t>0.360208423071448</t>
  </si>
  <si>
    <t>0.71705485166164</t>
  </si>
  <si>
    <t>0.6436152124891449</t>
  </si>
  <si>
    <t>-0.8661240418536506</t>
  </si>
  <si>
    <t>-0.049693182270341724</t>
  </si>
  <si>
    <t>0.07387014064165004</t>
  </si>
  <si>
    <t>-1.5615961508688052</t>
  </si>
  <si>
    <t>1.3695596869760933</t>
  </si>
  <si>
    <t>0.7587889735461367</t>
  </si>
  <si>
    <t>0.8188777068979567</t>
  </si>
  <si>
    <t>-0.535043797337344</t>
  </si>
  <si>
    <t>-0.32008556028568186</t>
  </si>
  <si>
    <t>0.050156124939361196</t>
  </si>
  <si>
    <t>-0.8677985688402244</t>
  </si>
  <si>
    <t>0.6899969055745196</t>
  </si>
  <si>
    <t>-0.33427281856662744</t>
  </si>
  <si>
    <t>-0.6504695656371919</t>
  </si>
  <si>
    <t>-1.5190765880205916</t>
  </si>
  <si>
    <t>0.4159776386689046</t>
  </si>
  <si>
    <t>0.47579022872843485</t>
  </si>
  <si>
    <t>0.3326658153459765</t>
  </si>
  <si>
    <t>0.2747151224837343</t>
  </si>
  <si>
    <t>1.8585224762798709</t>
  </si>
  <si>
    <t>-0.9876893935424251</t>
  </si>
  <si>
    <t>-0.06098784507439607</t>
  </si>
  <si>
    <t>-0.08464264122612278</t>
  </si>
  <si>
    <t>-0.09862159267854877</t>
  </si>
  <si>
    <t>0.08821156233333037</t>
  </si>
  <si>
    <t>-0.27241885288992823</t>
  </si>
  <si>
    <t>-0.6457537141578169</t>
  </si>
  <si>
    <t>0.36409718262477003</t>
  </si>
  <si>
    <t>-0.7552770312435507</t>
  </si>
  <si>
    <t>0.7136600659757467</t>
  </si>
  <si>
    <t>0.014887342802716735</t>
  </si>
  <si>
    <t>-0.4012226952436467</t>
  </si>
  <si>
    <t>0.11469256900964303</t>
  </si>
  <si>
    <t>-0.14192200524151286</t>
  </si>
  <si>
    <t>-0.5924380257187154</t>
  </si>
  <si>
    <t>-0.11157310929342094</t>
  </si>
  <si>
    <t>-0.5303567024667305</t>
  </si>
  <si>
    <t>-0.5074707531420051</t>
  </si>
  <si>
    <t>-1.8931316386043313</t>
  </si>
  <si>
    <t>0.09427270549914234</t>
  </si>
  <si>
    <t>-0.04735233759877725</t>
  </si>
  <si>
    <t>-0.055305389233342404</t>
  </si>
  <si>
    <t>-0.38269949323237945</t>
  </si>
  <si>
    <t>0.5117341362722669</t>
  </si>
  <si>
    <t>-0.690155603006755</t>
  </si>
  <si>
    <t>-0.5724982170112656</t>
  </si>
  <si>
    <t>0.4396042929318909</t>
  </si>
  <si>
    <t>-1.8548518659063493</t>
  </si>
  <si>
    <t>1.6451138523628168</t>
  </si>
  <si>
    <t>-0.685061864081951</t>
  </si>
  <si>
    <t>0.6144924572543976</t>
  </si>
  <si>
    <t>-0.2504515910943319</t>
  </si>
  <si>
    <t>0.7300287356824273</t>
  </si>
  <si>
    <t>-0.41183705365910267</t>
  </si>
  <si>
    <t>0.22177631891873037</t>
  </si>
  <si>
    <t>0.12951626102656466</t>
  </si>
  <si>
    <t>-0.3360064051020341</t>
  </si>
  <si>
    <t>-0.11292307619318878</t>
  </si>
  <si>
    <t>0.024259759151725187</t>
  </si>
  <si>
    <t>-1.0066320690964858</t>
  </si>
  <si>
    <t>-0.47842986405881366</t>
  </si>
  <si>
    <t>-0.07237229089674911</t>
  </si>
  <si>
    <t>0.7594367594414752</t>
  </si>
  <si>
    <t>-1.1343528544966566</t>
  </si>
  <si>
    <t>-1.4698518181711042</t>
  </si>
  <si>
    <t>-0.3249636633138188</t>
  </si>
  <si>
    <t>0.7541757488860659</t>
  </si>
  <si>
    <t>-1.7197229957400706</t>
  </si>
  <si>
    <t>-0.6810084692828136</t>
  </si>
  <si>
    <t>-0.22470978115837822</t>
  </si>
  <si>
    <t>-0.6344733814317086</t>
  </si>
  <si>
    <t>0.4165550074211434</t>
  </si>
  <si>
    <t>0.10955095887500786</t>
  </si>
  <si>
    <t>-0.12053174789363408</t>
  </si>
  <si>
    <t>0.4752021822266183</t>
  </si>
  <si>
    <t>-0.18800943988023983</t>
  </si>
  <si>
    <t>0.2209304271794906</t>
  </si>
  <si>
    <t>-0.03771795750549229</t>
  </si>
  <si>
    <t>-0.1427001883187005</t>
  </si>
  <si>
    <t>-0.09094188050380755</t>
  </si>
  <si>
    <t>-0.8566926026819449</t>
  </si>
  <si>
    <t>0.05648674349132138</t>
  </si>
  <si>
    <t>1.1450470134137014</t>
  </si>
  <si>
    <t>-0.655425142043279</t>
  </si>
  <si>
    <t>-1.109528731964377</t>
  </si>
  <si>
    <t>0.22163222069234012</t>
  </si>
  <si>
    <t>0.3710953641541562</t>
  </si>
  <si>
    <t>-0.5147275920619216</t>
  </si>
  <si>
    <t>1.2835139317829591</t>
  </si>
  <si>
    <t>-0.6302146128462504</t>
  </si>
  <si>
    <t>-0.7700649063100719</t>
  </si>
  <si>
    <t>-0.3482596594399177</t>
  </si>
  <si>
    <t>0.14596025157575737</t>
  </si>
  <si>
    <t>0.6081906960766222</t>
  </si>
  <si>
    <t>0.4690735464854246</t>
  </si>
  <si>
    <t>-0.12072965704118616</t>
  </si>
  <si>
    <t>-0.34964220722938066</t>
  </si>
  <si>
    <t>0.2045331403012486</t>
  </si>
  <si>
    <t>0.16738599365336262</t>
  </si>
  <si>
    <t>-0.3892976000543647</t>
  </si>
  <si>
    <t>0.8791801223644686</t>
  </si>
  <si>
    <t>-0.9575733633270994</t>
  </si>
  <si>
    <t>0.6472233414104738</t>
  </si>
  <si>
    <t>-0.2621605083358116</t>
  </si>
  <si>
    <t>-0.15360437773077326</t>
  </si>
  <si>
    <t>-0.26223107244078403</t>
  </si>
  <si>
    <t>0.4290910298245872</t>
  </si>
  <si>
    <t>-0.11491805904855765</t>
  </si>
  <si>
    <t>0.38170491372226906</t>
  </si>
  <si>
    <t>0.05179032826899036</t>
  </si>
  <si>
    <t>0.24805442205214337</t>
  </si>
  <si>
    <t>-0.20068570764853555</t>
  </si>
  <si>
    <t>-0.5843421905576118</t>
  </si>
  <si>
    <t>0.893439271595104</t>
  </si>
  <si>
    <t>-0.7431054026369276</t>
  </si>
  <si>
    <t>-0.2353304947906355</t>
  </si>
  <si>
    <t>0.3221980413716849</t>
  </si>
  <si>
    <t>0.06088376784684313</t>
  </si>
  <si>
    <t>0.10752983251189373</t>
  </si>
  <si>
    <t>0.5005474700510276</t>
  </si>
  <si>
    <t>0.07854648359703657</t>
  </si>
  <si>
    <t>0.9478573825382484</t>
  </si>
  <si>
    <t>-0.6182191667990865</t>
  </si>
  <si>
    <t>-0.18580929479466407</t>
  </si>
  <si>
    <t>-0.5367374038248726</t>
  </si>
  <si>
    <t>0.04665761083013371</t>
  </si>
  <si>
    <t>-0.401831095647723</t>
  </si>
  <si>
    <t>0.1383569899765221</t>
  </si>
  <si>
    <t>0.0909362087708088</t>
  </si>
  <si>
    <t>-0.12924438655360804</t>
  </si>
  <si>
    <t>-0.12455270038485337</t>
  </si>
  <si>
    <t>0.5229107197631068</t>
  </si>
  <si>
    <t>-0.5971290637246731</t>
  </si>
  <si>
    <t>-0.18919966761085805</t>
  </si>
  <si>
    <t>-0.7540988788690273</t>
  </si>
  <si>
    <t>0.09483726380581121</t>
  </si>
  <si>
    <t>0.45927700555230766</t>
  </si>
  <si>
    <t>-0.9034606398128133</t>
  </si>
  <si>
    <t>-0.37527948784799076</t>
  </si>
  <si>
    <t>-0.28711607269245426</t>
  </si>
  <si>
    <t>1.040422779707648</t>
  </si>
  <si>
    <t>-0.9958487629078503</t>
  </si>
  <si>
    <t>3.5953978240832662</t>
  </si>
  <si>
    <t>-0.9473314480891046</t>
  </si>
  <si>
    <t>0.937531306780517</t>
  </si>
  <si>
    <t>-1.0562013914537713</t>
  </si>
  <si>
    <t>1.7321416767015507</t>
  </si>
  <si>
    <t>0.19456863904522192</t>
  </si>
  <si>
    <t>0.2983729774753892</t>
  </si>
  <si>
    <t>0.6310156471375019</t>
  </si>
  <si>
    <t>-0.5670587862540412</t>
  </si>
  <si>
    <t>-0.44125608406728456</t>
  </si>
  <si>
    <t>-1.3265894563535183</t>
  </si>
  <si>
    <t>0.07995414171364644</t>
  </si>
  <si>
    <t>-0.32705944162356376</t>
  </si>
  <si>
    <t>0.4002500169641042</t>
  </si>
  <si>
    <t>-0.11279163830922727</t>
  </si>
  <si>
    <t>-0.3059308194291604</t>
  </si>
  <si>
    <t>-0.2811692409255444</t>
  </si>
  <si>
    <t>-0.8354594952215888</t>
  </si>
  <si>
    <t>-0.18024393440076292</t>
  </si>
  <si>
    <t>-0.17254931248390132</t>
  </si>
  <si>
    <t>-0.08145513235975683</t>
  </si>
  <si>
    <t>0.37269812362282695</t>
  </si>
  <si>
    <t>0.3517337174597824</t>
  </si>
  <si>
    <t>-0.34726943048094755</t>
  </si>
  <si>
    <t>0.08834843010870627</t>
  </si>
  <si>
    <t>0.15177529765862843</t>
  </si>
  <si>
    <t>-0.8233186720032301</t>
  </si>
  <si>
    <t>-0.013208071055415703</t>
  </si>
  <si>
    <t>-0.18174467721385357</t>
  </si>
  <si>
    <t>-0.5177893075900057</t>
  </si>
  <si>
    <t>-0.5405572442742522</t>
  </si>
  <si>
    <t>0.4298556682611433</t>
  </si>
  <si>
    <t>0.4102948945103129</t>
  </si>
  <si>
    <t>1.4119327255975487</t>
  </si>
  <si>
    <t>-0.08597106868273578</t>
  </si>
  <si>
    <t>-0.04557686699369531</t>
  </si>
  <si>
    <t>0.6148202033005906</t>
  </si>
  <si>
    <t>-0.399494856120444</t>
  </si>
  <si>
    <t>-0.8413080540693773</t>
  </si>
  <si>
    <t>-0.20776554701073807</t>
  </si>
  <si>
    <t>0.317406636030324</t>
  </si>
  <si>
    <t>-0.10197600490010429</t>
  </si>
  <si>
    <t>0.24797198556638286</t>
  </si>
  <si>
    <t>-0.2725539158551721</t>
  </si>
  <si>
    <t>-0.33186268698890486</t>
  </si>
  <si>
    <t>0.3990465324668214</t>
  </si>
  <si>
    <t>-0.19386014063651158</t>
  </si>
  <si>
    <t>-0.6715452763301833</t>
  </si>
  <si>
    <t>-1.1312726882150084</t>
  </si>
  <si>
    <t>-0.16920905642899564</t>
  </si>
  <si>
    <t>-0.7130903009498982</t>
  </si>
  <si>
    <t>0.5606228462442869</t>
  </si>
  <si>
    <t>0.31026718701442313</t>
  </si>
  <si>
    <t>-0.1519409702551852</t>
  </si>
  <si>
    <t>0.2295528369376736</t>
  </si>
  <si>
    <t>-0.0008575269086982629</t>
  </si>
  <si>
    <t>-0.8543610610159651</t>
  </si>
  <si>
    <t>0.16414770623348446</t>
  </si>
  <si>
    <t>-0.1562282265825975</t>
  </si>
  <si>
    <t>-0.5285251994937323</t>
  </si>
  <si>
    <t>0.20429739730321675</t>
  </si>
  <si>
    <t>1.7755893490270185</t>
  </si>
  <si>
    <t>-0.4962840712513515</t>
  </si>
  <si>
    <t>-0.5684317509587364</t>
  </si>
  <si>
    <t>0.5026102359560363</t>
  </si>
  <si>
    <t>-0.3150579083847999</t>
  </si>
  <si>
    <t>-0.7498609913925139</t>
  </si>
  <si>
    <t>0.9553095618714832</t>
  </si>
  <si>
    <t>0.22026833490630116</t>
  </si>
  <si>
    <t>-0.15044090528904872</t>
  </si>
  <si>
    <t>0.9672282736455048</t>
  </si>
  <si>
    <t>-0.3565982240834656</t>
  </si>
  <si>
    <t>0.4273534759788215</t>
  </si>
  <si>
    <t>-0.03719396759612585</t>
  </si>
  <si>
    <t>0.7727397427736872</t>
  </si>
  <si>
    <t>0.003433338942380485</t>
  </si>
  <si>
    <t>1.059063989694887</t>
  </si>
  <si>
    <t>0.9962657165191313</t>
  </si>
  <si>
    <t>0.2023875653796963</t>
  </si>
  <si>
    <t>-2.1945359313204365</t>
  </si>
  <si>
    <t>-0.029051393921922</t>
  </si>
  <si>
    <t>-0.5664290047235259</t>
  </si>
  <si>
    <t>0.9539925026300693</t>
  </si>
  <si>
    <t>0.1478926964034915</t>
  </si>
  <si>
    <t>-0.21188545445174853</t>
  </si>
  <si>
    <t>0.17738330764855217</t>
  </si>
  <si>
    <t>0.5492253820111503</t>
  </si>
  <si>
    <t>0.9478115494014848</t>
  </si>
  <si>
    <t>0.294449268978242</t>
  </si>
  <si>
    <t>0.2728776190420689</t>
  </si>
  <si>
    <t>-0.43148617956894847</t>
  </si>
  <si>
    <t>0.785619523493273</t>
  </si>
  <si>
    <t>-0.3302630143660972</t>
  </si>
  <si>
    <t>-0.1165899614406585</t>
  </si>
  <si>
    <t>-0.17725586317886075</t>
  </si>
  <si>
    <t>-0.32372041901333576</t>
  </si>
  <si>
    <t>0.9032321532865318</t>
  </si>
  <si>
    <t>-1.422550494484907</t>
  </si>
  <si>
    <t>-0.5111366218964571</t>
  </si>
  <si>
    <t>0.28628818039988857</t>
  </si>
  <si>
    <t>-0.33292313537155666</t>
  </si>
  <si>
    <t>0.5939409461524208</t>
  </si>
  <si>
    <t>-0.7158718652048784</t>
  </si>
  <si>
    <t>0.23679113076246083</t>
  </si>
  <si>
    <t>0.4710993478930698</t>
  </si>
  <si>
    <t>-0.20449880464797635</t>
  </si>
  <si>
    <t>-0.0209835523532968</t>
  </si>
  <si>
    <t>-0.43562117893774766</t>
  </si>
  <si>
    <t>0.4487902557640625</t>
  </si>
  <si>
    <t>-0.27323012146705705</t>
  </si>
  <si>
    <t>0.8391116359463587</t>
  </si>
  <si>
    <t>0.6706012043670482</t>
  </si>
  <si>
    <t>-0.10672403545095771</t>
  </si>
  <si>
    <t>0.08185775204341719</t>
  </si>
  <si>
    <t>0.41583496058398295</t>
  </si>
  <si>
    <t>-0.44175864324171754</t>
  </si>
  <si>
    <t>-0.8267793303448986</t>
  </si>
  <si>
    <t>-0.016880713922396734</t>
  </si>
  <si>
    <t>0.8814809264222003</t>
  </si>
  <si>
    <t>-0.16669779242955984</t>
  </si>
  <si>
    <t>0.3065273029377145</t>
  </si>
  <si>
    <t>-0.39598417534255315</t>
  </si>
  <si>
    <t>0.6621120985196439</t>
  </si>
  <si>
    <t>-0.10757651305146518</t>
  </si>
  <si>
    <t>0.4431539373940496</t>
  </si>
  <si>
    <t>-0.2632020369856899</t>
  </si>
  <si>
    <t>-0.13205191299190422</t>
  </si>
  <si>
    <t>-0.022366327715147565</t>
  </si>
  <si>
    <t>-0.17712405014694768</t>
  </si>
  <si>
    <t>-1.361941773551424</t>
  </si>
  <si>
    <t>0.620917818005152</t>
  </si>
  <si>
    <t>-0.1635693573234393</t>
  </si>
  <si>
    <t>-0.1895999667210585</t>
  </si>
  <si>
    <t>-2.0962478140465146</t>
  </si>
  <si>
    <t>0.19666280647004888</t>
  </si>
  <si>
    <t>0.7755403252492417</t>
  </si>
  <si>
    <t>-0.8116072183510414</t>
  </si>
  <si>
    <t>-0.018847147678627902</t>
  </si>
  <si>
    <t>-1.0940398747927522</t>
  </si>
  <si>
    <t>-0.04110775887494143</t>
  </si>
  <si>
    <t>-0.8309696383731291</t>
  </si>
  <si>
    <t>-1.1297269921340032</t>
  </si>
  <si>
    <t>1.6050673815218337</t>
  </si>
  <si>
    <t>1.1921325734324868</t>
  </si>
  <si>
    <t>0.40089681599280724</t>
  </si>
  <si>
    <t>-0.9194586838323908</t>
  </si>
  <si>
    <t>3.195395031747286</t>
  </si>
  <si>
    <t>1.3053562657569637</t>
  </si>
  <si>
    <t>-3.2685650021714365</t>
  </si>
  <si>
    <t>1.3671160751110345</t>
  </si>
  <si>
    <t>0.20596155627801227</t>
  </si>
  <si>
    <t>-0.4161763787279391</t>
  </si>
  <si>
    <t>0.951235138588775</t>
  </si>
  <si>
    <t>0.8528821172939812</t>
  </si>
  <si>
    <t>-0.06808274943125224</t>
  </si>
  <si>
    <t>-1.898386582298614</t>
  </si>
  <si>
    <t>0.11115420055128919</t>
  </si>
  <si>
    <t>1.7813055677129617</t>
  </si>
  <si>
    <t>2.8108777521109354</t>
  </si>
  <si>
    <t>-1.96311974432706</t>
  </si>
  <si>
    <t>0.32159334462717265</t>
  </si>
  <si>
    <t>-1.1187041741433215</t>
  </si>
  <si>
    <t>0.3422783458072265</t>
  </si>
  <si>
    <t>-0.3285420934013709</t>
  </si>
  <si>
    <t>0.6919643961874025</t>
  </si>
  <si>
    <t>0.3693983774732488</t>
  </si>
  <si>
    <t>1.8735018374881518</t>
  </si>
  <si>
    <t>-3.2638142550600926</t>
  </si>
  <si>
    <t>3.0934537659125922</t>
  </si>
  <si>
    <t>-0.9607284602426696</t>
  </si>
  <si>
    <t>-0.9556735848846815</t>
  </si>
  <si>
    <t>0.5732059048038458</t>
  </si>
  <si>
    <t>1.169925109939824</t>
  </si>
  <si>
    <t>0.08148737380649161</t>
  </si>
  <si>
    <t>0.14143812342695278</t>
  </si>
  <si>
    <t>-1.4848592345622735</t>
  </si>
  <si>
    <t>-1.254141090653331</t>
  </si>
  <si>
    <t>0.7937539394937427</t>
  </si>
  <si>
    <t>0.35626488466910733</t>
  </si>
  <si>
    <t>0.8209018063894988</t>
  </si>
  <si>
    <t>1.2766687681486883</t>
  </si>
  <si>
    <t>-2.368493673778602</t>
  </si>
  <si>
    <t>0.05789200216593606</t>
  </si>
  <si>
    <t>-0.21640495852482902</t>
  </si>
  <si>
    <t>0.35326750099124044</t>
  </si>
  <si>
    <t>0.07121655896046077</t>
  </si>
  <si>
    <t>-0.5702177663664877</t>
  </si>
  <si>
    <t>0.5145145552771442</t>
  </si>
  <si>
    <t>-0.230099006562269</t>
  </si>
  <si>
    <t>-0.14469671395533718</t>
  </si>
  <si>
    <t>-0.5798208140968066</t>
  </si>
  <si>
    <t>-0.7001561242113674</t>
  </si>
  <si>
    <t>-0.6075447052170407</t>
  </si>
  <si>
    <t>0.48909185041209574</t>
  </si>
  <si>
    <t>-0.3831872533786343</t>
  </si>
  <si>
    <t>0.3606916034411149</t>
  </si>
  <si>
    <t>0.8253632490625544</t>
  </si>
  <si>
    <t>-1.6356057570936053</t>
  </si>
  <si>
    <t>2.063208142859246</t>
  </si>
  <si>
    <t>0.7713265628159354</t>
  </si>
  <si>
    <t>4.20532770849159</t>
  </si>
  <si>
    <t>0.15864365419018028</t>
  </si>
  <si>
    <t>-0.7928729569936889</t>
  </si>
  <si>
    <t>3.7970055209725997</t>
  </si>
  <si>
    <t>-0.5629416320046879</t>
  </si>
  <si>
    <t>-2.722814995159866</t>
  </si>
  <si>
    <t>0.23406223496156658</t>
  </si>
  <si>
    <t>-0.6071898937944107</t>
  </si>
  <si>
    <t>2.5855364581418896</t>
  </si>
  <si>
    <t>-1.4669202710490366</t>
  </si>
  <si>
    <t>0.5799644336804504</t>
  </si>
  <si>
    <t>-0.718360878883353</t>
  </si>
  <si>
    <t>1.0117691949188263</t>
  </si>
  <si>
    <t>0.43516453764341717</t>
  </si>
  <si>
    <t>1.0682463209520514</t>
  </si>
  <si>
    <t>-1.5047068411214684</t>
  </si>
  <si>
    <t>-0.384684822591195</t>
  </si>
  <si>
    <t>-0.39141049751592544</t>
  </si>
  <si>
    <t>0.011362382433336425</t>
  </si>
  <si>
    <t>0.3882850986199381</t>
  </si>
  <si>
    <t>0.6533606898377452</t>
  </si>
  <si>
    <t>0.34575360875031813</t>
  </si>
  <si>
    <t>-0.009217280516543896</t>
  </si>
  <si>
    <t>-0.1912376914052428</t>
  </si>
  <si>
    <t>-0.6510930341902883</t>
  </si>
  <si>
    <t>-0.6772269361053275</t>
  </si>
  <si>
    <t>0.22627689948020377</t>
  </si>
  <si>
    <t>0.5561453774343776</t>
  </si>
  <si>
    <t>0.10163778961148486</t>
  </si>
  <si>
    <t>2.920201343634569</t>
  </si>
  <si>
    <t>-2.5919454917198714</t>
  </si>
  <si>
    <t>-0.2259882452955468</t>
  </si>
  <si>
    <t>-0.6391994189759005</t>
  </si>
  <si>
    <t>1.212317738500342</t>
  </si>
  <si>
    <t>1.9180956043301258</t>
  </si>
  <si>
    <t>-0.6061381619461687</t>
  </si>
  <si>
    <t>1.4179607827773844</t>
  </si>
  <si>
    <t>-0.310137866138204</t>
  </si>
  <si>
    <t>-1.2092131293666368</t>
  </si>
  <si>
    <t>0.4661164077186028</t>
  </si>
  <si>
    <t>0.2987234873759131</t>
  </si>
  <si>
    <t>0.9236106048925166</t>
  </si>
  <si>
    <t>-1.2439616386165</t>
  </si>
  <si>
    <t>-2.2258924253644183</t>
  </si>
  <si>
    <t>-0.9188671767247308</t>
  </si>
  <si>
    <t>1.4446040187892293</t>
  </si>
  <si>
    <t>-0.3371348083970353</t>
  </si>
  <si>
    <t>-0.025665624900318762</t>
  </si>
  <si>
    <t>-0.5316144843055627</t>
  </si>
  <si>
    <t>-0.21463941880509624</t>
  </si>
  <si>
    <t>-0.6449796179003392</t>
  </si>
  <si>
    <t>-0.09791098526189718</t>
  </si>
  <si>
    <t>-0.5226725421919791</t>
  </si>
  <si>
    <t>-1.2414556434236053</t>
  </si>
  <si>
    <t>-1.2019515511467693</t>
  </si>
  <si>
    <t>0.5281961982929446</t>
  </si>
  <si>
    <t>-0.5379155519059419</t>
  </si>
  <si>
    <t>-0.3944467875696927</t>
  </si>
  <si>
    <t>-0.5357867395105622</t>
  </si>
  <si>
    <t>-0.41498800675612224</t>
  </si>
  <si>
    <t>0.31089510947855187</t>
  </si>
  <si>
    <t>0.03336329783138995</t>
  </si>
  <si>
    <t>-0.21119182516190915</t>
  </si>
  <si>
    <t>-0.22835346322542643</t>
  </si>
  <si>
    <t>-0.195014909373743</t>
  </si>
  <si>
    <t>-1.2175049226129115</t>
  </si>
  <si>
    <t>1.2781885160288633</t>
  </si>
  <si>
    <t>1.6010880907621625</t>
  </si>
  <si>
    <t>0.3397167049496084</t>
  </si>
  <si>
    <t>0.308339199842468</t>
  </si>
  <si>
    <t>-1.391907862136027</t>
  </si>
  <si>
    <t>1.879153985966305</t>
  </si>
  <si>
    <t>-1.3755115872675856</t>
  </si>
  <si>
    <t>-0.20605034298402897</t>
  </si>
  <si>
    <t>-0.30689991357035584</t>
  </si>
  <si>
    <t>-0.06610973560878954</t>
  </si>
  <si>
    <t>1.1634802553213437</t>
  </si>
  <si>
    <t>0.5667496438414779</t>
  </si>
  <si>
    <t>0.3943124582351401</t>
  </si>
  <si>
    <t>-0.7306076614284159</t>
  </si>
  <si>
    <t>0.7670483974021647</t>
  </si>
  <si>
    <t>-1.3493331955201253</t>
  </si>
  <si>
    <t>1.9431587139150293</t>
  </si>
  <si>
    <t>-0.4747548588857066</t>
  </si>
  <si>
    <t>-1.3851932307215955</t>
  </si>
  <si>
    <t>-0.09435571825817418</t>
  </si>
  <si>
    <t>0.9336264635052895</t>
  </si>
  <si>
    <t>0.8703894308109297</t>
  </si>
  <si>
    <t>1.4232607254774408</t>
  </si>
  <si>
    <t>1.5561952470300673</t>
  </si>
  <si>
    <t>-1.144423410777816</t>
  </si>
  <si>
    <t>-0.39369516878142186</t>
  </si>
  <si>
    <t>5.830543563055945</t>
  </si>
  <si>
    <t>-2.432698769878813</t>
  </si>
  <si>
    <t>-1.8707358116833006</t>
  </si>
  <si>
    <t>1.0999146992119846</t>
  </si>
  <si>
    <t>0.8772989270692908</t>
  </si>
  <si>
    <t>-4.380945956691777</t>
  </si>
  <si>
    <t>0.30732850791352206</t>
  </si>
  <si>
    <t>0.1412654169580878</t>
  </si>
  <si>
    <t>0.5026480864877749</t>
  </si>
  <si>
    <t>2.266976261854294</t>
  </si>
  <si>
    <t>0.9280957904055674</t>
  </si>
  <si>
    <t>1.43717530226082</t>
  </si>
  <si>
    <t>0.6158699837382864</t>
  </si>
  <si>
    <t>-3.7238526715036677</t>
  </si>
  <si>
    <t>-0.551218030062588</t>
  </si>
  <si>
    <t>1.988824580420208</t>
  </si>
  <si>
    <t>-1.3529073007201908</t>
  </si>
  <si>
    <t>0.20752240239702546</t>
  </si>
  <si>
    <t>0.2338058809884866</t>
  </si>
  <si>
    <t>0.2167319223420328</t>
  </si>
  <si>
    <t>-0.5718239915448876</t>
  </si>
  <si>
    <t>-0.030033885486371117</t>
  </si>
  <si>
    <t>0.29008035596480575</t>
  </si>
  <si>
    <t>-0.12140979138555201</t>
  </si>
  <si>
    <t>-0.6429593893549533</t>
  </si>
  <si>
    <t>0.1857075029336121</t>
  </si>
  <si>
    <t>-0.807499798988988</t>
  </si>
  <si>
    <t>-0.3394545318252696</t>
  </si>
  <si>
    <t>0.9271360439473756</t>
  </si>
  <si>
    <t>1.8924602829631245</t>
  </si>
  <si>
    <t>-2.3424698728528743</t>
  </si>
  <si>
    <t>1.474065948828673</t>
  </si>
  <si>
    <t>-1.3321487724798455</t>
  </si>
  <si>
    <t>1.757319821585531</t>
  </si>
  <si>
    <t>1.280366126281654</t>
  </si>
  <si>
    <t>0.36802675078816116</t>
  </si>
  <si>
    <t>0.01783980902952245</t>
  </si>
  <si>
    <t>-0.2881298307999124</t>
  </si>
  <si>
    <t>-0.7537483794310728</t>
  </si>
  <si>
    <t>1.170935380567196</t>
  </si>
  <si>
    <t>-1.3814481904941152</t>
  </si>
  <si>
    <t>0.342060471963197</t>
  </si>
  <si>
    <t>0.14221501428481595</t>
  </si>
  <si>
    <t>-0.26731043180609887</t>
  </si>
  <si>
    <t>1.2498272843389562</t>
  </si>
  <si>
    <t>1.2934138760895084</t>
  </si>
  <si>
    <t>0.25806744661003306</t>
  </si>
  <si>
    <t>0.1994839865131646</t>
  </si>
  <si>
    <t>0.20860118426751176</t>
  </si>
  <si>
    <t>0.1043558817583045</t>
  </si>
  <si>
    <t>0.30604420698128787</t>
  </si>
  <si>
    <t>-0.027483905094690234</t>
  </si>
  <si>
    <t>0.9160661032179341</t>
  </si>
  <si>
    <t>0.1915263745459713</t>
  </si>
  <si>
    <t>0.7517642535843995</t>
  </si>
  <si>
    <t>-0.7296768405178959</t>
  </si>
  <si>
    <t>-0.10692652735121733</t>
  </si>
  <si>
    <t>-0.4702619791164999</t>
  </si>
  <si>
    <t>0.26421284783430354</t>
  </si>
  <si>
    <t>0.3008300539931209</t>
  </si>
  <si>
    <t>-0.5081502651340768</t>
  </si>
  <si>
    <t>0.466932624583818</t>
  </si>
  <si>
    <t>0.1780069164479549</t>
  </si>
  <si>
    <t>0.5882972081038301</t>
  </si>
  <si>
    <t>-0.27868950627498545</t>
  </si>
  <si>
    <t>0.6266061038151257</t>
  </si>
  <si>
    <t>-0.5380104949240595</t>
  </si>
  <si>
    <t>-0.28111779576749807</t>
  </si>
  <si>
    <t>-0.04931037240783008</t>
  </si>
  <si>
    <t>0.7814006680489225</t>
  </si>
  <si>
    <t>5.790884462514914</t>
  </si>
  <si>
    <t>-1.5623942823427899</t>
  </si>
  <si>
    <t>-0.969756013896027</t>
  </si>
  <si>
    <t>0.08475934265280435</t>
  </si>
  <si>
    <t>-0.4469755685911924</t>
  </si>
  <si>
    <t>0.5305906687800808</t>
  </si>
  <si>
    <t>-0.9637316047413818</t>
  </si>
  <si>
    <t>-1.0229132265198115</t>
  </si>
  <si>
    <t>0.7699767868117966</t>
  </si>
  <si>
    <t>-1.331713430479678</t>
  </si>
  <si>
    <t>2.3265663279155264</t>
  </si>
  <si>
    <t>-0.14814316488312548</t>
  </si>
  <si>
    <t>-0.8102364663098639</t>
  </si>
  <si>
    <t>0.8863590517937545</t>
  </si>
  <si>
    <t>-0.9979636871805929</t>
  </si>
  <si>
    <t>-1.4322522015538905</t>
  </si>
  <si>
    <t>1.8344535229141403</t>
  </si>
  <si>
    <t>0.8488903944998525</t>
  </si>
  <si>
    <t>0.6574225592525471</t>
  </si>
  <si>
    <t>1.4887665750442123</t>
  </si>
  <si>
    <t>0.2845345839051622</t>
  </si>
  <si>
    <t>-0.3935187278516893</t>
  </si>
  <si>
    <t>0.5979216453068855</t>
  </si>
  <si>
    <t>-1.5844283047726484</t>
  </si>
  <si>
    <t>-2.5777056916524907</t>
  </si>
  <si>
    <t>1.8637614911900189</t>
  </si>
  <si>
    <t>1.9168076196917938</t>
  </si>
  <si>
    <t>0.7637845275963099</t>
  </si>
  <si>
    <t>0.4697731203634428</t>
  </si>
  <si>
    <t>-0.12445710034622139</t>
  </si>
  <si>
    <t>-0.9859022740129751</t>
  </si>
  <si>
    <t>1.2099976925365872</t>
  </si>
  <si>
    <t>-0.6906935654546705</t>
  </si>
  <si>
    <t>0.2215112328530823</t>
  </si>
  <si>
    <t>0.05099121268690129</t>
  </si>
  <si>
    <t>1.2431046082824804</t>
  </si>
  <si>
    <t>-0.9017967510491993</t>
  </si>
  <si>
    <t>0.05092773843501213</t>
  </si>
  <si>
    <t>-0.5707717920631435</t>
  </si>
  <si>
    <t>0.37050425453301655</t>
  </si>
  <si>
    <t>0.3166787992243943</t>
  </si>
  <si>
    <t>0.7611286407242424</t>
  </si>
  <si>
    <t>-0.3543016451196771</t>
  </si>
  <si>
    <t>-0.41419126277947754</t>
  </si>
  <si>
    <t>0.612445296581911</t>
  </si>
  <si>
    <t>0.458553693466753</t>
  </si>
  <si>
    <t>-0.6191143522663604</t>
  </si>
  <si>
    <t>-1.131807809916939</t>
  </si>
  <si>
    <t>0.7794462410965158</t>
  </si>
  <si>
    <t>0.5613819558929503</t>
  </si>
  <si>
    <t>-0.5298777354487254</t>
  </si>
  <si>
    <t>-0.43367758808571594</t>
  </si>
  <si>
    <t>-0.7812036536113696</t>
  </si>
  <si>
    <t>-0.5124679546027143</t>
  </si>
  <si>
    <t>0.147663332753181</t>
  </si>
  <si>
    <t>0.056767031269310694</t>
  </si>
  <si>
    <t>-0.5335918952075737</t>
  </si>
  <si>
    <t>0.08173672947376001</t>
  </si>
  <si>
    <t>-0.525798206201322</t>
  </si>
  <si>
    <t>0.00506369117756312</t>
  </si>
  <si>
    <t>-0.10508795729947602</t>
  </si>
  <si>
    <t>0.0939341853931754</t>
  </si>
  <si>
    <t>2.4891326623528554</t>
  </si>
  <si>
    <t>-1.2880957033681768</t>
  </si>
  <si>
    <t>0.01963785610082097</t>
  </si>
  <si>
    <t>-1.3386798771828756</t>
  </si>
  <si>
    <t>1.0024811374737614</t>
  </si>
  <si>
    <t>-0.10442411640796898</t>
  </si>
  <si>
    <t>2.0135010223324836</t>
  </si>
  <si>
    <t>0.011037686622933002</t>
  </si>
  <si>
    <t>-0.07447085492316419</t>
  </si>
  <si>
    <t>-0.3210079030467717</t>
  </si>
  <si>
    <t>0.10859476361516285</t>
  </si>
  <si>
    <t>0.5088494171494928</t>
  </si>
  <si>
    <t>-0.34882027206984684</t>
  </si>
  <si>
    <t>-0.1463930728766763</t>
  </si>
  <si>
    <t>-1.9872934275334964</t>
  </si>
  <si>
    <t>0.7345100176941488</t>
  </si>
  <si>
    <t>-0.17211034453290056</t>
  </si>
  <si>
    <t>-0.14326147273162884</t>
  </si>
  <si>
    <t>0.12030697249025216</t>
  </si>
  <si>
    <t>1.0604131233510317</t>
  </si>
  <si>
    <t>-0.03944044805371915</t>
  </si>
  <si>
    <t>1.940762566975924</t>
  </si>
  <si>
    <t>-0.25299009339552075</t>
  </si>
  <si>
    <t>0.39014659343573355</t>
  </si>
  <si>
    <t>-0.6219966134379159</t>
  </si>
  <si>
    <t>-0.25149928378582337</t>
  </si>
  <si>
    <t>0.1551469253373044</t>
  </si>
  <si>
    <t>0.23234376318979666</t>
  </si>
  <si>
    <t>-0.2975781843938532</t>
  </si>
  <si>
    <t>-0.43894847481047694</t>
  </si>
  <si>
    <t>0.7147407974914801</t>
  </si>
  <si>
    <t>-0.4064996444788022</t>
  </si>
  <si>
    <t>0.16305373023432948</t>
  </si>
  <si>
    <t>-0.46872782313112643</t>
  </si>
  <si>
    <t>-0.22223402814399684</t>
  </si>
  <si>
    <t>-0.5600299735289719</t>
  </si>
  <si>
    <t>1.1893825322564364</t>
  </si>
  <si>
    <t>-1.4340356248931005</t>
  </si>
  <si>
    <t>-0.08380809572702569</t>
  </si>
  <si>
    <t>-0.25094871336432545</t>
  </si>
  <si>
    <t>-1.1163270938005199</t>
  </si>
  <si>
    <t>0.18211534787880398</t>
  </si>
  <si>
    <t>0.25911500345547</t>
  </si>
  <si>
    <t>-0.11576071537964173</t>
  </si>
  <si>
    <t>-0.8150523731690213</t>
  </si>
  <si>
    <t>0.17286445979579496</t>
  </si>
  <si>
    <t>-0.1906975843672745</t>
  </si>
  <si>
    <t>1.1196672233371432</t>
  </si>
  <si>
    <t>0.3859987204772991</t>
  </si>
  <si>
    <t>-1.4417542207167975</t>
  </si>
  <si>
    <t>-0.30382053567569317</t>
  </si>
  <si>
    <t>0.9434530916410016</t>
  </si>
  <si>
    <t>-1.101894729326467</t>
  </si>
  <si>
    <t>-1.3378782247780412</t>
  </si>
  <si>
    <t>1.455932286473553</t>
  </si>
  <si>
    <t>0.7926476417526771</t>
  </si>
  <si>
    <t>1.2208551916920296</t>
  </si>
  <si>
    <t>-0.3282061324253226</t>
  </si>
  <si>
    <t>-1.6094103263159516</t>
  </si>
  <si>
    <t>0.41056356512969894</t>
  </si>
  <si>
    <t>0.5916035701611461</t>
  </si>
  <si>
    <t>0.0900953731577868</t>
  </si>
  <si>
    <t>1.637118089047166</t>
  </si>
  <si>
    <t>-2.1820026571840674</t>
  </si>
  <si>
    <t>-0.6823424435231863</t>
  </si>
  <si>
    <t>1.6530484952378763</t>
  </si>
  <si>
    <t>-1.970871043373389</t>
  </si>
  <si>
    <t>-0.006735895818453408</t>
  </si>
  <si>
    <t>-0.4682606541231645</t>
  </si>
  <si>
    <t>0.6884117820136811</t>
  </si>
  <si>
    <t>0.8202826777430193</t>
  </si>
  <si>
    <t>0.94124798047175</t>
  </si>
  <si>
    <t>0.309705861271513</t>
  </si>
  <si>
    <t>-1.1341625093381584</t>
  </si>
  <si>
    <t>-0.07164617441888683</t>
  </si>
  <si>
    <t>-1.6202132889219363</t>
  </si>
  <si>
    <t>0.09175649629118841</t>
  </si>
  <si>
    <t>1.4834667681160165</t>
  </si>
  <si>
    <t>-0.8902575507393132</t>
  </si>
  <si>
    <t>1.288487447648695</t>
  </si>
  <si>
    <t>0.07837573633106276</t>
  </si>
  <si>
    <t>-0.4079133646344635</t>
  </si>
  <si>
    <t>-0.6463837853282399</t>
  </si>
  <si>
    <t>-2.314655687847734</t>
  </si>
  <si>
    <t>-1.0539894831759165</t>
  </si>
  <si>
    <t>0.78695432209916</t>
  </si>
  <si>
    <t>0.48333059334903994</t>
  </si>
  <si>
    <t>1.2998240041388252</t>
  </si>
  <si>
    <t>-0.4796238127580516</t>
  </si>
  <si>
    <t>1.666660229343842</t>
  </si>
  <si>
    <t>-0.4959186081495607</t>
  </si>
  <si>
    <t>-0.04995615899855581</t>
  </si>
  <si>
    <t>0.3988079529846691</t>
  </si>
  <si>
    <t>-1.0071849651131874</t>
  </si>
  <si>
    <t>-1.461541729834856</t>
  </si>
  <si>
    <t>0.6322589911500505</t>
  </si>
  <si>
    <t>1.3088972818122098</t>
  </si>
  <si>
    <t>0.8173469434113517</t>
  </si>
  <si>
    <t>-0.9970927977273149</t>
  </si>
  <si>
    <t>1.24176668965827</t>
  </si>
  <si>
    <t>0.05242215410830254</t>
  </si>
  <si>
    <t>0.34296954615926717</t>
  </si>
  <si>
    <t>-0.11619397123688179</t>
  </si>
  <si>
    <t>0.4690201693842284</t>
  </si>
  <si>
    <t>-0.21342873812833135</t>
  </si>
  <si>
    <t>-0.5135133671274742</t>
  </si>
  <si>
    <t>-0.574316692119325</t>
  </si>
  <si>
    <t>-1.0834634591388412</t>
  </si>
  <si>
    <t>-0.026214649407027113</t>
  </si>
  <si>
    <t>1.3142996499468567</t>
  </si>
  <si>
    <t>-0.45809618695074694</t>
  </si>
  <si>
    <t>0.4675400036594729</t>
  </si>
  <si>
    <t>0.6373506706582471</t>
  </si>
  <si>
    <t>-0.8892234592420585</t>
  </si>
  <si>
    <t>-1.4830112784424039</t>
  </si>
  <si>
    <t>1.1128756380453655</t>
  </si>
  <si>
    <t>-0.39916802999680795</t>
  </si>
  <si>
    <t>-0.13024684049258992</t>
  </si>
  <si>
    <t>-1.4350731024761592</t>
  </si>
  <si>
    <t>0.4928624090955481</t>
  </si>
  <si>
    <t>-1.0346156391802077</t>
  </si>
  <si>
    <t>0.549661713236766</t>
  </si>
  <si>
    <t>2.028312129827976</t>
  </si>
  <si>
    <t>-0.46196296678432974</t>
  </si>
  <si>
    <t>0.8638970441292239</t>
  </si>
  <si>
    <t>-0.5583676381095681</t>
  </si>
  <si>
    <t>0.596196553617015</t>
  </si>
  <si>
    <t>-0.2049432302385809</t>
  </si>
  <si>
    <t>0.8023009457373959</t>
  </si>
  <si>
    <t>0.19212357227486712</t>
  </si>
  <si>
    <t>0.1824057290302917</t>
  </si>
  <si>
    <t>-1.4846960620455905</t>
  </si>
  <si>
    <t>-0.34240098997071905</t>
  </si>
  <si>
    <t>-0.2132930368639661</t>
  </si>
  <si>
    <t>-0.29712626910761153</t>
  </si>
  <si>
    <t>-0.24352013983444362</t>
  </si>
  <si>
    <t>0.03431251882591654</t>
  </si>
  <si>
    <t>0.1995191148392531</t>
  </si>
  <si>
    <t>1.4799921835988967</t>
  </si>
  <si>
    <t>0.7819025724264504</t>
  </si>
  <si>
    <t>-0.5415884715566185</t>
  </si>
  <si>
    <t>-0.023785027983614978</t>
  </si>
  <si>
    <t>0.42591715788745677</t>
  </si>
  <si>
    <t>0.12887762643415826</t>
  </si>
  <si>
    <t>-1.4676552161694068</t>
  </si>
  <si>
    <t>-0.36709340304283494</t>
  </si>
  <si>
    <t>0.6536619447611712</t>
  </si>
  <si>
    <t>1.9245308706670903</t>
  </si>
  <si>
    <t>-2.1742254978757076</t>
  </si>
  <si>
    <t>0.2831203186461091</t>
  </si>
  <si>
    <t>0.38125088290445325</t>
  </si>
  <si>
    <t>0.15199821226198545</t>
  </si>
  <si>
    <t>-0.3089873806225981</t>
  </si>
  <si>
    <t>-1.18803251931743</t>
  </si>
  <si>
    <t>0.4259085546707598</t>
  </si>
  <si>
    <t>0.09962258921091666</t>
  </si>
  <si>
    <t>0.5187539538068416</t>
  </si>
  <si>
    <t>0.4876691893589098</t>
  </si>
  <si>
    <t>0.05224266328042311</t>
  </si>
  <si>
    <t>-0.3820054860159037</t>
  </si>
  <si>
    <t>0.7616773137074927</t>
  </si>
  <si>
    <t>-1.1967295067445138</t>
  </si>
  <si>
    <t>0.8322061543773492</t>
  </si>
  <si>
    <t>1.0762145785921846</t>
  </si>
  <si>
    <t>-0.6062408561030521</t>
  </si>
  <si>
    <t>-0.6338857734841093</t>
  </si>
  <si>
    <t>-0.3225032252286766</t>
  </si>
  <si>
    <t>-1.3150444785602964</t>
  </si>
  <si>
    <t>2.3256634059428807</t>
  </si>
  <si>
    <t>0.4077637984335716</t>
  </si>
  <si>
    <t>0.18586264686299692</t>
  </si>
  <si>
    <t>-1.3523602756800401</t>
  </si>
  <si>
    <t>-1.9446594623623525</t>
  </si>
  <si>
    <t>0.1472272743012259</t>
  </si>
  <si>
    <t>0.3188360643415153</t>
  </si>
  <si>
    <t>-0.5406757372947262</t>
  </si>
  <si>
    <t>1.4320156884257598</t>
  </si>
  <si>
    <t>0.5603295848358549</t>
  </si>
  <si>
    <t>-0.3453058235552953</t>
  </si>
  <si>
    <t>0.1862202620627997</t>
  </si>
  <si>
    <t>-0.4635855311753686</t>
  </si>
  <si>
    <t>0.2648116743841479</t>
  </si>
  <si>
    <t>1.01425215621533</t>
  </si>
  <si>
    <t>-0.6298468529953091</t>
  </si>
  <si>
    <t>-0.936513420722463</t>
  </si>
  <si>
    <t>1.1764828402406988</t>
  </si>
  <si>
    <t>0.2680983533225703</t>
  </si>
  <si>
    <t>-0.46258486579731534</t>
  </si>
  <si>
    <t>-0.25011405394721375</t>
  </si>
  <si>
    <t>-0.20003329660773936</t>
  </si>
  <si>
    <t>1.3833295655088471</t>
  </si>
  <si>
    <t>0.7087756450782593</t>
  </si>
  <si>
    <t>-1.625172767409562</t>
  </si>
  <si>
    <t>-1.0226866252388036</t>
  </si>
  <si>
    <t>-0.9288907381483079</t>
  </si>
  <si>
    <t>-0.39027512682848853</t>
  </si>
  <si>
    <t>-0.148313132015601</t>
  </si>
  <si>
    <t>-0.5519836415501769</t>
  </si>
  <si>
    <t>0.3940416786155407</t>
  </si>
  <si>
    <t>1.257144758139125</t>
  </si>
  <si>
    <t>-0.04341459762840618</t>
  </si>
  <si>
    <t>0.05121566392949188</t>
  </si>
  <si>
    <t>-0.24956087190009815</t>
  </si>
  <si>
    <t>0.672443161459062</t>
  </si>
  <si>
    <t>0.7476437547199114</t>
  </si>
  <si>
    <t>0.9158433065663385</t>
  </si>
  <si>
    <t>0.36099312640193476</t>
  </si>
  <si>
    <t>-1.133001599587643</t>
  </si>
  <si>
    <t>0.4268740882131571</t>
  </si>
  <si>
    <t>-0.54072309955928</t>
  </si>
  <si>
    <t>-1.4460032538398653</t>
  </si>
  <si>
    <t>0.07326351509646674</t>
  </si>
  <si>
    <t>-0.5110325693283104</t>
  </si>
  <si>
    <t>0.2731889644024743</t>
  </si>
  <si>
    <t>0.6063255746204552</t>
  </si>
  <si>
    <t>-0.4990343299048924</t>
  </si>
  <si>
    <t>0.1347813122568237</t>
  </si>
  <si>
    <t>-0.4343531240345476</t>
  </si>
  <si>
    <t>0.05198828500915751</t>
  </si>
  <si>
    <t>-0.004023940560184915</t>
  </si>
  <si>
    <t>0.05602478751831139</t>
  </si>
  <si>
    <t>0.15894215740443077</t>
  </si>
  <si>
    <t>-0.4881869109555608</t>
  </si>
  <si>
    <t>-0.1966776781993921</t>
  </si>
  <si>
    <t>-0.881466958118986</t>
  </si>
  <si>
    <t>0.06565412363851898</t>
  </si>
  <si>
    <t>0.14359625646805704</t>
  </si>
  <si>
    <t>0.8780137549674384</t>
  </si>
  <si>
    <t>0.7190540239003067</t>
  </si>
  <si>
    <t>4.410123340953386</t>
  </si>
  <si>
    <t>-0.27348652671149104</t>
  </si>
  <si>
    <t>-1.2601965459165758</t>
  </si>
  <si>
    <t>0.07626335530235907</t>
  </si>
  <si>
    <t>2.293490332959676</t>
  </si>
  <si>
    <t>-1.0201101071381098</t>
  </si>
  <si>
    <t>-0.4533760416025652</t>
  </si>
  <si>
    <t>2.820058528131801</t>
  </si>
  <si>
    <t>-0.632116319524309</t>
  </si>
  <si>
    <t>0.0852928210094359</t>
  </si>
  <si>
    <t>0.17157399168624093</t>
  </si>
  <si>
    <t>-1.2059304424870056</t>
  </si>
  <si>
    <t>-0.9079940110787685</t>
  </si>
  <si>
    <t>1.5643066033331956</t>
  </si>
  <si>
    <t>-0.0919845056862855</t>
  </si>
  <si>
    <t>-0.87275066144877</t>
  </si>
  <si>
    <t>0.29686820377011236</t>
  </si>
  <si>
    <t>-0.5099054100887281</t>
  </si>
  <si>
    <t>2.4225660134195826</t>
  </si>
  <si>
    <t>-1.3109817092024283</t>
  </si>
  <si>
    <t>-0.882939263579777</t>
  </si>
  <si>
    <t>1.1810828678295056</t>
  </si>
  <si>
    <t>2.482351834802213</t>
  </si>
  <si>
    <t>0.9857842065294513</t>
  </si>
  <si>
    <t>-0.6860756726412076</t>
  </si>
  <si>
    <t>-0.769961543753458</t>
  </si>
  <si>
    <t>-0.7255586555986637</t>
  </si>
  <si>
    <t>-0.07630985850559538</t>
  </si>
  <si>
    <t>0.06382416785139043</t>
  </si>
  <si>
    <t>-0.022026467616352272</t>
  </si>
  <si>
    <t>0.9279276563237842</t>
  </si>
  <si>
    <t>-0.5570973431756778</t>
  </si>
  <si>
    <t>-0.16401201935368595</t>
  </si>
  <si>
    <t>-0.0769427738979308</t>
  </si>
  <si>
    <t>0.8439985634297875</t>
  </si>
  <si>
    <t>-0.9584395165187523</t>
  </si>
  <si>
    <t>-0.5690763505136469</t>
  </si>
  <si>
    <t>-1.0432183296096504</t>
  </si>
  <si>
    <t>0.028529287318660196</t>
  </si>
  <si>
    <t>-0.04369599264489514</t>
  </si>
  <si>
    <t>0.6104969012056448</t>
  </si>
  <si>
    <t>-0.8020744507773054</t>
  </si>
  <si>
    <t>0.016343242642462452</t>
  </si>
  <si>
    <t>0.1175584438806223</t>
  </si>
  <si>
    <t>1.7538317158570524</t>
  </si>
  <si>
    <t>-1.6443308604435178</t>
  </si>
  <si>
    <t>-0.009720142346710491</t>
  </si>
  <si>
    <t>-0.5250436491785625</t>
  </si>
  <si>
    <t>-0.43808917738172265</t>
  </si>
  <si>
    <t>1.3277569619239946</t>
  </si>
  <si>
    <t>-1.2244543123905594</t>
  </si>
  <si>
    <t>-0.350392162777782</t>
  </si>
  <si>
    <t>0.9156878208653921</t>
  </si>
  <si>
    <t>0.11847977031644419</t>
  </si>
  <si>
    <t>0.47423566756633617</t>
  </si>
  <si>
    <t>-1.0158920252198564</t>
  </si>
  <si>
    <t>-0.21318618350578028</t>
  </si>
  <si>
    <t>-0.1982338079043217</t>
  </si>
  <si>
    <t>-0.6331965768605278</t>
  </si>
  <si>
    <t>1.218916535697181</t>
  </si>
  <si>
    <t>0.5510424344891693</t>
  </si>
  <si>
    <t>1.5118198262632785</t>
  </si>
  <si>
    <t>0.2880525763219251</t>
  </si>
  <si>
    <t>0.22869237518645624</t>
  </si>
  <si>
    <t>-0.8675507459317389</t>
  </si>
  <si>
    <t>-0.45526954604251324</t>
  </si>
  <si>
    <t>-1.813567000331815</t>
  </si>
  <si>
    <t>0.41621540404194085</t>
  </si>
  <si>
    <t>-0.07427815206416916</t>
  </si>
  <si>
    <t>-0.16147271239550925</t>
  </si>
  <si>
    <t>0.8888803299063613</t>
  </si>
  <si>
    <t>-0.3491669196706498</t>
  </si>
  <si>
    <t>-1.3364066183783798</t>
  </si>
  <si>
    <t>-0.17471259230582722</t>
  </si>
  <si>
    <t>-0.23170925470176712</t>
  </si>
  <si>
    <t>0.18483022233584107</t>
  </si>
  <si>
    <t>-0.17109104400620206</t>
  </si>
  <si>
    <t>0.6501435139262428</t>
  </si>
  <si>
    <t>-0.7243154658728881</t>
  </si>
  <si>
    <t>-0.3847051809311946</t>
  </si>
  <si>
    <t>3.2056549105136383</t>
  </si>
  <si>
    <t>-0.9554657912416842</t>
  </si>
  <si>
    <t>-1.001879083221884</t>
  </si>
  <si>
    <t>0.5544703588435742</t>
  </si>
  <si>
    <t>0.3489730902731573</t>
  </si>
  <si>
    <t>0.05230614550154548</t>
  </si>
  <si>
    <t>0.2347697134234016</t>
  </si>
  <si>
    <t>0.47292087235533115</t>
  </si>
  <si>
    <t>0.10399913378164675</t>
  </si>
  <si>
    <t>-1.0441873210969361</t>
  </si>
  <si>
    <t>-0.9527168050861301</t>
  </si>
  <si>
    <t>0.2651321554549956</t>
  </si>
  <si>
    <t>-0.5807971361685268</t>
  </si>
  <si>
    <t>0.17318404167445858</t>
  </si>
  <si>
    <t>0.7490203882051164</t>
  </si>
  <si>
    <t>0.4945264076866089</t>
  </si>
  <si>
    <t>-0.8504519551768391</t>
  </si>
  <si>
    <t>0.06368419663178523</t>
  </si>
  <si>
    <t>0.6568007765921331</t>
  </si>
  <si>
    <t>-2.9067409308423113</t>
  </si>
  <si>
    <t>-0.14647274269528351</t>
  </si>
  <si>
    <t>0.2346584049835764</t>
  </si>
  <si>
    <t>0.7344946749737081</t>
  </si>
  <si>
    <t>-0.18160844171179572</t>
  </si>
  <si>
    <t>0.9195272821084103</t>
  </si>
  <si>
    <t>-0.40371463936747914</t>
  </si>
  <si>
    <t>0.34006342226420766</t>
  </si>
  <si>
    <t>2.4660811549083608</t>
  </si>
  <si>
    <t>-0.45158450351755025</t>
  </si>
  <si>
    <t>-1.2534147559878073</t>
  </si>
  <si>
    <t>1.352066080191172</t>
  </si>
  <si>
    <t>-1.3382724839299858</t>
  </si>
  <si>
    <t>-0.8357276578956068</t>
  </si>
  <si>
    <t>-0.8153815680250293</t>
  </si>
  <si>
    <t>-0.35771544402778055</t>
  </si>
  <si>
    <t>-0.2339712746670435</t>
  </si>
  <si>
    <t>0.21711503216013717</t>
  </si>
  <si>
    <t>-0.6281566272712994</t>
  </si>
  <si>
    <t>0.06635425125641788</t>
  </si>
  <si>
    <t>0.01854188778082132</t>
  </si>
  <si>
    <t>1.3136265297992038</t>
  </si>
  <si>
    <t>-1.5501297739317652</t>
  </si>
  <si>
    <t>0.605406080161017</t>
  </si>
  <si>
    <t>-0.5970946225541464</t>
  </si>
  <si>
    <t>-1.251217228098611</t>
  </si>
  <si>
    <t>0.17717218568792836</t>
  </si>
  <si>
    <t>-0.279760338468484</t>
  </si>
  <si>
    <t>1.5595999145369108</t>
  </si>
  <si>
    <t>0.6006388458449656</t>
  </si>
  <si>
    <t>0.2899818467638085</t>
  </si>
  <si>
    <t>-0.3339942798897273</t>
  </si>
  <si>
    <t>-0.6965773808257643</t>
  </si>
  <si>
    <t>-0.12127393615594885</t>
  </si>
  <si>
    <t>-0.24753287487522493</t>
  </si>
  <si>
    <t>-0.07980561973550698</t>
  </si>
  <si>
    <t>-0.18914541233562124</t>
  </si>
  <si>
    <t>0.44935632275203036</t>
  </si>
  <si>
    <t>-1.698853185737182</t>
  </si>
  <si>
    <t>1.7980253323701991</t>
  </si>
  <si>
    <t>-2.7459011616677382</t>
  </si>
  <si>
    <t>0.2507322917297293</t>
  </si>
  <si>
    <t>-0.42616126329884757</t>
  </si>
  <si>
    <t>0.9264249911027722</t>
  </si>
  <si>
    <t>0.6216519991840151</t>
  </si>
  <si>
    <t>-0.22486824679594172</t>
  </si>
  <si>
    <t>-0.16977761354831258</t>
  </si>
  <si>
    <t>-0.6387527731490606</t>
  </si>
  <si>
    <t>0.826090151066804</t>
  </si>
  <si>
    <t>1.401312208519479</t>
  </si>
  <si>
    <t>-1.0414047331533383</t>
  </si>
  <si>
    <t>0.357776470227385</t>
  </si>
  <si>
    <t>-1.504211715229394</t>
  </si>
  <si>
    <t>-0.29377790731423536</t>
  </si>
  <si>
    <t>-0.16285865396961766</t>
  </si>
  <si>
    <t>0.0374709166543975</t>
  </si>
  <si>
    <t>1.4101530872792345</t>
  </si>
  <si>
    <t>-0.8855851275185063</t>
  </si>
  <si>
    <t>-0.04642023323895066</t>
  </si>
  <si>
    <t>-0.21700071314372796</t>
  </si>
  <si>
    <t>-0.39720922685275717</t>
  </si>
  <si>
    <t>0.020439093344337154</t>
  </si>
  <si>
    <t>-1.8323524399238111</t>
  </si>
  <si>
    <t>0.7724542618118009</t>
  </si>
  <si>
    <t>-0.25615623170287266</t>
  </si>
  <si>
    <t>1.9660217958151323</t>
  </si>
  <si>
    <t>1.008401026545838</t>
  </si>
  <si>
    <t>-0.7700713051306017</t>
  </si>
  <si>
    <t>0.39799686316138827</t>
  </si>
  <si>
    <t>-0.678284966878618</t>
  </si>
  <si>
    <t>-1.3638493682719346</t>
  </si>
  <si>
    <t>0.8222962722591182</t>
  </si>
  <si>
    <t>-1.8322323083881926</t>
  </si>
  <si>
    <t>0.12379296267735873</t>
  </si>
  <si>
    <t>-0.31417160521902465</t>
  </si>
  <si>
    <t>-0.7098134863654607</t>
  </si>
  <si>
    <t>0.5443070134914493</t>
  </si>
  <si>
    <t>0.9124691686656692</t>
  </si>
  <si>
    <t>-0.5801542149561463</t>
  </si>
  <si>
    <t>1.3521070525617858</t>
  </si>
  <si>
    <t>-0.743009662146583</t>
  </si>
  <si>
    <t>-0.6318521740454279</t>
  </si>
  <si>
    <t>-1.4069244812916966</t>
  </si>
  <si>
    <t>0.7770919523064116</t>
  </si>
  <si>
    <t>-0.2698188347047155</t>
  </si>
  <si>
    <t>-0.897386308470299</t>
  </si>
  <si>
    <t>-0.13914604996486105</t>
  </si>
  <si>
    <t>-0.594735912905346</t>
  </si>
  <si>
    <t>0.9792094212330081</t>
  </si>
  <si>
    <t>-1.769957415542191</t>
  </si>
  <si>
    <t>0.19274872868471146</t>
  </si>
  <si>
    <t>-0.34687486382750743</t>
  </si>
  <si>
    <t>0.034233684104137956</t>
  </si>
  <si>
    <t>-1.5030116499250525</t>
  </si>
  <si>
    <t>-0.027107241609988956</t>
  </si>
  <si>
    <t>-0.649189272824413</t>
  </si>
  <si>
    <t>0.2287822145900913</t>
  </si>
  <si>
    <t>0.48926732058819095</t>
  </si>
  <si>
    <t>0.2652046450785347</t>
  </si>
  <si>
    <t>0.41601378980896414</t>
  </si>
  <si>
    <t>2.508769956661446</t>
  </si>
  <si>
    <t>-1.1632384678881862</t>
  </si>
  <si>
    <t>1.4655827503023569</t>
  </si>
  <si>
    <t>-0.7302574274154667</t>
  </si>
  <si>
    <t>-0.24206887684220488</t>
  </si>
  <si>
    <t>-0.8733905294434732</t>
  </si>
  <si>
    <t>1.7126681576771323</t>
  </si>
  <si>
    <t>-1.5129897043765044</t>
  </si>
  <si>
    <t>1.8257581694942702</t>
  </si>
  <si>
    <t>0.5499102873959004</t>
  </si>
  <si>
    <t>-0.6056511410686619</t>
  </si>
  <si>
    <t>0.04523241002957545</t>
  </si>
  <si>
    <t>0.277633065779414</t>
  </si>
  <si>
    <t>-0.2347717139575215</t>
  </si>
  <si>
    <t>0.5700294754105886</t>
  </si>
  <si>
    <t>0.411009580614022</t>
  </si>
  <si>
    <t>-0.780595552767672</t>
  </si>
  <si>
    <t>0.04711685020705153</t>
  </si>
  <si>
    <t>0.6949306873455926</t>
  </si>
  <si>
    <t>0.5639791011224491</t>
  </si>
  <si>
    <t>1.3032808054144476</t>
  </si>
  <si>
    <t>0.38780302515133647</t>
  </si>
  <si>
    <t>0.28691464912252335</t>
  </si>
  <si>
    <t>0.48620915265079684</t>
  </si>
  <si>
    <t>-0.9962608763166024</t>
  </si>
  <si>
    <t>0.47938597555828627</t>
  </si>
  <si>
    <t>-1.5142557867024105</t>
  </si>
  <si>
    <t>0.872494446135869</t>
  </si>
  <si>
    <t>0.32730147724882946</t>
  </si>
  <si>
    <t>-1.0466821443666892</t>
  </si>
  <si>
    <t>-0.728479950509249</t>
  </si>
  <si>
    <t>0.20066813206580364</t>
  </si>
  <si>
    <t>-1.9471585707859382</t>
  </si>
  <si>
    <t>-0.1489642050457453</t>
  </si>
  <si>
    <t>-0.8563964131957041</t>
  </si>
  <si>
    <t>0.6939339671080931</t>
  </si>
  <si>
    <t>-0.5246037388715785</t>
  </si>
  <si>
    <t>-1.0021781036525286</t>
  </si>
  <si>
    <t>-0.10209203363313933</t>
  </si>
  <si>
    <t>-0.5869209975140037</t>
  </si>
  <si>
    <t>-0.6455232641745031</t>
  </si>
  <si>
    <t>1.2404027870793193</t>
  </si>
  <si>
    <t>-1.2292675564434523</t>
  </si>
  <si>
    <t>-1.2418179106778822</t>
  </si>
  <si>
    <t>0.10048403716459164</t>
  </si>
  <si>
    <t>-0.720957593458481</t>
  </si>
  <si>
    <t>1.8902262655564357</t>
  </si>
  <si>
    <t>-0.989730030562855</t>
  </si>
  <si>
    <t>-0.2593743825028909</t>
  </si>
  <si>
    <t>-0.6586918094338807</t>
  </si>
  <si>
    <t>0.7616342383334976</t>
  </si>
  <si>
    <t>-1.3318580015045434</t>
  </si>
  <si>
    <t>-0.5206243029053232</t>
  </si>
  <si>
    <t>-0.28440966450169974</t>
  </si>
  <si>
    <t>0.14534260439138835</t>
  </si>
  <si>
    <t>0.3672086743659562</t>
  </si>
  <si>
    <t>-0.47121623022666453</t>
  </si>
  <si>
    <t>-0.868932921149852</t>
  </si>
  <si>
    <t>-0.5111360681792855</t>
  </si>
  <si>
    <t>-0.04313704953035963</t>
  </si>
  <si>
    <t>-0.027658977441030966</t>
  </si>
  <si>
    <t>-0.7250142975490894</t>
  </si>
  <si>
    <t>-0.6098059615463786</t>
  </si>
  <si>
    <t>0.5808639298368574</t>
  </si>
  <si>
    <t>-0.07018519851112291</t>
  </si>
  <si>
    <t>-0.3659312187906761</t>
  </si>
  <si>
    <t>0.17269555428657313</t>
  </si>
  <si>
    <t>-0.08533593353110248</t>
  </si>
  <si>
    <t>-0.91600029628232</t>
  </si>
  <si>
    <t>-0.5810535286752764</t>
  </si>
  <si>
    <t>0.5025130894748204</t>
  </si>
  <si>
    <t>-0.09757738114497452</t>
  </si>
  <si>
    <t>-0.23712830081978878</t>
  </si>
  <si>
    <t>0.9913019224248786</t>
  </si>
  <si>
    <t>0.3108727297850787</t>
  </si>
  <si>
    <t>0.12376035297751087</t>
  </si>
  <si>
    <t>-0.2641763751766557</t>
  </si>
  <si>
    <t>0.45287459563768495</t>
  </si>
  <si>
    <t>-1.1477133998204676</t>
  </si>
  <si>
    <t>0.11314850024632647</t>
  </si>
  <si>
    <t>-1.0827844686997343</t>
  </si>
  <si>
    <t>-1.3000277694737687</t>
  </si>
  <si>
    <t>0.15461964612778137</t>
  </si>
  <si>
    <t>0.33923510866154366</t>
  </si>
  <si>
    <t>-0.37427057094887467</t>
  </si>
  <si>
    <t>-0.7354232051821145</t>
  </si>
  <si>
    <t>0.5522895929779877</t>
  </si>
  <si>
    <t>0.2546218933890127</t>
  </si>
  <si>
    <t>-0.3289455222312525</t>
  </si>
  <si>
    <t>-0.25554834580910213</t>
  </si>
  <si>
    <t>0.6045967879978054</t>
  </si>
  <si>
    <t>0.4521306684269262</t>
  </si>
  <si>
    <t>2.3637074656417476</t>
  </si>
  <si>
    <t>0.9027495156077276</t>
  </si>
  <si>
    <t>0.08050814385890215</t>
  </si>
  <si>
    <t>-0.5855781115046589</t>
  </si>
  <si>
    <t>-0.7693142770481008</t>
  </si>
  <si>
    <t>-0.34680355953885694</t>
  </si>
  <si>
    <t>1.1373203179837095</t>
  </si>
  <si>
    <t>-0.2617826642666329</t>
  </si>
  <si>
    <t>-0.5673486016621585</t>
  </si>
  <si>
    <t>0.9730866539894452</t>
  </si>
  <si>
    <t>-1.1974466638924186</t>
  </si>
  <si>
    <t>-1.3553958521879321</t>
  </si>
  <si>
    <t>-0.32614870691302295</t>
  </si>
  <si>
    <t>-1.3476984276896335</t>
  </si>
  <si>
    <t>0.9261566968732163</t>
  </si>
  <si>
    <t>-0.4285096913660294</t>
  </si>
  <si>
    <t>0.0710890019313427</t>
  </si>
  <si>
    <t>-1.0399191419808855</t>
  </si>
  <si>
    <t>-0.8000589323220075</t>
  </si>
  <si>
    <t>-1.197095126762462</t>
  </si>
  <si>
    <t>-0.14553693044154475</t>
  </si>
  <si>
    <t>0.9386377452230988</t>
  </si>
  <si>
    <t>1.4593318280002148</t>
  </si>
  <si>
    <t>-0.6071709603438153</t>
  </si>
  <si>
    <t>-1.84682687541534</t>
  </si>
  <si>
    <t>0.26079355336279325</t>
  </si>
  <si>
    <t>-1.0415557729202471</t>
  </si>
  <si>
    <t>-0.5927492468961684</t>
  </si>
  <si>
    <t>1.1123517283990856</t>
  </si>
  <si>
    <t>-0.639376793184845</t>
  </si>
  <si>
    <t>-1.0063301074413464</t>
  </si>
  <si>
    <t>-1.0956618705552732</t>
  </si>
  <si>
    <t>-0.4570342113512649</t>
  </si>
  <si>
    <t>-0.7962557216446852</t>
  </si>
  <si>
    <t>0.4307646861324994</t>
  </si>
  <si>
    <t>1.860435406866782</t>
  </si>
  <si>
    <t>0.2677193137502721</t>
  </si>
  <si>
    <t>-0.4426403535202441</t>
  </si>
  <si>
    <t>-0.6120697333308521</t>
  </si>
  <si>
    <t>0.5815173237662389</t>
  </si>
  <si>
    <t>-0.031953448925609806</t>
  </si>
  <si>
    <t>0.1673363394114427</t>
  </si>
  <si>
    <t>-0.7161778412560766</t>
  </si>
  <si>
    <t>-0.6183842249056568</t>
  </si>
  <si>
    <t>-0.4993913140027388</t>
  </si>
  <si>
    <t>-0.45309829263444446</t>
  </si>
  <si>
    <t>-1.4937909421158913</t>
  </si>
  <si>
    <t>-0.8457985572178337</t>
  </si>
  <si>
    <t>-0.3900901971888267</t>
  </si>
  <si>
    <t>-0.5082950481784223</t>
  </si>
  <si>
    <t>-0.015468102322138156</t>
  </si>
  <si>
    <t>0.30680602238325827</t>
  </si>
  <si>
    <t>-1.9210665647238814</t>
  </si>
  <si>
    <t>1.2045508496987747</t>
  </si>
  <si>
    <t>0.1726802566017313</t>
  </si>
  <si>
    <t>0.42655112179691</t>
  </si>
  <si>
    <t>1.4477151633991736</t>
  </si>
  <si>
    <t>0.897860684231105</t>
  </si>
  <si>
    <t>-0.11048052599458438</t>
  </si>
  <si>
    <t>0.43908985584950394</t>
  </si>
  <si>
    <t>1.135949422895281</t>
  </si>
  <si>
    <t>0.002200727290043759</t>
  </si>
  <si>
    <t>-0.5052373351855953</t>
  </si>
  <si>
    <t>0.14136706643066818</t>
  </si>
  <si>
    <t>0.05928223212032509</t>
  </si>
  <si>
    <t>1.5531076468368172</t>
  </si>
  <si>
    <t>-0.9164809960178252</t>
  </si>
  <si>
    <t>0.04772212228327422</t>
  </si>
  <si>
    <t>0.15904855724744207</t>
  </si>
  <si>
    <t>0.0624555835113826</t>
  </si>
  <si>
    <t>-0.9990589871122016</t>
  </si>
  <si>
    <t>-0.047631312931541894</t>
  </si>
  <si>
    <t>0.9249449820682778</t>
  </si>
  <si>
    <t>-1.6756637290604548</t>
  </si>
  <si>
    <t>0.03820873277453025</t>
  </si>
  <si>
    <t>-0.5758846324797501</t>
  </si>
  <si>
    <t>-0.4526752877838664</t>
  </si>
  <si>
    <t>-0.3307939585534946</t>
  </si>
  <si>
    <t>1.0379398428505828</t>
  </si>
  <si>
    <t>0.5565062056757154</t>
  </si>
  <si>
    <t>-0.22035945458439365</t>
  </si>
  <si>
    <t>-0.030122421846593212</t>
  </si>
  <si>
    <t>1.2318676645868525</t>
  </si>
  <si>
    <t>0.25950287109162984</t>
  </si>
  <si>
    <t>-0.594417377224377</t>
  </si>
  <si>
    <t>0.665490815964677</t>
  </si>
  <si>
    <t>1.0908850863795077</t>
  </si>
  <si>
    <t>1.0526362346456621</t>
  </si>
  <si>
    <t>-0.04004743140809142</t>
  </si>
  <si>
    <t>0.5109430537599258</t>
  </si>
  <si>
    <t>0.2259730516512941</t>
  </si>
  <si>
    <t>0.7170533523026871</t>
  </si>
  <si>
    <t>0.03667447712782805</t>
  </si>
  <si>
    <t>-0.5343048652421767</t>
  </si>
  <si>
    <t>1.065770412056508</t>
  </si>
  <si>
    <t>-0.5089104507904948</t>
  </si>
  <si>
    <t>-0.3840751195420353</t>
  </si>
  <si>
    <t>-1.3968660730351226</t>
  </si>
  <si>
    <t>-0.9814017258360702</t>
  </si>
  <si>
    <t>0.0391339157320985</t>
  </si>
  <si>
    <t>0.5866337638612497</t>
  </si>
  <si>
    <t>0.728748479375856</t>
  </si>
  <si>
    <t>0.6425556811511192</t>
  </si>
  <si>
    <t>0.7832194686555487</t>
  </si>
  <si>
    <t>0.8133204801293153</t>
  </si>
  <si>
    <t>-0.29284915807042605</t>
  </si>
  <si>
    <t>0.10472430136264438</t>
  </si>
  <si>
    <t>0.0037735709768388797</t>
  </si>
  <si>
    <t>-1.1086756998898373</t>
  </si>
  <si>
    <t>-0.8974555385476206</t>
  </si>
  <si>
    <t>-0.3240876705005107</t>
  </si>
  <si>
    <t>0.7807152917151942</t>
  </si>
  <si>
    <t>-0.016882563912782027</t>
  </si>
  <si>
    <t>0.8936229633942373</t>
  </si>
  <si>
    <t>-0.1354554555357141</t>
  </si>
  <si>
    <t>-0.01096668585587594</t>
  </si>
  <si>
    <t>-0.09043934595804445</t>
  </si>
  <si>
    <t>0.26443265417762496</t>
  </si>
  <si>
    <t>-0.17197358919956968</t>
  </si>
  <si>
    <t>-0.9315237339640723</t>
  </si>
  <si>
    <t>-0.2686480366724539</t>
  </si>
  <si>
    <t>0.5280234997826962</t>
  </si>
  <si>
    <t>-1.640301564107772</t>
  </si>
  <si>
    <t>-0.216971484726885</t>
  </si>
  <si>
    <t>-0.29502244278437273</t>
  </si>
  <si>
    <t>0.8204905959357197</t>
  </si>
  <si>
    <t>-0.3436920146320033</t>
  </si>
  <si>
    <t>1.1992392781813597</t>
  </si>
  <si>
    <t>0.12431114742002655</t>
  </si>
  <si>
    <t>-0.3080488313053919</t>
  </si>
  <si>
    <t>0.5011527883122</t>
  </si>
  <si>
    <t>0.5055864304397207</t>
  </si>
  <si>
    <t>1.0650650745201447</t>
  </si>
  <si>
    <t>0.18599492922906452</t>
  </si>
  <si>
    <t>0.16263574031678296</t>
  </si>
  <si>
    <t>1.157435440142144</t>
  </si>
  <si>
    <t>-0.5622104249170681</t>
  </si>
  <si>
    <t>-0.06324465902639095</t>
  </si>
  <si>
    <t>0.8582477676363307</t>
  </si>
  <si>
    <t>-0.16366103641446356</t>
  </si>
  <si>
    <t>-1.9753876431179653</t>
  </si>
  <si>
    <t>0.012301025874965068</t>
  </si>
  <si>
    <t>1.6694624898865467</t>
  </si>
  <si>
    <t>0.1859563160123772</t>
  </si>
  <si>
    <t>0.6652725694407182</t>
  </si>
  <si>
    <t>0.0006803999441386266</t>
  </si>
  <si>
    <t>-0.11251018713130032</t>
  </si>
  <si>
    <t>-0.4155201366977491</t>
  </si>
  <si>
    <t>0.5352770182175374</t>
  </si>
  <si>
    <t>0.7892472023517797</t>
  </si>
  <si>
    <t>1.1160950998040258</t>
  </si>
  <si>
    <t>-0.46869951654013353</t>
  </si>
  <si>
    <t>0.6639169501554928</t>
  </si>
  <si>
    <t>0.5223188586228082</t>
  </si>
  <si>
    <t>0.8898777007968405</t>
  </si>
  <si>
    <t>-0.4204392428966864</t>
  </si>
  <si>
    <t>-0.9093258691385522</t>
  </si>
  <si>
    <t>-0.12860387382816374</t>
  </si>
  <si>
    <t>1.0258662107492251</t>
  </si>
  <si>
    <t>0.4283144353653343</t>
  </si>
  <si>
    <t>0.7942708754784026</t>
  </si>
  <si>
    <t>-0.41028328222046495</t>
  </si>
  <si>
    <t>1.1636063107784427</t>
  </si>
  <si>
    <t>-0.2013784261246241</t>
  </si>
  <si>
    <t>-0.033128113022272566</t>
  </si>
  <si>
    <t>-0.6904176263924804</t>
  </si>
  <si>
    <t>-0.9704435117171837</t>
  </si>
  <si>
    <t>-1.0797824322854288</t>
  </si>
  <si>
    <t>-0.7601312757428307</t>
  </si>
  <si>
    <t>0.5619178707977451</t>
  </si>
  <si>
    <t>1.2642830739269417</t>
  </si>
  <si>
    <t>0.20877195741338672</t>
  </si>
  <si>
    <t>0.3738274111536259</t>
  </si>
  <si>
    <t>0.7012205694700534</t>
  </si>
  <si>
    <t>0.4395889250925597</t>
  </si>
  <si>
    <t>-0.6850407030582084</t>
  </si>
  <si>
    <t>-0.3307705282761204</t>
  </si>
  <si>
    <t>-0.4746185657776043</t>
  </si>
  <si>
    <t>0.13544716876756238</t>
  </si>
  <si>
    <t>0.76251187291323</t>
  </si>
  <si>
    <t>0.5478461168624932</t>
  </si>
  <si>
    <t>0.5347434819133496</t>
  </si>
  <si>
    <t>-0.13391947783667893</t>
  </si>
  <si>
    <t>-0.2557951301546437</t>
  </si>
  <si>
    <t>0.02313285436314804</t>
  </si>
  <si>
    <t>0.18620536552328915</t>
  </si>
  <si>
    <t>-0.49261569069529343</t>
  </si>
  <si>
    <t>-0.28602994830524214</t>
  </si>
  <si>
    <t>0.6304618693608246</t>
  </si>
  <si>
    <t>-0.9915621711713489</t>
  </si>
  <si>
    <t>-0.807177592339531</t>
  </si>
  <si>
    <t>-0.05544200546736855</t>
  </si>
  <si>
    <t>0.24627840886504176</t>
  </si>
  <si>
    <t>-0.01724637922272289</t>
  </si>
  <si>
    <t>-0.21172390366975713</t>
  </si>
  <si>
    <t>0.279916478293717</t>
  </si>
  <si>
    <t>0.09300557063228615</t>
  </si>
  <si>
    <t>0.11854768293518839</t>
  </si>
  <si>
    <t>0.7368248205741751</t>
  </si>
  <si>
    <t>0.3619121543872441</t>
  </si>
  <si>
    <t>0.12532525091566454</t>
  </si>
  <si>
    <t>-1.360460060204943</t>
  </si>
  <si>
    <t>-0.0869812776791133</t>
  </si>
  <si>
    <t>0.7867114345059448</t>
  </si>
  <si>
    <t>-0.15820416525823233</t>
  </si>
  <si>
    <t>1.2008254111909265</t>
  </si>
  <si>
    <t>0.15508272832083492</t>
  </si>
  <si>
    <t>0.4109777975261224</t>
  </si>
  <si>
    <t>-0.05509508267532111</t>
  </si>
  <si>
    <t>1.8435466442925383</t>
  </si>
  <si>
    <t>-0.9790495103725141</t>
  </si>
  <si>
    <t>0.021076601664628616</t>
  </si>
  <si>
    <t>0.47222173960866415</t>
  </si>
  <si>
    <t>-0.7602885182755353</t>
  </si>
  <si>
    <t>0.4607814789581688</t>
  </si>
  <si>
    <t>0.3434558249775066</t>
  </si>
  <si>
    <t>0.7845499673008257</t>
  </si>
  <si>
    <t>1.0724643669657101</t>
  </si>
  <si>
    <t>0.4641027214806814</t>
  </si>
  <si>
    <t>-0.46049658508353486</t>
  </si>
  <si>
    <t>-0.33033036579504593</t>
  </si>
  <si>
    <t>-0.0858916585838375</t>
  </si>
  <si>
    <t>-0.6413939612337709</t>
  </si>
  <si>
    <t>0.011497458559124537</t>
  </si>
  <si>
    <t>-0.09519607188907528</t>
  </si>
  <si>
    <t>0.6934317344669244</t>
  </si>
  <si>
    <t>-0.3312437785771673</t>
  </si>
  <si>
    <t>0.23668271470051896</t>
  </si>
  <si>
    <t>0.015904737840609928</t>
  </si>
  <si>
    <t>-0.5029096871842842</t>
  </si>
  <si>
    <t>-0.4644087970639897</t>
  </si>
  <si>
    <t>0.8534002069967763</t>
  </si>
  <si>
    <t>0.3754724087384514</t>
  </si>
  <si>
    <t>-0.1952228824689187</t>
  </si>
  <si>
    <t>0.2041059030861244</t>
  </si>
  <si>
    <t>1.3868617580074654</t>
  </si>
  <si>
    <t>1.0857413247663283</t>
  </si>
  <si>
    <t>-0.029884785439607427</t>
  </si>
  <si>
    <t>-0.5731605455773012</t>
  </si>
  <si>
    <t>0.13266891580644188</t>
  </si>
  <si>
    <t>0.22387953142888328</t>
  </si>
  <si>
    <t>-0.20867918937969668</t>
  </si>
  <si>
    <t>-0.3629523918438785</t>
  </si>
  <si>
    <t>0.10993944340504988</t>
  </si>
  <si>
    <t>-0.4287816537791297</t>
  </si>
  <si>
    <t>-0.9295421516986146</t>
  </si>
  <si>
    <t>-0.5162701237810114</t>
  </si>
  <si>
    <t>-0.995557737009992</t>
  </si>
  <si>
    <t>0.7567269345218318</t>
  </si>
  <si>
    <t>0.17199662002628477</t>
  </si>
  <si>
    <t>-0.39174655942023506</t>
  </si>
  <si>
    <t>-0.06965153123753537</t>
  </si>
  <si>
    <t>-0.17492177002127043</t>
  </si>
  <si>
    <t>0.2649289775068116</t>
  </si>
  <si>
    <t>-0.7338850134566344</t>
  </si>
  <si>
    <t>-0.5771877815749659</t>
  </si>
  <si>
    <t>-0.3710375083917169</t>
  </si>
  <si>
    <t>0.19822852702821125</t>
  </si>
  <si>
    <t>-0.7648358870599424</t>
  </si>
  <si>
    <t>-0.5646070424704033</t>
  </si>
  <si>
    <t>0.5735666121055648</t>
  </si>
  <si>
    <t>1.6653488131791145</t>
  </si>
  <si>
    <t>0.011994535156045686</t>
  </si>
  <si>
    <t>-2.0282857615913676</t>
  </si>
  <si>
    <t>-0.3236937023422332</t>
  </si>
  <si>
    <t>0.11149867516232732</t>
  </si>
  <si>
    <t>-1.640422565863584</t>
  </si>
  <si>
    <t>-1.375662054177577</t>
  </si>
  <si>
    <t>-1.2632234274173377</t>
  </si>
  <si>
    <t>-0.5324602229220864</t>
  </si>
  <si>
    <t>0.11693761543902748</t>
  </si>
  <si>
    <t>-0.6721318300951238</t>
  </si>
  <si>
    <t>0.23489056607572611</t>
  </si>
  <si>
    <t>0.8485070855716091</t>
  </si>
  <si>
    <t>0.767948996822225</t>
  </si>
  <si>
    <t>-0.04133133198115074</t>
  </si>
  <si>
    <t>0.8356374558945497</t>
  </si>
  <si>
    <t>0.43191953227906466</t>
  </si>
  <si>
    <t>-0.40384470414531376</t>
  </si>
  <si>
    <t>-1.2620092074193574</t>
  </si>
  <si>
    <t>0.07637405851660768</t>
  </si>
  <si>
    <t>0.3548312874352757</t>
  </si>
  <si>
    <t>-0.578435752131097</t>
  </si>
  <si>
    <t>0.013754368542946954</t>
  </si>
  <si>
    <t>0.44753056834694516</t>
  </si>
  <si>
    <t>-0.34091172709136575</t>
  </si>
  <si>
    <t>1.1195393937132705</t>
  </si>
  <si>
    <t>0.6614304358508496</t>
  </si>
  <si>
    <t>0.22971681181265988</t>
  </si>
  <si>
    <t>0.016336966101388843</t>
  </si>
  <si>
    <t>0.5462677732302628</t>
  </si>
  <si>
    <t>0.7062396186583076</t>
  </si>
  <si>
    <t>-1.13523491094541</t>
  </si>
  <si>
    <t>-0.7531720515792761</t>
  </si>
  <si>
    <t>-0.25895723403607745</t>
  </si>
  <si>
    <t>0.03932265758869005</t>
  </si>
  <si>
    <t>0.6038312087467667</t>
  </si>
  <si>
    <t>0.25891413453750367</t>
  </si>
  <si>
    <t>-0.7808207122819335</t>
  </si>
  <si>
    <t>0.23238797352977456</t>
  </si>
  <si>
    <t>-0.48332118581352534</t>
  </si>
  <si>
    <t>-0.18026691897168404</t>
  </si>
  <si>
    <t>0.237062035416237</t>
  </si>
  <si>
    <t>0.9835472838451693</t>
  </si>
  <si>
    <t>-0.9856249020546831</t>
  </si>
  <si>
    <t>-0.3050376224967938</t>
  </si>
  <si>
    <t>-0.19554867942515772</t>
  </si>
  <si>
    <t>0.046820465443382496</t>
  </si>
  <si>
    <t>-0.26274873258775633</t>
  </si>
  <si>
    <t>1.1682775204748925</t>
  </si>
  <si>
    <t>0.7925418216110888</t>
  </si>
  <si>
    <t>0.39713701773967025</t>
  </si>
  <si>
    <t>0.35959773771518955</t>
  </si>
  <si>
    <t>1.248262956944337</t>
  </si>
  <si>
    <t>-0.07829143997441927</t>
  </si>
  <si>
    <t>-0.6614355175429367</t>
  </si>
  <si>
    <t>-0.9322224422685637</t>
  </si>
  <si>
    <t>0.6137731883788512</t>
  </si>
  <si>
    <t>-0.04362694666119819</t>
  </si>
  <si>
    <t>0.5665510407850952</t>
  </si>
  <si>
    <t>0.7292624245001247</t>
  </si>
  <si>
    <t>-0.4759779059193791</t>
  </si>
  <si>
    <t>-0.37851990827578763</t>
  </si>
  <si>
    <t>-0.17550366683138707</t>
  </si>
  <si>
    <t>0.035608835174908475</t>
  </si>
  <si>
    <t>0.09335271028366739</t>
  </si>
  <si>
    <t>-0.5765370690558302</t>
  </si>
  <si>
    <t>0.03261701200073941</t>
  </si>
  <si>
    <t>-0.8286342790883102</t>
  </si>
  <si>
    <t>-0.07576458380203605</t>
  </si>
  <si>
    <t>0.4678227956092412</t>
  </si>
  <si>
    <t>0.09117191958844527</t>
  </si>
  <si>
    <t>-0.36087444214113223</t>
  </si>
  <si>
    <t>0.028861112074916397</t>
  </si>
  <si>
    <t>-0.7292631565058051</t>
  </si>
  <si>
    <t>0.0889451778216177</t>
  </si>
  <si>
    <t>-1.0006836522514393</t>
  </si>
  <si>
    <t>-0.24484300249245797</t>
  </si>
  <si>
    <t>-0.6526003015408378</t>
  </si>
  <si>
    <t>-0.586386482285426</t>
  </si>
  <si>
    <t>-0.06211204192692091</t>
  </si>
  <si>
    <t>0.018929504511085868</t>
  </si>
  <si>
    <t>-1.1171840594959244</t>
  </si>
  <si>
    <t>-0.22022736551062422</t>
  </si>
  <si>
    <t>0.7072746429319069</t>
  </si>
  <si>
    <t>-1.2597788423316327</t>
  </si>
  <si>
    <t>0.6052629417445896</t>
  </si>
  <si>
    <t>0.18816914409988672</t>
  </si>
  <si>
    <t>-0.057261484932100405</t>
  </si>
  <si>
    <t>0.023394810846704854</t>
  </si>
  <si>
    <t>0.833517158470366</t>
  </si>
  <si>
    <t>1.948998032546756</t>
  </si>
  <si>
    <t>-0.3269917031526712</t>
  </si>
  <si>
    <t>0.43065167375078955</t>
  </si>
  <si>
    <t>-0.05582096821101946</t>
  </si>
  <si>
    <t>0.7475562148993243</t>
  </si>
  <si>
    <t>-0.7930831591190809</t>
  </si>
  <si>
    <t>-1.2473551969219856</t>
  </si>
  <si>
    <t>0.21201030803405568</t>
  </si>
  <si>
    <t>-0.003835905484871217</t>
  </si>
  <si>
    <t>1.048265970440761</t>
  </si>
  <si>
    <t>-0.1074969723912883</t>
  </si>
  <si>
    <t>0.14237974407704362</t>
  </si>
  <si>
    <t>-0.336058631030106</t>
  </si>
  <si>
    <t>0.09684336271664876</t>
  </si>
  <si>
    <t>0.13517580353184747</t>
  </si>
  <si>
    <t>1.0504825756634255</t>
  </si>
  <si>
    <t>-1.4651534239568453</t>
  </si>
  <si>
    <t>0.7169425023426135</t>
  </si>
  <si>
    <t>0.9368899342149285</t>
  </si>
  <si>
    <t>-0.19632836366165712</t>
  </si>
  <si>
    <t>-0.085482984149753</t>
  </si>
  <si>
    <t>0.4545458990660332</t>
  </si>
  <si>
    <t>-0.725867404674894</t>
  </si>
  <si>
    <t>0.20410076355526585</t>
  </si>
  <si>
    <t>0.20283259350165583</t>
  </si>
  <si>
    <t>-1.5289691814608708</t>
  </si>
  <si>
    <t>-0.13635082769194845</t>
  </si>
  <si>
    <t>0.5599275542925777</t>
  </si>
  <si>
    <t>-1.0446545705514902</t>
  </si>
  <si>
    <t>0.9492546328833456</t>
  </si>
  <si>
    <t>-0.06219702766264898</t>
  </si>
  <si>
    <t>2.146858743184808</t>
  </si>
  <si>
    <t>0.11138407421750444</t>
  </si>
  <si>
    <t>-0.8688854208748448</t>
  </si>
  <si>
    <t>-0.4557890673512173</t>
  </si>
  <si>
    <t>-1.2734129827768208</t>
  </si>
  <si>
    <t>-0.016768643499673996</t>
  </si>
  <si>
    <t>-0.8207216832457139</t>
  </si>
  <si>
    <t>0.2570074876802296</t>
  </si>
  <si>
    <t>0.2909139728245735</t>
  </si>
  <si>
    <t>0.02569250404678282</t>
  </si>
  <si>
    <t>-1.0210260564412421</t>
  </si>
  <si>
    <t>-0.5162556010398158</t>
  </si>
  <si>
    <t>-0.5095752767802842</t>
  </si>
  <si>
    <t>-0.7966177149919847</t>
  </si>
  <si>
    <t>0.6599905470825409</t>
  </si>
  <si>
    <t>-0.04606432134511681</t>
  </si>
  <si>
    <t>-0.25136574923383076</t>
  </si>
  <si>
    <t>1.7414566949447488</t>
  </si>
  <si>
    <t>0.1949333750325924</t>
  </si>
  <si>
    <t>0.6515079796314726</t>
  </si>
  <si>
    <t>-0.7154062270832682</t>
  </si>
  <si>
    <t>-0.11942176958515414</t>
  </si>
  <si>
    <t>0.8736663501158562</t>
  </si>
  <si>
    <t>-0.35101793851978463</t>
  </si>
  <si>
    <t>0.7812005265905825</t>
  </si>
  <si>
    <t>-1.154623818476225</t>
  </si>
  <si>
    <t>0.84285670873209</t>
  </si>
  <si>
    <t>-1.3883926579075754</t>
  </si>
  <si>
    <t>0.09800988046409737</t>
  </si>
  <si>
    <t>0.8083064988578964</t>
  </si>
  <si>
    <t>0.2230784466633349</t>
  </si>
  <si>
    <t>0.9701308692987</t>
  </si>
  <si>
    <t>-0.8670142239486629</t>
  </si>
  <si>
    <t>0.7523407090942615</t>
  </si>
  <si>
    <t>-1.1896601988469317</t>
  </si>
  <si>
    <t>1.4674930394214578</t>
  </si>
  <si>
    <t>-0.7223639148964529</t>
  </si>
  <si>
    <t>-0.6090045413314944</t>
  </si>
  <si>
    <t>0.3121651827897411</t>
  </si>
  <si>
    <t>-0.03994335921930756</t>
  </si>
  <si>
    <t>0.4334364092357898</t>
  </si>
  <si>
    <t>0.0751605959004777</t>
  </si>
  <si>
    <t>0.41796626890882055</t>
  </si>
  <si>
    <t>-0.8754429322878923</t>
  </si>
  <si>
    <t>-0.6638984774977299</t>
  </si>
  <si>
    <t>0.4815384906378646</t>
  </si>
  <si>
    <t>-0.7479603815061059</t>
  </si>
  <si>
    <t>-0.30830523051026804</t>
  </si>
  <si>
    <t>-0.11768831890106964</t>
  </si>
  <si>
    <t>0.37730431276251436</t>
  </si>
  <si>
    <t>-0.29748536809509424</t>
  </si>
  <si>
    <t>0.12296191936676511</t>
  </si>
  <si>
    <t>1.284221987821557</t>
  </si>
  <si>
    <t>-1.0792881394544096</t>
  </si>
  <si>
    <t>-1.529716006655598</t>
  </si>
  <si>
    <t>-1.4434385440006925</t>
  </si>
  <si>
    <t>1.4835169320379653</t>
  </si>
  <si>
    <t>0.7690644767539792</t>
  </si>
  <si>
    <t>-0.13858110754330838</t>
  </si>
  <si>
    <t>1.2403771530109624</t>
  </si>
  <si>
    <t>-0.4635839130626153</t>
  </si>
  <si>
    <t>-0.9108356673079334</t>
  </si>
  <si>
    <t>-0.19787815904894893</t>
  </si>
  <si>
    <t>1.128659237949239</t>
  </si>
  <si>
    <t>0.49173713675479064</t>
  </si>
  <si>
    <t>0.2945625289519333</t>
  </si>
  <si>
    <t>-1.3041441660927555</t>
  </si>
  <si>
    <t>-0.0849584850534617</t>
  </si>
  <si>
    <t>0.231900569488562</t>
  </si>
  <si>
    <t>-0.44611093973036725</t>
  </si>
  <si>
    <t>0.21679310663593984</t>
  </si>
  <si>
    <t>1.1146939804824085</t>
  </si>
  <si>
    <t>-0.2170402658634283</t>
  </si>
  <si>
    <t>0.441264092840352</t>
  </si>
  <si>
    <t>0.7308785411940086</t>
  </si>
  <si>
    <t>0.2174454035712305</t>
  </si>
  <si>
    <t>-0.010424947974048164</t>
  </si>
  <si>
    <t>-1.0929126689585542</t>
  </si>
  <si>
    <t>0.05722035160656997</t>
  </si>
  <si>
    <t>-1.872313750408183</t>
  </si>
  <si>
    <t>1.0537061427217713</t>
  </si>
  <si>
    <t>-0.3072927636048637</t>
  </si>
  <si>
    <t>0.10881279741984495</t>
  </si>
  <si>
    <t>-0.47127065854664857</t>
  </si>
  <si>
    <t>0.2811706629388389</t>
  </si>
  <si>
    <t>0.14312136503453077</t>
  </si>
  <si>
    <t>-0.8116376453936361</t>
  </si>
  <si>
    <t>-0.15453843677368448</t>
  </si>
  <si>
    <t>-1.018090179080866</t>
  </si>
  <si>
    <t>-0.5359964252889179</t>
  </si>
  <si>
    <t>0.7721675796351162</t>
  </si>
  <si>
    <t>-1.211274901277687</t>
  </si>
  <si>
    <t>-0.17566054068778977</t>
  </si>
  <si>
    <t>-0.7438379069139093</t>
  </si>
  <si>
    <t>-0.17011049778275134</t>
  </si>
  <si>
    <t>1.2897143218349576</t>
  </si>
  <si>
    <t>-0.4179795250185717</t>
  </si>
  <si>
    <t>-0.5108894176518032</t>
  </si>
  <si>
    <t>-0.5389085959928488</t>
  </si>
  <si>
    <t>-0.42457685551746216</t>
  </si>
  <si>
    <t>0.27401406551585733</t>
  </si>
  <si>
    <t>-0.701775175151459</t>
  </si>
  <si>
    <t>0.09493751892157333</t>
  </si>
  <si>
    <t>-0.27611430897084355</t>
  </si>
  <si>
    <t>-0.9304990288844889</t>
  </si>
  <si>
    <t>-0.7925219775139798</t>
  </si>
  <si>
    <t>-0.09403899538773021</t>
  </si>
  <si>
    <t>1.3719524438533621</t>
  </si>
  <si>
    <t>0.6806895557093866</t>
  </si>
  <si>
    <t>-0.16140194571448147</t>
  </si>
  <si>
    <t>0.19427049710111202</t>
  </si>
  <si>
    <t>-1.1522432374860403</t>
  </si>
  <si>
    <t>-0.29327523231287544</t>
  </si>
  <si>
    <t>1.8147321045743476</t>
  </si>
  <si>
    <t>-0.4992631867426887</t>
  </si>
  <si>
    <t>0.1995977725663685</t>
  </si>
  <si>
    <t>0.23966570132610954</t>
  </si>
  <si>
    <t>-1.8244041223525098</t>
  </si>
  <si>
    <t>1.330390575350659</t>
  </si>
  <si>
    <t>-0.5062091557203834</t>
  </si>
  <si>
    <t>-1.030907161843329</t>
  </si>
  <si>
    <t>1.0308486559038694</t>
  </si>
  <si>
    <t>0.23104836469397924</t>
  </si>
  <si>
    <t>-1.2928162438573325</t>
  </si>
  <si>
    <t>0.5012467647451577</t>
  </si>
  <si>
    <t>0.03782183044357154</t>
  </si>
  <si>
    <t>-0.02991009521050986</t>
  </si>
  <si>
    <t>-0.3732570757681968</t>
  </si>
  <si>
    <t>0.053145331650367535</t>
  </si>
  <si>
    <t>1.1054442278664973</t>
  </si>
  <si>
    <t>1.3803796464786595</t>
  </si>
  <si>
    <t>-1.7904980741950411</t>
  </si>
  <si>
    <t>0.940772022281026</t>
  </si>
  <si>
    <t>0.05628379867710888</t>
  </si>
  <si>
    <t>0.1326878752854061</t>
  </si>
  <si>
    <t>1.577420184716841</t>
  </si>
  <si>
    <t>1.466140543050648</t>
  </si>
  <si>
    <t>3.3928760332550727</t>
  </si>
  <si>
    <t>-0.3372957212911709</t>
  </si>
  <si>
    <t>-0.5775674025597121</t>
  </si>
  <si>
    <t>0.02204736297237992</t>
  </si>
  <si>
    <t>0.5290710468216157</t>
  </si>
  <si>
    <t>-0.8431219071518602</t>
  </si>
  <si>
    <t>-0.5588300866847264</t>
  </si>
  <si>
    <t>0.7594988146726065</t>
  </si>
  <si>
    <t>0.11926512160191738</t>
  </si>
  <si>
    <t>-1.111294645446431</t>
  </si>
  <si>
    <t>-0.3248632215997665</t>
  </si>
  <si>
    <t>-0.25839346176360534</t>
  </si>
  <si>
    <t>0.6657406126945844</t>
  </si>
  <si>
    <t>-0.19784770796347736</t>
  </si>
  <si>
    <t>0.4418822055724607</t>
  </si>
  <si>
    <t>0.5441262569705303</t>
  </si>
  <si>
    <t>0.2262908385557584</t>
  </si>
  <si>
    <t>0.10848637929489784</t>
  </si>
  <si>
    <t>-1.0917741079110908</t>
  </si>
  <si>
    <t>-0.47959130362760544</t>
  </si>
  <si>
    <t>0.6392876880299924</t>
  </si>
  <si>
    <t>0.4379978389412211</t>
  </si>
  <si>
    <t>0.937131627612155</t>
  </si>
  <si>
    <t>-0.6378869595427484</t>
  </si>
  <si>
    <t>0.9529617270973167</t>
  </si>
  <si>
    <t>-0.28984403942360415</t>
  </si>
  <si>
    <t>1.2202158466684003</t>
  </si>
  <si>
    <t>-0.5716726781945481</t>
  </si>
  <si>
    <t>1.1155567515029334</t>
  </si>
  <si>
    <t>2.1214859485236173</t>
  </si>
  <si>
    <t>0.6730202606263603</t>
  </si>
  <si>
    <t>0.17099031164780487</t>
  </si>
  <si>
    <t>0.6492426923107693</t>
  </si>
  <si>
    <t>0.47663971937253213</t>
  </si>
  <si>
    <t>-0.17639504961486852</t>
  </si>
  <si>
    <t>0.33690372891828535</t>
  </si>
  <si>
    <t>0.43444952666147063</t>
  </si>
  <si>
    <t>0.14276273762270292</t>
  </si>
  <si>
    <t>-1.487167507080095</t>
  </si>
  <si>
    <t>1.403707271488879</t>
  </si>
  <si>
    <t>0.7830727399223656</t>
  </si>
  <si>
    <t>-0.3497633260083071</t>
  </si>
  <si>
    <t>-1.781598149634993</t>
  </si>
  <si>
    <t>0.344741995847084</t>
  </si>
  <si>
    <t>-0.9390561103024618</t>
  </si>
  <si>
    <t>2.043770564222828</t>
  </si>
  <si>
    <t>-0.06864921745252835</t>
  </si>
  <si>
    <t>0.8832700452654877</t>
  </si>
  <si>
    <t>0.8268038109837347</t>
  </si>
  <si>
    <t>1.0980931129283673</t>
  </si>
  <si>
    <t>-2.4669188426947817</t>
  </si>
  <si>
    <t>1.0067934748921816</t>
  </si>
  <si>
    <t>-0.9963116027215205</t>
  </si>
  <si>
    <t>-1.3062524455244444</t>
  </si>
  <si>
    <t>0.9649850463673595</t>
  </si>
  <si>
    <t>1.4517238884660457</t>
  </si>
  <si>
    <t>0.4942654432490856</t>
  </si>
  <si>
    <t>0.5662036832058824</t>
  </si>
  <si>
    <t>-0.07809619311654906</t>
  </si>
  <si>
    <t>-0.5301232822698546</t>
  </si>
  <si>
    <t>0.5028553684833348</t>
  </si>
  <si>
    <t>-0.26444183544872313</t>
  </si>
  <si>
    <t>-1.0172890014982152</t>
  </si>
  <si>
    <t>1.0215612437200599</t>
  </si>
  <si>
    <t>0.19509286106745843</t>
  </si>
  <si>
    <t>0.07836194868548048</t>
  </si>
  <si>
    <t>1.3044088791557824</t>
  </si>
  <si>
    <t>-0.8881953416123167</t>
  </si>
  <si>
    <t>-1.4160845033856446</t>
  </si>
  <si>
    <t>-0.5379455182900602</t>
  </si>
  <si>
    <t>0.7212265351324082</t>
  </si>
  <si>
    <t>-1.3909743502873013</t>
  </si>
  <si>
    <t>-0.379338966054066</t>
  </si>
  <si>
    <t>0.9040083471866848</t>
  </si>
  <si>
    <t>-1.420941156204556</t>
  </si>
  <si>
    <t>1.563321643091261</t>
  </si>
  <si>
    <t>0.989141520192613</t>
  </si>
  <si>
    <t>0.8489042116402061</t>
  </si>
  <si>
    <t>0.8450724820083221</t>
  </si>
  <si>
    <t>0.03608109370698308</t>
  </si>
  <si>
    <t>-0.06724878220826408</t>
  </si>
  <si>
    <t>0.7046152375703777</t>
  </si>
  <si>
    <t>1.556045665420158</t>
  </si>
  <si>
    <t>0.06972768461993123</t>
  </si>
  <si>
    <t>-0.28896215543831216</t>
  </si>
  <si>
    <t>0.7666884917091543</t>
  </si>
  <si>
    <t>0.9578612492398916</t>
  </si>
  <si>
    <t>1.0995463397987852</t>
  </si>
  <si>
    <t>-0.42554244485300186</t>
  </si>
  <si>
    <t>-0.42034968312423815</t>
  </si>
  <si>
    <t>0.17891765108689253</t>
  </si>
  <si>
    <t>0.5855927969071762</t>
  </si>
  <si>
    <t>-0.07718631287655121</t>
  </si>
  <si>
    <t>0.5886910793820163</t>
  </si>
  <si>
    <t>1.3130685198476484</t>
  </si>
  <si>
    <t>-0.08284109799345404</t>
  </si>
  <si>
    <t>-0.7061500740138986</t>
  </si>
  <si>
    <t>0.12199610778850035</t>
  </si>
  <si>
    <t>-1.2421265763964244</t>
  </si>
  <si>
    <t>-0.573848728198242</t>
  </si>
  <si>
    <t>-0.188938708458491</t>
  </si>
  <si>
    <t>-0.39388998432633154</t>
  </si>
  <si>
    <t>-0.3059496107836042</t>
  </si>
  <si>
    <t>0.012136758661694254</t>
  </si>
  <si>
    <t>1.0723707722489608</t>
  </si>
  <si>
    <t>0.47236847511941255</t>
  </si>
  <si>
    <t>0.8489249082778201</t>
  </si>
  <si>
    <t>0.6710498838863768</t>
  </si>
  <si>
    <t>-0.6507633817088201</t>
  </si>
  <si>
    <t>0.35367039067121997</t>
  </si>
  <si>
    <t>0.3542716254094428</t>
  </si>
  <si>
    <t>-0.6389159724529814</t>
  </si>
  <si>
    <t>-0.5223571809956624</t>
  </si>
  <si>
    <t>0.13285818549428854</t>
  </si>
  <si>
    <t>0.3296958817576947</t>
  </si>
  <si>
    <t>0.08476140148121085</t>
  </si>
  <si>
    <t>1.4582242086178818</t>
  </si>
  <si>
    <t>-0.7875405854129677</t>
  </si>
  <si>
    <t>0.726257485008255</t>
  </si>
  <si>
    <t>0.04562351998157242</t>
  </si>
  <si>
    <t>0.35045504670770217</t>
  </si>
  <si>
    <t>0.17961999210794122</t>
  </si>
  <si>
    <t>0.20910425194782592</t>
  </si>
  <si>
    <t>0.33833897450327377</t>
  </si>
  <si>
    <t>-0.5794070197609313</t>
  </si>
  <si>
    <t>0.8791003373431209</t>
  </si>
  <si>
    <t>-0.20799533578629306</t>
  </si>
  <si>
    <t>-0.13855975707113993</t>
  </si>
  <si>
    <t>-0.2614422364687584</t>
  </si>
  <si>
    <t>-0.4884353604188934</t>
  </si>
  <si>
    <t>-0.528857082491554</t>
  </si>
  <si>
    <t>0.7582134010875824</t>
  </si>
  <si>
    <t>1.408437178985363</t>
  </si>
  <si>
    <t>0.768692095727096</t>
  </si>
  <si>
    <t>0.48597503214159693</t>
  </si>
  <si>
    <t>-0.1561484256474498</t>
  </si>
  <si>
    <t>-0.16773034304091627</t>
  </si>
  <si>
    <t>0.6814775748345647</t>
  </si>
  <si>
    <t>-0.09730016637541473</t>
  </si>
  <si>
    <t>-0.37181319289250636</t>
  </si>
  <si>
    <t>0.5453600382056446</t>
  </si>
  <si>
    <t>0.23025591980037585</t>
  </si>
  <si>
    <t>-0.0003052648861421489</t>
  </si>
  <si>
    <t>-1.0752851686174696</t>
  </si>
  <si>
    <t>0.16382774484555943</t>
  </si>
  <si>
    <t>0.0816300043885807</t>
  </si>
  <si>
    <t>0.9364494155784602</t>
  </si>
  <si>
    <t>0.49113153978828195</t>
  </si>
  <si>
    <t>-1.1499023846574425</t>
  </si>
  <si>
    <t>0.10755268272237237</t>
  </si>
  <si>
    <t>0.5096325788746128</t>
  </si>
  <si>
    <t>0.28147541644800367</t>
  </si>
  <si>
    <t>0.009183174828805273</t>
  </si>
  <si>
    <t>0.015757254715185125</t>
  </si>
  <si>
    <t>-1.1867824239850746</t>
  </si>
  <si>
    <t>0.22106923627701378</t>
  </si>
  <si>
    <t>0.21751295057197387</t>
  </si>
  <si>
    <t>0.14404160283754153</t>
  </si>
  <si>
    <t>-0.0242979184891958</t>
  </si>
  <si>
    <t>-0.11359119339479491</t>
  </si>
  <si>
    <t>-0.03457653886618866</t>
  </si>
  <si>
    <t>-0.0664586637667912</t>
  </si>
  <si>
    <t>0.5163207879825522</t>
  </si>
  <si>
    <t>0.41621848930990873</t>
  </si>
  <si>
    <t>-0.7338068039187396</t>
  </si>
  <si>
    <t>0.5434465929049772</t>
  </si>
  <si>
    <t>0.059191379889878444</t>
  </si>
  <si>
    <t>1.0200367173547817</t>
  </si>
  <si>
    <t>-0.2389832607387893</t>
  </si>
  <si>
    <t>0.6919840720459535</t>
  </si>
  <si>
    <t>-1.1031821894994227</t>
  </si>
  <si>
    <t>-0.5369142572564543</t>
  </si>
  <si>
    <t>-0.1519482063058367</t>
  </si>
  <si>
    <t>-0.5033376916445145</t>
  </si>
  <si>
    <t>0.432202755699964</t>
  </si>
  <si>
    <t>0.2938135461849821</t>
  </si>
  <si>
    <t>-0.43328758043538795</t>
  </si>
  <si>
    <t>-0.8253228902598803</t>
  </si>
  <si>
    <t>-0.49591371197876427</t>
  </si>
  <si>
    <t>-0.3298033060293477</t>
  </si>
  <si>
    <t>1.2055244390809714</t>
  </si>
  <si>
    <t>0.7060862386178155</t>
  </si>
  <si>
    <t>-0.5805544448299033</t>
  </si>
  <si>
    <t>0.9050731902155589</t>
  </si>
  <si>
    <t>0.6206793314758676</t>
  </si>
  <si>
    <t>0.38863471733575794</t>
  </si>
  <si>
    <t>-1.428792822554586</t>
  </si>
  <si>
    <t>-0.8790238986217984</t>
  </si>
  <si>
    <t>0.5941255294631229</t>
  </si>
  <si>
    <t>-1.0156445903538651</t>
  </si>
  <si>
    <t>0.2371545432289801</t>
  </si>
  <si>
    <t>0.47058292487120074</t>
  </si>
  <si>
    <t>-0.2046268953767763</t>
  </si>
  <si>
    <t>-0.6417880062666879</t>
  </si>
  <si>
    <t>0.4345206319081609</t>
  </si>
  <si>
    <t>-1.0354989570253494</t>
  </si>
  <si>
    <t>-0.2754596345535884</t>
  </si>
  <si>
    <t>0.09615249463201471</t>
  </si>
  <si>
    <t>0.9255716695099405</t>
  </si>
  <si>
    <t>0.16124982329929827</t>
  </si>
  <si>
    <t>-0.32006396434816453</t>
  </si>
  <si>
    <t>-0.48559798634577717</t>
  </si>
  <si>
    <t>0.24675018836969295</t>
  </si>
  <si>
    <t>-1.0651241395291202</t>
  </si>
  <si>
    <t>-0.3323023272406966</t>
  </si>
  <si>
    <t>-0.18341353969358168</t>
  </si>
  <si>
    <t>-0.16848222745131847</t>
  </si>
  <si>
    <t>-0.6168740441756569</t>
  </si>
  <si>
    <t>-0.061887966119848904</t>
  </si>
  <si>
    <t>0.6649110700956342</t>
  </si>
  <si>
    <t>-0.9638550391325086</t>
  </si>
  <si>
    <t>1.261840576238315</t>
  </si>
  <si>
    <t>-0.12025754100559319</t>
  </si>
  <si>
    <t>0.6543946284769153</t>
  </si>
  <si>
    <t>0.7614478666852702</t>
  </si>
  <si>
    <t>-1.3317881740637205</t>
  </si>
  <si>
    <t>-0.5208924214467308</t>
  </si>
  <si>
    <t>0.17122494658928053</t>
  </si>
  <si>
    <t>0.14535985063145057</t>
  </si>
  <si>
    <t>0.08741900825267117</t>
  </si>
  <si>
    <t>-0.8792962099120747</t>
  </si>
  <si>
    <t>-0.8692357756828242</t>
  </si>
  <si>
    <t>0.3477308347500128</t>
  </si>
  <si>
    <t>0.7196541084177517</t>
  </si>
  <si>
    <t>-0.027382744759146656</t>
  </si>
  <si>
    <t>-0.3554243959742531</t>
  </si>
  <si>
    <t>-0.8960453225847892</t>
  </si>
  <si>
    <t>0.10922256948619802</t>
  </si>
  <si>
    <t>-0.07038509687408177</t>
  </si>
  <si>
    <t>-0.03542146271879872</t>
  </si>
  <si>
    <t>0.17263879657164788</t>
  </si>
  <si>
    <t>-0.085598405508459</t>
  </si>
  <si>
    <t>-1.657806247494934</t>
  </si>
  <si>
    <t>-1.5260088157712322</t>
  </si>
  <si>
    <t>1.3295179796991414</t>
  </si>
  <si>
    <t>-1.1572042234614863</t>
  </si>
  <si>
    <t>0.2978613174955575</t>
  </si>
  <si>
    <t>0.595983712737711</t>
  </si>
  <si>
    <t>-0.05708887456130846</t>
  </si>
  <si>
    <t>0.12365981305708285</t>
  </si>
  <si>
    <t>-0.8243041831482808</t>
  </si>
  <si>
    <t>0.190345388233517</t>
  </si>
  <si>
    <t>-0.38828427515719593</t>
  </si>
  <si>
    <t>0.11308598306566194</t>
  </si>
  <si>
    <t>-1.0827014562254045</t>
  </si>
  <si>
    <t>-0.1777851433451042</t>
  </si>
  <si>
    <t>-0.1986286367737305</t>
  </si>
  <si>
    <t>-0.14451444514546521</t>
  </si>
  <si>
    <t>-0.742063771106929</t>
  </si>
  <si>
    <t>-0.016893577760754046</t>
  </si>
  <si>
    <t>0.11415540324822496</t>
  </si>
  <si>
    <t>-0.18935717189307816</t>
  </si>
  <si>
    <t>-0.6777349544408157</t>
  </si>
  <si>
    <t>0.2762289435014795</t>
  </si>
  <si>
    <t>0.1750524157013989</t>
  </si>
  <si>
    <t>0.45201899087584146</t>
  </si>
  <si>
    <t>2.838082682567953</t>
  </si>
  <si>
    <t>0.9027884824655362</t>
  </si>
  <si>
    <t>0.5792236735315989</t>
  </si>
  <si>
    <t>-0.5855695917532936</t>
  </si>
  <si>
    <t>-0.7695784990629218</t>
  </si>
  <si>
    <t>0.14222699711595999</t>
  </si>
  <si>
    <t>0.7001704875363509</t>
  </si>
  <si>
    <t>0.06972071167305217</t>
  </si>
  <si>
    <t>-0.5674282404815213</t>
  </si>
  <si>
    <t>-0.2400686318224509</t>
  </si>
  <si>
    <t>-0.18906261648107933</t>
  </si>
  <si>
    <t>-1.649138359529423</t>
  </si>
  <si>
    <t>0.3567996034209944</t>
  </si>
  <si>
    <t>-1.3476442283167873</t>
  </si>
  <si>
    <t>0.16420555373808135</t>
  </si>
  <si>
    <t>-0.04120730242001094</t>
  </si>
  <si>
    <t>-0.330429066117323</t>
  </si>
  <si>
    <t>-0.5711026346556201</t>
  </si>
  <si>
    <t>-0.8000585609818194</t>
  </si>
  <si>
    <t>-0.8734052553286037</t>
  </si>
  <si>
    <t>-0.145510591388294</t>
  </si>
  <si>
    <t>0.9387978982031242</t>
  </si>
  <si>
    <t>1.4590798460686412</t>
  </si>
  <si>
    <t>-0.27704703399733993</t>
  </si>
  <si>
    <t>-2.1816682181593476</t>
  </si>
  <si>
    <t>0.2608193300669608</t>
  </si>
  <si>
    <t>-1.511736143752971</t>
  </si>
  <si>
    <t>-0.5929541476735399</t>
  </si>
  <si>
    <t>1.8995200030951354</t>
  </si>
  <si>
    <t>-0.6392451300199473</t>
  </si>
  <si>
    <t>-0.5644147073920818</t>
  </si>
  <si>
    <t>-0.6131115293910077</t>
  </si>
  <si>
    <t>0.16432294348853044</t>
  </si>
  <si>
    <t>-0.7961496789524267</t>
  </si>
  <si>
    <t>0.4307881705510058</t>
  </si>
  <si>
    <t>1.515746458596673</t>
  </si>
  <si>
    <t>0.26764626888266335</t>
  </si>
  <si>
    <t>-0.4431434871419832</t>
  </si>
  <si>
    <t>-0.6119167604298019</t>
  </si>
  <si>
    <t>0.17776859995761124</t>
  </si>
  <si>
    <t>-0.512561902518771</t>
  </si>
  <si>
    <t>0.1672754163217659</t>
  </si>
  <si>
    <t>-0.7162462749815</t>
  </si>
  <si>
    <t>-1.0257155811527956</t>
  </si>
  <si>
    <t>-0.03346027213552627</t>
  </si>
  <si>
    <t>-0.45330777682600676</t>
  </si>
  <si>
    <t>-1.0487874967945496</t>
  </si>
  <si>
    <t>-0.8458307304953698</t>
  </si>
  <si>
    <t>-0.3901315858799478</t>
  </si>
  <si>
    <t>-0.5082991316221513</t>
  </si>
  <si>
    <t>-0.01561665938820887</t>
  </si>
  <si>
    <t>0.3068551736232074</t>
  </si>
  <si>
    <t>-1.9206437725709733</t>
  </si>
  <si>
    <t>1.2041880918992698</t>
  </si>
  <si>
    <t>0.17262254795679755</t>
  </si>
  <si>
    <t>0.0657834500403214</t>
  </si>
  <si>
    <t>1.4475141516289527</t>
  </si>
  <si>
    <t>1.2300844310486017</t>
  </si>
  <si>
    <t>-0.11087532703922735</t>
  </si>
  <si>
    <t>0.4387906182497394</t>
  </si>
  <si>
    <t>1.135981654126007</t>
  </si>
  <si>
    <t>0.002273103502903448</t>
  </si>
  <si>
    <t>-0.22255889033907664</t>
  </si>
  <si>
    <t>-0.25041332248339254</t>
  </si>
  <si>
    <t>-0.32567850539627463</t>
  </si>
  <si>
    <t>1.5530737067399847</t>
  </si>
  <si>
    <t>-0.9164984673189428</t>
  </si>
  <si>
    <t>0.04771185568641631</t>
  </si>
  <si>
    <t>0.3942055436646174</t>
  </si>
  <si>
    <t>-0.19194152573775278</t>
  </si>
  <si>
    <t>-0.9989820266108983</t>
  </si>
  <si>
    <t>0.3066245537174886</t>
  </si>
  <si>
    <t>1.2238333263654828</t>
  </si>
  <si>
    <t>-1.6759070709254336</t>
  </si>
  <si>
    <t>0.038273357034301334</t>
  </si>
  <si>
    <t>-0.5759074668571869</t>
  </si>
  <si>
    <t>-0.45271981230541986</t>
  </si>
  <si>
    <t>0.28168501911401467</t>
  </si>
  <si>
    <t>0.7733032562551809</t>
  </si>
  <si>
    <t>0.19697573590351453</t>
  </si>
  <si>
    <t>-0.2201801432646799</t>
  </si>
  <si>
    <t>0.2744664376966998</t>
  </si>
  <si>
    <t>0.901407164506892</t>
  </si>
  <si>
    <t>0.259585846505638</t>
  </si>
  <si>
    <t>0.05319259395054483</t>
  </si>
  <si>
    <t>0.29144314809142213</t>
  </si>
  <si>
    <t>0.8095858339939713</t>
  </si>
  <si>
    <t>1.0523222700267751</t>
  </si>
  <si>
    <t>0.3045293718224245</t>
  </si>
  <si>
    <t>0.5110957763732507</t>
  </si>
  <si>
    <t>0.5446710650558585</t>
  </si>
  <si>
    <t>0.3193951937185112</t>
  </si>
  <si>
    <t>0.03657067848873517</t>
  </si>
  <si>
    <t>-0.5344426307001113</t>
  </si>
  <si>
    <t>1.3912346651107919</t>
  </si>
  <si>
    <t>-0.19869872545879608</t>
  </si>
  <si>
    <t>-0.10474876625345168</t>
  </si>
  <si>
    <t>-1.3972260963551437</t>
  </si>
  <si>
    <t>-0.9816724209205304</t>
  </si>
  <si>
    <t>0.3510038207684872</t>
  </si>
  <si>
    <t>0.3126098139851508</t>
  </si>
  <si>
    <t>0.3759969183321604</t>
  </si>
  <si>
    <t>0.8913732219446544</t>
  </si>
  <si>
    <t>0.7830315183881452</t>
  </si>
  <si>
    <t>0.6098626396257921</t>
  </si>
  <si>
    <t>-0.6748898709095349</t>
  </si>
  <si>
    <t>0.27587492042598116</t>
  </si>
  <si>
    <t>-0.5740826040068016</t>
  </si>
  <si>
    <t>-0.7720342004302333</t>
  </si>
  <si>
    <t>-1.1570417239014879</t>
  </si>
  <si>
    <t>0.28264340551123496</t>
  </si>
  <si>
    <t>0.07614078604239867</t>
  </si>
  <si>
    <t>-0.01680481843340866</t>
  </si>
  <si>
    <t>0.5449647851275655</t>
  </si>
  <si>
    <t>1.236823874096587</t>
  </si>
  <si>
    <t>-0.6966671429572521</t>
  </si>
  <si>
    <t>-0.0905621161491276</t>
  </si>
  <si>
    <t>0.09753393186517666</t>
  </si>
  <si>
    <t>0.17449777234313862</t>
  </si>
  <si>
    <t>-0.9314620661562271</t>
  </si>
  <si>
    <t>-0.6321957703286649</t>
  </si>
  <si>
    <t>0.24926974936659332</t>
  </si>
  <si>
    <t>-1.6401307889317271</t>
  </si>
  <si>
    <t>-0.21712099321673559</t>
  </si>
  <si>
    <t>0.41318535913780974</t>
  </si>
  <si>
    <t>0.5218381305228108</t>
  </si>
  <si>
    <t>-0.34386868917299024</t>
  </si>
  <si>
    <t>0.8840677952884777</t>
  </si>
  <si>
    <t>0.12413553134762823</t>
  </si>
  <si>
    <t>-0.6190854146973568</t>
  </si>
  <si>
    <t>0.5012724343067139</t>
  </si>
  <si>
    <t>0.1973612941775179</t>
  </si>
  <si>
    <t>1.0649336795018252</t>
  </si>
  <si>
    <t>0.5577424815482016</t>
  </si>
  <si>
    <t>0.1625633819042456</t>
  </si>
  <si>
    <t>1.157502195465819</t>
  </si>
  <si>
    <t>-0.5620015164988893</t>
  </si>
  <si>
    <t>-0.06300420846199299</t>
  </si>
  <si>
    <t>0.8582317818071683</t>
  </si>
  <si>
    <t>0.03562313964717688</t>
  </si>
  <si>
    <t>-1.975492423325329</t>
  </si>
  <si>
    <t>0.012178947566413448</t>
  </si>
  <si>
    <t>1.6694100415155837</t>
  </si>
  <si>
    <t>0.3738724943109057</t>
  </si>
  <si>
    <t>0.31363099010173817</t>
  </si>
  <si>
    <t>0.00046098116828859797</t>
  </si>
  <si>
    <t>-0.11278917136240181</t>
  </si>
  <si>
    <t>-0.41560421309684054</t>
  </si>
  <si>
    <t>0.5353363598248339</t>
  </si>
  <si>
    <t>0.7892366685993442</t>
  </si>
  <si>
    <t>0.8273010534114763</t>
  </si>
  <si>
    <t>-0.12108804351193724</t>
  </si>
  <si>
    <t>0.253673464963595</t>
  </si>
  <si>
    <t>0.8777617478484695</t>
  </si>
  <si>
    <t>0.3004990489989413</t>
  </si>
  <si>
    <t>-0.4208963218587063</t>
  </si>
  <si>
    <t>-0.909082724514337</t>
  </si>
  <si>
    <t>-0.12811916381733238</t>
  </si>
  <si>
    <t>0.701293346655958</t>
  </si>
  <si>
    <t>0.4285930952653737</t>
  </si>
  <si>
    <t>0.7943262394410586</t>
  </si>
  <si>
    <t>-0.41003826852511427</t>
  </si>
  <si>
    <t>0.6423459755722035</t>
  </si>
  <si>
    <t>-0.2011605682810918</t>
  </si>
  <si>
    <t>0.34583366604814736</t>
  </si>
  <si>
    <t>-0.6906333134329582</t>
  </si>
  <si>
    <t>-0.9703620214175377</t>
  </si>
  <si>
    <t>-1.0796767793728463</t>
  </si>
  <si>
    <t>-0.7597876943560318</t>
  </si>
  <si>
    <t>0.5616586508998311</t>
  </si>
  <si>
    <t>1.6182506029796728</t>
  </si>
  <si>
    <t>-0.1594346986811641</t>
  </si>
  <si>
    <t>0.10650495555192929</t>
  </si>
  <si>
    <t>0.7012054635775453</t>
  </si>
  <si>
    <t>0.4394209785318305</t>
  </si>
  <si>
    <t>-0.684959661393752</t>
  </si>
  <si>
    <t>-0.06884749541832502</t>
  </si>
  <si>
    <t>-0.4745646919750021</t>
  </si>
  <si>
    <t>0.13539415685147993</t>
  </si>
  <si>
    <t>0.7625430904376257</t>
  </si>
  <si>
    <t>0.5478280392350954</t>
  </si>
  <si>
    <t>0.26337441962547914</t>
  </si>
  <si>
    <t>-0.13414080717012433</t>
  </si>
  <si>
    <t>-0.25561123501031324</t>
  </si>
  <si>
    <t>0.022786140315159673</t>
  </si>
  <si>
    <t>-0.10593141545212084</t>
  </si>
  <si>
    <t>-0.49242429864179277</t>
  </si>
  <si>
    <t>0.026036704420290394</t>
  </si>
  <si>
    <t>0.2430897981419458</t>
  </si>
  <si>
    <t>-0.9915059163971552</t>
  </si>
  <si>
    <t>-0.807070209955157</t>
  </si>
  <si>
    <t>-0.055249791422154755</t>
  </si>
  <si>
    <t>0.24614558762230707</t>
  </si>
  <si>
    <t>-0.28014215154158645</t>
  </si>
  <si>
    <t>-0.21169897134364854</t>
  </si>
  <si>
    <t>0.280037744252707</t>
  </si>
  <si>
    <t>0.3555620439714365</t>
  </si>
  <si>
    <t>-0.17053886808446608</t>
  </si>
  <si>
    <t>0.7367920128313421</t>
  </si>
  <si>
    <t>0.09725473557341761</t>
  </si>
  <si>
    <t>0.35609062883637893</t>
  </si>
  <si>
    <t>-1.3605755302889344</t>
  </si>
  <si>
    <t>0.16021900167969963</t>
  </si>
  <si>
    <t>0.4791796260283355</t>
  </si>
  <si>
    <t>-0.1578887736550136</t>
  </si>
  <si>
    <t>1.2009518585309782</t>
  </si>
  <si>
    <t>-0.1972968168442664</t>
  </si>
  <si>
    <t>0.17617471407022528</t>
  </si>
  <si>
    <t>-0.055126552053752005</t>
  </si>
  <si>
    <t>1.8432615936988723</t>
  </si>
  <si>
    <t>-1.2845315213796622</t>
  </si>
  <si>
    <t>0.020997813207879946</t>
  </si>
  <si>
    <t>0.47227352870007777</t>
  </si>
  <si>
    <t>-0.7603035268482796</t>
  </si>
  <si>
    <t>0.4609121950622127</t>
  </si>
  <si>
    <t>0.34340948607125443</t>
  </si>
  <si>
    <t>0.7844885829238097</t>
  </si>
  <si>
    <t>1.0726745229436152</t>
  </si>
  <si>
    <t>0.2637048463628312</t>
  </si>
  <si>
    <t>-0.46021091123882885</t>
  </si>
  <si>
    <t>-0.05599045794089962</t>
  </si>
  <si>
    <t>-0.08564452411074688</t>
  </si>
  <si>
    <t>-0.6413318288390477</t>
  </si>
  <si>
    <t>0.011352200053101788</t>
  </si>
  <si>
    <t>-0.09514557098620204</t>
  </si>
  <si>
    <t>0.6935917103036039</t>
  </si>
  <si>
    <t>-0.146955943938054</t>
  </si>
  <si>
    <t>0.23666337946941277</t>
  </si>
  <si>
    <t>0.01603438668578545</t>
  </si>
  <si>
    <t>-0.5026738805966536</t>
  </si>
  <si>
    <t>-0.46458133584906675</t>
  </si>
  <si>
    <t>1.0902832004962266</t>
  </si>
  <si>
    <t>0.37531666735474495</t>
  </si>
  <si>
    <t>-0.1953196541234466</t>
  </si>
  <si>
    <t>0.20427160307825637</t>
  </si>
  <si>
    <t>1.3869617695647725</t>
  </si>
  <si>
    <t>0.7854431468230921</t>
  </si>
  <si>
    <t>0.18398911979994031</t>
  </si>
  <si>
    <t>-0.6586857204220541</t>
  </si>
  <si>
    <t>0.3837599039091171</t>
  </si>
  <si>
    <t>0.22392817432704587</t>
  </si>
  <si>
    <t>-0.5378652918319752</t>
  </si>
  <si>
    <t>-0.362878862155385</t>
  </si>
  <si>
    <t>0.2699459780103062</t>
  </si>
  <si>
    <t>-0.4289351312180162</t>
  </si>
  <si>
    <t>-0.7722790841151386</t>
  </si>
  <si>
    <t>-0.4000608873239642</t>
  </si>
  <si>
    <t>-0.9954338001825997</t>
  </si>
  <si>
    <t>0.9314260888573476</t>
  </si>
  <si>
    <t>-0.1790609952200489</t>
  </si>
  <si>
    <t>-0.1537755978007959</t>
  </si>
  <si>
    <t>-0.0694258760548746</t>
  </si>
  <si>
    <t>0.19665644826854953</t>
  </si>
  <si>
    <t>-0.4799516621954743</t>
  </si>
  <si>
    <t>-0.4559141161627144</t>
  </si>
  <si>
    <t>-0.5769610025624352</t>
  </si>
  <si>
    <t>-0.143488587774597</t>
  </si>
  <si>
    <t>0.017783473794423695</t>
  </si>
  <si>
    <t>-0.47710833883849757</t>
  </si>
  <si>
    <t>-0.7877053034760533</t>
  </si>
  <si>
    <t>0.34878675985083196</t>
  </si>
  <si>
    <t>2.0061005574317514</t>
  </si>
  <si>
    <t>0.011964539928767602</t>
  </si>
  <si>
    <t>-1.811445899463189</t>
  </si>
  <si>
    <t>-0.32360950807584443</t>
  </si>
  <si>
    <t>-0.23785149432701785</t>
  </si>
  <si>
    <t>-1.3331194986643766</t>
  </si>
  <si>
    <t>-1.5809357082191582</t>
  </si>
  <si>
    <t>-0.892742613179135</t>
  </si>
  <si>
    <t>-0.5323415578750246</t>
  </si>
  <si>
    <t>0.11664267591587506</t>
  </si>
  <si>
    <t>-0.41988896540845566</t>
  </si>
  <si>
    <t>-0.5264900115635538</t>
  </si>
  <si>
    <t>0.8486402228500525</t>
  </si>
  <si>
    <t>0.476259266479426</t>
  </si>
  <si>
    <t>-0.0412720566714262</t>
  </si>
  <si>
    <t>0.6140775035722231</t>
  </si>
  <si>
    <t>0.4317865258136471</t>
  </si>
  <si>
    <t>-0.4034519392493665</t>
  </si>
  <si>
    <t>-0.9386220136625044</t>
  </si>
  <si>
    <t>0.07631371507969277</t>
  </si>
  <si>
    <t>0.35459067873764055</t>
  </si>
  <si>
    <t>-0.85036886952452</t>
  </si>
  <si>
    <t>0.013560356007858074</t>
  </si>
  <si>
    <t>0.44762217129825455</t>
  </si>
  <si>
    <t>-0.34078654592482077</t>
  </si>
  <si>
    <t>0.9668785311711529</t>
  </si>
  <si>
    <t>0.9064496049402931</t>
  </si>
  <si>
    <t>-0.00332525406326563</t>
  </si>
  <si>
    <t>0.01653879525226093</t>
  </si>
  <si>
    <t>0.5462486848711896</t>
  </si>
  <si>
    <t>0.4650880619052991</t>
  </si>
  <si>
    <t>-0.8349900150844881</t>
  </si>
  <si>
    <t>-0.4171024136534301</t>
  </si>
  <si>
    <t>-0.25870618343674306</t>
  </si>
  <si>
    <t>0.3294128850035427</t>
  </si>
  <si>
    <t>0.6039862483492505</t>
  </si>
  <si>
    <t>0.03663436231523643</t>
  </si>
  <si>
    <t>-0.7806464196404547</t>
  </si>
  <si>
    <t>0.5809350298333668</t>
  </si>
  <si>
    <t>-0.48307586512370887</t>
  </si>
  <si>
    <t>-0.18059389881057689</t>
  </si>
  <si>
    <t>0.2370160058554122</t>
  </si>
  <si>
    <t>0.6838732439175539</t>
  </si>
  <si>
    <t>-0.7546438398255294</t>
  </si>
  <si>
    <t>0.06666074126019818</t>
  </si>
  <si>
    <t>-0.3847387965121823</t>
  </si>
  <si>
    <t>0.04702180969552781</t>
  </si>
  <si>
    <t>0.0037056573879819263</t>
  </si>
  <si>
    <t>1.1684452436920005</t>
  </si>
  <si>
    <t>0.7925451388541923</t>
  </si>
  <si>
    <t>0.3969785682390353</t>
  </si>
  <si>
    <t>0.015186670681928258</t>
  </si>
  <si>
    <t>1.2483810288268928</t>
  </si>
  <si>
    <t>0.17691156698725466</t>
  </si>
  <si>
    <t>-0.6614784849210211</t>
  </si>
  <si>
    <t>-1.187749797051851</t>
  </si>
  <si>
    <t>0.6135472891809707</t>
  </si>
  <si>
    <t>-0.043537431931861284</t>
  </si>
  <si>
    <t>0.06628214652559977</t>
  </si>
  <si>
    <t>0.26680161605495384</t>
  </si>
  <si>
    <t>-0.47603118787571824</t>
  </si>
  <si>
    <t>-0.7410141270917848</t>
  </si>
  <si>
    <t>-0.17556418063202184</t>
  </si>
  <si>
    <t>0.03554840498288705</t>
  </si>
  <si>
    <t>0.09353941584749166</t>
  </si>
  <si>
    <t>-0.5765800976283632</t>
  </si>
  <si>
    <t>0.03255437735347679</t>
  </si>
  <si>
    <t>-0.8286725339719353</t>
  </si>
  <si>
    <t>-0.07563548016525691</t>
  </si>
  <si>
    <t>0.46768523210882135</t>
  </si>
  <si>
    <t>0.09119024486193782</t>
  </si>
  <si>
    <t>-0.3606707921845251</t>
  </si>
  <si>
    <t>-0.27643344126555475</t>
  </si>
  <si>
    <t>-0.729288483679319</t>
  </si>
  <si>
    <t>0.4220850412834928</t>
  </si>
  <si>
    <t>-1.0004719332411247</t>
  </si>
  <si>
    <t>-0.24544017028313705</t>
  </si>
  <si>
    <t>-0.6525730075930971</t>
  </si>
  <si>
    <t>-0.5861970195727597</t>
  </si>
  <si>
    <t>-0.06190160889580947</t>
  </si>
  <si>
    <t>0.0190356666425786</t>
  </si>
  <si>
    <t>-0.9310915866996406</t>
  </si>
  <si>
    <t>0.040613268877388344</t>
  </si>
  <si>
    <t>0.7072645969719604</t>
  </si>
  <si>
    <t>-1.2598470968405069</t>
  </si>
  <si>
    <t>0.27667982955899295</t>
  </si>
  <si>
    <t>0.1880176549346526</t>
  </si>
  <si>
    <t>0.17663037169561416</t>
  </si>
  <si>
    <t>0.023167947423800433</t>
  </si>
  <si>
    <t>0.4339099061843907</t>
  </si>
  <si>
    <t>2.1629120486767883</t>
  </si>
  <si>
    <t>-0.19954947373453857</t>
  </si>
  <si>
    <t>0.2266163724351583</t>
  </si>
  <si>
    <t>-0.05605635424398608</t>
  </si>
  <si>
    <t>0.516998221943143</t>
  </si>
  <si>
    <t>-0.5652893938773322</t>
  </si>
  <si>
    <t>-1.2473511521042784</t>
  </si>
  <si>
    <t>0.2120867273173235</t>
  </si>
  <si>
    <t>-0.003977692184704971</t>
  </si>
  <si>
    <t>0.7860532752964072</t>
  </si>
  <si>
    <t>-0.10744551727061305</t>
  </si>
  <si>
    <t>0.14277698990698842</t>
  </si>
  <si>
    <t>-0.3361080705603358</t>
  </si>
  <si>
    <t>0.09696804453089267</t>
  </si>
  <si>
    <t>0.135254308421741</t>
  </si>
  <si>
    <t>1.3416992697984829</t>
  </si>
  <si>
    <t>-1.4649492484128104</t>
  </si>
  <si>
    <t>0.717079652611768</t>
  </si>
  <si>
    <t>0.4003327523916971</t>
  </si>
  <si>
    <t>0.1316150419733259</t>
  </si>
  <si>
    <t>0.23618577422323053</t>
  </si>
  <si>
    <t>0.4544694663746712</t>
  </si>
  <si>
    <t>-0.371394421999345</t>
  </si>
  <si>
    <t>0.20422461582148665</t>
  </si>
  <si>
    <t>0.20246531068771328</t>
  </si>
  <si>
    <t>-1.5287340418051127</t>
  </si>
  <si>
    <t>-0.1363214202730869</t>
  </si>
  <si>
    <t>0.3555223135575519</t>
  </si>
  <si>
    <t>-0.8057933825157715</t>
  </si>
  <si>
    <t>0.9495113945108284</t>
  </si>
  <si>
    <t>-0.0622626930739712</t>
  </si>
  <si>
    <t>2.3816981936325967</t>
  </si>
  <si>
    <t>0.11147483053531401</t>
  </si>
  <si>
    <t>-0.8687166054793093</t>
  </si>
  <si>
    <t>-0.455502946436799</t>
  </si>
  <si>
    <t>-1.0611464968176028</t>
  </si>
  <si>
    <t>-0.016460118582355292</t>
  </si>
  <si>
    <t>-1.1220853858228903</t>
  </si>
  <si>
    <t>0.4382316407253029</t>
  </si>
  <si>
    <t>0.29108548003060003</t>
  </si>
  <si>
    <t>0.025962723724707423</t>
  </si>
  <si>
    <t>-1.0215678927875134</t>
  </si>
  <si>
    <t>-0.5160116858449745</t>
  </si>
  <si>
    <t>-0.5096182793845819</t>
  </si>
  <si>
    <t>-0.5451128471686912</t>
  </si>
  <si>
    <t>0.315247036405952</t>
  </si>
  <si>
    <t>0.4203773376370052</t>
  </si>
  <si>
    <t>-0.25127079661236296</t>
  </si>
  <si>
    <t>1.7416216834343918</t>
  </si>
  <si>
    <t>0.19480276964855153</t>
  </si>
  <si>
    <t>0.6515755019940811</t>
  </si>
  <si>
    <t>-0.7153509243507108</t>
  </si>
  <si>
    <t>-0.11946504588732207</t>
  </si>
  <si>
    <t>0.8738555566367916</t>
  </si>
  <si>
    <t>-0.35126604270999195</t>
  </si>
  <si>
    <t>0.78110819035754</t>
  </si>
  <si>
    <t>-1.1545486888328351</t>
  </si>
  <si>
    <t>0.8426572728598757</t>
  </si>
  <si>
    <t>-1.1610603689065395</t>
  </si>
  <si>
    <t>0.09806043555585968</t>
  </si>
  <si>
    <t>0.8078058504949747</t>
  </si>
  <si>
    <t>0.22287747426910626</t>
  </si>
  <si>
    <t>0.6663347830865456</t>
  </si>
  <si>
    <t>-0.6253303815057414</t>
  </si>
  <si>
    <t>0.7526333923849681</t>
  </si>
  <si>
    <t>-1.1898818070636437</t>
  </si>
  <si>
    <t>1.1500071597499482</t>
  </si>
  <si>
    <t>-0.7220178425708442</t>
  </si>
  <si>
    <t>-0.4212313618139585</t>
  </si>
  <si>
    <t>0.31226988704732805</t>
  </si>
  <si>
    <t>-0.03984399908199932</t>
  </si>
  <si>
    <t>0.4334878231149186</t>
  </si>
  <si>
    <t>0.07534251056297861</t>
  </si>
  <si>
    <t>0.41764644250985306</t>
  </si>
  <si>
    <t>-0.8753501514130339</t>
  </si>
  <si>
    <t>-0.6635950548415107</t>
  </si>
  <si>
    <t>0.4816938776074484</t>
  </si>
  <si>
    <t>-0.7479924066385419</t>
  </si>
  <si>
    <t>-0.09978978488776896</t>
  </si>
  <si>
    <t>-0.11769628162611467</t>
  </si>
  <si>
    <t>0.3774063569737578</t>
  </si>
  <si>
    <t>-0.12547984042226779</t>
  </si>
  <si>
    <t>0.12289951010059517</t>
  </si>
  <si>
    <t>1.284177533018443</t>
  </si>
  <si>
    <t>-0.7732912418569015</t>
  </si>
  <si>
    <t>-1.8286633081515178</t>
  </si>
  <si>
    <t>-1.4432165509513883</t>
  </si>
  <si>
    <t>1.2184560616596418</t>
  </si>
  <si>
    <t>0.7690810322966114</t>
  </si>
  <si>
    <t>-0.13857591607534503</t>
  </si>
  <si>
    <t>0.9178471809739709</t>
  </si>
  <si>
    <t>-0.2727798230119982</t>
  </si>
  <si>
    <t>-0.9106677729869593</t>
  </si>
  <si>
    <t>-0.3336409988114147</t>
  </si>
  <si>
    <t>0.8741259338855956</t>
  </si>
  <si>
    <t>0.4917433429296165</t>
  </si>
  <si>
    <t>0.5350476166404948</t>
  </si>
  <si>
    <t>-1.0223519111276649</t>
  </si>
  <si>
    <t>-0.08485043243508567</t>
  </si>
  <si>
    <t>0.23196309309100305</t>
  </si>
  <si>
    <t>-0.4462511915037489</t>
  </si>
  <si>
    <t>0.21632255425980693</t>
  </si>
  <si>
    <t>1.1147483211498297</t>
  </si>
  <si>
    <t>-0.21704128550456814</t>
  </si>
  <si>
    <t>0.6836527746441661</t>
  </si>
  <si>
    <t>0.9569465664079387</t>
  </si>
  <si>
    <t>0.06279156993565167</t>
  </si>
  <si>
    <t>-0.18128072216564578</t>
  </si>
  <si>
    <t>-1.0928681520277885</t>
  </si>
  <si>
    <t>-0.03943669667123841</t>
  </si>
  <si>
    <t>-1.2848775749682484</t>
  </si>
  <si>
    <t>0.8014989252038667</t>
  </si>
  <si>
    <t>-0.2015877226948762</t>
  </si>
  <si>
    <t>0.10882992295245614</t>
  </si>
  <si>
    <t>-0.47111450970283364</t>
  </si>
  <si>
    <t>0.17764870279866385</t>
  </si>
  <si>
    <t>0.011998080854582488</t>
  </si>
  <si>
    <t>-0.8118558210741289</t>
  </si>
  <si>
    <t>-0.002308558985125827</t>
  </si>
  <si>
    <t>-1.2810282933011163</t>
  </si>
  <si>
    <t>-1.070298298968603</t>
  </si>
  <si>
    <t>0.7146957548759707</t>
  </si>
  <si>
    <t>-0.8960672972175316</t>
  </si>
  <si>
    <t>-0.17570091690475667</t>
  </si>
  <si>
    <t>-0.7437107248140482</t>
  </si>
  <si>
    <t>-0.17009693470064907</t>
  </si>
  <si>
    <t>0.9663280157294506</t>
  </si>
  <si>
    <t>-0.19765917956101448</t>
  </si>
  <si>
    <t>-0.3255215048511735</t>
  </si>
  <si>
    <t>-0.7423815587002881</t>
  </si>
  <si>
    <t>-0.42456669671870845</t>
  </si>
  <si>
    <t>0.2740784532778166</t>
  </si>
  <si>
    <t>-0.7018354582497404</t>
  </si>
  <si>
    <t>0.3108176349418205</t>
  </si>
  <si>
    <t>-0.27603193341883214</t>
  </si>
  <si>
    <t>-0.7616085514911477</t>
  </si>
  <si>
    <t>-0.6191796197176874</t>
  </si>
  <si>
    <t>-0.09420564363895018</t>
  </si>
  <si>
    <t>1.3719368952139164</t>
  </si>
  <si>
    <t>0.4911266344996044</t>
  </si>
  <si>
    <t>-0.1615238320658702</t>
  </si>
  <si>
    <t>0.19447016963707656</t>
  </si>
  <si>
    <t>-1.152502942526725</t>
  </si>
  <si>
    <t>-0.2931078782073578</t>
  </si>
  <si>
    <t>1.7140392898635133</t>
  </si>
  <si>
    <t>-0.7038473636825461</t>
  </si>
  <si>
    <t>0.1995796116615771</t>
  </si>
  <si>
    <t>0.07319402555667207</t>
  </si>
  <si>
    <t>-1.634090220034427</t>
  </si>
  <si>
    <t>0.7101184841931362</t>
  </si>
  <si>
    <t>-0.11513220132005654</t>
  </si>
  <si>
    <t>-1.0308465238844153</t>
  </si>
  <si>
    <t>0.7188760638994439</t>
  </si>
  <si>
    <t>0.5098416763423518</t>
  </si>
  <si>
    <t>-1.0864740991468458</t>
  </si>
  <si>
    <t>0.28049756515222524</t>
  </si>
  <si>
    <t>0.19575681940355422</t>
  </si>
  <si>
    <t>-0.25050247612589516</t>
  </si>
  <si>
    <t>-0.37308147063519914</t>
  </si>
  <si>
    <t>0.05303753576813308</t>
  </si>
  <si>
    <t>1.1055300644129458</t>
  </si>
  <si>
    <t>0.8527882785236385</t>
  </si>
  <si>
    <t>-1.7905137056087672</t>
  </si>
  <si>
    <t>0.9403693779096366</t>
  </si>
  <si>
    <t>0.3631244456759616</t>
  </si>
  <si>
    <t>-0.16564252276731375</t>
  </si>
  <si>
    <t>1.5775670046027888</t>
  </si>
  <si>
    <t>1.466142060001095</t>
  </si>
  <si>
    <t>3.1209284836738274</t>
  </si>
  <si>
    <t>0.13393888367981005</t>
  </si>
  <si>
    <t>-0.5775909278230458</t>
  </si>
  <si>
    <t>-0.23692813161564721</t>
  </si>
  <si>
    <t>0.5291832669763612</t>
  </si>
  <si>
    <t>-0.8426799836401727</t>
  </si>
  <si>
    <t>-0.31559934827934155</t>
  </si>
  <si>
    <t>0.5118351948410118</t>
  </si>
  <si>
    <t>0.11921162077668845</t>
  </si>
  <si>
    <t>-1.11132263618015</t>
  </si>
  <si>
    <t>0.004920894102967883</t>
  </si>
  <si>
    <t>-0.25854662445607957</t>
  </si>
  <si>
    <t>0.6658142270787157</t>
  </si>
  <si>
    <t>0.04405879813159059</t>
  </si>
  <si>
    <t>0.4418194153706072</t>
  </si>
  <si>
    <t>0.838613325285945</t>
  </si>
  <si>
    <t>0.41745714077015794</t>
  </si>
  <si>
    <t>0.1085841543684392</t>
  </si>
  <si>
    <t>-0.8486058329577183</t>
  </si>
  <si>
    <t>-0.24081372260740413</t>
  </si>
  <si>
    <t>0.639229858976567</t>
  </si>
  <si>
    <t>0.22116611099292602</t>
  </si>
  <si>
    <t>1.2625539132927341</t>
  </si>
  <si>
    <t>-0.8022685457598735</t>
  </si>
  <si>
    <t>0.6917381870978164</t>
  </si>
  <si>
    <t>-0.007673818864565427</t>
  </si>
  <si>
    <t>1.2202352477159144</t>
  </si>
  <si>
    <t>-0.14258162925497705</t>
  </si>
  <si>
    <t>0.9384631723298841</t>
  </si>
  <si>
    <t>1.6246095006530406</t>
  </si>
  <si>
    <t>0.4471550349691343</t>
  </si>
  <si>
    <t>0.3699369248116001</t>
  </si>
  <si>
    <t>0.8820118145284177</t>
  </si>
  <si>
    <t>0.2061445825429595</t>
  </si>
  <si>
    <t>-0.6348400877237467</t>
  </si>
  <si>
    <t>0.8901278776067283</t>
  </si>
  <si>
    <t>0.17365999528085982</t>
  </si>
  <si>
    <t>-0.15465109020509124</t>
  </si>
  <si>
    <t>-1.7488185786364128</t>
  </si>
  <si>
    <t>1.4037222561846951</t>
  </si>
  <si>
    <t>1.0851466183144018</t>
  </si>
  <si>
    <t>-0.17143477631068943</t>
  </si>
  <si>
    <t>-1.12015512160774</t>
  </si>
  <si>
    <t>0.34488922006116135</t>
  </si>
  <si>
    <t>-0.9388375483543</t>
  </si>
  <si>
    <t>1.8497236806460196</t>
  </si>
  <si>
    <t>-0.42455541550932413</t>
  </si>
  <si>
    <t>0.8832116349692818</t>
  </si>
  <si>
    <t>0.8268006451648057</t>
  </si>
  <si>
    <t>1.3486704221729995</t>
  </si>
  <si>
    <t>-2.466940335607817</t>
  </si>
  <si>
    <t>1.1988938746309314</t>
  </si>
  <si>
    <t>-0.9962939170787076</t>
  </si>
  <si>
    <t>-1.3060938394211625</t>
  </si>
  <si>
    <t>0.782367441070022</t>
  </si>
  <si>
    <t>1.2106528738380895</t>
  </si>
  <si>
    <t>0.2623809540360037</t>
  </si>
  <si>
    <t>0.854468114095129</t>
  </si>
  <si>
    <t>-0.07780842957993787</t>
  </si>
  <si>
    <t>-0.3169882092072749</t>
  </si>
  <si>
    <t>0.5025942727472363</t>
  </si>
  <si>
    <t>-0.41104702389109443</t>
  </si>
  <si>
    <t>-1.2863361325831486</t>
  </si>
  <si>
    <t>0.8387185321865455</t>
  </si>
  <si>
    <t>-0.11435490349615542</t>
  </si>
  <si>
    <t>0.3037542426829879</t>
  </si>
  <si>
    <t>0.9466152943893216</t>
  </si>
  <si>
    <t>-0.8882800893119487</t>
  </si>
  <si>
    <t>-1.4158845768090171</t>
  </si>
  <si>
    <t>-0.5378345604219149</t>
  </si>
  <si>
    <t>0.4964963356965258</t>
  </si>
  <si>
    <t>-1.143693506827399</t>
  </si>
  <si>
    <t>-0.12079392951554456</t>
  </si>
  <si>
    <t>1.1748733096208317</t>
  </si>
  <si>
    <t>-1.4207425806130278</t>
  </si>
  <si>
    <t>1.3523405568753948</t>
  </si>
  <si>
    <t>0.9889755945715167</t>
  </si>
  <si>
    <t>0.8490295913093364</t>
  </si>
  <si>
    <t>0.844684433663584</t>
  </si>
  <si>
    <t>0.23380805805493532</t>
  </si>
  <si>
    <t>-0.0673571405924193</t>
  </si>
  <si>
    <t>0.45617475311508376</t>
  </si>
  <si>
    <t>1.5561368163450793</t>
  </si>
  <si>
    <t>0.06962193444428245</t>
  </si>
  <si>
    <t>-0.5908879557052856</t>
  </si>
  <si>
    <t>0.7666360873780714</t>
  </si>
  <si>
    <t>1.5169647365193344</t>
  </si>
  <si>
    <t>1.0996939450287209</t>
  </si>
  <si>
    <t>-0.5996932339710769</t>
  </si>
  <si>
    <t>-0.4207696090278914</t>
  </si>
  <si>
    <t>-0.129767886683219</t>
  </si>
  <si>
    <t>0.5854569843175947</t>
  </si>
  <si>
    <t>0.1964193106474103</t>
  </si>
  <si>
    <t>0.5890656172091846</t>
  </si>
  <si>
    <t>1.313068046823528</t>
  </si>
  <si>
    <t>-0.0831829613457496</t>
  </si>
  <si>
    <t>-0.7058499898334828</t>
  </si>
  <si>
    <t>0.12193497782033211</t>
  </si>
  <si>
    <t>-1.2419987781284547</t>
  </si>
  <si>
    <t>-0.5738028433292369</t>
  </si>
  <si>
    <t>-0.483574826766494</t>
  </si>
  <si>
    <t>-0.6742301767417357</t>
  </si>
  <si>
    <t>-0.3059478849135077</t>
  </si>
  <si>
    <t>0.3086281911240507</t>
  </si>
  <si>
    <t>0.5958573864980798</t>
  </si>
  <si>
    <t>0.47222349403081415</t>
  </si>
  <si>
    <t>0.8490209502401682</t>
  </si>
  <si>
    <t>0.6711776683406471</t>
  </si>
  <si>
    <t>-0.39424728332195247</t>
  </si>
  <si>
    <t>0.3534925191722624</t>
  </si>
  <si>
    <t>0.35436038220395893</t>
  </si>
  <si>
    <t>-0.39650795658027216</t>
  </si>
  <si>
    <t>-0.2976937204499544</t>
  </si>
  <si>
    <t>0.13271926236205717</t>
  </si>
  <si>
    <t>0.32965166709822324</t>
  </si>
  <si>
    <t>0.08491352307968776</t>
  </si>
  <si>
    <t>1.4583259785920517</t>
  </si>
  <si>
    <t>-0.7875607360984945</t>
  </si>
  <si>
    <t>0.4310114035142636</t>
  </si>
  <si>
    <t>0.045367952688271665</t>
  </si>
  <si>
    <t>0.3503703503401793</t>
  </si>
  <si>
    <t>0.4481094398807104</t>
  </si>
  <si>
    <t>0.20906411454646223</t>
  </si>
  <si>
    <t>0.6152581291826514</t>
  </si>
  <si>
    <t>-0.7580260321261556</t>
  </si>
  <si>
    <t>0.8791586587655171</t>
  </si>
  <si>
    <t>-0.20797423110342236</t>
  </si>
  <si>
    <t>-0.1386505090912976</t>
  </si>
  <si>
    <t>-0.26127653112579274</t>
  </si>
  <si>
    <t>-0.4883821001475466</t>
  </si>
  <si>
    <t>-0.5288403035486404</t>
  </si>
  <si>
    <t>0.7580826323881744</t>
  </si>
  <si>
    <t>1.408387223229547</t>
  </si>
  <si>
    <t>0.5284023233477508</t>
  </si>
  <si>
    <t>0.25429138318157263</t>
  </si>
  <si>
    <t>0.039123015359346994</t>
  </si>
  <si>
    <t>0.039655046260565506</t>
  </si>
  <si>
    <t>0.6814827496086946</t>
  </si>
  <si>
    <t>-0.09723159686001057</t>
  </si>
  <si>
    <t>-0.37173179045973426</t>
  </si>
  <si>
    <t>0.19685623186427256</t>
  </si>
  <si>
    <t>0.5723279238030918</t>
  </si>
  <si>
    <t>-0.0003559867493813203</t>
  </si>
  <si>
    <t>-0.8546731089723741</t>
  </si>
  <si>
    <t>-0.13873448084684772</t>
  </si>
  <si>
    <t>0.081508930268221</t>
  </si>
  <si>
    <t>0.6434068740775055</t>
  </si>
  <si>
    <t>0.49111111984629957</t>
  </si>
  <si>
    <t>-0.8573607664259258</t>
  </si>
  <si>
    <t>-0.09400451628190139</t>
  </si>
  <si>
    <t>0.2941097740414945</t>
  </si>
  <si>
    <t>0.2815857902634083</t>
  </si>
  <si>
    <t>0.009141402381669168</t>
  </si>
  <si>
    <t>-0.23974352113797875</t>
  </si>
  <si>
    <t>-1.0337537863500177</t>
  </si>
  <si>
    <t>0.22099567842198453</t>
  </si>
  <si>
    <t>0.21753932120214814</t>
  </si>
  <si>
    <t>-0.13041259369391217</t>
  </si>
  <si>
    <t>0.30695544862513774</t>
  </si>
  <si>
    <t>-0.38325831418811307</t>
  </si>
  <si>
    <t>-0.03481693356409592</t>
  </si>
  <si>
    <t>0.21367317396179855</t>
  </si>
  <si>
    <t>0.25898214756206955</t>
  </si>
  <si>
    <t>0.41621207240290403</t>
  </si>
  <si>
    <t>-0.7339207980220043</t>
  </si>
  <si>
    <t>0.20177782720319112</t>
  </si>
  <si>
    <t>-0.22250412446345683</t>
  </si>
  <si>
    <t>0.6706874725563955</t>
  </si>
  <si>
    <t>0.08731257983716299</t>
  </si>
  <si>
    <t>0.4307919097814871</t>
  </si>
  <si>
    <t>-0.7906302581486746</t>
  </si>
  <si>
    <t>-0.5369295759503654</t>
  </si>
  <si>
    <t>-0.1519995787773643</t>
  </si>
  <si>
    <t>-0.24025305383481935</t>
  </si>
  <si>
    <t>0.43207911953934924</t>
  </si>
  <si>
    <t>0.043428243386886466</t>
  </si>
  <si>
    <t>-0.4330612596934395</t>
  </si>
  <si>
    <t>-0.8253359870168357</t>
  </si>
  <si>
    <t>-0.7097493424778438</t>
  </si>
  <si>
    <t>-0.32984552740694406</t>
  </si>
  <si>
    <t>1.2053350506285034</t>
  </si>
  <si>
    <t>0.7062352733056787</t>
  </si>
  <si>
    <t>-0.8328078718494667</t>
  </si>
  <si>
    <t>0.9049041023197444</t>
  </si>
  <si>
    <t>0.6207222499140036</t>
  </si>
  <si>
    <t>0.3886086455017803</t>
  </si>
  <si>
    <t>-1.1837978109153797</t>
  </si>
  <si>
    <t>-1.425172562622068</t>
  </si>
  <si>
    <t>0.5941085766236024</t>
  </si>
  <si>
    <t>-0.7175533703188092</t>
  </si>
  <si>
    <t>-0.05460310005433741</t>
  </si>
  <si>
    <t>0.4706303551430987</t>
  </si>
  <si>
    <t>-0.20461513103274573</t>
  </si>
  <si>
    <t>-0.6415587981381521</t>
  </si>
  <si>
    <t>0.43435888991413446</t>
  </si>
  <si>
    <t>-0.7880909902518829</t>
  </si>
  <si>
    <t>-0.27525486751684475</t>
  </si>
  <si>
    <t>0.09622388196780729</t>
  </si>
  <si>
    <t>0.925507919305545</t>
  </si>
  <si>
    <t>0.16118902207697736</t>
  </si>
  <si>
    <t>-0.320159800669442</t>
  </si>
  <si>
    <t>-0.48563669326610887</t>
  </si>
  <si>
    <t>0.24657677569462327</t>
  </si>
  <si>
    <t>-0.8282575891942893</t>
  </si>
  <si>
    <t>-0.6471125144738004</t>
  </si>
  <si>
    <t>-0.36025520904252856</t>
  </si>
  <si>
    <t>-0.16831833809185504</t>
  </si>
  <si>
    <t>-0.30844625283265525</t>
  </si>
  <si>
    <t>-0.06201318289165019</t>
  </si>
  <si>
    <t>0.6646540018061464</t>
  </si>
  <si>
    <t>-0.6785368567438107</t>
  </si>
  <si>
    <t>1.0573292971555919</t>
  </si>
  <si>
    <t>0.02485254514508578</t>
  </si>
  <si>
    <t>0.39269356294675567</t>
  </si>
  <si>
    <t>-1.1731351415750726</t>
  </si>
  <si>
    <t>0.2009323845419205</t>
  </si>
  <si>
    <t>-0.9220896287400652</t>
  </si>
  <si>
    <t>-1.6408537552400762</t>
  </si>
  <si>
    <t>-1.4029274853076295</t>
  </si>
  <si>
    <t>0.08217086763300334</t>
  </si>
  <si>
    <t>-0.8940911301010593</t>
  </si>
  <si>
    <t>0.49198754306692205</t>
  </si>
  <si>
    <t>-1.3670843566233213</t>
  </si>
  <si>
    <t>-0.03353356962622855</t>
  </si>
  <si>
    <t>2.621660748828386</t>
  </si>
  <si>
    <t>-0.35639584820011616</t>
  </si>
  <si>
    <t>-0.6036015069137162</t>
  </si>
  <si>
    <t>1.0466626731396624</t>
  </si>
  <si>
    <t>1.3451562922769393</t>
  </si>
  <si>
    <t>0.321925359916083</t>
  </si>
  <si>
    <t>0.17585329943572775</t>
  </si>
  <si>
    <t>-0.5653387802738196</t>
  </si>
  <si>
    <t>2.4276702556822882</t>
  </si>
  <si>
    <t>-1.5206882546605334</t>
  </si>
  <si>
    <t>1.7876965087721433</t>
  </si>
  <si>
    <t>0.9471279160879247</t>
  </si>
  <si>
    <t>-0.23573360419537512</t>
  </si>
  <si>
    <t>-1.3915245505837768</t>
  </si>
  <si>
    <t>1.030877323494476</t>
  </si>
  <si>
    <t>-1.5320100793704183</t>
  </si>
  <si>
    <t>-4.179163852620194</t>
  </si>
  <si>
    <t>0.9705763941267247</t>
  </si>
  <si>
    <t>1.1149688422154584</t>
  </si>
  <si>
    <t>-0.8995712356725105</t>
  </si>
  <si>
    <t>-1.9049577500643544</t>
  </si>
  <si>
    <t>-0.5439210209146068</t>
  </si>
  <si>
    <t>-0.2024560286542633</t>
  </si>
  <si>
    <t>-0.3547913979605852</t>
  </si>
  <si>
    <t>0.3771861952012103</t>
  </si>
  <si>
    <t>-0.3759868640945737</t>
  </si>
  <si>
    <t>-0.7531640914666085</t>
  </si>
  <si>
    <t>-0.6217100534178233</t>
  </si>
  <si>
    <t>0.7162349277518216</t>
  </si>
  <si>
    <t>0.8039964856078267</t>
  </si>
  <si>
    <t>-1.9659092144527195</t>
  </si>
  <si>
    <t>-1.3049131688078142</t>
  </si>
  <si>
    <t>-0.4776831212250758</t>
  </si>
  <si>
    <t>0.4356650380289049</t>
  </si>
  <si>
    <t>0.09134314150013684</t>
  </si>
  <si>
    <t>-0.5860521123269516</t>
  </si>
  <si>
    <t>0.534231362947561</t>
  </si>
  <si>
    <t>-0.3453831918001956</t>
  </si>
  <si>
    <t>-0.17575790385399512</t>
  </si>
  <si>
    <t>-1.590979667896826</t>
  </si>
  <si>
    <t>0.11890365648334425</t>
  </si>
  <si>
    <t>-0.22159153074087104</t>
  </si>
  <si>
    <t>-0.19205610518992453</t>
  </si>
  <si>
    <t>-0.16575838222467495</t>
  </si>
  <si>
    <t>1.0290135712987276</t>
  </si>
  <si>
    <t>-0.5083969570712177</t>
  </si>
  <si>
    <t>0.16352544495976643</t>
  </si>
  <si>
    <t>0.33226948460741407</t>
  </si>
  <si>
    <t>-1.5352217318278398</t>
  </si>
  <si>
    <t>0.364851264428153</t>
  </si>
  <si>
    <t>0.295388442836986</t>
  </si>
  <si>
    <t>-0.21776076363788016</t>
  </si>
  <si>
    <t>-0.14700231744215722</t>
  </si>
  <si>
    <t>0.1679438286519413</t>
  </si>
  <si>
    <t>0.551301093663233</t>
  </si>
  <si>
    <t>0.7140234426192931</t>
  </si>
  <si>
    <t>-0.831517750015345</t>
  </si>
  <si>
    <t>0.5817609950860865</t>
  </si>
  <si>
    <t>-1.4982771256529237</t>
  </si>
  <si>
    <t>-2.480881266475689</t>
  </si>
  <si>
    <t>0.31417691048238405</t>
  </si>
  <si>
    <t>1.280715827535789</t>
  </si>
  <si>
    <t>-1.467818459762446</t>
  </si>
  <si>
    <t>-0.5939688176601848</t>
  </si>
  <si>
    <t>0.7962732547028785</t>
  </si>
  <si>
    <t>0.627655653576747</t>
  </si>
  <si>
    <t>-2.094660642728949</t>
  </si>
  <si>
    <t>1.8840176961050847</t>
  </si>
  <si>
    <t>0.2717832031557229</t>
  </si>
  <si>
    <t>-2.8392822258989074</t>
  </si>
  <si>
    <t>-0.6205804606721502</t>
  </si>
  <si>
    <t>-0.6063310902787872</t>
  </si>
  <si>
    <t>0.9165347048011757</t>
  </si>
  <si>
    <t>-0.6584172574768292</t>
  </si>
  <si>
    <t>-1.517756482486125</t>
  </si>
  <si>
    <t>0.6023958630705826</t>
  </si>
  <si>
    <t>-0.038562707623799736</t>
  </si>
  <si>
    <t>-2.351477486051758</t>
  </si>
  <si>
    <t>-0.5840616993590024</t>
  </si>
  <si>
    <t>0.08027154594137162</t>
  </si>
  <si>
    <t>-1.1243037414853334</t>
  </si>
  <si>
    <t>0.531507521495331</t>
  </si>
  <si>
    <t>-0.8241874027238338</t>
  </si>
  <si>
    <t>-0.040915274170237194</t>
  </si>
  <si>
    <t>-0.4423667653936068</t>
  </si>
  <si>
    <t>-1.4802082610555825</t>
  </si>
  <si>
    <t>-0.5482631742153615</t>
  </si>
  <si>
    <t>0.7785112162808725</t>
  </si>
  <si>
    <t>1.8119868614781376</t>
  </si>
  <si>
    <t>-1.0850330276929316</t>
  </si>
  <si>
    <t>-1.1073456640170747</t>
  </si>
  <si>
    <t>-1.8396065567759814</t>
  </si>
  <si>
    <t>0.06422197533704888</t>
  </si>
  <si>
    <t>-0.001825961158792772</t>
  </si>
  <si>
    <t>0.34930550263107984</t>
  </si>
  <si>
    <t>-0.2560850003764531</t>
  </si>
  <si>
    <t>-0.32268168329408004</t>
  </si>
  <si>
    <t>0.09071333199906827</t>
  </si>
  <si>
    <t>0.6389918741225464</t>
  </si>
  <si>
    <t>-0.18013438443231725</t>
  </si>
  <si>
    <t>0.6274455137972269</t>
  </si>
  <si>
    <t>0.5706180731300724</t>
  </si>
  <si>
    <t>-0.41825258371362034</t>
  </si>
  <si>
    <t>-0.38791700073004737</t>
  </si>
  <si>
    <t>0.030481691588499723</t>
  </si>
  <si>
    <t>1.85359234115237</t>
  </si>
  <si>
    <t>2.3007760020018506</t>
  </si>
  <si>
    <t>-0.5746142299506865</t>
  </si>
  <si>
    <t>0.30928171324430365</t>
  </si>
  <si>
    <t>-1.8514295188208878</t>
  </si>
  <si>
    <t>-0.803158542314403</t>
  </si>
  <si>
    <t>1.2932525254899028</t>
  </si>
  <si>
    <t>-1.4798738366578286</t>
  </si>
  <si>
    <t>0.8934677215449051</t>
  </si>
  <si>
    <t>0.5873420951728173</t>
  </si>
  <si>
    <t>1.432119987278918</t>
  </si>
  <si>
    <t>0.6998010305028775</t>
  </si>
  <si>
    <t>-1.2110499425544448</t>
  </si>
  <si>
    <t>1.3723494937949243</t>
  </si>
  <si>
    <t>-0.247009768784989</t>
  </si>
  <si>
    <t>-1.0580631055474068</t>
  </si>
  <si>
    <t>0.5024462513071078</t>
  </si>
  <si>
    <t>-0.7245856741703798</t>
  </si>
  <si>
    <t>-3.2414729907363764</t>
  </si>
  <si>
    <t>-1.6585955655372737</t>
  </si>
  <si>
    <t>-0.19913245016640313</t>
  </si>
  <si>
    <t>-1.222955818519427</t>
  </si>
  <si>
    <t>0.7248268675923633</t>
  </si>
  <si>
    <t>-0.9497192755335715</t>
  </si>
  <si>
    <t>0.11568586950702657</t>
  </si>
  <si>
    <t>-2.076823604773109</t>
  </si>
  <si>
    <t>-0.2527788063267728</t>
  </si>
  <si>
    <t>-0.7751057038702895</t>
  </si>
  <si>
    <t>1.0902479914979217</t>
  </si>
  <si>
    <t>-1.5838181076687883</t>
  </si>
  <si>
    <t>-1.8972431167948018</t>
  </si>
  <si>
    <t>-2.4364615539797008</t>
  </si>
  <si>
    <t>0.8764569383746093</t>
  </si>
  <si>
    <t>0.9598939284283476</t>
  </si>
  <si>
    <t>-0.5807557910850973</t>
  </si>
  <si>
    <t>-0.7556495941493161</t>
  </si>
  <si>
    <t>0.14951321065702883</t>
  </si>
  <si>
    <t>-0.9274087428394606</t>
  </si>
  <si>
    <t>0.8045511597251797</t>
  </si>
  <si>
    <t>-1.6898713673476131</t>
  </si>
  <si>
    <t>-0.5070949875771067</t>
  </si>
  <si>
    <t>2.259303422100476</t>
  </si>
  <si>
    <t>1.022699948289771</t>
  </si>
  <si>
    <t>-0.44208283517718944</t>
  </si>
  <si>
    <t>1.9313873563886028</t>
  </si>
  <si>
    <t>0.8614573739058468</t>
  </si>
  <si>
    <t>-0.3467503410099961</t>
  </si>
  <si>
    <t>0.811860885616774</t>
  </si>
  <si>
    <t>0.8066177907086527</t>
  </si>
  <si>
    <t>0.3360511300772188</t>
  </si>
  <si>
    <t>-0.5271947844780311</t>
  </si>
  <si>
    <t>-2.045668787659959</t>
  </si>
  <si>
    <t>-0.0668783219121473</t>
  </si>
  <si>
    <t>0.39075868399757524</t>
  </si>
  <si>
    <t>0.8964742052328404</t>
  </si>
  <si>
    <t>-1.8657650035907085</t>
  </si>
  <si>
    <t>3.743847988475986</t>
  </si>
  <si>
    <t>-0.5966160242632977</t>
  </si>
  <si>
    <t>-1.9543531267150123</t>
  </si>
  <si>
    <t>-1.3398300786241124</t>
  </si>
  <si>
    <t>-0.18320495907332546</t>
  </si>
  <si>
    <t>-1.5358022911548808</t>
  </si>
  <si>
    <t>1.4255689492881094</t>
  </si>
  <si>
    <t>0.482268989523338</t>
  </si>
  <si>
    <t>1.9059527493560144</t>
  </si>
  <si>
    <t>-2.816894826141167</t>
  </si>
  <si>
    <t>0.8224265466782998</t>
  </si>
  <si>
    <t>1.465981559297216</t>
  </si>
  <si>
    <t>-1.3333020216495703</t>
  </si>
  <si>
    <t>-0.5042057122817218</t>
  </si>
  <si>
    <t>1.135866510917533</t>
  </si>
  <si>
    <t>-1.4610199794225192</t>
  </si>
  <si>
    <t>-1.7655086459103728</t>
  </si>
  <si>
    <t>0.22243774092591023</t>
  </si>
  <si>
    <t>-0.18608528893813653</t>
  </si>
  <si>
    <t>0.8834380309707914</t>
  </si>
  <si>
    <t>-0.5785190105630579</t>
  </si>
  <si>
    <t>-0.3017739324379765</t>
  </si>
  <si>
    <t>-0.4794470698668245</t>
  </si>
  <si>
    <t>1.0775843467151267</t>
  </si>
  <si>
    <t>-1.2279336261881881</t>
  </si>
  <si>
    <t>-0.2797868551442327</t>
  </si>
  <si>
    <t>-0.8435737652146088</t>
  </si>
  <si>
    <t>-0.5430120087550033</t>
  </si>
  <si>
    <t>-0.5039479032695113</t>
  </si>
  <si>
    <t>-0.9036498287870494</t>
  </si>
  <si>
    <t>-0.006552838308680132</t>
  </si>
  <si>
    <t>0.4298017330881626</t>
  </si>
  <si>
    <t>-0.7751957877696016</t>
  </si>
  <si>
    <t>-1.4566264503771067</t>
  </si>
  <si>
    <t>0.9735203740947306</t>
  </si>
  <si>
    <t>-0.7845022515242723</t>
  </si>
  <si>
    <t>-2.777200422356297</t>
  </si>
  <si>
    <t>1.8271568817509687</t>
  </si>
  <si>
    <t>-2.4814041188972595</t>
  </si>
  <si>
    <t>1.2633382907649944</t>
  </si>
  <si>
    <t>-0.31040420266670765</t>
  </si>
  <si>
    <t>-2.2716047322188113</t>
  </si>
  <si>
    <t>-1.6319367177137083</t>
  </si>
  <si>
    <t>-2.0275793367992296</t>
  </si>
  <si>
    <t>1.0967554778222544</t>
  </si>
  <si>
    <t>-0.4744979412124052</t>
  </si>
  <si>
    <t>-1.0092538134508198</t>
  </si>
  <si>
    <t>0.19606171588417595</t>
  </si>
  <si>
    <t>0.3388269661452113</t>
  </si>
  <si>
    <t>-0.14941446148685678</t>
  </si>
  <si>
    <t>-0.9800934105955866</t>
  </si>
  <si>
    <t>-1.0791983955932352</t>
  </si>
  <si>
    <t>0.5332338912201976</t>
  </si>
  <si>
    <t>-1.2261305629944361</t>
  </si>
  <si>
    <t>2.0579663212824273</t>
  </si>
  <si>
    <t>-1.0947274217798737</t>
  </si>
  <si>
    <t>-0.38325560981679746</t>
  </si>
  <si>
    <t>-2.115475118618037</t>
  </si>
  <si>
    <t>1.884023703884434</t>
  </si>
  <si>
    <t>-2.460823056002827</t>
  </si>
  <si>
    <t>1.2640938024607866</t>
  </si>
  <si>
    <t>-0.11630613983561561</t>
  </si>
  <si>
    <t>-0.2598410502113401</t>
  </si>
  <si>
    <t>1.062706878599488</t>
  </si>
  <si>
    <t>-1.6225500684569276</t>
  </si>
  <si>
    <t>1.4086478379618017</t>
  </si>
  <si>
    <t>-1.23107927208232</t>
  </si>
  <si>
    <t>-0.15542749803420441</t>
  </si>
  <si>
    <t>-2.80008634994877</t>
  </si>
  <si>
    <t>-1.108038158970038</t>
  </si>
  <si>
    <t>-1.2206325762531962</t>
  </si>
  <si>
    <t>0.11689939689707358</t>
  </si>
  <si>
    <t>-1.0491614865999488</t>
  </si>
  <si>
    <t>-0.8161282517245152</t>
  </si>
  <si>
    <t>-0.13937328040672653</t>
  </si>
  <si>
    <t>1.7580715365871278</t>
  </si>
  <si>
    <t>-0.37350609232068327</t>
  </si>
  <si>
    <t>1.524210639210548</t>
  </si>
  <si>
    <t>0.17644364281565278</t>
  </si>
  <si>
    <t>0.22188638162643742</t>
  </si>
  <si>
    <t>-0.13679426543105822</t>
  </si>
  <si>
    <t>-0.9717799619156602</t>
  </si>
  <si>
    <t>-0.29396961705211194</t>
  </si>
  <si>
    <t>0.46934042642673063</t>
  </si>
  <si>
    <t>-0.06258559112074609</t>
  </si>
  <si>
    <t>-2.1219011416658646</t>
  </si>
  <si>
    <t>-1.9574623795773372</t>
  </si>
  <si>
    <t>-1.2831774760241106</t>
  </si>
  <si>
    <t>0.39588604018753665</t>
  </si>
  <si>
    <t>-0.7333309440157452</t>
  </si>
  <si>
    <t>-1.4913292852470923</t>
  </si>
  <si>
    <t>-0.8727724374934301</t>
  </si>
  <si>
    <t>0.17424947717865022</t>
  </si>
  <si>
    <t>2.316139576771995</t>
  </si>
  <si>
    <t>-0.9731869909392881</t>
  </si>
  <si>
    <t>-2.0533798924866837</t>
  </si>
  <si>
    <t>0.452993306258741</t>
  </si>
  <si>
    <t>-0.33103491937994967</t>
  </si>
  <si>
    <t>-1.0577645130627098</t>
  </si>
  <si>
    <t>-1.8259044468006334</t>
  </si>
  <si>
    <t>1.6514873575556654</t>
  </si>
  <si>
    <t>0.8472918065828908</t>
  </si>
  <si>
    <t>-2.4598043934145735</t>
  </si>
  <si>
    <t>-2.3817361596633573</t>
  </si>
  <si>
    <t>-0.704827640864912</t>
  </si>
  <si>
    <t>-0.9085867097505811</t>
  </si>
  <si>
    <t>-0.7991446553002612</t>
  </si>
  <si>
    <t>-0.719618251291885</t>
  </si>
  <si>
    <t>-1.1004954350201563</t>
  </si>
  <si>
    <t>-0.23742564482347672</t>
  </si>
  <si>
    <t>-1.7525681440648107</t>
  </si>
  <si>
    <t>2.9356513604874475</t>
  </si>
  <si>
    <t>-3.830809139201495</t>
  </si>
  <si>
    <t>0.9006912750247953</t>
  </si>
  <si>
    <t>-0.37038653055257764</t>
  </si>
  <si>
    <t>0.4997758011786198</t>
  </si>
  <si>
    <t>3.0253237521339877</t>
  </si>
  <si>
    <t>1.1023593175804918</t>
  </si>
  <si>
    <t>-1.002453027210009</t>
  </si>
  <si>
    <t>-0.8140543010915172</t>
  </si>
  <si>
    <t>-1.9271892876938879</t>
  </si>
  <si>
    <t>4.7309718538686845</t>
  </si>
  <si>
    <t>2.2345194305811935</t>
  </si>
  <si>
    <t>-1.465809356680867</t>
  </si>
  <si>
    <t>-0.8568015762075917</t>
  </si>
  <si>
    <t>-0.16579092336516899</t>
  </si>
  <si>
    <t>-0.5898047505225673</t>
  </si>
  <si>
    <t>0.09507772028845378</t>
  </si>
  <si>
    <t>3.6244859556842326</t>
  </si>
  <si>
    <t>0.9586001602617202</t>
  </si>
  <si>
    <t>-1.2420419875437756</t>
  </si>
  <si>
    <t>-1.2166326206845746</t>
  </si>
  <si>
    <t>-0.050536966126041166</t>
  </si>
  <si>
    <t>-1.4965114421579415</t>
  </si>
  <si>
    <t>-0.5165776794568938</t>
  </si>
  <si>
    <t>-0.7554648037731627</t>
  </si>
  <si>
    <t>1.513599819217992</t>
  </si>
  <si>
    <t>-1.6362901526219515</t>
  </si>
  <si>
    <t>2.72935374122806</t>
  </si>
  <si>
    <t>-0.16271256747039095</t>
  </si>
  <si>
    <t>0.6764533040583438</t>
  </si>
  <si>
    <t>-1.7475962121897788</t>
  </si>
  <si>
    <t>4.384018277025943</t>
  </si>
  <si>
    <t>2.1340467512704793</t>
  </si>
  <si>
    <t>0.8410999234663358</t>
  </si>
  <si>
    <t>-1.2753534217040832</t>
  </si>
  <si>
    <t>-0.8693577064790464</t>
  </si>
  <si>
    <t>2.3900824049456375</t>
  </si>
  <si>
    <t>0.7796527745112447</t>
  </si>
  <si>
    <t>-1.4676458340438563</t>
  </si>
  <si>
    <t>1.9867059899107313</t>
  </si>
  <si>
    <t>1.0575764524529132</t>
  </si>
  <si>
    <t>-2.127898520573365</t>
  </si>
  <si>
    <t>-1.657590560611795</t>
  </si>
  <si>
    <t>-2.111456478639013</t>
  </si>
  <si>
    <t>0.44243419025056446</t>
  </si>
  <si>
    <t>0.35322991465086995</t>
  </si>
  <si>
    <t>-0.2560894433446546</t>
  </si>
  <si>
    <t>-1.2870060381836625</t>
  </si>
  <si>
    <t>-1.8691861105062608</t>
  </si>
  <si>
    <t>-1.709957350231068</t>
  </si>
  <si>
    <t>-0.779496829059032</t>
  </si>
  <si>
    <t>-0.0186676203212845</t>
  </si>
  <si>
    <t>-0.5372750922846956</t>
  </si>
  <si>
    <t>0.26047941060470337</t>
  </si>
  <si>
    <t>2.9834833661590285</t>
  </si>
  <si>
    <t>0.0320216112569339</t>
  </si>
  <si>
    <t>0.5952054993905156</t>
  </si>
  <si>
    <t>1.592280221613368</t>
  </si>
  <si>
    <t>-0.7905175745303211</t>
  </si>
  <si>
    <t>0.932453331840911</t>
  </si>
  <si>
    <t>-1.7936895490741014</t>
  </si>
  <si>
    <t>-2.321459695920527</t>
  </si>
  <si>
    <t>-1.528524150123251</t>
  </si>
  <si>
    <t>-1.717409128600701</t>
  </si>
  <si>
    <t>1.7745105418541636</t>
  </si>
  <si>
    <t>-0.6788205041374696</t>
  </si>
  <si>
    <t>1.502411376296394</t>
  </si>
  <si>
    <t>1.520796106264155</t>
  </si>
  <si>
    <t>-1.0484590315151354</t>
  </si>
  <si>
    <t>-0.8171845853781249</t>
  </si>
  <si>
    <t>-1.9852081978195457</t>
  </si>
  <si>
    <t>-0.6990778509820312</t>
  </si>
  <si>
    <t>0.702148158143336</t>
  </si>
  <si>
    <t>0.5263340211682022</t>
  </si>
  <si>
    <t>-3.365200171674934</t>
  </si>
  <si>
    <t>-0.9726474420416809</t>
  </si>
  <si>
    <t>1.1117198762433678</t>
  </si>
  <si>
    <t>0.28282417805260857</t>
  </si>
  <si>
    <t>-1.119222761798808</t>
  </si>
  <si>
    <t>0.8133496954585565</t>
  </si>
  <si>
    <t>-0.6561558919510176</t>
  </si>
  <si>
    <t>-2.339505338486694</t>
  </si>
  <si>
    <t>1.4196535205892336</t>
  </si>
  <si>
    <t>-1.917096522721577</t>
  </si>
  <si>
    <t>2.985258922444964</t>
  </si>
  <si>
    <t>0.08296524860972627</t>
  </si>
  <si>
    <t>-0.06775726455129874</t>
  </si>
  <si>
    <t>0.03610172335360258</t>
  </si>
  <si>
    <t>0.08641774675712073</t>
  </si>
  <si>
    <t>0.8030884493695778</t>
  </si>
  <si>
    <t>-4.584811314212738</t>
  </si>
  <si>
    <t>-1.7784389233977664</t>
  </si>
  <si>
    <t>-1.7505881924622173</t>
  </si>
  <si>
    <t>0.9506366720904401</t>
  </si>
  <si>
    <t>-0.9801738836698087</t>
  </si>
  <si>
    <t>1.1077924867520463</t>
  </si>
  <si>
    <t>3.675668815192037</t>
  </si>
  <si>
    <t>2.0833274281623444</t>
  </si>
  <si>
    <t>0.011051610985177292</t>
  </si>
  <si>
    <t>-1.544221072116834</t>
  </si>
  <si>
    <t>5.541870705288242</t>
  </si>
  <si>
    <t>-3.214078479693819</t>
  </si>
  <si>
    <t>-2.786602449397794</t>
  </si>
  <si>
    <t>-1.2658565078962127</t>
  </si>
  <si>
    <t>-0.05993128707047944</t>
  </si>
  <si>
    <t>0.27609364255418617</t>
  </si>
  <si>
    <t>1.258936360002253</t>
  </si>
  <si>
    <t>0.19659732302318636</t>
  </si>
  <si>
    <t>-0.0350134077128544</t>
  </si>
  <si>
    <t>0.24711641766234707</t>
  </si>
  <si>
    <t>0.43653342948678303</t>
  </si>
  <si>
    <t>-2.5448251646377185</t>
  </si>
  <si>
    <t>0.9550013625185085</t>
  </si>
  <si>
    <t>-0.9988598107250217</t>
  </si>
  <si>
    <t>-1.6740957412620303</t>
  </si>
  <si>
    <t>-1.3197271749110069</t>
  </si>
  <si>
    <t>-2.382367139279593</t>
  </si>
  <si>
    <t>0.6374734273542373</t>
  </si>
  <si>
    <t>-1.065101739847182</t>
  </si>
  <si>
    <t>0.6192619713557805</t>
  </si>
  <si>
    <t>-1.077682936714988</t>
  </si>
  <si>
    <t>-1.0472819837778946</t>
  </si>
  <si>
    <t>0.42990760349349255</t>
  </si>
  <si>
    <t>-1.2675713486969251</t>
  </si>
  <si>
    <t>-3.307834390700211</t>
  </si>
  <si>
    <t>1.5209528394766283</t>
  </si>
  <si>
    <t>-0.6960720557714849</t>
  </si>
  <si>
    <t>1.4054746358524448</t>
  </si>
  <si>
    <t>2.0514296243595425</t>
  </si>
  <si>
    <t>1.2160223538811932</t>
  </si>
  <si>
    <t>-2.1594173152349585</t>
  </si>
  <si>
    <t>-1.0632621027392604</t>
  </si>
  <si>
    <t>1.332330073881194</t>
  </si>
  <si>
    <t>-1.7888830741527115</t>
  </si>
  <si>
    <t>-1.7964651071448792</t>
  </si>
  <si>
    <t>2.368297392239767</t>
  </si>
  <si>
    <t>-0.8516746546525632</t>
  </si>
  <si>
    <t>-2.572177392419773</t>
  </si>
  <si>
    <t>-0.6668147770981195</t>
  </si>
  <si>
    <t>-0.32233530645324265</t>
  </si>
  <si>
    <t>0.9349695654746076</t>
  </si>
  <si>
    <t>1.4825956909348292</t>
  </si>
  <si>
    <t>-1.1375076045407764</t>
  </si>
  <si>
    <t>7.124156573669394</t>
  </si>
  <si>
    <t>0.1773462239446134</t>
  </si>
  <si>
    <t>-0.6813967312886587</t>
  </si>
  <si>
    <t>-0.6383661850748881</t>
  </si>
  <si>
    <t>0.3015407107806284</t>
  </si>
  <si>
    <t>-1.7329443404006057</t>
  </si>
  <si>
    <t>2.6334950044212055</t>
  </si>
  <si>
    <t>-1.0683909127858562</t>
  </si>
  <si>
    <t>3.19208062888841</t>
  </si>
  <si>
    <t>2.2274766806775257</t>
  </si>
  <si>
    <t>-0.08794442077175665</t>
  </si>
  <si>
    <t>1.2166167068047915</t>
  </si>
  <si>
    <t>0.7053815065015002</t>
  </si>
  <si>
    <t>-1.4202440176850033</t>
  </si>
  <si>
    <t>2.741535489196761</t>
  </si>
  <si>
    <t>0.49778028114832007</t>
  </si>
  <si>
    <t>-1.1249447910535135</t>
  </si>
  <si>
    <t>-0.7275677643235573</t>
  </si>
  <si>
    <t>1.1986169016522932</t>
  </si>
  <si>
    <t>0.41216252181740276</t>
  </si>
  <si>
    <t>3.784490035047053</t>
  </si>
  <si>
    <t>1.260860896002793</t>
  </si>
  <si>
    <t>1.1431521709749048</t>
  </si>
  <si>
    <t>2.0388512733683415</t>
  </si>
  <si>
    <t>1.1601057552657863</t>
  </si>
  <si>
    <t>1.7537423026679835</t>
  </si>
  <si>
    <t>1.3519251187439991</t>
  </si>
  <si>
    <t>-2.3574757556939487</t>
  </si>
  <si>
    <t>0.2889966339124782</t>
  </si>
  <si>
    <t>-0.30774388372747996</t>
  </si>
  <si>
    <t>-0.5352119371107226</t>
  </si>
  <si>
    <t>0.3380770276385584</t>
  </si>
  <si>
    <t>-2.355762850761409</t>
  </si>
  <si>
    <t>0.25027337002592354</t>
  </si>
  <si>
    <t>-0.11929730224753866</t>
  </si>
  <si>
    <t>-0.7416178296970607</t>
  </si>
  <si>
    <t>1.07535432217152</t>
  </si>
  <si>
    <t>1.8253655463860043</t>
  </si>
  <si>
    <t>1.383175972500065</t>
  </si>
  <si>
    <t>-0.7361713567360185</t>
  </si>
  <si>
    <t>0.9068020763619711</t>
  </si>
  <si>
    <t>1.7748093952840907</t>
  </si>
  <si>
    <t>-0.08684544466104317</t>
  </si>
  <si>
    <t>-0.6807795556398262</t>
  </si>
  <si>
    <t>1.445355375885715</t>
  </si>
  <si>
    <t>0.32927246352486167</t>
  </si>
  <si>
    <t>0.5224653385711647</t>
  </si>
  <si>
    <t>-0.7513454194146988</t>
  </si>
  <si>
    <t>1.247840498594013</t>
  </si>
  <si>
    <t>1.7721443837221456</t>
  </si>
  <si>
    <t>-0.028991537042723538</t>
  </si>
  <si>
    <t>-0.4952531225772011</t>
  </si>
  <si>
    <t>1.3607936615948932</t>
  </si>
  <si>
    <t>0.8608017652229623</t>
  </si>
  <si>
    <t>2.356269381738672</t>
  </si>
  <si>
    <t>-0.6559360000825796</t>
  </si>
  <si>
    <t>-0.2555202113485958</t>
  </si>
  <si>
    <t>-0.13886993757813076</t>
  </si>
  <si>
    <t>0.927036009120386</t>
  </si>
  <si>
    <t>-0.2745535383093682</t>
  </si>
  <si>
    <t>1.0459207847683893</t>
  </si>
  <si>
    <t>0.07727108898161596</t>
  </si>
  <si>
    <t>0.36481511791749566</t>
  </si>
  <si>
    <t>2.442956633633826</t>
  </si>
  <si>
    <t>2.21183183066998</t>
  </si>
  <si>
    <t>0.10547392258417314</t>
  </si>
  <si>
    <t>1.1800986526833652</t>
  </si>
  <si>
    <t>0.852592237039339</t>
  </si>
  <si>
    <t>0.16623572691411317</t>
  </si>
  <si>
    <t>0.745483277542909</t>
  </si>
  <si>
    <t>-2.2594628869863174</t>
  </si>
  <si>
    <t>1.502936938083017</t>
  </si>
  <si>
    <t>0.9258736961654664</t>
  </si>
  <si>
    <t>2.7681924969213445</t>
  </si>
  <si>
    <t>0.22330690779447548</t>
  </si>
  <si>
    <t>-2.401329273980562</t>
  </si>
  <si>
    <t>1.451107068600691</t>
  </si>
  <si>
    <t>-1.5658983844713448</t>
  </si>
  <si>
    <t>-1.5219521900930404</t>
  </si>
  <si>
    <t>2.06456159104656</t>
  </si>
  <si>
    <t>0.2352794963176766</t>
  </si>
  <si>
    <t>1.570544963769859</t>
  </si>
  <si>
    <t>0.4997556663623533</t>
  </si>
  <si>
    <t>0.38626997585729705</t>
  </si>
  <si>
    <t>-0.253436352919159</t>
  </si>
  <si>
    <t>-0.3315908617375865</t>
  </si>
  <si>
    <t>1.063975683375468</t>
  </si>
  <si>
    <t>0.17541934056246128</t>
  </si>
  <si>
    <t>-0.006474777765386871</t>
  </si>
  <si>
    <t>-0.32245120766032637</t>
  </si>
  <si>
    <t>-0.7434454829535645</t>
  </si>
  <si>
    <t>-0.6921879962519062</t>
  </si>
  <si>
    <t>0.04489183258218442</t>
  </si>
  <si>
    <t>-0.1708650869478102</t>
  </si>
  <si>
    <t>3.3903788305468794</t>
  </si>
  <si>
    <t>0.24111902601550741</t>
  </si>
  <si>
    <t>1.898572977529789</t>
  </si>
  <si>
    <t>-0.3262678800342693</t>
  </si>
  <si>
    <t>1.2784050925220414</t>
  </si>
  <si>
    <t>0.8723775368745349</t>
  </si>
  <si>
    <t>-1.267522186040009</t>
  </si>
  <si>
    <t>-0.5420143101062799</t>
  </si>
  <si>
    <t>1.2189095693138803</t>
  </si>
  <si>
    <t>0.5741029719653393</t>
  </si>
  <si>
    <t>-1.3166063727662185</t>
  </si>
  <si>
    <t>-0.2688324644742225</t>
  </si>
  <si>
    <t>-1.0187490484478146</t>
  </si>
  <si>
    <t>2.0014108040823966</t>
  </si>
  <si>
    <t>1.2502492188924352</t>
  </si>
  <si>
    <t>-1.0064903541835697</t>
  </si>
  <si>
    <t>-0.7225208597206018</t>
  </si>
  <si>
    <t>1.6886266370625482</t>
  </si>
  <si>
    <t>-1.5138171037123924</t>
  </si>
  <si>
    <t>1.3413119842697367</t>
  </si>
  <si>
    <t>-0.31137489753789843</t>
  </si>
  <si>
    <t>0.07074459905090534</t>
  </si>
  <si>
    <t>1.4107055368930195</t>
  </si>
  <si>
    <t>1.7434244978026863</t>
  </si>
  <si>
    <t>-0.8909554949173576</t>
  </si>
  <si>
    <t>1.1229309778484238</t>
  </si>
  <si>
    <t>-0.2120657561113432</t>
  </si>
  <si>
    <t>1.3442521149904472</t>
  </si>
  <si>
    <t>0.15852414194882908</t>
  </si>
  <si>
    <t>-0.8147524918467055</t>
  </si>
  <si>
    <t>-0.12085662768128409</t>
  </si>
  <si>
    <t>0.6216467220006824</t>
  </si>
  <si>
    <t>1.628504422389316</t>
  </si>
  <si>
    <t>0.44677525982225913</t>
  </si>
  <si>
    <t>1.2980840457939298</t>
  </si>
  <si>
    <t>-0.2072267805716836</t>
  </si>
  <si>
    <t>-0.020658163233982438</t>
  </si>
  <si>
    <t>1.6069644609362281</t>
  </si>
  <si>
    <t>0.05579119960106857</t>
  </si>
  <si>
    <t>0.12975215252171673</t>
  </si>
  <si>
    <t>-0.42160403658232853</t>
  </si>
  <si>
    <t>0.22167540595986357</t>
  </si>
  <si>
    <t>-1.5014631576241815</t>
  </si>
  <si>
    <t>-0.8150000324687372</t>
  </si>
  <si>
    <t>-0.808708797500262</t>
  </si>
  <si>
    <t>-1.5443296318176536</t>
  </si>
  <si>
    <t>-0.8219817326104664</t>
  </si>
  <si>
    <t>1.6514539615873989</t>
  </si>
  <si>
    <t>-0.8020381975535078</t>
  </si>
  <si>
    <t>-0.7261316194007756</t>
  </si>
  <si>
    <t>1.3752771245974698</t>
  </si>
  <si>
    <t>-0.03498014142438454</t>
  </si>
  <si>
    <t>-0.9839366678581357</t>
  </si>
  <si>
    <t>0.7643646779416647</t>
  </si>
  <si>
    <t>-0.9291983789249981</t>
  </si>
  <si>
    <t>2.459751503410487</t>
  </si>
  <si>
    <t>-1.5523494009303274</t>
  </si>
  <si>
    <t>-0.6315629167590681</t>
  </si>
  <si>
    <t>-2.8287538603799733</t>
  </si>
  <si>
    <t>1.711211440295422</t>
  </si>
  <si>
    <t>-1.8103458280597662</t>
  </si>
  <si>
    <t>-2.8652679588016627</t>
  </si>
  <si>
    <t>-0.18416244481124283</t>
  </si>
  <si>
    <t>1.08974760227666</t>
  </si>
  <si>
    <t>-0.8578072619918417</t>
  </si>
  <si>
    <t>2.8090337577902957</t>
  </si>
  <si>
    <t>1.729062967179729</t>
  </si>
  <si>
    <t>-1.408476215297364</t>
  </si>
  <si>
    <t>-1.98169948315555</t>
  </si>
  <si>
    <t>-0.14550461944874746</t>
  </si>
  <si>
    <t>0.2332366712596836</t>
  </si>
  <si>
    <t>0.648465371770075</t>
  </si>
  <si>
    <t>-2.039968101032649</t>
  </si>
  <si>
    <t>3.1469141671610124</t>
  </si>
  <si>
    <t>-0.9797595209350944</t>
  </si>
  <si>
    <t>1.3056015126073601</t>
  </si>
  <si>
    <t>-0.6613333065311096</t>
  </si>
  <si>
    <t>0.8924144619653998</t>
  </si>
  <si>
    <t>-0.6061336420902967</t>
  </si>
  <si>
    <t>0.1264241450839036</t>
  </si>
  <si>
    <t>0.600619711662165</t>
  </si>
  <si>
    <t>-0.23302094827684908</t>
  </si>
  <si>
    <t>-0.4342174603450208</t>
  </si>
  <si>
    <t>0.3628874864260479</t>
  </si>
  <si>
    <t>1.2913585580075413</t>
  </si>
  <si>
    <t>2.3050999493634414</t>
  </si>
  <si>
    <t>-0.2943613615531734</t>
  </si>
  <si>
    <t>-1.8323836024895304</t>
  </si>
  <si>
    <t>-0.43023614865776505</t>
  </si>
  <si>
    <t>-0.7613553760611999</t>
  </si>
  <si>
    <t>-1.623112218927953</t>
  </si>
  <si>
    <t>0.8434269013043378</t>
  </si>
  <si>
    <t>-1.2057677668975901</t>
  </si>
  <si>
    <t>-1.101807384620631</t>
  </si>
  <si>
    <t>0.1776390893801411</t>
  </si>
  <si>
    <t>-1.0340381709232827</t>
  </si>
  <si>
    <t>0.9659931639607771</t>
  </si>
  <si>
    <t>-0.25370426333197776</t>
  </si>
  <si>
    <t>1.4172060019168362</t>
  </si>
  <si>
    <t>-1.1717572026238026</t>
  </si>
  <si>
    <t>-2.030910631645598</t>
  </si>
  <si>
    <t>0.9610163548142385</t>
  </si>
  <si>
    <t>-0.7081901681598274</t>
  </si>
  <si>
    <t>-0.11864077548614044</t>
  </si>
  <si>
    <t>1.3979197018891805</t>
  </si>
  <si>
    <t>-3.186253707853307</t>
  </si>
  <si>
    <t>2.686675592037991</t>
  </si>
  <si>
    <t>1.4296710895217997</t>
  </si>
  <si>
    <t>-0.8500949827946346</t>
  </si>
  <si>
    <t>1.012812023124747</t>
  </si>
  <si>
    <t>-1.6728272027524915</t>
  </si>
  <si>
    <t>1.6367811449570513</t>
  </si>
  <si>
    <t>-0.6241985025001966</t>
  </si>
  <si>
    <t>1.5762005564872197</t>
  </si>
  <si>
    <t>0.392299060235977</t>
  </si>
  <si>
    <t>-2.0739723771775993</t>
  </si>
  <si>
    <t>0.6635048245518307</t>
  </si>
  <si>
    <t>0.9308992281430597</t>
  </si>
  <si>
    <t>-0.3948997046003473</t>
  </si>
  <si>
    <t>-0.3642366977099265</t>
  </si>
  <si>
    <t>0.8666617545829624</t>
  </si>
  <si>
    <t>1.2194294851072882</t>
  </si>
  <si>
    <t>-0.38775192119554763</t>
  </si>
  <si>
    <t>-0.5566108303113544</t>
  </si>
  <si>
    <t>-0.08935807113353618</t>
  </si>
  <si>
    <t>0.9633226701452741</t>
  </si>
  <si>
    <t>0.6078908228164212</t>
  </si>
  <si>
    <t>-0.32761544116712593</t>
  </si>
  <si>
    <t>-0.17209641945545193</t>
  </si>
  <si>
    <t>1.0913342456467756</t>
  </si>
  <si>
    <t>0.44095318563090913</t>
  </si>
  <si>
    <t>0.4204850117966228</t>
  </si>
  <si>
    <t>-2.595715543813627</t>
  </si>
  <si>
    <t>-1.7029064259147297</t>
  </si>
  <si>
    <t>0.754604928967296</t>
  </si>
  <si>
    <t>-1.7873152269682933</t>
  </si>
  <si>
    <t>-1.7561199140142325</t>
  </si>
  <si>
    <t>-1.024812279762615</t>
  </si>
  <si>
    <t>-0.19959209563792787</t>
  </si>
  <si>
    <t>1.0906770909901462</t>
  </si>
  <si>
    <t>0.40162485586640817</t>
  </si>
  <si>
    <t>-0.33011186690719485</t>
  </si>
  <si>
    <t>-1.367096759003541</t>
  </si>
  <si>
    <t>-1.2386500095656927</t>
  </si>
  <si>
    <t>1.0869129997858034</t>
  </si>
  <si>
    <t>2.3670169155262126</t>
  </si>
  <si>
    <t>-0.8183001963928435</t>
  </si>
  <si>
    <t>0.4804345737959355</t>
  </si>
  <si>
    <t>0.3323215984080913</t>
  </si>
  <si>
    <t>-0.3412545902058234</t>
  </si>
  <si>
    <t>-1.6573154958967335</t>
  </si>
  <si>
    <t>-0.20929816748070404</t>
  </si>
  <si>
    <t>-0.7044275713045917</t>
  </si>
  <si>
    <t>-0.3967977017324169</t>
  </si>
  <si>
    <t>-2.7698138748375456</t>
  </si>
  <si>
    <t>-1.4505198466114204</t>
  </si>
  <si>
    <t>-0.6951118371320794</t>
  </si>
  <si>
    <t>1.9534347372920644</t>
  </si>
  <si>
    <t>-0.8540796749738027</t>
  </si>
  <si>
    <t>-0.2920140059936209</t>
  </si>
  <si>
    <t>-3.1039193133178404</t>
  </si>
  <si>
    <t>-0.3076118632043842</t>
  </si>
  <si>
    <t>-3.0976323615418107</t>
  </si>
  <si>
    <t>-0.10218996916486929</t>
  </si>
  <si>
    <t>-1.3141272889525686</t>
  </si>
  <si>
    <t>-2.705794890586851</t>
  </si>
  <si>
    <t>2.8103690968635084</t>
  </si>
  <si>
    <t>0.5890150282126183</t>
  </si>
  <si>
    <t>0.4872720701771487</t>
  </si>
  <si>
    <t>-3.3321922584061565</t>
  </si>
  <si>
    <t>1.9366069965946298</t>
  </si>
  <si>
    <t>-2.2083292299971995</t>
  </si>
  <si>
    <t>-2.578754401515104</t>
  </si>
  <si>
    <t>1.200949695000726</t>
  </si>
  <si>
    <t>-2.624170410055323</t>
  </si>
  <si>
    <t>1.980382281576983</t>
  </si>
  <si>
    <t>-0.4498540739790578</t>
  </si>
  <si>
    <t>-1.5268227212049845</t>
  </si>
  <si>
    <t>-0.5752168431133676</t>
  </si>
  <si>
    <t>0.12333998598287632</t>
  </si>
  <si>
    <t>3.184767055401557</t>
  </si>
  <si>
    <t>1.6672401394129381</t>
  </si>
  <si>
    <t>-1.8920989980446603</t>
  </si>
  <si>
    <t>-2.8453806819928893</t>
  </si>
  <si>
    <t>-1.1539451701192063</t>
  </si>
  <si>
    <t>0.24644208934754028</t>
  </si>
  <si>
    <t>-1.6533568604683861</t>
  </si>
  <si>
    <t>-2.2770336763948533</t>
  </si>
  <si>
    <t>2.6926975741649493</t>
  </si>
  <si>
    <t>-0.9407914320635634</t>
  </si>
  <si>
    <t>-0.2772659988879509</t>
  </si>
  <si>
    <t>1.311642628173731</t>
  </si>
  <si>
    <t>3.099243391590767</t>
  </si>
  <si>
    <t>0.7152008399850571</t>
  </si>
  <si>
    <t>-1.60742410749513</t>
  </si>
  <si>
    <t>3.076875955497113</t>
  </si>
  <si>
    <t>2.783857738569674</t>
  </si>
  <si>
    <t>-1.7544299431258799</t>
  </si>
  <si>
    <t>-2.177520566590742</t>
  </si>
  <si>
    <t>-0.6785782552444406</t>
  </si>
  <si>
    <t>3.6253574759441944</t>
  </si>
  <si>
    <t>3.3867538488852973</t>
  </si>
  <si>
    <t>-1.105311456520302</t>
  </si>
  <si>
    <t>-1.7397168983641542</t>
  </si>
  <si>
    <t>-2.32782299533431</t>
  </si>
  <si>
    <t>-0.8692552386513837</t>
  </si>
  <si>
    <t>1.0038490111985177</t>
  </si>
  <si>
    <t>-0.14344498503834008</t>
  </si>
  <si>
    <t>1.752170561567946</t>
  </si>
  <si>
    <t>-1.067929467412139</t>
  </si>
  <si>
    <t>-0.8863869012075335</t>
  </si>
  <si>
    <t>-0.61814015292046</t>
  </si>
  <si>
    <t>-0.7977603037960275</t>
  </si>
  <si>
    <t>-1.8368443675562836</t>
  </si>
  <si>
    <t>0.5106916476718136</t>
  </si>
  <si>
    <t>0.02095289946376507</t>
  </si>
  <si>
    <t>-3.1796033319158155</t>
  </si>
  <si>
    <t>-0.21032223740580588</t>
  </si>
  <si>
    <t>3.3071929928160393</t>
  </si>
  <si>
    <t>1.7362712618231988</t>
  </si>
  <si>
    <t>-0.06354031216411764</t>
  </si>
  <si>
    <t>1.899024951463596</t>
  </si>
  <si>
    <t>-0.10399116551342033</t>
  </si>
  <si>
    <t>0.9190358154411059</t>
  </si>
  <si>
    <t>2.1770346809651904</t>
  </si>
  <si>
    <t>-0.764020420297973</t>
  </si>
  <si>
    <t>-1.425405582197718</t>
  </si>
  <si>
    <t>-1.1090605423522293</t>
  </si>
  <si>
    <t>-0.20562560254950213</t>
  </si>
  <si>
    <t>-1.4249443599523497</t>
  </si>
  <si>
    <t>-0.9947769002018255</t>
  </si>
  <si>
    <t>-0.13134215442167235</t>
  </si>
  <si>
    <t>-1.8030583616684652</t>
  </si>
  <si>
    <t>-0.7332513661669581</t>
  </si>
  <si>
    <t>0.3262716789353175</t>
  </si>
  <si>
    <t>2.8492098884032155</t>
  </si>
  <si>
    <t>-1.58270253270309</t>
  </si>
  <si>
    <t>-0.29137268508175845</t>
  </si>
  <si>
    <t>1.3913790543313924</t>
  </si>
  <si>
    <t>-1.3921829224415747</t>
  </si>
  <si>
    <t>1.1833947953988688</t>
  </si>
  <si>
    <t>-0.9046148776789507</t>
  </si>
  <si>
    <t>-1.5236276207386508</t>
  </si>
  <si>
    <t>4.02582744186323</t>
  </si>
  <si>
    <t>-0.7735329661981855</t>
  </si>
  <si>
    <t>1.7671629822177588</t>
  </si>
  <si>
    <t>0.29455946473892064</t>
  </si>
  <si>
    <t>-3.2062569057900454</t>
  </si>
  <si>
    <t>2.354181536447857</t>
  </si>
  <si>
    <t>1.8657312297482067</t>
  </si>
  <si>
    <t>-2.3840513675700996</t>
  </si>
  <si>
    <t>-0.009620890399318878</t>
  </si>
  <si>
    <t>0.4602454425018165</t>
  </si>
  <si>
    <t>-0.7771592094616668</t>
  </si>
  <si>
    <t>4.217445218814431</t>
  </si>
  <si>
    <t>-3.2590920308791933</t>
  </si>
  <si>
    <t>-0.025951523933923786</t>
  </si>
  <si>
    <t>0.20838802520959987</t>
  </si>
  <si>
    <t>0.29842944502905683</t>
  </si>
  <si>
    <t>1.5287617373158222</t>
  </si>
  <si>
    <t>0.1462245225643391</t>
  </si>
  <si>
    <t>-1.0274643781116137</t>
  </si>
  <si>
    <t>-1.274540154022189</t>
  </si>
  <si>
    <t>0.19083685098391684</t>
  </si>
  <si>
    <t>-0.5138677838518702</t>
  </si>
  <si>
    <t>0.3295178935254682</t>
  </si>
  <si>
    <t>-0.9017626703740631</t>
  </si>
  <si>
    <t>-0.35456441376279696</t>
  </si>
  <si>
    <t>-0.04325304153632629</t>
  </si>
  <si>
    <t>-0.35716419260541593</t>
  </si>
  <si>
    <t>0.27064764162473076</t>
  </si>
  <si>
    <t>-0.3897422755561983</t>
  </si>
  <si>
    <t>0.169793144250117</t>
  </si>
  <si>
    <t>2.374270141917495</t>
  </si>
  <si>
    <t>-2.7757880550389338</t>
  </si>
  <si>
    <t>2.2487265077336516</t>
  </si>
  <si>
    <t>0.048634157663682884</t>
  </si>
  <si>
    <t>-0.08361136447168485</t>
  </si>
  <si>
    <t>-0.7734249091165876</t>
  </si>
  <si>
    <t>0.6048642186727717</t>
  </si>
  <si>
    <t>-1.1469838330309383</t>
  </si>
  <si>
    <t>-0.29672194642916255</t>
  </si>
  <si>
    <t>0.29103438919226243</t>
  </si>
  <si>
    <t>-0.5907769734938086</t>
  </si>
  <si>
    <t>0.7638035151212583</t>
  </si>
  <si>
    <t>0.10995156934714034</t>
  </si>
  <si>
    <t>0.1477927851186454</t>
  </si>
  <si>
    <t>-0.558988040056198</t>
  </si>
  <si>
    <t>0.5113913026592662</t>
  </si>
  <si>
    <t>0.06935649461063502</t>
  </si>
  <si>
    <t>-0.7568989010225918</t>
  </si>
  <si>
    <t>-0.3763131170967158</t>
  </si>
  <si>
    <t>-1.2074411347797556</t>
  </si>
  <si>
    <t>0.6880839646208056</t>
  </si>
  <si>
    <t>-0.32779149701496546</t>
  </si>
  <si>
    <t>0.27971700144272466</t>
  </si>
  <si>
    <t>0.16955336900691295</t>
  </si>
  <si>
    <t>-0.43520870643190973</t>
  </si>
  <si>
    <t>0.46080714972798587</t>
  </si>
  <si>
    <t>-0.49000745072771634</t>
  </si>
  <si>
    <t>1.5672801014933246</t>
  </si>
  <si>
    <t>0.8190427145580039</t>
  </si>
  <si>
    <t>0.5060197547921186</t>
  </si>
  <si>
    <t>-0.3481090764141667</t>
  </si>
  <si>
    <t>-1.0471472822137933</t>
  </si>
  <si>
    <t>0.07281181264880876</t>
  </si>
  <si>
    <t>-0.23051032362153004</t>
  </si>
  <si>
    <t>0.9564034759394101</t>
  </si>
  <si>
    <t>0.31775297816573234</t>
  </si>
  <si>
    <t>0.6842875136138202</t>
  </si>
  <si>
    <t>-0.9993867788659144</t>
  </si>
  <si>
    <t>1.1820238000287326</t>
  </si>
  <si>
    <t>0.1648076229244342</t>
  </si>
  <si>
    <t>-0.8033055023880776</t>
  </si>
  <si>
    <t>-0.33022858646877445</t>
  </si>
  <si>
    <t>-0.5696668916131681</t>
  </si>
  <si>
    <t>0.07633448473243594</t>
  </si>
  <si>
    <t>0.7386820092928339</t>
  </si>
  <si>
    <t>-0.5232013553807062</t>
  </si>
  <si>
    <t>0.18504374033214674</t>
  </si>
  <si>
    <t>-0.3976534927785961</t>
  </si>
  <si>
    <t>-1.5981770136420503</t>
  </si>
  <si>
    <t>0.8197866403416546</t>
  </si>
  <si>
    <t>-0.3826913917859896</t>
  </si>
  <si>
    <t>-0.11382261230100044</t>
  </si>
  <si>
    <t>-0.6032272246213953</t>
  </si>
  <si>
    <t>-1.238247014656847</t>
  </si>
  <si>
    <t>0.13832315256262387</t>
  </si>
  <si>
    <t>0.33666091749699684</t>
  </si>
  <si>
    <t>0.8186073221558383</t>
  </si>
  <si>
    <t>0.15510801263800378</t>
  </si>
  <si>
    <t>0.16237437683224454</t>
  </si>
  <si>
    <t>0.011279144862310596</t>
  </si>
  <si>
    <t>-0.2268304827937646</t>
  </si>
  <si>
    <t>0.26398403023615263</t>
  </si>
  <si>
    <t>-0.4683690157001391</t>
  </si>
  <si>
    <t>0.2918933107506066</t>
  </si>
  <si>
    <t>-0.2455875519367184</t>
  </si>
  <si>
    <t>-0.9815092282913191</t>
  </si>
  <si>
    <t>0.5787924677037426</t>
  </si>
  <si>
    <t>0.8910946491153133</t>
  </si>
  <si>
    <t>0.1975040306229781</t>
  </si>
  <si>
    <t>0.4368976299385359</t>
  </si>
  <si>
    <t>-0.8458174428569766</t>
  </si>
  <si>
    <t>-0.17525259439632396</t>
  </si>
  <si>
    <t>-0.38530373385836325</t>
  </si>
  <si>
    <t>-0.02394857106995432</t>
  </si>
  <si>
    <t>0.011283829997082101</t>
  </si>
  <si>
    <t>-0.4315570160743082</t>
  </si>
  <si>
    <t>0.3093194613460617</t>
  </si>
  <si>
    <t>0.729442297052698</t>
  </si>
  <si>
    <t>0.5849024896370995</t>
  </si>
  <si>
    <t>-0.19234782171516343</t>
  </si>
  <si>
    <t>-0.2870630658670842</t>
  </si>
  <si>
    <t>-0.3280054584562582</t>
  </si>
  <si>
    <t>0.5546616169797534</t>
  </si>
  <si>
    <t>1.2277707313166613</t>
  </si>
  <si>
    <t>0.09588141238675896</t>
  </si>
  <si>
    <t>0.7809528773709267</t>
  </si>
  <si>
    <t>1.1186682559532954</t>
  </si>
  <si>
    <t>0.3374556640042496</t>
  </si>
  <si>
    <t>0.5383686192469024</t>
  </si>
  <si>
    <t>-0.7132392782375152</t>
  </si>
  <si>
    <t>0.453160115220944</t>
  </si>
  <si>
    <t>0.3262262530320342</t>
  </si>
  <si>
    <t>1.1893355919911672</t>
  </si>
  <si>
    <t>-0.3094980301731471</t>
  </si>
  <si>
    <t>-0.7001687798684865</t>
  </si>
  <si>
    <t>0.1750528117895831</t>
  </si>
  <si>
    <t>-0.06070688584721436</t>
  </si>
  <si>
    <t>-0.27291476744346466</t>
  </si>
  <si>
    <t>-0.8091780578530854</t>
  </si>
  <si>
    <t>0.49474594777776654</t>
  </si>
  <si>
    <t>-0.5770523103247088</t>
  </si>
  <si>
    <t>-1.9739118429788802</t>
  </si>
  <si>
    <t>-0.03461968349590804</t>
  </si>
  <si>
    <t>0.4997566699722182</t>
  </si>
  <si>
    <t>-0.1787567508641214</t>
  </si>
  <si>
    <t>0.6218354945647996</t>
  </si>
  <si>
    <t>-0.6482024775544997</t>
  </si>
  <si>
    <t>0.22679280054608142</t>
  </si>
  <si>
    <t>0.26374597134176747</t>
  </si>
  <si>
    <t>-1.2411213646399861</t>
  </si>
  <si>
    <t>0.29665434029030563</t>
  </si>
  <si>
    <t>-0.31575064032026573</t>
  </si>
  <si>
    <t>-0.017109794346445294</t>
  </si>
  <si>
    <t>0.28956063784235475</t>
  </si>
  <si>
    <t>-1.5844504920468123</t>
  </si>
  <si>
    <t>0.5393985201660767</t>
  </si>
  <si>
    <t>0.7029864572199171</t>
  </si>
  <si>
    <t>0.5983815210796426</t>
  </si>
  <si>
    <t>-0.213841993272578</t>
  </si>
  <si>
    <t>0.7515368277890131</t>
  </si>
  <si>
    <t>0.42746346649642425</t>
  </si>
  <si>
    <t>-0.3774093765394744</t>
  </si>
  <si>
    <t>-0.5197634128696808</t>
  </si>
  <si>
    <t>0.8555593528430763</t>
  </si>
  <si>
    <t>0.6449250945544973</t>
  </si>
  <si>
    <t>0.5795662714237396</t>
  </si>
  <si>
    <t>1.073152165663262</t>
  </si>
  <si>
    <t>0.37922240777152366</t>
  </si>
  <si>
    <t>-0.5718513620278446</t>
  </si>
  <si>
    <t>-0.20753895650195084</t>
  </si>
  <si>
    <t>-0.6969732523111197</t>
  </si>
  <si>
    <t>-2.2907575831572755</t>
  </si>
  <si>
    <t>2.03270787160983</t>
  </si>
  <si>
    <t>1.235046048635612</t>
  </si>
  <si>
    <t>0.1316804162040101</t>
  </si>
  <si>
    <t>1.088572167575635</t>
  </si>
  <si>
    <t>-1.7057044777866346</t>
  </si>
  <si>
    <t>0.3208257726277541</t>
  </si>
  <si>
    <t>1.9451216475366357</t>
  </si>
  <si>
    <t>-1.501620381219676</t>
  </si>
  <si>
    <t>-1.7298141369367506</t>
  </si>
  <si>
    <t>-0.09671742525081957</t>
  </si>
  <si>
    <t>-0.7349493693066464</t>
  </si>
  <si>
    <t>-1.205863594555768</t>
  </si>
  <si>
    <t>0.5421405469213998</t>
  </si>
  <si>
    <t>0.10493796030727875</t>
  </si>
  <si>
    <t>0.249416078972227</t>
  </si>
  <si>
    <t>-0.14217826640356218</t>
  </si>
  <si>
    <t>0.09392440670903357</t>
  </si>
  <si>
    <t>-0.6684389818956038</t>
  </si>
  <si>
    <t>0.514494473934161</t>
  </si>
  <si>
    <t>-0.7150372509765024</t>
  </si>
  <si>
    <t>-0.38672473525597345</t>
  </si>
  <si>
    <t>0.11533069688984947</t>
  </si>
  <si>
    <t>0.614367979380908</t>
  </si>
  <si>
    <t>-0.5838411390332342</t>
  </si>
  <si>
    <t>1.4252752399021378</t>
  </si>
  <si>
    <t>-0.5497909736245091</t>
  </si>
  <si>
    <t>0.5554045920283305</t>
  </si>
  <si>
    <t>0.15893555994399738</t>
  </si>
  <si>
    <t>0.3453066668137887</t>
  </si>
  <si>
    <t>-1.0795785808789873</t>
  </si>
  <si>
    <t>-0.5465925279409884</t>
  </si>
  <si>
    <t>0.2918869223148428</t>
  </si>
  <si>
    <t>-0.5531739915187898</t>
  </si>
  <si>
    <t>-0.7314586076165625</t>
  </si>
  <si>
    <t>0.0060583272666695715</t>
  </si>
  <si>
    <t>0.9412517145004883</t>
  </si>
  <si>
    <t>-0.3870144666996855</t>
  </si>
  <si>
    <t>0.3270064532927836</t>
  </si>
  <si>
    <t>0.5822588590872994</t>
  </si>
  <si>
    <t>-1.4044825362829185</t>
  </si>
  <si>
    <t>-0.19506232451140593</t>
  </si>
  <si>
    <t>0.889774074443545</t>
  </si>
  <si>
    <t>-0.12352630292640769</t>
  </si>
  <si>
    <t>-0.05937163405825677</t>
  </si>
  <si>
    <t>0.23601558043130036</t>
  </si>
  <si>
    <t>-0.5698301556840416</t>
  </si>
  <si>
    <t>-0.21686075922718046</t>
  </si>
  <si>
    <t>0.8818102046696857</t>
  </si>
  <si>
    <t>0.004751533948628732</t>
  </si>
  <si>
    <t>-0.1372095446476751</t>
  </si>
  <si>
    <t>-0.10381733684264462</t>
  </si>
  <si>
    <t>0.6867155595179626</t>
  </si>
  <si>
    <t>0.02320033692873664</t>
  </si>
  <si>
    <t>-0.6484537440777911</t>
  </si>
  <si>
    <t>-0.046473016245233804</t>
  </si>
  <si>
    <t>0.6538649749217181</t>
  </si>
  <si>
    <t>0.20543528007362835</t>
  </si>
  <si>
    <t>-0.039372418822255804</t>
  </si>
  <si>
    <t>-0.701447179499775</t>
  </si>
  <si>
    <t>1.4855910247699178</t>
  </si>
  <si>
    <t>-0.1438839220971215</t>
  </si>
  <si>
    <t>0.4829893277253173</t>
  </si>
  <si>
    <t>0.5486621850403802</t>
  </si>
  <si>
    <t>-0.15616308079486468</t>
  </si>
  <si>
    <t>-0.15970310051290362</t>
  </si>
  <si>
    <t>0.3702708822150144</t>
  </si>
  <si>
    <t>1.4898370701487622</t>
  </si>
  <si>
    <t>0.20014300387505107</t>
  </si>
  <si>
    <t>-0.3611921736314531</t>
  </si>
  <si>
    <t>0.4525045322660911</t>
  </si>
  <si>
    <t>1.56924344285807</t>
  </si>
  <si>
    <t>0.13273630703727307</t>
  </si>
  <si>
    <t>0.7641082383807082</t>
  </si>
  <si>
    <t>0.13990911649333201</t>
  </si>
  <si>
    <t>-0.5494537762761911</t>
  </si>
  <si>
    <t>-0.14523755996173354</t>
  </si>
  <si>
    <t>0.27005147569763854</t>
  </si>
  <si>
    <t>0.005402994484408642</t>
  </si>
  <si>
    <t>0.46494274661770385</t>
  </si>
  <si>
    <t>0.5919789809112316</t>
  </si>
  <si>
    <t>-0.8979360576723794</t>
  </si>
  <si>
    <t>0.6242809447767533</t>
  </si>
  <si>
    <t>-0.9886854799332834</t>
  </si>
  <si>
    <t>0.06937076269702956</t>
  </si>
  <si>
    <t>0.9229127920363723</t>
  </si>
  <si>
    <t>-0.29987290971528513</t>
  </si>
  <si>
    <t>-0.5207724285130391</t>
  </si>
  <si>
    <t>-0.4807420874701338</t>
  </si>
  <si>
    <t>-0.21529871586412644</t>
  </si>
  <si>
    <t>-0.708658342726347</t>
  </si>
  <si>
    <t>1.8772399596311353</t>
  </si>
  <si>
    <t>0.9403347203064875</t>
  </si>
  <si>
    <t>0.8865717650096399</t>
  </si>
  <si>
    <t>-0.32815807028182115</t>
  </si>
  <si>
    <t>1.0726298457028012</t>
  </si>
  <si>
    <t>-0.09908054418382348</t>
  </si>
  <si>
    <t>0.7897544913379547</t>
  </si>
  <si>
    <t>-0.7866835956805586</t>
  </si>
  <si>
    <t>-0.13610550571358118</t>
  </si>
  <si>
    <t>0.5482446807663487</t>
  </si>
  <si>
    <t>-0.058861691289368065</t>
  </si>
  <si>
    <t>0.7689876197694921</t>
  </si>
  <si>
    <t>-0.16722979011066308</t>
  </si>
  <si>
    <t>-1.2910825907236418</t>
  </si>
  <si>
    <t>0.9753365762889956</t>
  </si>
  <si>
    <t>0.13657248259687604</t>
  </si>
  <si>
    <t>0.6326798255051903</t>
  </si>
  <si>
    <t>-0.3910041668312304</t>
  </si>
  <si>
    <t>0.8529742651622848</t>
  </si>
  <si>
    <t>1.6690435052142134</t>
  </si>
  <si>
    <t>0.0858817954443245</t>
  </si>
  <si>
    <t>0.059357892867874115</t>
  </si>
  <si>
    <t>0.23073792946888638</t>
  </si>
  <si>
    <t>-0.06182130921022124</t>
  </si>
  <si>
    <t>-0.6210351660348932</t>
  </si>
  <si>
    <t>-0.25200058016511523</t>
  </si>
  <si>
    <t>-0.7405050888657804</t>
  </si>
  <si>
    <t>0.5591777767200615</t>
  </si>
  <si>
    <t>-0.6876161404803575</t>
  </si>
  <si>
    <t>0.40573060537379474</t>
  </si>
  <si>
    <t>0.6058433874055966</t>
  </si>
  <si>
    <t>0.22637858123166466</t>
  </si>
  <si>
    <t>-1.032730350953914</t>
  </si>
  <si>
    <t>0.3080289060169736</t>
  </si>
  <si>
    <t>0.13864591715788013</t>
  </si>
  <si>
    <t>0.36750828693128285</t>
  </si>
  <si>
    <t>-0.20017147882654482</t>
  </si>
  <si>
    <t>0.5804038790085578</t>
  </si>
  <si>
    <t>-0.5704219634711958</t>
  </si>
  <si>
    <t>0.18763532868120983</t>
  </si>
  <si>
    <t>-0.6701795573282728</t>
  </si>
  <si>
    <t>-1.0807469755436943</t>
  </si>
  <si>
    <t>0.8879965853219901</t>
  </si>
  <si>
    <t>-0.6219074315163879</t>
  </si>
  <si>
    <t>0.7797588380088907</t>
  </si>
  <si>
    <t>-0.5896895033116792</t>
  </si>
  <si>
    <t>-0.049763623705801494</t>
  </si>
  <si>
    <t>-0.25262627313025443</t>
  </si>
  <si>
    <t>0.4736554625199171</t>
  </si>
  <si>
    <t>-0.7423552086108899</t>
  </si>
  <si>
    <t>0.1500474821082978</t>
  </si>
  <si>
    <t>1.2792645963041922</t>
  </si>
  <si>
    <t>-0.5358265060652864</t>
  </si>
  <si>
    <t>0.19918151036942702</t>
  </si>
  <si>
    <t>0.8685779234967846</t>
  </si>
  <si>
    <t>-0.37025488476824553</t>
  </si>
  <si>
    <t>0.2688756062920952</t>
  </si>
  <si>
    <t>0.08987815530943556</t>
  </si>
  <si>
    <t>0.2687052128599768</t>
  </si>
  <si>
    <t>-0.380812631811668</t>
  </si>
  <si>
    <t>-0.5207228948609041</t>
  </si>
  <si>
    <t>0.10063447156196999</t>
  </si>
  <si>
    <t>-0.3342708089174521</t>
  </si>
  <si>
    <t>-0.10685445683480717</t>
  </si>
  <si>
    <t>0.6560591929198897</t>
  </si>
  <si>
    <t>0.2621564703422134</t>
  </si>
  <si>
    <t>0.14416572726925173</t>
  </si>
  <si>
    <t>-0.10584481913905726</t>
  </si>
  <si>
    <t>-0.5916746704813973</t>
  </si>
  <si>
    <t>0.8147979174040848</t>
  </si>
  <si>
    <t>0.8831454983039237</t>
  </si>
  <si>
    <t>-0.32795389166769157</t>
  </si>
  <si>
    <t>0.44602034742864316</t>
  </si>
  <si>
    <t>0.41534583138680137</t>
  </si>
  <si>
    <t>-0.9321590208781045</t>
  </si>
  <si>
    <t>-0.14170644738784535</t>
  </si>
  <si>
    <t>0.8553153049245099</t>
  </si>
  <si>
    <t>-0.39770042430266717</t>
  </si>
  <si>
    <t>-0.3132097006574641</t>
  </si>
  <si>
    <t>-1.382943817626804</t>
  </si>
  <si>
    <t>1.105784718246583</t>
  </si>
  <si>
    <t>-0.9047346743102186</t>
  </si>
  <si>
    <t>0.020879725344680872</t>
  </si>
  <si>
    <t>0.7251850561774762</t>
  </si>
  <si>
    <t>0.15051838123646816</t>
  </si>
  <si>
    <t>-0.8575802894644873</t>
  </si>
  <si>
    <t>0.3089767290956595</t>
  </si>
  <si>
    <t>-0.1407192662280421</t>
  </si>
  <si>
    <t>-0.6850634388393928</t>
  </si>
  <si>
    <t>-0.40599932352192836</t>
  </si>
  <si>
    <t>0.15832206424612294</t>
  </si>
  <si>
    <t>-0.4682741525130221</t>
  </si>
  <si>
    <t>0.7616859188411095</t>
  </si>
  <si>
    <t>0.10301612387445053</t>
  </si>
  <si>
    <t>-0.49837522438630766</t>
  </si>
  <si>
    <t>0.6682157940804052</t>
  </si>
  <si>
    <t>-0.08559365627460477</t>
  </si>
  <si>
    <t>0.7308030790984925</t>
  </si>
  <si>
    <t>0.04603334168414126</t>
  </si>
  <si>
    <t>-0.6682254410205328</t>
  </si>
  <si>
    <t>-0.40762207283397306</t>
  </si>
  <si>
    <t>-0.11240788073374201</t>
  </si>
  <si>
    <t>0.22975175023185862</t>
  </si>
  <si>
    <t>0.8259435568015738</t>
  </si>
  <si>
    <t>0.342858484007144</t>
  </si>
  <si>
    <t>0.6767449953074203</t>
  </si>
  <si>
    <t>0.38715647729279995</t>
  </si>
  <si>
    <t>-0.284399337558567</t>
  </si>
  <si>
    <t>1.1835542518598123</t>
  </si>
  <si>
    <t>-0.9475070782585007</t>
  </si>
  <si>
    <t>-0.7679820560468668</t>
  </si>
  <si>
    <t>1.324269783660501</t>
  </si>
  <si>
    <t>-0.23466759962694086</t>
  </si>
  <si>
    <t>-0.21731234975004296</t>
  </si>
  <si>
    <t>-0.43973830576089584</t>
  </si>
  <si>
    <t>0.016894111761162824</t>
  </si>
  <si>
    <t>-0.5340990825242169</t>
  </si>
  <si>
    <t>0.39669826991477286</t>
  </si>
  <si>
    <t>-0.35003029632074234</t>
  </si>
  <si>
    <t>0.3457402007372808</t>
  </si>
  <si>
    <t>0.6022214178394676</t>
  </si>
  <si>
    <t>-0.03904944650671967</t>
  </si>
  <si>
    <t>-0.6811785838832994</t>
  </si>
  <si>
    <t>0.2651221868833233</t>
  </si>
  <si>
    <t>-0.10540421624034906</t>
  </si>
  <si>
    <t>-0.3640806897484119</t>
  </si>
  <si>
    <t>-0.7602513421558069</t>
  </si>
  <si>
    <t>-0.29484670949628927</t>
  </si>
  <si>
    <t>-0.6180738127667416</t>
  </si>
  <si>
    <t>-0.07235152679931535</t>
  </si>
  <si>
    <t>-1.6451073026889025</t>
  </si>
  <si>
    <t>0.3866410810046277</t>
  </si>
  <si>
    <t>0.5215278888822632</t>
  </si>
  <si>
    <t>-0.13453971110182486</t>
  </si>
  <si>
    <t>0.4035409005872422</t>
  </si>
  <si>
    <t>-2.188305198759561</t>
  </si>
  <si>
    <t>-0.5872282597439583</t>
  </si>
  <si>
    <t>0.5310407804733729</t>
  </si>
  <si>
    <t>-0.5949403871524735</t>
  </si>
  <si>
    <t>-0.9898570116571936</t>
  </si>
  <si>
    <t>0.8720930695023541</t>
  </si>
  <si>
    <t>-0.6512045753745964</t>
  </si>
  <si>
    <t>0.133772341190891</t>
  </si>
  <si>
    <t>-1.17448922202983</t>
  </si>
  <si>
    <t>0.25486555719803117</t>
  </si>
  <si>
    <t>0.5527565777398047</t>
  </si>
  <si>
    <t>-0.2179826510936596</t>
  </si>
  <si>
    <t>1.0906433454306874</t>
  </si>
  <si>
    <t>0.6518247249415887</t>
  </si>
  <si>
    <t>-0.7059999026623143</t>
  </si>
  <si>
    <t>-0.8969341187526779</t>
  </si>
  <si>
    <t>0.8594564018902406</t>
  </si>
  <si>
    <t>1.2783933828056226</t>
  </si>
  <si>
    <t>-1.1666562963967992</t>
  </si>
  <si>
    <t>0.6682009984327172</t>
  </si>
  <si>
    <t>-0.5880052645757387</t>
  </si>
  <si>
    <t>0.6357394214187111</t>
  </si>
  <si>
    <t>0.2584162541231001</t>
  </si>
  <si>
    <t>0.7414338105160408</t>
  </si>
  <si>
    <t>-0.7986266928369316</t>
  </si>
  <si>
    <t>-0.11611616184211997</t>
  </si>
  <si>
    <t>1.2342064853697399</t>
  </si>
  <si>
    <t>0.39905323754304356</t>
  </si>
  <si>
    <t>-0.24231769858876698</t>
  </si>
  <si>
    <t>0.1293648494558104</t>
  </si>
  <si>
    <t>-0.14693519941936828</t>
  </si>
  <si>
    <t>-0.9614290201018832</t>
  </si>
  <si>
    <t>-0.3821723772684702</t>
  </si>
  <si>
    <t>-0.0594018041889826</t>
  </si>
  <si>
    <t>0.7584827780159402</t>
  </si>
  <si>
    <t>-0.40671708765532383</t>
  </si>
  <si>
    <t>-0.8865851254018347</t>
  </si>
  <si>
    <t>1.1950034380751904</t>
  </si>
  <si>
    <t>-0.5290736251416527</t>
  </si>
  <si>
    <t>0.2483522720586126</t>
  </si>
  <si>
    <t>-0.13171716174943385</t>
  </si>
  <si>
    <t>0.33718273246439884</t>
  </si>
  <si>
    <t>0.49524493176337187</t>
  </si>
  <si>
    <t>-0.7352480140138034</t>
  </si>
  <si>
    <t>0.2089967281544318</t>
  </si>
  <si>
    <t>-0.40531263280809054</t>
  </si>
  <si>
    <t>0.15136491695972565</t>
  </si>
  <si>
    <t>-0.3327797298230043</t>
  </si>
  <si>
    <t>-0.30079286754421997</t>
  </si>
  <si>
    <t>-0.7260432587357744</t>
  </si>
  <si>
    <t>-0.20650764064670804</t>
  </si>
  <si>
    <t>-0.2967879802879293</t>
  </si>
  <si>
    <t>0.40649579769953365</t>
  </si>
  <si>
    <t>-0.8605361031837842</t>
  </si>
  <si>
    <t>1.2749546784346246</t>
  </si>
  <si>
    <t>-0.0009916549845060216</t>
  </si>
  <si>
    <t>-0.2106252840473148</t>
  </si>
  <si>
    <t>-0.48441641492232757</t>
  </si>
  <si>
    <t>0.8395895059313939</t>
  </si>
  <si>
    <t>-1.2330580914042046</t>
  </si>
  <si>
    <t>1.4269256761888738</t>
  </si>
  <si>
    <t>-0.5037825493941668</t>
  </si>
  <si>
    <t>-1.1581991106650062</t>
  </si>
  <si>
    <t>-0.7907851819761076</t>
  </si>
  <si>
    <t>-0.020110448777694245</t>
  </si>
  <si>
    <t>-1.9019459116401989</t>
  </si>
  <si>
    <t>1.2623473657848248</t>
  </si>
  <si>
    <t>-0.3930230143227451</t>
  </si>
  <si>
    <t>0.5601616040288903</t>
  </si>
  <si>
    <t>-0.17133748625356615</t>
  </si>
  <si>
    <t>0.41806732510146377</t>
  </si>
  <si>
    <t>0.49439218112633865</t>
  </si>
  <si>
    <t>-2.0995668489291264</t>
  </si>
  <si>
    <t>-1.3506163375640245</t>
  </si>
  <si>
    <t>0.7764787436600308</t>
  </si>
  <si>
    <t>-0.09673217578653016</t>
  </si>
  <si>
    <t>-0.966921560822666</t>
  </si>
  <si>
    <t>0.42240158363396824</t>
  </si>
  <si>
    <t>-1.1257413806272614</t>
  </si>
  <si>
    <t>-0.038040622663494277</t>
  </si>
  <si>
    <t>0.21280135402794154</t>
  </si>
  <si>
    <t>-0.5592262657163708</t>
  </si>
  <si>
    <t>-0.6225786377643261</t>
  </si>
  <si>
    <t>-0.7786023790387884</t>
  </si>
  <si>
    <t>-0.48719040225297494</t>
  </si>
  <si>
    <t>0.8320034116235384</t>
  </si>
  <si>
    <t>0.8275092241308671</t>
  </si>
  <si>
    <t>-0.0415146279365556</t>
  </si>
  <si>
    <t>-1.0116280073736899</t>
  </si>
  <si>
    <t>-0.6063213100048095</t>
  </si>
  <si>
    <t>0.7277523843906888</t>
  </si>
  <si>
    <t>-0.1961243295367679</t>
  </si>
  <si>
    <t>1.0711360670786017</t>
  </si>
  <si>
    <t>0.4522339217452761</t>
  </si>
  <si>
    <t>-0.29931190806066565</t>
  </si>
  <si>
    <t>0.4894844888276922</t>
  </si>
  <si>
    <t>-0.928839897168175</t>
  </si>
  <si>
    <t>-0.09702279261051658</t>
  </si>
  <si>
    <t>0.3046378997803206</t>
  </si>
  <si>
    <t>0.2072798372184839</t>
  </si>
  <si>
    <t>-0.8179550245398363</t>
  </si>
  <si>
    <t>-1.434485778800522</t>
  </si>
  <si>
    <t>0.4595109975010277</t>
  </si>
  <si>
    <t>0.15054632606888324</t>
  </si>
  <si>
    <t>-0.6316687055129226</t>
  </si>
  <si>
    <t>-0.07063701257423044</t>
  </si>
  <si>
    <t>-0.0933956803846156</t>
  </si>
  <si>
    <t>0.4286898709010918</t>
  </si>
  <si>
    <t>0.12466403567363209</t>
  </si>
  <si>
    <t>-1.0244936306559085</t>
  </si>
  <si>
    <t>0.6826542258937561</t>
  </si>
  <si>
    <t>-0.9022500827243861</t>
  </si>
  <si>
    <t>-0.20133291856720925</t>
  </si>
  <si>
    <t>0.11072233929703713</t>
  </si>
  <si>
    <t>-2.3268724044914464</t>
  </si>
  <si>
    <t>0.5402565732228736</t>
  </si>
  <si>
    <t>0.3861204341304466</t>
  </si>
  <si>
    <t>-0.07943301588238828</t>
  </si>
  <si>
    <t>-0.07698727165637294</t>
  </si>
  <si>
    <t>0.15126071403930288</t>
  </si>
  <si>
    <t>-0.5610355687917546</t>
  </si>
  <si>
    <t>0.15429176291909258</t>
  </si>
  <si>
    <t>0.2743134431072932</t>
  </si>
  <si>
    <t>-1.2552874603229771</t>
  </si>
  <si>
    <t>-0.4018080733619296</t>
  </si>
  <si>
    <t>0.057509382072895944</t>
  </si>
  <si>
    <t>-0.01121548491995776</t>
  </si>
  <si>
    <t>-0.24180406048374653</t>
  </si>
  <si>
    <t>0.33224698630806343</t>
  </si>
  <si>
    <t>-1.1067855396388435</t>
  </si>
  <si>
    <t>-2.058372490343138</t>
  </si>
  <si>
    <t>-2.3319367068308967</t>
  </si>
  <si>
    <t>0.19094881823506354</t>
  </si>
  <si>
    <t>-0.18336748695053995</t>
  </si>
  <si>
    <t>-2.307632923130347</t>
  </si>
  <si>
    <t>3.4253428372484374</t>
  </si>
  <si>
    <t>-0.5108554826238186</t>
  </si>
  <si>
    <t>-0.4595619115207523</t>
  </si>
  <si>
    <t>0.6794115519156895</t>
  </si>
  <si>
    <t>-1.199509018008718</t>
  </si>
  <si>
    <t>1.4065673025907803</t>
  </si>
  <si>
    <t>-0.5765751585970245</t>
  </si>
  <si>
    <t>1.032746964791706</t>
  </si>
  <si>
    <t>0.2176324819927412</t>
  </si>
  <si>
    <t>-1.4838968947156994</t>
  </si>
  <si>
    <t>0.8059950813765967</t>
  </si>
  <si>
    <t>0.6850876822183111</t>
  </si>
  <si>
    <t>-1.8081933562234924</t>
  </si>
  <si>
    <t>-1.1574047683359225</t>
  </si>
  <si>
    <t>-0.4240573666779278</t>
  </si>
  <si>
    <t>-0.5252876388594242</t>
  </si>
  <si>
    <t>-0.9894083084352826</t>
  </si>
  <si>
    <t>1.5971356115924704</t>
  </si>
  <si>
    <t>-1.9857383239901163</t>
  </si>
  <si>
    <t>-0.7496534573356466</t>
  </si>
  <si>
    <t>1.1173378396905935</t>
  </si>
  <si>
    <t>-2.311341240130662</t>
  </si>
  <si>
    <t>3.463778065970917</t>
  </si>
  <si>
    <t>-1.2096793403179453</t>
  </si>
  <si>
    <t>-2.099331014593971</t>
  </si>
  <si>
    <t>4.84412378390289</t>
  </si>
  <si>
    <t>-0.7502501798862897</t>
  </si>
  <si>
    <t>0.48113376680204634</t>
  </si>
  <si>
    <t>0.3066582063681583</t>
  </si>
  <si>
    <t>3.1842636832077424</t>
  </si>
  <si>
    <t>0.02800806081896696</t>
  </si>
  <si>
    <t>1.2409668637680622</t>
  </si>
  <si>
    <t>0.8401064063448668</t>
  </si>
  <si>
    <t>-1.3570457692194022</t>
  </si>
  <si>
    <t>-2.0769056758028825</t>
  </si>
  <si>
    <t>-0.1649216227034618</t>
  </si>
  <si>
    <t>-2.092309699754882</t>
  </si>
  <si>
    <t>1.6265386176379097</t>
  </si>
  <si>
    <t>-0.6791274882002912</t>
  </si>
  <si>
    <t>1.3766434115642396</t>
  </si>
  <si>
    <t>0.8281245960111075</t>
  </si>
  <si>
    <t>2.850244411251693</t>
  </si>
  <si>
    <t>-1.5711960135790937</t>
  </si>
  <si>
    <t>-0.14618333279440224</t>
  </si>
  <si>
    <t>-0.6669047742856199</t>
  </si>
  <si>
    <t>-1.5176118133953662</t>
  </si>
  <si>
    <t>0.6410366772349858</t>
  </si>
  <si>
    <t>-1.0111912629645372</t>
  </si>
  <si>
    <t>0.3635683591769271</t>
  </si>
  <si>
    <t>0.13538621565523165</t>
  </si>
  <si>
    <t>0.9213094826206726</t>
  </si>
  <si>
    <t>0.8440277447192083</t>
  </si>
  <si>
    <t>0.4010623321868616</t>
  </si>
  <si>
    <t>-1.9801469768329298</t>
  </si>
  <si>
    <t>-1.7410215864632366</t>
  </si>
  <si>
    <t>-0.22674057924126842</t>
  </si>
  <si>
    <t>-0.42576847826465475</t>
  </si>
  <si>
    <t>-1.180403695613687</t>
  </si>
  <si>
    <t>1.386997955251789</t>
  </si>
  <si>
    <t>0.759207365865594</t>
  </si>
  <si>
    <t>-0.13407783271741827</t>
  </si>
  <si>
    <t>-1.8292308196538432</t>
  </si>
  <si>
    <t>0.9938384061292047</t>
  </si>
  <si>
    <t>-1.2804625706755173</t>
  </si>
  <si>
    <t>0.2717941652663439</t>
  </si>
  <si>
    <t>-1.1626833133895063</t>
  </si>
  <si>
    <t>0.6606407545905505</t>
  </si>
  <si>
    <t>-0.6362343014086378</t>
  </si>
  <si>
    <t>0.030367845716282184</t>
  </si>
  <si>
    <t>0.3815137587182004</t>
  </si>
  <si>
    <t>0.35786001475473045</t>
  </si>
  <si>
    <t>1.1898215454264862</t>
  </si>
  <si>
    <t>0.8429973637479264</t>
  </si>
  <si>
    <t>2.8216658009219104</t>
  </si>
  <si>
    <t>-0.3589308137833788</t>
  </si>
  <si>
    <t>0.35680360519368065</t>
  </si>
  <si>
    <t>-0.6078884997738216</t>
  </si>
  <si>
    <t>-0.8645253553007267</t>
  </si>
  <si>
    <t>0.05726761218845481</t>
  </si>
  <si>
    <t>1.3616439946179035</t>
  </si>
  <si>
    <t>0.7588187170895417</t>
  </si>
  <si>
    <t>0.616400686313724</t>
  </si>
  <si>
    <t>-0.6804321998266327</t>
  </si>
  <si>
    <t>0.9722991053451517</t>
  </si>
  <si>
    <t>0.8816183914570523</t>
  </si>
  <si>
    <t>0.999987160661816</t>
  </si>
  <si>
    <t>-0.6113868531827413</t>
  </si>
  <si>
    <t>-0.7716898980133615</t>
  </si>
  <si>
    <t>0.1714951750111743</t>
  </si>
  <si>
    <t>-0.7353423069383241</t>
  </si>
  <si>
    <t>-0.4342881496610154</t>
  </si>
  <si>
    <t>0.0022782228315762093</t>
  </si>
  <si>
    <t>1.3957799230940224</t>
  </si>
  <si>
    <t>-0.8841467561969364</t>
  </si>
  <si>
    <t>-0.8882953554732038</t>
  </si>
  <si>
    <t>0.17331159020426695</t>
  </si>
  <si>
    <t>-0.2710249864846017</t>
  </si>
  <si>
    <t>-0.4812508543732166</t>
  </si>
  <si>
    <t>-0.06352002093237424</t>
  </si>
  <si>
    <t>0.8802831274488775</t>
  </si>
  <si>
    <t>-0.534520391152378</t>
  </si>
  <si>
    <t>0.35041276613033334</t>
  </si>
  <si>
    <t>0.6818703435611271</t>
  </si>
  <si>
    <t>0.23282879960941927</t>
  </si>
  <si>
    <t>-0.11420623331588775</t>
  </si>
  <si>
    <t>0.388088617547415</t>
  </si>
  <si>
    <t>-0.1315384664657062</t>
  </si>
  <si>
    <t>0.5009339770434017</t>
  </si>
  <si>
    <t>0.03487139111564302</t>
  </si>
  <si>
    <t>0.286735564255481</t>
  </si>
  <si>
    <t>0.6629208354357373</t>
  </si>
  <si>
    <t>0.32302347683155536</t>
  </si>
  <si>
    <t>-0.7360679761572482</t>
  </si>
  <si>
    <t>-0.4103091073003785</t>
  </si>
  <si>
    <t>0.6046088526814163</t>
  </si>
  <si>
    <t>0.47452221997994465</t>
  </si>
  <si>
    <t>0.1779161666764571</t>
  </si>
  <si>
    <t>-0.14614670963209134</t>
  </si>
  <si>
    <t>-0.47876356050748353</t>
  </si>
  <si>
    <t>0.1910665760001273</t>
  </si>
  <si>
    <t>0.31347686757043935</t>
  </si>
  <si>
    <t>-0.5322714838340739</t>
  </si>
  <si>
    <t>-0.40463727407032457</t>
  </si>
  <si>
    <t>0.5873969021833442</t>
  </si>
  <si>
    <t>0.9165312859430049</t>
  </si>
  <si>
    <t>-0.45224556044622327</t>
  </si>
  <si>
    <t>-0.927211127487812</t>
  </si>
  <si>
    <t>0.7189785942830936</t>
  </si>
  <si>
    <t>0.5162324141987865</t>
  </si>
  <si>
    <t>-0.10961654532899125</t>
  </si>
  <si>
    <t>-0.41082755636071794</t>
  </si>
  <si>
    <t>-0.9498091671132869</t>
  </si>
  <si>
    <t>0.25374182707740206</t>
  </si>
  <si>
    <t>0.22315034384158675</t>
  </si>
  <si>
    <t>-0.3530144229366166</t>
  </si>
  <si>
    <t>-0.6014636843157092</t>
  </si>
  <si>
    <t>-0.28029183701200977</t>
  </si>
  <si>
    <t>0.215398962334694</t>
  </si>
  <si>
    <t>0.1307379162574452</t>
  </si>
  <si>
    <t>0.6082455341083829</t>
  </si>
  <si>
    <t>-0.5954768570167702</t>
  </si>
  <si>
    <t>-0.4418233657581605</t>
  </si>
  <si>
    <t>0.7933812521721884</t>
  </si>
  <si>
    <t>-0.8563867464345838</t>
  </si>
  <si>
    <t>0.46082836067083394</t>
  </si>
  <si>
    <t>0.3134476720204442</t>
  </si>
  <si>
    <t>0.2899727472880906</t>
  </si>
  <si>
    <t>0.1399248233991224</t>
  </si>
  <si>
    <t>-0.690804718088844</t>
  </si>
  <si>
    <t>-0.12244988181514647</t>
  </si>
  <si>
    <t>-0.2450744437165763</t>
  </si>
  <si>
    <t>-1.5566610810026875</t>
  </si>
  <si>
    <t>-0.48389970044007513</t>
  </si>
  <si>
    <t>1.2917950403176717</t>
  </si>
  <si>
    <t>0.2513220968566909</t>
  </si>
  <si>
    <t>-0.27038447348190514</t>
  </si>
  <si>
    <t>-0.36958595224261265</t>
  </si>
  <si>
    <t>-0.6201018136222927</t>
  </si>
  <si>
    <t>0.3425762254121437</t>
  </si>
  <si>
    <t>-0.07631196262896053</t>
  </si>
  <si>
    <t>-0.15629924899519346</t>
  </si>
  <si>
    <t>0.5355294487624511</t>
  </si>
  <si>
    <t>0.35881036717426756</t>
  </si>
  <si>
    <t>-1.1234601581867327</t>
  </si>
  <si>
    <t>0.1525003482567639</t>
  </si>
  <si>
    <t>0.1257540958773035</t>
  </si>
  <si>
    <t>0.3274348839078431</t>
  </si>
  <si>
    <t>-0.9801091242163272</t>
  </si>
  <si>
    <t>0.14534734159863028</t>
  </si>
  <si>
    <t>0.6946454287378219</t>
  </si>
  <si>
    <t>1.3105389051485672</t>
  </si>
  <si>
    <t>-0.33489938631572547</t>
  </si>
  <si>
    <t>0.6117239065641756</t>
  </si>
  <si>
    <t>0.19208750218118897</t>
  </si>
  <si>
    <t>-0.555680550924133</t>
  </si>
  <si>
    <t>0.05911076214417172</t>
  </si>
  <si>
    <t>0.14106667359522157</t>
  </si>
  <si>
    <t>0.021561011538640835</t>
  </si>
  <si>
    <t>-0.4390633010613041</t>
  </si>
  <si>
    <t>0.5422312296560274</t>
  </si>
  <si>
    <t>-1.5142647815653618</t>
  </si>
  <si>
    <t>-0.7309876138046343</t>
  </si>
  <si>
    <t>-0.015758106976723887</t>
  </si>
  <si>
    <t>0.5337958489050321</t>
  </si>
  <si>
    <t>-0.10738748923869681</t>
  </si>
  <si>
    <t>-1.162350755241598</t>
  </si>
  <si>
    <t>-0.4335711224652451</t>
  </si>
  <si>
    <t>0.4334014069406155</t>
  </si>
  <si>
    <t>1.4854943267969158</t>
  </si>
  <si>
    <t>1.797441571591607</t>
  </si>
  <si>
    <t>0.12526506995575504</t>
  </si>
  <si>
    <t>-0.7082475631311625</t>
  </si>
  <si>
    <t>-0.5017403851418434</t>
  </si>
  <si>
    <t>0.5690903962959583</t>
  </si>
  <si>
    <t>0.2862164400977002</t>
  </si>
  <si>
    <t>0.24981162201391893</t>
  </si>
  <si>
    <t>1.0731053130970305</t>
  </si>
  <si>
    <t>0.7850585676227484</t>
  </si>
  <si>
    <t>-0.8199806544327922</t>
  </si>
  <si>
    <t>0.49008732853644577</t>
  </si>
  <si>
    <t>-1.1455518730328385</t>
  </si>
  <si>
    <t>0.5162908960686321</t>
  </si>
  <si>
    <t>-0.57150989537461</t>
  </si>
  <si>
    <t>-1.472344929597539</t>
  </si>
  <si>
    <t>0.007047063993918303</t>
  </si>
  <si>
    <t>-1.2565756712090665</t>
  </si>
  <si>
    <t>-0.26412961132241247</t>
  </si>
  <si>
    <t>-0.06549108109591846</t>
  </si>
  <si>
    <t>0.40298195145672316</t>
  </si>
  <si>
    <t>0.14339385657970025</t>
  </si>
  <si>
    <t>-0.6914842271248892</t>
  </si>
  <si>
    <t>-0.6467855342471418</t>
  </si>
  <si>
    <t>-0.046869563432734546</t>
  </si>
  <si>
    <t>-0.6347864978710179</t>
  </si>
  <si>
    <t>1.0416985076304457</t>
  </si>
  <si>
    <t>0.09443266499563102</t>
  </si>
  <si>
    <t>0.12602074495044302</t>
  </si>
  <si>
    <t>1.2300607631481602</t>
  </si>
  <si>
    <t>0.6195782854317667</t>
  </si>
  <si>
    <t>-1.0820119770008507</t>
  </si>
  <si>
    <t>-0.24392960931848512</t>
  </si>
  <si>
    <t>-0.6108088480982283</t>
  </si>
  <si>
    <t>1.0902378720137054</t>
  </si>
  <si>
    <t>1.0882803604919877</t>
  </si>
  <si>
    <t>1.1649882072952653</t>
  </si>
  <si>
    <t>0.5505373294961068</t>
  </si>
  <si>
    <t>1.2013128184774733</t>
  </si>
  <si>
    <t>1.2985740440666391</t>
  </si>
  <si>
    <t>0.9856877638127628</t>
  </si>
  <si>
    <t>0.9469142725831636</t>
  </si>
  <si>
    <t>-0.2866488329771927</t>
  </si>
  <si>
    <t>-0.5793489569784191</t>
  </si>
  <si>
    <t>1.1958397125912403</t>
  </si>
  <si>
    <t>-0.6137397964769821</t>
  </si>
  <si>
    <t>-0.3082121051624359</t>
  </si>
  <si>
    <t>-0.11067397241962093</t>
  </si>
  <si>
    <t>-0.05835832997565861</t>
  </si>
  <si>
    <t>2.1862764219677726</t>
  </si>
  <si>
    <t>-0.937337792513196</t>
  </si>
  <si>
    <t>1.3053485933939222</t>
  </si>
  <si>
    <t>0.5932586148659525</t>
  </si>
  <si>
    <t>0.7805784441900119</t>
  </si>
  <si>
    <t>0.818896271193685</t>
  </si>
  <si>
    <t>-1.1285856184416527</t>
  </si>
  <si>
    <t>-0.20402530402956032</t>
  </si>
  <si>
    <t>-0.01175820240388812</t>
  </si>
  <si>
    <t>-1.0210516028656111</t>
  </si>
  <si>
    <t>-0.5422772196309296</t>
  </si>
  <si>
    <t>-0.26498849590110496</t>
  </si>
  <si>
    <t>-1.1371667705533164</t>
  </si>
  <si>
    <t>-0.09479371404974721</t>
  </si>
  <si>
    <t>-0.10917121111111332</t>
  </si>
  <si>
    <t>0.8839308295172219</t>
  </si>
  <si>
    <t>-0.2299046530661588</t>
  </si>
  <si>
    <t>-0.10542794053132191</t>
  </si>
  <si>
    <t>-0.34732805155646185</t>
  </si>
  <si>
    <t>-0.01481063792446179</t>
  </si>
  <si>
    <t>0.00529672923036679</t>
  </si>
  <si>
    <t>-0.8263598213311952</t>
  </si>
  <si>
    <t>1.2229234038839518</t>
  </si>
  <si>
    <t>0.0980752657604703</t>
  </si>
  <si>
    <t>0.30734836618605454</t>
  </si>
  <si>
    <t>0.17935370091209935</t>
  </si>
  <si>
    <t>0.23498719786853328</t>
  </si>
  <si>
    <t>-0.5457259437257521</t>
  </si>
  <si>
    <t>0.3841551927937952</t>
  </si>
  <si>
    <t>-0.2731480070372311</t>
  </si>
  <si>
    <t>0.2038338321107521</t>
  </si>
  <si>
    <t>0.03832815760946738</t>
  </si>
  <si>
    <t>0.4781112984011234</t>
  </si>
  <si>
    <t>-0.061208367070267125</t>
  </si>
  <si>
    <t>0.1793153718675694</t>
  </si>
  <si>
    <t>0.2056733257031034</t>
  </si>
  <si>
    <t>0.031379763388763963</t>
  </si>
  <si>
    <t>-0.0809235519407082</t>
  </si>
  <si>
    <t>-0.5493484935789176</t>
  </si>
  <si>
    <t>0.7086417374405128</t>
  </si>
  <si>
    <t>0.1370805405559387</t>
  </si>
  <si>
    <t>0.05939629356892371</t>
  </si>
  <si>
    <t>0.10760953266867057</t>
  </si>
  <si>
    <t>-0.3014065351063572</t>
  </si>
  <si>
    <t>-0.9109989518039558</t>
  </si>
  <si>
    <t>-0.5073368068699488</t>
  </si>
  <si>
    <t>1.2373089800927943</t>
  </si>
  <si>
    <t>-0.5436246513911922</t>
  </si>
  <si>
    <t>-0.7372073284011206</t>
  </si>
  <si>
    <t>0.6514901638356495</t>
  </si>
  <si>
    <t>-1.1613237817685127</t>
  </si>
  <si>
    <t>-0.7717899274359418</t>
  </si>
  <si>
    <t>0.3296484249892078</t>
  </si>
  <si>
    <t>-1.043588035236518</t>
  </si>
  <si>
    <t>1.9249873666339805</t>
  </si>
  <si>
    <t>0.2971853745306719</t>
  </si>
  <si>
    <t>0.8011646867391928</t>
  </si>
  <si>
    <t>-0.2657714918455936</t>
  </si>
  <si>
    <t>0.11402898231525609</t>
  </si>
  <si>
    <t>-0.26639876429083875</t>
  </si>
  <si>
    <t>0.8220178252133403</t>
  </si>
  <si>
    <t>-0.08187603891421368</t>
  </si>
  <si>
    <t>0.1859584294886131</t>
  </si>
  <si>
    <t>-0.860099673213523</t>
  </si>
  <si>
    <t>-0.9748910650163023</t>
  </si>
  <si>
    <t>-0.32152408944015926</t>
  </si>
  <si>
    <t>1.2929433472448602</t>
  </si>
  <si>
    <t>0.6009019744294185</t>
  </si>
  <si>
    <t>-0.07929226320655777</t>
  </si>
  <si>
    <t>0.4629966173455996</t>
  </si>
  <si>
    <t>1.4822701451408737</t>
  </si>
  <si>
    <t>-0.0072790552322015865</t>
  </si>
  <si>
    <t>0.9022007125552183</t>
  </si>
  <si>
    <t>-1.4134798710834435</t>
  </si>
  <si>
    <t>0.35042533294864203</t>
  </si>
  <si>
    <t>0.09363732397653292</t>
  </si>
  <si>
    <t>0.7946868676849097</t>
  </si>
  <si>
    <t>-0.02887784538385303</t>
  </si>
  <si>
    <t>-0.7045732763032969</t>
  </si>
  <si>
    <t>-0.22531622575301608</t>
  </si>
  <si>
    <t>0.16912875470973898</t>
  </si>
  <si>
    <t>0.14625051960282412</t>
  </si>
  <si>
    <t>-0.5688393688607608</t>
  </si>
  <si>
    <t>0.8091650196071315</t>
  </si>
  <si>
    <t>-0.22537258831326798</t>
  </si>
  <si>
    <t>-1.3599018841761232</t>
  </si>
  <si>
    <t>-1.3350339760013648</t>
  </si>
  <si>
    <t>0.33871406338160587</t>
  </si>
  <si>
    <t>1.4598795240180247</t>
  </si>
  <si>
    <t>0.6605598842676663</t>
  </si>
  <si>
    <t>0.4240441212692222</t>
  </si>
  <si>
    <t>-0.14590788549507344</t>
  </si>
  <si>
    <t>0.5554903151320084</t>
  </si>
  <si>
    <t>0.5408308207427606</t>
  </si>
  <si>
    <t>-1.157232023011067</t>
  </si>
  <si>
    <t>-0.8400317515069731</t>
  </si>
  <si>
    <t>0.47536487977040315</t>
  </si>
  <si>
    <t>-0.0983233946163072</t>
  </si>
  <si>
    <t>0.8347853792985888</t>
  </si>
  <si>
    <t>-0.7267414324776899</t>
  </si>
  <si>
    <t>-0.512736598358877</t>
  </si>
  <si>
    <t>1.1964101847324196</t>
  </si>
  <si>
    <t>0.035837903075730655</t>
  </si>
  <si>
    <t>-0.04008502938998954</t>
  </si>
  <si>
    <t>-0.9566171118856883</t>
  </si>
  <si>
    <t>-0.8316254451762829</t>
  </si>
  <si>
    <t>0.14507975407910986</t>
  </si>
  <si>
    <t>-0.353794470515347</t>
  </si>
  <si>
    <t>-0.3200955386033341</t>
  </si>
  <si>
    <t>0.4312730632388657</t>
  </si>
  <si>
    <t>0.31823751003412526</t>
  </si>
  <si>
    <t>-1.47783313780508</t>
  </si>
  <si>
    <t>-0.3845676860044776</t>
  </si>
  <si>
    <t>0.22440295370889457</t>
  </si>
  <si>
    <t>0.3317845937170733</t>
  </si>
  <si>
    <t>0.27574141987782086</t>
  </si>
  <si>
    <t>-0.19547675633799472</t>
  </si>
  <si>
    <t>-0.30138321624001374</t>
  </si>
  <si>
    <t>0.23298137983927603</t>
  </si>
  <si>
    <t>0.8380197575298513</t>
  </si>
  <si>
    <t>0.011550154969488878</t>
  </si>
  <si>
    <t>-0.4218680233644107</t>
  </si>
  <si>
    <t>0.9960872673403222</t>
  </si>
  <si>
    <t>0.20112681851100941</t>
  </si>
  <si>
    <t>0.20782975062942957</t>
  </si>
  <si>
    <t>0.05280066910607708</t>
  </si>
  <si>
    <t>-0.17726740847696545</t>
  </si>
  <si>
    <t>0.7443695750655027</t>
  </si>
  <si>
    <t>0.12514553997818004</t>
  </si>
  <si>
    <t>0.5742998564347184</t>
  </si>
  <si>
    <t>0.006095765475042373</t>
  </si>
  <si>
    <t>0.5410875688016497</t>
  </si>
  <si>
    <t>-0.36974075383928084</t>
  </si>
  <si>
    <t>-0.31514799377145114</t>
  </si>
  <si>
    <t>-0.12129702661972744</t>
  </si>
  <si>
    <t>-0.709788179667104</t>
  </si>
  <si>
    <t>1.0654914571598093</t>
  </si>
  <si>
    <t>-0.6053347639472221</t>
  </si>
  <si>
    <t>0.88543492747486</t>
  </si>
  <si>
    <t>-0.7035402121463349</t>
  </si>
  <si>
    <t>0.4863045138635642</t>
  </si>
  <si>
    <t>-0.31754005530014534</t>
  </si>
  <si>
    <t>-0.2803711496098574</t>
  </si>
  <si>
    <t>1.9219680229856875</t>
  </si>
  <si>
    <t>-0.646818902109399</t>
  </si>
  <si>
    <t>-0.4159339598052433</t>
  </si>
  <si>
    <t>-0.4614783277222921</t>
  </si>
  <si>
    <t>0.3074316445135553</t>
  </si>
  <si>
    <t>-0.43010743568178245</t>
  </si>
  <si>
    <t>0.3352796540430983</t>
  </si>
  <si>
    <t>1.3992851607485302</t>
  </si>
  <si>
    <t>-0.08404725757960714</t>
  </si>
  <si>
    <t>-0.8404465920723482</t>
  </si>
  <si>
    <t>0.24534596135162443</t>
  </si>
  <si>
    <t>-1.049702960088715</t>
  </si>
  <si>
    <t>-1.6739831028924188</t>
  </si>
  <si>
    <t>-0.08427626443578504</t>
  </si>
  <si>
    <t>0.4345697908156495</t>
  </si>
  <si>
    <t>0.17898233648305611</t>
  </si>
  <si>
    <t>0.07911586018797334</t>
  </si>
  <si>
    <t>-0.1922756330808287</t>
  </si>
  <si>
    <t>-0.8352231029978142</t>
  </si>
  <si>
    <t>0.45600553320848847</t>
  </si>
  <si>
    <t>0.3216438497558286</t>
  </si>
  <si>
    <t>-0.09568758264400463</t>
  </si>
  <si>
    <t>-0.23825873584657953</t>
  </si>
  <si>
    <t>1.0398730527865725</t>
  </si>
  <si>
    <t>0.6378077109051491</t>
  </si>
  <si>
    <t>-0.3967809903802317</t>
  </si>
  <si>
    <t>0.5030535561993573</t>
  </si>
  <si>
    <t>0.8769055967020218</t>
  </si>
  <si>
    <t>0.9537612457308594</t>
  </si>
  <si>
    <t>-0.32677082936021845</t>
  </si>
  <si>
    <t>-0.017779036162057556</t>
  </si>
  <si>
    <t>0.6961692205525554</t>
  </si>
  <si>
    <t>0.949997309630387</t>
  </si>
  <si>
    <t>0.3493546594422295</t>
  </si>
  <si>
    <t>0.21868277659267202</t>
  </si>
  <si>
    <t>0.4837591173900563</t>
  </si>
  <si>
    <t>-0.3184293937509737</t>
  </si>
  <si>
    <t>-0.116845793018235</t>
  </si>
  <si>
    <t>-0.5254731427757979</t>
  </si>
  <si>
    <t>1.4908952937471909</t>
  </si>
  <si>
    <t>-0.24046597133314246</t>
  </si>
  <si>
    <t>-0.38660162745458926</t>
  </si>
  <si>
    <t>-0.13710715327926323</t>
  </si>
  <si>
    <t>0.3331672512500209</t>
  </si>
  <si>
    <t>-0.4471841430333137</t>
  </si>
  <si>
    <t>-0.7935019299528552</t>
  </si>
  <si>
    <t>0.40387151086429257</t>
  </si>
  <si>
    <t>-0.05008578306517944</t>
  </si>
  <si>
    <t>-0.9988402364548487</t>
  </si>
  <si>
    <t>0.063387946249541</t>
  </si>
  <si>
    <t>0.17765930407011363</t>
  </si>
  <si>
    <t>0.528397162275502</t>
  </si>
  <si>
    <t>-0.4078519287741056</t>
  </si>
  <si>
    <t>-0.17246648888631844</t>
  </si>
  <si>
    <t>0.2626473400794491</t>
  </si>
  <si>
    <t>0.5724195911073602</t>
  </si>
  <si>
    <t>-0.2065232774746219</t>
  </si>
  <si>
    <t>0.5236371425682178</t>
  </si>
  <si>
    <t>-0.10670575642457589</t>
  </si>
  <si>
    <t>-0.5202263766816168</t>
  </si>
  <si>
    <t>0.26284715991128105</t>
  </si>
  <si>
    <t>0.6823772378920254</t>
  </si>
  <si>
    <t>0.021782847270573086</t>
  </si>
  <si>
    <t>-0.11212628819517897</t>
  </si>
  <si>
    <t>-0.3891356340637535</t>
  </si>
  <si>
    <t>0.26379804019304415</t>
  </si>
  <si>
    <t>1.235501829905696</t>
  </si>
  <si>
    <t>-0.09968990307895295</t>
  </si>
  <si>
    <t>0.5246623925695573</t>
  </si>
  <si>
    <t>0.5399517222337349</t>
  </si>
  <si>
    <t>-0.26454211975436775</t>
  </si>
  <si>
    <t>0.12565999853746235</t>
  </si>
  <si>
    <t>1.0134236525539104</t>
  </si>
  <si>
    <t>0.20137027302277363</t>
  </si>
  <si>
    <t>-1.0668605008423133</t>
  </si>
  <si>
    <t>-0.0397406624590856</t>
  </si>
  <si>
    <t>-0.754254624633118</t>
  </si>
  <si>
    <t>-0.654976275895187</t>
  </si>
  <si>
    <t>-0.1274179009009902</t>
  </si>
  <si>
    <t>-0.5872263018195893</t>
  </si>
  <si>
    <t>0.3913456815647032</t>
  </si>
  <si>
    <t>-0.18213262132244692</t>
  </si>
  <si>
    <t>0.3028787196999713</t>
  </si>
  <si>
    <t>0.18408398397299705</t>
  </si>
  <si>
    <t>-0.6595227203786698</t>
  </si>
  <si>
    <t>0.3290721265345325</t>
  </si>
  <si>
    <t>1.3542433327032277</t>
  </si>
  <si>
    <t>0.28460187200302556</t>
  </si>
  <si>
    <t>-0.5316016395183545</t>
  </si>
  <si>
    <t>-0.8821087369426395</t>
  </si>
  <si>
    <t>-0.05643967060464124</t>
  </si>
  <si>
    <t>0.8506816854206352</t>
  </si>
  <si>
    <t>-0.41049222762729015</t>
  </si>
  <si>
    <t>-0.5474610804656648</t>
  </si>
  <si>
    <t>-0.8548356186507029</t>
  </si>
  <si>
    <t>0.7797210775947665</t>
  </si>
  <si>
    <t>0.05206373708341962</t>
  </si>
  <si>
    <t>0.7626228845614559</t>
  </si>
  <si>
    <t>0.2033003814958986</t>
  </si>
  <si>
    <t>-0.5275552517669988</t>
  </si>
  <si>
    <t>-0.42695178719726773</t>
  </si>
  <si>
    <t>1.4908222867140803</t>
  </si>
  <si>
    <t>0.2880491476768428</t>
  </si>
  <si>
    <t>0.3794989690207374</t>
  </si>
  <si>
    <t>-0.6793406167794105</t>
  </si>
  <si>
    <t>-0.7475249255797448</t>
  </si>
  <si>
    <t>0.040256788220466924</t>
  </si>
  <si>
    <t>0.3752125479749004</t>
  </si>
  <si>
    <t>0.0732527236795661</t>
  </si>
  <si>
    <t>0.805757532790232</t>
  </si>
  <si>
    <t>-0.2780722916805658</t>
  </si>
  <si>
    <t>-0.6026802734141713</t>
  </si>
  <si>
    <t>0.7103058561931896</t>
  </si>
  <si>
    <t>0.5789980110160466</t>
  </si>
  <si>
    <t>0.3107943894147559</t>
  </si>
  <si>
    <t>-1.0168893539046153</t>
  </si>
  <si>
    <t>0.5030804537979129</t>
  </si>
  <si>
    <t>-0.9923544544995897</t>
  </si>
  <si>
    <t>-0.6925489942285796</t>
  </si>
  <si>
    <t>0.20012437013905654</t>
  </si>
  <si>
    <t>-0.111423797988961</t>
  </si>
  <si>
    <t>0.6786355212178822</t>
  </si>
  <si>
    <t>-0.5724659054081778</t>
  </si>
  <si>
    <t>0.027500411848068743</t>
  </si>
  <si>
    <t>-0.2537736922981365</t>
  </si>
  <si>
    <t>0.4020988327601656</t>
  </si>
  <si>
    <t>0.25851585043053465</t>
  </si>
  <si>
    <t>0.1867661418575626</t>
  </si>
  <si>
    <t>-0.4149068812205713</t>
  </si>
  <si>
    <t>-0.24096123579537868</t>
  </si>
  <si>
    <t>-0.2486068840359334</t>
  </si>
  <si>
    <t>0.17069069844515658</t>
  </si>
  <si>
    <t>0.2670922823892395</t>
  </si>
  <si>
    <t>-0.14435248708142936</t>
  </si>
  <si>
    <t>-0.444536855151491</t>
  </si>
  <si>
    <t>0.6458430084405895</t>
  </si>
  <si>
    <t>0.4040658753604006</t>
  </si>
  <si>
    <t>0.18406137789913485</t>
  </si>
  <si>
    <t>0.44776369145653727</t>
  </si>
  <si>
    <t>0.12866279771079964</t>
  </si>
  <si>
    <t>0.47149235024927283</t>
  </si>
  <si>
    <t>0.052935430341103276</t>
  </si>
  <si>
    <t>0.4589404940559765</t>
  </si>
  <si>
    <t>0.08816442214409298</t>
  </si>
  <si>
    <t>0.78541449514262</t>
  </si>
  <si>
    <t>0.6262471040948213</t>
  </si>
  <si>
    <t>0.7323246338753583</t>
  </si>
  <si>
    <t>0.43764810656975806</t>
  </si>
  <si>
    <t>0.22021998050691152</t>
  </si>
  <si>
    <t>0.9148932404555571</t>
  </si>
  <si>
    <t>-0.17022709115388437</t>
  </si>
  <si>
    <t>-0.7310312304817238</t>
  </si>
  <si>
    <t>0.5558840735477798</t>
  </si>
  <si>
    <t>0.07374375644213163</t>
  </si>
  <si>
    <t>-0.2697603773969613</t>
  </si>
  <si>
    <t>0.8538707211545812</t>
  </si>
  <si>
    <t>0.14997479169843522</t>
  </si>
  <si>
    <t>-1.2287361723258763</t>
  </si>
  <si>
    <t>0.31928200272251883</t>
  </si>
  <si>
    <t>1.0124407644830018</t>
  </si>
  <si>
    <t>0.7618149181766508</t>
  </si>
  <si>
    <t>-0.36552286581603005</t>
  </si>
  <si>
    <t>0.26307631104200563</t>
  </si>
  <si>
    <t>-0.1408563415362857</t>
  </si>
  <si>
    <t>0.38409453926240106</t>
  </si>
  <si>
    <t>0.4687519266822582</t>
  </si>
  <si>
    <t>1.223720773124052</t>
  </si>
  <si>
    <t>-0.9139668459993973</t>
  </si>
  <si>
    <t>-0.6250799543599656</t>
  </si>
  <si>
    <t>0.8884331237454063</t>
  </si>
  <si>
    <t>-0.05665838941034664</t>
  </si>
  <si>
    <t>0.05652389570938003</t>
  </si>
  <si>
    <t>-0.4266201018427113</t>
  </si>
  <si>
    <t>-1.3456128146088444</t>
  </si>
  <si>
    <t>-0.4018587327986872</t>
  </si>
  <si>
    <t>-0.9430524111902087</t>
  </si>
  <si>
    <t>-0.5241814572878263</t>
  </si>
  <si>
    <t>-0.4697600168714812</t>
  </si>
  <si>
    <t>-0.46993952960314483</t>
  </si>
  <si>
    <t>0.004394557113436099</t>
  </si>
  <si>
    <t>0.19944438564028433</t>
  </si>
  <si>
    <t>-0.10863689120479399</t>
  </si>
  <si>
    <t>-1.2872789624388141</t>
  </si>
  <si>
    <t>0.4393136945735717</t>
  </si>
  <si>
    <t>-1.4311323199153168</t>
  </si>
  <si>
    <t>-0.5848052944106265</t>
  </si>
  <si>
    <t>1.2482549362047868</t>
  </si>
  <si>
    <t>0.9216849974323986</t>
  </si>
  <si>
    <t>-0.0237301013828238</t>
  </si>
  <si>
    <t>1.4349676099496282</t>
  </si>
  <si>
    <t>0.5997071744231249</t>
  </si>
  <si>
    <t>-0.873719508305239</t>
  </si>
  <si>
    <t>-0.32487948105256564</t>
  </si>
  <si>
    <t>-0.7021572380302751</t>
  </si>
  <si>
    <t>-2.0492129253661284</t>
  </si>
  <si>
    <t>-1.2389851245859689</t>
  </si>
  <si>
    <t>-1.3275648472163868</t>
  </si>
  <si>
    <t>-0.4530971147184499</t>
  </si>
  <si>
    <t>-0.40139265365777776</t>
  </si>
  <si>
    <t>-0.3335061386855478</t>
  </si>
  <si>
    <t>-1.5429912125285292</t>
  </si>
  <si>
    <t>-0.7403369228681874</t>
  </si>
  <si>
    <t>0.7676174933402758</t>
  </si>
  <si>
    <t>1.6989274740873963</t>
  </si>
  <si>
    <t>1.205804085916617</t>
  </si>
  <si>
    <t>-1.267874015621974</t>
  </si>
  <si>
    <t>-0.6698637051034337</t>
  </si>
  <si>
    <t>-1.2588241925091666</t>
  </si>
  <si>
    <t>0.07722392592291763</t>
  </si>
  <si>
    <t>-1.3698604630496602</t>
  </si>
  <si>
    <t>0.5107471243716037</t>
  </si>
  <si>
    <t>-0.8989438336569213</t>
  </si>
  <si>
    <t>-0.4431607328034111</t>
  </si>
  <si>
    <t>0.35843140259106937</t>
  </si>
  <si>
    <t>0.9664862228015874</t>
  </si>
  <si>
    <t>-0.5614310629717616</t>
  </si>
  <si>
    <t>-0.46981228195381</t>
  </si>
  <si>
    <t>0.2585037857393176</t>
  </si>
  <si>
    <t>-0.7802899824722617</t>
  </si>
  <si>
    <t>0.7058907218336806</t>
  </si>
  <si>
    <t>0.06495086288669331</t>
  </si>
  <si>
    <t>-1.4241897054259869</t>
  </si>
  <si>
    <t>-0.26249299090736256</t>
  </si>
  <si>
    <t>-1.7022795489465563</t>
  </si>
  <si>
    <t>-0.6783372291565184</t>
  </si>
  <si>
    <t>0.03653938198736468</t>
  </si>
  <si>
    <t>-0.45352539368941513</t>
  </si>
  <si>
    <t>0.9303112457038926</t>
  </si>
  <si>
    <t>-0.8109561981472304</t>
  </si>
  <si>
    <t>1.4438765667318378</t>
  </si>
  <si>
    <t>-0.20432645759714488</t>
  </si>
  <si>
    <t>0.08349698253172176</t>
  </si>
  <si>
    <t>-0.5264301478676936</t>
  </si>
  <si>
    <t>-0.6772351761639622</t>
  </si>
  <si>
    <t>1.3173524653660418</t>
  </si>
  <si>
    <t>0.8690833946552091</t>
  </si>
  <si>
    <t>-0.79252314393721</t>
  </si>
  <si>
    <t>0.6013065512647991</t>
  </si>
  <si>
    <t>0.28748319974363346</t>
  </si>
  <si>
    <t>0.3993685954061126</t>
  </si>
  <si>
    <t>-0.6742172642012884</t>
  </si>
  <si>
    <t>-0.5417998108677786</t>
  </si>
  <si>
    <t>-0.8359115725899052</t>
  </si>
  <si>
    <t>1.2207842504831865</t>
  </si>
  <si>
    <t>0.08982844110748268</t>
  </si>
  <si>
    <t>0.9604717472221033</t>
  </si>
  <si>
    <t>-0.4017595300497356</t>
  </si>
  <si>
    <t>0.06536954857931332</t>
  </si>
  <si>
    <t>0.2673068781520523</t>
  </si>
  <si>
    <t>-0.47522749128686637</t>
  </si>
  <si>
    <t>-0.38249668268963155</t>
  </si>
  <si>
    <t>-0.7563045909934002</t>
  </si>
  <si>
    <t>0.6911905959680111</t>
  </si>
  <si>
    <t>-0.990737903950483</t>
  </si>
  <si>
    <t>-1.0823169488280802</t>
  </si>
  <si>
    <t>-1.0828484361627957</t>
  </si>
  <si>
    <t>0.08482819202360126</t>
  </si>
  <si>
    <t>0.5131076620383995</t>
  </si>
  <si>
    <t>1.3627521347045883</t>
  </si>
  <si>
    <t>-0.5319499395981073</t>
  </si>
  <si>
    <t>0.09571857696227974</t>
  </si>
  <si>
    <t>-1.1902928374392117</t>
  </si>
  <si>
    <t>-0.7289064526061939</t>
  </si>
  <si>
    <t>0.42708277327885175</t>
  </si>
  <si>
    <t>-0.12464080076122667</t>
  </si>
  <si>
    <t>0.5285496435235689</t>
  </si>
  <si>
    <t>0.012185720403807844</t>
  </si>
  <si>
    <t>0.12141545443770678</t>
  </si>
  <si>
    <t>-1.1882138071895156</t>
  </si>
  <si>
    <t>-0.21307292316750268</t>
  </si>
  <si>
    <t>0.37411941114053937</t>
  </si>
  <si>
    <t>-0.4816423312292661</t>
  </si>
  <si>
    <t>-1.020054766393227</t>
  </si>
  <si>
    <t>-1.258817556641068</t>
  </si>
  <si>
    <t>-0.05295068064144991</t>
  </si>
  <si>
    <t>-0.45611125812472025</t>
  </si>
  <si>
    <t>-1.223088232624045</t>
  </si>
  <si>
    <t>-0.6067099056015375</t>
  </si>
  <si>
    <t>0.6343890985846319</t>
  </si>
  <si>
    <t>-0.6180681610638585</t>
  </si>
  <si>
    <t>-0.835597493649456</t>
  </si>
  <si>
    <t>0.6344228615901922</t>
  </si>
  <si>
    <t>-1.3576023070760121</t>
  </si>
  <si>
    <t>0.2883658815563202</t>
  </si>
  <si>
    <t>0.34795446768011373</t>
  </si>
  <si>
    <t>4.973264913926846</t>
  </si>
  <si>
    <t>-0.298210137484091</t>
  </si>
  <si>
    <t>0.2032308291525079</t>
  </si>
  <si>
    <t>-2.897834562570194</t>
  </si>
  <si>
    <t>2.4683146086539827</t>
  </si>
  <si>
    <t>1.0656715134072021</t>
  </si>
  <si>
    <t>-0.023941228590333877</t>
  </si>
  <si>
    <t>-0.1476084230241818</t>
  </si>
  <si>
    <t>0.5312543521117031</t>
  </si>
  <si>
    <t>0.1769989743054178</t>
  </si>
  <si>
    <t>-0.1580346940805954</t>
  </si>
  <si>
    <t>0.1781638800947176</t>
  </si>
  <si>
    <t>0.6714822786061343</t>
  </si>
  <si>
    <t>0.1330042791532333</t>
  </si>
  <si>
    <t>-0.08890065142271839</t>
  </si>
  <si>
    <t>1.0379768996923355</t>
  </si>
  <si>
    <t>-0.7257594982481536</t>
  </si>
  <si>
    <t>-0.08245430715736479</t>
  </si>
  <si>
    <t>-2.243458456189619</t>
  </si>
  <si>
    <t>-0.15152756209581458</t>
  </si>
  <si>
    <t>0.6746318254133211</t>
  </si>
  <si>
    <t>0.5598565159890396</t>
  </si>
  <si>
    <t>-1.5211949107743596</t>
  </si>
  <si>
    <t>0.6930029471943759</t>
  </si>
  <si>
    <t>-0.281434976283477</t>
  </si>
  <si>
    <t>0.5035586748995587</t>
  </si>
  <si>
    <t>-0.1651028204306515</t>
  </si>
  <si>
    <t>-0.6601382346378377</t>
  </si>
  <si>
    <t>0.3789379600063455</t>
  </si>
  <si>
    <t>-0.8493607690612923</t>
  </si>
  <si>
    <t>0.985309038599357</t>
  </si>
  <si>
    <t>-0.5211724422649631</t>
  </si>
  <si>
    <t>-0.28334258523001066</t>
  </si>
  <si>
    <t>-0.25140670450407854</t>
  </si>
  <si>
    <t>-1.250682002260357</t>
  </si>
  <si>
    <t>0.22443484569529523</t>
  </si>
  <si>
    <t>-1.8453354530422565</t>
  </si>
  <si>
    <t>-0.7244445738145867</t>
  </si>
  <si>
    <t>-0.7982240808781624</t>
  </si>
  <si>
    <t>-1.75724142309247</t>
  </si>
  <si>
    <t>-0.9811140552892064</t>
  </si>
  <si>
    <t>-1.3843462006068963</t>
  </si>
  <si>
    <t>0.3105218906417204</t>
  </si>
  <si>
    <t>1.1265402387641845</t>
  </si>
  <si>
    <t>-0.45117412257267175</t>
  </si>
  <si>
    <t>0.41446044333704324</t>
  </si>
  <si>
    <t>0.49721469093557563</t>
  </si>
  <si>
    <t>0.8710015954478217</t>
  </si>
  <si>
    <t>-1.0877070299758222</t>
  </si>
  <si>
    <t>1.6175100235819484</t>
  </si>
  <si>
    <t>0.10917776793045685</t>
  </si>
  <si>
    <t>0.17082312578968212</t>
  </si>
  <si>
    <t>-1.1583105059022916</t>
  </si>
  <si>
    <t>-0.6385040225972827</t>
  </si>
  <si>
    <t>-0.8261335441428559</t>
  </si>
  <si>
    <t>-0.5870963919249375</t>
  </si>
  <si>
    <t>-1.151699736361344</t>
  </si>
  <si>
    <t>0.09872862015650957</t>
  </si>
  <si>
    <t>-1.4160553763578656</t>
  </si>
  <si>
    <t>-1.1865391038284385</t>
  </si>
  <si>
    <t>-0.7546859090964516</t>
  </si>
  <si>
    <t>-0.4718752602409631</t>
  </si>
  <si>
    <t>-0.6102247066325595</t>
  </si>
  <si>
    <t>0.5005687495772058</t>
  </si>
  <si>
    <t>-0.04134273165319482</t>
  </si>
  <si>
    <t>-1.025721855595149</t>
  </si>
  <si>
    <t>-0.7691638592235834</t>
  </si>
  <si>
    <t>1.7615200706747984</t>
  </si>
  <si>
    <t>-1.4059225768422368</t>
  </si>
  <si>
    <t>-1.3663128229574664</t>
  </si>
  <si>
    <t>0.7224655253121893</t>
  </si>
  <si>
    <t>-3.4361371197179897</t>
  </si>
  <si>
    <t>1.3585995535821958</t>
  </si>
  <si>
    <t>-0.540309580399812</t>
  </si>
  <si>
    <t>1.9530513822480149</t>
  </si>
  <si>
    <t>0.04784867786229158</t>
  </si>
  <si>
    <t>0.7455433958546714</t>
  </si>
  <si>
    <t>1.4219210342737663</t>
  </si>
  <si>
    <t>-0.010480105716393743</t>
  </si>
  <si>
    <t>2.057605213023924</t>
  </si>
  <si>
    <t>-1.1742751571461483</t>
  </si>
  <si>
    <t>2.8061139303807345</t>
  </si>
  <si>
    <t>1.792494922945293</t>
  </si>
  <si>
    <t>-1.453552563176174</t>
  </si>
  <si>
    <t>-0.36917645006012373</t>
  </si>
  <si>
    <t>-1.4178888517066064</t>
  </si>
  <si>
    <t>0.7252141860202123</t>
  </si>
  <si>
    <t>-0.06123138651707117</t>
  </si>
  <si>
    <t>1.3831380498459371</t>
  </si>
  <si>
    <t>1.1421713235252686</t>
  </si>
  <si>
    <t>-1.1491878662671233</t>
  </si>
  <si>
    <t>-1.3039916076288072</t>
  </si>
  <si>
    <t>1.6082779878692115</t>
  </si>
  <si>
    <t>-0.08106510345711469</t>
  </si>
  <si>
    <t>-3.1645822424905545</t>
  </si>
  <si>
    <t>-1.0328565667486687</t>
  </si>
  <si>
    <t>0.1507476276960549</t>
  </si>
  <si>
    <t>-0.954134680689904</t>
  </si>
  <si>
    <t>-1.49786306988761</t>
  </si>
  <si>
    <t>1.1836868872281154</t>
  </si>
  <si>
    <t>-0.39926470013500653</t>
  </si>
  <si>
    <t>0.8439943523252392</t>
  </si>
  <si>
    <t>-2.225315842928647</t>
  </si>
  <si>
    <t>-0.03527279212013317</t>
  </si>
  <si>
    <t>-0.8742617079609147</t>
  </si>
  <si>
    <t>-1.719588765554401</t>
  </si>
  <si>
    <t>-3.1643210744542594</t>
  </si>
  <si>
    <t>2.1400784851203305</t>
  </si>
  <si>
    <t>-0.8933471544783574</t>
  </si>
  <si>
    <t>-1.7882845236174303</t>
  </si>
  <si>
    <t>1.8476651336418628</t>
  </si>
  <si>
    <t>-3.7719851757108334</t>
  </si>
  <si>
    <t>-0.9155914568715361</t>
  </si>
  <si>
    <t>3.582639519535581</t>
  </si>
  <si>
    <t>1.4667314621417489</t>
  </si>
  <si>
    <t>3.6470360335653247</t>
  </si>
  <si>
    <t>-2.0003039758175913</t>
  </si>
  <si>
    <t>-1.5584887084662333</t>
  </si>
  <si>
    <t>-3.1330458658417606</t>
  </si>
  <si>
    <t>0.32262847068863043</t>
  </si>
  <si>
    <t>-1.1362744448579918</t>
  </si>
  <si>
    <t>-0.8590040443140178</t>
  </si>
  <si>
    <t>-0.6963184211906388</t>
  </si>
  <si>
    <t>-1.349766007163867</t>
  </si>
  <si>
    <t>-4.58894626805728</t>
  </si>
  <si>
    <t>2.0789443929695417</t>
  </si>
  <si>
    <t>-0.7009261575449063</t>
  </si>
  <si>
    <t>-0.5504520706171027</t>
  </si>
  <si>
    <t>3.5788575173081214</t>
  </si>
  <si>
    <t>-0.9338573111604002</t>
  </si>
  <si>
    <t>0.5925145886058465</t>
  </si>
  <si>
    <t>-5.429577866695702</t>
  </si>
  <si>
    <t>-2.065705485741044</t>
  </si>
  <si>
    <t>2.386105757399479</t>
  </si>
  <si>
    <t>-1.5645552713615072</t>
  </si>
  <si>
    <t>1.024214716469954</t>
  </si>
  <si>
    <t>-1.771495920869857</t>
  </si>
  <si>
    <t>-0.6019726368004011</t>
  </si>
  <si>
    <t>2.0153425072920745</t>
  </si>
  <si>
    <t>1.3419200134435352</t>
  </si>
  <si>
    <t>-0.9947735957182268</t>
  </si>
  <si>
    <t>2.7367804607507225</t>
  </si>
  <si>
    <t>-1.0632049489393</t>
  </si>
  <si>
    <t>-0.7373354074622449</t>
  </si>
  <si>
    <t>1.06019403566674</t>
  </si>
  <si>
    <t>-0.16887647155312036</t>
  </si>
  <si>
    <t>-1.1512002637089045</t>
  </si>
  <si>
    <t>-1.4419784785586651</t>
  </si>
  <si>
    <t>-1.9106136403970204</t>
  </si>
  <si>
    <t>2.4886903260943147</t>
  </si>
  <si>
    <t>-0.7519767254386268</t>
  </si>
  <si>
    <t>-2.240510303258712</t>
  </si>
  <si>
    <t>0.22772914382420312</t>
  </si>
  <si>
    <t>5.287704258375714</t>
  </si>
  <si>
    <t>4.262881384728835</t>
  </si>
  <si>
    <t>0.06003450419790925</t>
  </si>
  <si>
    <t>0.6420561686509246</t>
  </si>
  <si>
    <t>-0.34113941518730867</t>
  </si>
  <si>
    <t>-1.1711680720425146</t>
  </si>
  <si>
    <t>2.8173931984052123</t>
  </si>
  <si>
    <t>0.5799244866160718</t>
  </si>
  <si>
    <t>-1.0226423029580083</t>
  </si>
  <si>
    <t>1.489448397231878</t>
  </si>
  <si>
    <t>-1.2811958483498072</t>
  </si>
  <si>
    <t>-1.7394872528164578</t>
  </si>
  <si>
    <t>0.01918559742467401</t>
  </si>
  <si>
    <t>1.1038374212714306</t>
  </si>
  <si>
    <t>-0.12958516948418736</t>
  </si>
  <si>
    <t>1.8734872717956133</t>
  </si>
  <si>
    <t>-1.4693421999833887</t>
  </si>
  <si>
    <t>-0.13058847257234102</t>
  </si>
  <si>
    <t>-0.3943956117769016</t>
  </si>
  <si>
    <t>-0.32473329883118146</t>
  </si>
  <si>
    <t>-1.0169139825799398</t>
  </si>
  <si>
    <t>1.0624146935861176</t>
  </si>
  <si>
    <t>0.043295420333917256</t>
  </si>
  <si>
    <t>-0.6670806739584648</t>
  </si>
  <si>
    <t>-0.3388500201599398</t>
  </si>
  <si>
    <t>-1.1112269845234364</t>
  </si>
  <si>
    <t>0.6431642734295933</t>
  </si>
  <si>
    <t>-0.11534475143451713</t>
  </si>
  <si>
    <t>-1.6730613677459032</t>
  </si>
  <si>
    <t>0.8467690138745604</t>
  </si>
  <si>
    <t>-0.6457059331570516</t>
  </si>
  <si>
    <t>-0.20292645082282337</t>
  </si>
  <si>
    <t>-0.14637190045539117</t>
  </si>
  <si>
    <t>-0.6172677187867817</t>
  </si>
  <si>
    <t>-0.5694680345397152</t>
  </si>
  <si>
    <t>0.3469873483702864</t>
  </si>
  <si>
    <t>0.07115960466009538</t>
  </si>
  <si>
    <t>-0.6541287583936822</t>
  </si>
  <si>
    <t>0.8842751033567521</t>
  </si>
  <si>
    <t>-0.005233570143193708</t>
  </si>
  <si>
    <t>-0.6259775187872296</t>
  </si>
  <si>
    <t>0.8821301772253644</t>
  </si>
  <si>
    <t>-1.409825846589894</t>
  </si>
  <si>
    <t>2.111580860788801</t>
  </si>
  <si>
    <t>0.3374723454018361</t>
  </si>
  <si>
    <t>0.6958039952612952</t>
  </si>
  <si>
    <t>0.1386267083913253</t>
  </si>
  <si>
    <t>-1.2270054951324219</t>
  </si>
  <si>
    <t>2.338293108480102</t>
  </si>
  <si>
    <t>1.0825190777833402</t>
  </si>
  <si>
    <t>-1.4198245489561645</t>
  </si>
  <si>
    <t>-0.24198196571357752</t>
  </si>
  <si>
    <t>-0.37316743198966423</t>
  </si>
  <si>
    <t>-0.6137070236452977</t>
  </si>
  <si>
    <t>-1.6410278640921778</t>
  </si>
  <si>
    <t>-0.9600781275995629</t>
  </si>
  <si>
    <t>-0.05755023263259619</t>
  </si>
  <si>
    <t>-0.8065463767261396</t>
  </si>
  <si>
    <t>0.3455316745790066</t>
  </si>
  <si>
    <t>0.05329447277080391</t>
  </si>
  <si>
    <t>-0.14499329772769332</t>
  </si>
  <si>
    <t>-0.11535970294756467</t>
  </si>
  <si>
    <t>-1.3084862287577592</t>
  </si>
  <si>
    <t>-0.6781551213032204</t>
  </si>
  <si>
    <t>0.7236201500811655</t>
  </si>
  <si>
    <t>-0.20290909395365436</t>
  </si>
  <si>
    <t>-1.4528424895241157</t>
  </si>
  <si>
    <t>-0.5663501501042955</t>
  </si>
  <si>
    <t>-2.6615265559742016</t>
  </si>
  <si>
    <t>-1.2092678287620036</t>
  </si>
  <si>
    <t>-0.4112690286593853</t>
  </si>
  <si>
    <t>1.4034576154275196</t>
  </si>
  <si>
    <t>0.28963097477412114</t>
  </si>
  <si>
    <t>1.1271591804572307</t>
  </si>
  <si>
    <t>3.008002743025156</t>
  </si>
  <si>
    <t>0.228882136116154</t>
  </si>
  <si>
    <t>-0.8870017684358592</t>
  </si>
  <si>
    <t>0.7916768799697796</t>
  </si>
  <si>
    <t>-4.174341335098784</t>
  </si>
  <si>
    <t>0.27253754843557915</t>
  </si>
  <si>
    <t>0.09265274297468999</t>
  </si>
  <si>
    <t>1.170562172041054</t>
  </si>
  <si>
    <t>-1.262702286158939</t>
  </si>
  <si>
    <t>-1.746121530706108</t>
  </si>
  <si>
    <t>0.5085857286830044</t>
  </si>
  <si>
    <t>0.7592662931074593</t>
  </si>
  <si>
    <t>-0.3590269616535646</t>
  </si>
  <si>
    <t>0.8505376934236165</t>
  </si>
  <si>
    <t>-0.16228554686769187</t>
  </si>
  <si>
    <t>3.0363286064495365</t>
  </si>
  <si>
    <t>0.45144238431653616</t>
  </si>
  <si>
    <t>-0.3589593481456588</t>
  </si>
  <si>
    <t>0.29314493314281204</t>
  </si>
  <si>
    <t>-0.5934454410021456</t>
  </si>
  <si>
    <t>2.138950890055253</t>
  </si>
  <si>
    <t>-2.398530716178809</t>
  </si>
  <si>
    <t>0.09976975047191426</t>
  </si>
  <si>
    <t>0.09597780039894815</t>
  </si>
  <si>
    <t>1.492998914716914</t>
  </si>
  <si>
    <t>-0.7462041901240247</t>
  </si>
  <si>
    <t>1.7355331735349873</t>
  </si>
  <si>
    <t>1.0206207982865678</t>
  </si>
  <si>
    <t>2.349792671820039</t>
  </si>
  <si>
    <t>0.6310274594430558</t>
  </si>
  <si>
    <t>-0.5585218127646919</t>
  </si>
  <si>
    <t>0.597756884603977</t>
  </si>
  <si>
    <t>-2.772982903794657</t>
  </si>
  <si>
    <t>-0.25340953352042717</t>
  </si>
  <si>
    <t>-2.791102173171534</t>
  </si>
  <si>
    <t>5.114486045397002</t>
  </si>
  <si>
    <t>1.0072316607853977</t>
  </si>
  <si>
    <t>0.25120953443723937</t>
  </si>
  <si>
    <t>-0.8803074827254409</t>
  </si>
  <si>
    <t>3.933536258280623</t>
  </si>
  <si>
    <t>-1.0446686143491197</t>
  </si>
  <si>
    <t>0.336312303421433</t>
  </si>
  <si>
    <t>0.16665262829575883</t>
  </si>
  <si>
    <t>0.12524063754977124</t>
  </si>
  <si>
    <t>0.9290400366929056</t>
  </si>
  <si>
    <t>-0.5251127162568867</t>
  </si>
  <si>
    <t>-1.366196724577429</t>
  </si>
  <si>
    <t>-0.29796544410239567</t>
  </si>
  <si>
    <t>1.0894790128085519</t>
  </si>
  <si>
    <t>-0.35452648904239303</t>
  </si>
  <si>
    <t>-0.4537058265817531</t>
  </si>
  <si>
    <t>-0.520330696029761</t>
  </si>
  <si>
    <t>-0.0456485581106115</t>
  </si>
  <si>
    <t>1.9084204311305455</t>
  </si>
  <si>
    <t>0.41667689244312134</t>
  </si>
  <si>
    <t>0.08604793270429711</t>
  </si>
  <si>
    <t>-1.4332875902984823</t>
  </si>
  <si>
    <t>-0.2988186613208611</t>
  </si>
  <si>
    <t>1.1698530547387167</t>
  </si>
  <si>
    <t>-0.40221123416009286</t>
  </si>
  <si>
    <t>-0.5559238838235974</t>
  </si>
  <si>
    <t>0.48814900523426286</t>
  </si>
  <si>
    <t>0.0911956326781393</t>
  </si>
  <si>
    <t>-0.5791000523361068</t>
  </si>
  <si>
    <t>-0.9797371000809789</t>
  </si>
  <si>
    <t>-1.2974548246257824</t>
  </si>
  <si>
    <t>1.6309769446166718</t>
  </si>
  <si>
    <t>0.40029402202712877</t>
  </si>
  <si>
    <t>2.6922407664994057</t>
  </si>
  <si>
    <t>-0.21168122723269922</t>
  </si>
  <si>
    <t>0.42834015897353717</t>
  </si>
  <si>
    <t>-0.1658176064937987</t>
  </si>
  <si>
    <t>-0.15536983724506034</t>
  </si>
  <si>
    <t>-0.3173246967428671</t>
  </si>
  <si>
    <t>0.30823441454589784</t>
  </si>
  <si>
    <t>-0.151116644419683</t>
  </si>
  <si>
    <t>-0.7952443661285276</t>
  </si>
  <si>
    <t>-0.8669372881623797</t>
  </si>
  <si>
    <t>0.027172879854709456</t>
  </si>
  <si>
    <t>0.16341387029401738</t>
  </si>
  <si>
    <t>-0.15320477715809305</t>
  </si>
  <si>
    <t>0.34971395715065723</t>
  </si>
  <si>
    <t>0.7780309402167452</t>
  </si>
  <si>
    <t>-0.8586440375777661</t>
  </si>
  <si>
    <t>-0.2972639723175847</t>
  </si>
  <si>
    <t>0.726156008904282</t>
  </si>
  <si>
    <t>0.7197870575894004</t>
  </si>
  <si>
    <t>2.276275331326095</t>
  </si>
  <si>
    <t>-1.5194983697751492</t>
  </si>
  <si>
    <t>-0.8823218818251503</t>
  </si>
  <si>
    <t>0.7877028160637709</t>
  </si>
  <si>
    <t>0.21714155079405692</t>
  </si>
  <si>
    <t>0.144220001740499</t>
  </si>
  <si>
    <t>-0.023057604087181396</t>
  </si>
  <si>
    <t>-0.38514311783096505</t>
  </si>
  <si>
    <t>-1.1153002604000202</t>
  </si>
  <si>
    <t>1.617380328815697</t>
  </si>
  <si>
    <t>1.0285646833624789</t>
  </si>
  <si>
    <t>-0.8695218719263352</t>
  </si>
  <si>
    <t>-0.9486155407231913</t>
  </si>
  <si>
    <t>-0.48261316506981167</t>
  </si>
  <si>
    <t>0.9049045204506853</t>
  </si>
  <si>
    <t>-0.37497513265436794</t>
  </si>
  <si>
    <t>0.7415567416653945</t>
  </si>
  <si>
    <t>-0.8765479172740678</t>
  </si>
  <si>
    <t>0.4571749351570711</t>
  </si>
  <si>
    <t>-1.8374808850440005</t>
  </si>
  <si>
    <t>0.5085570351060051</t>
  </si>
  <si>
    <t>0.5484113996332229</t>
  </si>
  <si>
    <t>-0.0830109222084591</t>
  </si>
  <si>
    <t>1.0443222998746906</t>
  </si>
  <si>
    <t>0.2672259627263807</t>
  </si>
  <si>
    <t>0.15980983437553842</t>
  </si>
  <si>
    <t>-0.49467900455698693</t>
  </si>
  <si>
    <t>-1.0713684165264732</t>
  </si>
  <si>
    <t>0.878178673498656</t>
  </si>
  <si>
    <t>0.040263658839282984</t>
  </si>
  <si>
    <t>-0.33334236983892074</t>
  </si>
  <si>
    <t>-1.7781468490699694</t>
  </si>
  <si>
    <t>-0.40177368697065313</t>
  </si>
  <si>
    <t>0.08917275295445375</t>
  </si>
  <si>
    <t>-0.6943171395776347</t>
  </si>
  <si>
    <t>0.7594667537283949</t>
  </si>
  <si>
    <t>-0.04157395333323058</t>
  </si>
  <si>
    <t>-1.0180396085050463</t>
  </si>
  <si>
    <t>0.2376246223612806</t>
  </si>
  <si>
    <t>0.4699149244353726</t>
  </si>
  <si>
    <t>0.8583135969534313</t>
  </si>
  <si>
    <t>-1.263324962314086</t>
  </si>
  <si>
    <t>0.7262588326764892</t>
  </si>
  <si>
    <t>-0.2927207883393632</t>
  </si>
  <si>
    <t>0.5607719639634013</t>
  </si>
  <si>
    <t>0.09514708670341186</t>
  </si>
  <si>
    <t>0.6721931673581439</t>
  </si>
  <si>
    <t>-0.10520571411119324</t>
  </si>
  <si>
    <t>-0.7216794075272751</t>
  </si>
  <si>
    <t>-0.7427255269804314</t>
  </si>
  <si>
    <t>-1.124048907552086</t>
  </si>
  <si>
    <t>0.11635558584227484</t>
  </si>
  <si>
    <t>-0.3330266874526569</t>
  </si>
  <si>
    <t>0.6987269317469155</t>
  </si>
  <si>
    <t>-0.3040420947073697</t>
  </si>
  <si>
    <t>0.9298181694186214</t>
  </si>
  <si>
    <t>0.10624198863154528</t>
  </si>
  <si>
    <t>-0.02030251004293908</t>
  </si>
  <si>
    <t>-0.3938792720485406</t>
  </si>
  <si>
    <t>0.8543159966327031</t>
  </si>
  <si>
    <t>-0.2677510496919199</t>
  </si>
  <si>
    <t>1.1798546538479258</t>
  </si>
  <si>
    <t>-0.7801002786862975</t>
  </si>
  <si>
    <t>2.8886127386717257</t>
  </si>
  <si>
    <t>1.1655864413342747</t>
  </si>
  <si>
    <t>-2.0924143676801066</t>
  </si>
  <si>
    <t>0.14401228632028912</t>
  </si>
  <si>
    <t>-0.47958620540782115</t>
  </si>
  <si>
    <t>1.5503393689687512</t>
  </si>
  <si>
    <t>-0.3079433238887681</t>
  </si>
  <si>
    <t>-0.5070154469745024</t>
  </si>
  <si>
    <t>-1.5557497056691314</t>
  </si>
  <si>
    <t>-0.49308133468740667</t>
  </si>
  <si>
    <t>-1.095910149246863</t>
  </si>
  <si>
    <t>-0.0289480200231191</t>
  </si>
  <si>
    <t>1.0443633787305284</t>
  </si>
  <si>
    <t>0.9983993324627779</t>
  </si>
  <si>
    <t>0.0009616522825625825</t>
  </si>
  <si>
    <t>-1.184589798446028</t>
  </si>
  <si>
    <t>-0.06508971097042483</t>
  </si>
  <si>
    <t>0.5757574249604941</t>
  </si>
  <si>
    <t>0.3710543360273016</t>
  </si>
  <si>
    <t>0.9767221426021676</t>
  </si>
  <si>
    <t>-2.7683941210187726</t>
  </si>
  <si>
    <t>0.2998200839108666</t>
  </si>
  <si>
    <t>-2.186323624937322</t>
  </si>
  <si>
    <t>-0.8167960463334871</t>
  </si>
  <si>
    <t>1.377538688350896</t>
  </si>
  <si>
    <t>-0.25690158553151676</t>
  </si>
  <si>
    <t>0.7049609384980494</t>
  </si>
  <si>
    <t>-0.4090794088282442</t>
  </si>
  <si>
    <t>0.11797086934777413</t>
  </si>
  <si>
    <t>1.3634767396911422</t>
  </si>
  <si>
    <t>-0.5408869148214692</t>
  </si>
  <si>
    <t>2.26930197142123</t>
  </si>
  <si>
    <t>-0.1013022783190808</t>
  </si>
  <si>
    <t>4.058521312874828</t>
  </si>
  <si>
    <t>1.0611442008124605</t>
  </si>
  <si>
    <t>0.5640621058972585</t>
  </si>
  <si>
    <t>-0.1735955095788528</t>
  </si>
  <si>
    <t>0.018125702949258356</t>
  </si>
  <si>
    <t>-1.8560379604987003</t>
  </si>
  <si>
    <t>-1.1046815656701292</t>
  </si>
  <si>
    <t>-0.42088343174797443</t>
  </si>
  <si>
    <t>-0.9500506957628374</t>
  </si>
  <si>
    <t>0.8997437407298602</t>
  </si>
  <si>
    <t>1.093351046732417</t>
  </si>
  <si>
    <t>-2.341466738175842</t>
  </si>
  <si>
    <t>-1.1785482323820695</t>
  </si>
  <si>
    <t>0.14422181704681628</t>
  </si>
  <si>
    <t>-0.6135327539801986</t>
  </si>
  <si>
    <t>0.7277867722525165</t>
  </si>
  <si>
    <t>3.8706342942822283</t>
  </si>
  <si>
    <t>-0.8209913817034552</t>
  </si>
  <si>
    <t>-2.2098549410530426</t>
  </si>
  <si>
    <t>2.188016783101978</t>
  </si>
  <si>
    <t>1.7077711439752918</t>
  </si>
  <si>
    <t>-3.3172852443584198</t>
  </si>
  <si>
    <t>1.6871935509481126</t>
  </si>
  <si>
    <t>0.714174293698572</t>
  </si>
  <si>
    <t>0.8738246926815111</t>
  </si>
  <si>
    <t>-1.5109159371979453</t>
  </si>
  <si>
    <t>0.952661279504021</t>
  </si>
  <si>
    <t>-1.186222614145615</t>
  </si>
  <si>
    <t>-0.9055912797714251</t>
  </si>
  <si>
    <t>0.1645003508323766</t>
  </si>
  <si>
    <t>-0.36533087869794795</t>
  </si>
  <si>
    <t>1.7046822806674922</t>
  </si>
  <si>
    <t>1.5153429623118377</t>
  </si>
  <si>
    <t>1.226009849844435</t>
  </si>
  <si>
    <t>-1.4931675277105259</t>
  </si>
  <si>
    <t>0.8477049593034617</t>
  </si>
  <si>
    <t>1.096812233335456</t>
  </si>
  <si>
    <t>-1.8059835172784733</t>
  </si>
  <si>
    <t>-2.3586354771926397</t>
  </si>
  <si>
    <t>-1.0695897948664042</t>
  </si>
  <si>
    <t>-2.9290206256915585</t>
  </si>
  <si>
    <t>1.1019793160015041</t>
  </si>
  <si>
    <t>-1.2537926650853155</t>
  </si>
  <si>
    <t>-2.926579656746014</t>
  </si>
  <si>
    <t>1.3939303197942143</t>
  </si>
  <si>
    <t>-1.0965828496905972</t>
  </si>
  <si>
    <t>3.4087626634154726</t>
  </si>
  <si>
    <t>-0.19440163270983424</t>
  </si>
  <si>
    <t>0.43058628361154777</t>
  </si>
  <si>
    <t>-3.5591081361870924</t>
  </si>
  <si>
    <t>-1.113592083072254</t>
  </si>
  <si>
    <t>-3.0642898194759662</t>
  </si>
  <si>
    <t>1.3570230457045136</t>
  </si>
  <si>
    <t>-1.5829597466619547</t>
  </si>
  <si>
    <t>-1.0220498277060193</t>
  </si>
  <si>
    <t>-1.7675969427529998</t>
  </si>
  <si>
    <t>-2.228188174501904</t>
  </si>
  <si>
    <t>1.0513830129213695</t>
  </si>
  <si>
    <t>-1.2294854259481163</t>
  </si>
  <si>
    <t>2.027948365946341</t>
  </si>
  <si>
    <t>0.29965373595546435</t>
  </si>
  <si>
    <t>1.8336308632549938</t>
  </si>
  <si>
    <t>1.9875169147543337</t>
  </si>
  <si>
    <t>-1.3905281708423873</t>
  </si>
  <si>
    <t>-0.30222096734638293</t>
  </si>
  <si>
    <t>-2.0778095868919526</t>
  </si>
  <si>
    <t>-1.4384670097918262</t>
  </si>
  <si>
    <t>-0.5215470797341835</t>
  </si>
  <si>
    <t>0.4201737146177397</t>
  </si>
  <si>
    <t>-1.1161485730728689</t>
  </si>
  <si>
    <t>2.6140071690872455</t>
  </si>
  <si>
    <t>-1.0419992678170165</t>
  </si>
  <si>
    <t>0.06336385721990201</t>
  </si>
  <si>
    <t>-1.0067688583233083</t>
  </si>
  <si>
    <t>0.017567189620759507</t>
  </si>
  <si>
    <t>-3.377901359304467</t>
  </si>
  <si>
    <t>1.332101538857008</t>
  </si>
  <si>
    <t>0.06154705350465619</t>
  </si>
  <si>
    <t>0.1651808159383685</t>
  </si>
  <si>
    <t>-1.8004654558048998</t>
  </si>
  <si>
    <t>-1.1643396118039782</t>
  </si>
  <si>
    <t>1.8588244780410683</t>
  </si>
  <si>
    <t>-1.3264737736864147</t>
  </si>
  <si>
    <t>1.1371473711193611</t>
  </si>
  <si>
    <t>-1.5884605970405616</t>
  </si>
  <si>
    <t>2.135249701954437</t>
  </si>
  <si>
    <t>-2.121536007431084</t>
  </si>
  <si>
    <t>1.30034216493668</t>
  </si>
  <si>
    <t>-0.6507037060017612</t>
  </si>
  <si>
    <t>-1.845737616085313</t>
  </si>
  <si>
    <t>1.2538105460419497</t>
  </si>
  <si>
    <t>-0.924131075382253</t>
  </si>
  <si>
    <t>2.6422051861377724</t>
  </si>
  <si>
    <t>-1.587436369159764</t>
  </si>
  <si>
    <t>-2.0031402657697317</t>
  </si>
  <si>
    <t>0.5500089940524662</t>
  </si>
  <si>
    <t>-1.7413944868839029</t>
  </si>
  <si>
    <t>-3.707244059359132</t>
  </si>
  <si>
    <t>3.422116750738503</t>
  </si>
  <si>
    <t>-1.6460260726990772</t>
  </si>
  <si>
    <t>-0.8058413053501315</t>
  </si>
  <si>
    <t>-0.8511858540254456</t>
  </si>
  <si>
    <t>-0.5770896438805679</t>
  </si>
  <si>
    <t>2.27272609666624</t>
  </si>
  <si>
    <t>0.16426203094311723</t>
  </si>
  <si>
    <t>-0.7720863189287652</t>
  </si>
  <si>
    <t>-0.5903604860807207</t>
  </si>
  <si>
    <t>-3.67951190676086</t>
  </si>
  <si>
    <t>-2.415448535073025</t>
  </si>
  <si>
    <t>-1.374449477779504</t>
  </si>
  <si>
    <t>-3.07240757544571</t>
  </si>
  <si>
    <t>0.5286254026369289</t>
  </si>
  <si>
    <t>-2.434797715590049</t>
  </si>
  <si>
    <t>0.5043271440192828</t>
  </si>
  <si>
    <t>2.49995600093299</t>
  </si>
  <si>
    <t>0.5726587958166984</t>
  </si>
  <si>
    <t>-1.7602217180683757</t>
  </si>
  <si>
    <t>-0.10631489637833755</t>
  </si>
  <si>
    <t>-1.3305957684307903</t>
  </si>
  <si>
    <t>0.10961681008980075</t>
  </si>
  <si>
    <t>-2.025275665388597</t>
  </si>
  <si>
    <t>-0.16052875959004057</t>
  </si>
  <si>
    <t>1.5707008213717966</t>
  </si>
  <si>
    <t>-0.6892830203209745</t>
  </si>
  <si>
    <t>-2.948760242363954</t>
  </si>
  <si>
    <t>3.7668055989557825</t>
  </si>
  <si>
    <t>-0.8725832007744843</t>
  </si>
  <si>
    <t>-0.936280585247941</t>
  </si>
  <si>
    <t>-0.28349969551089305</t>
  </si>
  <si>
    <t>-2.259768321958697</t>
  </si>
  <si>
    <t>0.08414752997381526</t>
  </si>
  <si>
    <t>-2.11668658956117</t>
  </si>
  <si>
    <t>-2.3919180603562427</t>
  </si>
  <si>
    <t>-0.9592469748069798</t>
  </si>
  <si>
    <t>1.1191787130059103</t>
  </si>
  <si>
    <t>2.1609938931553843</t>
  </si>
  <si>
    <t>-1.3620273903034363</t>
  </si>
  <si>
    <t>-0.29281303029461797</t>
  </si>
  <si>
    <t>-0.5991885541546731</t>
  </si>
  <si>
    <t>-1.3361065807368533</t>
  </si>
  <si>
    <t>-1.739039161490132</t>
  </si>
  <si>
    <t>-2.7847616328077036</t>
  </si>
  <si>
    <t>-0.683014635211862</t>
  </si>
  <si>
    <t>-1.5661886101892069</t>
  </si>
  <si>
    <t>1.5338793558490276</t>
  </si>
  <si>
    <t>3.387714029787733</t>
  </si>
  <si>
    <t>-0.2716058993832966</t>
  </si>
  <si>
    <t>1.0178761492995652</t>
  </si>
  <si>
    <t>3.654486994109609</t>
  </si>
  <si>
    <t>0.021717743917247016</t>
  </si>
  <si>
    <t>-4.130721668347202</t>
  </si>
  <si>
    <t>3.396567599518337</t>
  </si>
  <si>
    <t>1.3485108222591833</t>
  </si>
  <si>
    <t>-1.4643914629350003</t>
  </si>
  <si>
    <t>-0.0909902637829629</t>
  </si>
  <si>
    <t>3.63659507936824</t>
  </si>
  <si>
    <t>-2.983925538685367</t>
  </si>
  <si>
    <t>-2.8588796287041176</t>
  </si>
  <si>
    <t>-1.4459728670074332</t>
  </si>
  <si>
    <t>1.9483274435891877</t>
  </si>
  <si>
    <t>-1.7923339312925848</t>
  </si>
  <si>
    <t>1.9872933781996363</t>
  </si>
  <si>
    <t>-2.044057433378433</t>
  </si>
  <si>
    <t>-3.076567775748542</t>
  </si>
  <si>
    <t>1.3509667887401708</t>
  </si>
  <si>
    <t>-2.256254412399908</t>
  </si>
  <si>
    <t>-3.1673728745870227</t>
  </si>
  <si>
    <t>-0.012544354575414179</t>
  </si>
  <si>
    <t>3.3197228576607225</t>
  </si>
  <si>
    <t>0.27337925048146733</t>
  </si>
  <si>
    <t>0.10290388697050307</t>
  </si>
  <si>
    <t>2.1558556089661884</t>
  </si>
  <si>
    <t>1.1135426957921613</t>
  </si>
  <si>
    <t>0.16573282335751405</t>
  </si>
  <si>
    <t>-2.0275297104713363</t>
  </si>
  <si>
    <t>0.30781148211077797</t>
  </si>
  <si>
    <t>0.8474339066943778</t>
  </si>
  <si>
    <t>-1.4871558800688969</t>
  </si>
  <si>
    <t>-0.8536181657225931</t>
  </si>
  <si>
    <t>0.5773862026423259</t>
  </si>
  <si>
    <t>-2.8278426648902353</t>
  </si>
  <si>
    <t>-0.08700318005607613</t>
  </si>
  <si>
    <t>-2.3177482142873616</t>
  </si>
  <si>
    <t>0.26782095530303884</t>
  </si>
  <si>
    <t>-1.8986230317080781</t>
  </si>
  <si>
    <t>-0.07055279865487174</t>
  </si>
  <si>
    <t>-1.0117075705923486</t>
  </si>
  <si>
    <t>-2.7216331043766906</t>
  </si>
  <si>
    <t>-2.706859976007728</t>
  </si>
  <si>
    <t>-1.0957266878273617</t>
  </si>
  <si>
    <t>-0.5586568064608182</t>
  </si>
  <si>
    <t>2.3122337538325195</t>
  </si>
  <si>
    <t>0.27730721107782985</t>
  </si>
  <si>
    <t>1.3735489481045944</t>
  </si>
  <si>
    <t>1.373534060379966</t>
  </si>
  <si>
    <t>-0.3037796982178377</t>
  </si>
  <si>
    <t>-0.5219681975989358</t>
  </si>
  <si>
    <t>3.069912848444859</t>
  </si>
  <si>
    <t>5.281939401322652</t>
  </si>
  <si>
    <t>3.8038335536587815</t>
  </si>
  <si>
    <t>-1.6312336096148992</t>
  </si>
  <si>
    <t>0.21114938325189872</t>
  </si>
  <si>
    <t>-1.5651128215923549</t>
  </si>
  <si>
    <t>-1.9858111607872524</t>
  </si>
  <si>
    <t>-1.9895742243711017</t>
  </si>
  <si>
    <t>0.08591333876187583</t>
  </si>
  <si>
    <t>-3.15920859324707</t>
  </si>
  <si>
    <t>-3.0707375686757046</t>
  </si>
  <si>
    <t>3.1116241968674294</t>
  </si>
  <si>
    <t>-2.2661760841121117</t>
  </si>
  <si>
    <t>1.1684541297494098</t>
  </si>
  <si>
    <t>-1.6786093579935986</t>
  </si>
  <si>
    <t>1.1066826858742294</t>
  </si>
  <si>
    <t>-0.1523253534958807</t>
  </si>
  <si>
    <t>-0.25841680311038523</t>
  </si>
  <si>
    <t>-1.4670426060631276</t>
  </si>
  <si>
    <t>-1.9792821814652437</t>
  </si>
  <si>
    <t>-2.126865190278139</t>
  </si>
  <si>
    <t>0.5577861997012475</t>
  </si>
  <si>
    <t>-1.2505645394976563</t>
  </si>
  <si>
    <t>-0.5466658621425723</t>
  </si>
  <si>
    <t>0.6346050282436758</t>
  </si>
  <si>
    <t>-0.9800849533710738</t>
  </si>
  <si>
    <t>-2.2124100711283607</t>
  </si>
  <si>
    <t>-0.9859801259678826</t>
  </si>
  <si>
    <t>-1.6032911281807443</t>
  </si>
  <si>
    <t>-1.9335079525617087</t>
  </si>
  <si>
    <t>-0.1442194943490577</t>
  </si>
  <si>
    <t>0.22755294898878803</t>
  </si>
  <si>
    <t>1.5383887517580621</t>
  </si>
  <si>
    <t>0.8986778584053047</t>
  </si>
  <si>
    <t>-3.4519787179607326</t>
  </si>
  <si>
    <t>-2.9235209109537386</t>
  </si>
  <si>
    <t>-2.0973653404636856</t>
  </si>
  <si>
    <t>6.303542990612124</t>
  </si>
  <si>
    <t>-3.833469397355835</t>
  </si>
  <si>
    <t>-1.421004026804592</t>
  </si>
  <si>
    <t>0.29171957079264277</t>
  </si>
  <si>
    <t>4.496885284534675</t>
  </si>
  <si>
    <t>-2.221215088593371</t>
  </si>
  <si>
    <t>-0.534471988548389</t>
  </si>
  <si>
    <t>0.5847248137548833</t>
  </si>
  <si>
    <t>-0.9121494548678967</t>
  </si>
  <si>
    <t>-1.0193392434534074</t>
  </si>
  <si>
    <t>0.48056062783933745</t>
  </si>
  <si>
    <t>3.817513620546367</t>
  </si>
  <si>
    <t>5.49837031547775</t>
  </si>
  <si>
    <t>-1.8790100665754355</t>
  </si>
  <si>
    <t>1.747021311165116</t>
  </si>
  <si>
    <t>-0.8683373604569268</t>
  </si>
  <si>
    <t>5.50905404383641</t>
  </si>
  <si>
    <t>4.269509026015352</t>
  </si>
  <si>
    <t>-0.6009466418719156</t>
  </si>
  <si>
    <t>-0.11950402798152353</t>
  </si>
  <si>
    <t>2.0285169590788303</t>
  </si>
  <si>
    <t>3.877457106653318</t>
  </si>
  <si>
    <t>-1.8617469349180646</t>
  </si>
  <si>
    <t>4.567725221071616</t>
  </si>
  <si>
    <t>-0.1473505339174223</t>
  </si>
  <si>
    <t>-1.013747990058353</t>
  </si>
  <si>
    <t>2.4416766939546473</t>
  </si>
  <si>
    <t>-0.8584609899413936</t>
  </si>
  <si>
    <t>-2.66489315902388</t>
  </si>
  <si>
    <t>2.4644054209452486</t>
  </si>
  <si>
    <t>-2.6336931179452905</t>
  </si>
  <si>
    <t>-1.791956346623757</t>
  </si>
  <si>
    <t>1.5329383579393574</t>
  </si>
  <si>
    <t>1.6570552170079773</t>
  </si>
  <si>
    <t>-0.5399556618630666</t>
  </si>
  <si>
    <t>-0.7367109292431531</t>
  </si>
  <si>
    <t>-2.2509538981546857</t>
  </si>
  <si>
    <t>2.298941416439909</t>
  </si>
  <si>
    <t>2.232333286031336</t>
  </si>
  <si>
    <t>-3.0248116854345306</t>
  </si>
  <si>
    <t>1.4390803174087192</t>
  </si>
  <si>
    <t>-0.14493297683408313</t>
  </si>
  <si>
    <t>2.425339578622818</t>
  </si>
  <si>
    <t>-0.05540744566176545</t>
  </si>
  <si>
    <t>-1.741254664839692</t>
  </si>
  <si>
    <t>0.601345969628613</t>
  </si>
  <si>
    <t>-0.9135369705277813</t>
  </si>
  <si>
    <t>-1.3591042721463815</t>
  </si>
  <si>
    <t>-2.1509993180264626</t>
  </si>
  <si>
    <t>0.7788249277938932</t>
  </si>
  <si>
    <t>-0.2662087334479904</t>
  </si>
  <si>
    <t>-1.2594875775948982</t>
  </si>
  <si>
    <t>-1.9970654669670906</t>
  </si>
  <si>
    <t>0.37350170891975437</t>
  </si>
  <si>
    <t>-0.2449196328943687</t>
  </si>
  <si>
    <t>-2.69875196509268</t>
  </si>
  <si>
    <t>0.791605599939301</t>
  </si>
  <si>
    <t>1.554437595559368</t>
  </si>
  <si>
    <t>-1.3383377405521317</t>
  </si>
  <si>
    <t>3.154963017644122</t>
  </si>
  <si>
    <t>-2.699638594106302</t>
  </si>
  <si>
    <t>-1.7722476841191839</t>
  </si>
  <si>
    <t>-2.1027588320845134</t>
  </si>
  <si>
    <t>0.245777880569727</t>
  </si>
  <si>
    <t>-2.32705076549146</t>
  </si>
  <si>
    <t>-2.430963561665003</t>
  </si>
  <si>
    <t>0.9627860893790906</t>
  </si>
  <si>
    <t>4.632587102545613</t>
  </si>
  <si>
    <t>1.6755223097699417</t>
  </si>
  <si>
    <t>-1.710553971963306</t>
  </si>
  <si>
    <t>0.16521033698041257</t>
  </si>
  <si>
    <t>-0.6307158580536092</t>
  </si>
  <si>
    <t>3.492485299347466</t>
  </si>
  <si>
    <t>0.5849631591332064</t>
  </si>
  <si>
    <t>0.7944754037740496</t>
  </si>
  <si>
    <t>-1.2347370083870994</t>
  </si>
  <si>
    <t>-3.074663141514382</t>
  </si>
  <si>
    <t>-2.018437389479678</t>
  </si>
  <si>
    <t>0.6167660538409038</t>
  </si>
  <si>
    <t>1.178660210924284</t>
  </si>
  <si>
    <t>2.2573889105162226</t>
  </si>
  <si>
    <t>1.8465064194532288</t>
  </si>
  <si>
    <t>-0.24274062064715438</t>
  </si>
  <si>
    <t>-3.9261391331614823</t>
  </si>
  <si>
    <t>-2.2377854736263627</t>
  </si>
  <si>
    <t>0.9618744343399986</t>
  </si>
  <si>
    <t>0.7014159221775909</t>
  </si>
  <si>
    <t>0.5237953365391007</t>
  </si>
  <si>
    <t>-2.0700839116436986</t>
  </si>
  <si>
    <t>-3.480543089146512</t>
  </si>
  <si>
    <t>-0.16607073453548485</t>
  </si>
  <si>
    <t>-1.4299038745870734</t>
  </si>
  <si>
    <t>-1.8348911782192916</t>
  </si>
  <si>
    <t>0.06155474383591882</t>
  </si>
  <si>
    <t>-1.5802902919581499</t>
  </si>
  <si>
    <t>1.0213255300963178</t>
  </si>
  <si>
    <t>-0.4003005608676825</t>
  </si>
  <si>
    <t>0.11999076361476249</t>
  </si>
  <si>
    <t>-0.2870951149143864</t>
  </si>
  <si>
    <t>2.9628470793445074</t>
  </si>
  <si>
    <t>0.9459396752126922</t>
  </si>
  <si>
    <t>-1.357986038678684</t>
  </si>
  <si>
    <t>2.217395561086232</t>
  </si>
  <si>
    <t>0.8003125690231511</t>
  </si>
  <si>
    <t>1.073761934638697</t>
  </si>
  <si>
    <t>-3.335992360719314</t>
  </si>
  <si>
    <t>-0.3765833280476016</t>
  </si>
  <si>
    <t>0.037495617932798535</t>
  </si>
  <si>
    <t>-0.7273095018834667</t>
  </si>
  <si>
    <t>-2.5532666539149464</t>
  </si>
  <si>
    <t>2.792091938455482</t>
  </si>
  <si>
    <t>-0.19877944889742094</t>
  </si>
  <si>
    <t>2.3385612484745075</t>
  </si>
  <si>
    <t>-1.074647877361349</t>
  </si>
  <si>
    <t>-0.6399131817203592</t>
  </si>
  <si>
    <t>-0.2197667491690523</t>
  </si>
  <si>
    <t>-0.549603661802764</t>
  </si>
  <si>
    <t>-0.4844101141219748</t>
  </si>
  <si>
    <t>-1.211362550447657</t>
  </si>
  <si>
    <t>-0.10545758246173613</t>
  </si>
  <si>
    <t>0.27159147889592333</t>
  </si>
  <si>
    <t>-0.4465594330159126</t>
  </si>
  <si>
    <t>-1.6664575309523513</t>
  </si>
  <si>
    <t>-0.592405517985303</t>
  </si>
  <si>
    <t>0.03796849769568204</t>
  </si>
  <si>
    <t>1.517636430093891</t>
  </si>
  <si>
    <t>1.9779420302264223</t>
  </si>
  <si>
    <t>-0.7952383509786969</t>
  </si>
  <si>
    <t>3.877625369338396</t>
  </si>
  <si>
    <t>0.06547667553371626</t>
  </si>
  <si>
    <t>-0.5568189162014937</t>
  </si>
  <si>
    <t>1.956924020883606</t>
  </si>
  <si>
    <t>0.9698318292519876</t>
  </si>
  <si>
    <t>0.2121708860699389</t>
  </si>
  <si>
    <t>-3.1884798565614902</t>
  </si>
  <si>
    <t>-2.2195411780667533</t>
  </si>
  <si>
    <t>2.58876822220404</t>
  </si>
  <si>
    <t>0.602018283037551</t>
  </si>
  <si>
    <t>-1.6116446889088794</t>
  </si>
  <si>
    <t>-1.0624324017622395</t>
  </si>
  <si>
    <t>-0.40451739038892504</t>
  </si>
  <si>
    <t>-0.6949062684072528</t>
  </si>
  <si>
    <t>-1.4410248953593823</t>
  </si>
  <si>
    <t>-0.6570061186369045</t>
  </si>
  <si>
    <t>3.091131071681683</t>
  </si>
  <si>
    <t>-0.10420142673679277</t>
  </si>
  <si>
    <t>2.207505268889237</t>
  </si>
  <si>
    <t>-2.1431989825734727</t>
  </si>
  <si>
    <t>-0.09026354674517484</t>
  </si>
  <si>
    <t>0.8440295289396181</t>
  </si>
  <si>
    <t>-0.8567304343762698</t>
  </si>
  <si>
    <t>1.4841744260864105</t>
  </si>
  <si>
    <t>-0.2581026587510107</t>
  </si>
  <si>
    <t>0.15768594413881867</t>
  </si>
  <si>
    <t>1.1820843834780943</t>
  </si>
  <si>
    <t>2.8049841938982403</t>
  </si>
  <si>
    <t>-0.4309967244851614</t>
  </si>
  <si>
    <t>0.3795921282695572</t>
  </si>
  <si>
    <t>-2.570905327844287</t>
  </si>
  <si>
    <t>0.9899647498240235</t>
  </si>
  <si>
    <t>3.393486437257797</t>
  </si>
  <si>
    <t>2.307752857765066</t>
  </si>
  <si>
    <t>0.37459056035425164</t>
  </si>
  <si>
    <t>-2.8057771122702877</t>
  </si>
  <si>
    <t>-1.8819363153580022</t>
  </si>
  <si>
    <t>0.21694344528194456</t>
  </si>
  <si>
    <t>-0.7316646349812466</t>
  </si>
  <si>
    <t>-2.081655768484742</t>
  </si>
  <si>
    <t>2.2949160079833533</t>
  </si>
  <si>
    <t>-0.3026341031339524</t>
  </si>
  <si>
    <t>2.369928684543238</t>
  </si>
  <si>
    <t>0.40636882904690436</t>
  </si>
  <si>
    <t>3.1362393798327406</t>
  </si>
  <si>
    <t>-1.842797804304397</t>
  </si>
  <si>
    <t>-1.4685735451950193</t>
  </si>
  <si>
    <t>0.3708667453182214</t>
  </si>
  <si>
    <t>1.5416189932350972</t>
  </si>
  <si>
    <t>2.5533665986740712</t>
  </si>
  <si>
    <t>-1.7261158893190234</t>
  </si>
  <si>
    <t>0.6550311357567261</t>
  </si>
  <si>
    <t>0.3708185149770843</t>
  </si>
  <si>
    <t>-0.3171792710812412</t>
  </si>
  <si>
    <t>-0.2664968095535261</t>
  </si>
  <si>
    <t>0.9008157073178885</t>
  </si>
  <si>
    <t>-1.8680281543103734</t>
  </si>
  <si>
    <t>-1.0681480822723173</t>
  </si>
  <si>
    <t>-0.03242097307733957</t>
  </si>
  <si>
    <t>-2.351803123861461</t>
  </si>
  <si>
    <t>0.5785259003359738</t>
  </si>
  <si>
    <t>-2.980419880840738</t>
  </si>
  <si>
    <t>0.6119392778262202</t>
  </si>
  <si>
    <t>-0.43654603498000977</t>
  </si>
  <si>
    <t>0.7831173022387788</t>
  </si>
  <si>
    <t>1.448864637103871</t>
  </si>
  <si>
    <t>1.8231142814482078</t>
  </si>
  <si>
    <t>0.5238512414975243</t>
  </si>
  <si>
    <t>0.4294705121901942</t>
  </si>
  <si>
    <t>2.0252405605019725</t>
  </si>
  <si>
    <t>-0.5616504407036622</t>
  </si>
  <si>
    <t>1.7632649241191265</t>
  </si>
  <si>
    <t>1.0580489717406028</t>
  </si>
  <si>
    <t>0.9557834126304683</t>
  </si>
  <si>
    <t>2.1223795583515397</t>
  </si>
  <si>
    <t>2.6058812823092734</t>
  </si>
  <si>
    <t>1.362492824842652</t>
  </si>
  <si>
    <t>2.9980733655559435</t>
  </si>
  <si>
    <t>0.39721071371984995</t>
  </si>
  <si>
    <t>-1.4264803213740003</t>
  </si>
  <si>
    <t>-2.1391727164864154</t>
  </si>
  <si>
    <t>0.5934445026140281</t>
  </si>
  <si>
    <t>-0.33555524332974374</t>
  </si>
  <si>
    <t>0.7177568587819176</t>
  </si>
  <si>
    <t>-1.4584209570452626</t>
  </si>
  <si>
    <t>1.7914510486354607</t>
  </si>
  <si>
    <t>1.4388964475267894</t>
  </si>
  <si>
    <t>0.6081567398967267</t>
  </si>
  <si>
    <t>-2.182954633535939</t>
  </si>
  <si>
    <t>2.0253595292036697</t>
  </si>
  <si>
    <t>-0.5997527136388094</t>
  </si>
  <si>
    <t>-0.6534243067828067</t>
  </si>
  <si>
    <t>0.49125841289999883</t>
  </si>
  <si>
    <t>-0.19421395883685114</t>
  </si>
  <si>
    <t>-1.0215055216620985</t>
  </si>
  <si>
    <t>4.14360236458748</t>
  </si>
  <si>
    <t>3.660013809800553</t>
  </si>
  <si>
    <t>-1.6443797523429888</t>
  </si>
  <si>
    <t>-0.7519315220086024</t>
  </si>
  <si>
    <t>0.6289118069247299</t>
  </si>
  <si>
    <t>0.5201471611815401</t>
  </si>
  <si>
    <t>-2.2252039117480162</t>
  </si>
  <si>
    <t>0.28188316297380167</t>
  </si>
  <si>
    <t>4.398381085278612</t>
  </si>
  <si>
    <t>0.6741287870485989</t>
  </si>
  <si>
    <t>1.450149902123597</t>
  </si>
  <si>
    <t>-1.4635819721518735</t>
  </si>
  <si>
    <t>-0.17173785401460104</t>
  </si>
  <si>
    <t>0.8886216050907615</t>
  </si>
  <si>
    <t>-0.5012963919908205</t>
  </si>
  <si>
    <t>0.2700123408024655</t>
  </si>
  <si>
    <t>1.895989350028619</t>
  </si>
  <si>
    <t>3.8021626841975498</t>
  </si>
  <si>
    <t>-1.1728488793340155</t>
  </si>
  <si>
    <t>-0.4828693160034436</t>
  </si>
  <si>
    <t>1.8254062185648707</t>
  </si>
  <si>
    <t>-1.5280448174872665</t>
  </si>
  <si>
    <t>-1.6115240805766768</t>
  </si>
  <si>
    <t>-1.5883782995447855</t>
  </si>
  <si>
    <t>1.4605225573456417</t>
  </si>
  <si>
    <t>0.6920769600205338</t>
  </si>
  <si>
    <t>1.3154461989471904</t>
  </si>
  <si>
    <t>4.92245317477059</t>
  </si>
  <si>
    <t>4.036617043929192</t>
  </si>
  <si>
    <t>1.1215903942427892</t>
  </si>
  <si>
    <t>1.898472584777287</t>
  </si>
  <si>
    <t>-0.9325755096313986</t>
  </si>
  <si>
    <t>0.7103376203360301</t>
  </si>
  <si>
    <t>-2.540032612157095</t>
  </si>
  <si>
    <t>-0.12802424321167113</t>
  </si>
  <si>
    <t>1.1910173234012105</t>
  </si>
  <si>
    <t>-1.1393867074465165</t>
  </si>
  <si>
    <t>0.2316719746532823</t>
  </si>
  <si>
    <t>-1.6647943043189242</t>
  </si>
  <si>
    <t>0.10288073270201148</t>
  </si>
  <si>
    <t>-0.7194689157514018</t>
  </si>
  <si>
    <t>1.4295889861980133</t>
  </si>
  <si>
    <t>-0.15200003461456796</t>
  </si>
  <si>
    <t>-1.7245747282328572</t>
  </si>
  <si>
    <t>0.32124698479083896</t>
  </si>
  <si>
    <t>1.0723474950049372</t>
  </si>
  <si>
    <t>-2.422009208544183</t>
  </si>
  <si>
    <t>-1.318787174534694</t>
  </si>
  <si>
    <t>-2.358916662836837</t>
  </si>
  <si>
    <t>0.5693594699413136</t>
  </si>
  <si>
    <t>-1.253712505157827</t>
  </si>
  <si>
    <t>2.3635172679856105</t>
  </si>
  <si>
    <t>-0.4972713301260894</t>
  </si>
  <si>
    <t>1.5530695431154844</t>
  </si>
  <si>
    <t>-0.8340500144037122</t>
  </si>
  <si>
    <t>-0.6077799760314861</t>
  </si>
  <si>
    <t>-0.871356839758837</t>
  </si>
  <si>
    <t>1.6149362032481156</t>
  </si>
  <si>
    <t>-2.489969928806207</t>
  </si>
  <si>
    <t>-1.59039372249278</t>
  </si>
  <si>
    <t>-0.7891089527997893</t>
  </si>
  <si>
    <t>0.4490929983336248</t>
  </si>
  <si>
    <t>1.0988230798081817</t>
  </si>
  <si>
    <t>0.054838135485507006</t>
  </si>
  <si>
    <t>0.86416305512588</t>
  </si>
  <si>
    <t>-1.2814381988148091</t>
  </si>
  <si>
    <t>2.8170869639737357</t>
  </si>
  <si>
    <t>-0.16976556648414412</t>
  </si>
  <si>
    <t>-1.751998050612507</t>
  </si>
  <si>
    <t>1.4660235304968765</t>
  </si>
  <si>
    <t>-1.2293160681124025</t>
  </si>
  <si>
    <t>1.0669186463314373</t>
  </si>
  <si>
    <t>-0.5757527413450162</t>
  </si>
  <si>
    <t>2.8573391594080872</t>
  </si>
  <si>
    <t>-1.977088328859252</t>
  </si>
  <si>
    <t>-1.5969711475436652</t>
  </si>
  <si>
    <t>-1.77495390298674</t>
  </si>
  <si>
    <t>-0.7260090757871325</t>
  </si>
  <si>
    <t>-2.633286005751163</t>
  </si>
  <si>
    <t>0.32387410064414635</t>
  </si>
  <si>
    <t>-0.3241516391985933</t>
  </si>
  <si>
    <t>2.5425723494734447</t>
  </si>
  <si>
    <t>-0.9307811749423893</t>
  </si>
  <si>
    <t>0.7656720709275564</t>
  </si>
  <si>
    <t>-1.994938220303614</t>
  </si>
  <si>
    <t>-1.5142146788749116</t>
  </si>
  <si>
    <t>0.8071009960528521</t>
  </si>
  <si>
    <t>-0.167083138754518</t>
  </si>
  <si>
    <t>-2.292631721388259</t>
  </si>
  <si>
    <t>-2.1478082039556834</t>
  </si>
  <si>
    <t>0.8504153010771647</t>
  </si>
  <si>
    <t>-0.644203054104094</t>
  </si>
  <si>
    <t>-0.046700862435723536</t>
  </si>
  <si>
    <t>1.325114777051889</t>
  </si>
  <si>
    <t>2.2487056325719346</t>
  </si>
  <si>
    <t>1.4193563841674763</t>
  </si>
  <si>
    <t>-2.273101714215064</t>
  </si>
  <si>
    <t>-1.004693183777761</t>
  </si>
  <si>
    <t>3.0670195246773804</t>
  </si>
  <si>
    <t>1.399786574643878</t>
  </si>
  <si>
    <t>0.2182410734431608</t>
  </si>
  <si>
    <t>-0.03687613693487843</t>
  </si>
  <si>
    <t>-2.376252616706607</t>
  </si>
  <si>
    <t>0.7724142504636569</t>
  </si>
  <si>
    <t>0.24643442095775092</t>
  </si>
  <si>
    <t>2.5530761107213937</t>
  </si>
  <si>
    <t>-4.516400556243448</t>
  </si>
  <si>
    <t>1.01323235137192</t>
  </si>
  <si>
    <t>2.692291727779357</t>
  </si>
  <si>
    <t>-3.271432993885481</t>
  </si>
  <si>
    <t>0.16583649189830646</t>
  </si>
  <si>
    <t>-0.5289388213934316</t>
  </si>
  <si>
    <t>2.6088752289076664</t>
  </si>
  <si>
    <t>-0.561409326062779</t>
  </si>
  <si>
    <t>3.423115122109808</t>
  </si>
  <si>
    <t>0.1088126156113074</t>
  </si>
  <si>
    <t>-1.322409042612479</t>
  </si>
  <si>
    <t>-0.0538672964103932</t>
  </si>
  <si>
    <t>-1.0785792252225042</t>
  </si>
  <si>
    <t>-1.1622019958750833</t>
  </si>
  <si>
    <t>0.05464966240481547</t>
  </si>
  <si>
    <t>-0.9074367100569005</t>
  </si>
  <si>
    <t>-0.11647483330572694</t>
  </si>
  <si>
    <t>-0.1943331647869318</t>
  </si>
  <si>
    <t>-1.9552089981482155</t>
  </si>
  <si>
    <t>-0.018502244896226667</t>
  </si>
  <si>
    <t>-0.20852304123637455</t>
  </si>
  <si>
    <t>-0.8872890776790605</t>
  </si>
  <si>
    <t>-0.34239389359491107</t>
  </si>
  <si>
    <t>0.5344953047461002</t>
  </si>
  <si>
    <t>-0.7025763021181493</t>
  </si>
  <si>
    <t>0.4675223950233064</t>
  </si>
  <si>
    <t>1.9334148913552167</t>
  </si>
  <si>
    <t>-1.541056027438147</t>
  </si>
  <si>
    <t>1.1483384273714041</t>
  </si>
  <si>
    <t>-0.824446776962989</t>
  </si>
  <si>
    <t>2.0105577432286865</t>
  </si>
  <si>
    <t>-0.6107592718697704</t>
  </si>
  <si>
    <t>-0.6946471408456291</t>
  </si>
  <si>
    <t>-0.061860028404419724</t>
  </si>
  <si>
    <t>-3.9934008268620236</t>
  </si>
  <si>
    <t>-3.1221426883409933</t>
  </si>
  <si>
    <t>-0.3845972430831686</t>
  </si>
  <si>
    <t>-1.2605355273671313</t>
  </si>
  <si>
    <t>3.8830718885765876</t>
  </si>
  <si>
    <t>4.51761767658046</t>
  </si>
  <si>
    <t>-2.4812409834251152</t>
  </si>
  <si>
    <t>0.5979997683534304</t>
  </si>
  <si>
    <t>0.2569770146907402</t>
  </si>
  <si>
    <t>0.03230983785611064</t>
  </si>
  <si>
    <t>2.2268316265833272</t>
  </si>
  <si>
    <t>-1.0608650034206797</t>
  </si>
  <si>
    <t>1.8224033349330515</t>
  </si>
  <si>
    <t>0.29981278415025475</t>
  </si>
  <si>
    <t>-0.6041361368132888</t>
  </si>
  <si>
    <t>-0.32648868628748096</t>
  </si>
  <si>
    <t>0.3820774157473635</t>
  </si>
  <si>
    <t>-1.4060837923853564</t>
  </si>
  <si>
    <t>2.0072589712574955</t>
  </si>
  <si>
    <t>0.15702328106846614</t>
  </si>
  <si>
    <t>-1.668646606347084</t>
  </si>
  <si>
    <t>-1.125972488360854</t>
  </si>
  <si>
    <t>-0.6103347867608094</t>
  </si>
  <si>
    <t>-0.617783882422925</t>
  </si>
  <si>
    <t>-1.0740620210367908</t>
  </si>
  <si>
    <t>-0.7772140827490162</t>
  </si>
  <si>
    <t>0.8404623781595976</t>
  </si>
  <si>
    <t>0.6093514646222565</t>
  </si>
  <si>
    <t>3.3704278427992644</t>
  </si>
  <si>
    <t>2.378088144022151</t>
  </si>
  <si>
    <t>-1.36695743695547</t>
  </si>
  <si>
    <t>2.966038267604319</t>
  </si>
  <si>
    <t>-0.3060827387100105</t>
  </si>
  <si>
    <t>-0.6009791796165664</t>
  </si>
  <si>
    <t>2.521033983472714</t>
  </si>
  <si>
    <t>3.0876872326176534</t>
  </si>
  <si>
    <t>1.0971465306364074</t>
  </si>
  <si>
    <t>-0.8465996661530066</t>
  </si>
  <si>
    <t>-0.3647206113475512</t>
  </si>
  <si>
    <t>-0.20547372062185565</t>
  </si>
  <si>
    <t>-1.4088433910175029</t>
  </si>
  <si>
    <t>-1.124116400666883</t>
  </si>
  <si>
    <t>-0.07445584591567245</t>
  </si>
  <si>
    <t>-1.1293114168975666</t>
  </si>
  <si>
    <t>-1.379006252903952</t>
  </si>
  <si>
    <t>2.4864887152093047</t>
  </si>
  <si>
    <t>-0.8562678493599186</t>
  </si>
  <si>
    <t>-2.02199994173168</t>
  </si>
  <si>
    <t>-0.740372615845599</t>
  </si>
  <si>
    <t>0.06533713798951808</t>
  </si>
  <si>
    <t>-1.7678114686879454</t>
  </si>
  <si>
    <t>2.84326994710811</t>
  </si>
  <si>
    <t>0.9749326218012541</t>
  </si>
  <si>
    <t>0.8956821226201733</t>
  </si>
  <si>
    <t>0.6632967761143803</t>
  </si>
  <si>
    <t>-0.846441782596453</t>
  </si>
  <si>
    <t>-2.995389585531821</t>
  </si>
  <si>
    <t>1.010826817783749</t>
  </si>
  <si>
    <t>3.9826504488632084</t>
  </si>
  <si>
    <t>1.4696628396804892</t>
  </si>
  <si>
    <t>-1.810753738402407</t>
  </si>
  <si>
    <t>-1.1912736230197953</t>
  </si>
  <si>
    <t>-0.6054028506107176</t>
  </si>
  <si>
    <t>4.145518667813334</t>
  </si>
  <si>
    <t>1.6333923174286953</t>
  </si>
  <si>
    <t>1.5946101725623403</t>
  </si>
  <si>
    <t>-0.9873391527809668</t>
  </si>
  <si>
    <t>-0.1556961215531801</t>
  </si>
  <si>
    <t>0.3355282237347935</t>
  </si>
  <si>
    <t>-0.0374952748447267</t>
  </si>
  <si>
    <t>-1.5429184446806101</t>
  </si>
  <si>
    <t>0.23523693188669734</t>
  </si>
  <si>
    <t>-0.8637391296267231</t>
  </si>
  <si>
    <t>2.2309880669550193</t>
  </si>
  <si>
    <t>0.16156096858780067</t>
  </si>
  <si>
    <t>-1.3282705590023642</t>
  </si>
  <si>
    <t>-1.7044165309011745</t>
  </si>
  <si>
    <t>0.20609485755656504</t>
  </si>
  <si>
    <t>1.4756440234341865</t>
  </si>
  <si>
    <t>3.527660409542663</t>
  </si>
  <si>
    <t>1.5927634690619195</t>
  </si>
  <si>
    <t>0.9327607371087384</t>
  </si>
  <si>
    <t>1.95512294072947</t>
  </si>
  <si>
    <t>1.2851761515910565</t>
  </si>
  <si>
    <t>1.8641470238743942</t>
  </si>
  <si>
    <t>-1.1872507599417446</t>
  </si>
  <si>
    <t>-0.8892441344076238</t>
  </si>
  <si>
    <t>-2.050513549577463</t>
  </si>
  <si>
    <t>1.9705438411406067</t>
  </si>
  <si>
    <t>0.686146406555048</t>
  </si>
  <si>
    <t>-1.1001426871970368</t>
  </si>
  <si>
    <t>0.5058149646206592</t>
  </si>
  <si>
    <t>-1.817072767328904</t>
  </si>
  <si>
    <t>-0.5476595836036148</t>
  </si>
  <si>
    <t>-0.07577103971630239</t>
  </si>
  <si>
    <t>1.2221508821626819</t>
  </si>
  <si>
    <t>0.6268302590744742</t>
  </si>
  <si>
    <t>-0.017441560075606027</t>
  </si>
  <si>
    <t>0.7476556996784002</t>
  </si>
  <si>
    <t>-2.709703088870446</t>
  </si>
  <si>
    <t>1.698941139635622</t>
  </si>
  <si>
    <t>0.7650497501085385</t>
  </si>
  <si>
    <t>1.1715779360158436</t>
  </si>
  <si>
    <t>-0.5058520355588503</t>
  </si>
  <si>
    <t>-0.8506477337105175</t>
  </si>
  <si>
    <t>-1.9646834615940463</t>
  </si>
  <si>
    <t>1.4257908070950343</t>
  </si>
  <si>
    <t>-0.03635403204029802</t>
  </si>
  <si>
    <t>0.3658405853523425</t>
  </si>
  <si>
    <t>-2.0582525708419808</t>
  </si>
  <si>
    <t>0.2300939919645066</t>
  </si>
  <si>
    <t>3.570725789381493</t>
  </si>
  <si>
    <t>-0.10499861101274272</t>
  </si>
  <si>
    <t>-2.1031855544708646</t>
  </si>
  <si>
    <t>-1.7669445665202481</t>
  </si>
  <si>
    <t>-2.007987435077397</t>
  </si>
  <si>
    <t>1.7534549177542267</t>
  </si>
  <si>
    <t>-1.971002359494097</t>
  </si>
  <si>
    <t>-1.6303506380748947</t>
  </si>
  <si>
    <t>0.46084380863146085</t>
  </si>
  <si>
    <t>-0.3437193821913117</t>
  </si>
  <si>
    <t>-0.3338726785588418</t>
  </si>
  <si>
    <t>0.32601873167373846</t>
  </si>
  <si>
    <t>2.2259728184307153</t>
  </si>
  <si>
    <t>1.0259173801090455</t>
  </si>
  <si>
    <t>2.1837290072755784</t>
  </si>
  <si>
    <t>1.9463866583954033</t>
  </si>
  <si>
    <t>0.832827783681232</t>
  </si>
  <si>
    <t>-1.1037216494581883</t>
  </si>
  <si>
    <t>-0.9033075797414949</t>
  </si>
  <si>
    <t>-2.1260148070022145</t>
  </si>
  <si>
    <t>2.0941145655017026</t>
  </si>
  <si>
    <t>1.290057729541999</t>
  </si>
  <si>
    <t>1.290514463543921</t>
  </si>
  <si>
    <t>2.8123465699198205</t>
  </si>
  <si>
    <t>1.0385119984425164</t>
  </si>
  <si>
    <t>3.1501677749445207</t>
  </si>
  <si>
    <t>-1.215802591506499</t>
  </si>
  <si>
    <t>-2.2149926378282387</t>
  </si>
  <si>
    <t>-1.381761797615729</t>
  </si>
  <si>
    <t>0.45936234321969</t>
  </si>
  <si>
    <t>-2.001665544639742</t>
  </si>
  <si>
    <t>1.02511419148093</t>
  </si>
  <si>
    <t>-2.732368823147103</t>
  </si>
  <si>
    <t>0.3704550540728277</t>
  </si>
  <si>
    <t>0.2056233801151298</t>
  </si>
  <si>
    <t>0.7254271776992699</t>
  </si>
  <si>
    <t>0.6249629109918069</t>
  </si>
  <si>
    <t>0.14554170027521976</t>
  </si>
  <si>
    <t>-0.47136856430630475</t>
  </si>
  <si>
    <t>-0.059859296323035965</t>
  </si>
  <si>
    <t>-0.3348007691852657</t>
  </si>
  <si>
    <t>-0.511752761839639</t>
  </si>
  <si>
    <t>0.3363521255597499</t>
  </si>
  <si>
    <t>-0.46858474198328054</t>
  </si>
  <si>
    <t>-0.3552435326284537</t>
  </si>
  <si>
    <t>-0.038837695950238435</t>
  </si>
  <si>
    <t>-0.36139814118877495</t>
  </si>
  <si>
    <t>-0.4235478967207779</t>
  </si>
  <si>
    <t>0.29064413843068826</t>
  </si>
  <si>
    <t>0.8528720536430989</t>
  </si>
  <si>
    <t>0.4062396219280508</t>
  </si>
  <si>
    <t>-1.2881006217746056</t>
  </si>
  <si>
    <t>0.36272329750623844</t>
  </si>
  <si>
    <t>0.493486228655798</t>
  </si>
  <si>
    <t>-0.09442450764893423</t>
  </si>
  <si>
    <t>0.29759698801465573</t>
  </si>
  <si>
    <t>0.20235604191037151</t>
  </si>
  <si>
    <t>-1.1587345948061465</t>
  </si>
  <si>
    <t>-0.7080823223916781</t>
  </si>
  <si>
    <t>-0.2652651228269749</t>
  </si>
  <si>
    <t>-1.1215401949954438</t>
  </si>
  <si>
    <t>0.373684950749812</t>
  </si>
  <si>
    <t>-0.2263058545768322</t>
  </si>
  <si>
    <t>0.5532835306538255</t>
  </si>
  <si>
    <t>0.1948548260697406</t>
  </si>
  <si>
    <t>1.2153473896360834</t>
  </si>
  <si>
    <t>-0.15034579365980769</t>
  </si>
  <si>
    <t>-0.3776864483353946</t>
  </si>
  <si>
    <t>-0.37619213839050764</t>
  </si>
  <si>
    <t>0.9885092853376475</t>
  </si>
  <si>
    <t>-0.1914841595650666</t>
  </si>
  <si>
    <t>0.7177510015130952</t>
  </si>
  <si>
    <t>0.8086702374913132</t>
  </si>
  <si>
    <t>-0.6849734749844326</t>
  </si>
  <si>
    <t>-0.8716013786088277</t>
  </si>
  <si>
    <t>0.4646843728196846</t>
  </si>
  <si>
    <t>0.4382828248950362</t>
  </si>
  <si>
    <t>1.0760804529917818</t>
  </si>
  <si>
    <t>0.11661281957909864</t>
  </si>
  <si>
    <t>0.5164809730254717</t>
  </si>
  <si>
    <t>0.1419578023244348</t>
  </si>
  <si>
    <t>-0.6110694441105383</t>
  </si>
  <si>
    <t>0.7332542481686469</t>
  </si>
  <si>
    <t>-1.2500894874002593</t>
  </si>
  <si>
    <t>0.3629058525030015</t>
  </si>
  <si>
    <t>0.8198258983161061</t>
  </si>
  <si>
    <t>0.695534055904591</t>
  </si>
  <si>
    <t>-0.32399863461842915</t>
  </si>
  <si>
    <t>0.337561028627176</t>
  </si>
  <si>
    <t>0.5453137510768364</t>
  </si>
  <si>
    <t>-1.1998654626985676</t>
  </si>
  <si>
    <t>-0.7319089698272726</t>
  </si>
  <si>
    <t>1.30435080061751</t>
  </si>
  <si>
    <t>-0.8000546454570031</t>
  </si>
  <si>
    <t>1.0680934476824013</t>
  </si>
  <si>
    <t>-0.1452328643339571</t>
  </si>
  <si>
    <t>-0.5830808432277035</t>
  </si>
  <si>
    <t>0.5343729904474965</t>
  </si>
  <si>
    <t>-1.267577499902898</t>
  </si>
  <si>
    <t>0.4932627676952309</t>
  </si>
  <si>
    <t>-0.06131041459848074</t>
  </si>
  <si>
    <t>-0.10441373674169394</t>
  </si>
  <si>
    <t>0.3546512064339391</t>
  </si>
  <si>
    <t>-0.8527396769522219</t>
  </si>
  <si>
    <t>0.1331102746643806</t>
  </si>
  <si>
    <t>0.7640342097081093</t>
  </si>
  <si>
    <t>1.3148778705974018</t>
  </si>
  <si>
    <t>-1.7022379052001206</t>
  </si>
  <si>
    <t>1.111383288854331</t>
  </si>
  <si>
    <t>0.010349337301631109</t>
  </si>
  <si>
    <t>0.13421672318231068</t>
  </si>
  <si>
    <t>-0.10664946056643305</t>
  </si>
  <si>
    <t>-0.10207240026123637</t>
  </si>
  <si>
    <t>-0.6103037672520438</t>
  </si>
  <si>
    <t>0.17356102890707722</t>
  </si>
  <si>
    <t>-0.510059533333984</t>
  </si>
  <si>
    <t>1.824919194261884</t>
  </si>
  <si>
    <t>-0.7169678611675396</t>
  </si>
  <si>
    <t>-0.6181179680995187</t>
  </si>
  <si>
    <t>1.3650125388650316</t>
  </si>
  <si>
    <t>-1.2195302247627606</t>
  </si>
  <si>
    <t>0.7289868822339074</t>
  </si>
  <si>
    <t>-0.3840299123797953</t>
  </si>
  <si>
    <t>0.3459482248387131</t>
  </si>
  <si>
    <t>0.5312331964415884</t>
  </si>
  <si>
    <t>0.7998012598069826</t>
  </si>
  <si>
    <t>-0.3826000438648595</t>
  </si>
  <si>
    <t>0.3371473702989522</t>
  </si>
  <si>
    <t>-0.0018330845205730632</t>
  </si>
  <si>
    <t>0.5340910910355436</t>
  </si>
  <si>
    <t>0.06748325614911413</t>
  </si>
  <si>
    <t>0.3861297124897601</t>
  </si>
  <si>
    <t>0.5629962366711082</t>
  </si>
  <si>
    <t>0.903791870267863</t>
  </si>
  <si>
    <t>0.763541744231482</t>
  </si>
  <si>
    <t>0.42303201265134993</t>
  </si>
  <si>
    <t>1.857646990549235</t>
  </si>
  <si>
    <t>0.6246391599432934</t>
  </si>
  <si>
    <t>0.5344036857642668</t>
  </si>
  <si>
    <t>-1.8658677420651932</t>
  </si>
  <si>
    <t>0.08843324207856001</t>
  </si>
  <si>
    <t>0.32691798605789807</t>
  </si>
  <si>
    <t>1.418169766742758</t>
  </si>
  <si>
    <t>-1.4864335451170492</t>
  </si>
  <si>
    <t>-0.19181733298891612</t>
  </si>
  <si>
    <t>-0.7056264609191699</t>
  </si>
  <si>
    <t>-0.050583165865400265</t>
  </si>
  <si>
    <t>-0.5701887872897865</t>
  </si>
  <si>
    <t>-0.7995435375933725</t>
  </si>
  <si>
    <t>1.398652379273823</t>
  </si>
  <si>
    <t>-1.2606564935524727</t>
  </si>
  <si>
    <t>-1.2126691485032444</t>
  </si>
  <si>
    <t>-0.3330886499364567</t>
  </si>
  <si>
    <t>1.035846509738607</t>
  </si>
  <si>
    <t>-0.16570180288835695</t>
  </si>
  <si>
    <t>-0.6348021974029087</t>
  </si>
  <si>
    <t>0.8822126772714244</t>
  </si>
  <si>
    <t>-0.09212044547486858</t>
  </si>
  <si>
    <t>-1.3091838975973098</t>
  </si>
  <si>
    <t>-1.889401959654449</t>
  </si>
  <si>
    <t>-0.08161249038816208</t>
  </si>
  <si>
    <t>-0.03433472847544048</t>
  </si>
  <si>
    <t>1.0490117308080988</t>
  </si>
  <si>
    <t>-0.3883694327629742</t>
  </si>
  <si>
    <t>-0.8894294010554605</t>
  </si>
  <si>
    <t>0.2247590166572761</t>
  </si>
  <si>
    <t>1.1112607803631762</t>
  </si>
  <si>
    <t>0.3189836828464235</t>
  </si>
  <si>
    <t>1.4291512987719228</t>
  </si>
  <si>
    <t>0.41775945196073766</t>
  </si>
  <si>
    <t>-0.5075341703179161</t>
  </si>
  <si>
    <t>0.17582169790630983</t>
  </si>
  <si>
    <t>0.3900039356042538</t>
  </si>
  <si>
    <t>0.12595542861105777</t>
  </si>
  <si>
    <t>1.2838577627062733</t>
  </si>
  <si>
    <t>0.5850382545538387</t>
  </si>
  <si>
    <t>1.0794915123587914</t>
  </si>
  <si>
    <t>0.6393415608335703</t>
  </si>
  <si>
    <t>-0.5644099352956355</t>
  </si>
  <si>
    <t>0.40566622640794137</t>
  </si>
  <si>
    <t>-2.969135743223328</t>
  </si>
  <si>
    <t>-1.6065745781383094</t>
  </si>
  <si>
    <t>2.0280428071647916</t>
  </si>
  <si>
    <t>-0.7750846589424275</t>
  </si>
  <si>
    <t>-0.639964465088731</t>
  </si>
  <si>
    <t>1.091043282848368</t>
  </si>
  <si>
    <t>-0.6325227767945991</t>
  </si>
  <si>
    <t>-0.3497177248654449</t>
  </si>
  <si>
    <t>1.2435611688424368</t>
  </si>
  <si>
    <t>-1.8493041514359894</t>
  </si>
  <si>
    <t>-2.068875516483967</t>
  </si>
  <si>
    <t>0.9835649763028366</t>
  </si>
  <si>
    <t>-0.5697694861954855</t>
  </si>
  <si>
    <t>-1.556272906841958</t>
  </si>
  <si>
    <t>0.5396989623460903</t>
  </si>
  <si>
    <t>0.09731493848596127</t>
  </si>
  <si>
    <t>-0.30821281401266276</t>
  </si>
  <si>
    <t>0.8439872423984354</t>
  </si>
  <si>
    <t>0.41838510894709025</t>
  </si>
  <si>
    <t>-0.2993401165316994</t>
  </si>
  <si>
    <t>-0.07671830432959141</t>
  </si>
  <si>
    <t>0.7412003775244658</t>
  </si>
  <si>
    <t>-0.3780517127192225</t>
  </si>
  <si>
    <t>-1.3776012006451175</t>
  </si>
  <si>
    <t>0.000510039709736885</t>
  </si>
  <si>
    <t>-0.22487414504199707</t>
  </si>
  <si>
    <t>0.5045230725755414</t>
  </si>
  <si>
    <t>-0.9466229429439781</t>
  </si>
  <si>
    <t>-0.5581317488040252</t>
  </si>
  <si>
    <t>-0.26381551978379425</t>
  </si>
  <si>
    <t>0.3426636546118183</t>
  </si>
  <si>
    <t>0.49630342145056855</t>
  </si>
  <si>
    <t>-0.5561125742936963</t>
  </si>
  <si>
    <t>0.009748151458861994</t>
  </si>
  <si>
    <t>-0.9581487333975487</t>
  </si>
  <si>
    <t>-0.41498830305909096</t>
  </si>
  <si>
    <t>-0.4399065962398944</t>
  </si>
  <si>
    <t>0.9433282782379884</t>
  </si>
  <si>
    <t>-0.5683563806081225</t>
  </si>
  <si>
    <t>-0.035464367157327224</t>
  </si>
  <si>
    <t>0.8873456244038573</t>
  </si>
  <si>
    <t>-0.754583855596912</t>
  </si>
  <si>
    <t>0.03302368623235364</t>
  </si>
  <si>
    <t>1.2388871041405165</t>
  </si>
  <si>
    <t>0.5610668868601894</t>
  </si>
  <si>
    <t>-0.9074193696220233</t>
  </si>
  <si>
    <t>1.2706220639981651</t>
  </si>
  <si>
    <t>-0.9775297789359325</t>
  </si>
  <si>
    <t>-0.907729595021285</t>
  </si>
  <si>
    <t>-0.29038534036356595</t>
  </si>
  <si>
    <t>0.02284844678462934</t>
  </si>
  <si>
    <t>0.233005083048596</t>
  </si>
  <si>
    <t>-0.8197621018831188</t>
  </si>
  <si>
    <t>-0.27461882827197914</t>
  </si>
  <si>
    <t>0.8508952551230636</t>
  </si>
  <si>
    <t>-0.650645743468914</t>
  </si>
  <si>
    <t>0.646388352475131</t>
  </si>
  <si>
    <t>0.6447685428472728</t>
  </si>
  <si>
    <t>-0.5945365534611103</t>
  </si>
  <si>
    <t>-0.41362167408839595</t>
  </si>
  <si>
    <t>-0.6929075837281081</t>
  </si>
  <si>
    <t>0.7818310803541518</t>
  </si>
  <si>
    <t>-0.14806698828205975</t>
  </si>
  <si>
    <t>-0.34764788752947745</t>
  </si>
  <si>
    <t>1.1500879621626023</t>
  </si>
  <si>
    <t>0.2011733934615821</t>
  </si>
  <si>
    <t>-0.8958937518399188</t>
  </si>
  <si>
    <t>0.10577160688038831</t>
  </si>
  <si>
    <t>0.7010461824147229</t>
  </si>
  <si>
    <t>-0.024065232021453376</t>
  </si>
  <si>
    <t>0.2750078118064412</t>
  </si>
  <si>
    <t>-0.5933434995092143</t>
  </si>
  <si>
    <t>0.750667613572784</t>
  </si>
  <si>
    <t>0.4226461588784548</t>
  </si>
  <si>
    <t>1.0530170042902036</t>
  </si>
  <si>
    <t>0.5476374231883147</t>
  </si>
  <si>
    <t>-0.5505280632197556</t>
  </si>
  <si>
    <t>-0.13647457153253129</t>
  </si>
  <si>
    <t>0.004549206666538347</t>
  </si>
  <si>
    <t>0.7014202171757075</t>
  </si>
  <si>
    <t>-0.6924009023443971</t>
  </si>
  <si>
    <t>-0.49040620213937897</t>
  </si>
  <si>
    <t>1.2758092107544763</t>
  </si>
  <si>
    <t>0.24181530469317516</t>
  </si>
  <si>
    <t>-0.08739845384327612</t>
  </si>
  <si>
    <t>0.2393306542496079</t>
  </si>
  <si>
    <t>-0.2469281434145285</t>
  </si>
  <si>
    <t>1.0537839701504053</t>
  </si>
  <si>
    <t>-0.5387130888331072</t>
  </si>
  <si>
    <t>-0.2114360772516702</t>
  </si>
  <si>
    <t>-0.47080811795764427</t>
  </si>
  <si>
    <t>-0.9612385607033368</t>
  </si>
  <si>
    <t>0.9919606184127977</t>
  </si>
  <si>
    <t>-0.4946794257177645</t>
  </si>
  <si>
    <t>0.09633096698808953</t>
  </si>
  <si>
    <t>0.1270736058781857</t>
  </si>
  <si>
    <t>0.4674529283452536</t>
  </si>
  <si>
    <t>0.40516104381184403</t>
  </si>
  <si>
    <t>-0.7505581685250126</t>
  </si>
  <si>
    <t>0.49004437166153775</t>
  </si>
  <si>
    <t>-0.8128103928894871</t>
  </si>
  <si>
    <t>0.16411290045037702</t>
  </si>
  <si>
    <t>-0.9978670298564755</t>
  </si>
  <si>
    <t>-0.05545837483000063</t>
  </si>
  <si>
    <t>0.17675605902980052</t>
  </si>
  <si>
    <t>0.5461988028015582</t>
  </si>
  <si>
    <t>-0.2992626121479055</t>
  </si>
  <si>
    <t>0.4728196087610487</t>
  </si>
  <si>
    <t>0.6332740528823283</t>
  </si>
  <si>
    <t>-0.11002286354659888</t>
  </si>
  <si>
    <t>0.5988649070822957</t>
  </si>
  <si>
    <t>1.0797188408346063</t>
  </si>
  <si>
    <t>0.7424473774917243</t>
  </si>
  <si>
    <t>0.26285741100398774</t>
  </si>
  <si>
    <t>-0.11888564980811606</t>
  </si>
  <si>
    <t>0.4916956656258991</t>
  </si>
  <si>
    <t>-0.9047104366501716</t>
  </si>
  <si>
    <t>-0.3831992678791686</t>
  </si>
  <si>
    <t>-0.48656244139706967</t>
  </si>
  <si>
    <t>-0.31187687136452674</t>
  </si>
  <si>
    <t>0.23220236681961717</t>
  </si>
  <si>
    <t>0.7744624155871204</t>
  </si>
  <si>
    <t>-0.133689912409784</t>
  </si>
  <si>
    <t>-0.18644256761668768</t>
  </si>
  <si>
    <t>-1.042066530513891</t>
  </si>
  <si>
    <t>-0.20598037408456912</t>
  </si>
  <si>
    <t>0.6155659525485749</t>
  </si>
  <si>
    <t>-0.08730440450698519</t>
  </si>
  <si>
    <t>0.31864865587492924</t>
  </si>
  <si>
    <t>0.3899310957951259</t>
  </si>
  <si>
    <t>-0.5743816741242097</t>
  </si>
  <si>
    <t>-0.1150143499055589</t>
  </si>
  <si>
    <t>0.3980969648010297</t>
  </si>
  <si>
    <t>-0.828682699632169</t>
  </si>
  <si>
    <t>1.1373548944867042</t>
  </si>
  <si>
    <t>0.0547861985782357</t>
  </si>
  <si>
    <t>-0.20849159515902185</t>
  </si>
  <si>
    <t>0.09889083180524011</t>
  </si>
  <si>
    <t>-0.20999478986121725</t>
  </si>
  <si>
    <t>-0.06254598144139364</t>
  </si>
  <si>
    <t>-0.4602207222192965</t>
  </si>
  <si>
    <t>-0.282714063441279</t>
  </si>
  <si>
    <t>0.3078930068555572</t>
  </si>
  <si>
    <t>0.5816213009503284</t>
  </si>
  <si>
    <t>-0.531227308316279</t>
  </si>
  <si>
    <t>-0.7497756156399068</t>
  </si>
  <si>
    <t>0.6279711231593366</t>
  </si>
  <si>
    <t>-0.17705549727862477</t>
  </si>
  <si>
    <t>0.26581994173712287</t>
  </si>
  <si>
    <t>-0.17995561034064136</t>
  </si>
  <si>
    <t>-0.5745697751126128</t>
  </si>
  <si>
    <t>-0.37324427416267786</t>
  </si>
  <si>
    <t>0.018416262116983724</t>
  </si>
  <si>
    <t>0.09875282768827193</t>
  </si>
  <si>
    <t>-0.5630043872489586</t>
  </si>
  <si>
    <t>-0.10185241534652902</t>
  </si>
  <si>
    <t>0.30606465165701197</t>
  </si>
  <si>
    <t>0.011648261054322491</t>
  </si>
  <si>
    <t>0.5737476883027589</t>
  </si>
  <si>
    <t>0.10436517148129827</t>
  </si>
  <si>
    <t>-0.23881135980607926</t>
  </si>
  <si>
    <t>-0.10439331821615508</t>
  </si>
  <si>
    <t>0.266777976399681</t>
  </si>
  <si>
    <t>0.22010633549754782</t>
  </si>
  <si>
    <t>-0.2879872134451948</t>
  </si>
  <si>
    <t>0.11353274314066035</t>
  </si>
  <si>
    <t>-0.1690711199423819</t>
  </si>
  <si>
    <t>-0.1449069460501041</t>
  </si>
  <si>
    <t>0.8500440631404561</t>
  </si>
  <si>
    <t>0.47650745688596824</t>
  </si>
  <si>
    <t>-1.4151946423716069</t>
  </si>
  <si>
    <t>-0.2726366612961854</t>
  </si>
  <si>
    <t>0.09005070687790212</t>
  </si>
  <si>
    <t>0.12166421902023365</t>
  </si>
  <si>
    <t>0.6770601282282263</t>
  </si>
  <si>
    <t>0.07567743537656925</t>
  </si>
  <si>
    <t>-0.03196424987875442</t>
  </si>
  <si>
    <t>-0.5800962247011164</t>
  </si>
  <si>
    <t>0.6218017243506118</t>
  </si>
  <si>
    <t>-0.1443460588899514</t>
  </si>
  <si>
    <t>0.7121926447845386</t>
  </si>
  <si>
    <t>-0.40702906658018545</t>
  </si>
  <si>
    <t>0.16806061334826464</t>
  </si>
  <si>
    <t>-0.2361422321405181</t>
  </si>
  <si>
    <t>0.018666943709891057</t>
  </si>
  <si>
    <t>0.10377188031706336</t>
  </si>
  <si>
    <t>-0.25817971441446574</t>
  </si>
  <si>
    <t>0.6664778375037752</t>
  </si>
  <si>
    <t>0.2542437797760262</t>
  </si>
  <si>
    <t>0.06958176422385659</t>
  </si>
  <si>
    <t>0.04083761625727824</t>
  </si>
  <si>
    <t>-0.24770222300747766</t>
  </si>
  <si>
    <t>-0.4078713801159084</t>
  </si>
  <si>
    <t>-0.11930856749224086</t>
  </si>
  <si>
    <t>-0.11680577105490933</t>
  </si>
  <si>
    <t>0.4920507352583452</t>
  </si>
  <si>
    <t>0.3558044433167212</t>
  </si>
  <si>
    <t>0.01551227302295464</t>
  </si>
  <si>
    <t>0.9842420715380003</t>
  </si>
  <si>
    <t>-0.7528295965928754</t>
  </si>
  <si>
    <t>0.43872325048223076</t>
  </si>
  <si>
    <t>-0.19437260215420646</t>
  </si>
  <si>
    <t>-0.775953784531156</t>
  </si>
  <si>
    <t>0.2676843963155077</t>
  </si>
  <si>
    <t>0.32330059574056524</t>
  </si>
  <si>
    <t>0.2875682145416253</t>
  </si>
  <si>
    <t>0.39530782811585996</t>
  </si>
  <si>
    <t>-0.32889935907120266</t>
  </si>
  <si>
    <t>-0.18109387473461952</t>
  </si>
  <si>
    <t>0.4252353345771559</t>
  </si>
  <si>
    <t>-0.3483291090848437</t>
  </si>
  <si>
    <t>0.08997721011057096</t>
  </si>
  <si>
    <t>0.6111653387666122</t>
  </si>
  <si>
    <t>0.3142783109448011</t>
  </si>
  <si>
    <t>-0.6835739990033205</t>
  </si>
  <si>
    <t>-0.6584062087136137</t>
  </si>
  <si>
    <t>0.2700037116657562</t>
  </si>
  <si>
    <t>-0.7380367910689617</t>
  </si>
  <si>
    <t>-0.4670288521744319</t>
  </si>
  <si>
    <t>0.034911210507318144</t>
  </si>
  <si>
    <t>-0.26497893098431435</t>
  </si>
  <si>
    <t>0.43573797065116887</t>
  </si>
  <si>
    <t>-1.3635405423409312</t>
  </si>
  <si>
    <t>1.3010793840499846</t>
  </si>
  <si>
    <t>0.221071088675078</t>
  </si>
  <si>
    <t>0.16857074819415924</t>
  </si>
  <si>
    <t>0.7142472411027311</t>
  </si>
  <si>
    <t>-1.2774458302557068</t>
  </si>
  <si>
    <t>-0.5827963624530932</t>
  </si>
  <si>
    <t>0.7843633650746004</t>
  </si>
  <si>
    <t>-0.2483509930598148</t>
  </si>
  <si>
    <t>-0.9982395030728097</t>
  </si>
  <si>
    <t>0.13075422413635449</t>
  </si>
  <si>
    <t>0.012885213742463462</t>
  </si>
  <si>
    <t>0.12627103292318573</t>
  </si>
  <si>
    <t>-0.9020362833274098</t>
  </si>
  <si>
    <t>0.711676843820014</t>
  </si>
  <si>
    <t>0.743561391649448</t>
  </si>
  <si>
    <t>0.5626696005105146</t>
  </si>
  <si>
    <t>0.13133503761182697</t>
  </si>
  <si>
    <t>-0.49452923851554276</t>
  </si>
  <si>
    <t>-0.708578213188069</t>
  </si>
  <si>
    <t>-0.02905101048763009</t>
  </si>
  <si>
    <t>0.6409973040136804</t>
  </si>
  <si>
    <t>0.2318757715778638</t>
  </si>
  <si>
    <t>-0.3657003956971907</t>
  </si>
  <si>
    <t>1.5218069694019856</t>
  </si>
  <si>
    <t>0.05434943657078356</t>
  </si>
  <si>
    <t>0.6349401973646385</t>
  </si>
  <si>
    <t>1.2465581417084024</t>
  </si>
  <si>
    <t>-0.40601727295015766</t>
  </si>
  <si>
    <t>-0.3385302875716495</t>
  </si>
  <si>
    <t>-0.681792404358699</t>
  </si>
  <si>
    <t>1.2311808525509038</t>
  </si>
  <si>
    <t>-0.21054256784440314</t>
  </si>
  <si>
    <t>0.2654206406137764</t>
  </si>
  <si>
    <t>0.12732761101081536</t>
  </si>
  <si>
    <t>-0.7819208449168861</t>
  </si>
  <si>
    <t>-0.9594715839834769</t>
  </si>
  <si>
    <t>0.8263700882747236</t>
  </si>
  <si>
    <t>-0.6582863099715297</t>
  </si>
  <si>
    <t>1.050309178358459</t>
  </si>
  <si>
    <t>-0.15280205297181718</t>
  </si>
  <si>
    <t>-0.8920152516438181</t>
  </si>
  <si>
    <t>0.398257028925824</t>
  </si>
  <si>
    <t>-0.5254271127211646</t>
  </si>
  <si>
    <t>0.8815967023340405</t>
  </si>
  <si>
    <t>0.16248626928433854</t>
  </si>
  <si>
    <t>-0.01699456511266098</t>
  </si>
  <si>
    <t>-0.6489017129492799</t>
  </si>
  <si>
    <t>-0.10784040726218339</t>
  </si>
  <si>
    <t>-0.49068969039867116</t>
  </si>
  <si>
    <t>-0.4064769469421671</t>
  </si>
  <si>
    <t>0.5599857832888966</t>
  </si>
  <si>
    <t>-0.5678658141843987</t>
  </si>
  <si>
    <t>-0.8162297013667502</t>
  </si>
  <si>
    <t>-0.06295508930722689</t>
  </si>
  <si>
    <t>-0.43820860021225205</t>
  </si>
  <si>
    <t>-0.43798560110956875</t>
  </si>
  <si>
    <t>0.39981196896919796</t>
  </si>
  <si>
    <t>-0.2427968225285777</t>
  </si>
  <si>
    <t>0.6370614421083213</t>
  </si>
  <si>
    <t>0.9932159609150178</t>
  </si>
  <si>
    <t>-0.8191207237007496</t>
  </si>
  <si>
    <t>-0.29102463355286406</t>
  </si>
  <si>
    <t>1.1027517001155467</t>
  </si>
  <si>
    <t>-0.6074723847133056</t>
  </si>
  <si>
    <t>0.95324644241501</t>
  </si>
  <si>
    <t>-0.29249900439444826</t>
  </si>
  <si>
    <t>-0.07912183422893106</t>
  </si>
  <si>
    <t>-0.54391019131723</t>
  </si>
  <si>
    <t>-0.02767333891316876</t>
  </si>
  <si>
    <t>-0.9765193881484183</t>
  </si>
  <si>
    <t>0.12694479751026871</t>
  </si>
  <si>
    <t>-0.04240254302622894</t>
  </si>
  <si>
    <t>0.5653326017060855</t>
  </si>
  <si>
    <t>0.37685469650473297</t>
  </si>
  <si>
    <t>0.2274368257407411</t>
  </si>
  <si>
    <t>0.08542095682413653</t>
  </si>
  <si>
    <t>-0.7150339902564915</t>
  </si>
  <si>
    <t>-0.35388212937259544</t>
  </si>
  <si>
    <t>-0.6811312653953682</t>
  </si>
  <si>
    <t>0.7435330517695271</t>
  </si>
  <si>
    <t>-0.7340779212049252</t>
  </si>
  <si>
    <t>0.2021049142926379</t>
  </si>
  <si>
    <t>0.3438608016653003</t>
  </si>
  <si>
    <t>0.2553631622210881</t>
  </si>
  <si>
    <t>-0.3212451749183503</t>
  </si>
  <si>
    <t>0.3603920728264057</t>
  </si>
  <si>
    <t>0.10013521259914894</t>
  </si>
  <si>
    <t>0.13735554036747927</t>
  </si>
  <si>
    <t>0.23538576779776427</t>
  </si>
  <si>
    <t>0.19747000893452357</t>
  </si>
  <si>
    <t>0.303081980021013</t>
  </si>
  <si>
    <t>-0.23263130337103366</t>
  </si>
  <si>
    <t>-0.8258953089418225</t>
  </si>
  <si>
    <t>-0.03879631532547191</t>
  </si>
  <si>
    <t>0.4340299468225</t>
  </si>
  <si>
    <t>-0.20332679139657772</t>
  </si>
  <si>
    <t>0.41427409488449346</t>
  </si>
  <si>
    <t>-0.0806124413014698</t>
  </si>
  <si>
    <t>0.03774531552582342</t>
  </si>
  <si>
    <t>0.24021684532550802</t>
  </si>
  <si>
    <t>-0.21060453443466098</t>
  </si>
  <si>
    <t>-0.5161283708048281</t>
  </si>
  <si>
    <t>0.727686571472995</t>
  </si>
  <si>
    <t>-0.1472457389015715</t>
  </si>
  <si>
    <t>-0.6426105223606626</t>
  </si>
  <si>
    <t>0.27766707622772696</t>
  </si>
  <si>
    <t>-0.49823958867359625</t>
  </si>
  <si>
    <t>0.2985716787933212</t>
  </si>
  <si>
    <t>-0.3335806952074005</t>
  </si>
  <si>
    <t>0.192863622600365</t>
  </si>
  <si>
    <t>-0.10519586178081722</t>
  </si>
  <si>
    <t>-0.2544080128162528</t>
  </si>
  <si>
    <t>-0.6644805115733645</t>
  </si>
  <si>
    <t>-0.6957022150212884</t>
  </si>
  <si>
    <t>0.6814142642274192</t>
  </si>
  <si>
    <t>-0.5812145537122639</t>
  </si>
  <si>
    <t>-0.06296280155257762</t>
  </si>
  <si>
    <t>0.36509491146769696</t>
  </si>
  <si>
    <t>-0.15871281081348357</t>
  </si>
  <si>
    <t>-0.6657628492048827</t>
  </si>
  <si>
    <t>-0.17705686738971604</t>
  </si>
  <si>
    <t>-0.08371109249263343</t>
  </si>
  <si>
    <t>-0.07946273930548231</t>
  </si>
  <si>
    <t>-0.14545820626391143</t>
  </si>
  <si>
    <t>-0.2911498376921852</t>
  </si>
  <si>
    <t>-0.3294502353413571</t>
  </si>
  <si>
    <t>0.5200567383773452</t>
  </si>
  <si>
    <t>-0.28585961831490186</t>
  </si>
  <si>
    <t>-0.4001531276646542</t>
  </si>
  <si>
    <t>-0.4019647646128609</t>
  </si>
  <si>
    <t>0.16023690069572666</t>
  </si>
  <si>
    <t>-0.10209457286059208</t>
  </si>
  <si>
    <t>-0.235109454787957</t>
  </si>
  <si>
    <t>0.007793633485788526</t>
  </si>
  <si>
    <t>-1.300314663180114</t>
  </si>
  <si>
    <t>0.32565306673386085</t>
  </si>
  <si>
    <t>1.0028735274549507</t>
  </si>
  <si>
    <t>0.23032750550844366</t>
  </si>
  <si>
    <t>-0.650600433630725</t>
  </si>
  <si>
    <t>0.537281954824324</t>
  </si>
  <si>
    <t>-0.1902783782391909</t>
  </si>
  <si>
    <t>-0.9158633412961994</t>
  </si>
  <si>
    <t>0.2932718268541296</t>
  </si>
  <si>
    <t>-0.5349863791932646</t>
  </si>
  <si>
    <t>0.19750424919535609</t>
  </si>
  <si>
    <t>0.3653337562379863</t>
  </si>
  <si>
    <t>-0.5219758611233275</t>
  </si>
  <si>
    <t>-0.4240474449020037</t>
  </si>
  <si>
    <t>0.6515960598813824</t>
  </si>
  <si>
    <t>-0.6504515818791974</t>
  </si>
  <si>
    <t>-0.19732425261630157</t>
  </si>
  <si>
    <t>-0.6961987588969437</t>
  </si>
  <si>
    <t>-0.1342353835438847</t>
  </si>
  <si>
    <t>-0.23517656388275468</t>
  </si>
  <si>
    <t>0.47540595030587024</t>
  </si>
  <si>
    <t>-0.7024711017238083</t>
  </si>
  <si>
    <t>-0.3395731100258525</t>
  </si>
  <si>
    <t>-0.06093378530998424</t>
  </si>
  <si>
    <t>-0.9277462969561774</t>
  </si>
  <si>
    <t>0.24795954293353725</t>
  </si>
  <si>
    <t>-0.46409289727339315</t>
  </si>
  <si>
    <t>0.6244083990330853</t>
  </si>
  <si>
    <t>-1.2147421803156453</t>
  </si>
  <si>
    <t>-0.5140265275592103</t>
  </si>
  <si>
    <t>0.19657557808579607</t>
  </si>
  <si>
    <t>-0.324694248066024</t>
  </si>
  <si>
    <t>-0.29134324519970295</t>
  </si>
  <si>
    <t>-0.1996666561451081</t>
  </si>
  <si>
    <t>0.9330974122022776</t>
  </si>
  <si>
    <t>-0.1419339235135069</t>
  </si>
  <si>
    <t>-0.09286486903789919</t>
  </si>
  <si>
    <t>0.8399828463991476</t>
  </si>
  <si>
    <t>0.7102107137856862</t>
  </si>
  <si>
    <t>-1.2899324426293632</t>
  </si>
  <si>
    <t>-1.4616494914998681</t>
  </si>
  <si>
    <t>-1.153338662633279</t>
  </si>
  <si>
    <t>-0.6048512364384967</t>
  </si>
  <si>
    <t>0.5639809317588095</t>
  </si>
  <si>
    <t>0.27904412073271817</t>
  </si>
  <si>
    <t>0.6696644476851948</t>
  </si>
  <si>
    <t>1.2970507969862564</t>
  </si>
  <si>
    <t>-0.5723829744194099</t>
  </si>
  <si>
    <t>0.05190090293028557</t>
  </si>
  <si>
    <t>-0.2754725022379374</t>
  </si>
  <si>
    <t>-0.7293640771906557</t>
  </si>
  <si>
    <t>-0.9061934034861797</t>
  </si>
  <si>
    <t>-0.3514584448238192</t>
  </si>
  <si>
    <t>0.056386012415589014</t>
  </si>
  <si>
    <t>0.43168019947197883</t>
  </si>
  <si>
    <t>0.9154965117789521</t>
  </si>
  <si>
    <t>1.777253240381639</t>
  </si>
  <si>
    <t>0.4014476900727254</t>
  </si>
  <si>
    <t>-0.8070448828315261</t>
  </si>
  <si>
    <t>0.35196195565740984</t>
  </si>
  <si>
    <t>-0.4939642712500982</t>
  </si>
  <si>
    <t>-0.04598031463182499</t>
  </si>
  <si>
    <t>-0.8380202066172593</t>
  </si>
  <si>
    <t>0.9005520475491581</t>
  </si>
  <si>
    <t>0.5117750987194466</t>
  </si>
  <si>
    <t>-0.38256669097362067</t>
  </si>
  <si>
    <t>0.6796442624650061</t>
  </si>
  <si>
    <t>1.3239969859964147</t>
  </si>
  <si>
    <t>-1.527957685376382</t>
  </si>
  <si>
    <t>-0.5265421229296189</t>
  </si>
  <si>
    <t>0.0445924347083136</t>
  </si>
  <si>
    <t>0.44115733622767245</t>
  </si>
  <si>
    <t>-0.04544045498613494</t>
  </si>
  <si>
    <t>0.22523759677883046</t>
  </si>
  <si>
    <t>-1.230522232227412</t>
  </si>
  <si>
    <t>0.12270792651096538</t>
  </si>
  <si>
    <t>-0.24129874245395147</t>
  </si>
  <si>
    <t>0.01861947985295034</t>
  </si>
  <si>
    <t>-0.6463167858166139</t>
  </si>
  <si>
    <t>-0.5256313402178318</t>
  </si>
  <si>
    <t>-0.14260369593166974</t>
  </si>
  <si>
    <t>-1.1363168952252176</t>
  </si>
  <si>
    <t>-0.00972582948325884</t>
  </si>
  <si>
    <t>-0.8164557813991619</t>
  </si>
  <si>
    <t>0.5015217257481048</t>
  </si>
  <si>
    <t>0.05270745087582973</t>
  </si>
  <si>
    <t>-0.6131496735851296</t>
  </si>
  <si>
    <t>-0.23014999811846365</t>
  </si>
  <si>
    <t>1.9618079097095007</t>
  </si>
  <si>
    <t>0.6491521042956692</t>
  </si>
  <si>
    <t>0.20264359445342506</t>
  </si>
  <si>
    <t>-0.17099480209665915</t>
  </si>
  <si>
    <t>0.8897021651665775</t>
  </si>
  <si>
    <t>-0.6090343487251298</t>
  </si>
  <si>
    <t>-1.342384522216842</t>
  </si>
  <si>
    <t>-0.7005590186580862</t>
  </si>
  <si>
    <t>0.7027826001074394</t>
  </si>
  <si>
    <t>-1.3282140701139353</t>
  </si>
  <si>
    <t>-0.17131748130220287</t>
  </si>
  <si>
    <t>-0.015721773709825464</t>
  </si>
  <si>
    <t>-0.5483533343392916</t>
  </si>
  <si>
    <t>-0.060726888119026816</t>
  </si>
  <si>
    <t>-1.4486650552812168</t>
  </si>
  <si>
    <t>2.0685477237646492</t>
  </si>
  <si>
    <t>0.6471850090803709</t>
  </si>
  <si>
    <t>-1.0788599732366326</t>
  </si>
  <si>
    <t>0.347449675738657</t>
  </si>
  <si>
    <t>0.36773247579490315</t>
  </si>
  <si>
    <t>-0.14757907071780343</t>
  </si>
  <si>
    <t>0.1788272078499962</t>
  </si>
  <si>
    <t>-0.1802678156545171</t>
  </si>
  <si>
    <t>0.4169774073442572</t>
  </si>
  <si>
    <t>0.24824229351217303</t>
  </si>
  <si>
    <t>0.0313462476001553</t>
  </si>
  <si>
    <t>0.28005567594254854</t>
  </si>
  <si>
    <t>-0.8010758739928329</t>
  </si>
  <si>
    <t>0.32251407571831897</t>
  </si>
  <si>
    <t>0.00961250546046752</t>
  </si>
  <si>
    <t>-0.7041316452243054</t>
  </si>
  <si>
    <t>1.1376928678994622</t>
  </si>
  <si>
    <t>0.29042378036694455</t>
  </si>
  <si>
    <t>-0.1178967011956911</t>
  </si>
  <si>
    <t>-0.14681773945599116</t>
  </si>
  <si>
    <t>-0.48373698083850897</t>
  </si>
  <si>
    <t>-0.347375871572589</t>
  </si>
  <si>
    <t>-0.18567809101674432</t>
  </si>
  <si>
    <t>-0.5366645866350013</t>
  </si>
  <si>
    <t>-0.17805610216105558</t>
  </si>
  <si>
    <t>0.3400046700523965</t>
  </si>
  <si>
    <t>-0.12007514216283886</t>
  </si>
  <si>
    <t>-0.450884996244262</t>
  </si>
  <si>
    <t>-0.7738814040278718</t>
  </si>
  <si>
    <t>-0.12455852976561321</t>
  </si>
  <si>
    <t>1.6838623156852233</t>
  </si>
  <si>
    <t>0.36788549463005793</t>
  </si>
  <si>
    <t>0.4285739084949657</t>
  </si>
  <si>
    <t>-0.5563887201682485</t>
  </si>
  <si>
    <t>0.0947661525528189</t>
  </si>
  <si>
    <t>0.7082371210458417</t>
  </si>
  <si>
    <t>0.1901541836640381</t>
  </si>
  <si>
    <t>-0.3753488874385547</t>
  </si>
  <si>
    <t>0.31718590020711074</t>
  </si>
  <si>
    <t>0.49177865123163084</t>
  </si>
  <si>
    <t>1.51927482721285</t>
  </si>
  <si>
    <t>-0.3952962711403727</t>
  </si>
  <si>
    <t>-0.4245715988426778</t>
  </si>
  <si>
    <t>-0.42519743652613395</t>
  </si>
  <si>
    <t>-0.43897565778820735</t>
  </si>
  <si>
    <t>-0.8510095823121546</t>
  </si>
  <si>
    <t>0.46823859784307253</t>
  </si>
  <si>
    <t>-0.5845694903320054</t>
  </si>
  <si>
    <t>0.289991475510096</t>
  </si>
  <si>
    <t>-0.3270354053992673</t>
  </si>
  <si>
    <t>-0.9643124695499844</t>
  </si>
  <si>
    <t>0.36261040105473774</t>
  </si>
  <si>
    <t>0.4102103217268827</t>
  </si>
  <si>
    <t>-0.57331901919987</t>
  </si>
  <si>
    <t>-0.48364315113272316</t>
  </si>
  <si>
    <t>0.16765418115832328</t>
  </si>
  <si>
    <t>-0.02733796075903117</t>
  </si>
  <si>
    <t>-0.8734403541679188</t>
  </si>
  <si>
    <t>0.5931375548740645</t>
  </si>
  <si>
    <t>-0.39735036254200934</t>
  </si>
  <si>
    <t>-0.17248628400358876</t>
  </si>
  <si>
    <t>-0.08137127255761102</t>
  </si>
  <si>
    <t>0.11555614982397028</t>
  </si>
  <si>
    <t>0.16066214354050123</t>
  </si>
  <si>
    <t>0.17966940005605123</t>
  </si>
  <si>
    <t>-0.15405111240263838</t>
  </si>
  <si>
    <t>-0.7467946656319457</t>
  </si>
  <si>
    <t>-0.18696700438731095</t>
  </si>
  <si>
    <t>0.3291854541703473</t>
  </si>
  <si>
    <t>-0.18164484592198607</t>
  </si>
  <si>
    <t>1.7889193378162818</t>
  </si>
  <si>
    <t>-0.046164982866360865</t>
  </si>
  <si>
    <t>1.0200373621383916</t>
  </si>
  <si>
    <t>-0.3247808304098532</t>
  </si>
  <si>
    <t>-1.2441224994904971</t>
  </si>
  <si>
    <t>0.4506802138312267</t>
  </si>
  <si>
    <t>-0.29984730859283293</t>
  </si>
  <si>
    <t>-0.2160991906748185</t>
  </si>
  <si>
    <t>-1.2930624188745057</t>
  </si>
  <si>
    <t>-0.554429213765069</t>
  </si>
  <si>
    <t>-0.6720460808760542</t>
  </si>
  <si>
    <t>-0.8250391842420155</t>
  </si>
  <si>
    <t>-0.4171913072095518</t>
  </si>
  <si>
    <t>0.983834383798487</t>
  </si>
  <si>
    <t>-0.27254290450922247</t>
  </si>
  <si>
    <t>1.845356039474096</t>
  </si>
  <si>
    <t>-0.357621295920299</t>
  </si>
  <si>
    <t>-0.6741679062613853</t>
  </si>
  <si>
    <t>0.024063255875545815</t>
  </si>
  <si>
    <t>0.8207166299527449</t>
  </si>
  <si>
    <t>0.8683078165238685</t>
  </si>
  <si>
    <t>0.4026124702204515</t>
  </si>
  <si>
    <t>-0.5346261952124133</t>
  </si>
  <si>
    <t>-0.370873458246559</t>
  </si>
  <si>
    <t>-0.5004334296807167</t>
  </si>
  <si>
    <t>0.5716470375600303</t>
  </si>
  <si>
    <t>-0.0008908136292151603</t>
  </si>
  <si>
    <t>-0.19259884606442926</t>
  </si>
  <si>
    <t>1.0719418279224173</t>
  </si>
  <si>
    <t>0.08023228761581384</t>
  </si>
  <si>
    <t>-0.23541568452279676</t>
  </si>
  <si>
    <t>0.7775076149166431</t>
  </si>
  <si>
    <t>-0.2715506155244927</t>
  </si>
  <si>
    <t>0.31043752687182574</t>
  </si>
  <si>
    <t>-0.5684819403546154</t>
  </si>
  <si>
    <t>-0.816915715563078</t>
  </si>
  <si>
    <t>-0.31508532196317285</t>
  </si>
  <si>
    <t>0.017051124743463982</t>
  </si>
  <si>
    <t>-0.26806018377573804</t>
  </si>
  <si>
    <t>-0.345377540766997</t>
  </si>
  <si>
    <t>0.40193787147197646</t>
  </si>
  <si>
    <t>0.4183369016328292</t>
  </si>
  <si>
    <t>-1.01933888577305</t>
  </si>
  <si>
    <t>-0.3819407488006573</t>
  </si>
  <si>
    <t>0.23367562161858793</t>
  </si>
  <si>
    <t>0.21207294771787322</t>
  </si>
  <si>
    <t>0.518645524512513</t>
  </si>
  <si>
    <t>0.5768732525599515</t>
  </si>
  <si>
    <t>-0.08588015171311048</t>
  </si>
  <si>
    <t>0.20242803309477914</t>
  </si>
  <si>
    <t>-0.5047392183603563</t>
  </si>
  <si>
    <t>0.32007940206958263</t>
  </si>
  <si>
    <t>-0.892885051499186</t>
  </si>
  <si>
    <t>0.17025508773048045</t>
  </si>
  <si>
    <t>1.085253428740843</t>
  </si>
  <si>
    <t>1.4140824598124244</t>
  </si>
  <si>
    <t>0.5072404537904239</t>
  </si>
  <si>
    <t>-0.5029613940246023</t>
  </si>
  <si>
    <t>0.9477304119577603</t>
  </si>
  <si>
    <t>1.0458186562210892</t>
  </si>
  <si>
    <t>-1.1343758730283302</t>
  </si>
  <si>
    <t>-0.8254740832382903</t>
  </si>
  <si>
    <t>-0.28317782038443884</t>
  </si>
  <si>
    <t>-0.3302907225594903</t>
  </si>
  <si>
    <t>0.5433119156192984</t>
  </si>
  <si>
    <t>-0.6196404569315356</t>
  </si>
  <si>
    <t>-0.07082881636958702</t>
  </si>
  <si>
    <t>-0.43967953551667366</t>
  </si>
  <si>
    <t>-0.0600575795551432</t>
  </si>
  <si>
    <t>0.9879920480112456</t>
  </si>
  <si>
    <t>-0.9385182373356028</t>
  </si>
  <si>
    <t>-0.05985346231271515</t>
  </si>
  <si>
    <t>-0.042008423217489425</t>
  </si>
  <si>
    <t>0.1780032317487946</t>
  </si>
  <si>
    <t>-0.346679305525438</t>
  </si>
  <si>
    <t>-0.3296665142317037</t>
  </si>
  <si>
    <t>0.3270620055621983</t>
  </si>
  <si>
    <t>-0.4330390156527156</t>
  </si>
  <si>
    <t>-0.4357273237086057</t>
  </si>
  <si>
    <t>-0.5409926790802012</t>
  </si>
  <si>
    <t>-0.5528009094312423</t>
  </si>
  <si>
    <t>-0.15041734562560855</t>
  </si>
  <si>
    <t>0.41628301773816334</t>
  </si>
  <si>
    <t>0.695171619732034</t>
  </si>
  <si>
    <t>0.8877252320095543</t>
  </si>
  <si>
    <t>0.0293005346342844</t>
  </si>
  <si>
    <t>0.9313689655550538</t>
  </si>
  <si>
    <t>-1.0633982705331535</t>
  </si>
  <si>
    <t>-0.3317085804025096</t>
  </si>
  <si>
    <t>0.5274916943288588</t>
  </si>
  <si>
    <t>-0.9661002913067356</t>
  </si>
  <si>
    <t>0.9237034916306202</t>
  </si>
  <si>
    <t>0.602132179362162</t>
  </si>
  <si>
    <t>0.3175263503295426</t>
  </si>
  <si>
    <t>-0.39282666931551435</t>
  </si>
  <si>
    <t>0.03425652930411879</t>
  </si>
  <si>
    <t>-0.552938330797814</t>
  </si>
  <si>
    <t>0.6524286176843545</t>
  </si>
  <si>
    <t>0.3770586966826148</t>
  </si>
  <si>
    <t>-0.18101960967368325</t>
  </si>
  <si>
    <t>-1.1387927549951609</t>
  </si>
  <si>
    <t>-0.393620899244926</t>
  </si>
  <si>
    <t>-0.7060902021895663</t>
  </si>
  <si>
    <t>0.994730301645374</t>
  </si>
  <si>
    <t>-0.7326698496903502</t>
  </si>
  <si>
    <t>0.07915146965088868</t>
  </si>
  <si>
    <t>-0.7782725599777025</t>
  </si>
  <si>
    <t>-0.27743976049496166</t>
  </si>
  <si>
    <t>1.1870576477426766</t>
  </si>
  <si>
    <t>0.7990635418140747</t>
  </si>
  <si>
    <t>0.14394364274811863</t>
  </si>
  <si>
    <t>0.10656105752648305</t>
  </si>
  <si>
    <t>0.32952693002079003</t>
  </si>
  <si>
    <t>0.183027021326763</t>
  </si>
  <si>
    <t>-0.33657239342423406</t>
  </si>
  <si>
    <t>-0.45002012042594397</t>
  </si>
  <si>
    <t>0.338204114107169</t>
  </si>
  <si>
    <t>-0.047324858695020636</t>
  </si>
  <si>
    <t>0.4177187978911772</t>
  </si>
  <si>
    <t>1.0220421553051129</t>
  </si>
  <si>
    <t>-0.23652945678487997</t>
  </si>
  <si>
    <t>0.04776926880609874</t>
  </si>
  <si>
    <t>0.5799766468871779</t>
  </si>
  <si>
    <t>0.8010912202836963</t>
  </si>
  <si>
    <t>-0.12191508202569877</t>
  </si>
  <si>
    <t>1.5330968468944548</t>
  </si>
  <si>
    <t>0.45915035308560104</t>
  </si>
  <si>
    <t>-1.1979470370746148</t>
  </si>
  <si>
    <t>-0.06282395105210158</t>
  </si>
  <si>
    <t>-0.12750707256583702</t>
  </si>
  <si>
    <t>-0.9069422998145298</t>
  </si>
  <si>
    <t>-0.2213497164017638</t>
  </si>
  <si>
    <t>0.18404378116511153</t>
  </si>
  <si>
    <t>0.2077239343787223</t>
  </si>
  <si>
    <t>0.2274492267550889</t>
  </si>
  <si>
    <t>-0.18433671722890102</t>
  </si>
  <si>
    <t>-0.41668761996554027</t>
  </si>
  <si>
    <t>-0.9883083895048828</t>
  </si>
  <si>
    <t>0.016744179647922745</t>
  </si>
  <si>
    <t>-0.42683007724569455</t>
  </si>
  <si>
    <t>-0.18424634731712974</t>
  </si>
  <si>
    <t>0.7855895276552122</t>
  </si>
  <si>
    <t>-1.1621153070320698</t>
  </si>
  <si>
    <t>0.07243015612589718</t>
  </si>
  <si>
    <t>-0.011175901574924074</t>
  </si>
  <si>
    <t>0.5707864691967051</t>
  </si>
  <si>
    <t>1.300598369438215</t>
  </si>
  <si>
    <t>0.15104669367747903</t>
  </si>
  <si>
    <t>-0.05408002858674801</t>
  </si>
  <si>
    <t>0.5260692376509659</t>
  </si>
  <si>
    <t>-0.6315229947309019</t>
  </si>
  <si>
    <t>-1.1285163574400512</t>
  </si>
  <si>
    <t>-0.15990728238339988</t>
  </si>
  <si>
    <t>-1.0682208675853369</t>
  </si>
  <si>
    <t>0.7830017422231497</t>
  </si>
  <si>
    <t>-0.4342400257168466</t>
  </si>
  <si>
    <t>-0.6316701359335695</t>
  </si>
  <si>
    <t>0.6001543274477741</t>
  </si>
  <si>
    <t>0.15846672748010546</t>
  </si>
  <si>
    <t>-1.2342068873912424</t>
  </si>
  <si>
    <t>1.038244250603496</t>
  </si>
  <si>
    <t>0.6491430591241584</t>
  </si>
  <si>
    <t>-0.6476797164207211</t>
  </si>
  <si>
    <t>0.17718106956800456</t>
  </si>
  <si>
    <t>0.1658865306379159</t>
  </si>
  <si>
    <t>0.3004779832006511</t>
  </si>
  <si>
    <t>-0.27222194791510773</t>
  </si>
  <si>
    <t>-0.4097734009100688</t>
  </si>
  <si>
    <t>-0.12209633201039988</t>
  </si>
  <si>
    <t>-0.7388928974295976</t>
  </si>
  <si>
    <t>-0.24216299119525336</t>
  </si>
  <si>
    <t>0.11963320036541486</t>
  </si>
  <si>
    <t>-0.3749510185778024</t>
  </si>
  <si>
    <t>0.9288995250736141</t>
  </si>
  <si>
    <t>0.00951722196547572</t>
  </si>
  <si>
    <t>0.06316933233635089</t>
  </si>
  <si>
    <t>0.4095363058462634</t>
  </si>
  <si>
    <t>0.21883420739164974</t>
  </si>
  <si>
    <t>-0.16765375666177093</t>
  </si>
  <si>
    <t>-1.022349081207504</t>
  </si>
  <si>
    <t>-0.5184683923450673</t>
  </si>
  <si>
    <t>-0.2976012937253178</t>
  </si>
  <si>
    <t>-0.9158895693076281</t>
  </si>
  <si>
    <t>0.24669295925708182</t>
  </si>
  <si>
    <t>-1.2003048990783938</t>
  </si>
  <si>
    <t>-1.116605945544231</t>
  </si>
  <si>
    <t>0.12876136546576156</t>
  </si>
  <si>
    <t>-0.49842494344043237</t>
  </si>
  <si>
    <t>0.6696405848921506</t>
  </si>
  <si>
    <t>0.011590191127642618</t>
  </si>
  <si>
    <t>-0.9310267134033636</t>
  </si>
  <si>
    <t>0.13313850955476592</t>
  </si>
  <si>
    <t>-0.61672206751431</t>
  </si>
  <si>
    <t>-0.32709727831283825</t>
  </si>
  <si>
    <t>0.3098377111792262</t>
  </si>
  <si>
    <t>0.5129323945257236</t>
  </si>
  <si>
    <t>0.43738813140598254</t>
  </si>
  <si>
    <t>-0.6346190189238463</t>
  </si>
  <si>
    <t>0.026304382090160137</t>
  </si>
  <si>
    <t>-0.33253950176450825</t>
  </si>
  <si>
    <t>-0.38056071011546305</t>
  </si>
  <si>
    <t>0.18593285199626167</t>
  </si>
  <si>
    <t>-1.8811846091269964</t>
  </si>
  <si>
    <t>-0.8407265268332758</t>
  </si>
  <si>
    <t>1.4077236461925184</t>
  </si>
  <si>
    <t>0.08963582987426089</t>
  </si>
  <si>
    <t>-0.5663009453002946</t>
  </si>
  <si>
    <t>-1.0085107113347183</t>
  </si>
  <si>
    <t>1.216310770647484</t>
  </si>
  <si>
    <t>0.8572019954278643</t>
  </si>
  <si>
    <t>-1.0008974464989322</t>
  </si>
  <si>
    <t>-0.9721159727038019</t>
  </si>
  <si>
    <t>0.5149152414411017</t>
  </si>
  <si>
    <t>0.36267355464985745</t>
  </si>
  <si>
    <t>0.5465515674277798</t>
  </si>
  <si>
    <t>0.19473262888875256</t>
  </si>
  <si>
    <t>0.5452056405536797</t>
  </si>
  <si>
    <t>-0.6706768445910984</t>
  </si>
  <si>
    <t>-1.3378257806542653</t>
  </si>
  <si>
    <t>0.743983341930987</t>
  </si>
  <si>
    <t>0.19186986154102537</t>
  </si>
  <si>
    <t>-0.3308766573128578</t>
  </si>
  <si>
    <t>0.1655910167736525</t>
  </si>
  <si>
    <t>-0.18394183591008578</t>
  </si>
  <si>
    <t>0.052760108169117526</t>
  </si>
  <si>
    <t>1.1306973845642454</t>
  </si>
  <si>
    <t>0.28223063738278087</t>
  </si>
  <si>
    <t>-0.5533278154128158</t>
  </si>
  <si>
    <t>-0.33468132363999353</t>
  </si>
  <si>
    <t>1.2959959989954544</t>
  </si>
  <si>
    <t>0.50743800385351</t>
  </si>
  <si>
    <t>0.42558733443631974</t>
  </si>
  <si>
    <t>-0.35066874208555543</t>
  </si>
  <si>
    <t>-0.20350611398894544</t>
  </si>
  <si>
    <t>-0.8095561806625537</t>
  </si>
  <si>
    <t>0.37975760660229313</t>
  </si>
  <si>
    <t>-1.0153799971597814</t>
  </si>
  <si>
    <t>-0.15693517806008658</t>
  </si>
  <si>
    <t>-0.003263393109455656</t>
  </si>
  <si>
    <t>0.2039774086346695</t>
  </si>
  <si>
    <t>0.45299244083877155</t>
  </si>
  <si>
    <t>0.11553832459553033</t>
  </si>
  <si>
    <t>0.08874067839740771</t>
  </si>
  <si>
    <t>-0.22138544590734627</t>
  </si>
  <si>
    <t>0.10333744721449015</t>
  </si>
  <si>
    <t>0.4331732269248531</t>
  </si>
  <si>
    <t>0.1900649328178201</t>
  </si>
  <si>
    <t>-0.685385246029616</t>
  </si>
  <si>
    <t>-0.2594378251314838</t>
  </si>
  <si>
    <t>-0.5043370264898268</t>
  </si>
  <si>
    <t>-1.1822208212207714</t>
  </si>
  <si>
    <t>-0.4853150119646851</t>
  </si>
  <si>
    <t>0.3984260731286176</t>
  </si>
  <si>
    <t>0.5424251657355124</t>
  </si>
  <si>
    <t>-0.2668971801133752</t>
  </si>
  <si>
    <t>0.634046408018456</t>
  </si>
  <si>
    <t>0.36058577257638996</t>
  </si>
  <si>
    <t>0.555519417486971</t>
  </si>
  <si>
    <t>0.6915121686870276</t>
  </si>
  <si>
    <t>-0.19774148402495795</t>
  </si>
  <si>
    <t>0.49970065013194176</t>
  </si>
  <si>
    <t>-0.16893789341788198</t>
  </si>
  <si>
    <t>0.0001541268733014274</t>
  </si>
  <si>
    <t>-0.45230593567507776</t>
  </si>
  <si>
    <t>-0.8175243447835022</t>
  </si>
  <si>
    <t>-0.5939138905299668</t>
  </si>
  <si>
    <t>-0.3847603837561081</t>
  </si>
  <si>
    <t>-0.6852423657410325</t>
  </si>
  <si>
    <t>0.8159536091543482</t>
  </si>
  <si>
    <t>1.2508648537018683</t>
  </si>
  <si>
    <t>-1.0929107145205579</t>
  </si>
  <si>
    <t>-1.0328783154834227</t>
  </si>
  <si>
    <t>0.6661696540821213</t>
  </si>
  <si>
    <t>0.5589030296714775</t>
  </si>
  <si>
    <t>-0.2612516690009482</t>
  </si>
  <si>
    <t>-0.20339661681906654</t>
  </si>
  <si>
    <t>1.545003384736942</t>
  </si>
  <si>
    <t>-1.5559198772025047</t>
  </si>
  <si>
    <t>1.4241730232931653</t>
  </si>
  <si>
    <t>1.2260643096827113</t>
  </si>
  <si>
    <t>0.2133679200072661</t>
  </si>
  <si>
    <t>0.015217275229794344</t>
  </si>
  <si>
    <t>-0.14310643400130552</t>
  </si>
  <si>
    <t>0.37811224199718757</t>
  </si>
  <si>
    <t>-0.3968254199002155</t>
  </si>
  <si>
    <t>-1.4760751510428622</t>
  </si>
  <si>
    <t>-0.4252722086665406</t>
  </si>
  <si>
    <t>-1.986812183575751</t>
  </si>
  <si>
    <t>0.8853219592420377</t>
  </si>
  <si>
    <t>-0.3507947168003658</t>
  </si>
  <si>
    <t>-0.3154398375461044</t>
  </si>
  <si>
    <t>-0.8207325128806031</t>
  </si>
  <si>
    <t>0.6654139906990529</t>
  </si>
  <si>
    <t>-0.1769120022833312</t>
  </si>
  <si>
    <t>-0.2847953814487679</t>
  </si>
  <si>
    <t>0.4876083180624377</t>
  </si>
  <si>
    <t>0.6042311617720341</t>
  </si>
  <si>
    <t>-0.14018279618658397</t>
  </si>
  <si>
    <t>0.384247779351614</t>
  </si>
  <si>
    <t>0.0022938257380791666</t>
  </si>
  <si>
    <t>-0.2912184963677883</t>
  </si>
  <si>
    <t>0.6377068663478828</t>
  </si>
  <si>
    <t>-0.4063523259364674</t>
  </si>
  <si>
    <t>2.5631293250895335</t>
  </si>
  <si>
    <t>-0.4092950016830815</t>
  </si>
  <si>
    <t>0.993760906905007</t>
  </si>
  <si>
    <t>1.1292104311640205</t>
  </si>
  <si>
    <t>-2.0128020604155243</t>
  </si>
  <si>
    <t>1.2742460284814707</t>
  </si>
  <si>
    <t>-0.9097963069594911</t>
  </si>
  <si>
    <t>-0.503986947568468</t>
  </si>
  <si>
    <t>-0.15930146174269394</t>
  </si>
  <si>
    <t>-0.1590169845992854</t>
  </si>
  <si>
    <t>0.30688694019299423</t>
  </si>
  <si>
    <t>0.21274322604846788</t>
  </si>
  <si>
    <t>-0.3672723396855829</t>
  </si>
  <si>
    <t>-0.8534825274389982</t>
  </si>
  <si>
    <t>-2.1087911802304826</t>
  </si>
  <si>
    <t>0.7123354878224235</t>
  </si>
  <si>
    <t>-0.9791023424488535</t>
  </si>
  <si>
    <t>-0.6727597414798944</t>
  </si>
  <si>
    <t>0.8054915014169813</t>
  </si>
  <si>
    <t>-0.5704422286111313</t>
  </si>
  <si>
    <t>-0.2601880817147759</t>
  </si>
  <si>
    <t>-0.6508746552314784</t>
  </si>
  <si>
    <t>0.4842245545821422</t>
  </si>
  <si>
    <t>-0.7658896028693278</t>
  </si>
  <si>
    <t>-0.603363386875031</t>
  </si>
  <si>
    <t>0.6333492612503823</t>
  </si>
  <si>
    <t>-0.992906004903111</t>
  </si>
  <si>
    <t>-1.1581656441199601</t>
  </si>
  <si>
    <t>-2.3844950717726077</t>
  </si>
  <si>
    <t>-1.3686264916911304</t>
  </si>
  <si>
    <t>-0.2914198704526562</t>
  </si>
  <si>
    <t>1.409439368831354</t>
  </si>
  <si>
    <t>2.2826850417444313</t>
  </si>
  <si>
    <t>0.3619957380061982</t>
  </si>
  <si>
    <t>1.2664796918945032</t>
  </si>
  <si>
    <t>-0.49351696023246405</t>
  </si>
  <si>
    <t>0.09943516114142033</t>
  </si>
  <si>
    <t>0.35232135351754534</t>
  </si>
  <si>
    <t>-0.7479530002280097</t>
  </si>
  <si>
    <t>-0.5762029283334721</t>
  </si>
  <si>
    <t>-0.4450753825586114</t>
  </si>
  <si>
    <t>2.090388108137004</t>
  </si>
  <si>
    <t>1.8695033098657208</t>
  </si>
  <si>
    <t>-0.5699267125248175</t>
  </si>
  <si>
    <t>-0.058505440857555095</t>
  </si>
  <si>
    <t>-0.3295739801279932</t>
  </si>
  <si>
    <t>0.18685615882598086</t>
  </si>
  <si>
    <t>0.2454772208985477</t>
  </si>
  <si>
    <t>0.9812476950128453</t>
  </si>
  <si>
    <t>0.13268699631399258</t>
  </si>
  <si>
    <t>-0.759929988237712</t>
  </si>
  <si>
    <t>-0.9731245363128358</t>
  </si>
  <si>
    <t>-1.191101410904315</t>
  </si>
  <si>
    <t>-0.6933712292478822</t>
  </si>
  <si>
    <t>-0.9272144797396242</t>
  </si>
  <si>
    <t>-1.7374699630930204</t>
  </si>
  <si>
    <t>-0.46732086185472943</t>
  </si>
  <si>
    <t>-0.87646459387194</t>
  </si>
  <si>
    <t>-2.8307012073840183</t>
  </si>
  <si>
    <t>-1.0290943285271255</t>
  </si>
  <si>
    <t>-1.9705645202939681</t>
  </si>
  <si>
    <t>-2.703568023740863</t>
  </si>
  <si>
    <t>2.7734529756293957</t>
  </si>
  <si>
    <t>-1.6211952211397833</t>
  </si>
  <si>
    <t>-3.279274843628709</t>
  </si>
  <si>
    <t>-1.2102564280389743</t>
  </si>
  <si>
    <t>3.555550284186243</t>
  </si>
  <si>
    <t>-2.2832289755508857</t>
  </si>
  <si>
    <t>1.0921705360053582</t>
  </si>
  <si>
    <t>-0.5427649604951306</t>
  </si>
  <si>
    <t>0.5795718826768325</t>
  </si>
  <si>
    <t>-1.4550631070029574</t>
  </si>
  <si>
    <t>-1.450102236497201</t>
  </si>
  <si>
    <t>-0.41742304951227477</t>
  </si>
  <si>
    <t>-0.030470310935996347</t>
  </si>
  <si>
    <t>1.1368635826329863</t>
  </si>
  <si>
    <t>-1.7512130263375063</t>
  </si>
  <si>
    <t>1.2406468211556274</t>
  </si>
  <si>
    <t>0.44933733128382486</t>
  </si>
  <si>
    <t>-0.8257032691509281</t>
  </si>
  <si>
    <t>-0.21020102905910845</t>
  </si>
  <si>
    <t>1.4149219837691787</t>
  </si>
  <si>
    <t>-0.29243514651251495</t>
  </si>
  <si>
    <t>1.1061432681698495</t>
  </si>
  <si>
    <t>-0.9985183833132562</t>
  </si>
  <si>
    <t>2.679548136290952</t>
  </si>
  <si>
    <t>1.22759592475462</t>
  </si>
  <si>
    <t>1.3956166697095946</t>
  </si>
  <si>
    <t>-1.6967498453395324</t>
  </si>
  <si>
    <t>2.6177163570005066</t>
  </si>
  <si>
    <t>-2.344267034141475</t>
  </si>
  <si>
    <t>-1.5633934527484048</t>
  </si>
  <si>
    <t>-2.251197623899276</t>
  </si>
  <si>
    <t>1.6831895891048092</t>
  </si>
  <si>
    <t>0.37729999724262187</t>
  </si>
  <si>
    <t>0.3847489057595706</t>
  </si>
  <si>
    <t>-1.4608717273811203</t>
  </si>
  <si>
    <t>-1.4452970095458875</t>
  </si>
  <si>
    <t>0.9786031295723264</t>
  </si>
  <si>
    <t>1.0194942566207867</t>
  </si>
  <si>
    <t>-1.16367391830511</t>
  </si>
  <si>
    <t>-0.3257049644407149</t>
  </si>
  <si>
    <t>2.2092280978490875</t>
  </si>
  <si>
    <t>-1.6386482222707113</t>
  </si>
  <si>
    <t>0.2663232942135141</t>
  </si>
  <si>
    <t>0.7689420995024717</t>
  </si>
  <si>
    <t>2.1388392065431847</t>
  </si>
  <si>
    <t>-0.8164882371340146</t>
  </si>
  <si>
    <t>-0.163780822958927</t>
  </si>
  <si>
    <t>-0.14777117745973464</t>
  </si>
  <si>
    <t>-0.9857913336731786</t>
  </si>
  <si>
    <t>-0.10775308840440995</t>
  </si>
  <si>
    <t>1.0568907608714504</t>
  </si>
  <si>
    <t>0.8373689719552275</t>
  </si>
  <si>
    <t>0.09476347929131433</t>
  </si>
  <si>
    <t>0.6287222401069842</t>
  </si>
  <si>
    <t>1.655913129629003</t>
  </si>
  <si>
    <t>0.4037639487439917</t>
  </si>
  <si>
    <t>0.5525879705661023</t>
  </si>
  <si>
    <t>1.0557359187401771</t>
  </si>
  <si>
    <t>0.018389007874000562</t>
  </si>
  <si>
    <t>0.7418093848888918</t>
  </si>
  <si>
    <t>-0.3439020986037574</t>
  </si>
  <si>
    <t>3.8672817722143478</t>
  </si>
  <si>
    <t>-1.78534514661472</t>
  </si>
  <si>
    <t>1.627547337836867</t>
  </si>
  <si>
    <t>0.011515600717154729</t>
  </si>
  <si>
    <t>0.7678615281529036</t>
  </si>
  <si>
    <t>-1.9472917893101525</t>
  </si>
  <si>
    <t>-0.5358815160954513</t>
  </si>
  <si>
    <t>-1.087117193187729</t>
  </si>
  <si>
    <t>1.363249547177463</t>
  </si>
  <si>
    <t>1.1960237807596341</t>
  </si>
  <si>
    <t>0.6001275684679931</t>
  </si>
  <si>
    <t>0.481049782799751</t>
  </si>
  <si>
    <t>-1.7742343615281706</t>
  </si>
  <si>
    <t>0.9308166909892597</t>
  </si>
  <si>
    <t>-1.137541401500268</t>
  </si>
  <si>
    <t>0.0974671487517035</t>
  </si>
  <si>
    <t>0.9012167547573481</t>
  </si>
  <si>
    <t>-1.4157642182305286</t>
  </si>
  <si>
    <t>1.0875459202361781</t>
  </si>
  <si>
    <t>-2.5359103021280607</t>
  </si>
  <si>
    <t>1.1270616380255267</t>
  </si>
  <si>
    <t>0.5370698613476866</t>
  </si>
  <si>
    <t>-1.85683510079136</t>
  </si>
  <si>
    <t>-0.24725106540334443</t>
  </si>
  <si>
    <t>0.7924625781469952</t>
  </si>
  <si>
    <t>-0.9803657470720956</t>
  </si>
  <si>
    <t>-0.6745511628117706</t>
  </si>
  <si>
    <t>1.6031223869201765</t>
  </si>
  <si>
    <t>-1.3406923396393229</t>
  </si>
  <si>
    <t>-0.033204223685966414</t>
  </si>
  <si>
    <t>0.8563710059228888</t>
  </si>
  <si>
    <t>-1.098415604159528</t>
  </si>
  <si>
    <t>-0.04576530584043039</t>
  </si>
  <si>
    <t>1.3155998491093386</t>
  </si>
  <si>
    <t>1.6549172334973556</t>
  </si>
  <si>
    <t>1.3917867141691826</t>
  </si>
  <si>
    <t>-1.1108182923471819</t>
  </si>
  <si>
    <t>1.5709014808463038</t>
  </si>
  <si>
    <t>1.0191484200613135</t>
  </si>
  <si>
    <t>-1.7135425153106185</t>
  </si>
  <si>
    <t>1.4500343620283065</t>
  </si>
  <si>
    <t>0.3132001465263064</t>
  </si>
  <si>
    <t>0.6938190592770204</t>
  </si>
  <si>
    <t>0.511841864353095</t>
  </si>
  <si>
    <t>0.1734449884638793</t>
  </si>
  <si>
    <t>0.09073415904249924</t>
  </si>
  <si>
    <t>0.5531830820928937</t>
  </si>
  <si>
    <t>1.557448197449274</t>
  </si>
  <si>
    <t>-0.22401849670922547</t>
  </si>
  <si>
    <t>0.43033130282728527</t>
  </si>
  <si>
    <t>0.16629162126428462</t>
  </si>
  <si>
    <t>0.5344045801158921</t>
  </si>
  <si>
    <t>-0.6532523089157272</t>
  </si>
  <si>
    <t>-1.064559300236229</t>
  </si>
  <si>
    <t>0.49443009008074157</t>
  </si>
  <si>
    <t>-2.0581718469616384</t>
  </si>
  <si>
    <t>0.5614661671275339</t>
  </si>
  <si>
    <t>0.3003175022802195</t>
  </si>
  <si>
    <t>-0.4441326390171417</t>
  </si>
  <si>
    <t>-0.49211079994187534</t>
  </si>
  <si>
    <t>0.6037073052897842</t>
  </si>
  <si>
    <t>1.2691445563409873</t>
  </si>
  <si>
    <t>-0.282000524254517</t>
  </si>
  <si>
    <t>-0.8155855629292559</t>
  </si>
  <si>
    <t>0.4350628074497071</t>
  </si>
  <si>
    <t>-1.0462632280426445</t>
  </si>
  <si>
    <t>0.058436439072192856</t>
  </si>
  <si>
    <t>0.4301694579503057</t>
  </si>
  <si>
    <t>-1.3552944627494277</t>
  </si>
  <si>
    <t>-0.17133679885195233</t>
  </si>
  <si>
    <t>1.7164303607248084</t>
  </si>
  <si>
    <t>-1.0589464549603753</t>
  </si>
  <si>
    <t>-0.04438730676606517</t>
  </si>
  <si>
    <t>-0.0004488551823291009</t>
  </si>
  <si>
    <t>-0.27562083380609154</t>
  </si>
  <si>
    <t>1.5308878376521362</t>
  </si>
  <si>
    <t>0.4425190355689377</t>
  </si>
  <si>
    <t>-1.2691409140147578</t>
  </si>
  <si>
    <t>1.0646480671878504</t>
  </si>
  <si>
    <t>0.72907674976938</t>
  </si>
  <si>
    <t>-0.6965489033120632</t>
  </si>
  <si>
    <t>0.363961187450006</t>
  </si>
  <si>
    <t>1.250513228302156</t>
  </si>
  <si>
    <t>0.6734123673959937</t>
  </si>
  <si>
    <t>0.4619427910169156</t>
  </si>
  <si>
    <t>-1.055558148288668</t>
  </si>
  <si>
    <t>-3.3289327256650343</t>
  </si>
  <si>
    <t>-1.789126312048662</t>
  </si>
  <si>
    <t>-0.08366861773616126</t>
  </si>
  <si>
    <t>0.8244723245533544</t>
  </si>
  <si>
    <t>-1.5345862798425192</t>
  </si>
  <si>
    <t>1.2152747151520906</t>
  </si>
  <si>
    <t>0.15098649307623707</t>
  </si>
  <si>
    <t>0.15247721478491444</t>
  </si>
  <si>
    <t>0.1852145344689003</t>
  </si>
  <si>
    <t>0.1595343805336249</t>
  </si>
  <si>
    <t>0.5043560146830679</t>
  </si>
  <si>
    <t>0.6596334496286133</t>
  </si>
  <si>
    <t>-0.23954387554334491</t>
  </si>
  <si>
    <t>0.5858218623584613</t>
  </si>
  <si>
    <t>-0.8496538332394696</t>
  </si>
  <si>
    <t>-0.6950873934633658</t>
  </si>
  <si>
    <t>-1.1255368916261417</t>
  </si>
  <si>
    <t>0.6272158376646045</t>
  </si>
  <si>
    <t>-1.8728038393622621</t>
  </si>
  <si>
    <t>-0.40495218990350623</t>
  </si>
  <si>
    <t>-1.2556484331649476</t>
  </si>
  <si>
    <t>0.3616807267884657</t>
  </si>
  <si>
    <t>-0.29307307661941673</t>
  </si>
  <si>
    <t>0.9603933159112571</t>
  </si>
  <si>
    <t>0.31049291099576415</t>
  </si>
  <si>
    <t>-0.05034707386812581</t>
  </si>
  <si>
    <t>-2.1397059335066686</t>
  </si>
  <si>
    <t>0.3089042596167388</t>
  </si>
  <si>
    <t>0.5699602974276317</t>
  </si>
  <si>
    <t>-0.176403364154534</t>
  </si>
  <si>
    <t>-0.33984546966294604</t>
  </si>
  <si>
    <t>-0.1183879701348352</t>
  </si>
  <si>
    <t>0.869146518532721</t>
  </si>
  <si>
    <t>0.14836442890955037</t>
  </si>
  <si>
    <t>0.1571495007533337</t>
  </si>
  <si>
    <t>-0.5239886914871033</t>
  </si>
  <si>
    <t>1.2975158400871625</t>
  </si>
  <si>
    <t>0.43607906663648033</t>
  </si>
  <si>
    <t>0.342069500460002</t>
  </si>
  <si>
    <t>-0.2740612346746785</t>
  </si>
  <si>
    <t>-0.5851259564068434</t>
  </si>
  <si>
    <t>0.06479010899939809</t>
  </si>
  <si>
    <t>-0.8683253281370559</t>
  </si>
  <si>
    <t>-0.8005609977406886</t>
  </si>
  <si>
    <t>-1.8981684841436683</t>
  </si>
  <si>
    <t>-0.4371072359652223</t>
  </si>
  <si>
    <t>-0.7306310117153283</t>
  </si>
  <si>
    <t>-0.9864472157241693</t>
  </si>
  <si>
    <t>0.6894203807737961</t>
  </si>
  <si>
    <t>0.24341254803355827</t>
  </si>
  <si>
    <t>-0.1511654474614111</t>
  </si>
  <si>
    <t>-0.490359977106719</t>
  </si>
  <si>
    <t>-0.5786806692231682</t>
  </si>
  <si>
    <t>-0.6130728475890235</t>
  </si>
  <si>
    <t>0.026994244746334765</t>
  </si>
  <si>
    <t>0.9640575126094248</t>
  </si>
  <si>
    <t>-1.4641627606299576</t>
  </si>
  <si>
    <t>0.1072969135671129</t>
  </si>
  <si>
    <t>-0.11749810253871396</t>
  </si>
  <si>
    <t>0.19962395115809362</t>
  </si>
  <si>
    <t>0.04865515636649364</t>
  </si>
  <si>
    <t>0.27987840232397015</t>
  </si>
  <si>
    <t>0.7369921315253574</t>
  </si>
  <si>
    <t>0.14124016709427734</t>
  </si>
  <si>
    <t>-0.6333391967019472</t>
  </si>
  <si>
    <t>-2.265611297029734</t>
  </si>
  <si>
    <t>1.2110383230417863</t>
  </si>
  <si>
    <t>-0.9374370275604302</t>
  </si>
  <si>
    <t>-0.1387051231467222</t>
  </si>
  <si>
    <t>1.8889883715443467</t>
  </si>
  <si>
    <t>0.4895318098114201</t>
  </si>
  <si>
    <t>-1.5702121657396177</t>
  </si>
  <si>
    <t>0.07512627804519563</t>
  </si>
  <si>
    <t>0.11040987105108664</t>
  </si>
  <si>
    <t>-1.8936569615510543</t>
  </si>
  <si>
    <t>0.5324618465540456</t>
  </si>
  <si>
    <t>-0.1766730550875318</t>
  </si>
  <si>
    <t>-0.5112292510339478</t>
  </si>
  <si>
    <t>0.5424920842273704</t>
  </si>
  <si>
    <t>-0.14048871334151658</t>
  </si>
  <si>
    <t>0.47928919816402094</t>
  </si>
  <si>
    <t>-0.8129661832663024</t>
  </si>
  <si>
    <t>0.7657957920686187</t>
  </si>
  <si>
    <t>0.9259661029735878</t>
  </si>
  <si>
    <t>0.2796574115836437</t>
  </si>
  <si>
    <t>-0.3982317419795948</t>
  </si>
  <si>
    <t>-0.6934169118794485</t>
  </si>
  <si>
    <t>-1.093976104978965</t>
  </si>
  <si>
    <t>-0.707233234302663</t>
  </si>
  <si>
    <t>0.06521026542723495</t>
  </si>
  <si>
    <t>0.550307767251958</t>
  </si>
  <si>
    <t>0.016051416323811313</t>
  </si>
  <si>
    <t>0.10840369670390924</t>
  </si>
  <si>
    <t>0.364753843932418</t>
  </si>
  <si>
    <t>0.5923395996688191</t>
  </si>
  <si>
    <t>-0.6452432942081043</t>
  </si>
  <si>
    <t>-0.02657834574758069</t>
  </si>
  <si>
    <t>-0.1542850095568668</t>
  </si>
  <si>
    <t>-0.22507328895378234</t>
  </si>
  <si>
    <t>-0.13729446382873423</t>
  </si>
  <si>
    <t>0.13873684125057595</t>
  </si>
  <si>
    <t>-0.2679966450516835</t>
  </si>
  <si>
    <t>-0.0017714169848491864</t>
  </si>
  <si>
    <t>-0.4285538445707991</t>
  </si>
  <si>
    <t>-0.17043449743428293</t>
  </si>
  <si>
    <t>0.6422322805067989</t>
  </si>
  <si>
    <t>0.24212743595652295</t>
  </si>
  <si>
    <t>0.4158152616073101</t>
  </si>
  <si>
    <t>0.4816256524165085</t>
  </si>
  <si>
    <t>0.33231252892974433</t>
  </si>
  <si>
    <t>-0.7307669154810716</t>
  </si>
  <si>
    <t>-0.41578466511212253</t>
  </si>
  <si>
    <t>-0.11629473667217281</t>
  </si>
  <si>
    <t>0.7930656501561941</t>
  </si>
  <si>
    <t>-0.4302391051325866</t>
  </si>
  <si>
    <t>0.0719630009918629</t>
  </si>
  <si>
    <t>-0.09005804364561192</t>
  </si>
  <si>
    <t>-1.7666072203522971</t>
  </si>
  <si>
    <t>1.2467072505362167</t>
  </si>
  <si>
    <t>-0.8609252587553188</t>
  </si>
  <si>
    <t>-0.4053253329790888</t>
  </si>
  <si>
    <t>0.3074181194913923</t>
  </si>
  <si>
    <t>-0.2972730457494709</t>
  </si>
  <si>
    <t>0.7048729157529194</t>
  </si>
  <si>
    <t>0.31878249315464574</t>
  </si>
  <si>
    <t>1.3946587502060126</t>
  </si>
  <si>
    <t>1.5707519531396648</t>
  </si>
  <si>
    <t>-0.6826139836863626</t>
  </si>
  <si>
    <t>-0.3239006074618582</t>
  </si>
  <si>
    <t>-0.5034412138529618</t>
  </si>
  <si>
    <t>-0.16947099692784648</t>
  </si>
  <si>
    <t>2.9041768022419125</t>
  </si>
  <si>
    <t>0.7877800108419678</t>
  </si>
  <si>
    <t>-0.8772613111655353</t>
  </si>
  <si>
    <t>-1.7015740057784545</t>
  </si>
  <si>
    <t>-0.5941887620468919</t>
  </si>
  <si>
    <t>0.18623801737792098</t>
  </si>
  <si>
    <t>3.0421513560117672</t>
  </si>
  <si>
    <t>0.055720397407332846</t>
  </si>
  <si>
    <t>-0.8707600563332968</t>
  </si>
  <si>
    <t>-0.9961210754180622</t>
  </si>
  <si>
    <t>-0.463396978700469</t>
  </si>
  <si>
    <t>0.3065994234209706</t>
  </si>
  <si>
    <t>-0.8644230885793595</t>
  </si>
  <si>
    <t>-0.16695580772711682</t>
  </si>
  <si>
    <t>-0.0851336169057347</t>
  </si>
  <si>
    <t>0.22172356484809436</t>
  </si>
  <si>
    <t>0.12985474302058964</t>
  </si>
  <si>
    <t>1.073224089603446</t>
  </si>
  <si>
    <t>0.3527955182343075</t>
  </si>
  <si>
    <t>-1.2787000769139656</t>
  </si>
  <si>
    <t>-0.04995657283741955</t>
  </si>
  <si>
    <t>-0.13391801224625902</t>
  </si>
  <si>
    <t>0.1708732644571055</t>
  </si>
  <si>
    <t>-1.2216283998201771</t>
  </si>
  <si>
    <t>1.373578624644811</t>
  </si>
  <si>
    <t>-0.03586876808935815</t>
  </si>
  <si>
    <t>0.005150487947081247</t>
  </si>
  <si>
    <t>-0.2547346577679457</t>
  </si>
  <si>
    <t>1.4594037949580896</t>
  </si>
  <si>
    <t>0.28465512131010245</t>
  </si>
  <si>
    <t>-0.0005567228276394248</t>
  </si>
  <si>
    <t>0.8397022124809147</t>
  </si>
  <si>
    <t>-1.1103324727858457</t>
  </si>
  <si>
    <t>0.6422056369042658</t>
  </si>
  <si>
    <t>0.13006776494845115</t>
  </si>
  <si>
    <t>0.7156254155453683</t>
  </si>
  <si>
    <t>-0.18599835377311105</t>
  </si>
  <si>
    <t>-0.4286643477779958</t>
  </si>
  <si>
    <t>0.9346938271004344</t>
  </si>
  <si>
    <t>0.016715125269034625</t>
  </si>
  <si>
    <t>1.472261099478532</t>
  </si>
  <si>
    <t>-1.1322896527946316</t>
  </si>
  <si>
    <t>0.05581204496509325</t>
  </si>
  <si>
    <t>-1.216464726542003</t>
  </si>
  <si>
    <t>0.762713553734017</t>
  </si>
  <si>
    <t>0.8872194840527344</t>
  </si>
  <si>
    <t>0.22029246244776335</t>
  </si>
  <si>
    <t>-1.2236145440438644</t>
  </si>
  <si>
    <t>1.1149840822710864</t>
  </si>
  <si>
    <t>-0.5960811597453841</t>
  </si>
  <si>
    <t>0.27134317354932536</t>
  </si>
  <si>
    <t>0.33786818946389335</t>
  </si>
  <si>
    <t>0.6962273366513921</t>
  </si>
  <si>
    <t>0.1357473992979408</t>
  </si>
  <si>
    <t>-0.44282669510913103</t>
  </si>
  <si>
    <t>0.0011539932214831932</t>
  </si>
  <si>
    <t>-0.1267875562526739</t>
  </si>
  <si>
    <t>0.0066057910352308145</t>
  </si>
  <si>
    <t>-0.023817179641663563</t>
  </si>
  <si>
    <t>0.8781020112974451</t>
  </si>
  <si>
    <t>0.8073349574599912</t>
  </si>
  <si>
    <t>0.8813795262335816</t>
  </si>
  <si>
    <t>-1.3170680541292696</t>
  </si>
  <si>
    <t>0.6492546410471627</t>
  </si>
  <si>
    <t>-0.8065153374280046</t>
  </si>
  <si>
    <t>0.5953003784042825</t>
  </si>
  <si>
    <t>0.9984716799723892</t>
  </si>
  <si>
    <t>-0.5284066549477128</t>
  </si>
  <si>
    <t>0.7656678795854267</t>
  </si>
  <si>
    <t>0.6572275730376432</t>
  </si>
  <si>
    <t>-1.0431764337995184</t>
  </si>
  <si>
    <t>2.1689570982668935</t>
  </si>
  <si>
    <t>0.4921385304097144</t>
  </si>
  <si>
    <t>-0.30211380562153783</t>
  </si>
  <si>
    <t>0.15713018128259182</t>
  </si>
  <si>
    <t>-1.3829194598455383</t>
  </si>
  <si>
    <t>-0.9615935665460715</t>
  </si>
  <si>
    <t>-0.5580332384200184</t>
  </si>
  <si>
    <t>0.5946096664353197</t>
  </si>
  <si>
    <t>-0.4421669131940987</t>
  </si>
  <si>
    <t>0.20311687873656278</t>
  </si>
  <si>
    <t>1.4302091531290464</t>
  </si>
  <si>
    <t>0.5855697415456687</t>
  </si>
  <si>
    <t>-1.6988675941150484</t>
  </si>
  <si>
    <t>1.5265757373756357</t>
  </si>
  <si>
    <t>0.4286927089992845</t>
  </si>
  <si>
    <t>-0.4010389208665753</t>
  </si>
  <si>
    <t>1.5762921875708158</t>
  </si>
  <si>
    <t>0.6529400789758611</t>
  </si>
  <si>
    <t>-1.5332646890276753</t>
  </si>
  <si>
    <t>0.8310008718677149</t>
  </si>
  <si>
    <t>0.2977006160309724</t>
  </si>
  <si>
    <t>0.06425682050202779</t>
  </si>
  <si>
    <t>0.3634429598703786</t>
  </si>
  <si>
    <t>0.030304667807638287</t>
  </si>
  <si>
    <t>0.6279474005019379</t>
  </si>
  <si>
    <t>-1.5340529937910385</t>
  </si>
  <si>
    <t>0.4483663410452197</t>
  </si>
  <si>
    <t>1.553868220228229</t>
  </si>
  <si>
    <t>1.8476769202322791</t>
  </si>
  <si>
    <t>-0.8972031599547982</t>
  </si>
  <si>
    <t>0.21933060708899696</t>
  </si>
  <si>
    <t>-0.16514111634603823</t>
  </si>
  <si>
    <t>0.09832255376194912</t>
  </si>
  <si>
    <t>-1.4729607116578876</t>
  </si>
  <si>
    <t>0.6796441840604258</t>
  </si>
  <si>
    <t>2.3406404909117287</t>
  </si>
  <si>
    <t>-1.420211188280215</t>
  </si>
  <si>
    <t>-0.07271530949323526</t>
  </si>
  <si>
    <t>-0.8922364478527731</t>
  </si>
  <si>
    <t>-0.39203948639005987</t>
  </si>
  <si>
    <t>-0.3149222786366156</t>
  </si>
  <si>
    <t>1.379694684756778</t>
  </si>
  <si>
    <t>-1.565783572689818</t>
  </si>
  <si>
    <t>-0.5848348438520496</t>
  </si>
  <si>
    <t>0.16392422790965655</t>
  </si>
  <si>
    <t>0.40047535897552705</t>
  </si>
  <si>
    <t>-0.11500948374961166</t>
  </si>
  <si>
    <t>1.6441512433841667</t>
  </si>
  <si>
    <t>0.0057358135541645</t>
  </si>
  <si>
    <t>-1.3027446046543187</t>
  </si>
  <si>
    <t>0.041809268340489356</t>
  </si>
  <si>
    <t>0.846630624272271</t>
  </si>
  <si>
    <t>0.667997324125809</t>
  </si>
  <si>
    <t>-0.3848423541288099</t>
  </si>
  <si>
    <t>0.3579194472827663</t>
  </si>
  <si>
    <t>-0.8772366550032213</t>
  </si>
  <si>
    <t>1.3001850149595644</t>
  </si>
  <si>
    <t>-0.2981420646804467</t>
  </si>
  <si>
    <t>0.45439824853425953</t>
  </si>
  <si>
    <t>0.3307520970156503</t>
  </si>
  <si>
    <t>0.34928985328732765</t>
  </si>
  <si>
    <t>-0.19180823518281598</t>
  </si>
  <si>
    <t>-1.0342619615320683</t>
  </si>
  <si>
    <t>1.0241788039228217</t>
  </si>
  <si>
    <t>-1.0506334086465408</t>
  </si>
  <si>
    <t>-0.4443215895059275</t>
  </si>
  <si>
    <t>-0.6309410735372798</t>
  </si>
  <si>
    <t>1.7355276744508967</t>
  </si>
  <si>
    <t>0.33939695156307237</t>
  </si>
  <si>
    <t>0.8478167851634649</t>
  </si>
  <si>
    <t>-0.8433362629952011</t>
  </si>
  <si>
    <t>0.7200892762050349</t>
  </si>
  <si>
    <t>-0.3648690937295034</t>
  </si>
  <si>
    <t>-0.4230626877220088</t>
  </si>
  <si>
    <t>-0.24443184519996689</t>
  </si>
  <si>
    <t>0.7513444798488913</t>
  </si>
  <si>
    <t>-1.6336977496355263</t>
  </si>
  <si>
    <t>-0.10363954930240085</t>
  </si>
  <si>
    <t>1.7338737177062995</t>
  </si>
  <si>
    <t>-0.6768487310927349</t>
  </si>
  <si>
    <t>0.2323854714760022</t>
  </si>
  <si>
    <t>0.25055635078807514</t>
  </si>
  <si>
    <t>-1.271119948535289</t>
  </si>
  <si>
    <t>0.3391794373949988</t>
  </si>
  <si>
    <t>-0.03316072948940625</t>
  </si>
  <si>
    <t>0.5461485962710236</t>
  </si>
  <si>
    <t>-1.4788844071545724</t>
  </si>
  <si>
    <t>-1.1555554458848931</t>
  </si>
  <si>
    <t>-0.4142975348791593</t>
  </si>
  <si>
    <t>-0.4420574740582449</t>
  </si>
  <si>
    <t>-1.3347175563239775</t>
  </si>
  <si>
    <t>0.9354834525849385</t>
  </si>
  <si>
    <t>-0.9414397074937441</t>
  </si>
  <si>
    <t>0.017891462253873013</t>
  </si>
  <si>
    <t>0.911676565970537</t>
  </si>
  <si>
    <t>0.9423521643618038</t>
  </si>
  <si>
    <t>0.49877183235778644</t>
  </si>
  <si>
    <t>0.3339673125165987</t>
  </si>
  <si>
    <t>1.035531299191607</t>
  </si>
  <si>
    <t>0.4930690279398671</t>
  </si>
  <si>
    <t>0.22282641205882614</t>
  </si>
  <si>
    <t>-0.5195989613046896</t>
  </si>
  <si>
    <t>-1.2278634533851034</t>
  </si>
  <si>
    <t>-0.022194155514506233</t>
  </si>
  <si>
    <t>0.9625921380879988</t>
  </si>
  <si>
    <t>-0.2998612567930943</t>
  </si>
  <si>
    <t>1.0583010820273377</t>
  </si>
  <si>
    <t>-0.2611097788903006</t>
  </si>
  <si>
    <t>-1.3516454832847433</t>
  </si>
  <si>
    <t>-1.3803263079787615</t>
  </si>
  <si>
    <t>0.5419735376925516</t>
  </si>
  <si>
    <t>1.4687367588092264</t>
  </si>
  <si>
    <t>-0.024464636264161024</t>
  </si>
  <si>
    <t>-1.542242868728098</t>
  </si>
  <si>
    <t>-1.1384819489137354</t>
  </si>
  <si>
    <t>-2.3558937293926054</t>
  </si>
  <si>
    <t>0.11384286798728233</t>
  </si>
  <si>
    <t>-1.1403935822200615</t>
  </si>
  <si>
    <t>0.02198772866491765</t>
  </si>
  <si>
    <t>-0.3402762054433401</t>
  </si>
  <si>
    <t>-1.4606870583057463</t>
  </si>
  <si>
    <t>0.030439996241591057</t>
  </si>
  <si>
    <t>-0.6280203759496095</t>
  </si>
  <si>
    <t>1.4299121998699877</t>
  </si>
  <si>
    <t>0.6607516259346702</t>
  </si>
  <si>
    <t>-0.770029878563208</t>
  </si>
  <si>
    <t>-0.8461623514611906</t>
  </si>
  <si>
    <t>-0.5897588960328357</t>
  </si>
  <si>
    <t>0.23771205943538062</t>
  </si>
  <si>
    <t>-0.7428106684767759</t>
  </si>
  <si>
    <t>-0.21040078149243568</t>
  </si>
  <si>
    <t>-1.1845398529951932</t>
  </si>
  <si>
    <t>0.21336162455440671</t>
  </si>
  <si>
    <t>-0.6773459829791372</t>
  </si>
  <si>
    <t>-1.0197069075389118</t>
  </si>
  <si>
    <t>-0.6372209289116406</t>
  </si>
  <si>
    <t>1.2702468826444968</t>
  </si>
  <si>
    <t>0.32664516360015305</t>
  </si>
  <si>
    <t>0.17714835651591054</t>
  </si>
  <si>
    <t>0.7278446334080786</t>
  </si>
  <si>
    <t>-0.04496227996459424</t>
  </si>
  <si>
    <t>-1.9585821912329604</t>
  </si>
  <si>
    <t>0.3418411265261922</t>
  </si>
  <si>
    <t>-0.09001084302518864</t>
  </si>
  <si>
    <t>-2.5104162577644917</t>
  </si>
  <si>
    <t>0.286673187350884</t>
  </si>
  <si>
    <t>0.15950836503451812</t>
  </si>
  <si>
    <t>-0.09241762210576722</t>
  </si>
  <si>
    <t>-1.0686954378130655</t>
  </si>
  <si>
    <t>-1.5929774299287767</t>
  </si>
  <si>
    <t>-1.4283367497858508</t>
  </si>
  <si>
    <t>0.36060942809673713</t>
  </si>
  <si>
    <t>-1.228507235998189</t>
  </si>
  <si>
    <t>0.6065689422367257</t>
  </si>
  <si>
    <t>-3.1175354832723006</t>
  </si>
  <si>
    <t>0.46154936663739526</t>
  </si>
  <si>
    <t>0.44639285867280754</t>
  </si>
  <si>
    <t>-0.12460917054881195</t>
  </si>
  <si>
    <t>1.4430551388730868</t>
  </si>
  <si>
    <t>0.3813082885542897</t>
  </si>
  <si>
    <t>1.354063477652036</t>
  </si>
  <si>
    <t>1.1574231316371866</t>
  </si>
  <si>
    <t>0.6365352565268435</t>
  </si>
  <si>
    <t>0.45399949366944464</t>
  </si>
  <si>
    <t>-1.0365295244297807</t>
  </si>
  <si>
    <t>0.3332693275664968</t>
  </si>
  <si>
    <t>-0.5859784267259809</t>
  </si>
  <si>
    <t>-0.5086418982385684</t>
  </si>
  <si>
    <t>-1.1795233418983568</t>
  </si>
  <si>
    <t>-0.040556297317795795</t>
  </si>
  <si>
    <t>-0.3562424093057432</t>
  </si>
  <si>
    <t>-0.8907269435274451</t>
  </si>
  <si>
    <t>1.5193675822779242</t>
  </si>
  <si>
    <t>1.3433681084403255</t>
  </si>
  <si>
    <t>1.9726369970497308</t>
  </si>
  <si>
    <t>-1.5267337442802282</t>
  </si>
  <si>
    <t>-0.07308110174377533</t>
  </si>
  <si>
    <t>1.6850029102620914</t>
  </si>
  <si>
    <t>-0.10423661160306182</t>
  </si>
  <si>
    <t>0.12512812074473795</t>
  </si>
  <si>
    <t>-1.7001788643053863</t>
  </si>
  <si>
    <t>0.299056833581626</t>
  </si>
  <si>
    <t>-1.7854354168079685</t>
  </si>
  <si>
    <t>-0.439501317478329</t>
  </si>
  <si>
    <t>0.9591365793683186</t>
  </si>
  <si>
    <t>-1.3798400145199867</t>
  </si>
  <si>
    <t>1.234469715594688</t>
  </si>
  <si>
    <t>-0.4009764045613849</t>
  </si>
  <si>
    <t>1.8097306176170234</t>
  </si>
  <si>
    <t>0.1396719324983158</t>
  </si>
  <si>
    <t>-0.5451833466148739</t>
  </si>
  <si>
    <t>0.15146436232629304</t>
  </si>
  <si>
    <t>-0.35973853451160365</t>
  </si>
  <si>
    <t>-0.7279526256858495</t>
  </si>
  <si>
    <t>-0.3760141978057427</t>
  </si>
  <si>
    <t>0.9973969457445743</t>
  </si>
  <si>
    <t>0.26404016815980663</t>
  </si>
  <si>
    <t>-0.6788111948203975</t>
  </si>
  <si>
    <t>-2.385627482868855</t>
  </si>
  <si>
    <t>-1.9668903599155756</t>
  </si>
  <si>
    <t>0.016530630692623772</t>
  </si>
  <si>
    <t>-0.9530322791043305</t>
  </si>
  <si>
    <t>0.9009301507653011</t>
  </si>
  <si>
    <t>-0.90821954315809</t>
  </si>
  <si>
    <t>-2.6922536285723955</t>
  </si>
  <si>
    <t>-0.7569777359104574</t>
  </si>
  <si>
    <t>-0.3456115683736799</t>
  </si>
  <si>
    <t>-1.4870422468372455</t>
  </si>
  <si>
    <t>0.7296639080073054</t>
  </si>
  <si>
    <t>2.8454772933459043</t>
  </si>
  <si>
    <t>-0.22450995110750976</t>
  </si>
  <si>
    <t>-0.1915832897641374</t>
  </si>
  <si>
    <t>1.8859097454378595</t>
  </si>
  <si>
    <t>2.737584784408655</t>
  </si>
  <si>
    <t>1.4574939373548408</t>
  </si>
  <si>
    <t>-2.5032381640392174</t>
  </si>
  <si>
    <t>0.7214778307215072</t>
  </si>
  <si>
    <t>1.6769905715402047</t>
  </si>
  <si>
    <t>-0.10368043968398608</t>
  </si>
  <si>
    <t>1.6099534064851477</t>
  </si>
  <si>
    <t>-1.5143449285512838</t>
  </si>
  <si>
    <t>-2.0418233064655</t>
  </si>
  <si>
    <t>-0.5924072502303318</t>
  </si>
  <si>
    <t>1.4710968789438748</t>
  </si>
  <si>
    <t>1.704325563812471</t>
  </si>
  <si>
    <t>0.5051950758418502</t>
  </si>
  <si>
    <t>-0.06281150458266042</t>
  </si>
  <si>
    <t>-1.5004029500647031</t>
  </si>
  <si>
    <t>-0.10829947239394283</t>
  </si>
  <si>
    <t>-0.077504400376231</t>
  </si>
  <si>
    <t>-0.6455241539608737</t>
  </si>
  <si>
    <t>-1.464613783522037</t>
  </si>
  <si>
    <t>1.3345609880775322</t>
  </si>
  <si>
    <t>-2.934616585290774</t>
  </si>
  <si>
    <t>1.1052079600686917</t>
  </si>
  <si>
    <t>-1.2530776433627708</t>
  </si>
  <si>
    <t>-1.5624247997632998</t>
  </si>
  <si>
    <t>2.1387573926683965</t>
  </si>
  <si>
    <t>-2.151030426022772</t>
  </si>
  <si>
    <t>1.1730689405241241</t>
  </si>
  <si>
    <t>-1.0132503505864534</t>
  </si>
  <si>
    <t>-2.4472627736108596</t>
  </si>
  <si>
    <t>-2.3172484125312307</t>
  </si>
  <si>
    <t>-1.5183686539910328</t>
  </si>
  <si>
    <t>-1.026815500173775</t>
  </si>
  <si>
    <t>0.42808416101072827</t>
  </si>
  <si>
    <t>-1.2073310460099373</t>
  </si>
  <si>
    <t>-1.4778140286922952</t>
  </si>
  <si>
    <t>0.07998374100885655</t>
  </si>
  <si>
    <t>-1.4929320954636196</t>
  </si>
  <si>
    <t>1.5710463783384225</t>
  </si>
  <si>
    <t>-0.8255163147790916</t>
  </si>
  <si>
    <t>3.0644050810874774</t>
  </si>
  <si>
    <t>-0.8141402083900487</t>
  </si>
  <si>
    <t>1.8225861057874697</t>
  </si>
  <si>
    <t>2.347836920931429</t>
  </si>
  <si>
    <t>-2.468406620878855</t>
  </si>
  <si>
    <t>-0.3083411010919184</t>
  </si>
  <si>
    <t>-1.7517846501027725</t>
  </si>
  <si>
    <t>-0.771267309468493</t>
  </si>
  <si>
    <t>-1.1864706183025693</t>
  </si>
  <si>
    <t>0.06451029868780257</t>
  </si>
  <si>
    <t>-1.1139449603082534</t>
  </si>
  <si>
    <t>2.327838704424951</t>
  </si>
  <si>
    <t>-0.6470697028265154</t>
  </si>
  <si>
    <t>1.2164762681345669</t>
  </si>
  <si>
    <t>0.8225510169824902</t>
  </si>
  <si>
    <t>-1.5374655980259209</t>
  </si>
  <si>
    <t>-1.5507923891184363</t>
  </si>
  <si>
    <t>1.3331142252839958</t>
  </si>
  <si>
    <t>-0.7013210027143751</t>
  </si>
  <si>
    <t>0.16752400489980063</t>
  </si>
  <si>
    <t>0.3188187929415585</t>
  </si>
  <si>
    <t>0.030107503038749685</t>
  </si>
  <si>
    <t>-0.34590797645967497</t>
  </si>
  <si>
    <t>-2.230971251360388</t>
  </si>
  <si>
    <t>0.45194388694820736</t>
  </si>
  <si>
    <t>1.0683632766781819</t>
  </si>
  <si>
    <t>0.5975033690850298</t>
  </si>
  <si>
    <t>-1.333691139097177</t>
  </si>
  <si>
    <t>-0.14650003466239161</t>
  </si>
  <si>
    <t>1.8538323279335036</t>
  </si>
  <si>
    <t>-3.6793769006013415</t>
  </si>
  <si>
    <t>0.5847974014367558</t>
  </si>
  <si>
    <t>-0.9216047525168629</t>
  </si>
  <si>
    <t>1.9951416644583897</t>
  </si>
  <si>
    <t>-1.2101201563813007</t>
  </si>
  <si>
    <t>0.528433764384736</t>
  </si>
  <si>
    <t>1.0672952608410673</t>
  </si>
  <si>
    <t>-0.7158584813424924</t>
  </si>
  <si>
    <t>-0.19725533962787012</t>
  </si>
  <si>
    <t>-0.40672323045499104</t>
  </si>
  <si>
    <t>-2.846550664516314</t>
  </si>
  <si>
    <t>-1.9430315816825505</t>
  </si>
  <si>
    <t>-1.5103958734047995</t>
  </si>
  <si>
    <t>-1.2210288977241728</t>
  </si>
  <si>
    <t>1.0359858294142434</t>
  </si>
  <si>
    <t>0.16823078444160872</t>
  </si>
  <si>
    <t>-1.9770653061715782</t>
  </si>
  <si>
    <t>-1.3389236705398737</t>
  </si>
  <si>
    <t>-2.1294574939386117</t>
  </si>
  <si>
    <t>0.04531519335484823</t>
  </si>
  <si>
    <t>3.204364368897066</t>
  </si>
  <si>
    <t>-1.5863086687840204</t>
  </si>
  <si>
    <t>-1.898924419359182</t>
  </si>
  <si>
    <t>-1.8270124154477336</t>
  </si>
  <si>
    <t>0.49091654852574446</t>
  </si>
  <si>
    <t>1.644543992659083</t>
  </si>
  <si>
    <t>0.5762462289118168</t>
  </si>
  <si>
    <t>-0.42130671066923003</t>
  </si>
  <si>
    <t>-1.92733418088168</t>
  </si>
  <si>
    <t>-1.5347605518621525</t>
  </si>
  <si>
    <t>-0.9596465282415769</t>
  </si>
  <si>
    <t>1.6481508881993192</t>
  </si>
  <si>
    <t>0.19133824956829454</t>
  </si>
  <si>
    <t>1.9173119978044655</t>
  </si>
  <si>
    <t>-0.34935733053253176</t>
  </si>
  <si>
    <t>-2.235550436631574</t>
  </si>
  <si>
    <t>3.100388593796348</t>
  </si>
  <si>
    <t>-4.6795389956104065</t>
  </si>
  <si>
    <t>-0.3461986937848946</t>
  </si>
  <si>
    <t>-1.7325986762143528</t>
  </si>
  <si>
    <t>-3.3747061363263793</t>
  </si>
  <si>
    <t>-0.9035798692922584</t>
  </si>
  <si>
    <t>0.10855035806599223</t>
  </si>
  <si>
    <t>-1.3404326606308343</t>
  </si>
  <si>
    <t>-1.2622125570893328</t>
  </si>
  <si>
    <t>0.02686758897247111</t>
  </si>
  <si>
    <t>1.5244194898367551</t>
  </si>
  <si>
    <t>-0.8674126495285049</t>
  </si>
  <si>
    <t>0.3228513764912899</t>
  </si>
  <si>
    <t>1.2229746733199618</t>
  </si>
  <si>
    <t>-3.80397525408718</t>
  </si>
  <si>
    <t>-0.1349027763313018</t>
  </si>
  <si>
    <t>-2.4143871826489587</t>
  </si>
  <si>
    <t>-1.1108336384139725</t>
  </si>
  <si>
    <t>-3.7389359465210217</t>
  </si>
  <si>
    <t>1.5402399160212872</t>
  </si>
  <si>
    <t>1.9081036914967933</t>
  </si>
  <si>
    <t>-1.6859510656671866</t>
  </si>
  <si>
    <t>2.21774731858546</t>
  </si>
  <si>
    <t>2.089687833566688</t>
  </si>
  <si>
    <t>0.6941983381829286</t>
  </si>
  <si>
    <t>-1.2302036189265046</t>
  </si>
  <si>
    <t>2.827121405656204</t>
  </si>
  <si>
    <t>-1.4586335157766197</t>
  </si>
  <si>
    <t>-1.4710720282223406</t>
  </si>
  <si>
    <t>-0.738337386213979</t>
  </si>
  <si>
    <t>3.1845208085391024</t>
  </si>
  <si>
    <t>-0.17041867306691638</t>
  </si>
  <si>
    <t>-2.859200346111249</t>
  </si>
  <si>
    <t>-0.5939881880153752</t>
  </si>
  <si>
    <t>1.6067907670636716</t>
  </si>
  <si>
    <t>-0.9738803345502606</t>
  </si>
  <si>
    <t>0.903155333596731</t>
  </si>
  <si>
    <t>-0.8704190066213549</t>
  </si>
  <si>
    <t>-2.19335559727971</t>
  </si>
  <si>
    <t>-0.5408369669960548</t>
  </si>
  <si>
    <t>-0.8479888812945668</t>
  </si>
  <si>
    <t>-2.203379228633698</t>
  </si>
  <si>
    <t>0.4153037885326723</t>
  </si>
  <si>
    <t>0.43029698948589923</t>
  </si>
  <si>
    <t>0.9834011761385405</t>
  </si>
  <si>
    <t>-0.9330811324617467</t>
  </si>
  <si>
    <t>0.9754692138386754</t>
  </si>
  <si>
    <t>2.6261604193474377</t>
  </si>
  <si>
    <t>-1.1001037174602881</t>
  </si>
  <si>
    <t>-0.6239815299031728</t>
  </si>
  <si>
    <t>0.7762761358860959</t>
  </si>
  <si>
    <t>0.8578948067569773</t>
  </si>
  <si>
    <t>0.27843956012998</t>
  </si>
  <si>
    <t>0.560057032066643</t>
  </si>
  <si>
    <t>4.627437539809739</t>
  </si>
  <si>
    <t>-2.2954543935814455</t>
  </si>
  <si>
    <t>0.3072313803405572</t>
  </si>
  <si>
    <t>-0.4760003013161377</t>
  </si>
  <si>
    <t>0.5899927169977609</t>
  </si>
  <si>
    <t>-0.8523011385142484</t>
  </si>
  <si>
    <t>-0.06891252218278388</t>
  </si>
  <si>
    <t>-0.14988867773397052</t>
  </si>
  <si>
    <t>-1.8502483954269888</t>
  </si>
  <si>
    <t>-2.5039040952492555</t>
  </si>
  <si>
    <t>2.43324998472654</t>
  </si>
  <si>
    <t>0.5391293165452392</t>
  </si>
  <si>
    <t>3.608939718186651</t>
  </si>
  <si>
    <t>0.03932095329543428</t>
  </si>
  <si>
    <t>1.0738442482828687</t>
  </si>
  <si>
    <t>1.648063177862292</t>
  </si>
  <si>
    <t>-1.5441198707422206</t>
  </si>
  <si>
    <t>-0.13839709146019738</t>
  </si>
  <si>
    <t>2.1681113225463506</t>
  </si>
  <si>
    <t>3.0204602197855026</t>
  </si>
  <si>
    <t>1.4852244362760545</t>
  </si>
  <si>
    <t>-2.174636830961043</t>
  </si>
  <si>
    <t>0.2249457454112565</t>
  </si>
  <si>
    <t>-0.2128879954162575</t>
  </si>
  <si>
    <t>-3.7370762505676556</t>
  </si>
  <si>
    <t>-2.785889676468195</t>
  </si>
  <si>
    <t>1.5463425604966046</t>
  </si>
  <si>
    <t>-2.134269559196573</t>
  </si>
  <si>
    <t>-0.42770684148417276</t>
  </si>
  <si>
    <t>3.3468491917394796</t>
  </si>
  <si>
    <t>-0.13557141490623126</t>
  </si>
  <si>
    <t>-1.0656816846890707</t>
  </si>
  <si>
    <t>-0.7540235858192406</t>
  </si>
  <si>
    <t>-0.4952335972032897</t>
  </si>
  <si>
    <t>0.2993235549343032</t>
  </si>
  <si>
    <t>2.2375314766613625</t>
  </si>
  <si>
    <t>-4.049968864736678</t>
  </si>
  <si>
    <t>1.0472968203299502</t>
  </si>
  <si>
    <t>-2.800943973656803</t>
  </si>
  <si>
    <t>1.7752133146043738</t>
  </si>
  <si>
    <t>-1.572393039274593</t>
  </si>
  <si>
    <t>-0.5450890581292401</t>
  </si>
  <si>
    <t>0.6341480675770257</t>
  </si>
  <si>
    <t>-0.40379171743272446</t>
  </si>
  <si>
    <t>-0.16626867410905377</t>
  </si>
  <si>
    <t>0.19566098019913858</t>
  </si>
  <si>
    <t>-0.5995633004204919</t>
  </si>
  <si>
    <t>-1.1346848943242929</t>
  </si>
  <si>
    <t>-0.8121477422082696</t>
  </si>
  <si>
    <t>-1.1482689904627978</t>
  </si>
  <si>
    <t>1.8198037584063862</t>
  </si>
  <si>
    <t>3.9902985965335804</t>
  </si>
  <si>
    <t>-2.215443873888639</t>
  </si>
  <si>
    <t>-0.9666091514991734</t>
  </si>
  <si>
    <t>-1.8609565242839587</t>
  </si>
  <si>
    <t>0.4060978535942255</t>
  </si>
  <si>
    <t>0.6077348930312506</t>
  </si>
  <si>
    <t>0.009851425768788656</t>
  </si>
  <si>
    <t>-0.2429799769410818</t>
  </si>
  <si>
    <t>0.5853281032730541</t>
  </si>
  <si>
    <t>-1.5126474443574711</t>
  </si>
  <si>
    <t>-0.7697032344429302</t>
  </si>
  <si>
    <t>-1.2206820083253642</t>
  </si>
  <si>
    <t>0.19636936088001405</t>
  </si>
  <si>
    <t>1.3821922126185422</t>
  </si>
  <si>
    <t>0.18196827607630447</t>
  </si>
  <si>
    <t>0.8243683754359454</t>
  </si>
  <si>
    <t>2.675724759361374</t>
  </si>
  <si>
    <t>-2.0032346132308123</t>
  </si>
  <si>
    <t>0.7305730358533774</t>
  </si>
  <si>
    <t>-1.1970449568938777</t>
  </si>
  <si>
    <t>2.3995807490158994</t>
  </si>
  <si>
    <t>1.2296726774780191</t>
  </si>
  <si>
    <t>-1.5256381721583494</t>
  </si>
  <si>
    <t>0.5019099022170651</t>
  </si>
  <si>
    <t>1.3356056215874132</t>
  </si>
  <si>
    <t>1.928200598389648</t>
  </si>
  <si>
    <t>-2.2121966278788867</t>
  </si>
  <si>
    <t>1.4057153716388402</t>
  </si>
  <si>
    <t>-0.7449870911102157</t>
  </si>
  <si>
    <t>-1.4702226282957085</t>
  </si>
  <si>
    <t>-2.396870360845252</t>
  </si>
  <si>
    <t>-0.11115336735117534</t>
  </si>
  <si>
    <t>0.38868643851728923</t>
  </si>
  <si>
    <t>1.637013847779374</t>
  </si>
  <si>
    <t>-1.5008127985266644</t>
  </si>
  <si>
    <t>0.19542654826166386</t>
  </si>
  <si>
    <t>1.8220653644859495</t>
  </si>
  <si>
    <t>2.1077561916908287</t>
  </si>
  <si>
    <t>-1.2177627729368272</t>
  </si>
  <si>
    <t>-1.7509557897165624</t>
  </si>
  <si>
    <t>-2.503562948396784</t>
  </si>
  <si>
    <t>1.8684583878638432</t>
  </si>
  <si>
    <t>2.02135326416377</t>
  </si>
  <si>
    <t>-1.9798058796421543</t>
  </si>
  <si>
    <t>2.358950877723056</t>
  </si>
  <si>
    <t>1.292463127713169</t>
  </si>
  <si>
    <t>1.5052798769664386</t>
  </si>
  <si>
    <t>0.19130861052967427</t>
  </si>
  <si>
    <t>-0.4962726219268633</t>
  </si>
  <si>
    <t>0.3444079423358616</t>
  </si>
  <si>
    <t>0.2311163322793174</t>
  </si>
  <si>
    <t>-0.6226034931287958</t>
  </si>
  <si>
    <t>0.18342347640643264</t>
  </si>
  <si>
    <t>-0.04409889961687281</t>
  </si>
  <si>
    <t>-1.59734043064096</t>
  </si>
  <si>
    <t>-0.9232038200780185</t>
  </si>
  <si>
    <t>-1.9851070941259958</t>
  </si>
  <si>
    <t>0.04300295909965253</t>
  </si>
  <si>
    <t>-0.898653658196677</t>
  </si>
  <si>
    <t>-2.1300508772895044</t>
  </si>
  <si>
    <t>-0.2999308162680141</t>
  </si>
  <si>
    <t>1.2433870170286985</t>
  </si>
  <si>
    <t>-2.224949917827839</t>
  </si>
  <si>
    <t>0.7049027991127456</t>
  </si>
  <si>
    <t>-1.477351753534324</t>
  </si>
  <si>
    <t>-1.779736625324405</t>
  </si>
  <si>
    <t>-1.6359094961255096</t>
  </si>
  <si>
    <t>-0.23809579804008799</t>
  </si>
  <si>
    <t>-1.8853564109161784</t>
  </si>
  <si>
    <t>-2.189032982082091</t>
  </si>
  <si>
    <t>2.164926576597292</t>
  </si>
  <si>
    <t>2.276623840127552</t>
  </si>
  <si>
    <t>1.0318843716029071</t>
  </si>
  <si>
    <t>-0.5467224708400528</t>
  </si>
  <si>
    <t>0.16993077251517305</t>
  </si>
  <si>
    <t>-0.4082380717835929</t>
  </si>
  <si>
    <t>0.8597916969417246</t>
  </si>
  <si>
    <t>-1.508198088222223</t>
  </si>
  <si>
    <t>-1.143135132195429</t>
  </si>
  <si>
    <t>-0.4349232703106439</t>
  </si>
  <si>
    <t>-0.6448623738421471</t>
  </si>
  <si>
    <t>-1.716870750742953</t>
  </si>
  <si>
    <t>2.699285702732431</t>
  </si>
  <si>
    <t>0.8081616360163998</t>
  </si>
  <si>
    <t>1.3140307041797183</t>
  </si>
  <si>
    <t>2.017656402110143</t>
  </si>
  <si>
    <t>1.0829308487106555</t>
  </si>
  <si>
    <t>-1.944901787166816</t>
  </si>
  <si>
    <t>-4.005226132901341</t>
  </si>
  <si>
    <t>0.12827746169270715</t>
  </si>
  <si>
    <t>3.458013782730304</t>
  </si>
  <si>
    <t>2.67347006362398</t>
  </si>
  <si>
    <t>-1.3242575778443784</t>
  </si>
  <si>
    <t>-0.34582693113106405</t>
  </si>
  <si>
    <t>0.6007054844521842</t>
  </si>
  <si>
    <t>-1.7802987773006707</t>
  </si>
  <si>
    <t>1.3796810939377708</t>
  </si>
  <si>
    <t>-1.1874266725682006</t>
  </si>
  <si>
    <t>0.7308263972036171</t>
  </si>
  <si>
    <t>1.766299994184527</t>
  </si>
  <si>
    <t>-0.754480098033708</t>
  </si>
  <si>
    <t>1.5722812988483836</t>
  </si>
  <si>
    <t>-0.2889350114390164</t>
  </si>
  <si>
    <t>1.5265835269214785</t>
  </si>
  <si>
    <t>1.9574013743392813</t>
  </si>
  <si>
    <t>-1.918066845773289</t>
  </si>
  <si>
    <t>1.3033071328840578</t>
  </si>
  <si>
    <t>1.6902791229649898</t>
  </si>
  <si>
    <t>-0.12108230097317595</t>
  </si>
  <si>
    <t>-0.22111557295850548</t>
  </si>
  <si>
    <t>1.008000708113073</t>
  </si>
  <si>
    <t>-1.186642972208578</t>
  </si>
  <si>
    <t>-2.241999535549157</t>
  </si>
  <si>
    <t>0.7713573905052359</t>
  </si>
  <si>
    <t>0.4544722890786954</t>
  </si>
  <si>
    <t>-0.9819434332951417</t>
  </si>
  <si>
    <t>0.676466193624022</t>
  </si>
  <si>
    <t>0.11523779226873111</t>
  </si>
  <si>
    <t>0.20884734263948163</t>
  </si>
  <si>
    <t>-0.44704172561418676</t>
  </si>
  <si>
    <t>-1.4841809866775875</t>
  </si>
  <si>
    <t>0.8209100695637582</t>
  </si>
  <si>
    <t>-0.827785995092097</t>
  </si>
  <si>
    <t>0.6585018516230471</t>
  </si>
  <si>
    <t>0.2735741988815868</t>
  </si>
  <si>
    <t>-0.020229135232870923</t>
  </si>
  <si>
    <t>-1.2100493398872814</t>
  </si>
  <si>
    <t>0.24508701882209802</t>
  </si>
  <si>
    <t>0.0365581199840444</t>
  </si>
  <si>
    <t>-1.4750695344793991</t>
  </si>
  <si>
    <t>0.18862409174735204</t>
  </si>
  <si>
    <t>-0.9986792354805178</t>
  </si>
  <si>
    <t>1.2602656977328544</t>
  </si>
  <si>
    <t>-0.16860684363310327</t>
  </si>
  <si>
    <t>-1.0159238535613893</t>
  </si>
  <si>
    <t>2.145552537989574</t>
  </si>
  <si>
    <t>-0.04612979693612407</t>
  </si>
  <si>
    <t>-0.6124253759312182</t>
  </si>
  <si>
    <t>0.23957082959947631</t>
  </si>
  <si>
    <t>-0.3441299846588145</t>
  </si>
  <si>
    <t>-1.4243118811244713</t>
  </si>
  <si>
    <t>1.8461974309879812</t>
  </si>
  <si>
    <t>-0.6370653988548122</t>
  </si>
  <si>
    <t>-0.464265892832325</t>
  </si>
  <si>
    <t>-0.404974703774775</t>
  </si>
  <si>
    <t>0.09730677516892629</t>
  </si>
  <si>
    <t>1.5158094777271278</t>
  </si>
  <si>
    <t>0.9460812117231336</t>
  </si>
  <si>
    <t>-0.5200636684193335</t>
  </si>
  <si>
    <t>1.1888913038063682</t>
  </si>
  <si>
    <t>-0.12423998886742005</t>
  </si>
  <si>
    <t>-1.07999032299891</t>
  </si>
  <si>
    <t>0.48312884910476017</t>
  </si>
  <si>
    <t>-0.08645192602782542</t>
  </si>
  <si>
    <t>-0.5043828988029828</t>
  </si>
  <si>
    <t>0.1327417457336975</t>
  </si>
  <si>
    <t>-4.959385635099594</t>
  </si>
  <si>
    <t>-0.562169355332689</t>
  </si>
  <si>
    <t>-0.07327556474623544</t>
  </si>
  <si>
    <t>-0.27929387568575637</t>
  </si>
  <si>
    <t>0.03636878751793827</t>
  </si>
  <si>
    <t>-0.03045769202711482</t>
  </si>
  <si>
    <t>-0.45451791039558725</t>
  </si>
  <si>
    <t>1.208365348605478</t>
  </si>
  <si>
    <t>2.1209769392779747</t>
  </si>
  <si>
    <t>1.6461978072189403</t>
  </si>
  <si>
    <t>0.9818176522801991</t>
  </si>
  <si>
    <t>-1.9072839893030678</t>
  </si>
  <si>
    <t>-0.2569989055417735</t>
  </si>
  <si>
    <t>1.4977395027035378</t>
  </si>
  <si>
    <t>1.4799318436106563</t>
  </si>
  <si>
    <t>-0.9695255452586007</t>
  </si>
  <si>
    <t>1.431706967408334</t>
  </si>
  <si>
    <t>1.711965044525828</t>
  </si>
  <si>
    <t>0.30613737200363716</t>
  </si>
  <si>
    <t>1.8106144967403002</t>
  </si>
  <si>
    <t>1.2530584456426195</t>
  </si>
  <si>
    <t>-1.480621675409369</t>
  </si>
  <si>
    <t>-0.17087562731765238</t>
  </si>
  <si>
    <t>1.1992209205929156</t>
  </si>
  <si>
    <t>0.41265723048342656</t>
  </si>
  <si>
    <t>-1.76013976703404</t>
  </si>
  <si>
    <t>1.660274585956878</t>
  </si>
  <si>
    <t>1.6343883313032346</t>
  </si>
  <si>
    <t>-0.258249599494454</t>
  </si>
  <si>
    <t>-0.5257017756654536</t>
  </si>
  <si>
    <t>0.8521683811283521</t>
  </si>
  <si>
    <t>1.350294313786781</t>
  </si>
  <si>
    <t>-2.3570235168831366</t>
  </si>
  <si>
    <t>-0.5362274461808925</t>
  </si>
  <si>
    <t>-0.5805434425906717</t>
  </si>
  <si>
    <t>0.6770608241317048</t>
  </si>
  <si>
    <t>0.3385679965349564</t>
  </si>
  <si>
    <t>-0.8072346766236677</t>
  </si>
  <si>
    <t>-0.10861008851417137</t>
  </si>
  <si>
    <t>-0.11939158129475232</t>
  </si>
  <si>
    <t>2.3258301378293083</t>
  </si>
  <si>
    <t>3.1406813005318583</t>
  </si>
  <si>
    <t>2.395936789566185</t>
  </si>
  <si>
    <t>0.8126058811782251</t>
  </si>
  <si>
    <t>-0.7357114356727595</t>
  </si>
  <si>
    <t>0.3472544557430594</t>
  </si>
  <si>
    <t>-1.575675144186626</t>
  </si>
  <si>
    <t>-0.08601547657969884</t>
  </si>
  <si>
    <t>2.463569150913601</t>
  </si>
  <si>
    <t>-0.011947496226801971</t>
  </si>
  <si>
    <t>1.0459533905135514</t>
  </si>
  <si>
    <t>2.3991013394595377</t>
  </si>
  <si>
    <t>-1.1741500569508527</t>
  </si>
  <si>
    <t>2.124966800412197</t>
  </si>
  <si>
    <t>-0.29364483610741127</t>
  </si>
  <si>
    <t>-1.8946573597662872</t>
  </si>
  <si>
    <t>-2.2775991680845458</t>
  </si>
  <si>
    <t>1.361903261232901</t>
  </si>
  <si>
    <t>1.458940077077519</t>
  </si>
  <si>
    <t>0.4522259002615704</t>
  </si>
  <si>
    <t>0.14280684458575427</t>
  </si>
  <si>
    <t>0.4270702935682521</t>
  </si>
  <si>
    <t>1.1760748423380076</t>
  </si>
  <si>
    <t>1.5703201066417636</t>
  </si>
  <si>
    <t>-3.3266377352843324</t>
  </si>
  <si>
    <t>1.7027884577024386</t>
  </si>
  <si>
    <t>-0.6018096619668916</t>
  </si>
  <si>
    <t>0.110314905481398</t>
  </si>
  <si>
    <t>2.876693213123416</t>
  </si>
  <si>
    <t>-0.4314319038354093</t>
  </si>
  <si>
    <t>0.3871801109779342</t>
  </si>
  <si>
    <t>2.452133935276099</t>
  </si>
  <si>
    <t>0.8531515397451592</t>
  </si>
  <si>
    <t>-2.2531936340071774</t>
  </si>
  <si>
    <t>-0.012492147437501409</t>
  </si>
  <si>
    <t>1.1121568115809455</t>
  </si>
  <si>
    <t>2.240036592209514</t>
  </si>
  <si>
    <t>1.4106712760066697</t>
  </si>
  <si>
    <t>-1.7543779116532414</t>
  </si>
  <si>
    <t>3.3133340186926845</t>
  </si>
  <si>
    <t>-1.54726598939806</t>
  </si>
  <si>
    <t>2.5832814978220817</t>
  </si>
  <si>
    <t>-1.3756057908818045</t>
  </si>
  <si>
    <t>0.6517575536674913</t>
  </si>
  <si>
    <t>1.812042531874924</t>
  </si>
  <si>
    <t>0.44508056532354634</t>
  </si>
  <si>
    <t>-0.13576762040588167</t>
  </si>
  <si>
    <t>0.9210298107522078</t>
  </si>
  <si>
    <t>3.3873113168198943</t>
  </si>
  <si>
    <t>-1.8270818304309622</t>
  </si>
  <si>
    <t>1.2261523406028823</t>
  </si>
  <si>
    <t>1.2161212691505232</t>
  </si>
  <si>
    <t>-1.4028019457581697</t>
  </si>
  <si>
    <t>-0.9408735038275855</t>
  </si>
  <si>
    <t>-1.5872955852078017</t>
  </si>
  <si>
    <t>1.9358579943257093</t>
  </si>
  <si>
    <t>1.0366968447344855</t>
  </si>
  <si>
    <t>1.6376406998762532</t>
  </si>
  <si>
    <t>0.48649622615845867</t>
  </si>
  <si>
    <t>1.6118485644669451</t>
  </si>
  <si>
    <t>1.3428460761554655</t>
  </si>
  <si>
    <t>1.8986147454666094</t>
  </si>
  <si>
    <t>1.5019775640207673</t>
  </si>
  <si>
    <t>1.0892129523554146</t>
  </si>
  <si>
    <t>-2.13677507546774</t>
  </si>
  <si>
    <t>0.4392412313585759</t>
  </si>
  <si>
    <t>0.7526682602927588</t>
  </si>
  <si>
    <t>-0.922649093337598</t>
  </si>
  <si>
    <t>0.744888040019623</t>
  </si>
  <si>
    <t>0.07020536921385212</t>
  </si>
  <si>
    <t>-0.6384532739664589</t>
  </si>
  <si>
    <t>-0.4209965010130634</t>
  </si>
  <si>
    <t>0.8644099240962902</t>
  </si>
  <si>
    <t>-0.6825372975678906</t>
  </si>
  <si>
    <t>-1.8374605662090528</t>
  </si>
  <si>
    <t>0.728613389976519</t>
  </si>
  <si>
    <t>1.0774428658258033</t>
  </si>
  <si>
    <t>-2.2185419973290355</t>
  </si>
  <si>
    <t>-2.341335696401824</t>
  </si>
  <si>
    <t>-2.359469601434121</t>
  </si>
  <si>
    <t>0.23764640567574982</t>
  </si>
  <si>
    <t>-0.30206357995434996</t>
  </si>
  <si>
    <t>0.9164616251905169</t>
  </si>
  <si>
    <t>-0.1096063568014434</t>
  </si>
  <si>
    <t>-0.6022959987995766</t>
  </si>
  <si>
    <t>0.2550215678944307</t>
  </si>
  <si>
    <t>-0.6067744586975647</t>
  </si>
  <si>
    <t>0.3639852495874703</t>
  </si>
  <si>
    <t>0.9489053143553354</t>
  </si>
  <si>
    <t>-2.1737128547022775</t>
  </si>
  <si>
    <t>-0.25976253261029136</t>
  </si>
  <si>
    <t>-1.3872217803525249</t>
  </si>
  <si>
    <t>0.058178327619896324</t>
  </si>
  <si>
    <t>0.706605756405425</t>
  </si>
  <si>
    <t>0.5850211123809579</t>
  </si>
  <si>
    <t>1.3059296933129254</t>
  </si>
  <si>
    <t>-1.6155929227772328</t>
  </si>
  <si>
    <t>2.2036929538167502</t>
  </si>
  <si>
    <t>-1.063308482052437</t>
  </si>
  <si>
    <t>-1.083909271134829</t>
  </si>
  <si>
    <t>-0.08940620940265755</t>
  </si>
  <si>
    <t>-0.9576745917201136</t>
  </si>
  <si>
    <t>1.070524008358855</t>
  </si>
  <si>
    <t>1.7480333460221829</t>
  </si>
  <si>
    <t>2.0859896951546406</t>
  </si>
  <si>
    <t>-0.8209778711286215</t>
  </si>
  <si>
    <t>-2.3032767782445456</t>
  </si>
  <si>
    <t>-1.0452730549160183</t>
  </si>
  <si>
    <t>-1.9644722053054195</t>
  </si>
  <si>
    <t>-1.131272378384803</t>
  </si>
  <si>
    <t>1.0395266933579006</t>
  </si>
  <si>
    <t>-0.9840191893484269</t>
  </si>
  <si>
    <t>2.030790632939555</t>
  </si>
  <si>
    <t>-1.723961572450528</t>
  </si>
  <si>
    <t>1.2509247386647795</t>
  </si>
  <si>
    <t>-1.9968499712067083</t>
  </si>
  <si>
    <t>-0.042892650335298564</t>
  </si>
  <si>
    <t>0.8043232045340136</t>
  </si>
  <si>
    <t>-0.16410621592857996</t>
  </si>
  <si>
    <t>-0.8386999677451653</t>
  </si>
  <si>
    <t>-1.4327379589761207</t>
  </si>
  <si>
    <t>-0.8046803644435553</t>
  </si>
  <si>
    <t>-0.21131297123506226</t>
  </si>
  <si>
    <t>0.2817264463308442</t>
  </si>
  <si>
    <t>0.8360056032567457</t>
  </si>
  <si>
    <t>0.6848800018731814</t>
  </si>
  <si>
    <t>2.2605256985021716</t>
  </si>
  <si>
    <t>-1.1085706747431001</t>
  </si>
  <si>
    <t>-0.5740823775141352</t>
  </si>
  <si>
    <t>2.534313929753999</t>
  </si>
  <si>
    <t>1.6389312473881978</t>
  </si>
  <si>
    <t>1.3489327811891842</t>
  </si>
  <si>
    <t>-1.0274564325158164</t>
  </si>
  <si>
    <t>-1.9109375926921117</t>
  </si>
  <si>
    <t>1.3026313820964126</t>
  </si>
  <si>
    <t>-1.574974401930666</t>
  </si>
  <si>
    <t>1.4453178230038226</t>
  </si>
  <si>
    <t>-2.692490716653361</t>
  </si>
  <si>
    <t>0.724466176836745</t>
  </si>
  <si>
    <t>0.8634026671781864</t>
  </si>
  <si>
    <t>-1.635082221812836</t>
  </si>
  <si>
    <t>0.4730398493660727</t>
  </si>
  <si>
    <t>0.1846695702158946</t>
  </si>
  <si>
    <t>3.056641168772849</t>
  </si>
  <si>
    <t>1.0537040341137516</t>
  </si>
  <si>
    <t>1.897108966813973</t>
  </si>
  <si>
    <t>1.6587561586876038</t>
  </si>
  <si>
    <t>-1.49735839270821</t>
  </si>
  <si>
    <t>-0.9972886131437195</t>
  </si>
  <si>
    <t>-0.5342106889160346</t>
  </si>
  <si>
    <t>-0.6589184410661305</t>
  </si>
  <si>
    <t>0.6839729285105515</t>
  </si>
  <si>
    <t>-0.7183073535321327</t>
  </si>
  <si>
    <t>0.47153095620323043</t>
  </si>
  <si>
    <t>-0.7515809574617163</t>
  </si>
  <si>
    <t>-1.407962236593081</t>
  </si>
  <si>
    <t>-0.9752152630064418</t>
  </si>
  <si>
    <t>0.4901083673689304</t>
  </si>
  <si>
    <t>-5.203587970931045</t>
  </si>
  <si>
    <t>1.603172103966128</t>
  </si>
  <si>
    <t>0.5348870340424142</t>
  </si>
  <si>
    <t>-1.2007544847447178</t>
  </si>
  <si>
    <t>0.46797051031534914</t>
  </si>
  <si>
    <t>0.3223902978896387</t>
  </si>
  <si>
    <t>-0.6257459294702171</t>
  </si>
  <si>
    <t>0.5198877647934129</t>
  </si>
  <si>
    <t>-0.5985554096357164</t>
  </si>
  <si>
    <t>0.22478630249181622</t>
  </si>
  <si>
    <t>-1.4260362900922587</t>
  </si>
  <si>
    <t>-0.6885600476027681</t>
  </si>
  <si>
    <t>0.1838404731897376</t>
  </si>
  <si>
    <t>-0.6246275443232729</t>
  </si>
  <si>
    <t>0.09255863245580787</t>
  </si>
  <si>
    <t>-0.6409986156975513</t>
  </si>
  <si>
    <t>-0.17798449442076986</t>
  </si>
  <si>
    <t>2.27719951222011</t>
  </si>
  <si>
    <t>0.9308197679639237</t>
  </si>
  <si>
    <t>-2.2540807644419254</t>
  </si>
  <si>
    <t>0.360584089286379</t>
  </si>
  <si>
    <t>0.03915283279034837</t>
  </si>
  <si>
    <t>0.23147646484448653</t>
  </si>
  <si>
    <t>3.3663934777008664</t>
  </si>
  <si>
    <t>-1.30006696750157</t>
  </si>
  <si>
    <t>0.7316235698783599</t>
  </si>
  <si>
    <t>0.5185209260333266</t>
  </si>
  <si>
    <t>0.0052168350851068265</t>
  </si>
  <si>
    <t>-1.1509988287130093</t>
  </si>
  <si>
    <t>0.10930559192226366</t>
  </si>
  <si>
    <t>-1.9004385788681757</t>
  </si>
  <si>
    <t>2.184054340902727</t>
  </si>
  <si>
    <t>0.9617098443902956</t>
  </si>
  <si>
    <t>-0.7444200843064668</t>
  </si>
  <si>
    <t>-0.8431006224768844</t>
  </si>
  <si>
    <t>-1.7112044009326788</t>
  </si>
  <si>
    <t>-0.01758828802909706</t>
  </si>
  <si>
    <t>-1.074076423033639</t>
  </si>
  <si>
    <t>-1.9888613346004578</t>
  </si>
  <si>
    <t>1.11122559361342</t>
  </si>
  <si>
    <t>0.8488102586268726</t>
  </si>
  <si>
    <t>4.199749648992705</t>
  </si>
  <si>
    <t>2.1331954943076497</t>
  </si>
  <si>
    <t>-0.18863616902059935</t>
  </si>
  <si>
    <t>2.6875760185786093</t>
  </si>
  <si>
    <t>0.25115326034375746</t>
  </si>
  <si>
    <t>1.1845199565183864</t>
  </si>
  <si>
    <t>0.6081587100084797</t>
  </si>
  <si>
    <t>0.9131602162806057</t>
  </si>
  <si>
    <t>1.1000706860433715</t>
  </si>
  <si>
    <t>-0.3401114988252126</t>
  </si>
  <si>
    <t>-0.11933195208572756</t>
  </si>
  <si>
    <t>1.125794597244324</t>
  </si>
  <si>
    <t>-1.4061410445197493</t>
  </si>
  <si>
    <t>-1.8511693365451236</t>
  </si>
  <si>
    <t>0.6000289656203583</t>
  </si>
  <si>
    <t>-1.4517625786473942</t>
  </si>
  <si>
    <t>-1.037929899356834</t>
  </si>
  <si>
    <t>2.7592826930998267</t>
  </si>
  <si>
    <t>-0.523649029809106</t>
  </si>
  <si>
    <t>-1.5282079769810208</t>
  </si>
  <si>
    <t>-2.2195772793718507</t>
  </si>
  <si>
    <t>0.05755597167141057</t>
  </si>
  <si>
    <t>-1.7703901888117994</t>
  </si>
  <si>
    <t>0.7047279191452028</t>
  </si>
  <si>
    <t>0.973710572643266</t>
  </si>
  <si>
    <t>0.3404068029707283</t>
  </si>
  <si>
    <t>-0.4057580548134935</t>
  </si>
  <si>
    <t>-0.8446660910292227</t>
  </si>
  <si>
    <t>-2.5304526347516885</t>
  </si>
  <si>
    <t>1.4650182287092044</t>
  </si>
  <si>
    <t>3.357047524264233</t>
  </si>
  <si>
    <t>1.2260086209662646</t>
  </si>
  <si>
    <t>-1.55412239918593</t>
  </si>
  <si>
    <t>-1.4129855454870874</t>
  </si>
  <si>
    <t>-0.6069238357083393</t>
  </si>
  <si>
    <t>-0.4223021565122833</t>
  </si>
  <si>
    <t>0.7106908760104296</t>
  </si>
  <si>
    <t>3.1585236025962713</t>
  </si>
  <si>
    <t>-1.614037733163671</t>
  </si>
  <si>
    <t>2.9126347146795513</t>
  </si>
  <si>
    <t>-0.7576781055357584</t>
  </si>
  <si>
    <t>-3.1003901428071083</t>
  </si>
  <si>
    <t>-3.9832190663450935</t>
  </si>
  <si>
    <t>0.5754074533871013</t>
  </si>
  <si>
    <t>0.0020629418389926817</t>
  </si>
  <si>
    <t>2.0113684035902355</t>
  </si>
  <si>
    <t>1.0702305248441708</t>
  </si>
  <si>
    <t>-1.0954168893270377</t>
  </si>
  <si>
    <t>-0.5308534606934654</t>
  </si>
  <si>
    <t>-1.5141977163433944</t>
  </si>
  <si>
    <t>1.4782342985503651</t>
  </si>
  <si>
    <t>2.5225675974847372</t>
  </si>
  <si>
    <t>-0.5640282963722324</t>
  </si>
  <si>
    <t>1.1560543135755792</t>
  </si>
  <si>
    <t>1.6300648470626973</t>
  </si>
  <si>
    <t>1.2885885695844972</t>
  </si>
  <si>
    <t>1.561310908798871</t>
  </si>
  <si>
    <t>-0.9066915484399332</t>
  </si>
  <si>
    <t>-0.8884412372268111</t>
  </si>
  <si>
    <t>-2.5997822740170027</t>
  </si>
  <si>
    <t>0.3111553443089944</t>
  </si>
  <si>
    <t>-2.2777619639503617</t>
  </si>
  <si>
    <t>0.2476748540624796</t>
  </si>
  <si>
    <t>0.5011943176789371</t>
  </si>
  <si>
    <t>-0.008161460743697052</t>
  </si>
  <si>
    <t>-2.958787586768484</t>
  </si>
  <si>
    <t>0.7864150692253863</t>
  </si>
  <si>
    <t>1.5657587789688383</t>
  </si>
  <si>
    <t>0.9067479202864945</t>
  </si>
  <si>
    <t>0.32776009764854164</t>
  </si>
  <si>
    <t>1.3974958024592214</t>
  </si>
  <si>
    <t>-0.35626510571898234</t>
  </si>
  <si>
    <t>0.4530700236481366</t>
  </si>
  <si>
    <t>-1.1865902134756432</t>
  </si>
  <si>
    <t>-0.4794404824725817</t>
  </si>
  <si>
    <t>-3.6614841006822343</t>
  </si>
  <si>
    <t>-1.112889514844492</t>
  </si>
  <si>
    <t>-0.4602436265776873</t>
  </si>
  <si>
    <t>1.1981145112052156</t>
  </si>
  <si>
    <t>0.3572265244612377</t>
  </si>
  <si>
    <t>0.5769193398871733</t>
  </si>
  <si>
    <t>-0.3278319874699945</t>
  </si>
  <si>
    <t>-0.4356984158573967</t>
  </si>
  <si>
    <t>2.9115397965766685</t>
  </si>
  <si>
    <t>0.15937156321066528</t>
  </si>
  <si>
    <t>-2.1083337133871285</t>
  </si>
  <si>
    <t>-1.0844054694847889</t>
  </si>
  <si>
    <t>-2.608439546838721</t>
  </si>
  <si>
    <t>2.4892582698610837</t>
  </si>
  <si>
    <t>-2.2441973561175623</t>
  </si>
  <si>
    <t>-1.312897673188017</t>
  </si>
  <si>
    <t>0.7639425577342077</t>
  </si>
  <si>
    <t>0.23871292640953146</t>
  </si>
  <si>
    <t>-0.7328270803232985</t>
  </si>
  <si>
    <t>2.98414236518446</t>
  </si>
  <si>
    <t>1.8207455532681012</t>
  </si>
  <si>
    <t>-0.1368481293390267</t>
  </si>
  <si>
    <t>2.182741195994942</t>
  </si>
  <si>
    <t>0.833800454036489</t>
  </si>
  <si>
    <t>1.8245771186697828</t>
  </si>
  <si>
    <t>0.6742718203047705</t>
  </si>
  <si>
    <t>-0.9051587728934551</t>
  </si>
  <si>
    <t>-0.517071954343812</t>
  </si>
  <si>
    <t>1.4487543627677106</t>
  </si>
  <si>
    <t>1.2847778956127132</t>
  </si>
  <si>
    <t>1.2950662239892814</t>
  </si>
  <si>
    <t>0.6098811671853743</t>
  </si>
  <si>
    <t>0.6913043464256943</t>
  </si>
  <si>
    <t>2.222395927519504</t>
  </si>
  <si>
    <t>-2.7663988430223316</t>
  </si>
  <si>
    <t>-1.8860722251166824</t>
  </si>
  <si>
    <t>-1.734005708832273</t>
  </si>
  <si>
    <t>1.0311670723524813</t>
  </si>
  <si>
    <t>-2.2089193551425685</t>
  </si>
  <si>
    <t>1.320516356485749</t>
  </si>
  <si>
    <t>-0.6453078135143325</t>
  </si>
  <si>
    <t>-0.7961584727992276</t>
  </si>
  <si>
    <t>-1.3312277729592479</t>
  </si>
  <si>
    <t>-0.9394264516449736</t>
  </si>
  <si>
    <t>0.1696301147041223</t>
  </si>
  <si>
    <t>0.14549826057265658</t>
  </si>
  <si>
    <t>0.9278096877732301</t>
  </si>
  <si>
    <t>-0.060517281527168496</t>
  </si>
  <si>
    <t>-0.8716663389795999</t>
  </si>
  <si>
    <t>0.7767622753429364</t>
  </si>
  <si>
    <t>-0.04469498118740781</t>
  </si>
  <si>
    <t>-0.025165835501195773</t>
  </si>
  <si>
    <t>-0.35528673672708844</t>
  </si>
  <si>
    <t>-0.32468464242752765</t>
  </si>
  <si>
    <t>-0.3616674959975733</t>
  </si>
  <si>
    <t>2.0343406772671897</t>
  </si>
  <si>
    <t>-0.039158415951025975</t>
  </si>
  <si>
    <t>-1.8703118967316155</t>
  </si>
  <si>
    <t>-0.0877048780394614</t>
  </si>
  <si>
    <t>-0.5461300132182688</t>
  </si>
  <si>
    <t>0.8353905942800885</t>
  </si>
  <si>
    <t>0.4954557527941763</t>
  </si>
  <si>
    <t>0.9647875361689867</t>
  </si>
  <si>
    <t>0.8326748170263758</t>
  </si>
  <si>
    <t>0.5974052348868629</t>
  </si>
  <si>
    <t>1.0500682271208925</t>
  </si>
  <si>
    <t>-0.7078290831799214</t>
  </si>
  <si>
    <t>-0.2650275746005319</t>
  </si>
  <si>
    <t>-0.3338865706687827</t>
  </si>
  <si>
    <t>-0.3861483821204476</t>
  </si>
  <si>
    <t>0.45131688787519036</t>
  </si>
  <si>
    <t>-0.2644803995027503</t>
  </si>
  <si>
    <t>-0.553045564744157</t>
  </si>
  <si>
    <t>0.1552295845066646</t>
  </si>
  <si>
    <t>-0.14895281845372535</t>
  </si>
  <si>
    <t>-0.009443848347921847</t>
  </si>
  <si>
    <t>1.7794136070642261</t>
  </si>
  <si>
    <t>-0.7630325830930665</t>
  </si>
  <si>
    <t>-1.0785307635054284</t>
  </si>
  <si>
    <t>1.066506158528933</t>
  </si>
  <si>
    <t>0.8084950031698004</t>
  </si>
  <si>
    <t>-0.2552625203486389</t>
  </si>
  <si>
    <t>-0.4305058169682114</t>
  </si>
  <si>
    <t>-0.00954211156032431</t>
  </si>
  <si>
    <t>0.4381846754603235</t>
  </si>
  <si>
    <t>-0.4201598509825232</t>
  </si>
  <si>
    <t>-0.5855012163693655</t>
  </si>
  <si>
    <t>0.08753132348005653</t>
  </si>
  <si>
    <t>-0.3470339797497389</t>
  </si>
  <si>
    <t>-0.17396180146622087</t>
  </si>
  <si>
    <t>-0.9241096569328107</t>
  </si>
  <si>
    <t>0.11375412784425898</t>
  </si>
  <si>
    <t>-0.2426869220038499</t>
  </si>
  <si>
    <t>0.31552717067857033</t>
  </si>
  <si>
    <t>0.4027910868486363</t>
  </si>
  <si>
    <t>0.6996753498366086</t>
  </si>
  <si>
    <t>0.3374245116456737</t>
  </si>
  <si>
    <t>-0.2166796475481668</t>
  </si>
  <si>
    <t>-0.42634465221167134</t>
  </si>
  <si>
    <t>1.2756912918950623</t>
  </si>
  <si>
    <t>-0.5708728121038127</t>
  </si>
  <si>
    <t>-0.5809619738130279</t>
  </si>
  <si>
    <t>0.09695600661384586</t>
  </si>
  <si>
    <t>1.7497573971584448</t>
  </si>
  <si>
    <t>-0.20259237448454748</t>
  </si>
  <si>
    <t>-0.3870422001819148</t>
  </si>
  <si>
    <t>-1.2675479893992552</t>
  </si>
  <si>
    <t>-0.17549401043925447</t>
  </si>
  <si>
    <t>-0.06137534077126139</t>
  </si>
  <si>
    <t>-0.10381516407899201</t>
  </si>
  <si>
    <t>0.8300502543726489</t>
  </si>
  <si>
    <t>-0.06628027701803985</t>
  </si>
  <si>
    <t>0.9037457503526583</t>
  </si>
  <si>
    <t>0.7631318625623665</t>
  </si>
  <si>
    <t>-0.13293580017526158</t>
  </si>
  <si>
    <t>0.16284788920640766</t>
  </si>
  <si>
    <t>0.6345124840159717</t>
  </si>
  <si>
    <t>0.4309766450807001</t>
  </si>
  <si>
    <t>1.168079598109431</t>
  </si>
  <si>
    <t>-0.4799909976572446</t>
  </si>
  <si>
    <t>-0.10080511099708156</t>
  </si>
  <si>
    <t>-0.6106890742695665</t>
  </si>
  <si>
    <t>-0.22878356558860455</t>
  </si>
  <si>
    <t>3.3361088925945586</t>
  </si>
  <si>
    <t>-0.6623566076277074</t>
  </si>
  <si>
    <t>-0.3141024971391156</t>
  </si>
  <si>
    <t>0.19653277900991772</t>
  </si>
  <si>
    <t>-0.9644191323128478</t>
  </si>
  <si>
    <t>-0.0729822039485251</t>
  </si>
  <si>
    <t>-0.160842482281936</t>
  </si>
  <si>
    <t>0.5403312514745995</t>
  </si>
  <si>
    <t>0.7143105872541863</t>
  </si>
  <si>
    <t>1.051031174362908</t>
  </si>
  <si>
    <t>1.6171597947066627</t>
  </si>
  <si>
    <t>0.3072496375879339</t>
  </si>
  <si>
    <t>-0.7905841018450018</t>
  </si>
  <si>
    <t>-0.000919372844513664</t>
  </si>
  <si>
    <t>0.8963134878730189</t>
  </si>
  <si>
    <t>0.7889349671456535</t>
  </si>
  <si>
    <t>-1.025717193067608</t>
  </si>
  <si>
    <t>1.5608292376125035</t>
  </si>
  <si>
    <t>-1.4724839424699456</t>
  </si>
  <si>
    <t>0.10848270370632813</t>
  </si>
  <si>
    <t>-0.2903386685905587</t>
  </si>
  <si>
    <t>0.3737761058258202</t>
  </si>
  <si>
    <t>0.34212927414769373</t>
  </si>
  <si>
    <t>1.3179125098961055</t>
  </si>
  <si>
    <t>-1.4808266388854405</t>
  </si>
  <si>
    <t>-1.0096932122598137</t>
  </si>
  <si>
    <t>0.01606182360924325</t>
  </si>
  <si>
    <t>0.04762946096951755</t>
  </si>
  <si>
    <t>-0.07577497034705588</t>
  </si>
  <si>
    <t>-2.227118099222239</t>
  </si>
  <si>
    <t>1.9270763266311575</t>
  </si>
  <si>
    <t>1.0135955767985945</t>
  </si>
  <si>
    <t>-0.8690136005344117</t>
  </si>
  <si>
    <t>0.5194634969711518</t>
  </si>
  <si>
    <t>-0.4144405348061412</t>
  </si>
  <si>
    <t>0.7929257835617072</t>
  </si>
  <si>
    <t>1.8253624234905597</t>
  </si>
  <si>
    <t>-0.026249107962070622</t>
  </si>
  <si>
    <t>0.5073927307782068</t>
  </si>
  <si>
    <t>-1.242473486374074</t>
  </si>
  <si>
    <t>-0.6352538454355511</t>
  </si>
  <si>
    <t>1.1873910614864578</t>
  </si>
  <si>
    <t>-1.0819320287957397</t>
  </si>
  <si>
    <t>0.6526629324312442</t>
  </si>
  <si>
    <t>0.05333205360558152</t>
  </si>
  <si>
    <t>-0.08187429215425261</t>
  </si>
  <si>
    <t>0.24696911499352894</t>
  </si>
  <si>
    <t>1.3132252604155152</t>
  </si>
  <si>
    <t>-0.38761742806950666</t>
  </si>
  <si>
    <t>-1.240347960524088</t>
  </si>
  <si>
    <t>-0.4125824523130323</t>
  </si>
  <si>
    <t>-0.8749617175140508</t>
  </si>
  <si>
    <t>0.31924513009477373</t>
  </si>
  <si>
    <t>0.7744827778248876</t>
  </si>
  <si>
    <t>-0.5585296515004033</t>
  </si>
  <si>
    <t>-1.1280194700124904</t>
  </si>
  <si>
    <t>2.4090613880227516</t>
  </si>
  <si>
    <t>0.09240638831905791</t>
  </si>
  <si>
    <t>0.8669586810716899</t>
  </si>
  <si>
    <t>0.03583708932823149</t>
  </si>
  <si>
    <t>-0.5101565991728374</t>
  </si>
  <si>
    <t>-1.0356538698632705</t>
  </si>
  <si>
    <t>-0.10724503740151277</t>
  </si>
  <si>
    <t>0.24333926151251722</t>
  </si>
  <si>
    <t>-0.40766068802790834</t>
  </si>
  <si>
    <t>-1.0600250570657632</t>
  </si>
  <si>
    <t>-0.5797528362523697</t>
  </si>
  <si>
    <t>-1.7290849864457298</t>
  </si>
  <si>
    <t>0.9102980183628674</t>
  </si>
  <si>
    <t>0.65755205798371</t>
  </si>
  <si>
    <t>0.6866714968258816</t>
  </si>
  <si>
    <t>-0.6314436531375144</t>
  </si>
  <si>
    <t>-0.016180870999633716</t>
  </si>
  <si>
    <t>-0.15173672501143826</t>
  </si>
  <si>
    <t>0.2086435347620137</t>
  </si>
  <si>
    <t>0.3309833567093651</t>
  </si>
  <si>
    <t>0.983874208956739</t>
  </si>
  <si>
    <t>-0.06905188718160572</t>
  </si>
  <si>
    <t>-0.8637912777174653</t>
  </si>
  <si>
    <t>0.24544147708027148</t>
  </si>
  <si>
    <t>0.8243105190885059</t>
  </si>
  <si>
    <t>1.3643198487518704</t>
  </si>
  <si>
    <t>0.34709363004049304</t>
  </si>
  <si>
    <t>-0.536862158460125</t>
  </si>
  <si>
    <t>0.7644746506767882</t>
  </si>
  <si>
    <t>0.5206626152342823</t>
  </si>
  <si>
    <t>0.7416453840582536</t>
  </si>
  <si>
    <t>-0.37749995346161785</t>
  </si>
  <si>
    <t>0.12272612209855216</t>
  </si>
  <si>
    <t>-1.553187788746819</t>
  </si>
  <si>
    <t>-0.22517550849256987</t>
  </si>
  <si>
    <t>0.19662205589378418</t>
  </si>
  <si>
    <t>1.063879166941711</t>
  </si>
  <si>
    <t>0.9291624329168297</t>
  </si>
  <si>
    <t>-0.2636332639467405</t>
  </si>
  <si>
    <t>0.07064803530798702</t>
  </si>
  <si>
    <t>-0.03227384729914494</t>
  </si>
  <si>
    <t>0.43456928122762467</t>
  </si>
  <si>
    <t>-1.1212983447036997</t>
  </si>
  <si>
    <t>-0.5603504583706242</t>
  </si>
  <si>
    <t>-0.7270461744245014</t>
  </si>
  <si>
    <t>-0.6649982626374571</t>
  </si>
  <si>
    <t>0.21793165323794192</t>
  </si>
  <si>
    <t>-0.19175424454828102</t>
  </si>
  <si>
    <t>0.667680388457182</t>
  </si>
  <si>
    <t>1.1842977154994931</t>
  </si>
  <si>
    <t>0.8432513202099092</t>
  </si>
  <si>
    <t>-0.4162789694154972</t>
  </si>
  <si>
    <t>0.1843500926198206</t>
  </si>
  <si>
    <t>0.3330347085750095</t>
  </si>
  <si>
    <t>0.8238463863462564</t>
  </si>
  <si>
    <t>-0.46695598672275335</t>
  </si>
  <si>
    <t>0.663351337192262</t>
  </si>
  <si>
    <t>0.5175130316941999</t>
  </si>
  <si>
    <t>0.2992329205769553</t>
  </si>
  <si>
    <t>-0.42456461547119384</t>
  </si>
  <si>
    <t>-0.14744868653671034</t>
  </si>
  <si>
    <t>0.9209016867486566</t>
  </si>
  <si>
    <t>0.05039563997914567</t>
  </si>
  <si>
    <t>0.011465599775910133</t>
  </si>
  <si>
    <t>-0.2893962544332701</t>
  </si>
  <si>
    <t>-0.056790867193203975</t>
  </si>
  <si>
    <t>-0.3987903256696427</t>
  </si>
  <si>
    <t>-0.1994121471060547</t>
  </si>
  <si>
    <t>0.344853672637017</t>
  </si>
  <si>
    <t>1.4064183444484684</t>
  </si>
  <si>
    <t>-0.2691744826509061</t>
  </si>
  <si>
    <t>1.2474105255123071</t>
  </si>
  <si>
    <t>0.060003681526720046</t>
  </si>
  <si>
    <t>-0.6227469327341761</t>
  </si>
  <si>
    <t>0.20138243867858707</t>
  </si>
  <si>
    <t>-0.15947766235367114</t>
  </si>
  <si>
    <t>1.1749584124189552</t>
  </si>
  <si>
    <t>-1.2723881895916727</t>
  </si>
  <si>
    <t>0.6689307863141913</t>
  </si>
  <si>
    <t>-0.36460494536749655</t>
  </si>
  <si>
    <t>-0.06926330871761956</t>
  </si>
  <si>
    <t>-0.06591091246662774</t>
  </si>
  <si>
    <t>1.5740235886075284</t>
  </si>
  <si>
    <t>0.18250413371194815</t>
  </si>
  <si>
    <t>1.1582018084990622</t>
  </si>
  <si>
    <t>-0.5505964070715009</t>
  </si>
  <si>
    <t>0.7477027978517158</t>
  </si>
  <si>
    <t>0.004086012930181059</t>
  </si>
  <si>
    <t>0.2474335605669896</t>
  </si>
  <si>
    <t>0.18388576814312546</t>
  </si>
  <si>
    <t>-0.2221864072112163</t>
  </si>
  <si>
    <t>0.027883437089112388</t>
  </si>
  <si>
    <t>0.6293709528257403</t>
  </si>
  <si>
    <t>-0.08754014795456716</t>
  </si>
  <si>
    <t>-0.45778554732009014</t>
  </si>
  <si>
    <t>-0.4411174065646903</t>
  </si>
  <si>
    <t>-0.29427963141588304</t>
  </si>
  <si>
    <t>1.0402389930890215</t>
  </si>
  <si>
    <t>-0.48179202071654725</t>
  </si>
  <si>
    <t>-0.22040538587345154</t>
  </si>
  <si>
    <t>-0.17214252046470233</t>
  </si>
  <si>
    <t>0.701385366321464</t>
  </si>
  <si>
    <t>0.5313411298902969</t>
  </si>
  <si>
    <t>0.8902610656798442</t>
  </si>
  <si>
    <t>-0.5651496502916797</t>
  </si>
  <si>
    <t>1.0774924437460147</t>
  </si>
  <si>
    <t>0.6531938895191399</t>
  </si>
  <si>
    <t>-0.13552542394231662</t>
  </si>
  <si>
    <t>-0.47766137369409956</t>
  </si>
  <si>
    <t>-0.14143037053615323</t>
  </si>
  <si>
    <t>-0.19101910999529778</t>
  </si>
  <si>
    <t>-0.5282583995039457</t>
  </si>
  <si>
    <t>-0.33060975896821504</t>
  </si>
  <si>
    <t>0.5101740171273567</t>
  </si>
  <si>
    <t>-0.6748774710538124</t>
  </si>
  <si>
    <t>0.3397951510519467</t>
  </si>
  <si>
    <t>0.1343915754228027</t>
  </si>
  <si>
    <t>-0.41199001967808097</t>
  </si>
  <si>
    <t>0.7481179436332464</t>
  </si>
  <si>
    <t>0.08709355988163633</t>
  </si>
  <si>
    <t>0.4881184281406418</t>
  </si>
  <si>
    <t>0.40947494363382453</t>
  </si>
  <si>
    <t>0.4633773499644376</t>
  </si>
  <si>
    <t>-0.45791823179640007</t>
  </si>
  <si>
    <t>0.7664448046486868</t>
  </si>
  <si>
    <t>-0.6314423257400044</t>
  </si>
  <si>
    <t>-0.6408331844348406</t>
  </si>
  <si>
    <t>0.5065694170974248</t>
  </si>
  <si>
    <t>-0.7465316674356822</t>
  </si>
  <si>
    <t>0.00026133197812861864</t>
  </si>
  <si>
    <t>0.405888693888587</t>
  </si>
  <si>
    <t>-0.3187159186085865</t>
  </si>
  <si>
    <t>-0.1867691261739018</t>
  </si>
  <si>
    <t>-0.6362511782462319</t>
  </si>
  <si>
    <t>-0.7263863119089431</t>
  </si>
  <si>
    <t>0.8527157834365039</t>
  </si>
  <si>
    <t>0.14357731922122594</t>
  </si>
  <si>
    <t>0.3188924036062651</t>
  </si>
  <si>
    <t>-0.16222317168972422</t>
  </si>
  <si>
    <t>0.733631748312998</t>
  </si>
  <si>
    <t>-1.0162285840403336</t>
  </si>
  <si>
    <t>-0.029663561764347375</t>
  </si>
  <si>
    <t>-1.342883973728489</t>
  </si>
  <si>
    <t>1.8903922909301951</t>
  </si>
  <si>
    <t>-0.28464608556244314</t>
  </si>
  <si>
    <t>-1.1961395825318235</t>
  </si>
  <si>
    <t>-0.4775373422046949</t>
  </si>
  <si>
    <t>0.269992691289269</t>
  </si>
  <si>
    <t>0.4898517908363813</t>
  </si>
  <si>
    <t>0.6433699759358715</t>
  </si>
  <si>
    <t>-0.2830142787363244</t>
  </si>
  <si>
    <t>-0.5061816512663905</t>
  </si>
  <si>
    <t>0.4069713607874096</t>
  </si>
  <si>
    <t>-0.5309347171319697</t>
  </si>
  <si>
    <t>-0.03540892873190506</t>
  </si>
  <si>
    <t>-2.152667742538909</t>
  </si>
  <si>
    <t>1.12458071656105</t>
  </si>
  <si>
    <t>-0.85181117940516</t>
  </si>
  <si>
    <t>1.2114841934019567</t>
  </si>
  <si>
    <t>-1.1313384730585707</t>
  </si>
  <si>
    <t>-0.14502271452165094</t>
  </si>
  <si>
    <t>0.018265103522731214</t>
  </si>
  <si>
    <t>-1.339766993484488</t>
  </si>
  <si>
    <t>-1.0098282372446417</t>
  </si>
  <si>
    <t>0.12311931814617642</t>
  </si>
  <si>
    <t>-0.035050838943220905</t>
  </si>
  <si>
    <t>1.018506997791049</t>
  </si>
  <si>
    <t>0.5734995327883219</t>
  </si>
  <si>
    <t>-0.10939035111444223</t>
  </si>
  <si>
    <t>-0.23858206999254497</t>
  </si>
  <si>
    <t>-0.10420623105457036</t>
  </si>
  <si>
    <t>-0.5544002908155543</t>
  </si>
  <si>
    <t>0.03448955928074052</t>
  </si>
  <si>
    <t>0.4410232052625089</t>
  </si>
  <si>
    <t>0.7412566153835476</t>
  </si>
  <si>
    <t>0.08369712048205089</t>
  </si>
  <si>
    <t>0.23562015180814808</t>
  </si>
  <si>
    <t>0.4834851200737557</t>
  </si>
  <si>
    <t>0.47644816989911604</t>
  </si>
  <si>
    <t>-1.6902534651341008</t>
  </si>
  <si>
    <t>-0.7154290271173871</t>
  </si>
  <si>
    <t>1.45171915449627</t>
  </si>
  <si>
    <t>0.6416496504559828</t>
  </si>
  <si>
    <t>0.677629744981554</t>
  </si>
  <si>
    <t>-0.9020157272878008</t>
  </si>
  <si>
    <t>0.5446686086272848</t>
  </si>
  <si>
    <t>-1.6668910653032762</t>
  </si>
  <si>
    <t>0.9274339496996645</t>
  </si>
  <si>
    <t>0.4483573320671694</t>
  </si>
  <si>
    <t>1.763536581485934</t>
  </si>
  <si>
    <t>0.3563397786573281</t>
  </si>
  <si>
    <t>0.4139452975819626</t>
  </si>
  <si>
    <t>0.22992966468448675</t>
  </si>
  <si>
    <t>0.2631679273562238</t>
  </si>
  <si>
    <t>0.9883710220206776</t>
  </si>
  <si>
    <t>-0.258242112074161</t>
  </si>
  <si>
    <t>-0.5344367267551201</t>
  </si>
  <si>
    <t>0.25447757407335025</t>
  </si>
  <si>
    <t>-0.25669137333504904</t>
  </si>
  <si>
    <t>-0.24945192222474755</t>
  </si>
  <si>
    <t>-1.5280776203195938</t>
  </si>
  <si>
    <t>-0.8524593786120324</t>
  </si>
  <si>
    <t>-0.4494976030599182</t>
  </si>
  <si>
    <t>0.5805212958579691</t>
  </si>
  <si>
    <t>0.49143282331001453</t>
  </si>
  <si>
    <t>-0.18321808008796983</t>
  </si>
  <si>
    <t>0.4576649779984002</t>
  </si>
  <si>
    <t>0.08488780628093749</t>
  </si>
  <si>
    <t>0.16997303514889853</t>
  </si>
  <si>
    <t>0.06696693998556853</t>
  </si>
  <si>
    <t>-1.519673149613859</t>
  </si>
  <si>
    <t>-0.61144120299919</t>
  </si>
  <si>
    <t>1.6019066090647955</t>
  </si>
  <si>
    <t>0.6051825267304574</t>
  </si>
  <si>
    <t>0.28755985909410603</t>
  </si>
  <si>
    <t>-0.4330657876063843</t>
  </si>
  <si>
    <t>0.7043502298435066</t>
  </si>
  <si>
    <t>0.1762886991008945</t>
  </si>
  <si>
    <t>0.9388983536862981</t>
  </si>
  <si>
    <t>-0.3482208831690976</t>
  </si>
  <si>
    <t>-0.9321700500040521</t>
  </si>
  <si>
    <t>0.6117343320039669</t>
  </si>
  <si>
    <t>0.3140528419032365</t>
  </si>
  <si>
    <t>-0.43356169224531194</t>
  </si>
  <si>
    <t>0.7289600976619062</t>
  </si>
  <si>
    <t>0.6434362782793142</t>
  </si>
  <si>
    <t>0.7123583243100116</t>
  </si>
  <si>
    <t>-0.4668764304586807</t>
  </si>
  <si>
    <t>0.36242875740111763</t>
  </si>
  <si>
    <t>0.4555248515153105</t>
  </si>
  <si>
    <t>0.9422322380745487</t>
  </si>
  <si>
    <t>0.5902254944211917</t>
  </si>
  <si>
    <t>-0.8289795490763449</t>
  </si>
  <si>
    <t>-0.3699446176243457</t>
  </si>
  <si>
    <t>-1.0217386466029885</t>
  </si>
  <si>
    <t>0.4027691990698789</t>
  </si>
  <si>
    <t>-1.2779587822678615</t>
  </si>
  <si>
    <t>0.638216047946387</t>
  </si>
  <si>
    <t>0.027467705853869186</t>
  </si>
  <si>
    <t>-0.24751644103260276</t>
  </si>
  <si>
    <t>-0.705764556527271</t>
  </si>
  <si>
    <t>-0.2502327487524046</t>
  </si>
  <si>
    <t>0.012816465947735136</t>
  </si>
  <si>
    <t>1.073087548376568</t>
  </si>
  <si>
    <t>-0.3409972906038128</t>
  </si>
  <si>
    <t>0.7114094434243983</t>
  </si>
  <si>
    <t>0.18522811044100518</t>
  </si>
  <si>
    <t>0.04096555869293527</t>
  </si>
  <si>
    <t>2.2427136574540025</t>
  </si>
  <si>
    <t>1.4207365674310448</t>
  </si>
  <si>
    <t>-1.3660387064636619</t>
  </si>
  <si>
    <t>-0.6750833923228368</t>
  </si>
  <si>
    <t>0.8762962898694542</t>
  </si>
  <si>
    <t>1.499046843414626</t>
  </si>
  <si>
    <t>-0.16580325316615738</t>
  </si>
  <si>
    <t>0.6662205639175734</t>
  </si>
  <si>
    <t>0.9475429937404427</t>
  </si>
  <si>
    <t>0.8389448399779634</t>
  </si>
  <si>
    <t>-0.710493687381379</t>
  </si>
  <si>
    <t>-2.4796601116253316</t>
  </si>
  <si>
    <t>1.2570579621882272</t>
  </si>
  <si>
    <t>0.26072423749644597</t>
  </si>
  <si>
    <t>-0.04187205287353858</t>
  </si>
  <si>
    <t>-0.6203251029838158</t>
  </si>
  <si>
    <t>0.001645978996876418</t>
  </si>
  <si>
    <t>0.36142857594182365</t>
  </si>
  <si>
    <t>-1.092550263680272</t>
  </si>
  <si>
    <t>-0.3365048482027478</t>
  </si>
  <si>
    <t>0.5833602538182001</t>
  </si>
  <si>
    <t>-1.2542603460298727</t>
  </si>
  <si>
    <t>0.7591152967282008</t>
  </si>
  <si>
    <t>-0.15331632882971838</t>
  </si>
  <si>
    <t>-0.0870901753572365</t>
  </si>
  <si>
    <t>-0.40578761524384194</t>
  </si>
  <si>
    <t>0.7869468972634157</t>
  </si>
  <si>
    <t>1.5238376624601944</t>
  </si>
  <si>
    <t>0.1626787873849153</t>
  </si>
  <si>
    <t>1.0464666663485305</t>
  </si>
  <si>
    <t>0.4900293489339902</t>
  </si>
  <si>
    <t>0.505950652652039</t>
  </si>
  <si>
    <t>0.5442830083373061</t>
  </si>
  <si>
    <t>-1.4884134481777236</t>
  </si>
  <si>
    <t>-0.46207834485951044</t>
  </si>
  <si>
    <t>1.3440526335790275</t>
  </si>
  <si>
    <t>0.6989365429469828</t>
  </si>
  <si>
    <t>-0.5031152314956223</t>
  </si>
  <si>
    <t>-0.20308298820879997</t>
  </si>
  <si>
    <t>0.6626205907254741</t>
  </si>
  <si>
    <t>-0.8673617751576603</t>
  </si>
  <si>
    <t>-1.2919633880210188</t>
  </si>
  <si>
    <t>0.4247495582870933</t>
  </si>
  <si>
    <t>-0.6849326463099825</t>
  </si>
  <si>
    <t>0.9895442641208098</t>
  </si>
  <si>
    <t>0.9803976999013398</t>
  </si>
  <si>
    <t>0.2924619135150521</t>
  </si>
  <si>
    <t>0.2402261713967531</t>
  </si>
  <si>
    <t>-0.035652596078837695</t>
  </si>
  <si>
    <t>-0.07217261135276197</t>
  </si>
  <si>
    <t>-0.5099633973877571</t>
  </si>
  <si>
    <t>-0.2928066677170382</t>
  </si>
  <si>
    <t>-0.37308900268750694</t>
  </si>
  <si>
    <t>0.4218161682993195</t>
  </si>
  <si>
    <t>-0.2505087530186694</t>
  </si>
  <si>
    <t>1.0286402345935624</t>
  </si>
  <si>
    <t>0.007801106670924824</t>
  </si>
  <si>
    <t>0.6521174036610545</t>
  </si>
  <si>
    <t>-0.7149070914958863</t>
  </si>
  <si>
    <t>-0.530497003080946</t>
  </si>
  <si>
    <t>-1.1132317118666917</t>
  </si>
  <si>
    <t>0.14019836134798835</t>
  </si>
  <si>
    <t>-0.054641903486673436</t>
  </si>
  <si>
    <t>-0.09989598449184219</t>
  </si>
  <si>
    <t>0.3911617600247829</t>
  </si>
  <si>
    <t>-0.9350088677568955</t>
  </si>
  <si>
    <t>0.8342680593105736</t>
  </si>
  <si>
    <t>1.0773697392510269</t>
  </si>
  <si>
    <t>-0.04973719981331198</t>
  </si>
  <si>
    <t>0.6645297529256751</t>
  </si>
  <si>
    <t>-0.14163198827575285</t>
  </si>
  <si>
    <t>0.7549823262344635</t>
  </si>
  <si>
    <t>0.9497460928705741</t>
  </si>
  <si>
    <t>-1.0724048061626161</t>
  </si>
  <si>
    <t>0.046847613126902166</t>
  </si>
  <si>
    <t>0.330210110002196</t>
  </si>
  <si>
    <t>-0.6362808322905937</t>
  </si>
  <si>
    <t>-0.039046582908187716</t>
  </si>
  <si>
    <t>1.0172741098828477</t>
  </si>
  <si>
    <t>-0.48437246265490597</t>
  </si>
  <si>
    <t>-0.9239697461628714</t>
  </si>
  <si>
    <t>-0.08084613708634042</t>
  </si>
  <si>
    <t>-0.6611599320636564</t>
  </si>
  <si>
    <t>-0.4895209826458403</t>
  </si>
  <si>
    <t>-0.03128201809314247</t>
  </si>
  <si>
    <t>-1.3501084072266938</t>
  </si>
  <si>
    <t>0.7277066279262451</t>
  </si>
  <si>
    <t>0.37822531422053457</t>
  </si>
  <si>
    <t>-0.12613998617350164</t>
  </si>
  <si>
    <t>0.27782427222812056</t>
  </si>
  <si>
    <t>0.32431009604165656</t>
  </si>
  <si>
    <t>-0.007613610546777862</t>
  </si>
  <si>
    <t>0.26430235648322925</t>
  </si>
  <si>
    <t>0.1923044681413021</t>
  </si>
  <si>
    <t>0.6901301686814492</t>
  </si>
  <si>
    <t>-0.5956709167389225</t>
  </si>
  <si>
    <t>0.12444541608761078</t>
  </si>
  <si>
    <t>-1.0176612806870902</t>
  </si>
  <si>
    <t>0.8721081524821371</t>
  </si>
  <si>
    <t>-0.5816374446924923</t>
  </si>
  <si>
    <t>-0.4698784760885984</t>
  </si>
  <si>
    <t>-0.9076029234534314</t>
  </si>
  <si>
    <t>0.05811208830356125</t>
  </si>
  <si>
    <t>0.2955002329054968</t>
  </si>
  <si>
    <t>-0.1770295834179365</t>
  </si>
  <si>
    <t>-0.5076728218534284</t>
  </si>
  <si>
    <t>-0.7037904241621614</t>
  </si>
  <si>
    <t>-0.7496486270222096</t>
  </si>
  <si>
    <t>-0.2899646138297157</t>
  </si>
  <si>
    <t>0.8743891760787548</t>
  </si>
  <si>
    <t>-0.46275239374574034</t>
  </si>
  <si>
    <t>0.4412903634926048</t>
  </si>
  <si>
    <t>0.9566111043992885</t>
  </si>
  <si>
    <t>-0.24715091793135843</t>
  </si>
  <si>
    <t>0.5019564692219668</t>
  </si>
  <si>
    <t>-0.9510388552051741</t>
  </si>
  <si>
    <t>0.7293958356988626</t>
  </si>
  <si>
    <t>-0.6971790280415233</t>
  </si>
  <si>
    <t>0.21279201236050602</t>
  </si>
  <si>
    <t>-0.09751023902449045</t>
  </si>
  <si>
    <t>-0.3785942872830054</t>
  </si>
  <si>
    <t>-1.0296977621047374</t>
  </si>
  <si>
    <t>0.6948824508946744</t>
  </si>
  <si>
    <t>-0.1187432438576478</t>
  </si>
  <si>
    <t>0.12221013811617276</t>
  </si>
  <si>
    <t>-1.5247985663134394</t>
  </si>
  <si>
    <t>0.9506208933146107</t>
  </si>
  <si>
    <t>0.39997463576667136</t>
  </si>
  <si>
    <t>-0.03261486489199434</t>
  </si>
  <si>
    <t>-0.5802470965965152</t>
  </si>
  <si>
    <t>-1.5594217768216958</t>
  </si>
  <si>
    <t>-0.7426900230900363</t>
  </si>
  <si>
    <t>-0.005678087738198341</t>
  </si>
  <si>
    <t>1.4516685064717487</t>
  </si>
  <si>
    <t>-0.41769284065594514</t>
  </si>
  <si>
    <t>-0.8815737632052958</t>
  </si>
  <si>
    <t>0.2727975944454505</t>
  </si>
  <si>
    <t>-0.6137681824837079</t>
  </si>
  <si>
    <t>-0.12670194727957368</t>
  </si>
  <si>
    <t>1.2895338629452024</t>
  </si>
  <si>
    <t>0.5252711034047383</t>
  </si>
  <si>
    <t>-1.1322890473842666</t>
  </si>
  <si>
    <t>0.9268254076244559</t>
  </si>
  <si>
    <t>-0.09876516292817941</t>
  </si>
  <si>
    <t>0.8247820769138535</t>
  </si>
  <si>
    <t>0.1760288348965878</t>
  </si>
  <si>
    <t>-1.4047550622582827</t>
  </si>
  <si>
    <t>-0.5137195211142265</t>
  </si>
  <si>
    <t>1.2667594131731064</t>
  </si>
  <si>
    <t>-0.7393136569446405</t>
  </si>
  <si>
    <t>-0.444934983377475</t>
  </si>
  <si>
    <t>1.3115262838227917</t>
  </si>
  <si>
    <t>-0.4991311156531344</t>
  </si>
  <si>
    <t>0.19943386106577418</t>
  </si>
  <si>
    <t>0.24005604526755958</t>
  </si>
  <si>
    <t>0.07873185966287417</t>
  </si>
  <si>
    <t>0.916948961594424</t>
  </si>
  <si>
    <t>-0.5072549415599303</t>
  </si>
  <si>
    <t>-0.5989175202468848</t>
  </si>
  <si>
    <t>-0.21746103830354277</t>
  </si>
  <si>
    <t>-1.4412152792430868</t>
  </si>
  <si>
    <t>-0.4680049217738438</t>
  </si>
  <si>
    <t>-0.16183140070821633</t>
  </si>
  <si>
    <t>0.6696301724634728</t>
  </si>
  <si>
    <t>-0.46973070150067636</t>
  </si>
  <si>
    <t>-0.1705190110246511</t>
  </si>
  <si>
    <t>-0.14164390554276177</t>
  </si>
  <si>
    <t>0.9088035677448185</t>
  </si>
  <si>
    <t>-0.20189787733392955</t>
  </si>
  <si>
    <t>-0.9061540311963098</t>
  </si>
  <si>
    <t>-0.6723398213966955</t>
  </si>
  <si>
    <t>0.6700272968481185</t>
  </si>
  <si>
    <t>-1.0603685353454226</t>
  </si>
  <si>
    <t>0.5833173995688274</t>
  </si>
  <si>
    <t>-1.0226072472107082</t>
  </si>
  <si>
    <t>0.12953438923661412</t>
  </si>
  <si>
    <t>0.3704473255209946</t>
  </si>
  <si>
    <t>0.11957097564982051</t>
  </si>
  <si>
    <t>0.2830599914211955</t>
  </si>
  <si>
    <t>0.33796826962289617</t>
  </si>
  <si>
    <t>-0.4792529611067573</t>
  </si>
  <si>
    <t>0.1708596330389079</t>
  </si>
  <si>
    <t>-0.7265001479028762</t>
  </si>
  <si>
    <t>0.11878224915436993</t>
  </si>
  <si>
    <t>-0.3950424595957731</t>
  </si>
  <si>
    <t>1.653813562393857</t>
  </si>
  <si>
    <t>-1.0204534737041888</t>
  </si>
  <si>
    <t>-0.129016688082535</t>
  </si>
  <si>
    <t>0.04446496118849129</t>
  </si>
  <si>
    <t>0.8852543744408746</t>
  </si>
  <si>
    <t>-0.04533025559321716</t>
  </si>
  <si>
    <t>0.6079824720642351</t>
  </si>
  <si>
    <t>0.10936884959078576</t>
  </si>
  <si>
    <t>0.3666071019338226</t>
  </si>
  <si>
    <t>-0.24118288235417581</t>
  </si>
  <si>
    <t>0.43209888048121436</t>
  </si>
  <si>
    <t>-0.42944885710516345</t>
  </si>
  <si>
    <t>0.6127324432860012</t>
  </si>
  <si>
    <t>-1.1301457638546388</t>
  </si>
  <si>
    <t>-0.6139444214690031</t>
  </si>
  <si>
    <t>-0.8563301381532153</t>
  </si>
  <si>
    <t>0.05645060840343063</t>
  </si>
  <si>
    <t>0.2868720102902059</t>
  </si>
  <si>
    <t>-0.6553284510336097</t>
  </si>
  <si>
    <t>0.38075902018116603</t>
  </si>
  <si>
    <t>-0.6820545356022211</t>
  </si>
  <si>
    <t>0.17204770050196108</t>
  </si>
  <si>
    <t>0.41639490002293694</t>
  </si>
  <si>
    <t>0.7438061209613706</t>
  </si>
  <si>
    <t>-0.631085876802309</t>
  </si>
  <si>
    <t>0.3365393357230128</t>
  </si>
  <si>
    <t>0.9555525271604869</t>
  </si>
  <si>
    <t>0.1454132779270416</t>
  </si>
  <si>
    <t>-0.43908079945262085</t>
  </si>
  <si>
    <t>0.23534641722921973</t>
  </si>
  <si>
    <t>-1.0267531503129121</t>
  </si>
  <si>
    <t>0.5419242023515574</t>
  </si>
  <si>
    <t>0.20410760180782664</t>
  </si>
  <si>
    <t>0.5250297563855543</t>
  </si>
  <si>
    <t>0.15767411866219788</t>
  </si>
  <si>
    <t>0.6853142772608993</t>
  </si>
  <si>
    <t>-0.24574717879448796</t>
  </si>
  <si>
    <t>0.6473321325046452</t>
  </si>
  <si>
    <t>0.8267752378406448</t>
  </si>
  <si>
    <t>-1.4062561170682033</t>
  </si>
  <si>
    <t>-0.5771798677700839</t>
  </si>
  <si>
    <t>0.044876360484258006</t>
  </si>
  <si>
    <t>-0.7024183201826739</t>
  </si>
  <si>
    <t>0.3814095046481993</t>
  </si>
  <si>
    <t>0.23442356269090886</t>
  </si>
  <si>
    <t>0.2475212235315903</t>
  </si>
  <si>
    <t>0.031121985463072942</t>
  </si>
  <si>
    <t>1.4320135757193648</t>
  </si>
  <si>
    <t>-1.286001831595027</t>
  </si>
  <si>
    <t>0.10935946173100661</t>
  </si>
  <si>
    <t>1.4809562328206014</t>
  </si>
  <si>
    <t>-0.9974085299351592</t>
  </si>
  <si>
    <t>-0.20854487509984992</t>
  </si>
  <si>
    <t>0.10747221514410091</t>
  </si>
  <si>
    <t>-0.11705064708517482</t>
  </si>
  <si>
    <t>0.07851491665616588</t>
  </si>
  <si>
    <t>0.9476234202612782</t>
  </si>
  <si>
    <t>-0.34716240969036727</t>
  </si>
  <si>
    <t>0.05943801512537622</t>
  </si>
  <si>
    <t>0.432344761175448</t>
  </si>
  <si>
    <t>-0.6272997709910013</t>
  </si>
  <si>
    <t>-0.40183647143036066</t>
  </si>
  <si>
    <t>-0.3787237121984793</t>
  </si>
  <si>
    <t>0.3618995397513394</t>
  </si>
  <si>
    <t>-0.45199790743912766</t>
  </si>
  <si>
    <t>-0.5464805629684388</t>
  </si>
  <si>
    <t>0.5232197616793904</t>
  </si>
  <si>
    <t>1.0912688967793769</t>
  </si>
  <si>
    <t>0.6355607340236681</t>
  </si>
  <si>
    <t>-0.5565118653288013</t>
  </si>
  <si>
    <t>-0.2314926294981793</t>
  </si>
  <si>
    <t>-0.28757000736711197</t>
  </si>
  <si>
    <t>0.4633133445820371</t>
  </si>
  <si>
    <t>-1.7066498034819197</t>
  </si>
  <si>
    <t>-0.5895272191875128</t>
  </si>
  <si>
    <t>-0.056699090744318455</t>
  </si>
  <si>
    <t>1.2392807980584561</t>
  </si>
  <si>
    <t>-0.3956680581073893</t>
  </si>
  <si>
    <t>-0.5990183092231458</t>
  </si>
  <si>
    <t>0.6658227999990864</t>
  </si>
  <si>
    <t>-0.43883783766891005</t>
  </si>
  <si>
    <t>0.2973601150697701</t>
  </si>
  <si>
    <t>0.1949172353524536</t>
  </si>
  <si>
    <t>0.0032793011663087733</t>
  </si>
  <si>
    <t>-0.051031194240915456</t>
  </si>
  <si>
    <t>0.6348166056354823</t>
  </si>
  <si>
    <t>0.6046916366375876</t>
  </si>
  <si>
    <t>0.6040843711329917</t>
  </si>
  <si>
    <t>-0.9108008201929412</t>
  </si>
  <si>
    <t>-0.5734345936702785</t>
  </si>
  <si>
    <t>-0.188997191443194</t>
  </si>
  <si>
    <t>0.1674935465528683</t>
  </si>
  <si>
    <t>0.8084328702848933</t>
  </si>
  <si>
    <t>-0.5778917912884107</t>
  </si>
  <si>
    <t>1.070042702776226</t>
  </si>
  <si>
    <t>-0.3969851852428831</t>
  </si>
  <si>
    <t>-0.17272819379163182</t>
  </si>
  <si>
    <t>0.16960564468898118</t>
  </si>
  <si>
    <t>0.11650796328298325</t>
  </si>
  <si>
    <t>0.16111016496321787</t>
  </si>
  <si>
    <t>1.5844607281473233</t>
  </si>
  <si>
    <t>-0.15406399844870317</t>
  </si>
  <si>
    <t>0.15174174558107045</t>
  </si>
  <si>
    <t>0.4498257514606828</t>
  </si>
  <si>
    <t>0.32929682172927277</t>
  </si>
  <si>
    <t>-0.1820280086848511</t>
  </si>
  <si>
    <t>0.47058193871878035</t>
  </si>
  <si>
    <t>0.2010885152785766</t>
  </si>
  <si>
    <t>-0.16018503394498906</t>
  </si>
  <si>
    <t>0.04331689379588033</t>
  </si>
  <si>
    <t>0.349690618456193</t>
  </si>
  <si>
    <t>0.718311755934068</t>
  </si>
  <si>
    <t>-0.045502109766028385</t>
  </si>
  <si>
    <t>-0.21598763735113616</t>
  </si>
  <si>
    <t>-1.4720641964874275</t>
  </si>
  <si>
    <t>-0.5545761133346457</t>
  </si>
  <si>
    <t>-0.43995204718568937</t>
  </si>
  <si>
    <t>0.08909841197336633</t>
  </si>
  <si>
    <t>-0.4176086846080798</t>
  </si>
  <si>
    <t>0.49314860178136133</t>
  </si>
  <si>
    <t>0.23965578625299314</t>
  </si>
  <si>
    <t>1.192494055300319</t>
  </si>
  <si>
    <t>-0.35749546773014673</t>
  </si>
  <si>
    <t>-0.19348343272540353</t>
  </si>
  <si>
    <t>0.719187587628506</t>
  </si>
  <si>
    <t>0.03974581041638535</t>
  </si>
  <si>
    <t>-0.3764773045333919</t>
  </si>
  <si>
    <t>0.9604491236244733</t>
  </si>
  <si>
    <t>-0.09668129125360775</t>
  </si>
  <si>
    <t>0.6507126055142849</t>
  </si>
  <si>
    <t>-0.15187948776321156</t>
  </si>
  <si>
    <t>-0.4546000478492727</t>
  </si>
  <si>
    <t>-0.2898785164276833</t>
  </si>
  <si>
    <t>-0.19267833437081097</t>
  </si>
  <si>
    <t>-1.0462734757491776</t>
  </si>
  <si>
    <t>-0.3925426923368926</t>
  </si>
  <si>
    <t>-0.23551753586397997</t>
  </si>
  <si>
    <t>0.7775590485162492</t>
  </si>
  <si>
    <t>0.020691638313660048</t>
  </si>
  <si>
    <t>-0.6981442306278517</t>
  </si>
  <si>
    <t>0.0780496723992862</t>
  </si>
  <si>
    <t>-0.5972606600806989</t>
  </si>
  <si>
    <t>0.6563786827274931</t>
  </si>
  <si>
    <t>0.016768821924830805</t>
  </si>
  <si>
    <t>-0.5741689624994032</t>
  </si>
  <si>
    <t>0.2204053388260437</t>
  </si>
  <si>
    <t>0.9542329200989218</t>
  </si>
  <si>
    <t>0.14392727736833277</t>
  </si>
  <si>
    <t>-0.02509276376921717</t>
  </si>
  <si>
    <t>0.15732866697518916</t>
  </si>
  <si>
    <t>-0.3077735751739809</t>
  </si>
  <si>
    <t>-0.6283955945127961</t>
  </si>
  <si>
    <t>-0.7695617756163576</t>
  </si>
  <si>
    <t>1.5412624673715773</t>
  </si>
  <si>
    <t>0.9964780342786501</t>
  </si>
  <si>
    <t>0.20227271384339104</t>
  </si>
  <si>
    <t>-0.7862357869727254</t>
  </si>
  <si>
    <t>1.0188463167000559</t>
  </si>
  <si>
    <t>0.08653629033877411</t>
  </si>
  <si>
    <t>0.17008214000698707</t>
  </si>
  <si>
    <t>0.1476582155794451</t>
  </si>
  <si>
    <t>0.1133386705800187</t>
  </si>
  <si>
    <t>0.5073698503936863</t>
  </si>
  <si>
    <t>0.023060587264560943</t>
  </si>
  <si>
    <t>0.43108687580043054</t>
  </si>
  <si>
    <t>0.29434052086301676</t>
  </si>
  <si>
    <t>-0.6658119222883365</t>
  </si>
  <si>
    <t>-0.4314617864291797</t>
  </si>
  <si>
    <t>-0.7104529262016673</t>
  </si>
  <si>
    <t>-0.8249575421247961</t>
  </si>
  <si>
    <t>0.8738020284050109</t>
  </si>
  <si>
    <t>0.04370775443707588</t>
  </si>
  <si>
    <t>-0.5770768122820078</t>
  </si>
  <si>
    <t>-1.1106539997750244</t>
  </si>
  <si>
    <t>0.9616828797613561</t>
  </si>
  <si>
    <t>-0.5110880622497899</t>
  </si>
  <si>
    <t>-0.20369774431728896</t>
  </si>
  <si>
    <t>-0.05984331329005737</t>
  </si>
  <si>
    <t>0.593972521372554</t>
  </si>
  <si>
    <t>0.475496065882188</t>
  </si>
  <si>
    <t>-0.9300437674672076</t>
  </si>
  <si>
    <t>0.0706125131015379</t>
  </si>
  <si>
    <t>-0.2045207161249322</t>
  </si>
  <si>
    <t>-0.6397192850918241</t>
  </si>
  <si>
    <t>0.43306082727538114</t>
  </si>
  <si>
    <t>-0.04603013776948495</t>
  </si>
  <si>
    <t>0.006093661546492579</t>
  </si>
  <si>
    <t>-0.150597155521703</t>
  </si>
  <si>
    <t>-0.8549381583742495</t>
  </si>
  <si>
    <t>-0.3739226433723483</t>
  </si>
  <si>
    <t>-0.11944634303521698</t>
  </si>
  <si>
    <t>0.415907053493768</t>
  </si>
  <si>
    <t>0.2451850498416736</t>
  </si>
  <si>
    <t>-0.5903407274656898</t>
  </si>
  <si>
    <t>-0.6466997461966103</t>
  </si>
  <si>
    <t>-0.35842825487752916</t>
  </si>
  <si>
    <t>-0.033751366262093414</t>
  </si>
  <si>
    <t>0.3069716888530451</t>
  </si>
  <si>
    <t>0.2697147312988934</t>
  </si>
  <si>
    <t>0.3181738520454814</t>
  </si>
  <si>
    <t>-0.10765301124895209</t>
  </si>
  <si>
    <t>0.6477455490065599</t>
  </si>
  <si>
    <t>-0.9881809299446817</t>
  </si>
  <si>
    <t>0.3913268072259839</t>
  </si>
  <si>
    <t>-0.026496041696654062</t>
  </si>
  <si>
    <t>0.20859203843916407</t>
  </si>
  <si>
    <t>2.379557294688417</t>
  </si>
  <si>
    <t>0.6165144784074962</t>
  </si>
  <si>
    <t>-0.16318720671528225</t>
  </si>
  <si>
    <t>-1.0271936403999469</t>
  </si>
  <si>
    <t>2.8096351776634587</t>
  </si>
  <si>
    <t>-0.07886219092869517</t>
  </si>
  <si>
    <t>-0.5140238590284554</t>
  </si>
  <si>
    <t>-3.4858052899616445</t>
  </si>
  <si>
    <t>1.7637324682775726</t>
  </si>
  <si>
    <t>-0.7240870479817562</t>
  </si>
  <si>
    <t>0.2425489754112628</t>
  </si>
  <si>
    <t>-0.3568517541206254</t>
  </si>
  <si>
    <t>-2.889431488709738</t>
  </si>
  <si>
    <t>1.5947496331151285</t>
  </si>
  <si>
    <t>0.16962731653843066</t>
  </si>
  <si>
    <t>0.3950808337607887</t>
  </si>
  <si>
    <t>-0.18016342108323125</t>
  </si>
  <si>
    <t>1.7760213624351961</t>
  </si>
  <si>
    <t>0.04634960540230467</t>
  </si>
  <si>
    <t>0.44713655324244295</t>
  </si>
  <si>
    <t>-0.2384834642760222</t>
  </si>
  <si>
    <t>0.6053817218008544</t>
  </si>
  <si>
    <t>-0.4095999080557585</t>
  </si>
  <si>
    <t>0.11832531424385015</t>
  </si>
  <si>
    <t>0.8507923424141982</t>
  </si>
  <si>
    <t>-1.378375338438835</t>
  </si>
  <si>
    <t>0.0054180971466248765</t>
  </si>
  <si>
    <t>0.10976891433672746</t>
  </si>
  <si>
    <t>1.3743675791782954</t>
  </si>
  <si>
    <t>-0.5594003280636266</t>
  </si>
  <si>
    <t>2.278168058958808</t>
  </si>
  <si>
    <t>1.2757320133450587</t>
  </si>
  <si>
    <t>-0.39026609691718617</t>
  </si>
  <si>
    <t>-0.37632204455601653</t>
  </si>
  <si>
    <t>0.9820208168112944</t>
  </si>
  <si>
    <t>0.6874946066648853</t>
  </si>
  <si>
    <t>-0.3277255623749796</t>
  </si>
  <si>
    <t>0.2799202647374883</t>
  </si>
  <si>
    <t>1.4575369918276697</t>
  </si>
  <si>
    <t>-1.3171635302605524</t>
  </si>
  <si>
    <t>0.9349941803876334</t>
  </si>
  <si>
    <t>-0.9548101382229285</t>
  </si>
  <si>
    <t>0.06998026805082103</t>
  </si>
  <si>
    <t>1.5211601829812436</t>
  </si>
  <si>
    <t>0.9348629534140103</t>
  </si>
  <si>
    <t>1.6080406796518543</t>
  </si>
  <si>
    <t>-1.4842437338590564</t>
  </si>
  <si>
    <t>1.3987588342483912</t>
  </si>
  <si>
    <t>-1.5943860241026826</t>
  </si>
  <si>
    <t>0.9554502911016569</t>
  </si>
  <si>
    <t>2.3345697885228596</t>
  </si>
  <si>
    <t>1.2703744906411023</t>
  </si>
  <si>
    <t>-0.3160805653112079</t>
  </si>
  <si>
    <t>0.9014098594017363</t>
  </si>
  <si>
    <t>2.0697505870762645</t>
  </si>
  <si>
    <t>1.5197704035636095</t>
  </si>
  <si>
    <t>-1.1332610371025662</t>
  </si>
  <si>
    <t>0.8367803874675355</t>
  </si>
  <si>
    <t>5.334582137018349</t>
  </si>
  <si>
    <t>0.09060855001603328</t>
  </si>
  <si>
    <t>-1.2811470428163305</t>
  </si>
  <si>
    <t>-0.9571639270579345</t>
  </si>
  <si>
    <t>0.5236601782656835</t>
  </si>
  <si>
    <t>0.05246696799381404</t>
  </si>
  <si>
    <t>1.1538244256127683</t>
  </si>
  <si>
    <t>-0.0602145384430435</t>
  </si>
  <si>
    <t>0.8253685287894785</t>
  </si>
  <si>
    <t>0.8208229575902124</t>
  </si>
  <si>
    <t>0.7297586205957663</t>
  </si>
  <si>
    <t>-2.174193493891018</t>
  </si>
  <si>
    <t>1.662379058759829</t>
  </si>
  <si>
    <t>0.3347314607362575</t>
  </si>
  <si>
    <t>1.3976529221220388</t>
  </si>
  <si>
    <t>-1.2671269165263435</t>
  </si>
  <si>
    <t>-0.4093387014112888</t>
  </si>
  <si>
    <t>0.4604612571855855</t>
  </si>
  <si>
    <t>-0.48328042720702696</t>
  </si>
  <si>
    <t>-0.8162152917173622</t>
  </si>
  <si>
    <t>0.7404104950218369</t>
  </si>
  <si>
    <t>0.15659627668552464</t>
  </si>
  <si>
    <t>0.9425672347513463</t>
  </si>
  <si>
    <t>0.16404292769241577</t>
  </si>
  <si>
    <t>0.8908947078720117</t>
  </si>
  <si>
    <t>1.8269890965214401</t>
  </si>
  <si>
    <t>-0.4945210476397739</t>
  </si>
  <si>
    <t>-1.6104430703892276</t>
  </si>
  <si>
    <t>-0.17625236572030853</t>
  </si>
  <si>
    <t>0.538882392255523</t>
  </si>
  <si>
    <t>-0.3923276083427298</t>
  </si>
  <si>
    <t>0.011271899493356193</t>
  </si>
  <si>
    <t>0.3849932986136678</t>
  </si>
  <si>
    <t>0.3094630653945695</t>
  </si>
  <si>
    <t>1.106233074632284</t>
  </si>
  <si>
    <t>1.1849407019798197</t>
  </si>
  <si>
    <t>-0.5545934684644701</t>
  </si>
  <si>
    <t>-0.28659207383128993</t>
  </si>
  <si>
    <t>4.967731797041938</t>
  </si>
  <si>
    <t>-3.767598762291283</t>
  </si>
  <si>
    <t>0.20778714958769762</t>
  </si>
  <si>
    <t>1.0787262737507985</t>
  </si>
  <si>
    <t>0.7810470466172253</t>
  </si>
  <si>
    <t>-2.2194195982432796</t>
  </si>
  <si>
    <t>0.6199208367775189</t>
  </si>
  <si>
    <t>0.1467806737418486</t>
  </si>
  <si>
    <t>1.9809608870012334</t>
  </si>
  <si>
    <t>-0.2790803417165489</t>
  </si>
  <si>
    <t>-0.606525299567082</t>
  </si>
  <si>
    <t>0.04716712530945287</t>
  </si>
  <si>
    <t>1.1013415001676372</t>
  </si>
  <si>
    <t>-0.44572548039879284</t>
  </si>
  <si>
    <t>-0.40981047561408535</t>
  </si>
  <si>
    <t>0.6475691767334296</t>
  </si>
  <si>
    <t>-1.1698275039149766</t>
  </si>
  <si>
    <t>0.5085050826764292</t>
  </si>
  <si>
    <t>0.9481672937352914</t>
  </si>
  <si>
    <t>-1.2616272790180845</t>
  </si>
  <si>
    <t>-0.4550822172722771</t>
  </si>
  <si>
    <t>-0.035200432716840306</t>
  </si>
  <si>
    <t>0.49922688126818665</t>
  </si>
  <si>
    <t>-0.5389208601926645</t>
  </si>
  <si>
    <t>-0.21066615103015823</t>
  </si>
  <si>
    <t>-0.039179172609620734</t>
  </si>
  <si>
    <t>-0.10421435411402069</t>
  </si>
  <si>
    <t>-0.5208339324538032</t>
  </si>
  <si>
    <t>-0.5934780004120185</t>
  </si>
  <si>
    <t>-0.4513451969101391</t>
  </si>
  <si>
    <t>0.8094254460254876</t>
  </si>
  <si>
    <t>-0.8082952510670645</t>
  </si>
  <si>
    <t>-0.40106237271389383</t>
  </si>
  <si>
    <t>1.5708006599696012</t>
  </si>
  <si>
    <t>-0.7361214384169946</t>
  </si>
  <si>
    <t>0.7021827523702208</t>
  </si>
  <si>
    <t>0.598078254980583</t>
  </si>
  <si>
    <t>0.1132632623385118</t>
  </si>
  <si>
    <t>0.10166848810696658</t>
  </si>
  <si>
    <t>1.0479967969585808</t>
  </si>
  <si>
    <t>0.18136347165180508</t>
  </si>
  <si>
    <t>-0.22231091335778358</t>
  </si>
  <si>
    <t>1.224929183070934</t>
  </si>
  <si>
    <t>0.019387501579529932</t>
  </si>
  <si>
    <t>0.5791624738611789</t>
  </si>
  <si>
    <t>1.4252758085150736</t>
  </si>
  <si>
    <t>-0.11978294771786428</t>
  </si>
  <si>
    <t>-0.8414924216918324</t>
  </si>
  <si>
    <t>0.1989958674671973</t>
  </si>
  <si>
    <t>0.06494036070432198</t>
  </si>
  <si>
    <t>-0.23703751099900233</t>
  </si>
  <si>
    <t>0.010143117174118242</t>
  </si>
  <si>
    <t>-0.4504531827625814</t>
  </si>
  <si>
    <t>0.6500307834032014</t>
  </si>
  <si>
    <t>0.6838608218572629</t>
  </si>
  <si>
    <t>2.517920251634953</t>
  </si>
  <si>
    <t>-1.01387779462005</t>
  </si>
  <si>
    <t>-1.1934221919105479</t>
  </si>
  <si>
    <t>1.2430463687141535</t>
  </si>
  <si>
    <t>-0.7016813113273749</t>
  </si>
  <si>
    <t>0.6198716258986617</t>
  </si>
  <si>
    <t>-0.5678759828277633</t>
  </si>
  <si>
    <t>-0.16645750194092135</t>
  </si>
  <si>
    <t>0.24821856349356464</t>
  </si>
  <si>
    <t>-1.349460591244896</t>
  </si>
  <si>
    <t>-0.30808873184914626</t>
  </si>
  <si>
    <t>0.10655241605530197</t>
  </si>
  <si>
    <t>-0.22505369157456653</t>
  </si>
  <si>
    <t>0.039050095663710205</t>
  </si>
  <si>
    <t>0.2155605361170943</t>
  </si>
  <si>
    <t>-1.8024854141586037</t>
  </si>
  <si>
    <t>0.8724449542424019</t>
  </si>
  <si>
    <t>-0.385144057311682</t>
  </si>
  <si>
    <t>0.30295183232854994</t>
  </si>
  <si>
    <t>-0.21978749037780246</t>
  </si>
  <si>
    <t>0.19247402028277327</t>
  </si>
  <si>
    <t>0.2538935938014362</t>
  </si>
  <si>
    <t>-0.5601141937674483</t>
  </si>
  <si>
    <t>2.2868038140203515</t>
  </si>
  <si>
    <t>-0.7418882016338343</t>
  </si>
  <si>
    <t>-0.5509171461900272</t>
  </si>
  <si>
    <t>-1.0415337593681402</t>
  </si>
  <si>
    <t>0.8573835974607665</t>
  </si>
  <si>
    <t>0.6420064676397386</t>
  </si>
  <si>
    <t>0.8298442133624044</t>
  </si>
  <si>
    <t>2.485092373648522</t>
  </si>
  <si>
    <t>-2.686545180554397</t>
  </si>
  <si>
    <t>-0.7636852343938645</t>
  </si>
  <si>
    <t>-0.3760308211656459</t>
  </si>
  <si>
    <t>-0.011181053104158591</t>
  </si>
  <si>
    <t>-1.7247241325769367</t>
  </si>
  <si>
    <t>0.254206458068238</t>
  </si>
  <si>
    <t>0.1870224232429412</t>
  </si>
  <si>
    <t>-1.7199680535120037</t>
  </si>
  <si>
    <t>-0.9257200582860532</t>
  </si>
  <si>
    <t>1.626253164379247</t>
  </si>
  <si>
    <t>-0.5700132520038981</t>
  </si>
  <si>
    <t>-0.2184164683104181</t>
  </si>
  <si>
    <t>-2.0647551720450905</t>
  </si>
  <si>
    <t>0.003416096846702271</t>
  </si>
  <si>
    <t>1.003024861499636</t>
  </si>
  <si>
    <t>-0.1024011707402301</t>
  </si>
  <si>
    <t>1.0101481567751822</t>
  </si>
  <si>
    <t>0.44337837557717863</t>
  </si>
  <si>
    <t>0.4358748296720797</t>
  </si>
  <si>
    <t>-1.0996002868238355</t>
  </si>
  <si>
    <t>0.6545362337710839</t>
  </si>
  <si>
    <t>0.2060717903297839</t>
  </si>
  <si>
    <t>1.4766063711951554</t>
  </si>
  <si>
    <t>0.9769487784263928</t>
  </si>
  <si>
    <t>1.1355623444934995</t>
  </si>
  <si>
    <t>0.32167263878123653</t>
  </si>
  <si>
    <t>-0.3330407970807513</t>
  </si>
  <si>
    <t>5.277205671068736</t>
  </si>
  <si>
    <t>-0.8645066096194872</t>
  </si>
  <si>
    <t>0.5766838640404363</t>
  </si>
  <si>
    <t>0.10281477540796001</t>
  </si>
  <si>
    <t>-0.08898500088415191</t>
  </si>
  <si>
    <t>0.43050998352524905</t>
  </si>
  <si>
    <t>0.27845323396349925</t>
  </si>
  <si>
    <t>0.19037831174195116</t>
  </si>
  <si>
    <t>1.1611794301584575</t>
  </si>
  <si>
    <t>-0.15522955258622684</t>
  </si>
  <si>
    <t>0.47405469920200477</t>
  </si>
  <si>
    <t>1.1573877186978327</t>
  </si>
  <si>
    <t>0.8076064785893236</t>
  </si>
  <si>
    <t>-0.5876941561341131</t>
  </si>
  <si>
    <t>-1.0205182165024325</t>
  </si>
  <si>
    <t>0.004390008016169923</t>
  </si>
  <si>
    <t>1.9235907451455798</t>
  </si>
  <si>
    <t>4.085662500390943</t>
  </si>
  <si>
    <t>1.9092651478627094</t>
  </si>
  <si>
    <t>-0.15057460103433404</t>
  </si>
  <si>
    <t>-0.9885211216519777</t>
  </si>
  <si>
    <t>0.06968449934234086</t>
  </si>
  <si>
    <t>0.5360641477412004</t>
  </si>
  <si>
    <t>0.7784575500994944</t>
  </si>
  <si>
    <t>0.27059819244438743</t>
  </si>
  <si>
    <t>3.0331416301036267</t>
  </si>
  <si>
    <t>2.7935536947745767</t>
  </si>
  <si>
    <t>2.1815511285320706</t>
  </si>
  <si>
    <t>2.4574952832185377</t>
  </si>
  <si>
    <t>1.5558016185021082</t>
  </si>
  <si>
    <t>0.6217459913740321</t>
  </si>
  <si>
    <t>-0.3277155899596584</t>
  </si>
  <si>
    <t>-0.14720486099443453</t>
  </si>
  <si>
    <t>-0.5946455996724994</t>
  </si>
  <si>
    <t>0.17474572164574817</t>
  </si>
  <si>
    <t>-0.4634583435108217</t>
  </si>
  <si>
    <t>-0.5835350787472849</t>
  </si>
  <si>
    <t>-1.5684405119105582</t>
  </si>
  <si>
    <t>-3.1112539201953857</t>
  </si>
  <si>
    <t>4.346894113111067</t>
  </si>
  <si>
    <t>0.4973373336383928</t>
  </si>
  <si>
    <t>-1.9021670425540658</t>
  </si>
  <si>
    <t>-1.5803308637939368</t>
  </si>
  <si>
    <t>-0.20157379376047782</t>
  </si>
  <si>
    <t>0.28420201662202654</t>
  </si>
  <si>
    <t>0.4678477973475908</t>
  </si>
  <si>
    <t>-1.1947133833424537</t>
  </si>
  <si>
    <t>0.7812316190735462</t>
  </si>
  <si>
    <t>2.74604055955402</t>
  </si>
  <si>
    <t>1.8619806356928978</t>
  </si>
  <si>
    <t>1.246511662608658</t>
  </si>
  <si>
    <t>0.7612075232159307</t>
  </si>
  <si>
    <t>0.20135865528459837</t>
  </si>
  <si>
    <t>0.26313578649913527</t>
  </si>
  <si>
    <t>0.7482194863520947</t>
  </si>
  <si>
    <t>-0.5269936628737901</t>
  </si>
  <si>
    <t>-0.22407256499131478</t>
  </si>
  <si>
    <t>-0.3314467175867075</t>
  </si>
  <si>
    <t>0.4207121884684657</t>
  </si>
  <si>
    <t>0.43060138476670085</t>
  </si>
  <si>
    <t>-0.7611018668208906</t>
  </si>
  <si>
    <t>0.5679450670360039</t>
  </si>
  <si>
    <t>0.1384243602925758</t>
  </si>
  <si>
    <t>-0.09392562604521973</t>
  </si>
  <si>
    <t>-0.20045421434624636</t>
  </si>
  <si>
    <t>3.5234848198764053</t>
  </si>
  <si>
    <t>2.700533565027577</t>
  </si>
  <si>
    <t>-2.2150442790295486</t>
  </si>
  <si>
    <t>-1.0978067329627565</t>
  </si>
  <si>
    <t>-0.5664960325235529</t>
  </si>
  <si>
    <t>0.38602468929576605</t>
  </si>
  <si>
    <t>-0.6217653126783991</t>
  </si>
  <si>
    <t>1.1090086674538386</t>
  </si>
  <si>
    <t>-0.2437288925271822</t>
  </si>
  <si>
    <t>-0.8497501878463037</t>
  </si>
  <si>
    <t>0.8509477042308269</t>
  </si>
  <si>
    <t>0.00015595641995035702</t>
  </si>
  <si>
    <t>-0.3937368345675844</t>
  </si>
  <si>
    <t>0.1504095854894361</t>
  </si>
  <si>
    <t>-0.2934140965825454</t>
  </si>
  <si>
    <t>-1.0625780755838503</t>
  </si>
  <si>
    <t>-1.1103512804204057</t>
  </si>
  <si>
    <t>0.869237215059528</t>
  </si>
  <si>
    <t>0.37273119880100397</t>
  </si>
  <si>
    <t>1.0140589124132593</t>
  </si>
  <si>
    <t>0.08926212754080243</t>
  </si>
  <si>
    <t>0.2693677878906306</t>
  </si>
  <si>
    <t>-1.0645913589305815</t>
  </si>
  <si>
    <t>0.38197776953790835</t>
  </si>
  <si>
    <t>0.10077332491581666</t>
  </si>
  <si>
    <t>0.11260897209083313</t>
  </si>
  <si>
    <t>-0.10722357569222543</t>
  </si>
  <si>
    <t>-0.024265568488020646</t>
  </si>
  <si>
    <t>0.26206883397581665</t>
  </si>
  <si>
    <t>-0.5057704459417595</t>
  </si>
  <si>
    <t>0.10794462401178366</t>
  </si>
  <si>
    <t>-0.5919406355192527</t>
  </si>
  <si>
    <t>-1.0296831569470295</t>
  </si>
  <si>
    <t>-0.3485359278840224</t>
  </si>
  <si>
    <t>-0.512556386072026</t>
  </si>
  <si>
    <t>0.20326394458529207</t>
  </si>
  <si>
    <t>0.10099362298712035</t>
  </si>
  <si>
    <t>-0.17541873275283779</t>
  </si>
  <si>
    <t>-2.0451238048355975</t>
  </si>
  <si>
    <t>-0.6091901024256589</t>
  </si>
  <si>
    <t>-0.39763165427987623</t>
  </si>
  <si>
    <t>0.5116920442987064</t>
  </si>
  <si>
    <t>-0.05423077987999614</t>
  </si>
  <si>
    <t>-1.2769373895335898</t>
  </si>
  <si>
    <t>1.1803117569245696</t>
  </si>
  <si>
    <t>-0.9506210239008692</t>
  </si>
  <si>
    <t>0.7250087521442348</t>
  </si>
  <si>
    <t>0.14981540033258164</t>
  </si>
  <si>
    <t>-0.586211245542608</t>
  </si>
  <si>
    <t>0.0032663391260344746</t>
  </si>
  <si>
    <t>-0.4369186918881945</t>
  </si>
  <si>
    <t>-1.0352507806019906</t>
  </si>
  <si>
    <t>-0.25323646397123867</t>
  </si>
  <si>
    <t>0.40286855968386315</t>
  </si>
  <si>
    <t>-0.23513959991374847</t>
  </si>
  <si>
    <t>0.5172662490077793</t>
  </si>
  <si>
    <t>0.9875114159395437</t>
  </si>
  <si>
    <t>0.22522614265979446</t>
  </si>
  <si>
    <t>0.3681430444363702</t>
  </si>
  <si>
    <t>-1.4305146779414382</t>
  </si>
  <si>
    <t>0.08025498155338193</t>
  </si>
  <si>
    <t>1.206252743084273</t>
  </si>
  <si>
    <t>0.6122124193262335</t>
  </si>
  <si>
    <t>-0.40760367554173355</t>
  </si>
  <si>
    <t>-0.11189865392751354</t>
  </si>
  <si>
    <t>0.22960113096321755</t>
  </si>
  <si>
    <t>0.17830039542400464</t>
  </si>
  <si>
    <t>0.3419031545242255</t>
  </si>
  <si>
    <t>-0.20746302031560282</t>
  </si>
  <si>
    <t>0.08759809243110224</t>
  </si>
  <si>
    <t>-0.5147056398210764</t>
  </si>
  <si>
    <t>0.06868509128377663</t>
  </si>
  <si>
    <t>-0.3793334556216449</t>
  </si>
  <si>
    <t>-0.437354341265888</t>
  </si>
  <si>
    <t>0.2566568437879723</t>
  </si>
  <si>
    <t>0.04812682443799772</t>
  </si>
  <si>
    <t>0.2877092445039998</t>
  </si>
  <si>
    <t>0.38857147313198404</t>
  </si>
  <si>
    <t>0.3614387339368285</t>
  </si>
  <si>
    <t>-0.17607414219318973</t>
  </si>
  <si>
    <t>0.650516191847724</t>
  </si>
  <si>
    <t>0.5906514780177772</t>
  </si>
  <si>
    <t>-0.1653091585803836</t>
  </si>
  <si>
    <t>0.6015614133430629</t>
  </si>
  <si>
    <t>0.3180839587422549</t>
  </si>
  <si>
    <t>-0.18067242152612514</t>
  </si>
  <si>
    <t>0.7274516312627567</t>
  </si>
  <si>
    <t>1.3876335527479828</t>
  </si>
  <si>
    <t>-0.00047912924895711384</t>
  </si>
  <si>
    <t>-0.4696015484648319</t>
  </si>
  <si>
    <t>0.03234206877087662</t>
  </si>
  <si>
    <t>0.10344573568943878</t>
  </si>
  <si>
    <t>-0.07247724239110157</t>
  </si>
  <si>
    <t>-0.5289427162853525</t>
  </si>
  <si>
    <t>0.08222141412637553</t>
  </si>
  <si>
    <t>0.5219050880116797</t>
  </si>
  <si>
    <t>0.162722344961963</t>
  </si>
  <si>
    <t>0.4035944411177815</t>
  </si>
  <si>
    <t>-0.3498654280345462</t>
  </si>
  <si>
    <t>-0.2823726899560758</t>
  </si>
  <si>
    <t>0.2786469649460733</t>
  </si>
  <si>
    <t>0.07103396035380254</t>
  </si>
  <si>
    <t>-0.11021376859661983</t>
  </si>
  <si>
    <t>0.10536610863689032</t>
  </si>
  <si>
    <t>-0.651124831274562</t>
  </si>
  <si>
    <t>0.8447961896004962</t>
  </si>
  <si>
    <t>-0.05073634488973806</t>
  </si>
  <si>
    <t>0.02466847162240198</t>
  </si>
  <si>
    <t>-0.19241684312568794</t>
  </si>
  <si>
    <t>-0.4786511386416856</t>
  </si>
  <si>
    <t>0.3228491521431602</t>
  </si>
  <si>
    <t>-0.11441224748559178</t>
  </si>
  <si>
    <t>-0.7058096397391525</t>
  </si>
  <si>
    <t>-2.6211472588459355</t>
  </si>
  <si>
    <t>-0.7817541717824892</t>
  </si>
  <si>
    <t>-0.8332688553724026</t>
  </si>
  <si>
    <t>-4.762840001247431</t>
  </si>
  <si>
    <t>2.1654073137231404</t>
  </si>
  <si>
    <t>-4.542627094132146</t>
  </si>
  <si>
    <t>-2.8331448892563764</t>
  </si>
  <si>
    <t>1.8890991302398703</t>
  </si>
  <si>
    <t>-0.41110732515552334</t>
  </si>
  <si>
    <t>0.7963717780355417</t>
  </si>
  <si>
    <t>-3.32069556589271</t>
  </si>
  <si>
    <t>-1.3112910843582217</t>
  </si>
  <si>
    <t>4.5000356469559355</t>
  </si>
  <si>
    <t>2.1228885034731793</t>
  </si>
  <si>
    <t>0.36374575441003903</t>
  </si>
  <si>
    <t>-0.4554034142947902</t>
  </si>
  <si>
    <t>-0.9615734664414805</t>
  </si>
  <si>
    <t>-0.13911231045609304</t>
  </si>
  <si>
    <t>-1.0521329357880884</t>
  </si>
  <si>
    <t>-0.9889513917891485</t>
  </si>
  <si>
    <t>4.047860087381467</t>
  </si>
  <si>
    <t>0.7243566421391515</t>
  </si>
  <si>
    <t>-0.9510130134961109</t>
  </si>
  <si>
    <t>-1.5134492345345274</t>
  </si>
  <si>
    <t>0.8919134483356138</t>
  </si>
  <si>
    <t>0.15923679396681323</t>
  </si>
  <si>
    <t>-0.37180094138960007</t>
  </si>
  <si>
    <t>-0.35882547696097167</t>
  </si>
  <si>
    <t>-1.0427540711055094</t>
  </si>
  <si>
    <t>0.2096837302843177</t>
  </si>
  <si>
    <t>1.7584981462626024</t>
  </si>
  <si>
    <t>1.7866619313186587</t>
  </si>
  <si>
    <t>-1.7668195723969957</t>
  </si>
  <si>
    <t>-0.552678188598257</t>
  </si>
  <si>
    <t>-0.06574680224451131</t>
  </si>
  <si>
    <t>-0.4416660167353598</t>
  </si>
  <si>
    <t>0.804311968541201</t>
  </si>
  <si>
    <t>0.19586426623699557</t>
  </si>
  <si>
    <t>-0.4403217957863236</t>
  </si>
  <si>
    <t>0.8505688191689119</t>
  </si>
  <si>
    <t>-9.024482194813023e-05</t>
  </si>
  <si>
    <t>-0.5117224892705293</t>
  </si>
  <si>
    <t>-0.6668160923218918</t>
  </si>
  <si>
    <t>1.3799957916028445</t>
  </si>
  <si>
    <t>-0.17179461747149757</t>
  </si>
  <si>
    <t>-0.30761906543290163</t>
  </si>
  <si>
    <t>-0.9449514376525918</t>
  </si>
  <si>
    <t>-1.1583247503859964</t>
  </si>
  <si>
    <t>0.7178929195508811</t>
  </si>
  <si>
    <t>-0.019552355572724237</t>
  </si>
  <si>
    <t>-0.03637259967311692</t>
  </si>
  <si>
    <t>0.13098163298336127</t>
  </si>
  <si>
    <t>-0.3925409712431725</t>
  </si>
  <si>
    <t>0.0019195543635718085</t>
  </si>
  <si>
    <t>0.6551581382411398</t>
  </si>
  <si>
    <t>0.9835516744970766</t>
  </si>
  <si>
    <t>-0.32710354350014614</t>
  </si>
  <si>
    <t>-1.9001534737751695</t>
  </si>
  <si>
    <t>0.6224810529714543</t>
  </si>
  <si>
    <t>-1.7288181773280549</t>
  </si>
  <si>
    <t>-2.204612171904635</t>
  </si>
  <si>
    <t>-0.5176093105795418</t>
  </si>
  <si>
    <t>-0.2606748359804809</t>
  </si>
  <si>
    <t>0.10074281361882845</t>
  </si>
  <si>
    <t>-2.7753218475410444</t>
  </si>
  <si>
    <t>1.567223014187571</t>
  </si>
  <si>
    <t>0.04725896508860049</t>
  </si>
  <si>
    <t>0.10246859083384861</t>
  </si>
  <si>
    <t>0.4589807357791025</t>
  </si>
  <si>
    <t>-1.2016400098155324</t>
  </si>
  <si>
    <t>-1.0728794229995393</t>
  </si>
  <si>
    <t>1.0838830181604948</t>
  </si>
  <si>
    <t>2.961723192982146</t>
  </si>
  <si>
    <t>-0.6315656854203261</t>
  </si>
  <si>
    <t>-1.1774899257404885</t>
  </si>
  <si>
    <t>2.1863367590420313</t>
  </si>
  <si>
    <t>-0.19559283364683544</t>
  </si>
  <si>
    <t>0.06591457456601847</t>
  </si>
  <si>
    <t>0.18791853079042775</t>
  </si>
  <si>
    <t>-0.6474958994749946</t>
  </si>
  <si>
    <t>0.4899384793667036</t>
  </si>
  <si>
    <t>-0.21196605756745923</t>
  </si>
  <si>
    <t>-0.722242319183175</t>
  </si>
  <si>
    <t>0.0932479316410627</t>
  </si>
  <si>
    <t>0.733306058776503</t>
  </si>
  <si>
    <t>-1.3344587003382016</t>
  </si>
  <si>
    <t>-0.8129656042500117</t>
  </si>
  <si>
    <t>0.4593811149241203</t>
  </si>
  <si>
    <t>-0.460836982028794</t>
  </si>
  <si>
    <t>-0.03366451774825762</t>
  </si>
  <si>
    <t>-0.3422783223766792</t>
  </si>
  <si>
    <t>-0.6232427239726053</t>
  </si>
  <si>
    <t>-1.277367778868915</t>
  </si>
  <si>
    <t>-0.4012801324618804</t>
  </si>
  <si>
    <t>-1.6697031121818902</t>
  </si>
  <si>
    <t>0.6827457271806993</t>
  </si>
  <si>
    <t>0.08128912046466238</t>
  </si>
  <si>
    <t>-1.015701988363535</t>
  </si>
  <si>
    <t>-1.1619528369133933</t>
  </si>
  <si>
    <t>-1.0258110849458744</t>
  </si>
  <si>
    <t>0.5405601202668303</t>
  </si>
  <si>
    <t>0.10428569892164224</t>
  </si>
  <si>
    <t>-0.07911732102979221</t>
  </si>
  <si>
    <t>-0.38888969831706666</t>
  </si>
  <si>
    <t>0.1508509436553036</t>
  </si>
  <si>
    <t>-0.5624103708581432</t>
  </si>
  <si>
    <t>0.15445052879861737</t>
  </si>
  <si>
    <t>0.02860753894827995</t>
  </si>
  <si>
    <t>-2.467207811638941</t>
  </si>
  <si>
    <t>-1.0802596718000628</t>
  </si>
  <si>
    <t>-0.5609923452928998</t>
  </si>
  <si>
    <t>-1.3779831714088318</t>
  </si>
  <si>
    <t>1.59746233603514</t>
  </si>
  <si>
    <t>-0.3432265278536425</t>
  </si>
  <si>
    <t>-1.8702949069792416</t>
  </si>
  <si>
    <t>0.04291258843866476</t>
  </si>
  <si>
    <t>-1.5910566206818042</t>
  </si>
  <si>
    <t>0.02847830303112441</t>
  </si>
  <si>
    <t>2.0564344380800508</t>
  </si>
  <si>
    <t>-0.23785547972826088</t>
  </si>
  <si>
    <t>1.720192209921629</t>
  </si>
  <si>
    <t>-1.447309852667237</t>
  </si>
  <si>
    <t>-0.3073524204588311</t>
  </si>
  <si>
    <t>0.8101921984930156</t>
  </si>
  <si>
    <t>0.8047067333707871</t>
  </si>
  <si>
    <t>2.1542672158651692</t>
  </si>
  <si>
    <t>-0.7338806041544715</t>
  </si>
  <si>
    <t>1.551402806034518</t>
  </si>
  <si>
    <t>-2.0102515629434623</t>
  </si>
  <si>
    <t>-0.990927278999195</t>
  </si>
  <si>
    <t>-1.619527676085057</t>
  </si>
  <si>
    <t>1.7866233941304743</t>
  </si>
  <si>
    <t>-2.549632688908833</t>
  </si>
  <si>
    <t>0.26524112909996733</t>
  </si>
  <si>
    <t>-2.8847068854561426</t>
  </si>
  <si>
    <t>0.27749477227126723</t>
  </si>
  <si>
    <t>-2.1277862213468954</t>
  </si>
  <si>
    <t>-0.34820632754311726</t>
  </si>
  <si>
    <t>-2.1997272042603924</t>
  </si>
  <si>
    <t>-0.07434867312914101</t>
  </si>
  <si>
    <t>-1.481416064545748</t>
  </si>
  <si>
    <t>0.08101727941371306</t>
  </si>
  <si>
    <t>-1.020454641482913</t>
  </si>
  <si>
    <t>-0.8299241452690509</t>
  </si>
  <si>
    <t>1.5880965013463957</t>
  </si>
  <si>
    <t>0.9188556769577993</t>
  </si>
  <si>
    <t>1.7406323580074807</t>
  </si>
  <si>
    <t>0.4816227214471705</t>
  </si>
  <si>
    <t>0.40760261232438927</t>
  </si>
  <si>
    <t>1.3429171461485008</t>
  </si>
  <si>
    <t>2.7585313287281132</t>
  </si>
  <si>
    <t>-0.09102617448864068</t>
  </si>
  <si>
    <t>0.8401155242832313</t>
  </si>
  <si>
    <t>1.1241031383627287</t>
  </si>
  <si>
    <t>-2.0772442103680833</t>
  </si>
  <si>
    <t>1.992467306072172</t>
  </si>
  <si>
    <t>-2.0925534829166588</t>
  </si>
  <si>
    <t>-0.8822074671861411</t>
  </si>
  <si>
    <t>-0.26654539941997824</t>
  </si>
  <si>
    <t>0.273183893026853</t>
  </si>
  <si>
    <t>0.3544002101165284</t>
  </si>
  <si>
    <t>0.42215964000355194</t>
  </si>
  <si>
    <t>-1.1683766757849776</t>
  </si>
  <si>
    <t>-1.1155798972869586</t>
  </si>
  <si>
    <t>3.0842382147870766</t>
  </si>
  <si>
    <t>-0.9896972486839809</t>
  </si>
  <si>
    <t>0.19874844502149452</t>
  </si>
  <si>
    <t>-1.012367659773655</t>
  </si>
  <si>
    <t>0.05676243485843958</t>
  </si>
  <si>
    <t>2.5226057048222623</t>
  </si>
  <si>
    <t>-1.0691173772623423</t>
  </si>
  <si>
    <t>1.7773177323280518</t>
  </si>
  <si>
    <t>0.12909607873944365</t>
  </si>
  <si>
    <t>-0.33089434198104495</t>
  </si>
  <si>
    <t>1.5132129740640845</t>
  </si>
  <si>
    <t>-2.040397736008026</t>
  </si>
  <si>
    <t>-0.8096718507715254</t>
  </si>
  <si>
    <t>-1.1791125378427998</t>
  </si>
  <si>
    <t>-0.31562132269108223</t>
  </si>
  <si>
    <t>-0.2314409676770219</t>
  </si>
  <si>
    <t>-2.1390908754216533</t>
  </si>
  <si>
    <t>0.32020185029234277</t>
  </si>
  <si>
    <t>1.6533981351079678</t>
  </si>
  <si>
    <t>-0.26667320937634376</t>
  </si>
  <si>
    <t>0.6697200969373139</t>
  </si>
  <si>
    <t>0.04674403528540051</t>
  </si>
  <si>
    <t>-0.005451022171814992</t>
  </si>
  <si>
    <t>-0.04730048895810851</t>
  </si>
  <si>
    <t>-0.9261863974728747</t>
  </si>
  <si>
    <t>-0.6903104596589891</t>
  </si>
  <si>
    <t>-1.5897547638077718</t>
  </si>
  <si>
    <t>-1.6761957981195499</t>
  </si>
  <si>
    <t>0.42949466469713005</t>
  </si>
  <si>
    <t>0.003093556681948063</t>
  </si>
  <si>
    <t>-0.3586326573278571</t>
  </si>
  <si>
    <t>-0.3008812896205703</t>
  </si>
  <si>
    <t>-1.652937730640674</t>
  </si>
  <si>
    <t>-0.5827291092278205</t>
  </si>
  <si>
    <t>0.639294467128776</t>
  </si>
  <si>
    <t>1.3617947839609559</t>
  </si>
  <si>
    <t>1.2897920383194845</t>
  </si>
  <si>
    <t>1.8569636283604338</t>
  </si>
  <si>
    <t>-0.2285121412502864</t>
  </si>
  <si>
    <t>0.1773235654126947</t>
  </si>
  <si>
    <t>-0.7478433193292963</t>
  </si>
  <si>
    <t>1.809506418095304</t>
  </si>
  <si>
    <t>-0.15110731541407274</t>
  </si>
  <si>
    <t>0.33472118787220806</t>
  </si>
  <si>
    <t>2.7788325535780287</t>
  </si>
  <si>
    <t>-0.1390692927903637</t>
  </si>
  <si>
    <t>-0.17219075575989598</t>
  </si>
  <si>
    <t>0.4697204428097303</t>
  </si>
  <si>
    <t>-0.7170089120525825</t>
  </si>
  <si>
    <t>0.3641077243669544</t>
  </si>
  <si>
    <t>0.8756109822519218</t>
  </si>
  <si>
    <t>-1.9737661041757906</t>
  </si>
  <si>
    <t>-0.16091065955813733</t>
  </si>
  <si>
    <t>1.0704334819937338</t>
  </si>
  <si>
    <t>-0.4192334683299547</t>
  </si>
  <si>
    <t>1.1155232012426524</t>
  </si>
  <si>
    <t>-0.2622971782191142</t>
  </si>
  <si>
    <t>0.851636362588134</t>
  </si>
  <si>
    <t>-0.8931365847160628</t>
  </si>
  <si>
    <t>-1.1128750542850565</t>
  </si>
  <si>
    <t>-1.5828228641890965</t>
  </si>
  <si>
    <t>0.10751360526110802</t>
  </si>
  <si>
    <t>3.3377988126401785</t>
  </si>
  <si>
    <t>0.5017703831694565</t>
  </si>
  <si>
    <t>0.4990785738582073</t>
  </si>
  <si>
    <t>1.1515156425942463</t>
  </si>
  <si>
    <t>-0.30464069429806495</t>
  </si>
  <si>
    <t>-1.5950387953470746</t>
  </si>
  <si>
    <t>1.959427002221675</t>
  </si>
  <si>
    <t>-0.41026610590532825</t>
  </si>
  <si>
    <t>-0.4717233880907626</t>
  </si>
  <si>
    <t>0.4746126019250016</t>
  </si>
  <si>
    <t>0.17693478503519447</t>
  </si>
  <si>
    <t>0.5300288449117627</t>
  </si>
  <si>
    <t>0.23744184605515203</t>
  </si>
  <si>
    <t>-0.3509788528789353</t>
  </si>
  <si>
    <t>0.5596806681882311</t>
  </si>
  <si>
    <t>0.6796637338103453</t>
  </si>
  <si>
    <t>-0.18009516585549173</t>
  </si>
  <si>
    <t>1.3292392065013765</t>
  </si>
  <si>
    <t>0.14129984692369527</t>
  </si>
  <si>
    <t>-0.4523459614334698</t>
  </si>
  <si>
    <t>-0.2818636190893729</t>
  </si>
  <si>
    <t>0.0860360313575766</t>
  </si>
  <si>
    <t>-0.4131007558676599</t>
  </si>
  <si>
    <t>-0.10925022643029632</t>
  </si>
  <si>
    <t>-0.41196130829411354</t>
  </si>
  <si>
    <t>0.434080191864241</t>
  </si>
  <si>
    <t>-0.562904047003194</t>
  </si>
  <si>
    <t>0.47282120597515087</t>
  </si>
  <si>
    <t>0.7408068954143795</t>
  </si>
  <si>
    <t>-0.82370053197556</t>
  </si>
  <si>
    <t>1.5327756467327351</t>
  </si>
  <si>
    <t>0.7638555914240271</t>
  </si>
  <si>
    <t>0.4108202110034603</t>
  </si>
  <si>
    <t>0.6086767889174497</t>
  </si>
  <si>
    <t>-1.1179358111284456</t>
  </si>
  <si>
    <t>-0.44305025362304984</t>
  </si>
  <si>
    <t>1.1018522085644966</t>
  </si>
  <si>
    <t>-0.8567835469572649</t>
  </si>
  <si>
    <t>0.46028153228393925</t>
  </si>
  <si>
    <t>0.020145863274375866</t>
  </si>
  <si>
    <t>-0.7331002183376688</t>
  </si>
  <si>
    <t>-0.5818171870068833</t>
  </si>
  <si>
    <t>0.3565786683086643</t>
  </si>
  <si>
    <t>-0.36394848020293363</t>
  </si>
  <si>
    <t>1.0759881861296392</t>
  </si>
  <si>
    <t>-0.5713682603475684</t>
  </si>
  <si>
    <t>-0.48391863214774344</t>
  </si>
  <si>
    <t>1.5723853355129684</t>
  </si>
  <si>
    <t>-0.3058563128101825</t>
  </si>
  <si>
    <t>0.32284535718377905</t>
  </si>
  <si>
    <t>0.5821713064063393</t>
  </si>
  <si>
    <t>1.3325761443736452</t>
  </si>
  <si>
    <t>0.8541167940799629</t>
  </si>
  <si>
    <t>-1.58373129646305</t>
  </si>
  <si>
    <t>0.3563846600383175</t>
  </si>
  <si>
    <t>0.3440549216880285</t>
  </si>
  <si>
    <t>-1.045945202190573</t>
  </si>
  <si>
    <t>-0.15383361135467127</t>
  </si>
  <si>
    <t>1.0511347652914587</t>
  </si>
  <si>
    <t>0.12534820735362764</t>
  </si>
  <si>
    <t>1.0121507860129948</t>
  </si>
  <si>
    <t>-1.7841518313891949</t>
  </si>
  <si>
    <t>0.14564468059399324</t>
  </si>
  <si>
    <t>0.20018106944986033</t>
  </si>
  <si>
    <t>1.9004558124023725</t>
  </si>
  <si>
    <t>2.9714399572866173</t>
  </si>
  <si>
    <t>0.611476451133087</t>
  </si>
  <si>
    <t>0.19279982698709316</t>
  </si>
  <si>
    <t>0.20693448365925673</t>
  </si>
  <si>
    <t>0.8898716949824125</t>
  </si>
  <si>
    <t>-0.5735266730760213</t>
  </si>
  <si>
    <t>0.021731407898519062</t>
  </si>
  <si>
    <t>0.2574399360366043</t>
  </si>
  <si>
    <t>0.08501157621636275</t>
  </si>
  <si>
    <t>-0.5678084998710806</t>
  </si>
  <si>
    <t>-0.2402803740559272</t>
  </si>
  <si>
    <t>-0.01570908432470994</t>
  </si>
  <si>
    <t>-0.11977757841120386</t>
  </si>
  <si>
    <t>1.1535249635641356</t>
  </si>
  <si>
    <t>0.03749590219471438</t>
  </si>
  <si>
    <t>0.4942190399195625</t>
  </si>
  <si>
    <t>0.04324045636722634</t>
  </si>
  <si>
    <t>0.2399703316831327</t>
  </si>
  <si>
    <t>0.12390762784922629</t>
  </si>
  <si>
    <t>0.5635830242831643</t>
  </si>
  <si>
    <t>-1.0486067647167279</t>
  </si>
  <si>
    <t>1.2405171508013952</t>
  </si>
  <si>
    <t>-0.7996445788959892</t>
  </si>
  <si>
    <t>2.3098764717757367</t>
  </si>
  <si>
    <t>-0.8529986831474107</t>
  </si>
  <si>
    <t>1.073191170905144</t>
  </si>
  <si>
    <t>0.07508491731274922</t>
  </si>
  <si>
    <t>0.35246940046564945</t>
  </si>
  <si>
    <t>1.6364749048625975</t>
  </si>
  <si>
    <t>0.9018924876568634</t>
  </si>
  <si>
    <t>-0.49171506132172177</t>
  </si>
  <si>
    <t>-1.002625992997166</t>
  </si>
  <si>
    <t>0.06750899669816929</t>
  </si>
  <si>
    <t>0.0069250183948443116</t>
  </si>
  <si>
    <t>-0.7450225047037963</t>
  </si>
  <si>
    <t>0.04201916399230925</t>
  </si>
  <si>
    <t>-0.34850479469549495</t>
  </si>
  <si>
    <t>0.21893850766230993</t>
  </si>
  <si>
    <t>0.1433568479288404</t>
  </si>
  <si>
    <t>-0.36040009534847084</t>
  </si>
  <si>
    <t>-0.1068363037843472</t>
  </si>
  <si>
    <t>0.49448278209019375</t>
  </si>
  <si>
    <t>0.20562090177484077</t>
  </si>
  <si>
    <t>1.042286860791429</t>
  </si>
  <si>
    <t>-0.06631492512638267</t>
  </si>
  <si>
    <t>-0.0907265206987019</t>
  </si>
  <si>
    <t>0.20504963632174883</t>
  </si>
  <si>
    <t>-0.7887817378736132</t>
  </si>
  <si>
    <t>-0.03474526939278516</t>
  </si>
  <si>
    <t>0.7349654884104785</t>
  </si>
  <si>
    <t>-0.08808658672479577</t>
  </si>
  <si>
    <t>0.15332757875894604</t>
  </si>
  <si>
    <t>1.0882356042159351</t>
  </si>
  <si>
    <t>0.1751655340340988</t>
  </si>
  <si>
    <t>0.02452848060537806</t>
  </si>
  <si>
    <t>1.4594290685520088</t>
  </si>
  <si>
    <t>1.298744632667817</t>
  </si>
  <si>
    <t>-0.18648601447382587</t>
  </si>
  <si>
    <t>-0.629041227086986</t>
  </si>
  <si>
    <t>-0.28690497163684275</t>
  </si>
  <si>
    <t>-0.33208573097704885</t>
  </si>
  <si>
    <t>-0.12476594948008908</t>
  </si>
  <si>
    <t>-0.17082196602437202</t>
  </si>
  <si>
    <t>-0.054447611664870756</t>
  </si>
  <si>
    <t>-0.4468681734430734</t>
  </si>
  <si>
    <t>-0.058232936161009614</t>
  </si>
  <si>
    <t>0.38722531272390903</t>
  </si>
  <si>
    <t>-0.2023550927822576</t>
  </si>
  <si>
    <t>1.0322645036810678</t>
  </si>
  <si>
    <t>-0.042729159758388174</t>
  </si>
  <si>
    <t>0.18523295657611857</t>
  </si>
  <si>
    <t>0.5270744877208539</t>
  </si>
  <si>
    <t>-0.32765005379979045</t>
  </si>
  <si>
    <t>0.32756215732806115</t>
  </si>
  <si>
    <t>-0.21719147197237962</t>
  </si>
  <si>
    <t>-0.44260365644046107</t>
  </si>
  <si>
    <t>-0.5423720105560955</t>
  </si>
  <si>
    <t>0.015314935587177126</t>
  </si>
  <si>
    <t>-0.8895642422615451</t>
  </si>
  <si>
    <t>0.4135727283059903</t>
  </si>
  <si>
    <t>0.15796299954848253</t>
  </si>
  <si>
    <t>1.0851334201123084</t>
  </si>
  <si>
    <t>-0.6165267663393739</t>
  </si>
  <si>
    <t>-0.10593459635991001</t>
  </si>
  <si>
    <t>0.12654283944136344</t>
  </si>
  <si>
    <t>0.30020124902129086</t>
  </si>
  <si>
    <t>0.1830311419185348</t>
  </si>
  <si>
    <t>-0.55937763859579</t>
  </si>
  <si>
    <t>1.2222263143617804</t>
  </si>
  <si>
    <t>-0.23502342035152204</t>
  </si>
  <si>
    <t>0.9954313848755093</t>
  </si>
  <si>
    <t>-0.39108052008808053</t>
  </si>
  <si>
    <t>0.030296942204451477</t>
  </si>
  <si>
    <t>-0.6901216362224841</t>
  </si>
  <si>
    <t>0.6451883915052699</t>
  </si>
  <si>
    <t>-0.40133277349301905</t>
  </si>
  <si>
    <t>-0.5650624777176415</t>
  </si>
  <si>
    <t>0.31806147472854457</t>
  </si>
  <si>
    <t>-1.1916876671169412</t>
  </si>
  <si>
    <t>-0.7834246238942749</t>
  </si>
  <si>
    <t>0.9249268619961287</t>
  </si>
  <si>
    <t>-0.47698540366985454</t>
  </si>
  <si>
    <t>-0.05580189825702976</t>
  </si>
  <si>
    <t>-0.5099563140307138</t>
  </si>
  <si>
    <t>-0.03932493147763101</t>
  </si>
  <si>
    <t>1.2985845673979768</t>
  </si>
  <si>
    <t>0.7528978870876536</t>
  </si>
  <si>
    <t>0.5371682730236295</t>
  </si>
  <si>
    <t>-0.3649943532431609</t>
  </si>
  <si>
    <t>0.9873945110194231</t>
  </si>
  <si>
    <t>-0.35564786709235685</t>
  </si>
  <si>
    <t>-1.1877144289284365</t>
  </si>
  <si>
    <t>-0.07953934028173076</t>
  </si>
  <si>
    <t>-0.17190849179938358</t>
  </si>
  <si>
    <t>-0.10654814227155195</t>
  </si>
  <si>
    <t>-0.30800506713868214</t>
  </si>
  <si>
    <t>1.4862410033194966</t>
  </si>
  <si>
    <t>-0.7715893603394609</t>
  </si>
  <si>
    <t>2.5693715165658357</t>
  </si>
  <si>
    <t>1.4090933735739233</t>
  </si>
  <si>
    <t>0.5413217445218346</t>
  </si>
  <si>
    <t>-1.942194059918552</t>
  </si>
  <si>
    <t>0.9751782162807804</t>
  </si>
  <si>
    <t>1.1238980079948275</t>
  </si>
  <si>
    <t>-0.5629361063629623</t>
  </si>
  <si>
    <t>-1.0846177674509327</t>
  </si>
  <si>
    <t>0.9478561469456724</t>
  </si>
  <si>
    <t>-0.9068204047532981</t>
  </si>
  <si>
    <t>0.8346451497414145</t>
  </si>
  <si>
    <t>0.7347560307400272</t>
  </si>
  <si>
    <t>1.7795086670011586</t>
  </si>
  <si>
    <t>0.9936416923191043</t>
  </si>
  <si>
    <t>0.702854128005393</t>
  </si>
  <si>
    <t>-0.6782559141284702</t>
  </si>
  <si>
    <t>1.3380383661807909</t>
  </si>
  <si>
    <t>-1.5401544118962167</t>
  </si>
  <si>
    <t>0.013782755389881905</t>
  </si>
  <si>
    <t>-0.9554418442208771</t>
  </si>
  <si>
    <t>-0.9577771968194855</t>
  </si>
  <si>
    <t>-1.9108320022012606</t>
  </si>
  <si>
    <t>1.1694651741979734</t>
  </si>
  <si>
    <t>2.243827155194023</t>
  </si>
  <si>
    <t>1.1209285174839623</t>
  </si>
  <si>
    <t>0.6995292615560927</t>
  </si>
  <si>
    <t>0.39973919169817534</t>
  </si>
  <si>
    <t>0.11623170199536263</t>
  </si>
  <si>
    <t>1.5867061875782649</t>
  </si>
  <si>
    <t>-0.694448357385579</t>
  </si>
  <si>
    <t>-0.7622056578363169</t>
  </si>
  <si>
    <t>1.0352622680953</t>
  </si>
  <si>
    <t>-0.7873508127340272</t>
  </si>
  <si>
    <t>0.9258914933133312</t>
  </si>
  <si>
    <t>2.2756302168800127</t>
  </si>
  <si>
    <t>0.07100069328229577</t>
  </si>
  <si>
    <t>-0.10297582624178392</t>
  </si>
  <si>
    <t>-0.5809735262551539</t>
  </si>
  <si>
    <t>-1.517813095503222</t>
  </si>
  <si>
    <t>-0.52512993918159</t>
  </si>
  <si>
    <t>0.9351008279025094</t>
  </si>
  <si>
    <t>-1.915952810569782</t>
  </si>
  <si>
    <t>2.034172925737981</t>
  </si>
  <si>
    <t>-0.1691194980626864</t>
  </si>
  <si>
    <t>-0.38457879956881175</t>
  </si>
  <si>
    <t>0.37352065946973995</t>
  </si>
  <si>
    <t>-1.537989982319792</t>
  </si>
  <si>
    <t>-0.46603094702694675</t>
  </si>
  <si>
    <t>-0.25680096988338946</t>
  </si>
  <si>
    <t>-1.0142418312264128</t>
  </si>
  <si>
    <t>-0.6053089673712723</t>
  </si>
  <si>
    <t>0.16856579497451382</t>
  </si>
  <si>
    <t>1.5844208924750647</t>
  </si>
  <si>
    <t>-0.8318133387484404</t>
  </si>
  <si>
    <t>2.2140615147892815</t>
  </si>
  <si>
    <t>0.6428580036845506</t>
  </si>
  <si>
    <t>0.9539762884115549</t>
  </si>
  <si>
    <t>-0.16737783449218463</t>
  </si>
  <si>
    <t>-0.6197191510229361</t>
  </si>
  <si>
    <t>0.924496987611816</t>
  </si>
  <si>
    <t>1.8269679722293866</t>
  </si>
  <si>
    <t>-1.9227454895926708</t>
  </si>
  <si>
    <t>0.6031696780049755</t>
  </si>
  <si>
    <t>-1.8989038203938702</t>
  </si>
  <si>
    <t>0.6975484592024523</t>
  </si>
  <si>
    <t>1.6311856669360876</t>
  </si>
  <si>
    <t>1.0034722293927023</t>
  </si>
  <si>
    <t>-1.1256923695423213</t>
  </si>
  <si>
    <t>0.011582825688108105</t>
  </si>
  <si>
    <t>-0.4206794515543089</t>
  </si>
  <si>
    <t>-2.1091866552754013</t>
  </si>
  <si>
    <t>-1.179292736822901</t>
  </si>
  <si>
    <t>0.6114641435093531</t>
  </si>
  <si>
    <t>0.5360317706842916</t>
  </si>
  <si>
    <t>1.1448487032821533</t>
  </si>
  <si>
    <t>0.3928895220828313</t>
  </si>
  <si>
    <t>-1.7569643388627427</t>
  </si>
  <si>
    <t>-0.7809815629557314</t>
  </si>
  <si>
    <t>1.101511161799921</t>
  </si>
  <si>
    <t>-4.214433622423383</t>
  </si>
  <si>
    <t>-0.7412419657194698</t>
  </si>
  <si>
    <t>-0.7855757613662374</t>
  </si>
  <si>
    <t>-1.0364861610069116</t>
  </si>
  <si>
    <t>3.1397134082060925</t>
  </si>
  <si>
    <t>-0.27649603644437637</t>
  </si>
  <si>
    <t>-1.8487956561137973</t>
  </si>
  <si>
    <t>-2.464755780054524</t>
  </si>
  <si>
    <t>0.6285614511324785</t>
  </si>
  <si>
    <t>2.8606932286230964</t>
  </si>
  <si>
    <t>-0.7082145597873396</t>
  </si>
  <si>
    <t>-1.1055190195987954</t>
  </si>
  <si>
    <t>-0.5687820903543716</t>
  </si>
  <si>
    <t>2.724357405857945</t>
  </si>
  <si>
    <t>0.49001406545261117</t>
  </si>
  <si>
    <t>0.10912791003140407</t>
  </si>
  <si>
    <t>0.30778787523738727</t>
  </si>
  <si>
    <t>-0.6327430176972346</t>
  </si>
  <si>
    <t>-1.6026081083134445</t>
  </si>
  <si>
    <t>-1.9506169362326347</t>
  </si>
  <si>
    <t>-0.2243194765107602</t>
  </si>
  <si>
    <t>-0.026422451923794756</t>
  </si>
  <si>
    <t>-0.08255411084897338</t>
  </si>
  <si>
    <t>2.2197262186942446</t>
  </si>
  <si>
    <t>0.05279145169308463</t>
  </si>
  <si>
    <t>0.2890437470624372</t>
  </si>
  <si>
    <t>-0.5968255323271364</t>
  </si>
  <si>
    <t>-0.25754356598608424</t>
  </si>
  <si>
    <t>-0.37832926174962644</t>
  </si>
  <si>
    <t>1.559171881868464</t>
  </si>
  <si>
    <t>-0.7281139911470329</t>
  </si>
  <si>
    <t>1.1205115391824176</t>
  </si>
  <si>
    <t>-0.528048147697101</t>
  </si>
  <si>
    <t>-0.20375460600149398</t>
  </si>
  <si>
    <t>-1.5409775454516113</t>
  </si>
  <si>
    <t>-0.2014508100471085</t>
  </si>
  <si>
    <t>-0.6661498759286916</t>
  </si>
  <si>
    <t>0.40211113255961084</t>
  </si>
  <si>
    <t>-2.0859056699215546</t>
  </si>
  <si>
    <t>0.35943613573059147</t>
  </si>
  <si>
    <t>0.041914537948444845</t>
  </si>
  <si>
    <t>-0.3254897874047216</t>
  </si>
  <si>
    <t>-1.0949673046783925</t>
  </si>
  <si>
    <t>-1.0962732293630875</t>
  </si>
  <si>
    <t>0.0015076394732116587</t>
  </si>
  <si>
    <t>0.48007878234840745</t>
  </si>
  <si>
    <t>1.8159217562118943</t>
  </si>
  <si>
    <t>-0.28781559158863523</t>
  </si>
  <si>
    <t>-1.4392174382786787</t>
  </si>
  <si>
    <t>0.4033288090240412</t>
  </si>
  <si>
    <t>0.0818197047283924</t>
  </si>
  <si>
    <t>-0.2660421341187378</t>
  </si>
  <si>
    <t>0.648865814119846</t>
  </si>
  <si>
    <t>-0.8524316555560754</t>
  </si>
  <si>
    <t>1.234116600618836</t>
  </si>
  <si>
    <t>0.3339233455069172</t>
  </si>
  <si>
    <t>-0.4462018862339451</t>
  </si>
  <si>
    <t>0.7642788279098243</t>
  </si>
  <si>
    <t>-0.174227085788197</t>
  </si>
  <si>
    <t>0.24352298346251497</t>
  </si>
  <si>
    <t>0.09084013076807428</t>
  </si>
  <si>
    <t>-0.30831096354667364</t>
  </si>
  <si>
    <t>0.09354905928858379</t>
  </si>
  <si>
    <t>-0.8507522124288343</t>
  </si>
  <si>
    <t>-0.2867625986460905</t>
  </si>
  <si>
    <t>-0.6688045855933428</t>
  </si>
  <si>
    <t>-1.7890328612685749</t>
  </si>
  <si>
    <t>-0.3706850601535268</t>
  </si>
  <si>
    <t>-0.3717720995350793</t>
  </si>
  <si>
    <t>0.007152320080292201</t>
  </si>
  <si>
    <t>-1.3200099562340948</t>
  </si>
  <si>
    <t>-1.0330444591101047</t>
  </si>
  <si>
    <t>0.26389842202147895</t>
  </si>
  <si>
    <t>0.9306131038103721</t>
  </si>
  <si>
    <t>2.2923134101752924</t>
  </si>
  <si>
    <t>-1.8343610669971766</t>
  </si>
  <si>
    <t>1.0173291278447798</t>
  </si>
  <si>
    <t>1.4183763331587096</t>
  </si>
  <si>
    <t>-0.5552576428789562</t>
  </si>
  <si>
    <t>1.0272579360419238</t>
  </si>
  <si>
    <t>-0.723786448384003</t>
  </si>
  <si>
    <t>-0.21040207770684144</t>
  </si>
  <si>
    <t>-0.14320103682447202</t>
  </si>
  <si>
    <t>-0.7507141990152418</t>
  </si>
  <si>
    <t>-0.04443586321034273</t>
  </si>
  <si>
    <t>-1.1800715030884337</t>
  </si>
  <si>
    <t>0.8519305563547102</t>
  </si>
  <si>
    <t>-1.5374494082330619</t>
  </si>
  <si>
    <t>-0.16895854669835586</t>
  </si>
  <si>
    <t>-0.12275500624704913</t>
  </si>
  <si>
    <t>1.702328827853583</t>
  </si>
  <si>
    <t>-1.1678023667899664</t>
  </si>
  <si>
    <t>-0.15506067993875208</t>
  </si>
  <si>
    <t>-0.5338477984385956</t>
  </si>
  <si>
    <t>1.4825827231645385</t>
  </si>
  <si>
    <t>-1.7560378769555767</t>
  </si>
  <si>
    <t>0.6046697295953287</t>
  </si>
  <si>
    <t>-0.4876854435900022</t>
  </si>
  <si>
    <t>-0.2648408820504394</t>
  </si>
  <si>
    <t>0.0027964536131319237</t>
  </si>
  <si>
    <t>-0.29111863459757886</t>
  </si>
  <si>
    <t>-0.06441327550016546</t>
  </si>
  <si>
    <t>-0.40593791623670983</t>
  </si>
  <si>
    <t>-0.6018628783773947</t>
  </si>
  <si>
    <t>-0.4095152549668096</t>
  </si>
  <si>
    <t>-0.26589772913406073</t>
  </si>
  <si>
    <t>1.129357417853324</t>
  </si>
  <si>
    <t>1.709371526688649</t>
  </si>
  <si>
    <t>0.04931481936697492</t>
  </si>
  <si>
    <t>0.2720613404382093</t>
  </si>
  <si>
    <t>-0.15008612365048077</t>
  </si>
  <si>
    <t>0.577091487599788</t>
  </si>
  <si>
    <t>-1.228154058227</t>
  </si>
  <si>
    <t>-0.08783479091738594</t>
  </si>
  <si>
    <t>-0.01841736985351146</t>
  </si>
  <si>
    <t>-1.3262391072528508</t>
  </si>
  <si>
    <t>-0.32962629281697453</t>
  </si>
  <si>
    <t>-1.2922511772083172</t>
  </si>
  <si>
    <t>0.7122398685146967</t>
  </si>
  <si>
    <t>-1.8494802744978789</t>
  </si>
  <si>
    <t>-1.486817484035667</t>
  </si>
  <si>
    <t>0.5341442472618437</t>
  </si>
  <si>
    <t>-1.0126513908327435</t>
  </si>
  <si>
    <t>-0.0016349892111417435</t>
  </si>
  <si>
    <t>-0.42407005587366453</t>
  </si>
  <si>
    <t>-0.6837581187304997</t>
  </si>
  <si>
    <t>-1.0342462546559579</t>
  </si>
  <si>
    <t>1.268070935927749</t>
  </si>
  <si>
    <t>-0.9158735601071781</t>
  </si>
  <si>
    <t>-0.08929024138304126</t>
  </si>
  <si>
    <t>0.06150806827773787</t>
  </si>
  <si>
    <t>-0.44709721080728665</t>
  </si>
  <si>
    <t>-0.8295068053687482</t>
  </si>
  <si>
    <t>-0.8173003503330079</t>
  </si>
  <si>
    <t>1.409484340074401</t>
  </si>
  <si>
    <t>-0.7255943375953608</t>
  </si>
  <si>
    <t>0.6243444447393595</t>
  </si>
  <si>
    <t>0.398713932019678</t>
  </si>
  <si>
    <t>-0.28838855267802427</t>
  </si>
  <si>
    <t>-2.281851155540483</t>
  </si>
  <si>
    <t>2.4281198989427706</t>
  </si>
  <si>
    <t>-1.3579099475563092</t>
  </si>
  <si>
    <t>-2.5561247820254667</t>
  </si>
  <si>
    <t>-0.7525593624388456</t>
  </si>
  <si>
    <t>0.1571343115606969</t>
  </si>
  <si>
    <t>0.5263343530569546</t>
  </si>
  <si>
    <t>-0.2153540355890459</t>
  </si>
  <si>
    <t>0.411082664369364</t>
  </si>
  <si>
    <t>-1.430553338371919</t>
  </si>
  <si>
    <t>-1.477157869948676</t>
  </si>
  <si>
    <t>-0.36546115603952084</t>
  </si>
  <si>
    <t>0.3422462703102134</t>
  </si>
  <si>
    <t>2.8391611088203565</t>
  </si>
  <si>
    <t>-1.456824977047827</t>
  </si>
  <si>
    <t>0.457894663786826</t>
  </si>
  <si>
    <t>-2.21496112448186</t>
  </si>
  <si>
    <t>-0.9893594638397544</t>
  </si>
  <si>
    <t>0.4029369635039874</t>
  </si>
  <si>
    <t>-1.9379324333740358</t>
  </si>
  <si>
    <t>2.578011676592373</t>
  </si>
  <si>
    <t>-1.4255867788788674</t>
  </si>
  <si>
    <t>-1.1869118945264805</t>
  </si>
  <si>
    <t>-0.25655000450594645</t>
  </si>
  <si>
    <t>0.5110884283362852</t>
  </si>
  <si>
    <t>-0.5308389597858486</t>
  </si>
  <si>
    <t>1.1529749070518538</t>
  </si>
  <si>
    <t>-1.252618815060631</t>
  </si>
  <si>
    <t>-1.6136373504807406</t>
  </si>
  <si>
    <t>-1.6177105991889429</t>
  </si>
  <si>
    <t>2.3367477156593592</t>
  </si>
  <si>
    <t>-0.46059834397522587</t>
  </si>
  <si>
    <t>-1.277554500643087</t>
  </si>
  <si>
    <t>-1.0040247632203232</t>
  </si>
  <si>
    <t>0.5793973325134476</t>
  </si>
  <si>
    <t>-2.006501132131487</t>
  </si>
  <si>
    <t>-0.5777449552084952</t>
  </si>
  <si>
    <t>-1.318386882400486</t>
  </si>
  <si>
    <t>1.0388208717926564</t>
  </si>
  <si>
    <t>-0.1476409197086599</t>
  </si>
  <si>
    <t>-0.6214186691812048</t>
  </si>
  <si>
    <t>0.053150390240882514</t>
  </si>
  <si>
    <t>-0.5382404153433976</t>
  </si>
  <si>
    <t>0.0964181074811458</t>
  </si>
  <si>
    <t>0.10981089775657513</t>
  </si>
  <si>
    <t>1.5986488830263987</t>
  </si>
  <si>
    <t>3.803392995441708</t>
  </si>
  <si>
    <t>1.6868084868056152</t>
  </si>
  <si>
    <t>-0.9982948344489089</t>
  </si>
  <si>
    <t>0.7574425530679904</t>
  </si>
  <si>
    <t>-0.7027915885705589</t>
  </si>
  <si>
    <t>-0.27090397934592964</t>
  </si>
  <si>
    <t>2.24209036624889</t>
  </si>
  <si>
    <t>-2.0296551218719086</t>
  </si>
  <si>
    <t>0.2632245352293674</t>
  </si>
  <si>
    <t>-0.1728650418119911</t>
  </si>
  <si>
    <t>-0.8602948536642855</t>
  </si>
  <si>
    <t>1.4551047176715484</t>
  </si>
  <si>
    <t>2.7239740956294485</t>
  </si>
  <si>
    <t>-0.190525417453159</t>
  </si>
  <si>
    <t>-2.35356967146669</t>
  </si>
  <si>
    <t>-3.0180994892208206</t>
  </si>
  <si>
    <t>0.2980106237186654</t>
  </si>
  <si>
    <t>-0.4907346242093265</t>
  </si>
  <si>
    <t>-1.3802375521995602</t>
  </si>
  <si>
    <t>0.9557076276634597</t>
  </si>
  <si>
    <t>1.1612864875820976</t>
  </si>
  <si>
    <t>-1.331404853516181</t>
  </si>
  <si>
    <t>1.2927788718997357</t>
  </si>
  <si>
    <t>0.21383680210698813</t>
  </si>
  <si>
    <t>2.8683625578818854</t>
  </si>
  <si>
    <t>1.0639227131349562</t>
  </si>
  <si>
    <t>-1.173618811925857</t>
  </si>
  <si>
    <t>-0.5283560778752114</t>
  </si>
  <si>
    <t>-0.9855511896576786</t>
  </si>
  <si>
    <t>-0.10771063240621483</t>
  </si>
  <si>
    <t>0.5071786365678138</t>
  </si>
  <si>
    <t>-0.048711643721835333</t>
  </si>
  <si>
    <t>-0.9264765027064961</t>
  </si>
  <si>
    <t>-0.41251876667712223</t>
  </si>
  <si>
    <t>0.6846651999321107</t>
  </si>
  <si>
    <t>3.337190571142711</t>
  </si>
  <si>
    <t>3.2402791139573335</t>
  </si>
  <si>
    <t>0.5118979140642267</t>
  </si>
  <si>
    <t>-2.117965774834053</t>
  </si>
  <si>
    <t>1.3349087318919215</t>
  </si>
  <si>
    <t>2.4607483403221684</t>
  </si>
  <si>
    <t>1.1189650055329508</t>
  </si>
  <si>
    <t>-2.0310539479310465</t>
  </si>
  <si>
    <t>0.4622616293986274</t>
  </si>
  <si>
    <t>-4.888307342043195</t>
  </si>
  <si>
    <t>0.988964863383534</t>
  </si>
  <si>
    <t>0.22333986065373151</t>
  </si>
  <si>
    <t>-0.5358023393306255</t>
  </si>
  <si>
    <t>0.5935276739599481</t>
  </si>
  <si>
    <t>-0.5901423836760642</t>
  </si>
  <si>
    <t>1.7761784793968023</t>
  </si>
  <si>
    <t>1.4537304748819566</t>
  </si>
  <si>
    <t>2.0370636239275113</t>
  </si>
  <si>
    <t>-1.4441699557083358</t>
  </si>
  <si>
    <t>1.62792092165205</t>
  </si>
  <si>
    <t>-1.1370989086370629</t>
  </si>
  <si>
    <t>-0.4429687531768154</t>
  </si>
  <si>
    <t>2.2272440279186845</t>
  </si>
  <si>
    <t>0.08301546026516517</t>
  </si>
  <si>
    <t>0.857047265490299</t>
  </si>
  <si>
    <t>0.06577999013619616</t>
  </si>
  <si>
    <t>-0.00850655963870649</t>
  </si>
  <si>
    <t>0.867472484393209</t>
  </si>
  <si>
    <t>-1.5905891870199482</t>
  </si>
  <si>
    <t>0.31766024437834245</t>
  </si>
  <si>
    <t>-0.21755524311648414</t>
  </si>
  <si>
    <t>-2.3619394094923307</t>
  </si>
  <si>
    <t>0.014400509717969976</t>
  </si>
  <si>
    <t>0.8879754121448785</t>
  </si>
  <si>
    <t>-0.8301448620951122</t>
  </si>
  <si>
    <t>-0.974089036475504</t>
  </si>
  <si>
    <t>0.08978199735119845</t>
  </si>
  <si>
    <t>-2.129374156826716</t>
  </si>
  <si>
    <t>-1.1162194615903662</t>
  </si>
  <si>
    <t>1.8160383739212094</t>
  </si>
  <si>
    <t>0.7300021909671471</t>
  </si>
  <si>
    <t>-0.10150283387490262</t>
  </si>
  <si>
    <t>1.0663505161598754</t>
  </si>
  <si>
    <t>1.279965734674776</t>
  </si>
  <si>
    <t>1.019039420169329</t>
  </si>
  <si>
    <t>-0.27125763824624666</t>
  </si>
  <si>
    <t>-0.06920091211426711</t>
  </si>
  <si>
    <t>2.545782339613947</t>
  </si>
  <si>
    <t>0.38944215924238595</t>
  </si>
  <si>
    <t>-0.07861578825045085</t>
  </si>
  <si>
    <t>-0.4221310836362433</t>
  </si>
  <si>
    <t>-0.22066467153778965</t>
  </si>
  <si>
    <t>1.4724727977695853</t>
  </si>
  <si>
    <t>3.083159369921198</t>
  </si>
  <si>
    <t>0.7852150906740372</t>
  </si>
  <si>
    <t>0.7632048655039823</t>
  </si>
  <si>
    <t>-1.0053593856318719</t>
  </si>
  <si>
    <t>0.5333274492562436</t>
  </si>
  <si>
    <t>1.0097229860129033</t>
  </si>
  <si>
    <t>-0.5905706938432076</t>
  </si>
  <si>
    <t>0.4948096549454872</t>
  </si>
  <si>
    <t>0.016584954433978425</t>
  </si>
  <si>
    <t>0.002631088867807131</t>
  </si>
  <si>
    <t>0.03959994117446543</t>
  </si>
  <si>
    <t>0.3236140829971211</t>
  </si>
  <si>
    <t>0.2738036419895055</t>
  </si>
  <si>
    <t>1.261121233027492</t>
  </si>
  <si>
    <t>-0.23942791003601993</t>
  </si>
  <si>
    <t>-1.4541805504485268</t>
  </si>
  <si>
    <t>-2.29369435539239</t>
  </si>
  <si>
    <t>1.0343206473200546</t>
  </si>
  <si>
    <t>-0.6184444259659752</t>
  </si>
  <si>
    <t>0.9511314118247077</t>
  </si>
  <si>
    <t>-0.9981825443292859</t>
  </si>
  <si>
    <t>0.27565156193055257</t>
  </si>
  <si>
    <t>-4.089003292134341</t>
  </si>
  <si>
    <t>1.0325283121801025</t>
  </si>
  <si>
    <t>-0.11641232927962376</t>
  </si>
  <si>
    <t>0.4648947016054032</t>
  </si>
  <si>
    <t>0.20436523277885263</t>
  </si>
  <si>
    <t>0.25049300561821214</t>
  </si>
  <si>
    <t>0.35982780036595585</t>
  </si>
  <si>
    <t>-0.17602211705860207</t>
  </si>
  <si>
    <t>-0.023545673983003154</t>
  </si>
  <si>
    <t>1.3075687466293493</t>
  </si>
  <si>
    <t>1.7221788491108039</t>
  </si>
  <si>
    <t>-0.11411256707084877</t>
  </si>
  <si>
    <t>1.412324910198376</t>
  </si>
  <si>
    <t>0.4454900813034881</t>
  </si>
  <si>
    <t>-0.6678435218094434</t>
  </si>
  <si>
    <t>-0.5223298545318307</t>
  </si>
  <si>
    <t>0.5520100185955472</t>
  </si>
  <si>
    <t>0.7474111531810889</t>
  </si>
  <si>
    <t>0.3377437346252892</t>
  </si>
  <si>
    <t>-0.9378774864425842</t>
  </si>
  <si>
    <t>1.130242819994503</t>
  </si>
  <si>
    <t>0.8821561049584029</t>
  </si>
  <si>
    <t>1.2153277582646844</t>
  </si>
  <si>
    <t>0.764226445104858</t>
  </si>
  <si>
    <t>0.15230077451315843</t>
  </si>
  <si>
    <t>-0.3195933274824546</t>
  </si>
  <si>
    <t>0.3795787075788717</t>
  </si>
  <si>
    <t>0.26928855409335306</t>
  </si>
  <si>
    <t>-0.16582894140079593</t>
  </si>
  <si>
    <t>-0.028114622228890954</t>
  </si>
  <si>
    <t>0.37664877065875646</t>
  </si>
  <si>
    <t>0.42381965289843776</t>
  </si>
  <si>
    <t>-0.6945308970906521</t>
  </si>
  <si>
    <t>1.5882346885833074</t>
  </si>
  <si>
    <t>0.2636273611877936</t>
  </si>
  <si>
    <t>-1.8724944862672916</t>
  </si>
  <si>
    <t>1.5043883768243569</t>
  </si>
  <si>
    <t>-2.4944555257783065</t>
  </si>
  <si>
    <t>-1.405405434202003</t>
  </si>
  <si>
    <t>-0.29315064180772277</t>
  </si>
  <si>
    <t>1.966162286698897</t>
  </si>
  <si>
    <t>-1.0689006585932297</t>
  </si>
  <si>
    <t>-0.5162860739472356</t>
  </si>
  <si>
    <t>-0.2534627415686081</t>
  </si>
  <si>
    <t>1.3806602041055624</t>
  </si>
  <si>
    <t>0.3837712326334838</t>
  </si>
  <si>
    <t>0.6500167740741388</t>
  </si>
  <si>
    <t>1.1677816754578403</t>
  </si>
  <si>
    <t>-0.5291506716252004</t>
  </si>
  <si>
    <t>0.869487796454483</t>
  </si>
  <si>
    <t>-1.3324497877791959</t>
  </si>
  <si>
    <t>-1.0955306212655698</t>
  </si>
  <si>
    <t>0.31938662254920985</t>
  </si>
  <si>
    <t>1.9719985173270147</t>
  </si>
  <si>
    <t>0.8907794252558008</t>
  </si>
  <si>
    <t>-0.14837390712416149</t>
  </si>
  <si>
    <t>1.366526824914284</t>
  </si>
  <si>
    <t>-0.5854884568148357</t>
  </si>
  <si>
    <t>-1.7570426195427251</t>
  </si>
  <si>
    <t>0.0982895002105458</t>
  </si>
  <si>
    <t>-0.8000330754222981</t>
  </si>
  <si>
    <t>2.0273435635477175</t>
  </si>
  <si>
    <t>-0.11965090570340103</t>
  </si>
  <si>
    <t>0.8021693049337346</t>
  </si>
  <si>
    <t>0.5152014016268871</t>
  </si>
  <si>
    <t>-0.4496599905587679</t>
  </si>
  <si>
    <t>-0.042137689855965145</t>
  </si>
  <si>
    <t>0.7239877853565303</t>
  </si>
  <si>
    <t>-0.7706193176909031</t>
  </si>
  <si>
    <t>-0.5792575504438823</t>
  </si>
  <si>
    <t>0.18085390439182344</t>
  </si>
  <si>
    <t>1.0747530212592402</t>
  </si>
  <si>
    <t>-0.25123961158043634</t>
  </si>
  <si>
    <t>-1.2849786737236026</t>
  </si>
  <si>
    <t>-0.7264445678542918</t>
  </si>
  <si>
    <t>-0.7516125760487481</t>
  </si>
  <si>
    <t>-1.0268908448352623</t>
  </si>
  <si>
    <t>0.39268235588162814</t>
  </si>
  <si>
    <t>-0.34193668155769363</t>
  </si>
  <si>
    <t>-0.0855257653252129</t>
  </si>
  <si>
    <t>-0.47028181137916414</t>
  </si>
  <si>
    <t>0.5625792336675208</t>
  </si>
  <si>
    <t>1.2745578423396515</t>
  </si>
  <si>
    <t>-0.3805775573355508</t>
  </si>
  <si>
    <t>-0.5961859618489791</t>
  </si>
  <si>
    <t>-0.13869575912803686</t>
  </si>
  <si>
    <t>0.9215925438310864</t>
  </si>
  <si>
    <t>0.2988155272479591</t>
  </si>
  <si>
    <t>0.7238709011650101</t>
  </si>
  <si>
    <t>0.34639498077597736</t>
  </si>
  <si>
    <t>0.36495485222424084</t>
  </si>
  <si>
    <t>0.2747595445725041</t>
  </si>
  <si>
    <t>0.051886859180103384</t>
  </si>
  <si>
    <t>-1.867511116176751</t>
  </si>
  <si>
    <t>-0.08734478581045464</t>
  </si>
  <si>
    <t>0.8546899605049046</t>
  </si>
  <si>
    <t>-0.14074169000165765</t>
  </si>
  <si>
    <t>1.4834619344296778</t>
  </si>
  <si>
    <t>-1.294458680964147</t>
  </si>
  <si>
    <t>-0.9541265227695355</t>
  </si>
  <si>
    <t>-0.2859575023549332</t>
  </si>
  <si>
    <t>0.9579114905460819</t>
  </si>
  <si>
    <t>0.06522365965897886</t>
  </si>
  <si>
    <t>-0.0100835364388376</t>
  </si>
  <si>
    <t>-0.24506365492408239</t>
  </si>
  <si>
    <t>0.25607882027262047</t>
  </si>
  <si>
    <t>-0.40464143718155626</t>
  </si>
  <si>
    <t>1.3907968740263514</t>
  </si>
  <si>
    <t>0.9690638991911409</t>
  </si>
  <si>
    <t>-0.7854284410540916</t>
  </si>
  <si>
    <t>0.5049946014365173</t>
  </si>
  <si>
    <t>0.07482207669123608</t>
  </si>
  <si>
    <t>-0.38278992651931876</t>
  </si>
  <si>
    <t>0.7528755663624773</t>
  </si>
  <si>
    <t>-0.4587851182477072</t>
  </si>
  <si>
    <t>0.4314061244951598</t>
  </si>
  <si>
    <t>1.4660314501951872</t>
  </si>
  <si>
    <t>-0.37876548834905144</t>
  </si>
  <si>
    <t>0.6775218574013712</t>
  </si>
  <si>
    <t>0.17108035762938448</t>
  </si>
  <si>
    <t>-0.5874855585289127</t>
  </si>
  <si>
    <t>-0.6633400220355309</t>
  </si>
  <si>
    <t>0.15716114465110914</t>
  </si>
  <si>
    <t>0.6827618926707457</t>
  </si>
  <si>
    <t>0.4158236835482036</t>
  </si>
  <si>
    <t>-0.12859250390906532</t>
  </si>
  <si>
    <t>0.5216138680303489</t>
  </si>
  <si>
    <t>-0.12870505902776638</t>
  </si>
  <si>
    <t>0.7223083854820008</t>
  </si>
  <si>
    <t>-0.33274419721259313</t>
  </si>
  <si>
    <t>-0.49216309656421536</t>
  </si>
  <si>
    <t>-0.4298090064035886</t>
  </si>
  <si>
    <t>-0.44769378466750737</t>
  </si>
  <si>
    <t>0.09370639919884512</t>
  </si>
  <si>
    <t>0.027039645804285896</t>
  </si>
  <si>
    <t>0.29848392619020964</t>
  </si>
  <si>
    <t>0.36811610038785003</t>
  </si>
  <si>
    <t>-0.8808259633015444</t>
  </si>
  <si>
    <t>-0.9388709749629436</t>
  </si>
  <si>
    <t>0.4688798557050772</t>
  </si>
  <si>
    <t>-0.201824085958488</t>
  </si>
  <si>
    <t>-0.9087839728145698</t>
  </si>
  <si>
    <t>0.029337828690905524</t>
  </si>
  <si>
    <t>1.4043150379446696</t>
  </si>
  <si>
    <t>1.0301886791413688</t>
  </si>
  <si>
    <t>-0.9441656684836697</t>
  </si>
  <si>
    <t>-0.11245738787776395</t>
  </si>
  <si>
    <t>-0.1693616222799978</t>
  </si>
  <si>
    <t>1.5005251133469804</t>
  </si>
  <si>
    <t>-0.6059618503568279</t>
  </si>
  <si>
    <t>1.59997504385077</t>
  </si>
  <si>
    <t>-1.922433993148236</t>
  </si>
  <si>
    <t>-0.27832145489754445</t>
  </si>
  <si>
    <t>2.173667223988358</t>
  </si>
  <si>
    <t>0.8297835809565169</t>
  </si>
  <si>
    <t>-0.7197393333041862</t>
  </si>
  <si>
    <t>-0.27835909295589106</t>
  </si>
  <si>
    <t>0.5870489179357522</t>
  </si>
  <si>
    <t>-0.46342517358701</t>
  </si>
  <si>
    <t>-0.01602239350807179</t>
  </si>
  <si>
    <t>-0.25074353234307467</t>
  </si>
  <si>
    <t>-0.7636269602989179</t>
  </si>
  <si>
    <t>0.5787498135950213</t>
  </si>
  <si>
    <t>-0.7115592545488925</t>
  </si>
  <si>
    <t>-0.6859762623357146</t>
  </si>
  <si>
    <t>1.0734376799147995</t>
  </si>
  <si>
    <t>-0.11214738557963039</t>
  </si>
  <si>
    <t>-1.278333567602468</t>
  </si>
  <si>
    <t>-0.8182166448239614</t>
  </si>
  <si>
    <t>1.3064005362854216</t>
  </si>
  <si>
    <t>-0.07235863512607892</t>
  </si>
  <si>
    <t>1.2549405244153085</t>
  </si>
  <si>
    <t>1.3734821234758425</t>
  </si>
  <si>
    <t>-0.7524240724910719</t>
  </si>
  <si>
    <t>1.6541005518778016</t>
  </si>
  <si>
    <t>-0.001451708965748063</t>
  </si>
  <si>
    <t>-0.5290176954769034</t>
  </si>
  <si>
    <t>0.7684582005949436</t>
  </si>
  <si>
    <t>-0.22263942090309932</t>
  </si>
  <si>
    <t>-0.9275616175637384</t>
  </si>
  <si>
    <t>-0.7279819619292626</t>
  </si>
  <si>
    <t>1.1784369397485657</t>
  </si>
  <si>
    <t>0.859821070659667</t>
  </si>
  <si>
    <t>0.23789528840391622</t>
  </si>
  <si>
    <t>-0.3927695325242894</t>
  </si>
  <si>
    <t>-1.0791310183151048</t>
  </si>
  <si>
    <t>0.6095576616484699</t>
  </si>
  <si>
    <t>1.6622665352922121</t>
  </si>
  <si>
    <t>-1.4025203322446984</t>
  </si>
  <si>
    <t>-2.2620999900814063</t>
  </si>
  <si>
    <t>0.6378172106075674</t>
  </si>
  <si>
    <t>-1.0018519157355716</t>
  </si>
  <si>
    <t>-0.47667174288781816</t>
  </si>
  <si>
    <t>-1.099626748800804</t>
  </si>
  <si>
    <t>-0.005541799477278782</t>
  </si>
  <si>
    <t>-0.2292559386478532</t>
  </si>
  <si>
    <t>0.18386205159280344</t>
  </si>
  <si>
    <t>0.21380928482616157</t>
  </si>
  <si>
    <t>-0.6456387136318005</t>
  </si>
  <si>
    <t>-1.3219982009437725</t>
  </si>
  <si>
    <t>1.4783885140972155</t>
  </si>
  <si>
    <t>1.6248146037864468</t>
  </si>
  <si>
    <t>1.1279678696097382</t>
  </si>
  <si>
    <t>-0.46621741793464994</t>
  </si>
  <si>
    <t>-0.42837303649140956</t>
  </si>
  <si>
    <t>1.4331652612517385</t>
  </si>
  <si>
    <t>0.19699977619840797</t>
  </si>
  <si>
    <t>-0.01642736728554053</t>
  </si>
  <si>
    <t>1.24563222273131</t>
  </si>
  <si>
    <t>0.29931453244154116</t>
  </si>
  <si>
    <t>-0.7828773815948379</t>
  </si>
  <si>
    <t>0.41373855469237425</t>
  </si>
  <si>
    <t>0.8268737268841551</t>
  </si>
  <si>
    <t>0.34493289945406447</t>
  </si>
  <si>
    <t>0.9984329125099519</t>
  </si>
  <si>
    <t>-1.105192530670269</t>
  </si>
  <si>
    <t>0.7656997797514166</t>
  </si>
  <si>
    <t>-0.46663997638083515</t>
  </si>
  <si>
    <t>0.41758676461106203</t>
  </si>
  <si>
    <t>0.4799724289492452</t>
  </si>
  <si>
    <t>-0.6675684971663338</t>
  </si>
  <si>
    <t>1.7148605177784644</t>
  </si>
  <si>
    <t>-0.8107530521659515</t>
  </si>
  <si>
    <t>0.1089591959386581</t>
  </si>
  <si>
    <t>-0.7169501664802871</t>
  </si>
  <si>
    <t>-0.558006690993152</t>
  </si>
  <si>
    <t>1.1332108813969797</t>
  </si>
  <si>
    <t>-0.6249847613042923</t>
  </si>
  <si>
    <t>0.5116228788863717</t>
  </si>
  <si>
    <t>0.07798764987724918</t>
  </si>
  <si>
    <t>-1.2037996818183934</t>
  </si>
  <si>
    <t>0.19727192587038506</t>
  </si>
  <si>
    <t>1.5269363514085934</t>
  </si>
  <si>
    <t>1.6405038818853497</t>
  </si>
  <si>
    <t>-0.17644319386097623</t>
  </si>
  <si>
    <t>0.8344635220854896</t>
  </si>
  <si>
    <t>0.39458616807671765</t>
  </si>
  <si>
    <t>-0.7206286929878514</t>
  </si>
  <si>
    <t>-0.13579195289728022</t>
  </si>
  <si>
    <t>-0.1242598130075704</t>
  </si>
  <si>
    <t>-0.4004666594033842</t>
  </si>
  <si>
    <t>2.052300595488796</t>
  </si>
  <si>
    <t>-2.030489389677412</t>
  </si>
  <si>
    <t>1.2210698073608004</t>
  </si>
  <si>
    <t>-0.8811850146101109</t>
  </si>
  <si>
    <t>-0.5460846485975597</t>
  </si>
  <si>
    <t>1.007255129705894</t>
  </si>
  <si>
    <t>0.07206313680975832</t>
  </si>
  <si>
    <t>0.6135794232005178</t>
  </si>
  <si>
    <t>-0.877983391536947</t>
  </si>
  <si>
    <t>0.39413845596893704</t>
  </si>
  <si>
    <t>-0.40026007623601456</t>
  </si>
  <si>
    <t>-0.9501043629712453</t>
  </si>
  <si>
    <t>-0.411075780123744</t>
  </si>
  <si>
    <t>0.18012604934143303</t>
  </si>
  <si>
    <t>0.875599069420363</t>
  </si>
  <si>
    <t>-0.8944312586378158</t>
  </si>
  <si>
    <t>-1.4803530564807228</t>
  </si>
  <si>
    <t>-1.0740880620003357</t>
  </si>
  <si>
    <t>0.4052042874810873</t>
  </si>
  <si>
    <t>0.33372931895728797</t>
  </si>
  <si>
    <t>-1.0832538420621662</t>
  </si>
  <si>
    <t>0.24082644788185353</t>
  </si>
  <si>
    <t>-0.5748620779836227</t>
  </si>
  <si>
    <t>0.10583403269084629</t>
  </si>
  <si>
    <t>-0.11489445171844652</t>
  </si>
  <si>
    <t>-0.3059877259647052</t>
  </si>
  <si>
    <t>0.5986660880535474</t>
  </si>
  <si>
    <t>-0.35069897983824544</t>
  </si>
  <si>
    <t>-0.17546352161754059</t>
  </si>
  <si>
    <t>0.33554389319327493</t>
  </si>
  <si>
    <t>-0.08566852628993028</t>
  </si>
  <si>
    <t>-0.8993119235473027</t>
  </si>
  <si>
    <t>0.5485534587093038</t>
  </si>
  <si>
    <t>0.0010577435305338043</t>
  </si>
  <si>
    <t>0.0881797432284408</t>
  </si>
  <si>
    <t>-0.9720459108225689</t>
  </si>
  <si>
    <t>-0.1822951688976512</t>
  </si>
  <si>
    <t>0.673094887134171</t>
  </si>
  <si>
    <t>-0.7230853032012575</t>
  </si>
  <si>
    <t>-0.19162466938862044</t>
  </si>
  <si>
    <t>-0.5398928224823141</t>
  </si>
  <si>
    <t>-1.9273240143945436</t>
  </si>
  <si>
    <t>1.5210836386757394</t>
  </si>
  <si>
    <t>-0.7100743233101299</t>
  </si>
  <si>
    <t>2.05195509817768</t>
  </si>
  <si>
    <t>1.226967075250602</t>
  </si>
  <si>
    <t>0.6162805102140214</t>
  </si>
  <si>
    <t>1.026740780349493</t>
  </si>
  <si>
    <t>-0.8432310667591982</t>
  </si>
  <si>
    <t>0.9522745354144492</t>
  </si>
  <si>
    <t>0.09192171926373362</t>
  </si>
  <si>
    <t>1.1538564406996041</t>
  </si>
  <si>
    <t>0.736767482949324</t>
  </si>
  <si>
    <t>1.007495221291025</t>
  </si>
  <si>
    <t>0.10791001439583593</t>
  </si>
  <si>
    <t>-0.8603647005471207</t>
  </si>
  <si>
    <t>-0.9074537807653774</t>
  </si>
  <si>
    <t>0.018934792464234056</t>
  </si>
  <si>
    <t>-0.15786223371768968</t>
  </si>
  <si>
    <t>-0.3722522154242411</t>
  </si>
  <si>
    <t>-0.1554112394537676</t>
  </si>
  <si>
    <t>0.5583619266226583</t>
  </si>
  <si>
    <t>-0.03301390128842513</t>
  </si>
  <si>
    <t>-0.49932333377583893</t>
  </si>
  <si>
    <t>-0.11045456973412456</t>
  </si>
  <si>
    <t>0.0008149080672091367</t>
  </si>
  <si>
    <t>-0.8554016156091798</t>
  </si>
  <si>
    <t>-1.04718769305888</t>
  </si>
  <si>
    <t>-0.15223609024067689</t>
  </si>
  <si>
    <t>0.6424734112652117</t>
  </si>
  <si>
    <t>-0.36825292120284153</t>
  </si>
  <si>
    <t>0.3105014587248888</t>
  </si>
  <si>
    <t>-0.09644771073932323</t>
  </si>
  <si>
    <t>-2.2894806848248193</t>
  </si>
  <si>
    <t>1.818569302597354</t>
  </si>
  <si>
    <t>-1.6088256109138452</t>
  </si>
  <si>
    <t>0.524507750076203</t>
  </si>
  <si>
    <t>0.9520361806494385</t>
  </si>
  <si>
    <t>0.7882913359855203</t>
  </si>
  <si>
    <t>-1.0719128665222586</t>
  </si>
  <si>
    <t>1.242087465378304</t>
  </si>
  <si>
    <t>0.6403298633163212</t>
  </si>
  <si>
    <t>-0.11635078003292001</t>
  </si>
  <si>
    <t>0.24175983670336637</t>
  </si>
  <si>
    <t>-0.06310705556369409</t>
  </si>
  <si>
    <t>-0.7758265831604563</t>
  </si>
  <si>
    <t>-0.7087416896984771</t>
  </si>
  <si>
    <t>-0.29846086434672203</t>
  </si>
  <si>
    <t>0.5420847633460502</t>
  </si>
  <si>
    <t>1.1869958152652516</t>
  </si>
  <si>
    <t>1.022949520240152</t>
  </si>
  <si>
    <t>-0.23684706650900844</t>
  </si>
  <si>
    <t>0.16794602671619852</t>
  </si>
  <si>
    <t>-1.1059624998675766</t>
  </si>
  <si>
    <t>-0.5365759497593676</t>
  </si>
  <si>
    <t>-3.4497222632218567</t>
  </si>
  <si>
    <t>-1.0301616444157942</t>
  </si>
  <si>
    <t>-1.11593163699867</t>
  </si>
  <si>
    <t>-0.4588069833122157</t>
  </si>
  <si>
    <t>-0.20371878459545556</t>
  </si>
  <si>
    <t>-0.4310543445967179</t>
  </si>
  <si>
    <t>1.2160061074670436</t>
  </si>
  <si>
    <t>0.41328888663997854</t>
  </si>
  <si>
    <t>-0.11034531955028094</t>
  </si>
  <si>
    <t>0.03907126568420357</t>
  </si>
  <si>
    <t>0.42149105570815054</t>
  </si>
  <si>
    <t>-0.7696934722806635</t>
  </si>
  <si>
    <t>0.6197314941818525</t>
  </si>
  <si>
    <t>-0.2104478081026838</t>
  </si>
  <si>
    <t>0.2853051058067572</t>
  </si>
  <si>
    <t>-0.33279027794102484</t>
  </si>
  <si>
    <t>-0.9953456833154286</t>
  </si>
  <si>
    <t>0.47020565350311677</t>
  </si>
  <si>
    <t>-1.22072966461442</t>
  </si>
  <si>
    <t>-0.3312615432522728</t>
  </si>
  <si>
    <t>0.32666638332800285</t>
  </si>
  <si>
    <t>-0.8529529218266753</t>
  </si>
  <si>
    <t>0.4380926419953178</t>
  </si>
  <si>
    <t>0.4498600212925292</t>
  </si>
  <si>
    <t>2.7967750155009754</t>
  </si>
  <si>
    <t>0.09457593261989679</t>
  </si>
  <si>
    <t>-2.1243366307839073</t>
  </si>
  <si>
    <t>0.9645281516253971</t>
  </si>
  <si>
    <t>-0.7209126425872622</t>
  </si>
  <si>
    <t>-0.6135795001964228</t>
  </si>
  <si>
    <t>1.9671317066930099</t>
  </si>
  <si>
    <t>-1.3051428313397238</t>
  </si>
  <si>
    <t>-0.018576564166745236</t>
  </si>
  <si>
    <t>0.34276698380462334</t>
  </si>
  <si>
    <t>-0.4386050122422154</t>
  </si>
  <si>
    <t>-0.6116048253690453</t>
  </si>
  <si>
    <t>0.1072438199752263</t>
  </si>
  <si>
    <t>-0.018245764239876238</t>
  </si>
  <si>
    <t>-0.6794849912460554</t>
  </si>
  <si>
    <t>0.037388580017084214</t>
  </si>
  <si>
    <t>-0.4141364346296473</t>
  </si>
  <si>
    <t>0.3966249040581536</t>
  </si>
  <si>
    <t>0.07753770944612395</t>
  </si>
  <si>
    <t>0.49417958955053004</t>
  </si>
  <si>
    <t>0.41149096451204636</t>
  </si>
  <si>
    <t>-0.5158429937883943</t>
  </si>
  <si>
    <t>-1.0148351361257277</t>
  </si>
  <si>
    <t>-2.2200630355093764</t>
  </si>
  <si>
    <t>0.9626008836739108</t>
  </si>
  <si>
    <t>2.4186815314426657</t>
  </si>
  <si>
    <t>-0.9415415746696909</t>
  </si>
  <si>
    <t>-2.0489716279338004</t>
  </si>
  <si>
    <t>0.19928672960354243</t>
  </si>
  <si>
    <t>-0.8171039410066266</t>
  </si>
  <si>
    <t>-0.8263753566021798</t>
  </si>
  <si>
    <t>0.46481929077116324</t>
  </si>
  <si>
    <t>-1.2146514944499207</t>
  </si>
  <si>
    <t>-0.6224028823294923</t>
  </si>
  <si>
    <t>-0.3389326577134599</t>
  </si>
  <si>
    <t>1.3938360535377283</t>
  </si>
  <si>
    <t>-0.547070069718023</t>
  </si>
  <si>
    <t>1.4251143423183144</t>
  </si>
  <si>
    <t>0.2817288828266896</t>
  </si>
  <si>
    <t>0.03974323176353599</t>
  </si>
  <si>
    <t>-0.5050792695531221</t>
  </si>
  <si>
    <t>0.5000672628195901</t>
  </si>
  <si>
    <t>-1.1569086537480078</t>
  </si>
  <si>
    <t>0.5373221484007568</t>
  </si>
  <si>
    <t>0.5742049026955057</t>
  </si>
  <si>
    <t>-1.3176961311238362</t>
  </si>
  <si>
    <t>-0.1940499427040402</t>
  </si>
  <si>
    <t>0.5354579580481016</t>
  </si>
  <si>
    <t>3.926207954828806</t>
  </si>
  <si>
    <t>-0.8348651006726906</t>
  </si>
  <si>
    <t>-2.1407375366817085</t>
  </si>
  <si>
    <t>-0.03294906026377961</t>
  </si>
  <si>
    <t>-0.930752816001251</t>
  </si>
  <si>
    <t>1.7793871118759832</t>
  </si>
  <si>
    <t>0.11160719431002811</t>
  </si>
  <si>
    <t>0.5838851701459143</t>
  </si>
  <si>
    <t>-0.7645611565438054</t>
  </si>
  <si>
    <t>-0.3872441125093992</t>
  </si>
  <si>
    <t>0.7100144889720327</t>
  </si>
  <si>
    <t>-1.9743241194703487</t>
  </si>
  <si>
    <t>0.22684532182602254</t>
  </si>
  <si>
    <t>-0.37508137936288216</t>
  </si>
  <si>
    <t>-0.7960312428834612</t>
  </si>
  <si>
    <t>0.7309962396255464</t>
  </si>
  <si>
    <t>0.1926440355522271</t>
  </si>
  <si>
    <t>0.7531208443243608</t>
  </si>
  <si>
    <t>-2.0317257766855223</t>
  </si>
  <si>
    <t>0.15361054000271948</t>
  </si>
  <si>
    <t>-1.2505794453488377</t>
  </si>
  <si>
    <t>1.1189168567444083</t>
  </si>
  <si>
    <t>0.6941096784642964</t>
  </si>
  <si>
    <t>1.5741618156004116</t>
  </si>
  <si>
    <t>-1.2616506467070352</t>
  </si>
  <si>
    <t>0.3378944767338475</t>
  </si>
  <si>
    <t>2.3550501156735826</t>
  </si>
  <si>
    <t>1.1239853927549417</t>
  </si>
  <si>
    <t>-1.0330259191574338</t>
  </si>
  <si>
    <t>-0.10183663303452382</t>
  </si>
  <si>
    <t>1.938617726282136</t>
  </si>
  <si>
    <t>0.5005223408107862</t>
  </si>
  <si>
    <t>-0.8083406313233384</t>
  </si>
  <si>
    <t>-0.582095542011791</t>
  </si>
  <si>
    <t>0.8401726948270296</t>
  </si>
  <si>
    <t>0.05289298943757515</t>
  </si>
  <si>
    <t>1.1612750449394669</t>
  </si>
  <si>
    <t>0.18064932674085485</t>
  </si>
  <si>
    <t>-0.9282755483037813</t>
  </si>
  <si>
    <t>0.8282735509377716</t>
  </si>
  <si>
    <t>-0.26127516614226526</t>
  </si>
  <si>
    <t>-0.6370468084919372</t>
  </si>
  <si>
    <t>1.0974060937771979</t>
  </si>
  <si>
    <t>-3.395362889670127</t>
  </si>
  <si>
    <t>0.4720246647683763</t>
  </si>
  <si>
    <t>0.6354319847518687</t>
  </si>
  <si>
    <t>0.4311802794815136</t>
  </si>
  <si>
    <t>-0.556921192171872</t>
  </si>
  <si>
    <t>-2.628396124142972</t>
  </si>
  <si>
    <t>-0.36495001578111974</t>
  </si>
  <si>
    <t>-1.281468009970188</t>
  </si>
  <si>
    <t>1.0786428466938995</t>
  </si>
  <si>
    <t>0.3328806182413036</t>
  </si>
  <si>
    <t>-0.7665277599580803</t>
  </si>
  <si>
    <t>-0.01267614366112292</t>
  </si>
  <si>
    <t>0.7059257923225153</t>
  </si>
  <si>
    <t>-0.9636379364336687</t>
  </si>
  <si>
    <t>-1.0298156283429067</t>
  </si>
  <si>
    <t>-0.7204916796523452</t>
  </si>
  <si>
    <t>-0.2686928346805076</t>
  </si>
  <si>
    <t>-1.403532444950711</t>
  </si>
  <si>
    <t>-0.3784203879295094</t>
  </si>
  <si>
    <t>0.5946412119422206</t>
  </si>
  <si>
    <t>0.6526625717162418</t>
  </si>
  <si>
    <t>0.43363737230431915</t>
  </si>
  <si>
    <t>-1.2062610082358074</t>
  </si>
  <si>
    <t>0.0811397520996188</t>
  </si>
  <si>
    <t>-1.555704914001444</t>
  </si>
  <si>
    <t>2.3268787049924673</t>
  </si>
  <si>
    <t>1.3096782046933595</t>
  </si>
  <si>
    <t>-0.2872721619208343</t>
  </si>
  <si>
    <t>-1.3696907038408412</t>
  </si>
  <si>
    <t>1.5823257406141327</t>
  </si>
  <si>
    <t>-0.9238238279707661</t>
  </si>
  <si>
    <t>1.4016272938214236</t>
  </si>
  <si>
    <t>-1.1304724691733532</t>
  </si>
  <si>
    <t>0.5394806125431197</t>
  </si>
  <si>
    <t>-1.101505170163192</t>
  </si>
  <si>
    <t>0.09363537146572597</t>
  </si>
  <si>
    <t>0.8470373685686076</t>
  </si>
  <si>
    <t>0.10085623143338798</t>
  </si>
  <si>
    <t>-1.4001870859651782</t>
  </si>
  <si>
    <t>0.17247923104461527</t>
  </si>
  <si>
    <t>0.12509949992829408</t>
  </si>
  <si>
    <t>-0.5206244400308297</t>
  </si>
  <si>
    <t>-0.9475288717460623</t>
  </si>
  <si>
    <t>-0.7160351982376747</t>
  </si>
  <si>
    <t>-0.11994988632834465</t>
  </si>
  <si>
    <t>-1.2129430745033576</t>
  </si>
  <si>
    <t>-1.1512152154419424</t>
  </si>
  <si>
    <t>-0.5960764934710014</t>
  </si>
  <si>
    <t>-3.161069876809634</t>
  </si>
  <si>
    <t>0.1299077114585889</t>
  </si>
  <si>
    <t>-0.7949782223734547</t>
  </si>
  <si>
    <t>0.8416281986148694</t>
  </si>
  <si>
    <t>-1.1124678292943166</t>
  </si>
  <si>
    <t>2.104192612076784</t>
  </si>
  <si>
    <t>2.6628054239920713</t>
  </si>
  <si>
    <t>-0.4562976701118572</t>
  </si>
  <si>
    <t>-1.36762810493263</t>
  </si>
  <si>
    <t>-0.5626439142757127</t>
  </si>
  <si>
    <t>0.163111835306809</t>
  </si>
  <si>
    <t>-0.5197620515053535</t>
  </si>
  <si>
    <t>-0.47996390229767666</t>
  </si>
  <si>
    <t>0.03483759860209291</t>
  </si>
  <si>
    <t>-0.9188352282596354</t>
  </si>
  <si>
    <t>-1.2613676752342882</t>
  </si>
  <si>
    <t>0.733569316364748</t>
  </si>
  <si>
    <t>1.0607443240949344</t>
  </si>
  <si>
    <t>-1.5524894319004423</t>
  </si>
  <si>
    <t>-1.2946593583390438</t>
  </si>
  <si>
    <t>-2.309094133077786</t>
  </si>
  <si>
    <t>0.4928927201935898</t>
  </si>
  <si>
    <t>0.37332355390921895</t>
  </si>
  <si>
    <t>-1.6457509288664085</t>
  </si>
  <si>
    <t>-1.3728420414381919</t>
  </si>
  <si>
    <t>0.7780543142015254</t>
  </si>
  <si>
    <t>3.0065583498847173</t>
  </si>
  <si>
    <t>-0.6652398969801181</t>
  </si>
  <si>
    <t>0.6319972031239288</t>
  </si>
  <si>
    <t>-1.2822606973143909</t>
  </si>
  <si>
    <t>0.6993403748680396</t>
  </si>
  <si>
    <t>0.011915316647840193</t>
  </si>
  <si>
    <t>2.9442506445515138</t>
  </si>
  <si>
    <t>-0.9054605462302947</t>
  </si>
  <si>
    <t>0.13978158807555893</t>
  </si>
  <si>
    <t>-0.8194610994717734</t>
  </si>
  <si>
    <t>-1.0981818180363152</t>
  </si>
  <si>
    <t>0.08662498086544441</t>
  </si>
  <si>
    <t>-0.7642626136489483</t>
  </si>
  <si>
    <t>-0.17016784678653532</t>
  </si>
  <si>
    <t>-0.8814153999510561</t>
  </si>
  <si>
    <t>-1.174591473351463</t>
  </si>
  <si>
    <t>-0.4011137477000922</t>
  </si>
  <si>
    <t>-1.2235598772320686</t>
  </si>
  <si>
    <t>3.33742705396668</t>
  </si>
  <si>
    <t>0.3478922135529053</t>
  </si>
  <si>
    <t>-0.22687243498873844</t>
  </si>
  <si>
    <t>-0.16566321616513888</t>
  </si>
  <si>
    <t>-1.0093042581556015</t>
  </si>
  <si>
    <t>0.7878188952741794</t>
  </si>
  <si>
    <t>0.10290788856653071</t>
  </si>
  <si>
    <t>0.20018337571352146</t>
  </si>
  <si>
    <t>0.6066673909392304</t>
  </si>
  <si>
    <t>-0.7464142026739446</t>
  </si>
  <si>
    <t>0.6189296152524169</t>
  </si>
  <si>
    <t>-1.399236506574297</t>
  </si>
  <si>
    <t>-0.019388951910565715</t>
  </si>
  <si>
    <t>1.9057248696930804</t>
  </si>
  <si>
    <t>-1.7937426380339698</t>
  </si>
  <si>
    <t>-0.7915366531786425</t>
  </si>
  <si>
    <t>0.3703247752754977</t>
  </si>
  <si>
    <t>-0.36357930528887505</t>
  </si>
  <si>
    <t>-0.06499239197624786</t>
  </si>
  <si>
    <t>-0.024366039361376896</t>
  </si>
  <si>
    <t>-1.102316252858674</t>
  </si>
  <si>
    <t>-0.8549425781726375</t>
  </si>
  <si>
    <t>-0.6948012052081358</t>
  </si>
  <si>
    <t>-0.27716049469679005</t>
  </si>
  <si>
    <t>0.5569399249564009</t>
  </si>
  <si>
    <t>0.59490424603352</t>
  </si>
  <si>
    <t>-1.719585025654189</t>
  </si>
  <si>
    <t>0.7239926492740624</t>
  </si>
  <si>
    <t>0.4611678541311027</t>
  </si>
  <si>
    <t>-0.08919022613136007</t>
  </si>
  <si>
    <t>-0.021067090310146606</t>
  </si>
  <si>
    <t>-1.2733907520712722</t>
  </si>
  <si>
    <t>0.02003638261339178</t>
  </si>
  <si>
    <t>0.6143423083255616</t>
  </si>
  <si>
    <t>-0.9329056894268343</t>
  </si>
  <si>
    <t>1.1828618117909169</t>
  </si>
  <si>
    <t>-1.5936796852169282</t>
  </si>
  <si>
    <t>0.674787647202832</t>
  </si>
  <si>
    <t>-0.8157752639815846</t>
  </si>
  <si>
    <t>0.6461820298300778</t>
  </si>
  <si>
    <t>-1.7802156727473837</t>
  </si>
  <si>
    <t>0.34379485385975017</t>
  </si>
  <si>
    <t>-0.2744780129336597</t>
  </si>
  <si>
    <t>0.7823324290728172</t>
  </si>
  <si>
    <t>-1.0779127395033263</t>
  </si>
  <si>
    <t>0.06298289047807544</t>
  </si>
  <si>
    <t>-0.3294133369166069</t>
  </si>
  <si>
    <t>-0.15338773098554948</t>
  </si>
  <si>
    <t>0.2086772209173089</t>
  </si>
  <si>
    <t>-0.4291620902362557</t>
  </si>
  <si>
    <t>0.3062587630598797</t>
  </si>
  <si>
    <t>-0.025098481296419527</t>
  </si>
  <si>
    <t>0.59521071542206</t>
  </si>
  <si>
    <t>0.1922622764923024</t>
  </si>
  <si>
    <t>3.200327545995364</t>
  </si>
  <si>
    <t>1.2857529440816877</t>
  </si>
  <si>
    <t>0.18277482220583177</t>
  </si>
  <si>
    <t>-0.06299264641575367</t>
  </si>
  <si>
    <t>0.5352236527869355</t>
  </si>
  <si>
    <t>-2.1259809900333506</t>
  </si>
  <si>
    <t>3.1043373142232342</t>
  </si>
  <si>
    <t>-2.029872598831565</t>
  </si>
  <si>
    <t>0.4735370479271357</t>
  </si>
  <si>
    <t>0.585578776971701</t>
  </si>
  <si>
    <t>-0.9056309241004996</t>
  </si>
  <si>
    <t>0.24107168039095386</t>
  </si>
  <si>
    <t>-1.442323802839509</t>
  </si>
  <si>
    <t>-0.1084315662513069</t>
  </si>
  <si>
    <t>-0.05204047867391784</t>
  </si>
  <si>
    <t>-0.5651109602593147</t>
  </si>
  <si>
    <t>-0.27257639984392745</t>
  </si>
  <si>
    <t>-0.2112826873414326</t>
  </si>
  <si>
    <t>-0.4700620594277143</t>
  </si>
  <si>
    <t>3.242210678015966</t>
  </si>
  <si>
    <t>-0.16347502979565834</t>
  </si>
  <si>
    <t>0.12068148466136121</t>
  </si>
  <si>
    <t>-2.020766505344728</t>
  </si>
  <si>
    <t>0.12800534804607713</t>
  </si>
  <si>
    <t>0.16186819238745406</t>
  </si>
  <si>
    <t>2.135763581728416</t>
  </si>
  <si>
    <t>-0.750192059703825</t>
  </si>
  <si>
    <t>-0.1526228197973186</t>
  </si>
  <si>
    <t>0.5313645767595221</t>
  </si>
  <si>
    <t>-0.5373982222127407</t>
  </si>
  <si>
    <t>0.645692102043645</t>
  </si>
  <si>
    <t>1.3205012625629962</t>
  </si>
  <si>
    <t>-1.155797542603416</t>
  </si>
  <si>
    <t>-0.06530776798413945</t>
  </si>
  <si>
    <t>1.6168305957914084</t>
  </si>
  <si>
    <t>-0.20345694649865637</t>
  </si>
  <si>
    <t>0.2847477577054879</t>
  </si>
  <si>
    <t>-0.39537535000607976</t>
  </si>
  <si>
    <t>-0.6811403447084472</t>
  </si>
  <si>
    <t>0.19170864796738585</t>
  </si>
  <si>
    <t>-1.5833613520249665</t>
  </si>
  <si>
    <t>1.0636329852942337</t>
  </si>
  <si>
    <t>-0.4554411416279087</t>
  </si>
  <si>
    <t>0.21652396003943103</t>
  </si>
  <si>
    <t>0.1923723620904974</t>
  </si>
  <si>
    <t>0.003399113069112999</t>
  </si>
  <si>
    <t>0.5053098743572452</t>
  </si>
  <si>
    <t>0.3402252149821331</t>
  </si>
  <si>
    <t>-0.4614276884383697</t>
  </si>
  <si>
    <t>-0.14701862384638809</t>
  </si>
  <si>
    <t>0.2363405476825349</t>
  </si>
  <si>
    <t>2.2604832023204</t>
  </si>
  <si>
    <t>-0.9051460226477396</t>
  </si>
  <si>
    <t>0.0533783877502482</t>
  </si>
  <si>
    <t>-0.3327358877719589</t>
  </si>
  <si>
    <t>0.37271632247567466</t>
  </si>
  <si>
    <t>0.8330419924351499</t>
  </si>
  <si>
    <t>1.4944243307457397</t>
  </si>
  <si>
    <t>0.08036628741296573</t>
  </si>
  <si>
    <t>0.786410368222785</t>
  </si>
  <si>
    <t>1.4674947337161501</t>
  </si>
  <si>
    <t>-0.5709788553104357</t>
  </si>
  <si>
    <t>-0.4941964710027526</t>
  </si>
  <si>
    <t>-1.3021535892049063</t>
  </si>
  <si>
    <t>1.1084177880466617</t>
  </si>
  <si>
    <t>0.21459179844605333</t>
  </si>
  <si>
    <t>0.27004316193157313</t>
  </si>
  <si>
    <t>-0.24749394453549878</t>
  </si>
  <si>
    <t>-1.0922051733497786</t>
  </si>
  <si>
    <t>-0.630250914647972</t>
  </si>
  <si>
    <t>-0.016849497544880278</t>
  </si>
  <si>
    <t>-0.2922358424873029</t>
  </si>
  <si>
    <t>-0.18100052183482457</t>
  </si>
  <si>
    <t>-0.869308101022424</t>
  </si>
  <si>
    <t>-0.5290032926322957</t>
  </si>
  <si>
    <t>-0.17819261399866967</t>
  </si>
  <si>
    <t>0.6387736676531616</t>
  </si>
  <si>
    <t>-0.4594345404328248</t>
  </si>
  <si>
    <t>1.9297141250010315</t>
  </si>
  <si>
    <t>-1.057640545382953</t>
  </si>
  <si>
    <t>-0.7032347892821346</t>
  </si>
  <si>
    <t>0.6744052607540019</t>
  </si>
  <si>
    <t>1.6702205825292686</t>
  </si>
  <si>
    <t>0.3466773500963109</t>
  </si>
  <si>
    <t>0.30753809741053795</t>
  </si>
  <si>
    <t>0.7665511116431897</t>
  </si>
  <si>
    <t>-0.9428355656794837</t>
  </si>
  <si>
    <t>0.31842661037720926</t>
  </si>
  <si>
    <t>0.4591468664971448</t>
  </si>
  <si>
    <t>-0.10485028598035874</t>
  </si>
  <si>
    <t>0.6774298965366768</t>
  </si>
  <si>
    <t>0.036106125803073895</t>
  </si>
  <si>
    <t>-1.0165664677314512</t>
  </si>
  <si>
    <t>0.42520869174843323</t>
  </si>
  <si>
    <t>-0.16998968587054752</t>
  </si>
  <si>
    <t>-0.5251403300158655</t>
  </si>
  <si>
    <t>-1.7127020280872889</t>
  </si>
  <si>
    <t>0.768365535889634</t>
  </si>
  <si>
    <t>1.609174760203005</t>
  </si>
  <si>
    <t>-0.27308259917772587</t>
  </si>
  <si>
    <t>0.7698991337700344</t>
  </si>
  <si>
    <t>0.12408060696058489</t>
  </si>
  <si>
    <t>-1.2660112261389607</t>
  </si>
  <si>
    <t>0.7272029576295147</t>
  </si>
  <si>
    <t>0.15856440355726725</t>
  </si>
  <si>
    <t>1.0497545636638275</t>
  </si>
  <si>
    <t>1.5360387546875454</t>
  </si>
  <si>
    <t>-0.14378249460727585</t>
  </si>
  <si>
    <t>0.36240970995038796</t>
  </si>
  <si>
    <t>-0.10149531354560841</t>
  </si>
  <si>
    <t>-0.32398292854515603</t>
  </si>
  <si>
    <t>-0.4690627901148327</t>
  </si>
  <si>
    <t>0.9999460448650915</t>
  </si>
  <si>
    <t>-0.3386210870879752</t>
  </si>
  <si>
    <t>0.947854342318114</t>
  </si>
  <si>
    <t>0.36654689733573187</t>
  </si>
  <si>
    <t>-0.7548146457427413</t>
  </si>
  <si>
    <t>-0.25451450281319526</t>
  </si>
  <si>
    <t>-0.24831402178294198</t>
  </si>
  <si>
    <t>0.17991324766410896</t>
  </si>
  <si>
    <t>-0.4078326404655872</t>
  </si>
  <si>
    <t>0.21151375300462566</t>
  </si>
  <si>
    <t>-1.1629187598251514</t>
  </si>
  <si>
    <t>0.4935600095405121</t>
  </si>
  <si>
    <t>0.6237158404203486</t>
  </si>
  <si>
    <t>0.4572658537009119</t>
  </si>
  <si>
    <t>0.6848781169357582</t>
  </si>
  <si>
    <t>1.3255099823988903</t>
  </si>
  <si>
    <t>-0.6760226535134343</t>
  </si>
  <si>
    <t>-0.19374584110766027</t>
  </si>
  <si>
    <t>-0.27965588644181827</t>
  </si>
  <si>
    <t>-0.5340527310741447</t>
  </si>
  <si>
    <t>0.32433247094967554</t>
  </si>
  <si>
    <t>0.03508267188089089</t>
  </si>
  <si>
    <t>0.3943330071315011</t>
  </si>
  <si>
    <t>0.015755282279457643</t>
  </si>
  <si>
    <t>0.5349924778866199</t>
  </si>
  <si>
    <t>0.16487720807493977</t>
  </si>
  <si>
    <t>1.2194187300845363</t>
  </si>
  <si>
    <t>0.09001292334791422</t>
  </si>
  <si>
    <t>0.6097755503636106</t>
  </si>
  <si>
    <t>0.31482902796326534</t>
  </si>
  <si>
    <t>-0.1828723814963914</t>
  </si>
  <si>
    <t>0.2662423329758292</t>
  </si>
  <si>
    <t>0.64297426814905</t>
  </si>
  <si>
    <t>-0.37352303193561026</t>
  </si>
  <si>
    <t>-0.7582277436932036</t>
  </si>
  <si>
    <t>-0.29282590692916427</t>
  </si>
  <si>
    <t>1.1781178385725066</t>
  </si>
  <si>
    <t>-0.07091263926767376</t>
  </si>
  <si>
    <t>-0.24757830175355275</t>
  </si>
  <si>
    <t>-0.2206954618868017</t>
  </si>
  <si>
    <t>0.5172106270649198</t>
  </si>
  <si>
    <t>2.8467001727523744</t>
  </si>
  <si>
    <t>-0.5313675551036257</t>
  </si>
  <si>
    <t>1.0211130394035575</t>
  </si>
  <si>
    <t>0.026880199985696886</t>
  </si>
  <si>
    <t>-0.2250717248610426</t>
  </si>
  <si>
    <t>1.0834953553088578</t>
  </si>
  <si>
    <t>-0.4109205090711113</t>
  </si>
  <si>
    <t>-0.6379019310213622</t>
  </si>
  <si>
    <t>-0.31953207985040766</t>
  </si>
  <si>
    <t>0.1274366549498918</t>
  </si>
  <si>
    <t>-0.9007416466532158</t>
  </si>
  <si>
    <t>-0.4402063053576397</t>
  </si>
  <si>
    <t>0.742847183852453</t>
  </si>
  <si>
    <t>-0.21945055336256233</t>
  </si>
  <si>
    <t>-0.252609188766627</t>
  </si>
  <si>
    <t>-0.49494915733675077</t>
  </si>
  <si>
    <t>0.27776712829211153</t>
  </si>
  <si>
    <t>-0.029983009746582974</t>
  </si>
  <si>
    <t>-0.29862990366424597</t>
  </si>
  <si>
    <t>-0.6139197155898176</t>
  </si>
  <si>
    <t>0.033575543407505966</t>
  </si>
  <si>
    <t>0.45276136292218855</t>
  </si>
  <si>
    <t>0.053639801316304754</t>
  </si>
  <si>
    <t>-0.18115756207206304</t>
  </si>
  <si>
    <t>-0.05998649054342431</t>
  </si>
  <si>
    <t>-0.17631558966667396</t>
  </si>
  <si>
    <t>0.8003136279347591</t>
  </si>
  <si>
    <t>0.2607593102843872</t>
  </si>
  <si>
    <t>0.4679347504500017</t>
  </si>
  <si>
    <t>0.1987247913277265</t>
  </si>
  <si>
    <t>0.005494991911900879</t>
  </si>
  <si>
    <t>-0.5750475333397024</t>
  </si>
  <si>
    <t>0.45903846641102997</t>
  </si>
  <si>
    <t>-0.025512436563409614</t>
  </si>
  <si>
    <t>0.09904980154027897</t>
  </si>
  <si>
    <t>0.5337492687978623</t>
  </si>
  <si>
    <t>-0.6971735151659495</t>
  </si>
  <si>
    <t>-0.41354477510309506</t>
  </si>
  <si>
    <t>-0.0859009394869447</t>
  </si>
  <si>
    <t>-0.40749457311790166</t>
  </si>
  <si>
    <t>-1.1820647545485337</t>
  </si>
  <si>
    <t>-0.08118863426774109</t>
  </si>
  <si>
    <t>1.326725105655866</t>
  </si>
  <si>
    <t>0.6919195868665176</t>
  </si>
  <si>
    <t>1.3455355422951474</t>
  </si>
  <si>
    <t>-1.0293989490540745</t>
  </si>
  <si>
    <t>0.5463219143845172</t>
  </si>
  <si>
    <t>0.13463518988136475</t>
  </si>
  <si>
    <t>0.15119624559429223</t>
  </si>
  <si>
    <t>-0.5684676244883456</t>
  </si>
  <si>
    <t>0.7011629340390272</t>
  </si>
  <si>
    <t>0.15680369051931836</t>
  </si>
  <si>
    <t>0.03113262395151885</t>
  </si>
  <si>
    <t>0.11299014856217987</t>
  </si>
  <si>
    <t>-0.021398947516925115</t>
  </si>
  <si>
    <t>0.3880309966899114</t>
  </si>
  <si>
    <t>1.0617185279314485</t>
  </si>
  <si>
    <t>0.9951140834234176</t>
  </si>
  <si>
    <t>-0.5167651500915268</t>
  </si>
  <si>
    <t>-0.6559165801276583</t>
  </si>
  <si>
    <t>0.023996461355558402</t>
  </si>
  <si>
    <t>-0.8179047214862288</t>
  </si>
  <si>
    <t>-0.28791683526677136</t>
  </si>
  <si>
    <t>0.3718239174497135</t>
  </si>
  <si>
    <t>1.2134632363931122</t>
  </si>
  <si>
    <t>-0.543208481850447</t>
  </si>
  <si>
    <t>-0.37143267651176465</t>
  </si>
  <si>
    <t>-0.5091540231366631</t>
  </si>
  <si>
    <t>0.1275289698021081</t>
  </si>
  <si>
    <t>-0.04138749254492665</t>
  </si>
  <si>
    <t>0.7504825723342649</t>
  </si>
  <si>
    <t>-0.724461016966727</t>
  </si>
  <si>
    <t>0.03933613776834085</t>
  </si>
  <si>
    <t>0.4958393528064433</t>
  </si>
  <si>
    <t>-0.3161487947678995</t>
  </si>
  <si>
    <t>-0.8488640961577669</t>
  </si>
  <si>
    <t>-0.055442554926431506</t>
  </si>
  <si>
    <t>0.11156541793764509</t>
  </si>
  <si>
    <t>-0.28540996315630873</t>
  </si>
  <si>
    <t>-0.026531267242933868</t>
  </si>
  <si>
    <t>0.09890453152345985</t>
  </si>
  <si>
    <t>-0.021298801014770028</t>
  </si>
  <si>
    <t>-0.051479840069350434</t>
  </si>
  <si>
    <t>-0.5517051630569985</t>
  </si>
  <si>
    <t>0.5837307923686705</t>
  </si>
  <si>
    <t>-0.47920779316177414</t>
  </si>
  <si>
    <t>1.3047255884757234</t>
  </si>
  <si>
    <t>0.8323558491691257</t>
  </si>
  <si>
    <t>-0.2055142613513343</t>
  </si>
  <si>
    <t>0.5186478766876567</t>
  </si>
  <si>
    <t>-0.6353729371791781</t>
  </si>
  <si>
    <t>-0.03818502689307722</t>
  </si>
  <si>
    <t>1.017719921835444</t>
  </si>
  <si>
    <t>0.6395547909714894</t>
  </si>
  <si>
    <t>0.41230644283247647</t>
  </si>
  <si>
    <t>-0.3446280968435899</t>
  </si>
  <si>
    <t>-0.30945844677090306</t>
  </si>
  <si>
    <t>0.48428830499094494</t>
  </si>
  <si>
    <t>-0.3900434127381932</t>
  </si>
  <si>
    <t>-0.3073285786322896</t>
  </si>
  <si>
    <t>0.9390042864240593</t>
  </si>
  <si>
    <t>0.5543528377327694</t>
  </si>
  <si>
    <t>-0.12685323047616814</t>
  </si>
  <si>
    <t>-0.1889937668996457</t>
  </si>
  <si>
    <t>-0.7726589898431834</t>
  </si>
  <si>
    <t>0.2993348067668514</t>
  </si>
  <si>
    <t>-0.03447414357825289</t>
  </si>
  <si>
    <t>1.0110990847826027</t>
  </si>
  <si>
    <t>-0.36872115242209025</t>
  </si>
  <si>
    <t>0.7693574528566437</t>
  </si>
  <si>
    <t>-0.4014689043990493</t>
  </si>
  <si>
    <t>-0.37433265954420897</t>
  </si>
  <si>
    <t>-0.4630296910457653</t>
  </si>
  <si>
    <t>-0.5801816258293456</t>
  </si>
  <si>
    <t>-0.0633784421418075</t>
  </si>
  <si>
    <t>0.11058306572578896</t>
  </si>
  <si>
    <t>0.4918469646809005</t>
  </si>
  <si>
    <t>-1.6266484339685268</t>
  </si>
  <si>
    <t>0.10467957756192933</t>
  </si>
  <si>
    <t>-0.08304632574117139</t>
  </si>
  <si>
    <t>0.23300702197849218</t>
  </si>
  <si>
    <t>-0.14632107027571425</t>
  </si>
  <si>
    <t>-0.2940447936791478</t>
  </si>
  <si>
    <t>0.8748603663382487</t>
  </si>
  <si>
    <t>0.5200504652898593</t>
  </si>
  <si>
    <t>-0.7706132530875913</t>
  </si>
  <si>
    <t>-0.1743004636382627</t>
  </si>
  <si>
    <t>-0.2480644593529852</t>
  </si>
  <si>
    <t>0.3309821064911471</t>
  </si>
  <si>
    <t>0.18112335758141007</t>
  </si>
  <si>
    <t>0.24509720045833636</t>
  </si>
  <si>
    <t>0.12550315846650711</t>
  </si>
  <si>
    <t>0.7167876329387446</t>
  </si>
  <si>
    <t>0.21829110837892696</t>
  </si>
  <si>
    <t>-0.21592524057560036</t>
  </si>
  <si>
    <t>-0.6084664684266865</t>
  </si>
  <si>
    <t>-0.547284962259138</t>
  </si>
  <si>
    <t>-0.38062712444839075</t>
  </si>
  <si>
    <t>0.4322573044833505</t>
  </si>
  <si>
    <t>0.6064762566755572</t>
  </si>
  <si>
    <t>0.29203404962938867</t>
  </si>
  <si>
    <t>-0.6680454419917852</t>
  </si>
  <si>
    <t>-0.7223951431801305</t>
  </si>
  <si>
    <t>0.20831000367300326</t>
  </si>
  <si>
    <t>1.0340971568094437</t>
  </si>
  <si>
    <t>-0.26410387236737115</t>
  </si>
  <si>
    <t>-0.49849047044230405</t>
  </si>
  <si>
    <t>-0.48857613447192855</t>
  </si>
  <si>
    <t>-0.4174174156318935</t>
  </si>
  <si>
    <t>0.23064618516370716</t>
  </si>
  <si>
    <t>0.6779529359470378</t>
  </si>
  <si>
    <t>0.14345196628310927</t>
  </si>
  <si>
    <t>-0.7280893563965339</t>
  </si>
  <si>
    <t>0.43535980673639213</t>
  </si>
  <si>
    <t>1.3878430344724897</t>
  </si>
  <si>
    <t>-0.06042699029720646</t>
  </si>
  <si>
    <t>-0.7576272690509824</t>
  </si>
  <si>
    <t>0.24843377892819565</t>
  </si>
  <si>
    <t>0.08707693603311512</t>
  </si>
  <si>
    <t>-0.12305180664680135</t>
  </si>
  <si>
    <t>0.49326168357941597</t>
  </si>
  <si>
    <t>-0.33916765868450144</t>
  </si>
  <si>
    <t>-0.2780567726333235</t>
  </si>
  <si>
    <t>0.29661830956127994</t>
  </si>
  <si>
    <t>-0.7498242645222555</t>
  </si>
  <si>
    <t>-0.5015428708313207</t>
  </si>
  <si>
    <t>-0.08980661152382388</t>
  </si>
  <si>
    <t>1.0525814896456878</t>
  </si>
  <si>
    <t>-0.09259879071590847</t>
  </si>
  <si>
    <t>0.269069701689534</t>
  </si>
  <si>
    <t>-1.1505779873894868</t>
  </si>
  <si>
    <t>0.2741259938439477</t>
  </si>
  <si>
    <t>-0.5983917259025786</t>
  </si>
  <si>
    <t>-0.5300736980091962</t>
  </si>
  <si>
    <t>-0.3258877688604245</t>
  </si>
  <si>
    <t>-0.056060354448364644</t>
  </si>
  <si>
    <t>-0.3836379893636984</t>
  </si>
  <si>
    <t>-0.11985873954457286</t>
  </si>
  <si>
    <t>0.41509917927983425</t>
  </si>
  <si>
    <t>0.23330994493206872</t>
  </si>
  <si>
    <t>0.0512377156838219</t>
  </si>
  <si>
    <t>-0.07752903524711699</t>
  </si>
  <si>
    <t>-0.9926939428602223</t>
  </si>
  <si>
    <t>0.862680677228938</t>
  </si>
  <si>
    <t>-0.9977267222750966</t>
  </si>
  <si>
    <t>0.36327227763808234</t>
  </si>
  <si>
    <t>-0.4631446597186251</t>
  </si>
  <si>
    <t>-0.7426467323457138</t>
  </si>
  <si>
    <t>2.088357758230307</t>
  </si>
  <si>
    <t>0.12944999314703046</t>
  </si>
  <si>
    <t>-1.2774325487498628</t>
  </si>
  <si>
    <t>0.1193669870817556</t>
  </si>
  <si>
    <t>-0.7518928545782654</t>
  </si>
  <si>
    <t>-0.23740552993093816</t>
  </si>
  <si>
    <t>-0.4754210233696757</t>
  </si>
  <si>
    <t>0.6573183470085845</t>
  </si>
  <si>
    <t>0.5117400346424142</t>
  </si>
  <si>
    <t>-0.38289584144051836</t>
  </si>
  <si>
    <t>0.6794720564656972</t>
  </si>
  <si>
    <t>-0.32502647149549424</t>
  </si>
  <si>
    <t>-0.007544700765478699</t>
  </si>
  <si>
    <t>0.26933247961792517</t>
  </si>
  <si>
    <t>-0.43880800043189466</t>
  </si>
  <si>
    <t>-0.0031678475239590286</t>
  </si>
  <si>
    <t>0.24882119784908147</t>
  </si>
  <si>
    <t>0.6071913717470155</t>
  </si>
  <si>
    <t>-0.1578108099408494</t>
  </si>
  <si>
    <t>0.12143002153764887</t>
  </si>
  <si>
    <t>0.7137125818410602</t>
  </si>
  <si>
    <t>0.22493057165994185</t>
  </si>
  <si>
    <t>-0.646463426081453</t>
  </si>
  <si>
    <t>-0.03702315064661672</t>
  </si>
  <si>
    <t>0.18735813299907808</t>
  </si>
  <si>
    <t>-0.8740648084076101</t>
  </si>
  <si>
    <t>-0.010923109050249551</t>
  </si>
  <si>
    <t>-0.2343662499536571</t>
  </si>
  <si>
    <t>1.5744378427237162</t>
  </si>
  <si>
    <t>-0.8328202625889342</t>
  </si>
  <si>
    <t>0.12986695968714468</t>
  </si>
  <si>
    <t>0.4477982686527107</t>
  </si>
  <si>
    <t>0.17306356110879564</t>
  </si>
  <si>
    <t>-0.2820040491428727</t>
  </si>
  <si>
    <t>0.4707639954308155</t>
  </si>
  <si>
    <t>-0.16811687488071736</t>
  </si>
  <si>
    <t>0.889453776195603</t>
  </si>
  <si>
    <t>0.4336854205238222</t>
  </si>
  <si>
    <t>-1.0428702790983428</t>
  </si>
  <si>
    <t>-0.9616237174941293</t>
  </si>
  <si>
    <t>-0.4656213091352119</t>
  </si>
  <si>
    <t>-1.327142374493812</t>
  </si>
  <si>
    <t>-0.34956646927187074</t>
  </si>
  <si>
    <t>-0.014316150530840815</t>
  </si>
  <si>
    <t>0.5263063438646434</t>
  </si>
  <si>
    <t>-0.05938224031264835</t>
  </si>
  <si>
    <t>0.49078224504761175</t>
  </si>
  <si>
    <t>-0.7788871961921554</t>
  </si>
  <si>
    <t>0.8822363841335105</t>
  </si>
  <si>
    <t>-0.2621820628459379</t>
  </si>
  <si>
    <t>-0.15309483134719687</t>
  </si>
  <si>
    <t>-0.8923550603268768</t>
  </si>
  <si>
    <t>0.42840407962686144</t>
  </si>
  <si>
    <t>-0.4085313066928833</t>
  </si>
  <si>
    <t>0.10174637688280457</t>
  </si>
  <si>
    <t>-0.3135320126943407</t>
  </si>
  <si>
    <t>-0.23271104598100614</t>
  </si>
  <si>
    <t>0.0318940167068647</t>
  </si>
  <si>
    <t>-0.2950977718274229</t>
  </si>
  <si>
    <t>-0.5572049102328309</t>
  </si>
  <si>
    <t>2.027570886902408</t>
  </si>
  <si>
    <t>-1.2175655553056657</t>
  </si>
  <si>
    <t>-0.2641813765995825</t>
  </si>
  <si>
    <t>0.3309715993889566</t>
  </si>
  <si>
    <t>0.4734877464354925</t>
  </si>
  <si>
    <t>-0.11996322169877156</t>
  </si>
  <si>
    <t>-0.1467134686920923</t>
  </si>
  <si>
    <t>-0.12504496532469797</t>
  </si>
  <si>
    <t>-0.0769983488951599</t>
  </si>
  <si>
    <t>0.06117158705210776</t>
  </si>
  <si>
    <t>-1.020626359895966</t>
  </si>
  <si>
    <t>-0.17835117599290365</t>
  </si>
  <si>
    <t>-0.1545334872281732</t>
  </si>
  <si>
    <t>0.39729798271499084</t>
  </si>
  <si>
    <t>-0.9928950663747523</t>
  </si>
  <si>
    <t>-0.7726597172896542</t>
  </si>
  <si>
    <t>-0.12461317856271378</t>
  </si>
  <si>
    <t>0.28956891624952064</t>
  </si>
  <si>
    <t>-0.5962754149820906</t>
  </si>
  <si>
    <t>0.014167713531285115</t>
  </si>
  <si>
    <t>-0.35840985946438086</t>
  </si>
  <si>
    <t>0.09409950465375645</t>
  </si>
  <si>
    <t>-0.03609535277024327</t>
  </si>
  <si>
    <t>0.19071496696724302</t>
  </si>
  <si>
    <t>-0.15407160918483553</t>
  </si>
  <si>
    <t>0.318229022381164</t>
  </si>
  <si>
    <t>1.3143708531003475</t>
  </si>
  <si>
    <t>-0.15603052144972532</t>
  </si>
  <si>
    <t>-0.8932370371489817</t>
  </si>
  <si>
    <t>-1.295228643196849</t>
  </si>
  <si>
    <t>0.3896909719031257</t>
  </si>
  <si>
    <t>-0.7479431098915091</t>
  </si>
  <si>
    <t>-0.8518451353541888</t>
  </si>
  <si>
    <t>0.4670871272778294</t>
  </si>
  <si>
    <t>-0.5822652398806196</t>
  </si>
  <si>
    <t>0.2899885653473202</t>
  </si>
  <si>
    <t>-0.5693863663381703</t>
  </si>
  <si>
    <t>0.6072936794455063</t>
  </si>
  <si>
    <t>-0.12040567853743726</t>
  </si>
  <si>
    <t>0.24591041308369307</t>
  </si>
  <si>
    <t>-0.08045734405799262</t>
  </si>
  <si>
    <t>0.10557626102055559</t>
  </si>
  <si>
    <t>-0.11235742934962759</t>
  </si>
  <si>
    <t>-0.305919068825191</t>
  </si>
  <si>
    <t>0.016878596828380884</t>
  </si>
  <si>
    <t>0.11529518148017613</t>
  </si>
  <si>
    <t>-0.39824232248467</t>
  </si>
  <si>
    <t>-1.9613052875694947</t>
  </si>
  <si>
    <t>-0.08058511061327965</t>
  </si>
  <si>
    <t>-0.4005566584332204</t>
  </si>
  <si>
    <t>-0.7952063864510555</t>
  </si>
  <si>
    <t>-1.5760531559954307</t>
  </si>
  <si>
    <t>-0.15401963772735988</t>
  </si>
  <si>
    <t>0.6011888403124249</t>
  </si>
  <si>
    <t>0.766842561660955</t>
  </si>
  <si>
    <t>-0.35593164854058157</t>
  </si>
  <si>
    <t>-0.44887134155948544</t>
  </si>
  <si>
    <t>-0.18757614028496783</t>
  </si>
  <si>
    <t>-0.2934916976735096</t>
  </si>
  <si>
    <t>0.1339306761599736</t>
  </si>
  <si>
    <t>1.510916871578572</t>
  </si>
  <si>
    <t>1.1457561052979617</t>
  </si>
  <si>
    <t>0.9886714563433192</t>
  </si>
  <si>
    <t>-0.045850142895939555</t>
  </si>
  <si>
    <t>0.3375552221171253</t>
  </si>
  <si>
    <t>-0.3987542438374212</t>
  </si>
  <si>
    <t>0.3064512931176374</t>
  </si>
  <si>
    <t>0.2566725284561359</t>
  </si>
  <si>
    <t>0.31678874998522705</t>
  </si>
  <si>
    <t>-1.2044819666345494</t>
  </si>
  <si>
    <t>0.7388862390989108</t>
  </si>
  <si>
    <t>-0.016319199532934578</t>
  </si>
  <si>
    <t>-0.3327530269985188</t>
  </si>
  <si>
    <t>0.14649472672183167</t>
  </si>
  <si>
    <t>0.5250253492677689</t>
  </si>
  <si>
    <t>-0.43867081739921726</t>
  </si>
  <si>
    <t>-0.545162817612559</t>
  </si>
  <si>
    <t>2.3201206751271695</t>
  </si>
  <si>
    <t>0.6815691505195424</t>
  </si>
  <si>
    <t>-0.5342043383921934</t>
  </si>
  <si>
    <t>0.651418449502623</t>
  </si>
  <si>
    <t>0.5447758721694971</t>
  </si>
  <si>
    <t>0.22911318537865613</t>
  </si>
  <si>
    <t>-0.2903183278807987</t>
  </si>
  <si>
    <t>0.02817580880264308</t>
  </si>
  <si>
    <t>0.1643477843899708</t>
  </si>
  <si>
    <t>0.3160273796032258</t>
  </si>
  <si>
    <t>-1.1144158428288486</t>
  </si>
  <si>
    <t>-0.36906525047859096</t>
  </si>
  <si>
    <t>-0.27102720739563624</t>
  </si>
  <si>
    <t>-0.8988895535216868</t>
  </si>
  <si>
    <t>0.508279182730464</t>
  </si>
  <si>
    <t>-0.3763705397536701</t>
  </si>
  <si>
    <t>0.3322302091927803</t>
  </si>
  <si>
    <t>-0.7490979029358047</t>
  </si>
  <si>
    <t>-0.26744941540498796</t>
  </si>
  <si>
    <t>-0.34583008710106267</t>
  </si>
  <si>
    <t>-0.3343818508461068</t>
  </si>
  <si>
    <t>-0.1306240876546146</t>
  </si>
  <si>
    <t>-0.02585639202700367</t>
  </si>
  <si>
    <t>1.507372538119508</t>
  </si>
  <si>
    <t>-0.8519127491059376</t>
  </si>
  <si>
    <t>1.05199006874471</t>
  </si>
  <si>
    <t>1.292504481583627</t>
  </si>
  <si>
    <t>-0.38753927781143394</t>
  </si>
  <si>
    <t>-0.735824107056598</t>
  </si>
  <si>
    <t>-0.4806534532520688</t>
  </si>
  <si>
    <t>0.3398298701520659</t>
  </si>
  <si>
    <t>0.668485316282443</t>
  </si>
  <si>
    <t>-0.5670875762341655</t>
  </si>
  <si>
    <t>-0.6131049562718371</t>
  </si>
  <si>
    <t>1.0860279572180593</t>
  </si>
  <si>
    <t>0.11320584152764042</t>
  </si>
  <si>
    <t>-0.48274818200321185</t>
  </si>
  <si>
    <t>-0.5027608555940974</t>
  </si>
  <si>
    <t>0.43001482134530844</t>
  </si>
  <si>
    <t>1.296621559034452</t>
  </si>
  <si>
    <t>0.03985152321789161</t>
  </si>
  <si>
    <t>-0.037596040176787485</t>
  </si>
  <si>
    <t>-0.9249610645223826</t>
  </si>
  <si>
    <t>-0.08316389581129707</t>
  </si>
  <si>
    <t>0.21213366791467586</t>
  </si>
  <si>
    <t>0.2662412402266453</t>
  </si>
  <si>
    <t>0.18418045351231543</t>
  </si>
  <si>
    <t>-0.1050196257676834</t>
  </si>
  <si>
    <t>0.6214388400595933</t>
  </si>
  <si>
    <t>-0.21148497628028456</t>
  </si>
  <si>
    <t>0.04152597821099219</t>
  </si>
  <si>
    <t>0.21319406563944657</t>
  </si>
  <si>
    <t>-0.04211272132914532</t>
  </si>
  <si>
    <t>0.1790494485069204</t>
  </si>
  <si>
    <t>-0.3468846503849814</t>
  </si>
  <si>
    <t>0.4714222773779454</t>
  </si>
  <si>
    <t>0.8586874724949868</t>
  </si>
  <si>
    <t>-0.637731811571739</t>
  </si>
  <si>
    <t>-0.4367224009363484</t>
  </si>
  <si>
    <t>-0.2937518719778355</t>
  </si>
  <si>
    <t>-0.2718359630309149</t>
  </si>
  <si>
    <t>-0.6447660679749456</t>
  </si>
  <si>
    <t>0.16161446059380755</t>
  </si>
  <si>
    <t>-0.10713800118672495</t>
  </si>
  <si>
    <t>0.48417043622907585</t>
  </si>
  <si>
    <t>-0.22861028279601042</t>
  </si>
  <si>
    <t>0.9303020873766162</t>
  </si>
  <si>
    <t>-0.11561030868110252</t>
  </si>
  <si>
    <t>-0.6462537770731601</t>
  </si>
  <si>
    <t>1.060100150457407</t>
  </si>
  <si>
    <t>-0.6985886519901603</t>
  </si>
  <si>
    <t>0.3049028451328094</t>
  </si>
  <si>
    <t>0.4349953928696743</t>
  </si>
  <si>
    <t>0.3159448018740298</t>
  </si>
  <si>
    <t>-0.10729687301409734</t>
  </si>
  <si>
    <t>0.03368353565942649</t>
  </si>
  <si>
    <t>-0.11703384158173116</t>
  </si>
  <si>
    <t>1.6975039380658783</t>
  </si>
  <si>
    <t>1.5375333163460458</t>
  </si>
  <si>
    <t>-0.1785436784522376</t>
  </si>
  <si>
    <t>-2.189255265887036</t>
  </si>
  <si>
    <t>0.1691245723934418</t>
  </si>
  <si>
    <t>1.073928486509562</t>
  </si>
  <si>
    <t>-1.0311308919337627</t>
  </si>
  <si>
    <t>-0.8765351340872326</t>
  </si>
  <si>
    <t>-1.141250996765022</t>
  </si>
  <si>
    <t>1.2060865374108163</t>
  </si>
  <si>
    <t>-0.4266159960420996</t>
  </si>
  <si>
    <t>-1.3568071402149824</t>
  </si>
  <si>
    <t>-0.3552431004199983</t>
  </si>
  <si>
    <t>0.24728733538974942</t>
  </si>
  <si>
    <t>-1.304892043425998</t>
  </si>
  <si>
    <t>-0.7746079439066256</t>
  </si>
  <si>
    <t>-1.3642445454826304</t>
  </si>
  <si>
    <t>-0.8492086960760851</t>
  </si>
  <si>
    <t>-0.08837260421211834</t>
  </si>
  <si>
    <t>-1.288103353539669</t>
  </si>
  <si>
    <t>-0.5821404128725726</t>
  </si>
  <si>
    <t>0.9073599368069999</t>
  </si>
  <si>
    <t>0.43553235061011364</t>
  </si>
  <si>
    <t>0.297596356347492</t>
  </si>
  <si>
    <t>0.5978558401190843</t>
  </si>
  <si>
    <t>2.155598454295418</t>
  </si>
  <si>
    <t>-0.7080848557654096</t>
  </si>
  <si>
    <t>0.8547994960046114</t>
  </si>
  <si>
    <t>0.45446146194958015</t>
  </si>
  <si>
    <t>1.1328546436228728</t>
  </si>
  <si>
    <t>-2.5974358910962394</t>
  </si>
  <si>
    <t>0.9620630418499452</t>
  </si>
  <si>
    <t>-0.553404556068553</t>
  </si>
  <si>
    <t>0.1554015057221474</t>
  </si>
  <si>
    <t>1.2992298339012962</t>
  </si>
  <si>
    <t>-1.480185826181292</t>
  </si>
  <si>
    <t>1.4201394921544186</t>
  </si>
  <si>
    <t>-1.2014024148165625</t>
  </si>
  <si>
    <t>-0.19148924241948578</t>
  </si>
  <si>
    <t>0.36893957055458465</t>
  </si>
  <si>
    <t>-1.318158883683535</t>
  </si>
  <si>
    <t>0.603327835906723</t>
  </si>
  <si>
    <t>1.773281421655182</t>
  </si>
  <si>
    <t>-0.009791239814659205</t>
  </si>
  <si>
    <t>1.3681168789066458</t>
  </si>
  <si>
    <t>-0.9195655714698537</t>
  </si>
  <si>
    <t>0.4676593224878596</t>
  </si>
  <si>
    <t>0.086859145229011</t>
  </si>
  <si>
    <t>1.1200693320828548</t>
  </si>
  <si>
    <t>-1.4854239594788872</t>
  </si>
  <si>
    <t>1.396139246988379</t>
  </si>
  <si>
    <t>0.4544622828508778</t>
  </si>
  <si>
    <t>0.9693121518721719</t>
  </si>
  <si>
    <t>-0.6926695579883517</t>
  </si>
  <si>
    <t>-0.1848484521893095</t>
  </si>
  <si>
    <t>-0.3239939416683494</t>
  </si>
  <si>
    <t>0.05679010063675366</t>
  </si>
  <si>
    <t>-1.3595938254726716</t>
  </si>
  <si>
    <t>0.7354531270849738</t>
  </si>
  <si>
    <t>-0.7319088690705382</t>
  </si>
  <si>
    <t>0.366775780520415</t>
  </si>
  <si>
    <t>0.7336006127102748</t>
  </si>
  <si>
    <t>-0.8748950399201136</t>
  </si>
  <si>
    <t>-0.5242435214718456</t>
  </si>
  <si>
    <t>1.321382496711248</t>
  </si>
  <si>
    <t>-0.6950332000676791</t>
  </si>
  <si>
    <t>-0.6073065101680937</t>
  </si>
  <si>
    <t>0.8278940459031684</t>
  </si>
  <si>
    <t>0.9058948613307178</t>
  </si>
  <si>
    <t>-1.5142479092121606</t>
  </si>
  <si>
    <t>-0.5951198473291311</t>
  </si>
  <si>
    <t>-0.06576778005556888</t>
  </si>
  <si>
    <t>0.9040807001711586</t>
  </si>
  <si>
    <t>0.7640432366772733</t>
  </si>
  <si>
    <t>-0.6166840041260353</t>
  </si>
  <si>
    <t>0.16238031493911145</t>
  </si>
  <si>
    <t>-0.318425154971024</t>
  </si>
  <si>
    <t>0.43103638921431864</t>
  </si>
  <si>
    <t>0.8227361969885119</t>
  </si>
  <si>
    <t>-0.8537023450600473</t>
  </si>
  <si>
    <t>0.5906674860820205</t>
  </si>
  <si>
    <t>-0.6102999126883293</t>
  </si>
  <si>
    <t>-1.036498085607697</t>
  </si>
  <si>
    <t>0.4516379926792134</t>
  </si>
  <si>
    <t>-0.24794005295887572</t>
  </si>
  <si>
    <t>0.4911093954538536</t>
  </si>
  <si>
    <t>-1.0254718070957385</t>
  </si>
  <si>
    <t>0.8991738596141802</t>
  </si>
  <si>
    <t>-0.455521920897775</t>
  </si>
  <si>
    <t>-0.1617130126520257</t>
  </si>
  <si>
    <t>0.540249402967618</t>
  </si>
  <si>
    <t>-0.0223109309455226</t>
  </si>
  <si>
    <t>0.5312330935482398</t>
  </si>
  <si>
    <t>0.39130534128470296</t>
  </si>
  <si>
    <t>-0.38259880536716007</t>
  </si>
  <si>
    <t>1.0882690546046896</t>
  </si>
  <si>
    <t>-1.2040383721214099</t>
  </si>
  <si>
    <t>-1.2762955667253033</t>
  </si>
  <si>
    <t>1.1502739516129756</t>
  </si>
  <si>
    <t>1.092301253720053</t>
  </si>
  <si>
    <t>-0.10187758112771782</t>
  </si>
  <si>
    <t>0.5641718886644583</t>
  </si>
  <si>
    <t>0.4356278251404963</t>
  </si>
  <si>
    <t>0.7796775735314686</t>
  </si>
  <si>
    <t>-1.480650499852242</t>
  </si>
  <si>
    <t>-0.5065213450087319</t>
  </si>
  <si>
    <t>0.5344062091484093</t>
  </si>
  <si>
    <t>0.44357786465543286</t>
  </si>
  <si>
    <t>0.0884323868665269</t>
  </si>
  <si>
    <t>-0.294882792245225</t>
  </si>
  <si>
    <t>0.7328864254473045</t>
  </si>
  <si>
    <t>-0.07569035463357468</t>
  </si>
  <si>
    <t>0.5714096260834656</t>
  </si>
  <si>
    <t>0.17200769000590524</t>
  </si>
  <si>
    <t>0.3039219555155521</t>
  </si>
  <si>
    <t>0.027670507228545693</t>
  </si>
  <si>
    <t>0.5188444376194227</t>
  </si>
  <si>
    <t>-0.4142761313141101</t>
  </si>
  <si>
    <t>-0.23389468789987417</t>
  </si>
  <si>
    <t>-0.07345048643462382</t>
  </si>
  <si>
    <t>0.5859229667950814</t>
  </si>
  <si>
    <t>-0.021979084367273315</t>
  </si>
  <si>
    <t>0.193490625786971</t>
  </si>
  <si>
    <t>-0.21828491149284918</t>
  </si>
  <si>
    <t>-2.774868291546557</t>
  </si>
  <si>
    <t>-0.7524796786397626</t>
  </si>
  <si>
    <t>-2.094004137964878</t>
  </si>
  <si>
    <t>0.05337626062006996</t>
  </si>
  <si>
    <t>-0.08160987135569682</t>
  </si>
  <si>
    <t>-0.5969272637139241</t>
  </si>
  <si>
    <t>-1.3218006408958898</t>
  </si>
  <si>
    <t>-0.38837695572485337</t>
  </si>
  <si>
    <t>0.8632438615715095</t>
  </si>
  <si>
    <t>-0.41284998620488833</t>
  </si>
  <si>
    <t>1.1112538488969832</t>
  </si>
  <si>
    <t>0.8859960454367041</t>
  </si>
  <si>
    <t>-0.20839098152121002</t>
  </si>
  <si>
    <t>2.3692579527145434</t>
  </si>
  <si>
    <t>-1.437808690568793</t>
  </si>
  <si>
    <t>-0.382567021924129</t>
  </si>
  <si>
    <t>0.38999486384830084</t>
  </si>
  <si>
    <t>0.1259486077202784</t>
  </si>
  <si>
    <t>0.03490782430374462</t>
  </si>
  <si>
    <t>0.03726328721428252</t>
  </si>
  <si>
    <t>-0.3308783074843067</t>
  </si>
  <si>
    <t>-0.10795332515407721</t>
  </si>
  <si>
    <t>0.5119530475353391</t>
  </si>
  <si>
    <t>1.422566561086953</t>
  </si>
  <si>
    <t>1.6100561658828483</t>
  </si>
  <si>
    <t>-0.0663053670374436</t>
  </si>
  <si>
    <t>0.5831107714657806</t>
  </si>
  <si>
    <t>0.23570044709231244</t>
  </si>
  <si>
    <t>-0.6399686735301525</t>
  </si>
  <si>
    <t>-0.32480976576357934</t>
  </si>
  <si>
    <t>0.4236855428877194</t>
  </si>
  <si>
    <t>0.6514822699625434</t>
  </si>
  <si>
    <t>0.1972830837607656</t>
  </si>
  <si>
    <t>-0.8201796561860357</t>
  </si>
  <si>
    <t>0.33074294296985546</t>
  </si>
  <si>
    <t>0.2666141367815212</t>
  </si>
  <si>
    <t>-0.23588184304987705</t>
  </si>
  <si>
    <t>0.1755762760514242</t>
  </si>
  <si>
    <t>-0.3426059543032052</t>
  </si>
  <si>
    <t>1.1885406015401399</t>
  </si>
  <si>
    <t>-0.8657260785120349</t>
  </si>
  <si>
    <t>-0.3971671172145463</t>
  </si>
  <si>
    <t>0.09984005891476765</t>
  </si>
  <si>
    <t>-0.6536404461174279</t>
  </si>
  <si>
    <t>0.22178399804616403</t>
  </si>
  <si>
    <t>-2.157289346891966</t>
  </si>
  <si>
    <t>-0.06310480659654055</t>
  </si>
  <si>
    <t>-0.37768230424925797</t>
  </si>
  <si>
    <t>-0.6211730702729401</t>
  </si>
  <si>
    <t>-0.9522792936436012</t>
  </si>
  <si>
    <t>0.504520751590621</t>
  </si>
  <si>
    <t>0.25947643805334925</t>
  </si>
  <si>
    <t>0.5572496237069049</t>
  </si>
  <si>
    <t>-1.5406651402413267</t>
  </si>
  <si>
    <t>-0.20102961627978952</t>
  </si>
  <si>
    <t>-1.0878445298296446</t>
  </si>
  <si>
    <t>-0.5561065154949528</t>
  </si>
  <si>
    <t>-0.5557956319228156</t>
  </si>
  <si>
    <t>-0.9581444392939316</t>
  </si>
  <si>
    <t>-0.4149909432782575</t>
  </si>
  <si>
    <t>0.23628779669725794</t>
  </si>
  <si>
    <t>-0.8704948722670188</t>
  </si>
  <si>
    <t>-0.19218761506690607</t>
  </si>
  <si>
    <t>-1.4430910789218678</t>
  </si>
  <si>
    <t>0.8873400955575984</t>
  </si>
  <si>
    <t>2.120247564926106</t>
  </si>
  <si>
    <t>-0.4164928589618842</t>
  </si>
  <si>
    <t>-0.518423971116234</t>
  </si>
  <si>
    <t>-0.12310951043594522</t>
  </si>
  <si>
    <t>-1.4841573879453038</t>
  </si>
  <si>
    <t>0.9232086365039234</t>
  </si>
  <si>
    <t>1.0733727267925728</t>
  </si>
  <si>
    <t>0.8721337904234171</t>
  </si>
  <si>
    <t>-0.2903893156243707</t>
  </si>
  <si>
    <t>-0.8742917693132243</t>
  </si>
  <si>
    <t>-0.9065128063535758</t>
  </si>
  <si>
    <t>-0.4713729537825347</t>
  </si>
  <si>
    <t>0.6982201575088028</t>
  </si>
  <si>
    <t>1.2702661611295147</t>
  </si>
  <si>
    <t>0.0721335303298239</t>
  </si>
  <si>
    <t>-0.7587296356965784</t>
  </si>
  <si>
    <t>0.6447743320471548</t>
  </si>
  <si>
    <t>0.9881615164062579</t>
  </si>
  <si>
    <t>-1.1717925285881086</t>
  </si>
  <si>
    <t>0.9861131072536572</t>
  </si>
  <si>
    <t>0.7818331337214472</t>
  </si>
  <si>
    <t>0.3171835511183082</t>
  </si>
  <si>
    <t>-1.1646731887223412</t>
  </si>
  <si>
    <t>-0.6234063856481744</t>
  </si>
  <si>
    <t>-0.1528792210682185</t>
  </si>
  <si>
    <t>-0.15949128131531637</t>
  </si>
  <si>
    <t>0.9075285734400461</t>
  </si>
  <si>
    <t>-0.08834316646578695</t>
  </si>
  <si>
    <t>-0.024069463886800282</t>
  </si>
  <si>
    <t>-0.04469446114375658</t>
  </si>
  <si>
    <t>-0.06939511647622613</t>
  </si>
  <si>
    <t>0.7506689710681524</t>
  </si>
  <si>
    <t>-1.879842984309226</t>
  </si>
  <si>
    <t>1.6333072843047143</t>
  </si>
  <si>
    <t>0.14062439999661255</t>
  </si>
  <si>
    <t>-0.5505273795163216</t>
  </si>
  <si>
    <t>-0.35738512019237906</t>
  </si>
  <si>
    <t>0.0045538403993482</t>
  </si>
  <si>
    <t>-0.2083084340203657</t>
  </si>
  <si>
    <t>1.0588712808118377</t>
  </si>
  <si>
    <t>1.3905117232674282</t>
  </si>
  <si>
    <t>-0.9070408061550439</t>
  </si>
  <si>
    <t>0.24181225904098655</t>
  </si>
  <si>
    <t>-0.5391541838350621</t>
  </si>
  <si>
    <t>-0.28330093566995446</t>
  </si>
  <si>
    <t>0.527897163245261</t>
  </si>
  <si>
    <t>-0.02493789722617785</t>
  </si>
  <si>
    <t>-0.5387016709422506</t>
  </si>
  <si>
    <t>0.05885769509068773</t>
  </si>
  <si>
    <t>-0.22009688644625375</t>
  </si>
  <si>
    <t>0.35282980349821474</t>
  </si>
  <si>
    <t>-0.7450864566043726</t>
  </si>
  <si>
    <t>0.32607008336836935</t>
  </si>
  <si>
    <t>1.154608001591036</t>
  </si>
  <si>
    <t>-0.1035365085413938</t>
  </si>
  <si>
    <t>-0.44717298653843446</t>
  </si>
  <si>
    <t>-0.0897186881954138</t>
  </si>
  <si>
    <t>-0.44296535246469115</t>
  </si>
  <si>
    <t>-0.7991628002736555</t>
  </si>
  <si>
    <t>0.08279081593536904</t>
  </si>
  <si>
    <t>0.8704561382127851</t>
  </si>
  <si>
    <t>0.41092286076334067</t>
  </si>
  <si>
    <t>1.3206940770995645</t>
  </si>
  <si>
    <t>0.509448851173113</t>
  </si>
  <si>
    <t>1.1568982048038468</t>
  </si>
  <si>
    <t>0.9784540253945071</t>
  </si>
  <si>
    <t>-0.5420718483411306</t>
  </si>
  <si>
    <t>-0.41202820134203044</t>
  </si>
  <si>
    <t>-0.11001956980275207</t>
  </si>
  <si>
    <t>1.1107518047456533</t>
  </si>
  <si>
    <t>-0.1037927603320842</t>
  </si>
  <si>
    <t>-0.25487661064464856</t>
  </si>
  <si>
    <t>0.6634903981308328</t>
  </si>
  <si>
    <t>0.5577476061335261</t>
  </si>
  <si>
    <t>2.138429974761943</t>
  </si>
  <si>
    <t>-0.35692302662744524</t>
  </si>
  <si>
    <t>0.1317571335877243</t>
  </si>
  <si>
    <t>0.25800838525294995</t>
  </si>
  <si>
    <t>1.6434985776002893</t>
  </si>
  <si>
    <t>-0.6939459576838027</t>
  </si>
  <si>
    <t>-0.33128721121268634</t>
  </si>
  <si>
    <t>0.6066084309336018</t>
  </si>
  <si>
    <t>-3.0402554615241377</t>
  </si>
  <si>
    <t>-1.3130001221762424</t>
  </si>
  <si>
    <t>-0.20598472166336082</t>
  </si>
  <si>
    <t>-0.8061889117613937</t>
  </si>
  <si>
    <t>0.14318111464687894</t>
  </si>
  <si>
    <t>-1.998802932541401</t>
  </si>
  <si>
    <t>0.02211066867615917</t>
  </si>
  <si>
    <t>-0.35633493226203766</t>
  </si>
  <si>
    <t>-0.4153689975544315</t>
  </si>
  <si>
    <t>2.322742131272201</t>
  </si>
  <si>
    <t>0.2847503629469866</t>
  </si>
  <si>
    <t>-0.49445800224479586</t>
  </si>
  <si>
    <t>-0.28452233849982694</t>
  </si>
  <si>
    <t>-0.8668958904707036</t>
  </si>
  <si>
    <t>0.44463846536649765</t>
  </si>
  <si>
    <t>-0.8499974992305487</t>
  </si>
  <si>
    <t>-2.086590894976527</t>
  </si>
  <si>
    <t>-1.4055393299883836</t>
  </si>
  <si>
    <t>-0.050530967528220776</t>
  </si>
  <si>
    <t>-0.9941238493476579</t>
  </si>
  <si>
    <t>2.1542045048302936</t>
  </si>
  <si>
    <t>-0.3557595093730374</t>
  </si>
  <si>
    <t>-0.39269790242659314</t>
  </si>
  <si>
    <t>-0.7620584343936758</t>
  </si>
  <si>
    <t>-0.5488232022410859</t>
  </si>
  <si>
    <t>-0.1066570223134218</t>
  </si>
  <si>
    <t>0.654584310633724</t>
  </si>
  <si>
    <t>-1.13076154944333</t>
  </si>
  <si>
    <t>0.7654512932197436</t>
  </si>
  <si>
    <t>1.1014481676216632</t>
  </si>
  <si>
    <t>-4.216446319753823</t>
  </si>
  <si>
    <t>-1.2327121515388286</t>
  </si>
  <si>
    <t>1.470719000949694</t>
  </si>
  <si>
    <t>0.3060706864292359</t>
  </si>
  <si>
    <t>0.2633433014886331</t>
  </si>
  <si>
    <t>-0.5099565317549327</t>
  </si>
  <si>
    <t>-0.3227196164118898</t>
  </si>
  <si>
    <t>0.11044548426089448</t>
  </si>
  <si>
    <t>-0.4117725335359704</t>
  </si>
  <si>
    <t>-0.1437946729228366</t>
  </si>
  <si>
    <t>-0.7056249205059937</t>
  </si>
  <si>
    <t>-0.04488111957512664</t>
  </si>
  <si>
    <t>2.6214492343151043</t>
  </si>
  <si>
    <t>2.1024546512239985</t>
  </si>
  <si>
    <t>-0.14490490917165255</t>
  </si>
  <si>
    <t>0.8500474178923044</t>
  </si>
  <si>
    <t>-0.9820582910249465</t>
  </si>
  <si>
    <t>0.509173495068998</t>
  </si>
  <si>
    <t>0.17033644952073448</t>
  </si>
  <si>
    <t>-0.5906193605337576</t>
  </si>
  <si>
    <t>1.1636235653193054</t>
  </si>
  <si>
    <t>-0.9410122726488167</t>
  </si>
  <si>
    <t>-0.9021692404078754</t>
  </si>
  <si>
    <t>0.16003862570089042</t>
  </si>
  <si>
    <t>0.23526799889713187</t>
  </si>
  <si>
    <t>-1.2090644523368816</t>
  </si>
  <si>
    <t>-1.3302119903008431</t>
  </si>
  <si>
    <t>1.062748879761597</t>
  </si>
  <si>
    <t>-0.10165466910482389</t>
  </si>
  <si>
    <t>1.149114969252777</t>
  </si>
  <si>
    <t>-0.003075988553242595</t>
  </si>
  <si>
    <t>-1.4513840672201683</t>
  </si>
  <si>
    <t>0.7671846958984431</t>
  </si>
  <si>
    <t>1.1888788873920468</t>
  </si>
  <si>
    <t>0.6664789435833816</t>
  </si>
  <si>
    <t>-0.08192101698487463</t>
  </si>
  <si>
    <t>0.395228883275637</t>
  </si>
  <si>
    <t>-1.118995066950941</t>
  </si>
  <si>
    <t>0.17896331186641545</t>
  </si>
  <si>
    <t>1.3704173309367558</t>
  </si>
  <si>
    <t>2.848446081183271</t>
  </si>
  <si>
    <t>-0.8140042873289918</t>
  </si>
  <si>
    <t>-0.15630299242775514</t>
  </si>
  <si>
    <t>-0.4539729725450895</t>
  </si>
  <si>
    <t>0.4575478792407036</t>
  </si>
  <si>
    <t>-0.8141617581908952</t>
  </si>
  <si>
    <t>-0.7528252611026636</t>
  </si>
  <si>
    <t>0.0670640012574127</t>
  </si>
  <si>
    <t>-0.3836620273136381</t>
  </si>
  <si>
    <t>1.5343274522165053</t>
  </si>
  <si>
    <t>-1.0658910150282248</t>
  </si>
  <si>
    <t>0.887913603968092</t>
  </si>
  <si>
    <t>0.7925802004695693</t>
  </si>
  <si>
    <t>1.224076552712989</t>
  </si>
  <si>
    <t>-2.7400143595208672</t>
  </si>
  <si>
    <t>0.5342690452529961</t>
  </si>
  <si>
    <t>-1.8780968098575679</t>
  </si>
  <si>
    <t>0.27887468232975127</t>
  </si>
  <si>
    <t>3.411908432347434</t>
  </si>
  <si>
    <t>0.2676426163029616</t>
  </si>
  <si>
    <t>0.6711524386300624</t>
  </si>
  <si>
    <t>0.8174157133557258</t>
  </si>
  <si>
    <t>0.7288748818445399</t>
  </si>
  <si>
    <t>-2.3430861538144767</t>
  </si>
  <si>
    <t>-0.738029676140295</t>
  </si>
  <si>
    <t>-1.0486835679263766</t>
  </si>
  <si>
    <t>-0.6198209837355345</t>
  </si>
  <si>
    <t>-0.6254612539853871</t>
  </si>
  <si>
    <t>-1.0834207756839782</t>
  </si>
  <si>
    <t>-0.5262814321292785</t>
  </si>
  <si>
    <t>0.38815472472427454</t>
  </si>
  <si>
    <t>2.288491165320348</t>
  </si>
  <si>
    <t>-1.0220886068180093</t>
  </si>
  <si>
    <t>-0.842911719486835</t>
  </si>
  <si>
    <t>1.0198652654098124</t>
  </si>
  <si>
    <t>0.33274866386117985</t>
  </si>
  <si>
    <t>-0.4772363616433449</t>
  </si>
  <si>
    <t>-0.24835934181500405</t>
  </si>
  <si>
    <t>0.7598151687419252</t>
  </si>
  <si>
    <t>0.13073917688758271</t>
  </si>
  <si>
    <t>1.010641539858248</t>
  </si>
  <si>
    <t>-2.2419585249038825</t>
  </si>
  <si>
    <t>-0.6212464659542095</t>
  </si>
  <si>
    <t>0.25066500478821113</t>
  </si>
  <si>
    <t>-0.37369290353354395</t>
  </si>
  <si>
    <t>-0.48051624603454635</t>
  </si>
  <si>
    <t>0.3232759950361337</t>
  </si>
  <si>
    <t>-0.11151218097311096</t>
  </si>
  <si>
    <t>-0.05128010564527363</t>
  </si>
  <si>
    <t>-0.890940096504461</t>
  </si>
  <si>
    <t>0.8752789741262841</t>
  </si>
  <si>
    <t>-1.6680294197310719</t>
  </si>
  <si>
    <t>0.03385936642906572</t>
  </si>
  <si>
    <t>-1.6861966592734774</t>
  </si>
  <si>
    <t>-0.7109989202301953</t>
  </si>
  <si>
    <t>-0.7934477068301015</t>
  </si>
  <si>
    <t>0.26772985167538005</t>
  </si>
  <si>
    <t>0.976609312510926</t>
  </si>
  <si>
    <t>-1.7059460458639255</t>
  </si>
  <si>
    <t>-0.4932869364561925</t>
  </si>
  <si>
    <t>-2.0782543167094922</t>
  </si>
  <si>
    <t>-1.2358953066307494</t>
  </si>
  <si>
    <t>2.104027940806749</t>
  </si>
  <si>
    <t>-1.0438239409906893</t>
  </si>
  <si>
    <t>-0.16265315745960696</t>
  </si>
  <si>
    <t>2.7775804173892813</t>
  </si>
  <si>
    <t>-3.784846719616728</t>
  </si>
  <si>
    <t>4.902294454350964</t>
  </si>
  <si>
    <t>-0.6970814858706048</t>
  </si>
  <si>
    <t>-0.9387934917563842</t>
  </si>
  <si>
    <t>-0.6235882859821028</t>
  </si>
  <si>
    <t>0.39825206857728485</t>
  </si>
  <si>
    <t>1.1147480998156196</t>
  </si>
  <si>
    <t>-1.368379830766357</t>
  </si>
  <si>
    <t>-1.584579260770244</t>
  </si>
  <si>
    <t>2.46436975258664</t>
  </si>
  <si>
    <t>3.908073488081978</t>
  </si>
  <si>
    <t>0.5050162887244821</t>
  </si>
  <si>
    <t>0.19969287909120276</t>
  </si>
  <si>
    <t>-1.7588042434997984</t>
  </si>
  <si>
    <t>-0.0532449436936893</t>
  </si>
  <si>
    <t>-1.5237043093214035</t>
  </si>
  <si>
    <t>1.4574962288506073</t>
  </si>
  <si>
    <t>-0.28311951379551387</t>
  </si>
  <si>
    <t>-1.1429729720988275</t>
  </si>
  <si>
    <t>0.6628514739204945</t>
  </si>
  <si>
    <t>0.18869146720204116</t>
  </si>
  <si>
    <t>-0.24278961294251952</t>
  </si>
  <si>
    <t>-0.21188418552192378</t>
  </si>
  <si>
    <t>1.3286980344168968</t>
  </si>
  <si>
    <t>-0.8191172292958205</t>
  </si>
  <si>
    <t>0.43506342730873054</t>
  </si>
  <si>
    <t>0.292898226188948</t>
  </si>
  <si>
    <t>1.9376719745375819</t>
  </si>
  <si>
    <t>0.7056668364168719</t>
  </si>
  <si>
    <t>-0.07155209345540575</t>
  </si>
  <si>
    <t>0.7827768378089811</t>
  </si>
  <si>
    <t>0.46165592449079407</t>
  </si>
  <si>
    <t>-0.027668525698237655</t>
  </si>
  <si>
    <t>-0.9765148706547443</t>
  </si>
  <si>
    <t>0.5041615746616626</t>
  </si>
  <si>
    <t>0.3147543974403751</t>
  </si>
  <si>
    <t>0.1934223354751736</t>
  </si>
  <si>
    <t>0.10142361592588266</t>
  </si>
  <si>
    <t>-0.14944362920647825</t>
  </si>
  <si>
    <t>0.0854198663612971</t>
  </si>
  <si>
    <t>-0.11844749826296067</t>
  </si>
  <si>
    <t>-0.1071605971690527</t>
  </si>
  <si>
    <t>1.1976367661979461</t>
  </si>
  <si>
    <t>0.7435349448629791</t>
  </si>
  <si>
    <t>0.39065439709413696</t>
  </si>
  <si>
    <t>0.6571295090571624</t>
  </si>
  <si>
    <t>-0.14667251990157487</t>
  </si>
  <si>
    <t>-0.018231302166881132</t>
  </si>
  <si>
    <t>-0.8632537735930058</t>
  </si>
  <si>
    <t>0.05681523083573715</t>
  </si>
  <si>
    <t>-0.38312131998106863</t>
  </si>
  <si>
    <t>0.44654491250322065</t>
  </si>
  <si>
    <t>-1.1922240960718424</t>
  </si>
  <si>
    <t>1.4673711048066265</t>
  </si>
  <si>
    <t>2.3459921599795126</t>
  </si>
  <si>
    <t>-0.04494257666042044</t>
  </si>
  <si>
    <t>-0.2562580557420801</t>
  </si>
  <si>
    <t>-0.32452326866257425</t>
  </si>
  <si>
    <t>-1.316089749548834</t>
  </si>
  <si>
    <t>0.07726525837769545</t>
  </si>
  <si>
    <t>0.7490283903550045</t>
  </si>
  <si>
    <t>0.977735763383351</t>
  </si>
  <si>
    <t>-2.4057404998491947</t>
  </si>
  <si>
    <t>0.7264517209953509</t>
  </si>
  <si>
    <t>0.3271202136267664</t>
  </si>
  <si>
    <t>0.9430948175289336</t>
  </si>
  <si>
    <t>-0.3291471473114697</t>
  </si>
  <si>
    <t>0.20324221993047942</t>
  </si>
  <si>
    <t>-0.8147003785759902</t>
  </si>
  <si>
    <t>0.122239875090989</t>
  </si>
  <si>
    <t>-0.08702185268979322</t>
  </si>
  <si>
    <t>-0.466107338509616</t>
  </si>
  <si>
    <t>-0.03461056692797353</t>
  </si>
  <si>
    <t>-0.07942068548193315</t>
  </si>
  <si>
    <t>-0.9012650847654812</t>
  </si>
  <si>
    <t>0.7692560161763067</t>
  </si>
  <si>
    <t>1.4393569629523821</t>
  </si>
  <si>
    <t>0.2713968780116674</t>
  </si>
  <si>
    <t>0.29986950941014057</t>
  </si>
  <si>
    <t>0.40183834704559873</t>
  </si>
  <si>
    <t>-0.7414409071193452</t>
  </si>
  <si>
    <t>-0.3985173903125626</t>
  </si>
  <si>
    <t>-1.4597558415393859</t>
  </si>
  <si>
    <t>1.0169081189388334</t>
  </si>
  <si>
    <t>-0.7406633145908366</t>
  </si>
  <si>
    <t>-0.08370836981626922</t>
  </si>
  <si>
    <t>-0.7036313647220674</t>
  </si>
  <si>
    <t>-0.447733583231125</t>
  </si>
  <si>
    <t>-1.0449278096300136</t>
  </si>
  <si>
    <t>2.078503702504624</t>
  </si>
  <si>
    <t>0.5200567126847441</t>
  </si>
  <si>
    <t>-0.2858595449717386</t>
  </si>
  <si>
    <t>1.1826145916786535</t>
  </si>
  <si>
    <t>0.21622649351166415</t>
  </si>
  <si>
    <t>-0.35228443367848766</t>
  </si>
  <si>
    <t>1.5955708557171113</t>
  </si>
  <si>
    <t>-0.042354415408134574</t>
  </si>
  <si>
    <t>-0.05094530848514519</t>
  </si>
  <si>
    <t>-1.1322036722896034</t>
  </si>
  <si>
    <t>0.855330752868232</t>
  </si>
  <si>
    <t>-0.2160301696145129</t>
  </si>
  <si>
    <t>-1.449177841307278</t>
  </si>
  <si>
    <t>0.07385046664881333</t>
  </si>
  <si>
    <t>-0.774493191805325</t>
  </si>
  <si>
    <t>0.12165510129445402</t>
  </si>
  <si>
    <t>-0.15466117556862055</t>
  </si>
  <si>
    <t>-1.6772601670417466</t>
  </si>
  <si>
    <t>2.938546708887968</t>
  </si>
  <si>
    <t>-0.32006132694763123</t>
  </si>
  <si>
    <t>-1.0527058829970972</t>
  </si>
  <si>
    <t>-0.6949014810134791</t>
  </si>
  <si>
    <t>1.4858891568976909</t>
  </si>
  <si>
    <t>-0.005643583388466223</t>
  </si>
  <si>
    <t>-1.7823988746874901</t>
  </si>
  <si>
    <t>-1.519054942360315</t>
  </si>
  <si>
    <t>1.1574337950177491</t>
  </si>
  <si>
    <t>-0.947460268911257</t>
  </si>
  <si>
    <t>-0.045893292557791815</t>
  </si>
  <si>
    <t>0.07411042728578238</t>
  </si>
  <si>
    <t>0.43572916444974985</t>
  </si>
  <si>
    <t>-0.9878277748312035</t>
  </si>
  <si>
    <t>-0.7036203747203936</t>
  </si>
  <si>
    <t>0.0841718799294554</t>
  </si>
  <si>
    <t>0.9410225830842246</t>
  </si>
  <si>
    <t>0.6402930936885284</t>
  </si>
  <si>
    <t>-0.12295653931524098</t>
  </si>
  <si>
    <t>-0.26628498407583673</t>
  </si>
  <si>
    <t>-1.0408558314555276</t>
  </si>
  <si>
    <t>0.31554580590593995</t>
  </si>
  <si>
    <t>0.9211198640391137</t>
  </si>
  <si>
    <t>2.1593842979492974</t>
  </si>
  <si>
    <t>-0.09890807090755176</t>
  </si>
  <si>
    <t>-0.908291509277543</t>
  </si>
  <si>
    <t>-0.82457846317821</t>
  </si>
  <si>
    <t>-0.42589362868944697</t>
  </si>
  <si>
    <t>-0.8728141087233205</t>
  </si>
  <si>
    <t>-0.9438713005316742</t>
  </si>
  <si>
    <t>-0.11635688923914425</t>
  </si>
  <si>
    <t>1.1270061535296951</t>
  </si>
  <si>
    <t>0.7179941501340706</t>
  </si>
  <si>
    <t>0.5101907400990102</t>
  </si>
  <si>
    <t>0.1510720772290599</t>
  </si>
  <si>
    <t>-1.9270729321837439</t>
  </si>
  <si>
    <t>-1.225391783372322</t>
  </si>
  <si>
    <t>1.0762691371126527</t>
  </si>
  <si>
    <t>1.0368465556705544</t>
  </si>
  <si>
    <t>-0.7233671090689583</t>
  </si>
  <si>
    <t>-0.6703010975033721</t>
  </si>
  <si>
    <t>0.06214867069874152</t>
  </si>
  <si>
    <t>1.5261402951295777</t>
  </si>
  <si>
    <t>-1.3171552532898898</t>
  </si>
  <si>
    <t>1.5905452003173979</t>
  </si>
  <si>
    <t>1.6252141895155363</t>
  </si>
  <si>
    <t>-1.407164912231461</t>
  </si>
  <si>
    <t>-0.7115082029135795</t>
  </si>
  <si>
    <t>0.12950962833554422</t>
  </si>
  <si>
    <t>0.8418647632589653</t>
  </si>
  <si>
    <t>-0.11293910766040896</t>
  </si>
  <si>
    <t>-0.23478046166432706</t>
  </si>
  <si>
    <t>0.1461381348341922</t>
  </si>
  <si>
    <t>-0.8380090711656789</t>
  </si>
  <si>
    <t>-1.5317594884833963</t>
  </si>
  <si>
    <t>0.26411703466691655</t>
  </si>
  <si>
    <t>-0.13196094774927752</t>
  </si>
  <si>
    <t>-0.036861259446755335</t>
  </si>
  <si>
    <t>-2.303729993657818</t>
  </si>
  <si>
    <t>0.24695294841059723</t>
  </si>
  <si>
    <t>-0.5265402680171998</t>
  </si>
  <si>
    <t>-1.4065416727684967</t>
  </si>
  <si>
    <t>1.9949418435614827</t>
  </si>
  <si>
    <t>1.427212538566501</t>
  </si>
  <si>
    <t>-0.15727977602785528</t>
  </si>
  <si>
    <t>2.5218648309496565</t>
  </si>
  <si>
    <t>1.8263346112572336</t>
  </si>
  <si>
    <t>0.9528179949385707</t>
  </si>
  <si>
    <t>1.0519523757794693</t>
  </si>
  <si>
    <t>0.43772207721117345</t>
  </si>
  <si>
    <t>0.7756521748604741</t>
  </si>
  <si>
    <t>-0.6361858511291756</t>
  </si>
  <si>
    <t>0.1705234655983493</t>
  </si>
  <si>
    <t>0.5549989247475648</t>
  </si>
  <si>
    <t>1.5114253928445738</t>
  </si>
  <si>
    <t>0.28700330701723126</t>
  </si>
  <si>
    <t>-0.3013771881340159</t>
  </si>
  <si>
    <t>-0.3648691711677124</t>
  </si>
  <si>
    <t>1.5770809773169925</t>
  </si>
  <si>
    <t>-0.22531317224161004</t>
  </si>
  <si>
    <t>-1.4458408162649952</t>
  </si>
  <si>
    <t>1.8236138907828083</t>
  </si>
  <si>
    <t>-1.0888086601921898</t>
  </si>
  <si>
    <t>-0.7700924192558071</t>
  </si>
  <si>
    <t>-0.8697817898600941</t>
  </si>
  <si>
    <t>0.44386787630852836</t>
  </si>
  <si>
    <t>-0.7005561509328909</t>
  </si>
  <si>
    <t>0.936482197455488</t>
  </si>
  <si>
    <t>-0.7244103154251467</t>
  </si>
  <si>
    <t>-0.5279520523711945</t>
  </si>
  <si>
    <t>-0.6769305717284276</t>
  </si>
  <si>
    <t>0.8833222660266884</t>
  </si>
  <si>
    <t>-1.1554789759027388</t>
  </si>
  <si>
    <t>-1.2546830094672206</t>
  </si>
  <si>
    <t>3.314573006130478</t>
  </si>
  <si>
    <t>0.41177280746162315</t>
  </si>
  <si>
    <t>-0.534395128140569</t>
  </si>
  <si>
    <t>0.347451561524469</t>
  </si>
  <si>
    <t>0.052743107637751536</t>
  </si>
  <si>
    <t>-0.1475816130593413</t>
  </si>
  <si>
    <t>0.47256131400923573</t>
  </si>
  <si>
    <t>1.2249282213243018</t>
  </si>
  <si>
    <t>0.4169769507612485</t>
  </si>
  <si>
    <t>-0.4758223649939695</t>
  </si>
  <si>
    <t>-1.5924661823866693</t>
  </si>
  <si>
    <t>0.5681556422107171</t>
  </si>
  <si>
    <t>0.8936353702163563</t>
  </si>
  <si>
    <t>-1.1693410488851346</t>
  </si>
  <si>
    <t>-0.23550842043912712</t>
  </si>
  <si>
    <t>3.6944659204746237</t>
  </si>
  <si>
    <t>-0.4773862266666848</t>
  </si>
  <si>
    <t>0.8390454993195748</t>
  </si>
  <si>
    <t>-0.11790516501629818</t>
  </si>
  <si>
    <t>-1.0483186948082077</t>
  </si>
  <si>
    <t>-0.1258146157454598</t>
  </si>
  <si>
    <t>1.0071165516614853</t>
  </si>
  <si>
    <t>-1.168151772257598</t>
  </si>
  <si>
    <t>-1.2636284115072467</t>
  </si>
  <si>
    <t>0.7206716393099583</t>
  </si>
  <si>
    <t>0.09272678559534175</t>
  </si>
  <si>
    <t>2.4646952580065946</t>
  </si>
  <si>
    <t>-0.45088586214179766</t>
  </si>
  <si>
    <t>-0.12910906572675282</t>
  </si>
  <si>
    <t>-0.3355309570727465</t>
  </si>
  <si>
    <t>-1.3348991294792831</t>
  </si>
  <si>
    <t>-0.3558105536292519</t>
  </si>
  <si>
    <t>-0.6014829304939112</t>
  </si>
  <si>
    <t>0.6296809545413324</t>
  </si>
  <si>
    <t>0.5845609936993521</t>
  </si>
  <si>
    <t>-1.0330345281283344</t>
  </si>
  <si>
    <t>-1.1767872755280382</t>
  </si>
  <si>
    <t>-0.15342367229740914</t>
  </si>
  <si>
    <t>0.31719017250875947</t>
  </si>
  <si>
    <t>0.21747246195381664</t>
  </si>
  <si>
    <t>0.9603959445206035</t>
  </si>
  <si>
    <t>-0.39529255182957007</t>
  </si>
  <si>
    <t>-0.9472741392945151</t>
  </si>
  <si>
    <t>-0.1527173851265347</t>
  </si>
  <si>
    <t>1.1041770686324623</t>
  </si>
  <si>
    <t>1.7320491261933129</t>
  </si>
  <si>
    <t>-0.6269372623301538</t>
  </si>
  <si>
    <t>0.004232121777366386</t>
  </si>
  <si>
    <t>-0.733080120011074</t>
  </si>
  <si>
    <t>0.8741946406072267</t>
  </si>
  <si>
    <t>1.1287083665621866</t>
  </si>
  <si>
    <t>0.12128886435650649</t>
  </si>
  <si>
    <t>-0.25013108034342824</t>
  </si>
  <si>
    <t>2.38215841665549</t>
  </si>
  <si>
    <t>0.6948752398645586</t>
  </si>
  <si>
    <t>0.4480597549884991</t>
  </si>
  <si>
    <t>-1.1417048214748566</t>
  </si>
  <si>
    <t>-0.5772101225040085</t>
  </si>
  <si>
    <t>-1.3118907151189523</t>
  </si>
  <si>
    <t>-0.6143652986095736</t>
  </si>
  <si>
    <t>0.33877610110498424</t>
  </si>
  <si>
    <t>1.1751258462639993</t>
  </si>
  <si>
    <t>0.6293345943779678</t>
  </si>
  <si>
    <t>0.7335221935972079</t>
  </si>
  <si>
    <t>-0.3472089464973395</t>
  </si>
  <si>
    <t>1.3003664159753026</t>
  </si>
  <si>
    <t>-0.9714396580401332</t>
  </si>
  <si>
    <t>1.0859151696402674</t>
  </si>
  <si>
    <t>0.3291843400630715</t>
  </si>
  <si>
    <t>-0.9861281701612676</t>
  </si>
  <si>
    <t>-0.8472402210863362</t>
  </si>
  <si>
    <t>-0.5405709761101049</t>
  </si>
  <si>
    <t>0.7249052175435026</t>
  </si>
  <si>
    <t>-0.32478727011524294</t>
  </si>
  <si>
    <t>0.8806750801692467</t>
  </si>
  <si>
    <t>-0.08580492469085955</t>
  </si>
  <si>
    <t>0.46288398314417223</t>
  </si>
  <si>
    <t>0.060863136449895765</t>
  </si>
  <si>
    <t>-0.756876308525294</t>
  </si>
  <si>
    <t>-0.26758717790144143</t>
  </si>
  <si>
    <t>0.024396026944044788</t>
  </si>
  <si>
    <t>1.9166855611011357</t>
  </si>
  <si>
    <t>-0.25952510778424404</t>
  </si>
  <si>
    <t>-1.2236466111347817</t>
  </si>
  <si>
    <t>-0.016422004998543325</t>
  </si>
  <si>
    <t>0.7567004720523152</t>
  </si>
  <si>
    <t>-1.1142575991220582</t>
  </si>
  <si>
    <t>-0.4340854859750744</t>
  </si>
  <si>
    <t>-1.1351136540379891</t>
  </si>
  <si>
    <t>-0.5456382884749105</t>
  </si>
  <si>
    <t>0.66078319439466</t>
  </si>
  <si>
    <t>1.2393871319933378</t>
  </si>
  <si>
    <t>1.21784599797953</t>
  </si>
  <si>
    <t>-0.7114684402964775</t>
  </si>
  <si>
    <t>0.1965073309182174</t>
  </si>
  <si>
    <t>0.5716454104487428</t>
  </si>
  <si>
    <t>0.2882233689513676</t>
  </si>
  <si>
    <t>-0.1925980508732504</t>
  </si>
  <si>
    <t>-0.4410154924761328</t>
  </si>
  <si>
    <t>0.5533091773838327</t>
  </si>
  <si>
    <t>-0.5284976436880087</t>
  </si>
  <si>
    <t>1.0641189095816517</t>
  </si>
  <si>
    <t>0.020908070539102236</t>
  </si>
  <si>
    <t>-0.8995380191444091</t>
  </si>
  <si>
    <t>-0.13759121362723234</t>
  </si>
  <si>
    <t>-0.1571137416885896</t>
  </si>
  <si>
    <t>-0.638872637385073</t>
  </si>
  <si>
    <t>-1.261010323530273</t>
  </si>
  <si>
    <t>-0.5739164063192005</t>
  </si>
  <si>
    <t>0.22021820835405143</t>
  </si>
  <si>
    <t>-0.33454342508397206</t>
  </si>
  <si>
    <t>1.79054423051002</t>
  </si>
  <si>
    <t>0.6373660631439333</t>
  </si>
  <si>
    <t>-1.4611059039809062</t>
  </si>
  <si>
    <t>-0.3083851369611753</t>
  </si>
  <si>
    <t>0.7726363233439012</t>
  </si>
  <si>
    <t>0.5186505987011862</t>
  </si>
  <si>
    <t>-0.5482288030770088</t>
  </si>
  <si>
    <t>-0.518711447494479</t>
  </si>
  <si>
    <t>-0.1393008429799561</t>
  </si>
  <si>
    <t>-1.3496575502963002</t>
  </si>
  <si>
    <t>0.6692934306353955</t>
  </si>
  <si>
    <t>0.41268278428363603</t>
  </si>
  <si>
    <t>-0.8747864829643378</t>
  </si>
  <si>
    <t>-0.16444755033418176</t>
  </si>
  <si>
    <t>0.43849529343229593</t>
  </si>
  <si>
    <t>-0.8123242799990315</t>
  </si>
  <si>
    <t>-0.2399085308203756</t>
  </si>
  <si>
    <t>-0.08618260340570041</t>
  </si>
  <si>
    <t>1.045820127444166</t>
  </si>
  <si>
    <t>-1.1343701702684703</t>
  </si>
  <si>
    <t>-0.2345054500552157</t>
  </si>
  <si>
    <t>0.571811819095334</t>
  </si>
  <si>
    <t>-0.8250649529011794</t>
  </si>
  <si>
    <t>0.5433071434678138</t>
  </si>
  <si>
    <t>0.04408689724204193</t>
  </si>
  <si>
    <t>1.4450133225106183</t>
  </si>
  <si>
    <t>1.238817107874233</t>
  </si>
  <si>
    <t>-0.741288872751426</t>
  </si>
  <si>
    <t>0.3883330791394152</t>
  </si>
  <si>
    <t>-0.44858709246483647</t>
  </si>
  <si>
    <t>2.6708696095569</t>
  </si>
  <si>
    <t>-0.042008850389881565</t>
  </si>
  <si>
    <t>0.47592868243659797</t>
  </si>
  <si>
    <t>0.5284926517101664</t>
  </si>
  <si>
    <t>1.271928658313917</t>
  </si>
  <si>
    <t>4.047933930204165</t>
  </si>
  <si>
    <t>-0.020827356754246948</t>
  </si>
  <si>
    <t>-0.7251916513797394</t>
  </si>
  <si>
    <t>-0.04611267502294103</t>
  </si>
  <si>
    <t>0.5660249235912743</t>
  </si>
  <si>
    <t>-0.15041554682966274</t>
  </si>
  <si>
    <t>-0.34654763841459957</t>
  </si>
  <si>
    <t>0.6951700876816921</t>
  </si>
  <si>
    <t>-0.32117274308306293</t>
  </si>
  <si>
    <t>0.1581359006937695</t>
  </si>
  <si>
    <t>-0.4418768166103427</t>
  </si>
  <si>
    <t>1.0670589533040178</t>
  </si>
  <si>
    <t>1.872324050232451</t>
  </si>
  <si>
    <t>1.4128439934534862</t>
  </si>
  <si>
    <t>-0.5663411352346501</t>
  </si>
  <si>
    <t>-0.3109680547521162</t>
  </si>
  <si>
    <t>-0.2297030836779186</t>
  </si>
  <si>
    <t>1.0063539620072135</t>
  </si>
  <si>
    <t>0.46300569637211225</t>
  </si>
  <si>
    <t>0.6475086128895075</t>
  </si>
  <si>
    <t>-0.4080058198476931</t>
  </si>
  <si>
    <t>-0.13216796611204212</t>
  </si>
  <si>
    <t>0.36520671071558825</t>
  </si>
  <si>
    <t>0.5917585830208266</t>
  </si>
  <si>
    <t>-0.11488769199148</t>
  </si>
  <si>
    <t>0.16353349282878415</t>
  </si>
  <si>
    <t>-1.091821103600963</t>
  </si>
  <si>
    <t>0.09100560812909814</t>
  </si>
  <si>
    <t>0.7641795368865851</t>
  </si>
  <si>
    <t>-0.07451514538504048</t>
  </si>
  <si>
    <t>-0.5132570949804962</t>
  </si>
  <si>
    <t>0.7129730873936998</t>
  </si>
  <si>
    <t>0.4274235035099682</t>
  </si>
  <si>
    <t>-0.7243332505874335</t>
  </si>
  <si>
    <t>-0.3281060014249095</t>
  </si>
  <si>
    <t>0.11336160066896787</t>
  </si>
  <si>
    <t>-0.078122150701666</t>
  </si>
  <si>
    <t>-0.3844191932426576</t>
  </si>
  <si>
    <t>0.1704419927108906</t>
  </si>
  <si>
    <t>0.8934538576776757</t>
  </si>
  <si>
    <t>-1.2911536091918363</t>
  </si>
  <si>
    <t>-0.5847835648852686</t>
  </si>
  <si>
    <t>-0.3563202877146213</t>
  </si>
  <si>
    <t>-0.08673353821963238</t>
  </si>
  <si>
    <t>-0.2381236422973472</t>
  </si>
  <si>
    <t>0.6028393393284971</t>
  </si>
  <si>
    <t>-0.04560154342081078</t>
  </si>
  <si>
    <t>0.11976842162866445</t>
  </si>
  <si>
    <t>-0.8279544596035092</t>
  </si>
  <si>
    <t>-0.5923449659304532</t>
  </si>
  <si>
    <t>0.7607610541267027</t>
  </si>
  <si>
    <t>0.11066625943816186</t>
  </si>
  <si>
    <t>-0.2619336245717246</t>
  </si>
  <si>
    <t>-0.18324693183179872</t>
  </si>
  <si>
    <t>0.5106187423488644</t>
  </si>
  <si>
    <t>-0.1659195495893841</t>
  </si>
  <si>
    <t>-1.1210135916148132</t>
  </si>
  <si>
    <t>-0.017011844345146413</t>
  </si>
  <si>
    <t>-0.7677148408681559</t>
  </si>
  <si>
    <t>-0.6409420420750678</t>
  </si>
  <si>
    <t>0.02076251440895523</t>
  </si>
  <si>
    <t>-0.2527860430180444</t>
  </si>
  <si>
    <t>0.17080722843184798</t>
  </si>
  <si>
    <t>0.44769651813876865</t>
  </si>
  <si>
    <t>1.4108729445283683</t>
  </si>
  <si>
    <t>-0.02553637983956939</t>
  </si>
  <si>
    <t>0.0727756216940169</t>
  </si>
  <si>
    <t>0.11685274116003146</t>
  </si>
  <si>
    <t>0.9386554841738802</t>
  </si>
  <si>
    <t>-1.3259293945580581</t>
  </si>
  <si>
    <t>0.2640679946069748</t>
  </si>
  <si>
    <t>0.0721069984678773</t>
  </si>
  <si>
    <t>0.11131085470576249</t>
  </si>
  <si>
    <t>-0.2526959551467485</t>
  </si>
  <si>
    <t>-0.18701685456056316</t>
  </si>
  <si>
    <t>-0.4862989741869718</t>
  </si>
  <si>
    <t>-0.31875385067474177</t>
  </si>
  <si>
    <t>0.058315023518408476</t>
  </si>
  <si>
    <t>-0.2163112330835343</t>
  </si>
  <si>
    <t>1.129264760511856</t>
  </si>
  <si>
    <t>0.4727698347689152</t>
  </si>
  <si>
    <t>-0.569994261072927</t>
  </si>
  <si>
    <t>-0.3618569743368844</t>
  </si>
  <si>
    <t>1.064124172119065</t>
  </si>
  <si>
    <t>-0.144491139954314</t>
  </si>
  <si>
    <t>1.3258884703227518</t>
  </si>
  <si>
    <t>-0.08742290051539052</t>
  </si>
  <si>
    <t>-0.2775005061122135</t>
  </si>
  <si>
    <t>-0.5164167115209276</t>
  </si>
  <si>
    <t>-0.382986068462895</t>
  </si>
  <si>
    <t>0.8287795512133003</t>
  </si>
  <si>
    <t>0.34888107109393557</t>
  </si>
  <si>
    <t>0.7268670356754156</t>
  </si>
  <si>
    <t>-0.24866556138146484</t>
  </si>
  <si>
    <t>0.33256548653388107</t>
  </si>
  <si>
    <t>-0.14330539415609275</t>
  </si>
  <si>
    <t>0.15720914553230023</t>
  </si>
  <si>
    <t>-0.7920453030792035</t>
  </si>
  <si>
    <t>1.2730700538421942</t>
  </si>
  <si>
    <t>0.4665453229435985</t>
  </si>
  <si>
    <t>-0.8557574941172098</t>
  </si>
  <si>
    <t>0.23013532116229396</t>
  </si>
  <si>
    <t>0.29014454000609496</t>
  </si>
  <si>
    <t>0.16232388805771794</t>
  </si>
  <si>
    <t>-0.0225306942889118</t>
  </si>
  <si>
    <t>0.5794889343077005</t>
  </si>
  <si>
    <t>0.48918398288366405</t>
  </si>
  <si>
    <t>0.19724036637784398</t>
  </si>
  <si>
    <t>0.9017086510299508</t>
  </si>
  <si>
    <t>-0.0794090583680073</t>
  </si>
  <si>
    <t>0.7193505699845458</t>
  </si>
  <si>
    <t>0.07720413081866126</t>
  </si>
  <si>
    <t>-0.02347541973603094</t>
  </si>
  <si>
    <t>-0.5084571810602057</t>
  </si>
  <si>
    <t>-0.02136655148158923</t>
  </si>
  <si>
    <t>-0.03622917227868888</t>
  </si>
  <si>
    <t>-0.026502051029813616</t>
  </si>
  <si>
    <t>-0.9136956835391863</t>
  </si>
  <si>
    <t>0.17038893840862343</t>
  </si>
  <si>
    <t>-0.2889059572291733</t>
  </si>
  <si>
    <t>-0.3257075122144661</t>
  </si>
  <si>
    <t>1.2219366583206492</t>
  </si>
  <si>
    <t>0.21345395637082165</t>
  </si>
  <si>
    <t>0.7551150243741608</t>
  </si>
  <si>
    <t>0.423939664471171</t>
  </si>
  <si>
    <t>-0.3658477256484123</t>
  </si>
  <si>
    <t>0.05593497495372153</t>
  </si>
  <si>
    <t>0.9291043215839376</t>
  </si>
  <si>
    <t>-0.32772654537087526</t>
  </si>
  <si>
    <t>0.4535481149777568</t>
  </si>
  <si>
    <t>0.6373261522140116</t>
  </si>
  <si>
    <t>0.04731448768729772</t>
  </si>
  <si>
    <t>-1.250373168381496</t>
  </si>
  <si>
    <t>-0.44589453940980833</t>
  </si>
  <si>
    <t>-0.41091513401541313</t>
  </si>
  <si>
    <t>1.0057509178083923</t>
  </si>
  <si>
    <t>0.026493602829151322</t>
  </si>
  <si>
    <t>-0.8063961982461365</t>
  </si>
  <si>
    <t>-0.41245789971364116</t>
  </si>
  <si>
    <t>-0.23453714302090192</t>
  </si>
  <si>
    <t>0.30503672481903216</t>
  </si>
  <si>
    <t>-0.6450250859094626</t>
  </si>
  <si>
    <t>1.03074013265441</t>
  </si>
  <si>
    <t>-0.5341880183130508</t>
  </si>
  <si>
    <t>-1.0462654450361268</t>
  </si>
  <si>
    <t>0.5727383602373394</t>
  </si>
  <si>
    <t>0.5602208364075506</t>
  </si>
  <si>
    <t>0.2627974047947844</t>
  </si>
  <si>
    <t>1.3490503593786793</t>
  </si>
  <si>
    <t>-1.2011403133362601</t>
  </si>
  <si>
    <t>-0.034419853861503834</t>
  </si>
  <si>
    <t>1.3035930066239292</t>
  </si>
  <si>
    <t>0.6378490790192267</t>
  </si>
  <si>
    <t>-0.5345947529053862</t>
  </si>
  <si>
    <t>-1.3722183249684086</t>
  </si>
  <si>
    <t>1.898280408399689</t>
  </si>
  <si>
    <t>2.0171055818217667</t>
  </si>
  <si>
    <t>4.045333830716003</t>
  </si>
  <si>
    <t>-1.202418762618489</t>
  </si>
  <si>
    <t>0.4261005869623438</t>
  </si>
  <si>
    <t>1.2962764759896297</t>
  </si>
  <si>
    <t>-0.5156476626611665</t>
  </si>
  <si>
    <t>-0.6219889436569102</t>
  </si>
  <si>
    <t>1.2735712887979085</t>
  </si>
  <si>
    <t>0.5811462451462694</t>
  </si>
  <si>
    <t>-0.33538320444041264</t>
  </si>
  <si>
    <t>1.3787890593714165</t>
  </si>
  <si>
    <t>-0.5697027335661905</t>
  </si>
  <si>
    <t>-0.0032738582064872827</t>
  </si>
  <si>
    <t>-1.4551384343090874</t>
  </si>
  <si>
    <t>0.10510636405229802</t>
  </si>
  <si>
    <t>0.5864258819381756</t>
  </si>
  <si>
    <t>0.22756089110045388</t>
  </si>
  <si>
    <t>0.13358973715004915</t>
  </si>
  <si>
    <t>0.887021177818268</t>
  </si>
  <si>
    <t>-0.29251456799492126</t>
  </si>
  <si>
    <t>0.6536696727721217</t>
  </si>
  <si>
    <t>0.5489142559603778</t>
  </si>
  <si>
    <t>0.2122414974168883</t>
  </si>
  <si>
    <t>0.32808407086827746</t>
  </si>
  <si>
    <t>1.697055436156099</t>
  </si>
  <si>
    <t>-0.40157200383533453</t>
  </si>
  <si>
    <t>0.8711858377758918</t>
  </si>
  <si>
    <t>-3.5759946290581524</t>
  </si>
  <si>
    <t>-0.2610033722218118</t>
  </si>
  <si>
    <t>-0.3081306242624018</t>
  </si>
  <si>
    <t>-0.14413055095661545</t>
  </si>
  <si>
    <t>-2.1341554066915256</t>
  </si>
  <si>
    <t>-0.6641633496372732</t>
  </si>
  <si>
    <t>-0.3793490492463626</t>
  </si>
  <si>
    <t>0.011603792676880805</t>
  </si>
  <si>
    <t>0.8755892060893622</t>
  </si>
  <si>
    <t>0.6172999828383577</t>
  </si>
  <si>
    <t>-1.2484084265896682</t>
  </si>
  <si>
    <t>0.14219924345384058</t>
  </si>
  <si>
    <t>0.5019291680512775</t>
  </si>
  <si>
    <t>-0.14625464843851338</t>
  </si>
  <si>
    <t>-0.1876507015082267</t>
  </si>
  <si>
    <t>-0.265853178394386</t>
  </si>
  <si>
    <t>0.07269605021442928</t>
  </si>
  <si>
    <t>1.0302374862508312</t>
  </si>
  <si>
    <t>-0.05369758417511729</t>
  </si>
  <si>
    <t>-0.27347370987750197</t>
  </si>
  <si>
    <t>-0.9533496954107155</t>
  </si>
  <si>
    <t>0.20670460206644029</t>
  </si>
  <si>
    <t>-0.8941427112192272</t>
  </si>
  <si>
    <t>-0.8719705299506129</t>
  </si>
  <si>
    <t>0.7434521391736796</t>
  </si>
  <si>
    <t>-0.3798600560566805</t>
  </si>
  <si>
    <t>0.5847672323571301</t>
  </si>
  <si>
    <t>-0.7624402277973057</t>
  </si>
  <si>
    <t>0.030656041717382027</t>
  </si>
  <si>
    <t>0.1861706589750593</t>
  </si>
  <si>
    <t>0.5607702497367437</t>
  </si>
  <si>
    <t>1.6757308624263025</t>
  </si>
  <si>
    <t>-0.4610294000280036</t>
  </si>
  <si>
    <t>0.661428712050526</t>
  </si>
  <si>
    <t>0.14520175904335222</t>
  </si>
  <si>
    <t>0.88361373428082</t>
  </si>
  <si>
    <t>0.45854116382945626</t>
  </si>
  <si>
    <t>-1.2795131655031486</t>
  </si>
  <si>
    <t>0.9357723108852384</t>
  </si>
  <si>
    <t>-0.2828068137383546</t>
  </si>
  <si>
    <t>-0.8187130437270266</t>
  </si>
  <si>
    <t>-0.6490866593034843</t>
  </si>
  <si>
    <t>1.004569133415078</t>
  </si>
  <si>
    <t>1.1727285686621507</t>
  </si>
  <si>
    <t>0.20294475122429798</t>
  </si>
  <si>
    <t>-0.4170603614491759</t>
  </si>
  <si>
    <t>0.5602881272961168</t>
  </si>
  <si>
    <t>0.08359236144962802</t>
  </si>
  <si>
    <t>-1.5408353670890276</t>
  </si>
  <si>
    <t>0.8875785193607273</t>
  </si>
  <si>
    <t>0.5516255607151236</t>
  </si>
  <si>
    <t>-0.5092648225888348</t>
  </si>
  <si>
    <t>0.20855940156098182</t>
  </si>
  <si>
    <t>0.9055717749621449</t>
  </si>
  <si>
    <t>0.3059263068148559</t>
  </si>
  <si>
    <t>-0.2596523785325129</t>
  </si>
  <si>
    <t>-0.3621186337489954</t>
  </si>
  <si>
    <t>-0.07085285334619591</t>
  </si>
  <si>
    <t>-0.8807009243140255</t>
  </si>
  <si>
    <t>0.7089642857567128</t>
  </si>
  <si>
    <t>0.18346186939181966</t>
  </si>
  <si>
    <t>0.3436220619413452</t>
  </si>
  <si>
    <t>-0.0069715728476759855</t>
  </si>
  <si>
    <t>0.7409125412972409</t>
  </si>
  <si>
    <t>0.5261705998767751</t>
  </si>
  <si>
    <t>0.6916565305424256</t>
  </si>
  <si>
    <t>-0.11587875736156819</t>
  </si>
  <si>
    <t>-0.4850164809979275</t>
  </si>
  <si>
    <t>0.34677955426875345</t>
  </si>
  <si>
    <t>-0.14883968008272272</t>
  </si>
  <si>
    <t>-0.5375714313443046</t>
  </si>
  <si>
    <t>0.24235461003405434</t>
  </si>
  <si>
    <t>0.9207154204977129</t>
  </si>
  <si>
    <t>-1.3770730312801025</t>
  </si>
  <si>
    <t>-0.2626036880854874</t>
  </si>
  <si>
    <t>0.600145465118943</t>
  </si>
  <si>
    <t>-0.7181013678302204</t>
  </si>
  <si>
    <t>-0.7057031713246237</t>
  </si>
  <si>
    <t>1.0038745806603024</t>
  </si>
  <si>
    <t>1.9666476948136484</t>
  </si>
  <si>
    <t>0.8875732940297228</t>
  </si>
  <si>
    <t>-0.5605033319343221</t>
  </si>
  <si>
    <t>-0.14554745237282848</t>
  </si>
  <si>
    <t>1.635682503428099</t>
  </si>
  <si>
    <t>0.48148288398055294</t>
  </si>
  <si>
    <t>-0.14568156107582395</t>
  </si>
  <si>
    <t>-0.5853500502475788</t>
  </si>
  <si>
    <t>-0.5201828554389956</t>
  </si>
  <si>
    <t>-0.7632024130680217</t>
  </si>
  <si>
    <t>-0.8820365193389996</t>
  </si>
  <si>
    <t>1.4995287532661201</t>
  </si>
  <si>
    <t>-0.6788861610180884</t>
  </si>
  <si>
    <t>0.017948310841612445</t>
  </si>
  <si>
    <t>0.8125756096496916</t>
  </si>
  <si>
    <t>-0.41245047405104507</t>
  </si>
  <si>
    <t>1.3244416077599261</t>
  </si>
  <si>
    <t>1.1094480395036632</t>
  </si>
  <si>
    <t>1.077990217997313</t>
  </si>
  <si>
    <t>0.7483655025987991</t>
  </si>
  <si>
    <t>-0.14004084299078526</t>
  </si>
  <si>
    <t>-0.11084089386235257</t>
  </si>
  <si>
    <t>-0.06049179370951386</t>
  </si>
  <si>
    <t>-0.34996979095201286</t>
  </si>
  <si>
    <t>-0.5101882893591859</t>
  </si>
  <si>
    <t>0.998495960961638</t>
  </si>
  <si>
    <t>-0.3104547340348949</t>
  </si>
  <si>
    <t>0.005169298566473943</t>
  </si>
  <si>
    <t>0.7743566988321442</t>
  </si>
  <si>
    <t>0.050840302903570146</t>
  </si>
  <si>
    <t>0.6325844717022028</t>
  </si>
  <si>
    <t>-0.8999563013099723</t>
  </si>
  <si>
    <t>1.091262142840154</t>
  </si>
  <si>
    <t>0.13951282190838696</t>
  </si>
  <si>
    <t>0.5997781501666667</t>
  </si>
  <si>
    <t>-0.19906519505226591</t>
  </si>
  <si>
    <t>0.026772709881107856</t>
  </si>
  <si>
    <t>1.390832710731131</t>
  </si>
  <si>
    <t>-0.4137391289506731</t>
  </si>
  <si>
    <t>-0.8843091580351531</t>
  </si>
  <si>
    <t>-0.9108594216560623</t>
  </si>
  <si>
    <t>1.264081073586358</t>
  </si>
  <si>
    <t>-0.11349886806197296</t>
  </si>
  <si>
    <t>-0.5372363391387907</t>
  </si>
  <si>
    <t>-0.705778680873541</t>
  </si>
  <si>
    <t>-0.8498337342206829</t>
  </si>
  <si>
    <t>1.0371543857859564</t>
  </si>
  <si>
    <t>0.16185345571593396</t>
  </si>
  <si>
    <t>-0.511537685864383</t>
  </si>
  <si>
    <t>-0.014121848567320787</t>
  </si>
  <si>
    <t>-1.1666067798140332</t>
  </si>
  <si>
    <t>-0.7099692653164343</t>
  </si>
  <si>
    <t>-1.7043039826789868</t>
  </si>
  <si>
    <t>0.4026531750738078</t>
  </si>
  <si>
    <t>0.9330287331487789</t>
  </si>
  <si>
    <t>0.6404722261952424</t>
  </si>
  <si>
    <t>-0.4640749486719812</t>
  </si>
  <si>
    <t>-0.29008479052965647</t>
  </si>
  <si>
    <t>0.7600730306048117</t>
  </si>
  <si>
    <t>-0.16039881854624302</t>
  </si>
  <si>
    <t>-0.18758885498872135</t>
  </si>
  <si>
    <t>-0.7823320339043828</t>
  </si>
  <si>
    <t>-0.3300636877337204</t>
  </si>
  <si>
    <t>0.3128090397126235</t>
  </si>
  <si>
    <t>1.0175867614832035</t>
  </si>
  <si>
    <t>-0.07370190237099497</t>
  </si>
  <si>
    <t>-0.7474376835745692</t>
  </si>
  <si>
    <t>-0.2413748681711445</t>
  </si>
  <si>
    <t>0.5082696953943466</t>
  </si>
  <si>
    <t>0.06185285550850934</t>
  </si>
  <si>
    <t>-0.7003795536869336</t>
  </si>
  <si>
    <t>-0.527748634536485</t>
  </si>
  <si>
    <t>1.0456985309495122</t>
  </si>
  <si>
    <t>-0.4256678326638827</t>
  </si>
  <si>
    <t>-0.9040919690204917</t>
  </si>
  <si>
    <t>0.8537932930129425</t>
  </si>
  <si>
    <t>-0.6896827749336607</t>
  </si>
  <si>
    <t>-0.038977809459007695</t>
  </si>
  <si>
    <t>0.8327594949334565</t>
  </si>
  <si>
    <t>-1.9556949870851283</t>
  </si>
  <si>
    <t>0.6536994513908915</t>
  </si>
  <si>
    <t>-0.9473750094407117</t>
  </si>
  <si>
    <t>-0.9038670291990861</t>
  </si>
  <si>
    <t>0.1532689955505753</t>
  </si>
  <si>
    <t>-0.31235741976320947</t>
  </si>
  <si>
    <t>0.3111946607888056</t>
  </si>
  <si>
    <t>0.45116765788731805</t>
  </si>
  <si>
    <t>0.36516474481872235</t>
  </si>
  <si>
    <t>-0.10092290815349664</t>
  </si>
  <si>
    <t>0.4063990994549029</t>
  </si>
  <si>
    <t>-0.46854375627369976</t>
  </si>
  <si>
    <t>0.26935992953351917</t>
  </si>
  <si>
    <t>-0.11790342545511173</t>
  </si>
  <si>
    <t>-0.2574820954486525</t>
  </si>
  <si>
    <t>0.06731197904422785</t>
  </si>
  <si>
    <t>-0.4206950054890685</t>
  </si>
  <si>
    <t>0.40229230086283285</t>
  </si>
  <si>
    <t>-0.5353848606764996</t>
  </si>
  <si>
    <t>-0.6699978380869593</t>
  </si>
  <si>
    <t>-0.18540798846552053</t>
  </si>
  <si>
    <t>0.8748497090383894</t>
  </si>
  <si>
    <t>0.23034109129932434</t>
  </si>
  <si>
    <t>0.8231390754690707</t>
  </si>
  <si>
    <t>0.6165195433873742</t>
  </si>
  <si>
    <t>0.45625281756659186</t>
  </si>
  <si>
    <t>0.9859369035419251</t>
  </si>
  <si>
    <t>0.8676787169043295</t>
  </si>
  <si>
    <t>0.4397976675904064</t>
  </si>
  <si>
    <t>-0.759379711807091</t>
  </si>
  <si>
    <t>-0.11020489937766191</t>
  </si>
  <si>
    <t>0.26037994769419553</t>
  </si>
  <si>
    <t>-0.23658499449387502</t>
  </si>
  <si>
    <t>0.7926735325442198</t>
  </si>
  <si>
    <t>0.11458821768890558</t>
  </si>
  <si>
    <t>0.016504791355524892</t>
  </si>
  <si>
    <t>-1.6084887856260013</t>
  </si>
  <si>
    <t>0.6608618029528852</t>
  </si>
  <si>
    <t>-0.035936660550373395</t>
  </si>
  <si>
    <t>0.09014067994364</t>
  </si>
  <si>
    <t>-0.08223018601245057</t>
  </si>
  <si>
    <t>1.744286590758736</t>
  </si>
  <si>
    <t>-0.6818702331179921</t>
  </si>
  <si>
    <t>0.26550512018292066</t>
  </si>
  <si>
    <t>1.3883983393555608</t>
  </si>
  <si>
    <t>-0.004532067026680017</t>
  </si>
  <si>
    <t>0.11292023191313504</t>
  </si>
  <si>
    <t>0.03320945812229462</t>
  </si>
  <si>
    <t>0.46125287074701005</t>
  </si>
  <si>
    <t>-0.5782455158783344</t>
  </si>
  <si>
    <t>0.5883038994952439</t>
  </si>
  <si>
    <t>-0.22153738995936859</t>
  </si>
  <si>
    <t>-0.9566743133682277</t>
  </si>
  <si>
    <t>-0.1329670990679598</t>
  </si>
  <si>
    <t>0.09189952344390503</t>
  </si>
  <si>
    <t>-0.3527885331558298</t>
  </si>
  <si>
    <t>-0.8911312147643947</t>
  </si>
  <si>
    <t>0.2790105004549424</t>
  </si>
  <si>
    <t>0.40926092695011657</t>
  </si>
  <si>
    <t>-0.11325269349321679</t>
  </si>
  <si>
    <t>0.49642871660659216</t>
  </si>
  <si>
    <t>0.01365382855421358</t>
  </si>
  <si>
    <t>1.7893704549026663</t>
  </si>
  <si>
    <t>-0.33454132633310846</t>
  </si>
  <si>
    <t>0.25365192244014373</t>
  </si>
  <si>
    <t>-0.37695911434747187</t>
  </si>
  <si>
    <t>1.6070926987318948</t>
  </si>
  <si>
    <t>1.2826994003887835</t>
  </si>
  <si>
    <t>-0.11343255120789694</t>
  </si>
  <si>
    <t>-0.3780961275726503</t>
  </si>
  <si>
    <t>-0.8952023099260626</t>
  </si>
  <si>
    <t>0.16115266224754485</t>
  </si>
  <si>
    <t>0.43658709591717304</t>
  </si>
  <si>
    <t>-1.1661267373550006</t>
  </si>
  <si>
    <t>-0.40167156510415913</t>
  </si>
  <si>
    <t>1.0715618309135475</t>
  </si>
  <si>
    <t>0.6355086544419449</t>
  </si>
  <si>
    <t>-0.06516695615370971</t>
  </si>
  <si>
    <t>1.20367903911082</t>
  </si>
  <si>
    <t>-0.7973874078031511</t>
  </si>
  <si>
    <t>0.07234296419308807</t>
  </si>
  <si>
    <t>-0.8032438059069374</t>
  </si>
  <si>
    <t>-0.21453537088764876</t>
  </si>
  <si>
    <t>-0.24739223541774244</t>
  </si>
  <si>
    <t>-0.10545394999374218</t>
  </si>
  <si>
    <t>-0.46110531248944836</t>
  </si>
  <si>
    <t>-0.02660052060525449</t>
  </si>
  <si>
    <t>-0.140901940347596</t>
  </si>
  <si>
    <t>-0.45748346316900523</t>
  </si>
  <si>
    <t>0.46742277264667964</t>
  </si>
  <si>
    <t>-0.9330489241973459</t>
  </si>
  <si>
    <t>-1.6934235427929523</t>
  </si>
  <si>
    <t>-0.41182708310806326</t>
  </si>
  <si>
    <t>2.0962633176303167</t>
  </si>
  <si>
    <t>-0.39727404438106806</t>
  </si>
  <si>
    <t>0.7426884111171678</t>
  </si>
  <si>
    <t>0.3372703204536042</t>
  </si>
  <si>
    <t>1.6330720852332041</t>
  </si>
  <si>
    <t>1.413981553323367</t>
  </si>
  <si>
    <t>-0.4840680091394284</t>
  </si>
  <si>
    <t>-0.6761144229597678</t>
  </si>
  <si>
    <t>0.3557175396360765</t>
  </si>
  <si>
    <t>0.8631335711821174</t>
  </si>
  <si>
    <t>-0.05109264491789443</t>
  </si>
  <si>
    <t>0.37552127096804466</t>
  </si>
  <si>
    <t>0.2642635931840908</t>
  </si>
  <si>
    <t>-0.02261680029565896</t>
  </si>
  <si>
    <t>-0.6510578604664704</t>
  </si>
  <si>
    <t>-0.4444286540649935</t>
  </si>
  <si>
    <t>-0.6355163864988004</t>
  </si>
  <si>
    <t>-1.0109415788181555</t>
  </si>
  <si>
    <t>0.08929172721456351</t>
  </si>
  <si>
    <t>1.1527254328701155</t>
  </si>
  <si>
    <t>-0.24218154113040072</t>
  </si>
  <si>
    <t>0.46061115144050774</t>
  </si>
  <si>
    <t>-0.7949736822270232</t>
  </si>
  <si>
    <t>-0.28563019841054466</t>
  </si>
  <si>
    <t>-1.157707509238758</t>
  </si>
  <si>
    <t>0.7162557884724197</t>
  </si>
  <si>
    <t>1.0125094379069206</t>
  </si>
  <si>
    <t>0.4273164386239884</t>
  </si>
  <si>
    <t>0.1296187233185809</t>
  </si>
  <si>
    <t>-0.03775636292386987</t>
  </si>
  <si>
    <t>0.3757011839410593</t>
  </si>
  <si>
    <t>-0.7229749590515213</t>
  </si>
  <si>
    <t>-0.5247695112687337</t>
  </si>
  <si>
    <t>-0.5318246951219173</t>
  </si>
  <si>
    <t>-1.505148114327891</t>
  </si>
  <si>
    <t>0.6260422353114339</t>
  </si>
  <si>
    <t>0.15127753605979868</t>
  </si>
  <si>
    <t>-0.3084010003438513</t>
  </si>
  <si>
    <t>-0.5147466926386913</t>
  </si>
  <si>
    <t>-0.9406018868616779</t>
  </si>
  <si>
    <t>0.3452844649882834</t>
  </si>
  <si>
    <t>0.5148464372347122</t>
  </si>
  <si>
    <t>0.215098850127371</t>
  </si>
  <si>
    <t>0.05048724897134621</t>
  </si>
  <si>
    <t>-0.6232060737576663</t>
  </si>
  <si>
    <t>0.45477968393390533</t>
  </si>
  <si>
    <t>1.2998483503016316</t>
  </si>
  <si>
    <t>-0.4377774654663293</t>
  </si>
  <si>
    <t>-0.9639858169879445</t>
  </si>
  <si>
    <t>-0.2301915836734977</t>
  </si>
  <si>
    <t>-0.06343395104053609</t>
  </si>
  <si>
    <t>1.1069195568455206</t>
  </si>
  <si>
    <t>0.4354777941402762</t>
  </si>
  <si>
    <t>-0.4787914255181971</t>
  </si>
  <si>
    <t>-0.26425712727950307</t>
  </si>
  <si>
    <t>-0.6071726066602664</t>
  </si>
  <si>
    <t>-0.6518510996188323</t>
  </si>
  <si>
    <t>-1.4572157204130278</t>
  </si>
  <si>
    <t>0.6847028759715399</t>
  </si>
  <si>
    <t>-2.5991767872600193</t>
  </si>
  <si>
    <t>-0.1180044784085977</t>
  </si>
  <si>
    <t>-1.0205855783291238</t>
  </si>
  <si>
    <t>1.0759509355433419</t>
  </si>
  <si>
    <t>0.27590959186436853</t>
  </si>
  <si>
    <t>1.1453839605542826</t>
  </si>
  <si>
    <t>-1.2272995490737977</t>
  </si>
  <si>
    <t>-0.9308928124175713</t>
  </si>
  <si>
    <t>0.47140498891058635</t>
  </si>
  <si>
    <t>1.2299917045234174</t>
  </si>
  <si>
    <t>-0.2539417982765066</t>
  </si>
  <si>
    <t>-0.4013546485916331</t>
  </si>
  <si>
    <t>-1.0226388626711795</t>
  </si>
  <si>
    <t>1.2546145168178384</t>
  </si>
  <si>
    <t>1.0619279067842486</t>
  </si>
  <si>
    <t>-0.4719511508760583</t>
  </si>
  <si>
    <t>-1.671087555143162</t>
  </si>
  <si>
    <t>-0.809059634563126</t>
  </si>
  <si>
    <t>1.2602124370658523</t>
  </si>
  <si>
    <t>-0.17736190793561266</t>
  </si>
  <si>
    <t>-0.5043578297159907</t>
  </si>
  <si>
    <t>0.23438306527296868</t>
  </si>
  <si>
    <t>-0.4516796277550819</t>
  </si>
  <si>
    <t>1.203131340327216</t>
  </si>
  <si>
    <t>0.15367054590110776</t>
  </si>
  <si>
    <t>-1.1998924510397757</t>
  </si>
  <si>
    <t>0.44137966239449433</t>
  </si>
  <si>
    <t>0.2769992476047457</t>
  </si>
  <si>
    <t>-1.7958679438572476</t>
  </si>
  <si>
    <t>0.33064187350868063</t>
  </si>
  <si>
    <t>0.04063107760518393</t>
  </si>
  <si>
    <t>1.106450750525038</t>
  </si>
  <si>
    <t>-0.9309928208946856</t>
  </si>
  <si>
    <t>0.6318678634949361</t>
  </si>
  <si>
    <t>0.5310026773095478</t>
  </si>
  <si>
    <t>0.10949276563749878</t>
  </si>
  <si>
    <t>-1.024907205454687</t>
  </si>
  <si>
    <t>0.2800243630302364</t>
  </si>
  <si>
    <t>1.1947012355922164</t>
  </si>
  <si>
    <t>0.2714861223474529</t>
  </si>
  <si>
    <t>-0.7639216057749988</t>
  </si>
  <si>
    <t>1.338553854911122</t>
  </si>
  <si>
    <t>-0.3989251791862867</t>
  </si>
  <si>
    <t>-0.14653864423026422</t>
  </si>
  <si>
    <t>0.05266884196699986</t>
  </si>
  <si>
    <t>-0.00433907339313256</t>
  </si>
  <si>
    <t>-0.26130480019528535</t>
  </si>
  <si>
    <t>-0.33388197270020864</t>
  </si>
  <si>
    <t>-0.002852465452388112</t>
  </si>
  <si>
    <t>1.1253017253678321</t>
  </si>
  <si>
    <t>-0.32534078474352657</t>
  </si>
  <si>
    <t>0.6742599647777755</t>
  </si>
  <si>
    <t>-0.04560747034516996</t>
  </si>
  <si>
    <t>1.2798134412464883</t>
  </si>
  <si>
    <t>1.0031339658963727</t>
  </si>
  <si>
    <t>0.5190411356272772</t>
  </si>
  <si>
    <t>0.15561551730468626</t>
  </si>
  <si>
    <t>0.934140895134472</t>
  </si>
  <si>
    <t>-0.09640029045204394</t>
  </si>
  <si>
    <t>-0.652850848995817</t>
  </si>
  <si>
    <t>0.7734434488349117</t>
  </si>
  <si>
    <t>-0.8317595889043209</t>
  </si>
  <si>
    <t>-0.6930676684318391</t>
  </si>
  <si>
    <t>-0.2736623032893008</t>
  </si>
  <si>
    <t>-1.1625548101324914</t>
  </si>
  <si>
    <t>0.1728801758049873</t>
  </si>
  <si>
    <t>0.20516783568429367</t>
  </si>
  <si>
    <t>-0.2940833710877511</t>
  </si>
  <si>
    <t>0.028215674447100096</t>
  </si>
  <si>
    <t>-0.5911917256155604</t>
  </si>
  <si>
    <t>1.9819354189698886</t>
  </si>
  <si>
    <t>1.7442584276374211</t>
  </si>
  <si>
    <t>0.27157588382361453</t>
  </si>
  <si>
    <t>-0.16561482972135308</t>
  </si>
  <si>
    <t>-0.687854641810892</t>
  </si>
  <si>
    <t>-1.7189623602890496</t>
  </si>
  <si>
    <t>-1.7101250072635594</t>
  </si>
  <si>
    <t>-0.16606030258670076</t>
  </si>
  <si>
    <t>0.512126270714743</t>
  </si>
  <si>
    <t>0.4193725826935874</t>
  </si>
  <si>
    <t>-0.16513154662138405</t>
  </si>
  <si>
    <t>-0.1449510211631517</t>
  </si>
  <si>
    <t>-0.47047066993544406</t>
  </si>
  <si>
    <t>0.06446739326927607</t>
  </si>
  <si>
    <t>-1.348876156243229</t>
  </si>
  <si>
    <t>-0.04090161044621848</t>
  </si>
  <si>
    <t>-1.1706918240997728</t>
  </si>
  <si>
    <t>0.13478298800179425</t>
  </si>
  <si>
    <t>0.5878217491611909</t>
  </si>
  <si>
    <t>-1.9558462636137142</t>
  </si>
  <si>
    <t>0.12923578346628295</t>
  </si>
  <si>
    <t>1.5518707255129203</t>
  </si>
  <si>
    <t>0.11884923411171999</t>
  </si>
  <si>
    <t>1.0668299642887729</t>
  </si>
  <si>
    <t>-1.387629476618931</t>
  </si>
  <si>
    <t>-0.4656950021362997</t>
  </si>
  <si>
    <t>-1.0453088357749627</t>
  </si>
  <si>
    <t>-0.7266750019241002</t>
  </si>
  <si>
    <t>-0.6346803993335799</t>
  </si>
  <si>
    <t>-0.7541536074999656</t>
  </si>
  <si>
    <t>0.004563842887515497</t>
  </si>
  <si>
    <t>-0.5180339903404859</t>
  </si>
  <si>
    <t>-0.922179949581606</t>
  </si>
  <si>
    <t>-0.9214059729864056</t>
  </si>
  <si>
    <t>0.21741968311739873</t>
  </si>
  <si>
    <t>0.8369199501958774</t>
  </si>
  <si>
    <t>0.6051834428580494</t>
  </si>
  <si>
    <t>-0.6917138816039982</t>
  </si>
  <si>
    <t>-0.6132693798809704</t>
  </si>
  <si>
    <t>0.47387665511553817</t>
  </si>
  <si>
    <t>1.4636590714931998</t>
  </si>
  <si>
    <t>-0.8637958935129982</t>
  </si>
  <si>
    <t>0.7785233893126048</t>
  </si>
  <si>
    <t>-0.46752037075507247</t>
  </si>
  <si>
    <t>-0.6095324919184733</t>
  </si>
  <si>
    <t>-0.015206124900661751</t>
  </si>
  <si>
    <t>0.6390159927195919</t>
  </si>
  <si>
    <t>-0.14058404629607416</t>
  </si>
  <si>
    <t>0.051245527693852835</t>
  </si>
  <si>
    <t>0.3715457173078232</t>
  </si>
  <si>
    <t>-1.358583864691667</t>
  </si>
  <si>
    <t>0.573300879923011</t>
  </si>
  <si>
    <t>-0.049399779405078593</t>
  </si>
  <si>
    <t>-0.34703269937457415</t>
  </si>
  <si>
    <t>1.2189167722516931</t>
  </si>
  <si>
    <t>-0.21796382784189108</t>
  </si>
  <si>
    <t>0.6934814905444953</t>
  </si>
  <si>
    <t>-0.4409920352195467</t>
  </si>
  <si>
    <t>-0.43558920324229516</t>
  </si>
  <si>
    <t>1.4043022379134285</t>
  </si>
  <si>
    <t>0.48808948727607565</t>
  </si>
  <si>
    <t>0.18563062931139837</t>
  </si>
  <si>
    <t>-0.009287829225375339</t>
  </si>
  <si>
    <t>-0.3652484211277256</t>
  </si>
  <si>
    <t>0.054903713925070693</t>
  </si>
  <si>
    <t>0.29540670411093817</t>
  </si>
  <si>
    <t>1.1813560761654123</t>
  </si>
  <si>
    <t>-0.2961027810192709</t>
  </si>
  <si>
    <t>0.28221318747074253</t>
  </si>
  <si>
    <t>-0.1514477321957048</t>
  </si>
  <si>
    <t>-1.2078169111416197</t>
  </si>
  <si>
    <t>-0.5348229518204063</t>
  </si>
  <si>
    <t>-2.170544037450396</t>
  </si>
  <si>
    <t>-0.17580136758425421</t>
  </si>
  <si>
    <t>-0.6791297758514309</t>
  </si>
  <si>
    <t>0.014946716963783345</t>
  </si>
  <si>
    <t>-0.19811997929799036</t>
  </si>
  <si>
    <t>-0.29138460856949466</t>
  </si>
  <si>
    <t>-0.06667055961731765</t>
  </si>
  <si>
    <t>0.5359985999478976</t>
  </si>
  <si>
    <t>0.24737423147090817</t>
  </si>
  <si>
    <t>-0.7037171755751752</t>
  </si>
  <si>
    <t>-0.47363640003381346</t>
  </si>
  <si>
    <t>0.10842128173408908</t>
  </si>
  <si>
    <t>-1.054691367809055</t>
  </si>
  <si>
    <t>-0.14634046196348352</t>
  </si>
  <si>
    <t>-0.12228037993430399</t>
  </si>
  <si>
    <t>0.7338332266093731</t>
  </si>
  <si>
    <t>-0.18004803231222974</t>
  </si>
  <si>
    <t>-0.048895529132561476</t>
  </si>
  <si>
    <t>-0.8534534530699507</t>
  </si>
  <si>
    <t>-2.874527494008418</t>
  </si>
  <si>
    <t>-0.11815548005230436</t>
  </si>
  <si>
    <t>0.6317445935898708</t>
  </si>
  <si>
    <t>-0.4459057225897858</t>
  </si>
  <si>
    <t>-0.7577252835894639</t>
  </si>
  <si>
    <t>1.4469776481212275</t>
  </si>
  <si>
    <t>0.3714162653232981</t>
  </si>
  <si>
    <t>0.4176462219516312</t>
  </si>
  <si>
    <t>0.4333784376241892</t>
  </si>
  <si>
    <t>-0.7246145738812158</t>
  </si>
  <si>
    <t>0.21956372689694229</t>
  </si>
  <si>
    <t>-0.08066769990113584</t>
  </si>
  <si>
    <t>-0.6002547589953956</t>
  </si>
  <si>
    <t>0.6240559241692324</t>
  </si>
  <si>
    <t>0.21599804335135994</t>
  </si>
  <si>
    <t>0.12823336814298644</t>
  </si>
  <si>
    <t>0.10770925571202716</t>
  </si>
  <si>
    <t>0.2747361826873701</t>
  </si>
  <si>
    <t>0.38044908241917197</t>
  </si>
  <si>
    <t>1.102637589432468</t>
  </si>
  <si>
    <t>0.006186559586526934</t>
  </si>
  <si>
    <t>0.4629679834970539</t>
  </si>
  <si>
    <t>0.6035620807438246</t>
  </si>
  <si>
    <t>0.9720258772533974</t>
  </si>
  <si>
    <t>0.1438329706919462</t>
  </si>
  <si>
    <t>0.0906447278953509</t>
  </si>
  <si>
    <t>0.1195689461670701</t>
  </si>
  <si>
    <t>-0.24653542059999942</t>
  </si>
  <si>
    <t>-0.3257371823283292</t>
  </si>
  <si>
    <t>-0.18919598613861857</t>
  </si>
  <si>
    <t>0.44985407671132294</t>
  </si>
  <si>
    <t>-0.027289359166767883</t>
  </si>
  <si>
    <t>-0.5696711602256462</t>
  </si>
  <si>
    <t>0.10961827033264633</t>
  </si>
  <si>
    <t>-0.6184444044700338</t>
  </si>
  <si>
    <t>-0.1697816816678779</t>
  </si>
  <si>
    <t>0.6761235577735716</t>
  </si>
  <si>
    <t>0.10491467506086667</t>
  </si>
  <si>
    <t>0.15565316975680166</t>
  </si>
  <si>
    <t>0.5334225694761403</t>
  </si>
  <si>
    <t>0.3308987561265038</t>
  </si>
  <si>
    <t>0.37693985783044553</t>
  </si>
  <si>
    <t>-0.8273220048425572</t>
  </si>
  <si>
    <t>0.3279403414263403</t>
  </si>
  <si>
    <t>0.09080138018032725</t>
  </si>
  <si>
    <t>0.8032244483570776</t>
  </si>
  <si>
    <t>0.447673046591715</t>
  </si>
  <si>
    <t>-0.16377090817481973</t>
  </si>
  <si>
    <t>-0.6994317700357146</t>
  </si>
  <si>
    <t>-0.18410774580189673</t>
  </si>
  <si>
    <t>-0.34719095471913486</t>
  </si>
  <si>
    <t>-0.3009776031726547</t>
  </si>
  <si>
    <t>0.05961706278246007</t>
  </si>
  <si>
    <t>-0.03890464888307497</t>
  </si>
  <si>
    <t>0.020894286932095243</t>
  </si>
  <si>
    <t>-1.3678933357040528</t>
  </si>
  <si>
    <t>0.08631419223116289</t>
  </si>
  <si>
    <t>-0.7278489881316833</t>
  </si>
  <si>
    <t>0.49478259625003596</t>
  </si>
  <si>
    <t>-0.5281908755964986</t>
  </si>
  <si>
    <t>0.31756032898991826</t>
  </si>
  <si>
    <t>-0.35902808156439026</t>
  </si>
  <si>
    <t>0.5205740283070499</t>
  </si>
  <si>
    <t>-0.2034783543673674</t>
  </si>
  <si>
    <t>-0.7386487647249765</t>
  </si>
  <si>
    <t>0.44944090106034523</t>
  </si>
  <si>
    <t>0.6816830389227025</t>
  </si>
  <si>
    <t>-0.5326952343387874</t>
  </si>
  <si>
    <t>0.3126129520938859</t>
  </si>
  <si>
    <t>-0.15289222022976917</t>
  </si>
  <si>
    <t>-0.45658113572141396</t>
  </si>
  <si>
    <t>-0.29143463399670644</t>
  </si>
  <si>
    <t>-0.19171015007225517</t>
  </si>
  <si>
    <t>0.46758614546142657</t>
  </si>
  <si>
    <t>0.07682276389604728</t>
  </si>
  <si>
    <t>-0.23427696509565937</t>
  </si>
  <si>
    <t>0.49032076724943463</t>
  </si>
  <si>
    <t>0.023301717454974256</t>
  </si>
  <si>
    <t>-0.2915711576703463</t>
  </si>
  <si>
    <t>0.07570337334990526</t>
  </si>
  <si>
    <t>-1.2536736476638102</t>
  </si>
  <si>
    <t>-1.9351929747285783</t>
  </si>
  <si>
    <t>-0.4910183792973473</t>
  </si>
  <si>
    <t>-1.1828406921877728</t>
  </si>
  <si>
    <t>-0.06465017513139235</t>
  </si>
  <si>
    <t>0.4026804850777343</t>
  </si>
  <si>
    <t>0.6924217227574067</t>
  </si>
  <si>
    <t>-1.0218188935843613</t>
  </si>
  <si>
    <t>-0.6482140088590221</t>
  </si>
  <si>
    <t>0.22690595505247382</t>
  </si>
  <si>
    <t>-1.193618768428243</t>
  </si>
  <si>
    <t>0.2667763604978566</t>
  </si>
  <si>
    <t>1.862523284342695</t>
  </si>
  <si>
    <t>0.7765665491080506</t>
  </si>
  <si>
    <t>-0.13756589485997334</t>
  </si>
  <si>
    <t>0.05694665218119562</t>
  </si>
  <si>
    <t>-0.03285213552756617</t>
  </si>
  <si>
    <t>0.08356874022799653</t>
  </si>
  <si>
    <t>-0.08907214553785954</t>
  </si>
  <si>
    <t>0.4639465943032915</t>
  </si>
  <si>
    <t>0.43806429532963415</t>
  </si>
  <si>
    <t>1.495466352028244</t>
  </si>
  <si>
    <t>-0.23899142967267195</t>
  </si>
  <si>
    <t>0.1688163145524283</t>
  </si>
  <si>
    <t>0.045688117167077234</t>
  </si>
  <si>
    <t>0.2793994793248793</t>
  </si>
  <si>
    <t>0.5530846845909847</t>
  </si>
  <si>
    <t>0.3555972693475659</t>
  </si>
  <si>
    <t>-0.08409311999635344</t>
  </si>
  <si>
    <t>0.2079655346034839</t>
  </si>
  <si>
    <t>0.7120036517211193</t>
  </si>
  <si>
    <t>-0.05997820669694915</t>
  </si>
  <si>
    <t>0.8983595657255207</t>
  </si>
  <si>
    <t>0.6223834054189237</t>
  </si>
  <si>
    <t>1.5869161606169964</t>
  </si>
  <si>
    <t>0.04218215450275533</t>
  </si>
  <si>
    <t>-0.3330392478616192</t>
  </si>
  <si>
    <t>-0.0424858258886036</t>
  </si>
  <si>
    <t>-0.11512909678299035</t>
  </si>
  <si>
    <t>0.5275535698300092</t>
  </si>
  <si>
    <t>0.07206764654283279</t>
  </si>
  <si>
    <t>-0.20415979282154798</t>
  </si>
  <si>
    <t>-0.4265843699473918</t>
  </si>
  <si>
    <t>-0.44028208044338135</t>
  </si>
  <si>
    <t>-1.0367871445333665</t>
  </si>
  <si>
    <t>-0.26732937197025847</t>
  </si>
  <si>
    <t>1.3359567121678333</t>
  </si>
  <si>
    <t>0.16021142177558104</t>
  </si>
  <si>
    <t>2.564642384256953</t>
  </si>
  <si>
    <t>0.28057864053695275</t>
  </si>
  <si>
    <t>-0.48713484223378106</t>
  </si>
  <si>
    <t>-0.7900662106392764</t>
  </si>
  <si>
    <t>-0.11232006489141921</t>
  </si>
  <si>
    <t>0.29946301582970897</t>
  </si>
  <si>
    <t>0.002694334498880808</t>
  </si>
  <si>
    <t>-0.6949817124453957</t>
  </si>
  <si>
    <t>0.6083181992736875</t>
  </si>
  <si>
    <t>0.43223957438727717</t>
  </si>
  <si>
    <t>0.31028714489072234</t>
  </si>
  <si>
    <t>0.17888416842964852</t>
  </si>
  <si>
    <t>0.23605191486475438</t>
  </si>
  <si>
    <t>-0.2579525979473663</t>
  </si>
  <si>
    <t>0.6476328246015514</t>
  </si>
  <si>
    <t>-1.5592292557665286</t>
  </si>
  <si>
    <t>0.5840021003716017</t>
  </si>
  <si>
    <t>0.7476595917579816</t>
  </si>
  <si>
    <t>-0.7260591843026003</t>
  </si>
  <si>
    <t>0.45357375768955394</t>
  </si>
  <si>
    <t>-2.4382286881039406</t>
  </si>
  <si>
    <t>3.593550345855365</t>
  </si>
  <si>
    <t>4.260153335770966</t>
  </si>
  <si>
    <t>-1.366243516180433</t>
  </si>
  <si>
    <t>-0.7937803493697488</t>
  </si>
  <si>
    <t>-0.04737530198638443</t>
  </si>
  <si>
    <t>-0.7262385850944787</t>
  </si>
  <si>
    <t>-2.604741047859087</t>
  </si>
  <si>
    <t>1.044979439971681</t>
  </si>
  <si>
    <t>-1.1090823265373813</t>
  </si>
  <si>
    <t>1.9841315142228915</t>
  </si>
  <si>
    <t>-1.5253326388048971</t>
  </si>
  <si>
    <t>0.42800382237746726</t>
  </si>
  <si>
    <t>-0.5374134419206925</t>
  </si>
  <si>
    <t>-0.5743482100513743</t>
  </si>
  <si>
    <t>-1.097249556390767</t>
  </si>
  <si>
    <t>-1.176970823707498</t>
  </si>
  <si>
    <t>1.369705040177893</t>
  </si>
  <si>
    <t>-0.998817215314399</t>
  </si>
  <si>
    <t>-0.8150862502079094</t>
  </si>
  <si>
    <t>0.9616184804312269</t>
  </si>
  <si>
    <t>-0.2574448995932517</t>
  </si>
  <si>
    <t>1.2310838359616512</t>
  </si>
  <si>
    <t>0.3516167758716032</t>
  </si>
  <si>
    <t>-0.898587198856332</t>
  </si>
  <si>
    <t>-0.27115471028270044</t>
  </si>
  <si>
    <t>0.5806838818417264</t>
  </si>
  <si>
    <t>-0.9101514698634487</t>
  </si>
  <si>
    <t>0.6203065267475281</t>
  </si>
  <si>
    <t>0.3818436256876644</t>
  </si>
  <si>
    <t>-0.01667242673327802</t>
  </si>
  <si>
    <t>2.3151091652102065</t>
  </si>
  <si>
    <t>0.26901974998345307</t>
  </si>
  <si>
    <t>1.0646917106391998</t>
  </si>
  <si>
    <t>1.8663168606823257</t>
  </si>
  <si>
    <t>-3.252486885039419</t>
  </si>
  <si>
    <t>0.019287472269183727</t>
  </si>
  <si>
    <t>-0.4761417065434565</t>
  </si>
  <si>
    <t>-1.4246144548040578</t>
  </si>
  <si>
    <t>-0.4045017275245071</t>
  </si>
  <si>
    <t>-2.3414176566009344</t>
  </si>
  <si>
    <t>-0.7504552232942215</t>
  </si>
  <si>
    <t>-1.3230935179842698</t>
  </si>
  <si>
    <t>2.446870521643899</t>
  </si>
  <si>
    <t>1.391025396998274</t>
  </si>
  <si>
    <t>-1.9253073399764207</t>
  </si>
  <si>
    <t>1.6027872236129155</t>
  </si>
  <si>
    <t>-1.705384849928356</t>
  </si>
  <si>
    <t>1.3060050029888928</t>
  </si>
  <si>
    <t>1.0260820222061173</t>
  </si>
  <si>
    <t>0.6138391053462945</t>
  </si>
  <si>
    <t>3.59217061016055</t>
  </si>
  <si>
    <t>1.102618730653285</t>
  </si>
  <si>
    <t>1.6768918619644957</t>
  </si>
  <si>
    <t>-1.041963093939237</t>
  </si>
  <si>
    <t>2.4863186675741447</t>
  </si>
  <si>
    <t>-0.5393729770466009</t>
  </si>
  <si>
    <t>0.23159441977454265</t>
  </si>
  <si>
    <t>1.308098561425214</t>
  </si>
  <si>
    <t>1.7846671964905578</t>
  </si>
  <si>
    <t>3.355292997404551</t>
  </si>
  <si>
    <t>1.5141625419581664</t>
  </si>
  <si>
    <t>-1.6754555319665783</t>
  </si>
  <si>
    <t>1.7950625296118348</t>
  </si>
  <si>
    <t>0.8465245430657307</t>
  </si>
  <si>
    <t>-2.0498944900593883</t>
  </si>
  <si>
    <t>0.8931598608475421</t>
  </si>
  <si>
    <t>-2.3565716525108504</t>
  </si>
  <si>
    <t>-2.037313653900043</t>
  </si>
  <si>
    <t>-4.794702308218032</t>
  </si>
  <si>
    <t>-0.32722089677548255</t>
  </si>
  <si>
    <t>2.1118343079618924</t>
  </si>
  <si>
    <t>0.16936415211681366</t>
  </si>
  <si>
    <t>0.6464584704906976</t>
  </si>
  <si>
    <t>0.6324000499740648</t>
  </si>
  <si>
    <t>2.513503433780095</t>
  </si>
  <si>
    <t>2.6267473530787577</t>
  </si>
  <si>
    <t>1.3936450072924025</t>
  </si>
  <si>
    <t>-1.9011729393305659</t>
  </si>
  <si>
    <t>-1.1139863240396835</t>
  </si>
  <si>
    <t>-2.2494481099347645</t>
  </si>
  <si>
    <t>-0.0399807870968325</t>
  </si>
  <si>
    <t>0.7078741795825947</t>
  </si>
  <si>
    <t>-0.5786755246883131</t>
  </si>
  <si>
    <t>0.5429180247857315</t>
  </si>
  <si>
    <t>-2.5966847241739686</t>
  </si>
  <si>
    <t>0.011784103397036083</t>
  </si>
  <si>
    <t>1.2206118005860294</t>
  </si>
  <si>
    <t>-0.3866756691920469</t>
  </si>
  <si>
    <t>-0.07346610927985904</t>
  </si>
  <si>
    <t>0.02824682550460025</t>
  </si>
  <si>
    <t>1.6251074193511499</t>
  </si>
  <si>
    <t>-1.0286705984134878</t>
  </si>
  <si>
    <t>0.40279762692328575</t>
  </si>
  <si>
    <t>-0.4168510332286892</t>
  </si>
  <si>
    <t>-1.1011313920543144</t>
  </si>
  <si>
    <t>-1.179083720503612</t>
  </si>
  <si>
    <t>-2.4327985937788195</t>
  </si>
  <si>
    <t>-0.3738873277396021</t>
  </si>
  <si>
    <t>1.199420673960309</t>
  </si>
  <si>
    <t>-0.649541817267315</t>
  </si>
  <si>
    <t>-1.0916644469470216</t>
  </si>
  <si>
    <t>1.1894595004271122</t>
  </si>
  <si>
    <t>0.9501670460166046</t>
  </si>
  <si>
    <t>-3.1495328101098163</t>
  </si>
  <si>
    <t>2.743035505193855</t>
  </si>
  <si>
    <t>0.5704326814778754</t>
  </si>
  <si>
    <t>-0.1269198916177318</t>
  </si>
  <si>
    <t>0.6796424416082358</t>
  </si>
  <si>
    <t>2.422581500452544</t>
  </si>
  <si>
    <t>0.9784932013362834</t>
  </si>
  <si>
    <t>0.03359612549555813</t>
  </si>
  <si>
    <t>-0.23200068385375072</t>
  </si>
  <si>
    <t>0.6897224688828192</t>
  </si>
  <si>
    <t>2.134104589865938</t>
  </si>
  <si>
    <t>1.5797929511183981</t>
  </si>
  <si>
    <t>-0.4975610828474123</t>
  </si>
  <si>
    <t>-1.4826962438470257</t>
  </si>
  <si>
    <t>-1.237189986123137</t>
  </si>
  <si>
    <t>-0.06853237767628265</t>
  </si>
  <si>
    <t>-0.923653060963352</t>
  </si>
  <si>
    <t>0.6995275113817923</t>
  </si>
  <si>
    <t>-0.4643827612551547</t>
  </si>
  <si>
    <t>1.3723970742579046</t>
  </si>
  <si>
    <t>0.28477755231170476</t>
  </si>
  <si>
    <t>0.6710130735752482</t>
  </si>
  <si>
    <t>0.1495084744542628</t>
  </si>
  <si>
    <t>0.552282326478672</t>
  </si>
  <si>
    <t>-0.8528446547862978</t>
  </si>
  <si>
    <t>-2.2239767258172907</t>
  </si>
  <si>
    <t>-0.19696398573527601</t>
  </si>
  <si>
    <t>-1.5515952354522085</t>
  </si>
  <si>
    <t>2.893597913427621</t>
  </si>
  <si>
    <t>1.5609929836688368</t>
  </si>
  <si>
    <t>-0.17715164040921924</t>
  </si>
  <si>
    <t>0.5185622036930324</t>
  </si>
  <si>
    <t>-3.057145878646886</t>
  </si>
  <si>
    <t>-1.8684732518616363</t>
  </si>
  <si>
    <t>2.150542578057821</t>
  </si>
  <si>
    <t>-2.5758195933517603</t>
  </si>
  <si>
    <t>-0.5488250818743664</t>
  </si>
  <si>
    <t>-0.6048194037595654</t>
  </si>
  <si>
    <t>-1.0246113244152848</t>
  </si>
  <si>
    <t>2.1577294425991034</t>
  </si>
  <si>
    <t>1.440298589426109</t>
  </si>
  <si>
    <t>0.9335580425130529</t>
  </si>
  <si>
    <t>-0.8855345722801771</t>
  </si>
  <si>
    <t>-2.7468068043125977</t>
  </si>
  <si>
    <t>0.8112947435507742</t>
  </si>
  <si>
    <t>-0.6898970657569404</t>
  </si>
  <si>
    <t>1.9326203996620859</t>
  </si>
  <si>
    <t>-1.1729476680404893</t>
  </si>
  <si>
    <t>-2.746645305440339</t>
  </si>
  <si>
    <t>-1.5155720191723656</t>
  </si>
  <si>
    <t>2.4315160958543336</t>
  </si>
  <si>
    <t>-0.17925671681478597</t>
  </si>
  <si>
    <t>2.005096246286285</t>
  </si>
  <si>
    <t>-0.6461307772492833</t>
  </si>
  <si>
    <t>-3.096021515183774</t>
  </si>
  <si>
    <t>0.8298265491287755</t>
  </si>
  <si>
    <t>0.11224108388210698</t>
  </si>
  <si>
    <t>-0.9769090728005089</t>
  </si>
  <si>
    <t>-1.5571027756031832</t>
  </si>
  <si>
    <t>-0.33108173055830975</t>
  </si>
  <si>
    <t>-1.6196971863687133</t>
  </si>
  <si>
    <t>-1.3630390998055892</t>
  </si>
  <si>
    <t>-2.1589853075878196</t>
  </si>
  <si>
    <t>3.0385415334322143</t>
  </si>
  <si>
    <t>-3.1854353760707896</t>
  </si>
  <si>
    <t>-2.543864578431155</t>
  </si>
  <si>
    <t>-4.644001177820139</t>
  </si>
  <si>
    <t>-1.5346633507685719</t>
  </si>
  <si>
    <t>2.783755585418545</t>
  </si>
  <si>
    <t>1.007031788006947</t>
  </si>
  <si>
    <t>1.406524244107483</t>
  </si>
  <si>
    <t>-0.554469682695684</t>
  </si>
  <si>
    <t>0.42151662633894693</t>
  </si>
  <si>
    <t>1.1553090362546525</t>
  </si>
  <si>
    <t>0.9226110863653263</t>
  </si>
  <si>
    <t>-1.228908892741262</t>
  </si>
  <si>
    <t>1.5147209334944984</t>
  </si>
  <si>
    <t>-2.87285258728471</t>
  </si>
  <si>
    <t>-2.3548537782402983</t>
  </si>
  <si>
    <t>1.1851085093024545</t>
  </si>
  <si>
    <t>2.51232465560835</t>
  </si>
  <si>
    <t>-2.6321211625442444</t>
  </si>
  <si>
    <t>-2.174764180900804</t>
  </si>
  <si>
    <t>-2.313543471716611</t>
  </si>
  <si>
    <t>-3.6092523968006653</t>
  </si>
  <si>
    <t>-0.562152506813715</t>
  </si>
  <si>
    <t>-0.15162630724670334</t>
  </si>
  <si>
    <t>-2.0449662922895757</t>
  </si>
  <si>
    <t>-1.2849435718845215</t>
  </si>
  <si>
    <t>-5.104935233234666</t>
  </si>
  <si>
    <t>0.18517650312119036</t>
  </si>
  <si>
    <t>-2.8447658145724475</t>
  </si>
  <si>
    <t>1.6665165194806584</t>
  </si>
  <si>
    <t>4.765597562327741</t>
  </si>
  <si>
    <t>3.436320118273407</t>
  </si>
  <si>
    <t>-3.5462031404493843</t>
  </si>
  <si>
    <t>0.9700912345134153</t>
  </si>
  <si>
    <t>1.1128392318077025</t>
  </si>
  <si>
    <t>-4.872588109030402</t>
  </si>
  <si>
    <t>-0.6259931772214387</t>
  </si>
  <si>
    <t>1.704163771275046</t>
  </si>
  <si>
    <t>0.4408962709968316</t>
  </si>
  <si>
    <t>-1.4886492242160771</t>
  </si>
  <si>
    <t>-1.916247858252051</t>
  </si>
  <si>
    <t>2.4183618757786136</t>
  </si>
  <si>
    <t>-1.7592317069430512</t>
  </si>
  <si>
    <t>-2.0605626244564412</t>
  </si>
  <si>
    <t>7.146448535207804</t>
  </si>
  <si>
    <t>6.662374129810994</t>
  </si>
  <si>
    <t>-3.470770578663942</t>
  </si>
  <si>
    <t>0.7462003929170213</t>
  </si>
  <si>
    <t>-1.587634919658722</t>
  </si>
  <si>
    <t>0.7602836975999723</t>
  </si>
  <si>
    <t>-2.2999515520296527</t>
  </si>
  <si>
    <t>-2.99534374461303</t>
  </si>
  <si>
    <t>-1.6644567245955357</t>
  </si>
  <si>
    <t>0.5057433941899302</t>
  </si>
  <si>
    <t>-1.31670003045402</t>
  </si>
  <si>
    <t>-3.0061282807943237</t>
  </si>
  <si>
    <t>0.2998291666928417</t>
  </si>
  <si>
    <t>-0.9261271569627241</t>
  </si>
  <si>
    <t>-4.3951765304986</t>
  </si>
  <si>
    <t>0.8114511900823769</t>
  </si>
  <si>
    <t>2.3209636799131563</t>
  </si>
  <si>
    <t>4.773466461831212</t>
  </si>
  <si>
    <t>1.3344771499339811</t>
  </si>
  <si>
    <t>-3.473124825349466</t>
  </si>
  <si>
    <t>-0.21350346802063563</t>
  </si>
  <si>
    <t>0.7726773770411874</t>
  </si>
  <si>
    <t>-3.0423233363991327</t>
  </si>
  <si>
    <t>0.377860241167803</t>
  </si>
  <si>
    <t>-2.1334596762022144</t>
  </si>
  <si>
    <t>-0.9546837883982454</t>
  </si>
  <si>
    <t>0.5757434365580062</t>
  </si>
  <si>
    <t>0.7819020534079328</t>
  </si>
  <si>
    <t>0.17734352400151288</t>
  </si>
  <si>
    <t>2.3204205789953414</t>
  </si>
  <si>
    <t>0.46389207097920415</t>
  </si>
  <si>
    <t>-1.9427929462356308</t>
  </si>
  <si>
    <t>-0.9602340344790523</t>
  </si>
  <si>
    <t>0.8809133891857808</t>
  </si>
  <si>
    <t>1.3233043138026315</t>
  </si>
  <si>
    <t>-1.7958073681429512</t>
  </si>
  <si>
    <t>-0.053669237908527706</t>
  </si>
  <si>
    <t>0.6655595010382238</t>
  </si>
  <si>
    <t>-0.5463675095192874</t>
  </si>
  <si>
    <t>2.3766883585166148</t>
  </si>
  <si>
    <t>0.4514515144041777</t>
  </si>
  <si>
    <t>-0.42106879715225104</t>
  </si>
  <si>
    <t>-1.2822112698343908</t>
  </si>
  <si>
    <t>-1.2696373426451837</t>
  </si>
  <si>
    <t>-3.5365110005950777</t>
  </si>
  <si>
    <t>-1.4958258664687956</t>
  </si>
  <si>
    <t>-1.9687666911475152</t>
  </si>
  <si>
    <t>1.813703064186287</t>
  </si>
  <si>
    <t>1.9289454696818642</t>
  </si>
  <si>
    <t>-0.9709005839665155</t>
  </si>
  <si>
    <t>5.115530523742346</t>
  </si>
  <si>
    <t>-1.1702913775262105</t>
  </si>
  <si>
    <t>-0.6995590068632337</t>
  </si>
  <si>
    <t>-0.13208663327206316</t>
  </si>
  <si>
    <t>2.8604671104851183</t>
  </si>
  <si>
    <t>0.29307803281788997</t>
  </si>
  <si>
    <t>0.589587348677787</t>
  </si>
  <si>
    <t>-1.2738166485565163</t>
  </si>
  <si>
    <t>-0.07439031467768727</t>
  </si>
  <si>
    <t>1.0991560203471646</t>
  </si>
  <si>
    <t>1.4796650443691959</t>
  </si>
  <si>
    <t>-0.8007188634361272</t>
  </si>
  <si>
    <t>0.7812504615592676</t>
  </si>
  <si>
    <t>-0.459333060417967</t>
  </si>
  <si>
    <t>1.7305483811733897</t>
  </si>
  <si>
    <t>-1.8787641637395072</t>
  </si>
  <si>
    <t>0.5597173691487398</t>
  </si>
  <si>
    <t>1.7653750731431626</t>
  </si>
  <si>
    <t>3.0892571767399803</t>
  </si>
  <si>
    <t>3.469538987941383</t>
  </si>
  <si>
    <t>0.3181878448317192</t>
  </si>
  <si>
    <t>0.6665915414867648</t>
  </si>
  <si>
    <t>1.1004832332276264</t>
  </si>
  <si>
    <t>0.9486261433170097</t>
  </si>
  <si>
    <t>0.40957664297277946</t>
  </si>
  <si>
    <t>-0.872536491463363</t>
  </si>
  <si>
    <t>1.7566012755319433</t>
  </si>
  <si>
    <t>-1.7074656311990928</t>
  </si>
  <si>
    <t>1.1394412403398615</t>
  </si>
  <si>
    <t>0.2594203511871427</t>
  </si>
  <si>
    <t>-1.8315625989526065</t>
  </si>
  <si>
    <t>1.6314156429086286</t>
  </si>
  <si>
    <t>0.09808656897216132</t>
  </si>
  <si>
    <t>0.19394510045134825</t>
  </si>
  <si>
    <t>4.697692399753243</t>
  </si>
  <si>
    <t>0.7649066347674991</t>
  </si>
  <si>
    <t>3.053772743373828</t>
  </si>
  <si>
    <t>-1.4163557012273378</t>
  </si>
  <si>
    <t>-3.006214086884055</t>
  </si>
  <si>
    <t>0.7823196076073865</t>
  </si>
  <si>
    <t>1.8057314127626414</t>
  </si>
  <si>
    <t>0.8165144053215279</t>
  </si>
  <si>
    <t>-0.7129889894924238</t>
  </si>
  <si>
    <t>1.702719325924921</t>
  </si>
  <si>
    <t>5.759063035439276</t>
  </si>
  <si>
    <t>-3.2150641754576403</t>
  </si>
  <si>
    <t>-1.7429537867597917</t>
  </si>
  <si>
    <t>2.3672310246661765</t>
  </si>
  <si>
    <t>0.6098515455672058</t>
  </si>
  <si>
    <t>-0.9921136815532543</t>
  </si>
  <si>
    <t>-1.5674371819837138</t>
  </si>
  <si>
    <t>-3.894295441430454</t>
  </si>
  <si>
    <t>-3.145963398049166</t>
  </si>
  <si>
    <t>0.10107961519630868</t>
  </si>
  <si>
    <t>-2.2552901436405346</t>
  </si>
  <si>
    <t>0.6958122369490257</t>
  </si>
  <si>
    <t>-1.5490608067454672</t>
  </si>
  <si>
    <t>-1.5480844614940659</t>
  </si>
  <si>
    <t>2.1497233930922346</t>
  </si>
  <si>
    <t>3.0790376455910935</t>
  </si>
  <si>
    <t>-1.930744143409387</t>
  </si>
  <si>
    <t>2.1040249337701704</t>
  </si>
  <si>
    <t>-2.5468018901478366</t>
  </si>
  <si>
    <t>0.9242518298736688</t>
  </si>
  <si>
    <t>-0.7042290736984632</t>
  </si>
  <si>
    <t>1.4719873485561497</t>
  </si>
  <si>
    <t>-2.7694362629738887</t>
  </si>
  <si>
    <t>0.9456477669948108</t>
  </si>
  <si>
    <t>5.466053967812022</t>
  </si>
  <si>
    <t>1.9427527110784286</t>
  </si>
  <si>
    <t>2.002609384428041</t>
  </si>
  <si>
    <t>-1.7097979672570276</t>
  </si>
  <si>
    <t>1.0194267636288394</t>
  </si>
  <si>
    <t>-1.7421099278070118</t>
  </si>
  <si>
    <t>1.5149892134057417</t>
  </si>
  <si>
    <t>3.024856430912217</t>
  </si>
  <si>
    <t>1.1200686303464764</t>
  </si>
  <si>
    <t>-2.8561590653363815</t>
  </si>
  <si>
    <t>-3.2959466969919236</t>
  </si>
  <si>
    <t>-0.5194195500596793</t>
  </si>
  <si>
    <t>0.8485662747449257</t>
  </si>
  <si>
    <t>-1.7944016766793918</t>
  </si>
  <si>
    <t>0.5543478747964987</t>
  </si>
  <si>
    <t>1.1875874430358915</t>
  </si>
  <si>
    <t>-1.5778037920163548</t>
  </si>
  <si>
    <t>-1.9490421567736584</t>
  </si>
  <si>
    <t>-3.5002961191190463</t>
  </si>
  <si>
    <t>0.13218890286322588</t>
  </si>
  <si>
    <t>-1.0206134995107972</t>
  </si>
  <si>
    <t>-0.9062443509205248</t>
  </si>
  <si>
    <t>-3.6097788561105713</t>
  </si>
  <si>
    <t>-2.2263808724307537</t>
  </si>
  <si>
    <t>1.1116285054936956</t>
  </si>
  <si>
    <t>2.3474820726142407</t>
  </si>
  <si>
    <t>0.663727613494308</t>
  </si>
  <si>
    <t>-0.6885908049025218</t>
  </si>
  <si>
    <t>-1.1180559533251815</t>
  </si>
  <si>
    <t>-1.9653683061089453</t>
  </si>
  <si>
    <t>0.32687928266474414</t>
  </si>
  <si>
    <t>0.9921219350874569</t>
  </si>
  <si>
    <t>-0.6148085839662208</t>
  </si>
  <si>
    <t>2.6034356469291273</t>
  </si>
  <si>
    <t>-1.586237645651707</t>
  </si>
  <si>
    <t>-0.8001730793352323</t>
  </si>
  <si>
    <t>1.6085593809744856</t>
  </si>
  <si>
    <t>3.4591636688156187</t>
  </si>
  <si>
    <t>1.0729694428204732</t>
  </si>
  <si>
    <t>-1.467295483538752</t>
  </si>
  <si>
    <t>1.4624346536420014</t>
  </si>
  <si>
    <t>0.3420333697678001</t>
  </si>
  <si>
    <t>-2.2413743158493884</t>
  </si>
  <si>
    <t>-0.8878194511579444</t>
  </si>
  <si>
    <t>-0.4297788171759357</t>
  </si>
  <si>
    <t>-0.5847107973099254</t>
  </si>
  <si>
    <t>2.338718486624203</t>
  </si>
  <si>
    <t>-0.12626266578303957</t>
  </si>
  <si>
    <t>-0.9194854095785772</t>
  </si>
  <si>
    <t>-2.2937204713355692</t>
  </si>
  <si>
    <t>-1.6675238100965024</t>
  </si>
  <si>
    <t>-0.7449539697653275</t>
  </si>
  <si>
    <t>-0.25171437158607907</t>
  </si>
  <si>
    <t>1.809243096014265</t>
  </si>
  <si>
    <t>-1.0426262969758382</t>
  </si>
  <si>
    <t>-0.23196083221423977</t>
  </si>
  <si>
    <t>-0.7315942768982014</t>
  </si>
  <si>
    <t>-0.5937124591866912</t>
  </si>
  <si>
    <t>0.4372625645342904</t>
  </si>
  <si>
    <t>-0.40689553057000566</t>
  </si>
  <si>
    <t>0.19147148280166504</t>
  </si>
  <si>
    <t>-1.2032330348758906</t>
  </si>
  <si>
    <t>2.571172851628359</t>
  </si>
  <si>
    <t>-1.7787191917878569</t>
  </si>
  <si>
    <t>-0.557443433392364</t>
  </si>
  <si>
    <t>0.07189366291560896</t>
  </si>
  <si>
    <t>0.7156999901309229</t>
  </si>
  <si>
    <t>-1.4292046009893185</t>
  </si>
  <si>
    <t>2.3298657176886333</t>
  </si>
  <si>
    <t>-3.6246281676829657</t>
  </si>
  <si>
    <t>0.7332836888590717</t>
  </si>
  <si>
    <t>2.158838985679158</t>
  </si>
  <si>
    <t>0.3306398871550474</t>
  </si>
  <si>
    <t>0.12957245537991907</t>
  </si>
  <si>
    <t>2.798944936958731</t>
  </si>
  <si>
    <t>0.35426541453735966</t>
  </si>
  <si>
    <t>1.5124238235775787</t>
  </si>
  <si>
    <t>3.0963820749168853</t>
  </si>
  <si>
    <t>-1.8299321143930116</t>
  </si>
  <si>
    <t>-1.3885078192478248</t>
  </si>
  <si>
    <t>-1.5782395290610414</t>
  </si>
  <si>
    <t>-0.7253205435162624</t>
  </si>
  <si>
    <t>1.3345037308749068</t>
  </si>
  <si>
    <t>-1.303117183954771</t>
  </si>
  <si>
    <t>-0.8553758144897483</t>
  </si>
  <si>
    <t>2.025275054789093</t>
  </si>
  <si>
    <t>-2.710997017246384</t>
  </si>
  <si>
    <t>-0.08183659363680885</t>
  </si>
  <si>
    <t>-0.07961391227476178</t>
  </si>
  <si>
    <t>0.8231409721121941</t>
  </si>
  <si>
    <t>-0.6663859982776168</t>
  </si>
  <si>
    <t>-2.3719720026269338</t>
  </si>
  <si>
    <t>5.663932669007578</t>
  </si>
  <si>
    <t>1.830369777467803</t>
  </si>
  <si>
    <t>-0.8510732686320986</t>
  </si>
  <si>
    <t>2.6450045433911935</t>
  </si>
  <si>
    <t>1.5813990103978053</t>
  </si>
  <si>
    <t>-2.4444561424529</t>
  </si>
  <si>
    <t>-2.6908060722032765</t>
  </si>
  <si>
    <t>1.4910689334112204</t>
  </si>
  <si>
    <t>-0.9823520618194443</t>
  </si>
  <si>
    <t>-1.1964875340932064</t>
  </si>
  <si>
    <t>0.7863437012699753</t>
  </si>
  <si>
    <t>-0.30197702818498895</t>
  </si>
  <si>
    <t>1.6811600662987543</t>
  </si>
  <si>
    <t>-0.05886071894337163</t>
  </si>
  <si>
    <t>-1.3897862208343845</t>
  </si>
  <si>
    <t>-2.5561528856930917</t>
  </si>
  <si>
    <t>0.3902089244979116</t>
  </si>
  <si>
    <t>-1.0059081739312885</t>
  </si>
  <si>
    <t>0.4112920423061177</t>
  </si>
  <si>
    <t>0.7050363957078944</t>
  </si>
  <si>
    <t>-0.5318624375271378</t>
  </si>
  <si>
    <t>2.8741518829755544</t>
  </si>
  <si>
    <t>-0.6734747364778038</t>
  </si>
  <si>
    <t>-0.7383663556247626</t>
  </si>
  <si>
    <t>-3.1919628363478183</t>
  </si>
  <si>
    <t>1.8098238390865002</t>
  </si>
  <si>
    <t>-0.15086582662146064</t>
  </si>
  <si>
    <t>-1.8917778232274287</t>
  </si>
  <si>
    <t>-0.03357875822840711</t>
  </si>
  <si>
    <t>0.07547057789839223</t>
  </si>
  <si>
    <t>0.3372131285513892</t>
  </si>
  <si>
    <t>-0.50527777934333</t>
  </si>
  <si>
    <t>-0.46004059846278256</t>
  </si>
  <si>
    <t>-2.0239834528722676</t>
  </si>
  <si>
    <t>0.7851109959563812</t>
  </si>
  <si>
    <t>0.6986175641199059</t>
  </si>
  <si>
    <t>3.722499523565051</t>
  </si>
  <si>
    <t>5.381824415648133</t>
  </si>
  <si>
    <t>2.179887695129208</t>
  </si>
  <si>
    <t>0.06217629403959569</t>
  </si>
  <si>
    <t>0.440794129237291</t>
  </si>
  <si>
    <t>-0.8820652400750594</t>
  </si>
  <si>
    <t>0.7107264698627973</t>
  </si>
  <si>
    <t>2.9016024250722587</t>
  </si>
  <si>
    <t>1.4052276575482212</t>
  </si>
  <si>
    <t>3.648500504487713</t>
  </si>
  <si>
    <t>3.0533805812772807</t>
  </si>
  <si>
    <t>-0.1557072542624536</t>
  </si>
  <si>
    <t>0.5688246280088074</t>
  </si>
  <si>
    <t>-1.893116741637857</t>
  </si>
  <si>
    <t>-1.1799181525566778</t>
  </si>
  <si>
    <t>3.194078374988009</t>
  </si>
  <si>
    <t>1.4583904311317648</t>
  </si>
  <si>
    <t>-0.09783396321448477</t>
  </si>
  <si>
    <t>-0.3952683262191106</t>
  </si>
  <si>
    <t>-0.597002003874339</t>
  </si>
  <si>
    <t>0.6499873512471604</t>
  </si>
  <si>
    <t>1.251957514408954</t>
  </si>
  <si>
    <t>-2.9458653006724727</t>
  </si>
  <si>
    <t>1.0432780841329843</t>
  </si>
  <si>
    <t>-1.2786183192867238</t>
  </si>
  <si>
    <t>0.3647495621714767</t>
  </si>
  <si>
    <t>3.31022107155287</t>
  </si>
  <si>
    <t>-1.3955213940509374</t>
  </si>
  <si>
    <t>0.3874475107936666</t>
  </si>
  <si>
    <t>3.7205352794622137</t>
  </si>
  <si>
    <t>3.0362038021769586</t>
  </si>
  <si>
    <t>0.772987012495366</t>
  </si>
  <si>
    <t>1.5066560104309452</t>
  </si>
  <si>
    <t>0.870020115822614</t>
  </si>
  <si>
    <t>1.9943588376957586</t>
  </si>
  <si>
    <t>-0.7708725168282702</t>
  </si>
  <si>
    <t>0.5077521845402471</t>
  </si>
  <si>
    <t>2.852289359387475</t>
  </si>
  <si>
    <t>0.1615187827889496</t>
  </si>
  <si>
    <t>2.2992385138646774</t>
  </si>
  <si>
    <t>-2.1398392602258034</t>
  </si>
  <si>
    <t>1.9431130781177561</t>
  </si>
  <si>
    <t>1.2246194617549526</t>
  </si>
  <si>
    <t>0.3448626499064666</t>
  </si>
  <si>
    <t>0.27011099956322476</t>
  </si>
  <si>
    <t>2.7366435511583376</t>
  </si>
  <si>
    <t>1.9391207496717429</t>
  </si>
  <si>
    <t>-1.1725356728499527</t>
  </si>
  <si>
    <t>0.76362970037953</t>
  </si>
  <si>
    <t>1.5208641288192362</t>
  </si>
  <si>
    <t>-1.3978354002339506</t>
  </si>
  <si>
    <t>-0.00785194062760889</t>
  </si>
  <si>
    <t>-1.760695592763525</t>
  </si>
  <si>
    <t>3.666867742656432</t>
  </si>
  <si>
    <t>3.4586379960563627</t>
  </si>
  <si>
    <t>3.066951165064444</t>
  </si>
  <si>
    <t>0.1575414190976405</t>
  </si>
  <si>
    <t>0.8026378175186312</t>
  </si>
  <si>
    <t>-1.9622667609359274</t>
  </si>
  <si>
    <t>1.3424097526217333</t>
  </si>
  <si>
    <t>-0.9335421821687595</t>
  </si>
  <si>
    <t>-0.04673591706098164</t>
  </si>
  <si>
    <t>-1.7370673887608357</t>
  </si>
  <si>
    <t>0.4407293634862198</t>
  </si>
  <si>
    <t>1.405930656113034</t>
  </si>
  <si>
    <t>-1.781600813866417</t>
  </si>
  <si>
    <t>-0.4415624511749322</t>
  </si>
  <si>
    <t>-2.010880782564761</t>
  </si>
  <si>
    <t>1.206310876180344</t>
  </si>
  <si>
    <t>-1.3174501274093724</t>
  </si>
  <si>
    <t>1.0509440657445248</t>
  </si>
  <si>
    <t>0.37412402095316494</t>
  </si>
  <si>
    <t>-1.6044592349229982</t>
  </si>
  <si>
    <t>0.5273876217887749</t>
  </si>
  <si>
    <t>1.379652023783555</t>
  </si>
  <si>
    <t>-2.320882654044793</t>
  </si>
  <si>
    <t>-0.7049064445049367</t>
  </si>
  <si>
    <t>-1.5057161837252926</t>
  </si>
  <si>
    <t>0.23657877405936492</t>
  </si>
  <si>
    <t>-0.8730729634942122</t>
  </si>
  <si>
    <t>2.777088216603982</t>
  </si>
  <si>
    <t>-0.8891316715524626</t>
  </si>
  <si>
    <t>1.553418873324197</t>
  </si>
  <si>
    <t>-0.9904752784403061</t>
  </si>
  <si>
    <t>-1.7226308629363065</t>
  </si>
  <si>
    <t>-0.6655426117562075</t>
  </si>
  <si>
    <t>0.7316966772962992</t>
  </si>
  <si>
    <t>-1.5423632484483991</t>
  </si>
  <si>
    <t>-0.7061289057466505</t>
  </si>
  <si>
    <t>-1.3915567207859674</t>
  </si>
  <si>
    <t>0.06083934737757744</t>
  </si>
  <si>
    <t>-0.2825900765466543</t>
  </si>
  <si>
    <t>0.055312909278698696</t>
  </si>
  <si>
    <t>1.0851942849946004</t>
  </si>
  <si>
    <t>-2.249444462113778</t>
  </si>
  <si>
    <t>1.2829790065498459</t>
  </si>
  <si>
    <t>0.128921585221321</t>
  </si>
  <si>
    <t>-0.42391502008452536</t>
  </si>
  <si>
    <t>1.1549370843316449</t>
  </si>
  <si>
    <t>-1.5013099561475318</t>
  </si>
  <si>
    <t>0.3609265457011373</t>
  </si>
  <si>
    <t>1.2837136137230132</t>
  </si>
  <si>
    <t>1.821794990372507</t>
  </si>
  <si>
    <t>-0.6316324854938445</t>
  </si>
  <si>
    <t>0.5648568920378503</t>
  </si>
  <si>
    <t>-0.07233822097722564</t>
  </si>
  <si>
    <t>-2.211989432145586</t>
  </si>
  <si>
    <t>-0.37813039763587436</t>
  </si>
  <si>
    <t>0.3237128483687198</t>
  </si>
  <si>
    <t>-1.3135848053432817</t>
  </si>
  <si>
    <t>0.7667754988817269</t>
  </si>
  <si>
    <t>-1.3280679428496704</t>
  </si>
  <si>
    <t>0.7659636250126168</t>
  </si>
  <si>
    <t>-0.21954441854461174</t>
  </si>
  <si>
    <t>-2.6925900008097874</t>
  </si>
  <si>
    <t>-0.340969821339104</t>
  </si>
  <si>
    <t>-0.1665198647350927</t>
  </si>
  <si>
    <t>-0.1034444456501396</t>
  </si>
  <si>
    <t>-1.1927788789774691</t>
  </si>
  <si>
    <t>0.43674841150396715</t>
  </si>
  <si>
    <t>-0.8611482595609966</t>
  </si>
  <si>
    <t>-0.6967534341029922</t>
  </si>
  <si>
    <t>0.009732866292947449</t>
  </si>
  <si>
    <t>1.988166747774476</t>
  </si>
  <si>
    <t>0.853505603556952</t>
  </si>
  <si>
    <t>-0.5270794323666866</t>
  </si>
  <si>
    <t>-0.7898761405490795</t>
  </si>
  <si>
    <t>2.3585537922651945</t>
  </si>
  <si>
    <t>-0.0916718965997483</t>
  </si>
  <si>
    <t>0.4443667629280244</t>
  </si>
  <si>
    <t>-2.0244957901051244</t>
  </si>
  <si>
    <t>-0.7468590381107223</t>
  </si>
  <si>
    <t>-0.8504771884309357</t>
  </si>
  <si>
    <t>-0.6686963569511747</t>
  </si>
  <si>
    <t>-1.3200081352237383</t>
  </si>
  <si>
    <t>-0.8662003584537646</t>
  </si>
  <si>
    <t>0.12180167157752805</t>
  </si>
  <si>
    <t>0.33706344673224276</t>
  </si>
  <si>
    <t>-1.8691513496964236</t>
  </si>
  <si>
    <t>-0.13505966385425122</t>
  </si>
  <si>
    <t>-0.5288747368827869</t>
  </si>
  <si>
    <t>2.8305962945130667</t>
  </si>
  <si>
    <t>0.3342337519786064</t>
  </si>
  <si>
    <t>1.5632863276418363</t>
  </si>
  <si>
    <t>-0.6674862863643505</t>
  </si>
  <si>
    <t>-0.07580844840301287</t>
  </si>
  <si>
    <t>-1.9374896317543628</t>
  </si>
  <si>
    <t>-1.6230623881079083</t>
  </si>
  <si>
    <t>-0.6607659117938836</t>
  </si>
  <si>
    <t>1.9444588030431524</t>
  </si>
  <si>
    <t>-0.3314140757549154</t>
  </si>
  <si>
    <t>-1.2913075898845408</t>
  </si>
  <si>
    <t>-0.7554962644824803</t>
  </si>
  <si>
    <t>-2.5031118419396163</t>
  </si>
  <si>
    <t>0.4658615487506122</t>
  </si>
  <si>
    <t>-1.1359042138991144</t>
  </si>
  <si>
    <t>0.5541614554315054</t>
  </si>
  <si>
    <t>0.3855655994525281</t>
  </si>
  <si>
    <t>1.1739360461355146</t>
  </si>
  <si>
    <t>-1.1943091465926248</t>
  </si>
  <si>
    <t>-0.265492347982023</t>
  </si>
  <si>
    <t>-0.21926057729869675</t>
  </si>
  <si>
    <t>-0.44363593482812524</t>
  </si>
  <si>
    <t>0.5281796188929495</t>
  </si>
  <si>
    <t>0.302527589334858</t>
  </si>
  <si>
    <t>1.6533622015206642</t>
  </si>
  <si>
    <t>-1.694843143222151</t>
  </si>
  <si>
    <t>-0.6934953805622761</t>
  </si>
  <si>
    <t>0.1811013975099938</t>
  </si>
  <si>
    <t>-1.0728080440577954</t>
  </si>
  <si>
    <t>0.0924873826488421</t>
  </si>
  <si>
    <t>0.6497029417269384</t>
  </si>
  <si>
    <t>0.09376313654979906</t>
  </si>
  <si>
    <t>1.4663383609917207</t>
  </si>
  <si>
    <t>-0.12382197272293834</t>
  </si>
  <si>
    <t>-1.5533484780565234</t>
  </si>
  <si>
    <t>-0.3662102065776163</t>
  </si>
  <si>
    <t>-0.15727732378843534</t>
  </si>
  <si>
    <t>0.8233037874186716</t>
  </si>
  <si>
    <t>0.9200805255901515</t>
  </si>
  <si>
    <t>-0.561549142963787</t>
  </si>
  <si>
    <t>1.8229284477864125</t>
  </si>
  <si>
    <t>0.2992035662347352</t>
  </si>
  <si>
    <t>-0.3010640142351505</t>
  </si>
  <si>
    <t>0.2218191543644327</t>
  </si>
  <si>
    <t>1.2216661459969729</t>
  </si>
  <si>
    <t>1.089010900624285</t>
  </si>
  <si>
    <t>2.181978335766034</t>
  </si>
  <si>
    <t>0.15460412306587412</t>
  </si>
  <si>
    <t>-0.4344385407777296</t>
  </si>
  <si>
    <t>-0.2657341831052167</t>
  </si>
  <si>
    <t>-1.1589985863428476</t>
  </si>
  <si>
    <t>0.26756206059997256</t>
  </si>
  <si>
    <t>-0.39201702368780783</t>
  </si>
  <si>
    <t>-0.2986880648541727</t>
  </si>
  <si>
    <t>0.5805644786843134</t>
  </si>
  <si>
    <t>1.0916392927178944</t>
  </si>
  <si>
    <t>1.720302522201667</t>
  </si>
  <si>
    <t>3.609800932773493</t>
  </si>
  <si>
    <t>-0.48310585049209426</t>
  </si>
  <si>
    <t>1.0035778988228525</t>
  </si>
  <si>
    <t>1.9226610122907706</t>
  </si>
  <si>
    <t>-0.006988567436533465</t>
  </si>
  <si>
    <t>0.1382707815625027</t>
  </si>
  <si>
    <t>4.388919705968808</t>
  </si>
  <si>
    <t>0.8420698378107331</t>
  </si>
  <si>
    <t>-1.0971622903913107</t>
  </si>
  <si>
    <t>-0.3668975740812822</t>
  </si>
  <si>
    <t>0.7482757965648724</t>
  </si>
  <si>
    <t>-1.057078348536083</t>
  </si>
  <si>
    <t>-0.6392811282184051</t>
  </si>
  <si>
    <t>-0.29899751382169343</t>
  </si>
  <si>
    <t>-1.4483331600833116</t>
  </si>
  <si>
    <t>-0.6944158867985514</t>
  </si>
  <si>
    <t>0.6102283745242741</t>
  </si>
  <si>
    <t>0.46239950058327045</t>
  </si>
  <si>
    <t>-2.516521513638341</t>
  </si>
  <si>
    <t>0.14434163471330785</t>
  </si>
  <si>
    <t>-0.3035891669959845</t>
  </si>
  <si>
    <t>-0.7058995404698081</t>
  </si>
  <si>
    <t>1.7716919340631438</t>
  </si>
  <si>
    <t>-0.5507632126239516</t>
  </si>
  <si>
    <t>-0.21242679157202302</t>
  </si>
  <si>
    <t>-0.9446266743933072</t>
  </si>
  <si>
    <t>-0.2724246651638006</t>
  </si>
  <si>
    <t>-1.6023848511575958</t>
  </si>
  <si>
    <t>-0.360559513054841</t>
  </si>
  <si>
    <t>2.091660775080518</t>
  </si>
  <si>
    <t>1.7152454828670844</t>
  </si>
  <si>
    <t>-2.5790185064761415</t>
  </si>
  <si>
    <t>-1.4097574250283298</t>
  </si>
  <si>
    <t>-0.35347896006361623</t>
  </si>
  <si>
    <t>-0.1772218103845213</t>
  </si>
  <si>
    <t>0.011417812518261109</t>
  </si>
  <si>
    <t>1.5950572305602304</t>
  </si>
  <si>
    <t>-1.8182063469811707</t>
  </si>
  <si>
    <t>-1.2713656852863506</t>
  </si>
  <si>
    <t>-0.5403119857223374</t>
  </si>
  <si>
    <t>-0.37762335544231246</t>
  </si>
  <si>
    <t>-1.5431086134055394</t>
  </si>
  <si>
    <t>-0.10727165036470317</t>
  </si>
  <si>
    <t>-0.5749158733834114</t>
  </si>
  <si>
    <t>0.6871063596948552</t>
  </si>
  <si>
    <t>-0.140861350524032</t>
  </si>
  <si>
    <t>-1.0924280866033833</t>
  </si>
  <si>
    <t>-1.1180176230430068</t>
  </si>
  <si>
    <t>-1.2270818260228575</t>
  </si>
  <si>
    <t>1.1836775961351202</t>
  </si>
  <si>
    <t>2.519954947222007</t>
  </si>
  <si>
    <t>0.08419859779017777</t>
  </si>
  <si>
    <t>0.49353046295322583</t>
  </si>
  <si>
    <t>0.9835235045977382</t>
  </si>
  <si>
    <t>0.5189832637423664</t>
  </si>
  <si>
    <t>0.9471427701540303</t>
  </si>
  <si>
    <t>-1.1876745205911812</t>
  </si>
  <si>
    <t>-0.8890922154131907</t>
  </si>
  <si>
    <t>-2.3250280522582027</t>
  </si>
  <si>
    <t>2.6327193646921048</t>
  </si>
  <si>
    <t>0.1472821108233324</t>
  </si>
  <si>
    <t>-0.559472879753049</t>
  </si>
  <si>
    <t>0.22465707595009313</t>
  </si>
  <si>
    <t>0.24440746268405353</t>
  </si>
  <si>
    <t>-1.190611918837058</t>
  </si>
  <si>
    <t>0.7892290965774396</t>
  </si>
  <si>
    <t>-0.8278764549425063</t>
  </si>
  <si>
    <t>1.7530604408658668</t>
  </si>
  <si>
    <t>0.33101596828003965</t>
  </si>
  <si>
    <t>1.7262761643226352</t>
  </si>
  <si>
    <t>-0.619220925696746</t>
  </si>
  <si>
    <t>-0.17488982524703925</t>
  </si>
  <si>
    <t>-1.8366032472974336</t>
  </si>
  <si>
    <t>0.18160940401348113</t>
  </si>
  <si>
    <t>-3.136184671645238</t>
  </si>
  <si>
    <t>-1.1098374662936557</t>
  </si>
  <si>
    <t>-0.7121286476062628</t>
  </si>
  <si>
    <t>1.4270946219568326</t>
  </si>
  <si>
    <t>2.524436025799882</t>
  </si>
  <si>
    <t>-0.9171522375681509</t>
  </si>
  <si>
    <t>-0.07940313882429183</t>
  </si>
  <si>
    <t>2.8691076012948002</t>
  </si>
  <si>
    <t>2.4653783676780736</t>
  </si>
  <si>
    <t>0.9077760884453727</t>
  </si>
  <si>
    <t>-0.4256587516785635</t>
  </si>
  <si>
    <t>-3.469778253592871</t>
  </si>
  <si>
    <t>-2.6077959446537817</t>
  </si>
  <si>
    <t>0.03887030091197084</t>
  </si>
  <si>
    <t>-0.059519350692618496</t>
  </si>
  <si>
    <t>-1.6304483019652045</t>
  </si>
  <si>
    <t>-0.7298611854842331</t>
  </si>
  <si>
    <t>0.23953686675412778</t>
  </si>
  <si>
    <t>-0.7339979310832401</t>
  </si>
  <si>
    <t>1.3891926845634748</t>
  </si>
  <si>
    <t>1.8150873839019652</t>
  </si>
  <si>
    <t>-1.2906964191604988</t>
  </si>
  <si>
    <t>1.9361016892494032</t>
  </si>
  <si>
    <t>0.269335294115211</t>
  </si>
  <si>
    <t>2.070208827915482</t>
  </si>
  <si>
    <t>-1.8669179588476572</t>
  </si>
  <si>
    <t>2.036772523636306</t>
  </si>
  <si>
    <t>-0.3132235716739534</t>
  </si>
  <si>
    <t>2.7380732850939404</t>
  </si>
  <si>
    <t>1.289058713627534</t>
  </si>
  <si>
    <t>0.8179416166087529</t>
  </si>
  <si>
    <t>0.923473149969508</t>
  </si>
  <si>
    <t>1.0398234322151696</t>
  </si>
  <si>
    <t>1.2855884711198633</t>
  </si>
  <si>
    <t>-1.2171771015528887</t>
  </si>
  <si>
    <t>-1.7166147364557185</t>
  </si>
  <si>
    <t>-3.449745014140847</t>
  </si>
  <si>
    <t>2.456538728130979</t>
  </si>
  <si>
    <t>-2.20662023461864</t>
  </si>
  <si>
    <t>1.1710915516072893</t>
  </si>
  <si>
    <t>-1.4256960938772012</t>
  </si>
  <si>
    <t>-0.40514693553158554</t>
  </si>
  <si>
    <t>-0.5636334343166192</t>
  </si>
  <si>
    <t>0.10438321291476754</t>
  </si>
  <si>
    <t>0.1717454469185612</t>
  </si>
  <si>
    <t>1.3831631471007118</t>
  </si>
  <si>
    <t>0.08717629387450435</t>
  </si>
  <si>
    <t>-0.47163923070472924</t>
  </si>
  <si>
    <t>-0.46522122211568573</t>
  </si>
  <si>
    <t>-0.5110495676478387</t>
  </si>
  <si>
    <t>2.0552928313978334</t>
  </si>
  <si>
    <t>-0.02810627054859629</t>
  </si>
  <si>
    <t>0.5684625487878082</t>
  </si>
  <si>
    <t>-0.609625381988573</t>
  </si>
  <si>
    <t>1.5241873659140401</t>
  </si>
  <si>
    <t>-1.4740815515073367</t>
  </si>
  <si>
    <t>-0.36517723510006067</t>
  </si>
  <si>
    <t>-0.33783633596455764</t>
  </si>
  <si>
    <t>-0.33221372883694555</t>
  </si>
  <si>
    <t>1.3092678669819007</t>
  </si>
  <si>
    <t>-1.2895474163102012</t>
  </si>
  <si>
    <t>-0.9448476965572044</t>
  </si>
  <si>
    <t>-0.09801961892124035</t>
  </si>
  <si>
    <t>-0.2370877084205175</t>
  </si>
  <si>
    <t>0.20002443991017946</t>
  </si>
  <si>
    <t>-0.42612464834761565</t>
  </si>
  <si>
    <t>-0.08374734946592884</t>
  </si>
  <si>
    <t>1.416076830855966</t>
  </si>
  <si>
    <t>-1.2546788856319533</t>
  </si>
  <si>
    <t>-0.3889813599341443</t>
  </si>
  <si>
    <t>0.11324973194644582</t>
  </si>
  <si>
    <t>-1.0829188876517433</t>
  </si>
  <si>
    <t>0.009648426438985875</t>
  </si>
  <si>
    <t>-0.5521215070577487</t>
  </si>
  <si>
    <t>0.82332713477531</t>
  </si>
  <si>
    <t>0.361203171753053</t>
  </si>
  <si>
    <t>0.16274759639509223</t>
  </si>
  <si>
    <t>-0.10443563349568451</t>
  </si>
  <si>
    <t>0.4768372025300307</t>
  </si>
  <si>
    <t>0.36864193445092774</t>
  </si>
  <si>
    <t>0.541900578719181</t>
  </si>
  <si>
    <t>0.6047743899023109</t>
  </si>
  <si>
    <t>-0.42931703444263414</t>
  </si>
  <si>
    <t>-0.9574459785253366</t>
  </si>
  <si>
    <t>-0.02714665408438614</t>
  </si>
  <si>
    <t>-0.16863164509831524</t>
  </si>
  <si>
    <t>0.11650066924642473</t>
  </si>
  <si>
    <t>0.5199590776779569</t>
  </si>
  <si>
    <t>-0.8358183065124322</t>
  </si>
  <si>
    <t>0.9186865355988004</t>
  </si>
  <si>
    <t>-0.427603358426265</t>
  </si>
  <si>
    <t>-1.2490411563278772</t>
  </si>
  <si>
    <t>0.36720041142188625</t>
  </si>
  <si>
    <t>0.5670473356506143</t>
  </si>
  <si>
    <t>-0.034372863416621394</t>
  </si>
  <si>
    <t>-0.15575977051596415</t>
  </si>
  <si>
    <t>0.47723371830220945</t>
  </si>
  <si>
    <t>-1.1692614151170875</t>
  </si>
  <si>
    <t>-0.622429374285148</t>
  </si>
  <si>
    <t>-0.1296785062796327</t>
  </si>
  <si>
    <t>-0.3367837057104701</t>
  </si>
  <si>
    <t>-0.4714191231597305</t>
  </si>
  <si>
    <t>0.0984564008508532</t>
  </si>
  <si>
    <t>0.422937400960027</t>
  </si>
  <si>
    <t>-0.5851890279878317</t>
  </si>
  <si>
    <t>-0.07700994865342935</t>
  </si>
  <si>
    <t>-0.11194852514205048</t>
  </si>
  <si>
    <t>-0.1733128799382048</t>
  </si>
  <si>
    <t>0.905554898400339</t>
  </si>
  <si>
    <t>-0.8061996030502269</t>
  </si>
  <si>
    <t>-1.0673004042052294</t>
  </si>
  <si>
    <t>0.9152838164370084</t>
  </si>
  <si>
    <t>0.3241188945186314</t>
  </si>
  <si>
    <t>0.538539838061001</t>
  </si>
  <si>
    <t>-0.6122262232014665</t>
  </si>
  <si>
    <t>1.0971157780555676</t>
  </si>
  <si>
    <t>-1.5113329904834372</t>
  </si>
  <si>
    <t>-0.20030303153529497</t>
  </si>
  <si>
    <t>-1.5815290066552996</t>
  </si>
  <si>
    <t>-0.29245069041410116</t>
  </si>
  <si>
    <t>-0.4418256483244175</t>
  </si>
  <si>
    <t>0.059787933742099085</t>
  </si>
  <si>
    <t>0.5821634696424496</t>
  </si>
  <si>
    <t>-0.2727606178600215</t>
  </si>
  <si>
    <t>0.37472076107043467</t>
  </si>
  <si>
    <t>0.2906654550416106</t>
  </si>
  <si>
    <t>-0.007389941184423853</t>
  </si>
  <si>
    <t>0.6650651760723364</t>
  </si>
  <si>
    <t>-0.07075229163494813</t>
  </si>
  <si>
    <t>0.7334913358154224</t>
  </si>
  <si>
    <t>0.5406737288100548</t>
  </si>
  <si>
    <t>-0.20589412160825682</t>
  </si>
  <si>
    <t>0.2713931028471259</t>
  </si>
  <si>
    <t>-0.015227549498046956</t>
  </si>
  <si>
    <t>0.4792198044527038</t>
  </si>
  <si>
    <t>0.3315819167349814</t>
  </si>
  <si>
    <t>-0.29760693402945965</t>
  </si>
  <si>
    <t>-0.7324188997958831</t>
  </si>
  <si>
    <t>0.9676834036617022</t>
  </si>
  <si>
    <t>-0.1408567099539855</t>
  </si>
  <si>
    <t>0.7319844265716653</t>
  </si>
  <si>
    <t>0.739183844189746</t>
  </si>
  <si>
    <t>0.6035275894456699</t>
  </si>
  <si>
    <t>-0.8256488859160884</t>
  </si>
  <si>
    <t>0.18754460423930638</t>
  </si>
  <si>
    <t>-0.2222681986945699</t>
  </si>
  <si>
    <t>-1.0344366892536705</t>
  </si>
  <si>
    <t>-0.7104477326372894</t>
  </si>
  <si>
    <t>0.27191533861005784</t>
  </si>
  <si>
    <t>0.6380481397643376</t>
  </si>
  <si>
    <t>0.047738746594276786</t>
  </si>
  <si>
    <t>-0.07612902645827159</t>
  </si>
  <si>
    <t>-0.9551990381692332</t>
  </si>
  <si>
    <t>-0.7066395357676905</t>
  </si>
  <si>
    <t>1.5480847683751509</t>
  </si>
  <si>
    <t>-1.1674985041247474</t>
  </si>
  <si>
    <t>0.9615185189257194</t>
  </si>
  <si>
    <t>-1.32159351506638</t>
  </si>
  <si>
    <t>0.7931688503966763</t>
  </si>
  <si>
    <t>-0.07286326291983043</t>
  </si>
  <si>
    <t>0.28220565654262264</t>
  </si>
  <si>
    <t>-0.28404281704693474</t>
  </si>
  <si>
    <t>-0.7001624509451715</t>
  </si>
  <si>
    <t>0.6123757287528138</t>
  </si>
  <si>
    <t>0.5796616541663987</t>
  </si>
  <si>
    <t>-0.7487279037696718</t>
  </si>
  <si>
    <t>-0.7216594017953999</t>
  </si>
  <si>
    <t>-0.918241812270612</t>
  </si>
  <si>
    <t>-0.08298070366825595</t>
  </si>
  <si>
    <t>-0.3155911665070108</t>
  </si>
  <si>
    <t>-0.7908143992014968</t>
  </si>
  <si>
    <t>0.30531137243118367</t>
  </si>
  <si>
    <t>0.3354288143861225</t>
  </si>
  <si>
    <t>-0.0926598382373461</t>
  </si>
  <si>
    <t>-0.2759589035388086</t>
  </si>
  <si>
    <t>0.03684255432826701</t>
  </si>
  <si>
    <t>-0.04282014418338745</t>
  </si>
  <si>
    <t>-0.8860714622144219</t>
  </si>
  <si>
    <t>1.196405299698342</t>
  </si>
  <si>
    <t>-1.0822761976070012</t>
  </si>
  <si>
    <t>-0.35151780111381603</t>
  </si>
  <si>
    <t>0.6847598127159863</t>
  </si>
  <si>
    <t>-0.2725097861671839</t>
  </si>
  <si>
    <t>-1.3303426389461226</t>
  </si>
  <si>
    <t>1.4341906397207134</t>
  </si>
  <si>
    <t>0.02026661759045671</t>
  </si>
  <si>
    <t>-0.6964818038754933</t>
  </si>
  <si>
    <t>0.6100653275293143</t>
  </si>
  <si>
    <t>-0.292135934340433</t>
  </si>
  <si>
    <t>-0.23757327309500384</t>
  </si>
  <si>
    <t>-0.14091072209192945</t>
  </si>
  <si>
    <t>0.07105054617462879</t>
  </si>
  <si>
    <t>0.1404915792709217</t>
  </si>
  <si>
    <t>-0.020589861563605677</t>
  </si>
  <si>
    <t>0.6053725112660617</t>
  </si>
  <si>
    <t>-0.35074113282674363</t>
  </si>
  <si>
    <t>-0.1528229231662712</t>
  </si>
  <si>
    <t>-0.13564535624643037</t>
  </si>
  <si>
    <t>-0.010813661354344079</t>
  </si>
  <si>
    <t>0.26823332415522727</t>
  </si>
  <si>
    <t>-0.23646924606104705</t>
  </si>
  <si>
    <t>1.2133384719951528</t>
  </si>
  <si>
    <t>-0.04931711977140176</t>
  </si>
  <si>
    <t>-0.6327000748440217</t>
  </si>
  <si>
    <t>0.3886404392865199</t>
  </si>
  <si>
    <t>-0.523535297397267</t>
  </si>
  <si>
    <t>-0.37600003268022647</t>
  </si>
  <si>
    <t>0.05987408111480987</t>
  </si>
  <si>
    <t>0.671474776366069</t>
  </si>
  <si>
    <t>0.20006005637046176</t>
  </si>
  <si>
    <t>0.7271653501571865</t>
  </si>
  <si>
    <t>0.12459551586703879</t>
  </si>
  <si>
    <t>-0.15230946644922758</t>
  </si>
  <si>
    <t>1.5920712951964258</t>
  </si>
  <si>
    <t>0.35166906970127365</t>
  </si>
  <si>
    <t>0.2612093762589004</t>
  </si>
  <si>
    <t>0.37196752695124335</t>
  </si>
  <si>
    <t>0.16275290755051341</t>
  </si>
  <si>
    <t>0.06993743983465255</t>
  </si>
  <si>
    <t>-0.562548702397221</t>
  </si>
  <si>
    <t>-1.0549215121414837</t>
  </si>
  <si>
    <t>-0.2728131082680835</t>
  </si>
  <si>
    <t>-0.7612782639934225</t>
  </si>
  <si>
    <t>0.0548736648732944</t>
  </si>
  <si>
    <t>0.012498702651028919</t>
  </si>
  <si>
    <t>1.1254008688667387</t>
  </si>
  <si>
    <t>-0.8482437510273224</t>
  </si>
  <si>
    <t>-0.21493031217145195</t>
  </si>
  <si>
    <t>0.4456348274943452</t>
  </si>
  <si>
    <t>-0.27177168578226246</t>
  </si>
  <si>
    <t>0.14650903835629822</t>
  </si>
  <si>
    <t>-0.5192066137139381</t>
  </si>
  <si>
    <t>0.44717619332272496</t>
  </si>
  <si>
    <t>-0.32502580105201706</t>
  </si>
  <si>
    <t>-0.12159402705318416</t>
  </si>
  <si>
    <t>-0.7716144329364626</t>
  </si>
  <si>
    <t>0.7011687494131094</t>
  </si>
  <si>
    <t>-0.2883086174908595</t>
  </si>
  <si>
    <t>0.9259939358808653</t>
  </si>
  <si>
    <t>0.7995664401185291</t>
  </si>
  <si>
    <t>0.04479972089459923</t>
  </si>
  <si>
    <t>0.21563176718449192</t>
  </si>
  <si>
    <t>-1.4592742679377897</t>
  </si>
  <si>
    <t>0.25209781764688427</t>
  </si>
  <si>
    <t>-0.5863205438507514</t>
  </si>
  <si>
    <t>0.641744196923748</t>
  </si>
  <si>
    <t>-0.7952409127022814</t>
  </si>
  <si>
    <t>0.5356954478582702</t>
  </si>
  <si>
    <t>1.6185925504244856</t>
  </si>
  <si>
    <t>-0.79544208156312</t>
  </si>
  <si>
    <t>-0.14945775765852692</t>
  </si>
  <si>
    <t>0.056346334595551675</t>
  </si>
  <si>
    <t>-0.028824989606743436</t>
  </si>
  <si>
    <t>-0.15178462975764187</t>
  </si>
  <si>
    <t>0.39288127730236716</t>
  </si>
  <si>
    <t>-0.16056578306846778</t>
  </si>
  <si>
    <t>-0.6801856645630971</t>
  </si>
  <si>
    <t>0.43986087459013934</t>
  </si>
  <si>
    <t>0.5936453292991722</t>
  </si>
  <si>
    <t>-1.1166111648455272</t>
  </si>
  <si>
    <t>-1.9034807525115962</t>
  </si>
  <si>
    <t>-1.159616382714882</t>
  </si>
  <si>
    <t>0.6173889502084308</t>
  </si>
  <si>
    <t>0.7513816731176969</t>
  </si>
  <si>
    <t>-0.2794890420493512</t>
  </si>
  <si>
    <t>-0.6858235168192895</t>
  </si>
  <si>
    <t>-1.2889784841235201</t>
  </si>
  <si>
    <t>0.13740926462470698</t>
  </si>
  <si>
    <t>-0.2511981416637728</t>
  </si>
  <si>
    <t>0.5818818827063788</t>
  </si>
  <si>
    <t>-0.598239098011792</t>
  </si>
  <si>
    <t>0.43703198958309597</t>
  </si>
  <si>
    <t>-0.7657746886530589</t>
  </si>
  <si>
    <t>0.7605514145599186</t>
  </si>
  <si>
    <t>-0.3463109241236086</t>
  </si>
  <si>
    <t>-0.15802596395346202</t>
  </si>
  <si>
    <t>-0.28132902417818206</t>
  </si>
  <si>
    <t>-0.4820574197453769</t>
  </si>
  <si>
    <t>0.2797201169244956</t>
  </si>
  <si>
    <t>0.09342415349624161</t>
  </si>
  <si>
    <t>0.11786261920957049</t>
  </si>
  <si>
    <t>0.6342841529374557</t>
  </si>
  <si>
    <t>-0.8285101322398458</t>
  </si>
  <si>
    <t>-1.9504453569720133</t>
  </si>
  <si>
    <t>0.6214100942830343</t>
  </si>
  <si>
    <t>-2.437248558992792</t>
  </si>
  <si>
    <t>2.1707759999404312</t>
  </si>
  <si>
    <t>1.7751078116902002</t>
  </si>
  <si>
    <t>-1.2622739024631815</t>
  </si>
  <si>
    <t>-0.9056691801909683</t>
  </si>
  <si>
    <t>-0.5282078537310445</t>
  </si>
  <si>
    <t>0.7706478214270353</t>
  </si>
  <si>
    <t>-0.8175915821677889</t>
  </si>
  <si>
    <t>1.0059458254442628</t>
  </si>
  <si>
    <t>0.5003486643862013</t>
  </si>
  <si>
    <t>-0.37360608889302105</t>
  </si>
  <si>
    <t>-0.7602642154627868</t>
  </si>
  <si>
    <t>-0.9702136079073469</t>
  </si>
  <si>
    <t>0.9833909414322501</t>
  </si>
  <si>
    <t>0.7846493646949506</t>
  </si>
  <si>
    <t>-0.7563129505400598</t>
  </si>
  <si>
    <t>0.26391535383155934</t>
  </si>
  <si>
    <t>-2.6599938531753677</t>
  </si>
  <si>
    <t>-0.19291394434720893</t>
  </si>
  <si>
    <t>-1.1818541996751002</t>
  </si>
  <si>
    <t>-0.31964779744330485</t>
  </si>
  <si>
    <t>-0.23645882545959523</t>
  </si>
  <si>
    <t>-0.09527784608620118</t>
  </si>
  <si>
    <t>-0.11721061942375358</t>
  </si>
  <si>
    <t>-1.344841437622678</t>
  </si>
  <si>
    <t>0.514326084962048</t>
  </si>
  <si>
    <t>-0.08622720335973605</t>
  </si>
  <si>
    <t>-0.3000868697675976</t>
  </si>
  <si>
    <t>-0.2037091479283478</t>
  </si>
  <si>
    <t>0.2611259350540364</t>
  </si>
  <si>
    <t>0.26047987311720155</t>
  </si>
  <si>
    <t>0.06242816620121893</t>
  </si>
  <si>
    <t>-0.531811613380061</t>
  </si>
  <si>
    <t>-1.338852959439669</t>
  </si>
  <si>
    <t>-1.1670232831204095</t>
  </si>
  <si>
    <t>2.322418862439282</t>
  </si>
  <si>
    <t>-0.2307663409268975</t>
  </si>
  <si>
    <t>0.13259979813242576</t>
  </si>
  <si>
    <t>-1.048610844546879</t>
  </si>
  <si>
    <t>-0.044104326088473166</t>
  </si>
  <si>
    <t>0.27079580908843154</t>
  </si>
  <si>
    <t>0.02992966132943481</t>
  </si>
  <si>
    <t>0.30748179233017503</t>
  </si>
  <si>
    <t>-0.850298530989269</t>
  </si>
  <si>
    <t>-0.16819298499116342</t>
  </si>
  <si>
    <t>-0.26337218495735776</t>
  </si>
  <si>
    <t>-0.20424416375135754</t>
  </si>
  <si>
    <t>-0.7929042741395508</t>
  </si>
  <si>
    <t>-0.8082064926373618</t>
  </si>
  <si>
    <t>-0.9967070884799529</t>
  </si>
  <si>
    <t>-0.26756324470635334</t>
  </si>
  <si>
    <t>-0.10767490233688543</t>
  </si>
  <si>
    <t>1.4919103605185413</t>
  </si>
  <si>
    <t>0.6738893532044244</t>
  </si>
  <si>
    <t>0.7679724076689058</t>
  </si>
  <si>
    <t>-0.3433838453151409</t>
  </si>
  <si>
    <t>-0.3333928083556308</t>
  </si>
  <si>
    <t>1.2210648608300065</t>
  </si>
  <si>
    <t>-0.21251611340852009</t>
  </si>
  <si>
    <t>0.47316813946617603</t>
  </si>
  <si>
    <t>0.26373890153496016</t>
  </si>
  <si>
    <t>0.24733878150304192</t>
  </si>
  <si>
    <t>0.4235720565145353</t>
  </si>
  <si>
    <t>0.2862756481648215</t>
  </si>
  <si>
    <t>0.2039617696330185</t>
  </si>
  <si>
    <t>0.06132257131218519</t>
  </si>
  <si>
    <t>0.31022581032617413</t>
  </si>
  <si>
    <t>-1.018858580303279</t>
  </si>
  <si>
    <t>-0.35282053573136973</t>
  </si>
  <si>
    <t>-0.6718900650644476</t>
  </si>
  <si>
    <t>-0.5267017420248593</t>
  </si>
  <si>
    <t>-1.165938286856989</t>
  </si>
  <si>
    <t>0.9137675169601982</t>
  </si>
  <si>
    <t>1.0582107679515522</t>
  </si>
  <si>
    <t>-0.3824262514003894</t>
  </si>
  <si>
    <t>1.2829682995501637</t>
  </si>
  <si>
    <t>0.37698139369984823</t>
  </si>
  <si>
    <t>-0.45260966532195573</t>
  </si>
  <si>
    <t>-0.08650242218897551</t>
  </si>
  <si>
    <t>0.16321195761295856</t>
  </si>
  <si>
    <t>0.9166382085277778</t>
  </si>
  <si>
    <t>2.9129322317158004</t>
  </si>
  <si>
    <t>-0.5902524704831446</t>
  </si>
  <si>
    <t>-0.516390968558149</t>
  </si>
  <si>
    <t>-0.33102799596790766</t>
  </si>
  <si>
    <t>-0.0739666906278377</t>
  </si>
  <si>
    <t>-0.7025839733480488</t>
  </si>
  <si>
    <t>0.26101950123675394</t>
  </si>
  <si>
    <t>0.988574213328937</t>
  </si>
  <si>
    <t>0.2238468457337222</t>
  </si>
  <si>
    <t>0.36569900875453654</t>
  </si>
  <si>
    <t>-1.0891842096074456</t>
  </si>
  <si>
    <t>-1.2362861302221586</t>
  </si>
  <si>
    <t>1.198946151822432</t>
  </si>
  <si>
    <t>1.4569034154654206</t>
  </si>
  <si>
    <t>-0.18566819977108617</t>
  </si>
  <si>
    <t>1.1973972335216203</t>
  </si>
  <si>
    <t>-1.859120201554314</t>
  </si>
  <si>
    <t>1.785541257898179</t>
  </si>
  <si>
    <t>-0.44966051182542444</t>
  </si>
  <si>
    <t>-1.08897372883031</t>
  </si>
  <si>
    <t>1.2831840538278483</t>
  </si>
  <si>
    <t>-0.06266749795237485</t>
  </si>
  <si>
    <t>0.43822101872948915</t>
  </si>
  <si>
    <t>-0.19571364189437046</t>
  </si>
  <si>
    <t>-1.4386830972437312</t>
  </si>
  <si>
    <t>-0.2623287201114579</t>
  </si>
  <si>
    <t>2.579527887603978</t>
  </si>
  <si>
    <t>0.7925364501251148</t>
  </si>
  <si>
    <t>-0.4313791281505522</t>
  </si>
  <si>
    <t>1.3928779607007882</t>
  </si>
  <si>
    <t>1.6057517400464425</t>
  </si>
  <si>
    <t>1.970265880634972</t>
  </si>
  <si>
    <t>0.27944136904304734</t>
  </si>
  <si>
    <t>0.6009671162049718</t>
  </si>
  <si>
    <t>0.6141389783843177</t>
  </si>
  <si>
    <t>-0.043771894468187744</t>
  </si>
  <si>
    <t>-0.6843704171916931</t>
  </si>
  <si>
    <t>-1.1203925813594857</t>
  </si>
  <si>
    <t>1.017301813188185</t>
  </si>
  <si>
    <t>-0.016200546979147995</t>
  </si>
  <si>
    <t>-1.0478854655445338</t>
  </si>
  <si>
    <t>1.6725333663474953</t>
  </si>
  <si>
    <t>-0.26743664250628013</t>
  </si>
  <si>
    <t>-0.07008150714838075</t>
  </si>
  <si>
    <t>0.31180533006342265</t>
  </si>
  <si>
    <t>-1.4371881313331527</t>
  </si>
  <si>
    <t>-0.3713188969302651</t>
  </si>
  <si>
    <t>0.7657095191517669</t>
  </si>
  <si>
    <t>-0.5317215227697117</t>
  </si>
  <si>
    <t>-1.2801265904566836</t>
  </si>
  <si>
    <t>0.3342249841958427</t>
  </si>
  <si>
    <t>2.5509354850082833</t>
  </si>
  <si>
    <t>0.42295288186878455</t>
  </si>
  <si>
    <t>0.17100641050632054</t>
  </si>
  <si>
    <t>-0.6263671460581557</t>
  </si>
  <si>
    <t>-1.3178149231763838</t>
  </si>
  <si>
    <t>0.12377702748293502</t>
  </si>
  <si>
    <t>2.183823331420616</t>
  </si>
  <si>
    <t>1.1712938853776849</t>
  </si>
  <si>
    <t>1.1175066588363367</t>
  </si>
  <si>
    <t>-2.5674690884272806</t>
  </si>
  <si>
    <t>0.5153496994146354</t>
  </si>
  <si>
    <t>-0.8766495429951157</t>
  </si>
  <si>
    <t>-0.380787206400562</t>
  </si>
  <si>
    <t>-1.1044134584987735</t>
  </si>
  <si>
    <t>0.6462612806655027</t>
  </si>
  <si>
    <t>0.6570619871434475</t>
  </si>
  <si>
    <t>-0.16531015595993429</t>
  </si>
  <si>
    <t>0.6657199555229204</t>
  </si>
  <si>
    <t>-0.19924735326966583</t>
  </si>
  <si>
    <t>-0.3856029632460209</t>
  </si>
  <si>
    <t>-1.0342621753819916</t>
  </si>
  <si>
    <t>0.5173118154792823</t>
  </si>
  <si>
    <t>-0.33710327935422635</t>
  </si>
  <si>
    <t>0.8261972792649616</t>
  </si>
  <si>
    <t>-0.5518296874713129</t>
  </si>
  <si>
    <t>0.6116031839953279</t>
  </si>
  <si>
    <t>-0.5283923354727572</t>
  </si>
  <si>
    <t>0.829341987124222</t>
  </si>
  <si>
    <t>-0.4775211788126572</t>
  </si>
  <si>
    <t>-5.318716238319732</t>
  </si>
  <si>
    <t>1.3101204042838888</t>
  </si>
  <si>
    <t>-0.6593197144854074</t>
  </si>
  <si>
    <t>-1.2793468171060052</t>
  </si>
  <si>
    <t>0.8925057129364362</t>
  </si>
  <si>
    <t>-1.1622441484301573</t>
  </si>
  <si>
    <t>-1.7445929250102519</t>
  </si>
  <si>
    <t>0.13185627867998395</t>
  </si>
  <si>
    <t>-0.0858759237457915</t>
  </si>
  <si>
    <t>-0.12768487108413507</t>
  </si>
  <si>
    <t>1.7555095124119253</t>
  </si>
  <si>
    <t>1.6279539893518966</t>
  </si>
  <si>
    <t>-0.4094386300294768</t>
  </si>
  <si>
    <t>1.5773449661225174</t>
  </si>
  <si>
    <t>-0.13639844601023837</t>
  </si>
  <si>
    <t>0.5599193868028643</t>
  </si>
  <si>
    <t>1.5840529082775523</t>
  </si>
  <si>
    <t>0.4435678773119777</t>
  </si>
  <si>
    <t>0.15807207171961882</t>
  </si>
  <si>
    <t>-0.20221731466792983</t>
  </si>
  <si>
    <t>-0.16397158109174928</t>
  </si>
  <si>
    <t>-0.6580340217185479</t>
  </si>
  <si>
    <t>-1.29500908108967</t>
  </si>
  <si>
    <t>-4.18125340648545e-05</t>
  </si>
  <si>
    <t>-1.6946397231331412</t>
  </si>
  <si>
    <t>1.289570433244573</t>
  </si>
  <si>
    <t>-0.28707884823258506</t>
  </si>
  <si>
    <t>1.370446651725052</t>
  </si>
  <si>
    <t>0.6615393351533416</t>
  </si>
  <si>
    <t>0.2176810834785911</t>
  </si>
  <si>
    <t>0.5880532605320496</t>
  </si>
  <si>
    <t>-2.448780094403165</t>
  </si>
  <si>
    <t>-0.042629972391847626</t>
  </si>
  <si>
    <t>-0.030187818850368024</t>
  </si>
  <si>
    <t>-0.5126170029072997</t>
  </si>
  <si>
    <t>-0.2515195024133535</t>
  </si>
  <si>
    <t>-0.40172716348737486</t>
  </si>
  <si>
    <t>-1.6643900170061012</t>
  </si>
  <si>
    <t>-1.0011980486883847</t>
  </si>
  <si>
    <t>-0.338613928252804</t>
  </si>
  <si>
    <t>-0.5300363365343653</t>
  </si>
  <si>
    <t>-0.7175246232992839</t>
  </si>
  <si>
    <t>1.3764782941796148</t>
  </si>
  <si>
    <t>-0.05365900496094147</t>
  </si>
  <si>
    <t>-0.10069572272344982</t>
  </si>
  <si>
    <t>-0.05661022722010746</t>
  </si>
  <si>
    <t>-0.705553675331126</t>
  </si>
  <si>
    <t>0.0979280185209581</t>
  </si>
  <si>
    <t>-0.01162836784904874</t>
  </si>
  <si>
    <t>2.120416244861922</t>
  </si>
  <si>
    <t>0.3633527104330747</t>
  </si>
  <si>
    <t>-0.14221622329202044</t>
  </si>
  <si>
    <t>-0.48486121063223786</t>
  </si>
  <si>
    <t>1.309006132680802</t>
  </si>
  <si>
    <t>-0.4373419368280262</t>
  </si>
  <si>
    <t>-0.9782869791578386</t>
  </si>
  <si>
    <t>-0.04608519638190193</t>
  </si>
  <si>
    <t>-1.207030000562612</t>
  </si>
  <si>
    <t>0.24562520766091833</t>
  </si>
  <si>
    <t>2.7668478125339164</t>
  </si>
  <si>
    <t>-1.6086587672848385</t>
  </si>
  <si>
    <t>-1.2553276201151047</t>
  </si>
  <si>
    <t>-0.08183376872464435</t>
  </si>
  <si>
    <t>-1.0134602927176013</t>
  </si>
  <si>
    <t>-0.977406002421543</t>
  </si>
  <si>
    <t>1.223751843986049</t>
  </si>
  <si>
    <t>0.1085259179755237</t>
  </si>
  <si>
    <t>-1.174508943304524</t>
  </si>
  <si>
    <t>-0.49907439244359775</t>
  </si>
  <si>
    <t>1.0793500941958263</t>
  </si>
  <si>
    <t>-0.1877882808097766</t>
  </si>
  <si>
    <t>0.5989292115616931</t>
  </si>
  <si>
    <t>-0.4677432792040678</t>
  </si>
  <si>
    <t>0.26406534268413306</t>
  </si>
  <si>
    <t>0.734521205426526</t>
  </si>
  <si>
    <t>-0.10911913963419811</t>
  </si>
  <si>
    <t>-0.25462594283958234</t>
  </si>
  <si>
    <t>-0.4015691818546244</t>
  </si>
  <si>
    <t>-0.04883103818559104</t>
  </si>
  <si>
    <t>0.871774778634468</t>
  </si>
  <si>
    <t>1.0549898082020155</t>
  </si>
  <si>
    <t>0.07362179815887038</t>
  </si>
  <si>
    <t>0.3650400872495833</t>
  </si>
  <si>
    <t>0.058046024962164475</t>
  </si>
  <si>
    <t>0.05401310315453968</t>
  </si>
  <si>
    <t>0.3866918967845516</t>
  </si>
  <si>
    <t>-0.50882301778198</t>
  </si>
  <si>
    <t>0.23179932738990347</t>
  </si>
  <si>
    <t>0.46093169348777857</t>
  </si>
  <si>
    <t>-0.033700317445492664</t>
  </si>
  <si>
    <t>0.15142496126546817</t>
  </si>
  <si>
    <t>-0.7084444649910363</t>
  </si>
  <si>
    <t>-0.04351216254967925</t>
  </si>
  <si>
    <t>-1.0779323718030276</t>
  </si>
  <si>
    <t>-0.7096748676389565</t>
  </si>
  <si>
    <t>0.6729613443793141</t>
  </si>
  <si>
    <t>-0.1026805745384451</t>
  </si>
  <si>
    <t>1.3106203189096317</t>
  </si>
  <si>
    <t>1.769498522896593</t>
  </si>
  <si>
    <t>-0.20707015370401924</t>
  </si>
  <si>
    <t>-0.41285434391061654</t>
  </si>
  <si>
    <t>-1.3538998876177324</t>
  </si>
  <si>
    <t>-0.3315643976647541</t>
  </si>
  <si>
    <t>-0.753713485000591</t>
  </si>
  <si>
    <t>-0.25049962512798984</t>
  </si>
  <si>
    <t>-0.49934538473024237</t>
  </si>
  <si>
    <t>-0.30676174492196706</t>
  </si>
  <si>
    <t>-1.149132859788917</t>
  </si>
  <si>
    <t>-0.26894341605358024</t>
  </si>
  <si>
    <t>-0.43554510480757685</t>
  </si>
  <si>
    <t>0.364185945996011</t>
  </si>
  <si>
    <t>-1.7319165835354808</t>
  </si>
  <si>
    <t>-0.2665604987895676</t>
  </si>
  <si>
    <t>-0.3344424562243598</t>
  </si>
  <si>
    <t>-0.48910545381667186</t>
  </si>
  <si>
    <t>-0.19774237720270435</t>
  </si>
  <si>
    <t>-0.3255337346426364</t>
  </si>
  <si>
    <t>0.8844992637533038</t>
  </si>
  <si>
    <t>1.0896708174985394</t>
  </si>
  <si>
    <t>-0.1273873405885669</t>
  </si>
  <si>
    <t>-1.2707784536004163</t>
  </si>
  <si>
    <t>1.391765433029576</t>
  </si>
  <si>
    <t>-0.06201814155068742</t>
  </si>
  <si>
    <t>0.9242871681353283</t>
  </si>
  <si>
    <t>-1.1391773445565037</t>
  </si>
  <si>
    <t>-0.2778341798789878</t>
  </si>
  <si>
    <t>-0.42169729056483507</t>
  </si>
  <si>
    <t>-0.2679714793055783</t>
  </si>
  <si>
    <t>-0.16120457976737285</t>
  </si>
  <si>
    <t>0.9077383541359005</t>
  </si>
  <si>
    <t>0.5092715011350968</t>
  </si>
  <si>
    <t>-0.293546222470196</t>
  </si>
  <si>
    <t>0.5047876292776328</t>
  </si>
  <si>
    <t>-0.499286881538048</t>
  </si>
  <si>
    <t>-0.8243389432469146</t>
  </si>
  <si>
    <t>0.40611059466502447</t>
  </si>
  <si>
    <t>-0.49223370502671066</t>
  </si>
  <si>
    <t>-0.5304661021687429</t>
  </si>
  <si>
    <t>0.6675569411382168</t>
  </si>
  <si>
    <t>0.6947640608044643</t>
  </si>
  <si>
    <t>0.5631500374500418</t>
  </si>
  <si>
    <t>-0.047765398428912205</t>
  </si>
  <si>
    <t>0.3589875507512492</t>
  </si>
  <si>
    <t>-0.3809754653798286</t>
  </si>
  <si>
    <t>-0.7518071099573241</t>
  </si>
  <si>
    <t>0.41134859512426125</t>
  </si>
  <si>
    <t>0.8333774024332645</t>
  </si>
  <si>
    <t>-0.9157617383049885</t>
  </si>
  <si>
    <t>-0.6714331756649013</t>
  </si>
  <si>
    <t>0.32489863670315944</t>
  </si>
  <si>
    <t>0.4207400485161945</t>
  </si>
  <si>
    <t>-0.9899493164720495</t>
  </si>
  <si>
    <t>-0.25056233129221706</t>
  </si>
  <si>
    <t>-0.16578073351676884</t>
  </si>
  <si>
    <t>-0.41367337532794296</t>
  </si>
  <si>
    <t>0.5328525311407344</t>
  </si>
  <si>
    <t>0.12963799585980884</t>
  </si>
  <si>
    <t>0.6047449110312001</t>
  </si>
  <si>
    <t>2.6767739847558816</t>
  </si>
  <si>
    <t>0.28089702662996424</t>
  </si>
  <si>
    <t>1.1052361983123</t>
  </si>
  <si>
    <t>0.5956839396620306</t>
  </si>
  <si>
    <t>0.41409519417835244</t>
  </si>
  <si>
    <t>1.5024818048027624</t>
  </si>
  <si>
    <t>-0.3818624291835242</t>
  </si>
  <si>
    <t>-0.7529969128077072</t>
  </si>
  <si>
    <t>0.004945056671059674</t>
  </si>
  <si>
    <t>0.5025321886908273</t>
  </si>
  <si>
    <t>-0.12980029671861779</t>
  </si>
  <si>
    <t>-0.9234973485146175</t>
  </si>
  <si>
    <t>-0.6678633274215907</t>
  </si>
  <si>
    <t>0.5441971011104804</t>
  </si>
  <si>
    <t>0.6089536454074517</t>
  </si>
  <si>
    <t>-1.7678642439097914</t>
  </si>
  <si>
    <t>-0.3613098003055324</t>
  </si>
  <si>
    <t>-0.001869661798827649</t>
  </si>
  <si>
    <t>-0.18728615404461885</t>
  </si>
  <si>
    <t>0.00442064896786531</t>
  </si>
  <si>
    <t>-0.5269746793211918</t>
  </si>
  <si>
    <t>0.3490466743886338</t>
  </si>
  <si>
    <t>0.1686268228342016</t>
  </si>
  <si>
    <t>0.8399303984008405</t>
  </si>
  <si>
    <t>-0.23474099707603757</t>
  </si>
  <si>
    <t>1.7879606619783133</t>
  </si>
  <si>
    <t>-0.3006925101930603</t>
  </si>
  <si>
    <t>-0.11262039829321147</t>
  </si>
  <si>
    <t>1.1247653798423791</t>
  </si>
  <si>
    <t>-0.8233466820371959</t>
  </si>
  <si>
    <t>-0.5146294473813007</t>
  </si>
  <si>
    <t>1.0175035779945696</t>
  </si>
  <si>
    <t>-0.1771525152907788</t>
  </si>
  <si>
    <t>-0.7695599402486614</t>
  </si>
  <si>
    <t>-0.8692123221714521</t>
  </si>
  <si>
    <t>0.14228720576849443</t>
  </si>
  <si>
    <t>0.8685321317129198</t>
  </si>
  <si>
    <t>-0.2322115310391825</t>
  </si>
  <si>
    <t>1.3865900367696835</t>
  </si>
  <si>
    <t>-0.34978133870140804</t>
  </si>
  <si>
    <t>-2.4431826623380752</t>
  </si>
  <si>
    <t>0.7024215739236606</t>
  </si>
  <si>
    <t>-0.06360394334575921</t>
  </si>
  <si>
    <t>0.4920038577218091</t>
  </si>
  <si>
    <t>0.10919161583020856</t>
  </si>
  <si>
    <t>0.17713243740066634</t>
  </si>
  <si>
    <t>0.01011154997320381</t>
  </si>
  <si>
    <t>-0.1545404201161773</t>
  </si>
  <si>
    <t>0.9979930524036725</t>
  </si>
  <si>
    <t>-0.14625092167770984</t>
  </si>
  <si>
    <t>0.4723280621971647</t>
  </si>
  <si>
    <t>-0.4633940460905986</t>
  </si>
  <si>
    <t>-0.31318200938789575</t>
  </si>
  <si>
    <t>-0.9623125741388769</t>
  </si>
  <si>
    <t>0.49412127132758665</t>
  </si>
  <si>
    <t>-0.5864523720789835</t>
  </si>
  <si>
    <t>-0.32066272816178115</t>
  </si>
  <si>
    <t>0.7485891259843359</t>
  </si>
  <si>
    <t>0.013049457128116978</t>
  </si>
  <si>
    <t>-0.26446566783261777</t>
  </si>
  <si>
    <t>-1.0175048130639484</t>
  </si>
  <si>
    <t>0.4728902124584123</t>
  </si>
  <si>
    <t>0.5047486337144933</t>
  </si>
  <si>
    <t>-0.37241618641315205</t>
  </si>
  <si>
    <t>-0.48539052404984867</t>
  </si>
  <si>
    <t>0.1955375340684872</t>
  </si>
  <si>
    <t>2.022267279340182</t>
  </si>
  <si>
    <t>-1.5074140158308962</t>
  </si>
  <si>
    <t>1.170668673076653</t>
  </si>
  <si>
    <t>-0.6491451523699958</t>
  </si>
  <si>
    <t>-0.6379262166297255</t>
  </si>
  <si>
    <t>-0.17953331461718708</t>
  </si>
  <si>
    <t>0.029463800843332263</t>
  </si>
  <si>
    <t>-0.546386008263669</t>
  </si>
  <si>
    <t>0.29277390551569776</t>
  </si>
  <si>
    <t>-0.598697225978511</t>
  </si>
  <si>
    <t>0.8457008339789127</t>
  </si>
  <si>
    <t>-1.7431007370796612</t>
  </si>
  <si>
    <t>-1.0466684646405193</t>
  </si>
  <si>
    <t>-0.29090967425144953</t>
  </si>
  <si>
    <t>0.1889543121988882</t>
  </si>
  <si>
    <t>0.513754681472061</t>
  </si>
  <si>
    <t>-0.2892367034665769</t>
  </si>
  <si>
    <t>-0.6047509959932604</t>
  </si>
  <si>
    <t>-0.7191467147746626</t>
  </si>
  <si>
    <t>0.10160958759577368</t>
  </si>
  <si>
    <t>-0.4256786205610476</t>
  </si>
  <si>
    <t>0.6702928172178687</t>
  </si>
  <si>
    <t>-1.055517032297437</t>
  </si>
  <si>
    <t>0.011798906268406732</t>
  </si>
  <si>
    <t>0.19690953829642147</t>
  </si>
  <si>
    <t>0.29368851716954886</t>
  </si>
  <si>
    <t>-1.4151216038078092</t>
  </si>
  <si>
    <t>-0.8030307277338079</t>
  </si>
  <si>
    <t>-0.1833826702776164</t>
  </si>
  <si>
    <t>-0.6018648958647358</t>
  </si>
  <si>
    <t>0.07835572929697446</t>
  </si>
  <si>
    <t>-0.08134364788297903</t>
  </si>
  <si>
    <t>0.1057014225068334</t>
  </si>
  <si>
    <t>-0.39399325186863265</t>
  </si>
  <si>
    <t>-0.02736067936866865</t>
  </si>
  <si>
    <t>0.3079263530795474</t>
  </si>
  <si>
    <t>-0.3559778780125147</t>
  </si>
  <si>
    <t>-0.3954418940174673</t>
  </si>
  <si>
    <t>-1.9631604167315526</t>
  </si>
  <si>
    <t>0.16824540778549063</t>
  </si>
  <si>
    <t>1.148106395145771</t>
  </si>
  <si>
    <t>-0.982725496772722</t>
  </si>
  <si>
    <t>0.3541279048975692</t>
  </si>
  <si>
    <t>-0.1541184567128661</t>
  </si>
  <si>
    <t>0.3761954345594465</t>
  </si>
  <si>
    <t>-0.18513828018778014</t>
  </si>
  <si>
    <t>-0.3550776061806536</t>
  </si>
  <si>
    <t>0.3526774625290006</t>
  </si>
  <si>
    <t>-0.8485824415043747</t>
  </si>
  <si>
    <t>1.9317222140396415</t>
  </si>
  <si>
    <t>0.43131754825401464</t>
  </si>
  <si>
    <t>-1.4237786623427866</t>
  </si>
  <si>
    <t>-0.7118076645821632</t>
  </si>
  <si>
    <t>0.7157164868480509</t>
  </si>
  <si>
    <t>-0.04507485611567719</t>
  </si>
  <si>
    <t>-1.0464065264039455</t>
  </si>
  <si>
    <t>0.49278357987681476</t>
  </si>
  <si>
    <t>-1.1288780644143348</t>
  </si>
  <si>
    <t>0.4884120662318291</t>
  </si>
  <si>
    <t>0.7754962049287626</t>
  </si>
  <si>
    <t>-0.7346966289478085</t>
  </si>
  <si>
    <t>-0.48852160275675854</t>
  </si>
  <si>
    <t>1.776200038483129</t>
  </si>
  <si>
    <t>0.32296424094297616</t>
  </si>
  <si>
    <t>3.1739998407881393</t>
  </si>
  <si>
    <t>0.2888445674130049</t>
  </si>
  <si>
    <t>-0.6734526604526299</t>
  </si>
  <si>
    <t>-0.3514679225623479</t>
  </si>
  <si>
    <t>1.0776167701727333</t>
  </si>
  <si>
    <t>-0.7131550234485209</t>
  </si>
  <si>
    <t>-0.5355288147413254</t>
  </si>
  <si>
    <t>0.9904431280474154</t>
  </si>
  <si>
    <t>-0.15152810208522094</t>
  </si>
  <si>
    <t>-0.7960492517404874</t>
  </si>
  <si>
    <t>0.8671232490668082</t>
  </si>
  <si>
    <t>0.02756623828297077</t>
  </si>
  <si>
    <t>0.46637177260419493</t>
  </si>
  <si>
    <t>0.08182605512078234</t>
  </si>
  <si>
    <t>-0.8221139302706</t>
  </si>
  <si>
    <t>0.7777764142264224</t>
  </si>
  <si>
    <t>0.6046991092772707</t>
  </si>
  <si>
    <t>0.7123704121636245</t>
  </si>
  <si>
    <t>1.3715417242854928</t>
  </si>
  <si>
    <t>-0.3785025003954405</t>
  </si>
  <si>
    <t>-1.6096804988951445</t>
  </si>
  <si>
    <t>0.27118862452502585</t>
  </si>
  <si>
    <t>-0.5752257290897598</t>
  </si>
  <si>
    <t>-0.3444092568865741</t>
  </si>
  <si>
    <t>0.7698317203866375</t>
  </si>
  <si>
    <t>-0.13037941570912046</t>
  </si>
  <si>
    <t>-0.6868381829674233</t>
  </si>
  <si>
    <t>-0.11379352852627998</t>
  </si>
  <si>
    <t>0.5078674243415561</t>
  </si>
  <si>
    <t>-1.4676309203354077</t>
  </si>
  <si>
    <t>0.5159947088313573</t>
  </si>
  <si>
    <t>-0.06595764601263583</t>
  </si>
  <si>
    <t>0.5648630525901732</t>
  </si>
  <si>
    <t>-0.4818445471512037</t>
  </si>
  <si>
    <t>-0.5039950130132018</t>
  </si>
  <si>
    <t>-0.3766191214166859</t>
  </si>
  <si>
    <t>1.3931362081271903</t>
  </si>
  <si>
    <t>0.4306120635302201</t>
  </si>
  <si>
    <t>0.14631810718942379</t>
  </si>
  <si>
    <t>0.4386973281081717</t>
  </si>
  <si>
    <t>-0.48175588064109964</t>
  </si>
  <si>
    <t>-0.5033904730272287</t>
  </si>
  <si>
    <t>-0.8599844199754876</t>
  </si>
  <si>
    <t>0.7946063820100127</t>
  </si>
  <si>
    <t>-0.9027880587906241</t>
  </si>
  <si>
    <t>0.5536258976012739</t>
  </si>
  <si>
    <t>-0.0682758296529151</t>
  </si>
  <si>
    <t>-0.08234835532330302</t>
  </si>
  <si>
    <t>-0.11422122156015059</t>
  </si>
  <si>
    <t>-0.17911988605945012</t>
  </si>
  <si>
    <t>-0.8338171031308587</t>
  </si>
  <si>
    <t>0.9053469878337649</t>
  </si>
  <si>
    <t>1.3018422099181537</t>
  </si>
  <si>
    <t>0.08884777850700241</t>
  </si>
  <si>
    <t>-0.938910706982754</t>
  </si>
  <si>
    <t>0.7594165299435041</t>
  </si>
  <si>
    <t>-0.9956926292031748</t>
  </si>
  <si>
    <t>-0.7179987871598239</t>
  </si>
  <si>
    <t>0.2372085896558553</t>
  </si>
  <si>
    <t>-0.3302908658757897</t>
  </si>
  <si>
    <t>0.3269071448109696</t>
  </si>
  <si>
    <t>-0.023850329223390563</t>
  </si>
  <si>
    <t>-1.0125187261465272</t>
  </si>
  <si>
    <t>-0.788006010880831</t>
  </si>
  <si>
    <t>0.003913962289742044</t>
  </si>
  <si>
    <t>-0.151357057726877</t>
  </si>
  <si>
    <t>-0.34570685185950845</t>
  </si>
  <si>
    <t>-1.1752109845565646</t>
  </si>
  <si>
    <t>0.6875041866385504</t>
  </si>
  <si>
    <t>-0.7432079924662924</t>
  </si>
  <si>
    <t>-0.09627936420268945</t>
  </si>
  <si>
    <t>-0.5919321170207599</t>
  </si>
  <si>
    <t>-0.64724722837449</t>
  </si>
  <si>
    <t>0.1703564714248563</t>
  </si>
  <si>
    <t>0.09775574368249541</t>
  </si>
  <si>
    <t>0.000845066427276496</t>
  </si>
  <si>
    <t>0.10468121422409109</t>
  </si>
  <si>
    <t>-0.02350675817542846</t>
  </si>
  <si>
    <t>0.17718689533828072</t>
  </si>
  <si>
    <t>-0.16893561702190701</t>
  </si>
  <si>
    <t>-0.4104083560521964</t>
  </si>
  <si>
    <t>0.6546703909653591</t>
  </si>
  <si>
    <t>2.3055249200366705</t>
  </si>
  <si>
    <t>0.2093956838732012</t>
  </si>
  <si>
    <t>0.29456030751037654</t>
  </si>
  <si>
    <t>1.9817273973197211</t>
  </si>
  <si>
    <t>-0.16298871938828063</t>
  </si>
  <si>
    <t>-0.7462448237362397</t>
  </si>
  <si>
    <t>-0.045746786966627075</t>
  </si>
  <si>
    <t>0.1864664488846342</t>
  </si>
  <si>
    <t>0.7737418162761662</t>
  </si>
  <si>
    <t>1.0899907227310293</t>
  </si>
  <si>
    <t>-0.45366176082152626</t>
  </si>
  <si>
    <t>-0.3543168883173202</t>
  </si>
  <si>
    <t>-0.04486234800445651</t>
  </si>
  <si>
    <t>-1.770865897014704</t>
  </si>
  <si>
    <t>-1.136457071982789</t>
  </si>
  <si>
    <t>-0.3964617007498198</t>
  </si>
  <si>
    <t>0.16897409084508616</t>
  </si>
  <si>
    <t>1.8758768758028779</t>
  </si>
  <si>
    <t>-0.1814111521163296</t>
  </si>
  <si>
    <t>1.7749401603434651</t>
  </si>
  <si>
    <t>2.520710802263494</t>
  </si>
  <si>
    <t>1.5101797426612273</t>
  </si>
  <si>
    <t>0.296242709132665</t>
  </si>
  <si>
    <t>0.2119249262373827</t>
  </si>
  <si>
    <t>0.33033267504613634</t>
  </si>
  <si>
    <t>-1.1288548192873307</t>
  </si>
  <si>
    <t>-1.3904270678374175</t>
  </si>
  <si>
    <t>1.5125332668008642</t>
  </si>
  <si>
    <t>0.3880625764629993</t>
  </si>
  <si>
    <t>-1.923346421076919</t>
  </si>
  <si>
    <t>0.5577681324835594</t>
  </si>
  <si>
    <t>-1.3092802323547115</t>
  </si>
  <si>
    <t>-1.6075286536962115</t>
  </si>
  <si>
    <t>1.5109654068915404</t>
  </si>
  <si>
    <t>0.7088203887036705</t>
  </si>
  <si>
    <t>0.34217547156411793</t>
  </si>
  <si>
    <t>0.10430118182461483</t>
  </si>
  <si>
    <t>0.6851730178576272</t>
  </si>
  <si>
    <t>0.021346165838937736</t>
  </si>
  <si>
    <t>-0.25098676250817753</t>
  </si>
  <si>
    <t>1.026839982141138</t>
  </si>
  <si>
    <t>1.326436784817089</t>
  </si>
  <si>
    <t>2.8317597036627187</t>
  </si>
  <si>
    <t>-0.9543616678653218</t>
  </si>
  <si>
    <t>0.0677388905766203</t>
  </si>
  <si>
    <t>0.46811937228054623</t>
  </si>
  <si>
    <t>0.07259167685715404</t>
  </si>
  <si>
    <t>-0.34847749025942526</t>
  </si>
  <si>
    <t>-0.6095688302404996</t>
  </si>
  <si>
    <t>-0.257740210032788</t>
  </si>
  <si>
    <t>0.45016194346696736</t>
  </si>
  <si>
    <t>-0.8675480383811252</t>
  </si>
  <si>
    <t>0.3185157172963454</t>
  </si>
  <si>
    <t>-0.20018697996370732</t>
  </si>
  <si>
    <t>-0.6553180974726746</t>
  </si>
  <si>
    <t>0.05971676001593055</t>
  </si>
  <si>
    <t>-0.2160006615933688</t>
  </si>
  <si>
    <t>1.1354686768193563</t>
  </si>
  <si>
    <t>0.47287325023113935</t>
  </si>
  <si>
    <t>0.837109965412555</t>
  </si>
  <si>
    <t>-0.5809409774884293</t>
  </si>
  <si>
    <t>1.708140452795825</t>
  </si>
  <si>
    <t>-0.9018325852965606</t>
  </si>
  <si>
    <t>0.1873548595128327</t>
  </si>
  <si>
    <t>-0.09393980747673483</t>
  </si>
  <si>
    <t>-1.9284817280542659</t>
  </si>
  <si>
    <t>-1.1909888785817697</t>
  </si>
  <si>
    <t>-0.7047209581086735</t>
  </si>
  <si>
    <t>0.35269076608712807</t>
  </si>
  <si>
    <t>0.8184647503836362</t>
  </si>
  <si>
    <t>-0.448373072608698</t>
  </si>
  <si>
    <t>-0.6307439640548719</t>
  </si>
  <si>
    <t>-0.09972649844603704</t>
  </si>
  <si>
    <t>0.33084143118220377</t>
  </si>
  <si>
    <t>-0.46908523670548535</t>
  </si>
  <si>
    <t>-1.2659064690283095</t>
  </si>
  <si>
    <t>0.011618041397665077</t>
  </si>
  <si>
    <t>-0.9214773924472678</t>
  </si>
  <si>
    <t>1.3835065077579782</t>
  </si>
  <si>
    <t>-0.4756295847102509</t>
  </si>
  <si>
    <t>0.29410081638482327</t>
  </si>
  <si>
    <t>-0.6546956241726346</t>
  </si>
  <si>
    <t>-0.9780845429606686</t>
  </si>
  <si>
    <t>0.9924848474563481</t>
  </si>
  <si>
    <t>0.8901071027368039</t>
  </si>
  <si>
    <t>1.827254539486555</t>
  </si>
  <si>
    <t>0.9040386768193437</t>
  </si>
  <si>
    <t>0.2971799277539036</t>
  </si>
  <si>
    <t>0.7105006245988748</t>
  </si>
  <si>
    <t>-0.3857680166884914</t>
  </si>
  <si>
    <t>4.3945515158737445</t>
  </si>
  <si>
    <t>-2.5877135598099352</t>
  </si>
  <si>
    <t>1.2002679027791303</t>
  </si>
  <si>
    <t>0.3100287480129914</t>
  </si>
  <si>
    <t>-0.01556754827685913</t>
  </si>
  <si>
    <t>0.5796676416296099</t>
  </si>
  <si>
    <t>-0.19318059770332596</t>
  </si>
  <si>
    <t>-0.645665627852158</t>
  </si>
  <si>
    <t>-1.0370828047339151</t>
  </si>
  <si>
    <t>-0.445678957829593</t>
  </si>
  <si>
    <t>-0.4759766907084412</t>
  </si>
  <si>
    <t>-0.2363431738389147</t>
  </si>
  <si>
    <t>-1.7150952445869507</t>
  </si>
  <si>
    <t>1.490634841187473</t>
  </si>
  <si>
    <t>0.3358541124962261</t>
  </si>
  <si>
    <t>0.1479332269921571</t>
  </si>
  <si>
    <t>-1.4838185133933093</t>
  </si>
  <si>
    <t>1.5508822783608511</t>
  </si>
  <si>
    <t>0.32597412997370556</t>
  </si>
  <si>
    <t>-2.008800280965003</t>
  </si>
  <si>
    <t>0.16122940033451796</t>
  </si>
  <si>
    <t>0.06322784978136343</t>
  </si>
  <si>
    <t>0.17616340548998732</t>
  </si>
  <si>
    <t>2.417184168302911</t>
  </si>
  <si>
    <t>-0.8713787516351911</t>
  </si>
  <si>
    <t>-0.8126896506534635</t>
  </si>
  <si>
    <t>-2.2237166875445076</t>
  </si>
  <si>
    <t>-0.9196359533228579</t>
  </si>
  <si>
    <t>-0.4555946508947532</t>
  </si>
  <si>
    <t>0.26885076497154264</t>
  </si>
  <si>
    <t>0.497139946641894</t>
  </si>
  <si>
    <t>-0.18351502217241925</t>
  </si>
  <si>
    <t>-3.124191827164557</t>
  </si>
  <si>
    <t>-0.6506201397957858</t>
  </si>
  <si>
    <t>-0.7678403611158762</t>
  </si>
  <si>
    <t>0.2649433644268622</t>
  </si>
  <si>
    <t>-0.5932780077387205</t>
  </si>
  <si>
    <t>-1.5726037781658326</t>
  </si>
  <si>
    <t>2.2158718036492315</t>
  </si>
  <si>
    <t>-0.2850632405684917</t>
  </si>
  <si>
    <t>-0.05962311739428537</t>
  </si>
  <si>
    <t>-1.2317127153650196</t>
  </si>
  <si>
    <t>-0.7373317625895079</t>
  </si>
  <si>
    <t>-0.09574933843324922</t>
  </si>
  <si>
    <t>0.31337614529789265</t>
  </si>
  <si>
    <t>0.11167771688628861</t>
  </si>
  <si>
    <t>0.4293964635556387</t>
  </si>
  <si>
    <t>0.11909134643971538</t>
  </si>
  <si>
    <t>1.2996476938628903</t>
  </si>
  <si>
    <t>1.564571799189777</t>
  </si>
  <si>
    <t>0.8516530340114554</t>
  </si>
  <si>
    <t>0.3274186872279758</t>
  </si>
  <si>
    <t>0.8514575838057459</t>
  </si>
  <si>
    <t>-0.6921156329523723</t>
  </si>
  <si>
    <t>-1.6175629848420638</t>
  </si>
  <si>
    <t>1.0399879626660937</t>
  </si>
  <si>
    <t>-1.63231885406328</t>
  </si>
  <si>
    <t>0.059871072366356325</t>
  </si>
  <si>
    <t>-1.2637727439846012</t>
  </si>
  <si>
    <t>0.3004861900846108</t>
  </si>
  <si>
    <t>2.241663656469732</t>
  </si>
  <si>
    <t>-0.9084064285139427</t>
  </si>
  <si>
    <t>0.6831425016251712</t>
  </si>
  <si>
    <t>0.04847818571597617</t>
  </si>
  <si>
    <t>1.3231457299306082</t>
  </si>
  <si>
    <t>-2.936048899631067</t>
  </si>
  <si>
    <t>-0.47080646543072835</t>
  </si>
  <si>
    <t>-1.3883748983310553</t>
  </si>
  <si>
    <t>1.3354064072731786</t>
  </si>
  <si>
    <t>-0.40042013212611277</t>
  </si>
  <si>
    <t>-0.5116524531289954</t>
  </si>
  <si>
    <t>0.2489282995460105</t>
  </si>
  <si>
    <t>0.835196942607142</t>
  </si>
  <si>
    <t>-0.029298472548471375</t>
  </si>
  <si>
    <t>0.3567496035739856</t>
  </si>
  <si>
    <t>-0.2267743878195126</t>
  </si>
  <si>
    <t>0.7433274301751354</t>
  </si>
  <si>
    <t>0.5123807768781994</t>
  </si>
  <si>
    <t>-0.35527612872451797</t>
  </si>
  <si>
    <t>-0.07493345522724931</t>
  </si>
  <si>
    <t>0.1127964345033972</t>
  </si>
  <si>
    <t>-1.2535167260471536</t>
  </si>
  <si>
    <t>0.14529359950418946</t>
  </si>
  <si>
    <t>0.1914139126801176</t>
  </si>
  <si>
    <t>-0.5516870953640898</t>
  </si>
  <si>
    <t>0.9265258685753163</t>
  </si>
  <si>
    <t>1.4347391747863396</t>
  </si>
  <si>
    <t>-0.4692724367726492</t>
  </si>
  <si>
    <t>-0.5485128149640424</t>
  </si>
  <si>
    <t>-0.04747890830737881</t>
  </si>
  <si>
    <t>-0.2738871449230264</t>
  </si>
  <si>
    <t>-0.3516010022232475</t>
  </si>
  <si>
    <t>-1.0452924500555345</t>
  </si>
  <si>
    <t>-0.6719008168826794</t>
  </si>
  <si>
    <t>-0.8733269809933687</t>
  </si>
  <si>
    <t>-0.38947274600497184</t>
  </si>
  <si>
    <t>1.0346729795486074</t>
  </si>
  <si>
    <t>-1.1993040310403833</t>
  </si>
  <si>
    <t>1.1469034825246458</t>
  </si>
  <si>
    <t>-0.8705472455738136</t>
  </si>
  <si>
    <t>-0.16375712709958934</t>
  </si>
  <si>
    <t>0.3324391089270874</t>
  </si>
  <si>
    <t>1.0878708636535823</t>
  </si>
  <si>
    <t>0.9336398624581674</t>
  </si>
  <si>
    <t>0.2496271320252287</t>
  </si>
  <si>
    <t>2.2672828324916314</t>
  </si>
  <si>
    <t>0.29031268701533347</t>
  </si>
  <si>
    <t>-1.3475374823525044</t>
  </si>
  <si>
    <t>0.2461405405259441</t>
  </si>
  <si>
    <t>0.2515543011428657</t>
  </si>
  <si>
    <t>0.03395548169984046</t>
  </si>
  <si>
    <t>-0.8115061752381945</t>
  </si>
  <si>
    <t>-0.28626586411251526</t>
  </si>
  <si>
    <t>0.3083437427209267</t>
  </si>
  <si>
    <t>0.135690358758535</t>
  </si>
  <si>
    <t>0.6042522657620994</t>
  </si>
  <si>
    <t>-0.04113454748887754</t>
  </si>
  <si>
    <t>0.1349533690002932</t>
  </si>
  <si>
    <t>1.1365002180065038</t>
  </si>
  <si>
    <t>-0.14235927689398065</t>
  </si>
  <si>
    <t>-2.780188387875095</t>
  </si>
  <si>
    <t>-0.9329850522375861</t>
  </si>
  <si>
    <t>0.19668977808183416</t>
  </si>
  <si>
    <t>-1.2643842617289927</t>
  </si>
  <si>
    <t>2.2400375823945797</t>
  </si>
  <si>
    <t>0.30553562921575655</t>
  </si>
  <si>
    <t>0.6594347484063409</t>
  </si>
  <si>
    <t>1.2384988891637683</t>
  </si>
  <si>
    <t>0.7137317015864798</t>
  </si>
  <si>
    <t>1.9782422939481727</t>
  </si>
  <si>
    <t>-0.7314616196571097</t>
  </si>
  <si>
    <t>0.7645587290265469</t>
  </si>
  <si>
    <t>1.9712047982716154</t>
  </si>
  <si>
    <t>-1.9060431991722369</t>
  </si>
  <si>
    <t>0.7351883901056399</t>
  </si>
  <si>
    <t>0.789148000632594</t>
  </si>
  <si>
    <t>1.5924095199043369</t>
  </si>
  <si>
    <t>-0.9981648895606476</t>
  </si>
  <si>
    <t>1.9382502608268621</t>
  </si>
  <si>
    <t>0.04089419211657542</t>
  </si>
  <si>
    <t>0.23528550121829364</t>
  </si>
  <si>
    <t>1.2709120530969669</t>
  </si>
  <si>
    <t>-0.625925362225972</t>
  </si>
  <si>
    <t>-0.23654412022008484</t>
  </si>
  <si>
    <t>1.5859677981614602</t>
  </si>
  <si>
    <t>1.592557826806002</t>
  </si>
  <si>
    <t>-1.020968584829089</t>
  </si>
  <si>
    <t>0.7892839400435389</t>
  </si>
  <si>
    <t>0.33887119207983346</t>
  </si>
  <si>
    <t>0.4357970643077398</t>
  </si>
  <si>
    <t>1.7606116174651603</t>
  </si>
  <si>
    <t>1.4144471374804448</t>
  </si>
  <si>
    <t>0.5964831431524587</t>
  </si>
  <si>
    <t>1.9855865371747796</t>
  </si>
  <si>
    <t>2.1244370361765683</t>
  </si>
  <si>
    <t>-0.7473433480227322</t>
  </si>
  <si>
    <t>-0.4598284951464365</t>
  </si>
  <si>
    <t>1.6569152628664496</t>
  </si>
  <si>
    <t>-0.49995264993240696</t>
  </si>
  <si>
    <t>-0.5285268842622797</t>
  </si>
  <si>
    <t>-0.8828503991679403</t>
  </si>
  <si>
    <t>0.826756655328683</t>
  </si>
  <si>
    <t>-0.682265465945919</t>
  </si>
  <si>
    <t>-0.3035190189126757</t>
  </si>
  <si>
    <t>-0.8775729267677604</t>
  </si>
  <si>
    <t>-0.7612725933893825</t>
  </si>
  <si>
    <t>1.041665580936669</t>
  </si>
  <si>
    <t>-0.17147056816177195</t>
  </si>
  <si>
    <t>-1.586494963812124</t>
  </si>
  <si>
    <t>-0.5759716963015178</t>
  </si>
  <si>
    <t>1.059785642784748</t>
  </si>
  <si>
    <t>-0.10345262655441254</t>
  </si>
  <si>
    <t>1.8576938649941699</t>
  </si>
  <si>
    <t>-1.7130312088646231</t>
  </si>
  <si>
    <t>-0.12236525741417133</t>
  </si>
  <si>
    <t>1.2429306944765057</t>
  </si>
  <si>
    <t>0.34264274257983784</t>
  </si>
  <si>
    <t>-0.45376948872044465</t>
  </si>
  <si>
    <t>0.037093254240635865</t>
  </si>
  <si>
    <t>0.9757137818110352</t>
  </si>
  <si>
    <t>1.4513135733717708</t>
  </si>
  <si>
    <t>-0.08103913040758723</t>
  </si>
  <si>
    <t>0.8263795782790506</t>
  </si>
  <si>
    <t>0.37451043285396857</t>
  </si>
  <si>
    <t>0.8262397171156943</t>
  </si>
  <si>
    <t>0.5709150887152417</t>
  </si>
  <si>
    <t>-0.33676646049791475</t>
  </si>
  <si>
    <t>1.1753750474572207</t>
  </si>
  <si>
    <t>0.18847129021070638</t>
  </si>
  <si>
    <t>-0.4559764533061164</t>
  </si>
  <si>
    <t>-0.6507256204696943</t>
  </si>
  <si>
    <t>0.6375642515036077</t>
  </si>
  <si>
    <t>-0.1122408364258359</t>
  </si>
  <si>
    <t>-0.5368160736575066</t>
  </si>
  <si>
    <t>-0.12763404425521854</t>
  </si>
  <si>
    <t>-1.329685340508895</t>
  </si>
  <si>
    <t>-0.4388447910752962</t>
  </si>
  <si>
    <t>-0.31827186446429917</t>
  </si>
  <si>
    <t>-0.16018498001328382</t>
  </si>
  <si>
    <t>-0.33642151521985325</t>
  </si>
  <si>
    <t>-0.46851858675344454</t>
  </si>
  <si>
    <t>-0.362032097035024</t>
  </si>
  <si>
    <t>0.43604808587195154</t>
  </si>
  <si>
    <t>0.6401617445475364</t>
  </si>
  <si>
    <t>0.7423670411867462</t>
  </si>
  <si>
    <t>0.26998933581493206</t>
  </si>
  <si>
    <t>0.08683548146221415</t>
  </si>
  <si>
    <t>0.8281752807877493</t>
  </si>
  <si>
    <t>-0.6113112258665868</t>
  </si>
  <si>
    <t>-0.3393518096553963</t>
  </si>
  <si>
    <t>-0.4740397523168632</t>
  </si>
  <si>
    <t>-0.7787416212277561</t>
  </si>
  <si>
    <t>0.3406294260927602</t>
  </si>
  <si>
    <t>0.3190030550586796</t>
  </si>
  <si>
    <t>0.7651152107856122</t>
  </si>
  <si>
    <t>-0.07115387766505864</t>
  </si>
  <si>
    <t>-0.5317167465583712</t>
  </si>
  <si>
    <t>-0.2437291826059058</t>
  </si>
  <si>
    <t>0.5063487116476717</t>
  </si>
  <si>
    <t>-0.14310175444466333</t>
  </si>
  <si>
    <t>-0.3252635368386454</t>
  </si>
  <si>
    <t>0.4477327668060288</t>
  </si>
  <si>
    <t>0.0975991580274274</t>
  </si>
  <si>
    <t>-0.17713709488662016</t>
  </si>
  <si>
    <t>0.24019077809321815</t>
  </si>
  <si>
    <t>0.4910129708231613</t>
  </si>
  <si>
    <t>-0.68907402478123</t>
  </si>
  <si>
    <t>-0.03744479605536003</t>
  </si>
  <si>
    <t>0.3879099409501871</t>
  </si>
  <si>
    <t>0.08286526826767579</t>
  </si>
  <si>
    <t>0.403370008937483</t>
  </si>
  <si>
    <t>0.34122961063880186</t>
  </si>
  <si>
    <t>1.050262643393461</t>
  </si>
  <si>
    <t>1.29909986012465</t>
  </si>
  <si>
    <t>-0.5878666427092404</t>
  </si>
  <si>
    <t>0.0010334449209397048</t>
  </si>
  <si>
    <t>0.45353674803334354</t>
  </si>
  <si>
    <t>0.017849174087698923</t>
  </si>
  <si>
    <t>-0.2529371314063988</t>
  </si>
  <si>
    <t>-0.3357577218995539</t>
  </si>
  <si>
    <t>-0.2348681773641952</t>
  </si>
  <si>
    <t>0.029570405949811522</t>
  </si>
  <si>
    <t>0.10274066554220568</t>
  </si>
  <si>
    <t>0.9490402426298457</t>
  </si>
  <si>
    <t>0.06844724543073993</t>
  </si>
  <si>
    <t>-0.08693311339612092</t>
  </si>
  <si>
    <t>-0.5681372583154488</t>
  </si>
  <si>
    <t>0.3378860787028641</t>
  </si>
  <si>
    <t>1.0406584014928415</t>
  </si>
  <si>
    <t>-0.852103343338745</t>
  </si>
  <si>
    <t>-0.4396427449231646</t>
  </si>
  <si>
    <t>0.22900781410930582</t>
  </si>
  <si>
    <t>0.18112379622349464</t>
  </si>
  <si>
    <t>0.6080629958286229</t>
  </si>
  <si>
    <t>0.2340439905907389</t>
  </si>
  <si>
    <t>0.9874934295535868</t>
  </si>
  <si>
    <t>0.641319607080138</t>
  </si>
  <si>
    <t>0.8124446179770939</t>
  </si>
  <si>
    <t>-0.7567449575032239</t>
  </si>
  <si>
    <t>-1.0951159699911013</t>
  </si>
  <si>
    <t>1.5872404507074598</t>
  </si>
  <si>
    <t>0.61466593633866</t>
  </si>
  <si>
    <t>-0.4697704307893989</t>
  </si>
  <si>
    <t>0.38674787461240495</t>
  </si>
  <si>
    <t>0.017385558105206818</t>
  </si>
  <si>
    <t>0.18296472192465826</t>
  </si>
  <si>
    <t>0.8981446238432805</t>
  </si>
  <si>
    <t>-0.35065034554879343</t>
  </si>
  <si>
    <t>0.3458239695853198</t>
  </si>
  <si>
    <t>-0.4315895560886325</t>
  </si>
  <si>
    <t>1.3897298019421078</t>
  </si>
  <si>
    <t>1.3210120815379742</t>
  </si>
  <si>
    <t>-2.0474977545702497</t>
  </si>
  <si>
    <t>1.013721969216766</t>
  </si>
  <si>
    <t>0.3655471906327238</t>
  </si>
  <si>
    <t>0.11135518791910375</t>
  </si>
  <si>
    <t>-0.623084095077541</t>
  </si>
  <si>
    <t>-0.25489249373605505</t>
  </si>
  <si>
    <t>0.4334134282655776</t>
  </si>
  <si>
    <t>0.30759710874778895</t>
  </si>
  <si>
    <t>0.08178113789410178</t>
  </si>
  <si>
    <t>0.818736204892929</t>
  </si>
  <si>
    <t>-1.0295167648868748</t>
  </si>
  <si>
    <t>1.3381010004689131</t>
  </si>
  <si>
    <t>-2.1853663878752054</t>
  </si>
  <si>
    <t>0.6318868635323361</t>
  </si>
  <si>
    <t>0.7829951094045929</t>
  </si>
  <si>
    <t>-0.266250519095461</t>
  </si>
  <si>
    <t>0.18523113262211516</t>
  </si>
  <si>
    <t>-0.28399782231516796</t>
  </si>
  <si>
    <t>-0.6508107046759042</t>
  </si>
  <si>
    <t>1.3206235861769084</t>
  </si>
  <si>
    <t>-0.3290989818095081</t>
  </si>
  <si>
    <t>-0.2046169632871236</t>
  </si>
  <si>
    <t>-0.37996147398254776</t>
  </si>
  <si>
    <t>0.8258377547561081</t>
  </si>
  <si>
    <t>1.0904983752233464</t>
  </si>
  <si>
    <t>1.0338585421812325</t>
  </si>
  <si>
    <t>-0.7050601592775564</t>
  </si>
  <si>
    <t>-1.114591530254376</t>
  </si>
  <si>
    <t>-0.31777301859795426</t>
  </si>
  <si>
    <t>-0.202580006154034</t>
  </si>
  <si>
    <t>-1.167324768563371</t>
  </si>
  <si>
    <t>-1.4697902225737516</t>
  </si>
  <si>
    <t>-0.5896697826149232</t>
  </si>
  <si>
    <t>1.452252673033827</t>
  </si>
  <si>
    <t>-0.7238028893223019</t>
  </si>
  <si>
    <t>0.04839128100879229</t>
  </si>
  <si>
    <t>2.1625371593068956</t>
  </si>
  <si>
    <t>-0.3045631582844915</t>
  </si>
  <si>
    <t>-0.5466953206180174</t>
  </si>
  <si>
    <t>-0.6283420094962435</t>
  </si>
  <si>
    <t>0.026744570920214584</t>
  </si>
  <si>
    <t>-0.1041231869821612</t>
  </si>
  <si>
    <t>0.4780550126968527</t>
  </si>
  <si>
    <t>-0.9621424669985946</t>
  </si>
  <si>
    <t>0.5904100155360861</t>
  </si>
  <si>
    <t>-0.25686102339072786</t>
  </si>
  <si>
    <t>1.631961169546081</t>
  </si>
  <si>
    <t>0.64422475253759</t>
  </si>
  <si>
    <t>-0.34775893179587225</t>
  </si>
  <si>
    <t>-0.4169183233129473</t>
  </si>
  <si>
    <t>1.1097748262000264</t>
  </si>
  <si>
    <t>-0.06957198315967196</t>
  </si>
  <si>
    <t>-0.13282013878432994</t>
  </si>
  <si>
    <t>2.109475390495908</t>
  </si>
  <si>
    <t>1.3514644713754576</t>
  </si>
  <si>
    <t>-0.1276822104699458</t>
  </si>
  <si>
    <t>-0.4779866871576191</t>
  </si>
  <si>
    <t>-0.6753538707586758</t>
  </si>
  <si>
    <t>0.3558479894818908</t>
  </si>
  <si>
    <t>1.0995627114408189</t>
  </si>
  <si>
    <t>-0.2970876182129514</t>
  </si>
  <si>
    <t>-0.2866653166681483</t>
  </si>
  <si>
    <t>-0.20768119965313944</t>
  </si>
  <si>
    <t>-0.020269606290021128</t>
  </si>
  <si>
    <t>1.2534309436770978</t>
  </si>
  <si>
    <t>-0.6467180016213046</t>
  </si>
  <si>
    <t>0.21420304689357472</t>
  </si>
  <si>
    <t>0.6744091734884179</t>
  </si>
  <si>
    <t>-0.5101264232213346</t>
  </si>
  <si>
    <t>0.6004013982424168</t>
  </si>
  <si>
    <t>1.3819696715188676</t>
  </si>
  <si>
    <t>0.2555049380108255</t>
  </si>
  <si>
    <t>0.4288427879795593</t>
  </si>
  <si>
    <t>0.38350037631438916</t>
  </si>
  <si>
    <t>-0.7278697904297798</t>
  </si>
  <si>
    <t>-0.03496682326818082</t>
  </si>
  <si>
    <t>-0.017353924339125616</t>
  </si>
  <si>
    <t>1.3644778919385803</t>
  </si>
  <si>
    <t>-0.24513993993316804</t>
  </si>
  <si>
    <t>-0.3906421153663488</t>
  </si>
  <si>
    <t>0.00041641434715282416</t>
  </si>
  <si>
    <t>1.2068008184560122</t>
  </si>
  <si>
    <t>-0.33489831480031385</t>
  </si>
  <si>
    <t>0.4937676739083428</t>
  </si>
  <si>
    <t>0.2894904308118989</t>
  </si>
  <si>
    <t>0.6196256168094573</t>
  </si>
  <si>
    <t>0.3576417433724847</t>
  </si>
  <si>
    <t>-0.7280778528438484</t>
  </si>
  <si>
    <t>1.054727658989525</t>
  </si>
  <si>
    <t>0.6472853864528185</t>
  </si>
  <si>
    <t>0.5918592486346653</t>
  </si>
  <si>
    <t>-0.3188471768616377</t>
  </si>
  <si>
    <t>-0.33210235239875724</t>
  </si>
  <si>
    <t>0.9553839786266641</t>
  </si>
  <si>
    <t>-0.8634155714862606</t>
  </si>
  <si>
    <t>-0.1560147606721506</t>
  </si>
  <si>
    <t>0.580314846537458</t>
  </si>
  <si>
    <t>0.1969006412841855</t>
  </si>
  <si>
    <t>-0.18894744075287745</t>
  </si>
  <si>
    <t>-0.04026441250069388</t>
  </si>
  <si>
    <t>-1.389873461853211</t>
  </si>
  <si>
    <t>0.2523008970120808</t>
  </si>
  <si>
    <t>0.14512065855800796</t>
  </si>
  <si>
    <t>0.08708829184206904</t>
  </si>
  <si>
    <t>-0.2725286683095867</t>
  </si>
  <si>
    <t>-0.604773052353064</t>
  </si>
  <si>
    <t>-0.2949333075467587</t>
  </si>
  <si>
    <t>-0.23761960926152562</t>
  </si>
  <si>
    <t>-0.7500601904876072</t>
  </si>
  <si>
    <t>-0.7216071500744573</t>
  </si>
  <si>
    <t>0.5158896957337393</t>
  </si>
  <si>
    <t>0.033509712568027435</t>
  </si>
  <si>
    <t>-0.6470542507515943</t>
  </si>
  <si>
    <t>1.362274926182316</t>
  </si>
  <si>
    <t>0.5959424357399604</t>
  </si>
  <si>
    <t>0.15233631644792744</t>
  </si>
  <si>
    <t>0.2655613063205721</t>
  </si>
  <si>
    <t>1.2940160109003709</t>
  </si>
  <si>
    <t>-0.35445365774425097</t>
  </si>
  <si>
    <t>-0.2535136289615248</t>
  </si>
  <si>
    <t>0.38771862014058506</t>
  </si>
  <si>
    <t>-0.38209948441156266</t>
  </si>
  <si>
    <t>0.8738789394696369</t>
  </si>
  <si>
    <t>0.08322141961327044</t>
  </si>
  <si>
    <t>-0.20230784371956598</t>
  </si>
  <si>
    <t>-0.14375502799940704</t>
  </si>
  <si>
    <t>-0.5920585955847515</t>
  </si>
  <si>
    <t>0.7821370404954592</t>
  </si>
  <si>
    <t>-0.17764205578696304</t>
  </si>
  <si>
    <t>-0.0778737412512661</t>
  </si>
  <si>
    <t>-0.07608501247378228</t>
  </si>
  <si>
    <t>0.14923678314812425</t>
  </si>
  <si>
    <t>-0.3165705960063366</t>
  </si>
  <si>
    <t>-0.3265145770741745</t>
  </si>
  <si>
    <t>-0.21710712121921977</t>
  </si>
  <si>
    <t>0.44145494090739856</t>
  </si>
  <si>
    <t>0.5020280301641173</t>
  </si>
  <si>
    <t>0.055989029806996146</t>
  </si>
  <si>
    <t>0.5010823722177095</t>
  </si>
  <si>
    <t>-0.09968962455880312</t>
  </si>
  <si>
    <t>0.42464438027598794</t>
  </si>
  <si>
    <t>-0.34262813882321175</t>
  </si>
  <si>
    <t>-1.2183789635724174</t>
  </si>
  <si>
    <t>0.7368846595121095</t>
  </si>
  <si>
    <t>0.27245622685228693</t>
  </si>
  <si>
    <t>-2.1405416452210595</t>
  </si>
  <si>
    <t>0.48626387728901044</t>
  </si>
  <si>
    <t>-0.9027351068165334</t>
  </si>
  <si>
    <t>-0.3580344213046299</t>
  </si>
  <si>
    <t>-0.4597150041985346</t>
  </si>
  <si>
    <t>0.5451397642442477</t>
  </si>
  <si>
    <t>-0.663857066228989</t>
  </si>
  <si>
    <t>0.5444696862080222</t>
  </si>
  <si>
    <t>-1.678238288128236</t>
  </si>
  <si>
    <t>-0.5241571146993712</t>
  </si>
  <si>
    <t>-0.4171766573203414</t>
  </si>
  <si>
    <t>-0.33353119618374333</t>
  </si>
  <si>
    <t>-0.4872643063500622</t>
  </si>
  <si>
    <t>0.4652574739013066</t>
  </si>
  <si>
    <t>0.4162329467337969</t>
  </si>
  <si>
    <t>0.6699202625416303</t>
  </si>
  <si>
    <t>-1.1810428295147226</t>
  </si>
  <si>
    <t>0.8801815304952433</t>
  </si>
  <si>
    <t>0.43247399587997915</t>
  </si>
  <si>
    <t>0.08162293964979168</t>
  </si>
  <si>
    <t>0.5862050730041429</t>
  </si>
  <si>
    <t>0.7716557852221815</t>
  </si>
  <si>
    <t>0.2521238337408498</t>
  </si>
  <si>
    <t>0.2631643529926824</t>
  </si>
  <si>
    <t>1.2214600485856424</t>
  </si>
  <si>
    <t>-0.06968926595055767</t>
  </si>
  <si>
    <t>0.5330412435701015</t>
  </si>
  <si>
    <t>0.6832233191608524</t>
  </si>
  <si>
    <t>0.9070963033736884</t>
  </si>
  <si>
    <t>0.024038179580345164</t>
  </si>
  <si>
    <t>0.8113688367673196</t>
  </si>
  <si>
    <t>-1.3166989716983266</t>
  </si>
  <si>
    <t>-0.48423707524014653</t>
  </si>
  <si>
    <t>-0.7565881203749091</t>
  </si>
  <si>
    <t>1.6013945676256884</t>
  </si>
  <si>
    <t>0.5039229681529475</t>
  </si>
  <si>
    <t>-0.9049992869076894</t>
  </si>
  <si>
    <t>0.2673957781769674</t>
  </si>
  <si>
    <t>-0.3781234504110075</t>
  </si>
  <si>
    <t>-0.6030670893000865</t>
  </si>
  <si>
    <t>-0.88718067388273</t>
  </si>
  <si>
    <t>0.7128201868299049</t>
  </si>
  <si>
    <t>-0.750892845592059</t>
  </si>
  <si>
    <t>-0.23796529235968525</t>
  </si>
  <si>
    <t>-0.36174308012110634</t>
  </si>
  <si>
    <t>-0.1477389025439727</t>
  </si>
  <si>
    <t>-0.8630814721383222</t>
  </si>
  <si>
    <t>0.3304356951208885</t>
  </si>
  <si>
    <t>-0.2436740195075599</t>
  </si>
  <si>
    <t>1.2362671777505811</t>
  </si>
  <si>
    <t>-0.24996745678987098</t>
  </si>
  <si>
    <t>-1.0573849793637125</t>
  </si>
  <si>
    <t>0.2598095892327647</t>
  </si>
  <si>
    <t>0.22185926499225217</t>
  </si>
  <si>
    <t>1.4886731427730135</t>
  </si>
  <si>
    <t>0.8482589803066175</t>
  </si>
  <si>
    <t>0.5831412802597172</t>
  </si>
  <si>
    <t>1.072085113354308</t>
  </si>
  <si>
    <t>-0.42414906317758644</t>
  </si>
  <si>
    <t>-0.09438535357544361</t>
  </si>
  <si>
    <t>0.17083621591806583</t>
  </si>
  <si>
    <t>-0.2315065620784482</t>
  </si>
  <si>
    <t>0.8675784783531576</t>
  </si>
  <si>
    <t>-0.03837270393525157</t>
  </si>
  <si>
    <t>-0.985054760298028</t>
  </si>
  <si>
    <t>-0.7755543885228997</t>
  </si>
  <si>
    <t>0.2728564721626226</t>
  </si>
  <si>
    <t>0.2891823921512001</t>
  </si>
  <si>
    <t>0.8817040895499386</t>
  </si>
  <si>
    <t>-0.04780401871652783</t>
  </si>
  <si>
    <t>1.3678540235034058</t>
  </si>
  <si>
    <t>0.11489724981976107</t>
  </si>
  <si>
    <t>-0.6186413883153377</t>
  </si>
  <si>
    <t>1.1891577583387762</t>
  </si>
  <si>
    <t>-0.19117150290380408</t>
  </si>
  <si>
    <t>-0.21398865612156903</t>
  </si>
  <si>
    <t>-1.0080986363339153</t>
  </si>
  <si>
    <t>-1.2863607946262892</t>
  </si>
  <si>
    <t>-0.6058132581028844</t>
  </si>
  <si>
    <t>0.544490454601465</t>
  </si>
  <si>
    <t>-0.23343750283982254</t>
  </si>
  <si>
    <t>1.3623887707690878</t>
  </si>
  <si>
    <t>-0.12713876136599253</t>
  </si>
  <si>
    <t>0.11549088108193574</t>
  </si>
  <si>
    <t>-0.6798762582251369</t>
  </si>
  <si>
    <t>0.7751602836656221</t>
  </si>
  <si>
    <t>0.64872818477025</t>
  </si>
  <si>
    <t>0.9951957882992158</t>
  </si>
  <si>
    <t>-0.6046363968938779</t>
  </si>
  <si>
    <t>0.33425652639382686</t>
  </si>
  <si>
    <t>0.9531111423643598</t>
  </si>
  <si>
    <t>0.1620180834300652</t>
  </si>
  <si>
    <t>-1.741470208719353</t>
  </si>
  <si>
    <t>0.23619368220976067</t>
  </si>
  <si>
    <t>0.1906949579768553</t>
  </si>
  <si>
    <t>0.18591832517881868</t>
  </si>
  <si>
    <t>-0.6645934788553306</t>
  </si>
  <si>
    <t>0.5333541109407263</t>
  </si>
  <si>
    <t>-0.15839522565959452</t>
  </si>
  <si>
    <t>0.0997874066131625</t>
  </si>
  <si>
    <t>0.649940429302653</t>
  </si>
  <si>
    <t>-0.06220269311330388</t>
  </si>
  <si>
    <t>0.5543637736076428</t>
  </si>
  <si>
    <t>0.10099028458115138</t>
  </si>
  <si>
    <t>-1.838350426844709</t>
  </si>
  <si>
    <t>0.03917150703559398</t>
  </si>
  <si>
    <t>1.060983624930159</t>
  </si>
  <si>
    <t>-0.17169940197055344</t>
  </si>
  <si>
    <t>0.41599850458975834</t>
  </si>
  <si>
    <t>0.5050651399145969</t>
  </si>
  <si>
    <t>-0.6597643378783107</t>
  </si>
  <si>
    <t>-0.2870211781079396</t>
  </si>
  <si>
    <t>0.18287232301051198</t>
  </si>
  <si>
    <t>0.7494535574429552</t>
  </si>
  <si>
    <t>-0.004492729027475645</t>
  </si>
  <si>
    <t>-0.5567166220380233</t>
  </si>
  <si>
    <t>-0.7393699008626329</t>
  </si>
  <si>
    <t>0.29209498645357196</t>
  </si>
  <si>
    <t>0.1730689432133997</t>
  </si>
  <si>
    <t>-1.0474035148955527</t>
  </si>
  <si>
    <t>1.3126451526207235</t>
  </si>
  <si>
    <t>-0.08105530413844471</t>
  </si>
  <si>
    <t>0.07074226775309515</t>
  </si>
  <si>
    <t>0.19629633633131952</t>
  </si>
  <si>
    <t>0.4933995517543354</t>
  </si>
  <si>
    <t>-2.627174890249151</t>
  </si>
  <si>
    <t>-1.6672536805838887</t>
  </si>
  <si>
    <t>-0.9945401124853647</t>
  </si>
  <si>
    <t>-0.9243455432300379</t>
  </si>
  <si>
    <t>2.406628038112735</t>
  </si>
  <si>
    <t>0.7460500890298889</t>
  </si>
  <si>
    <t>-0.10780722927287406</t>
  </si>
  <si>
    <t>0.40761028428194335</t>
  </si>
  <si>
    <t>-0.1583913471799969</t>
  </si>
  <si>
    <t>-0.07435357431879214</t>
  </si>
  <si>
    <t>0.2276777967040775</t>
  </si>
  <si>
    <t>-0.3516990515280418</t>
  </si>
  <si>
    <t>-1.046845492695267</t>
  </si>
  <si>
    <t>0.024250258401388804</t>
  </si>
  <si>
    <t>-0.6082718751349626</t>
  </si>
  <si>
    <t>0.6927838567424294</t>
  </si>
  <si>
    <t>-0.3873221601456879</t>
  </si>
  <si>
    <t>-0.4200283865921745</t>
  </si>
  <si>
    <t>0.36958870831348045</t>
  </si>
  <si>
    <t>-1.3678240957440118</t>
  </si>
  <si>
    <t>-0.8583466168079672</t>
  </si>
  <si>
    <t>0.18433468920193144</t>
  </si>
  <si>
    <t>-0.8587318352010966</t>
  </si>
  <si>
    <t>0.972013643621552</t>
  </si>
  <si>
    <t>-0.10525623519952676</t>
  </si>
  <si>
    <t>-0.42484763477327936</t>
  </si>
  <si>
    <t>-0.12333202988336174</t>
  </si>
  <si>
    <t>-0.24323022559265217</t>
  </si>
  <si>
    <t>-0.07826079051487833</t>
  </si>
  <si>
    <t>0.39989570809614966</t>
  </si>
  <si>
    <t>0.4515034494615367</t>
  </si>
  <si>
    <t>-0.027244723685262418</t>
  </si>
  <si>
    <t>-2.043858610102963</t>
  </si>
  <si>
    <t>-1.802074579518584</t>
  </si>
  <si>
    <t>0.028839856807257414</t>
  </si>
  <si>
    <t>-0.6785577522445533</t>
  </si>
  <si>
    <t>-0.07446794384635222</t>
  </si>
  <si>
    <t>-0.6755403565773626</t>
  </si>
  <si>
    <t>-0.6127664250171576</t>
  </si>
  <si>
    <t>1.238225494644218</t>
  </si>
  <si>
    <t>-0.15377473165043526</t>
  </si>
  <si>
    <t>0.6020511986741754</t>
  </si>
  <si>
    <t>0.7601921754892093</t>
  </si>
  <si>
    <t>-0.3580482475202804</t>
  </si>
  <si>
    <t>1.1673851828004873</t>
  </si>
  <si>
    <t>-0.1827043121160544</t>
  </si>
  <si>
    <t>1.930368354026611</t>
  </si>
  <si>
    <t>0.7185938166880994</t>
  </si>
  <si>
    <t>-0.706041403759852</t>
  </si>
  <si>
    <t>-0.7174981422130396</t>
  </si>
  <si>
    <t>-1.145622400014898</t>
  </si>
  <si>
    <t>-1.0647479636858825</t>
  </si>
  <si>
    <t>3.1050695234841816</t>
  </si>
  <si>
    <t>-0.21481917172998324</t>
  </si>
  <si>
    <t>-0.5512785022641365</t>
  </si>
  <si>
    <t>0.48983002227050326</t>
  </si>
  <si>
    <t>0.997876120068763</t>
  </si>
  <si>
    <t>-0.5659013937148123</t>
  </si>
  <si>
    <t>-0.23966740051173105</t>
  </si>
  <si>
    <t>-0.27163645185015783</t>
  </si>
  <si>
    <t>1.8382914922072757</t>
  </si>
  <si>
    <t>1.152950021756271</t>
  </si>
  <si>
    <t>-0.20491937961258078</t>
  </si>
  <si>
    <t>0.03230188243038065</t>
  </si>
  <si>
    <t>-0.3462541001359046</t>
  </si>
  <si>
    <t>-0.1766351165791976</t>
  </si>
  <si>
    <t>-0.4338825031572789</t>
  </si>
  <si>
    <t>-0.09280423229644198</t>
  </si>
  <si>
    <t>-0.02587880285584216</t>
  </si>
  <si>
    <t>-0.15374594846650264</t>
  </si>
  <si>
    <t>0.5681585509301224</t>
  </si>
  <si>
    <t>1.7310617915132631</t>
  </si>
  <si>
    <t>-1.0732159818972025</t>
  </si>
  <si>
    <t>-0.7420202925256139</t>
  </si>
  <si>
    <t>0.7833113836377626</t>
  </si>
  <si>
    <t>0.05985180772569096</t>
  </si>
  <si>
    <t>0.48979265453427334</t>
  </si>
  <si>
    <t>0.3179585430332406</t>
  </si>
  <si>
    <t>0.3161551546705828</t>
  </si>
  <si>
    <t>0.07372545537410861</t>
  </si>
  <si>
    <t>-0.15115377305601893</t>
  </si>
  <si>
    <t>0.006444258452708984</t>
  </si>
  <si>
    <t>1.3011702463129824</t>
  </si>
  <si>
    <t>-1.3332025293172334</t>
  </si>
  <si>
    <t>-0.06655257223783263</t>
  </si>
  <si>
    <t>2.0604469103676215</t>
  </si>
  <si>
    <t>-0.13123046552823386</t>
  </si>
  <si>
    <t>-0.6927550878921691</t>
  </si>
  <si>
    <t>-0.37519026840102015</t>
  </si>
  <si>
    <t>-0.05033862655713404</t>
  </si>
  <si>
    <t>-0.9172601308114179</t>
  </si>
  <si>
    <t>0.7870644759530792</t>
  </si>
  <si>
    <t>1.219441958498602</t>
  </si>
  <si>
    <t>1.2064467890324997</t>
  </si>
  <si>
    <t>0.5474897603468772</t>
  </si>
  <si>
    <t>-0.7894324029495962</t>
  </si>
  <si>
    <t>1.3606061811023817</t>
  </si>
  <si>
    <t>0.08106711081731541</t>
  </si>
  <si>
    <t>0.4352253069375525</t>
  </si>
  <si>
    <t>0.46720252772490195</t>
  </si>
  <si>
    <t>-0.5379186662506668</t>
  </si>
  <si>
    <t>-0.15531657261411752</t>
  </si>
  <si>
    <t>-0.23814841382831625</t>
  </si>
  <si>
    <t>0.424096237451654</t>
  </si>
  <si>
    <t>0.04719816228202027</t>
  </si>
  <si>
    <t>0.5198197241790893</t>
  </si>
  <si>
    <t>-0.23521264913460865</t>
  </si>
  <si>
    <t>-0.5016619108060045</t>
  </si>
  <si>
    <t>0.1622015087915463</t>
  </si>
  <si>
    <t>1.1931067051565318</t>
  </si>
  <si>
    <t>0.27337567645303906</t>
  </si>
  <si>
    <t>-0.8079292710378687</t>
  </si>
  <si>
    <t>0.8939865137434583</t>
  </si>
  <si>
    <t>0.9641095749774714</t>
  </si>
  <si>
    <t>0.08709609549643905</t>
  </si>
  <si>
    <t>0.04295324357714938</t>
  </si>
  <si>
    <t>-0.6062157738891089</t>
  </si>
  <si>
    <t>-0.04292427033259861</t>
  </si>
  <si>
    <t>-0.11073105047580513</t>
  </si>
  <si>
    <t>-0.931930981538052</t>
  </si>
  <si>
    <t>0.07329431651547731</t>
  </si>
  <si>
    <t>-0.735408626085563</t>
  </si>
  <si>
    <t>-0.42065645265934876</t>
  </si>
  <si>
    <t>-0.7339254004798601</t>
  </si>
  <si>
    <t>-0.5427454093516563</t>
  </si>
  <si>
    <t>0.2973767719117087</t>
  </si>
  <si>
    <t>1.8325908891174056</t>
  </si>
  <si>
    <t>-1.3670954236120272</t>
  </si>
  <si>
    <t>0.4245750892403718</t>
  </si>
  <si>
    <t>0.27810006445262064</t>
  </si>
  <si>
    <t>-0.4881359036868237</t>
  </si>
  <si>
    <t>-0.10793040635783448</t>
  </si>
  <si>
    <t>0.838414585407486</t>
  </si>
  <si>
    <t>-0.6437916767026906</t>
  </si>
  <si>
    <t>-0.876764782839082</t>
  </si>
  <si>
    <t>0.641773646685998</t>
  </si>
  <si>
    <t>-0.015185183202662069</t>
  </si>
  <si>
    <t>1.7599325161598063</t>
  </si>
  <si>
    <t>-1.074029486901184</t>
  </si>
  <si>
    <t>0.17994640044330482</t>
  </si>
  <si>
    <t>0.6424794728497355</t>
  </si>
  <si>
    <t>-0.5430971707476415</t>
  </si>
  <si>
    <t>-0.14136390257150247</t>
  </si>
  <si>
    <t>-0.2497150491729318</t>
  </si>
  <si>
    <t>-0.18460043203942997</t>
  </si>
  <si>
    <t>-0.3100456939238183</t>
  </si>
  <si>
    <t>-0.45110203224007367</t>
  </si>
  <si>
    <t>0.23892965352131681</t>
  </si>
  <si>
    <t>0.3102933411168528</t>
  </si>
  <si>
    <t>0.12967306378516372</t>
  </si>
  <si>
    <t>0.175763193583465</t>
  </si>
  <si>
    <t>0.05790111485696204</t>
  </si>
  <si>
    <t>-0.2168673768080679</t>
  </si>
  <si>
    <t>0.13897887729495093</t>
  </si>
  <si>
    <t>0.10721066121967503</t>
  </si>
  <si>
    <t>-0.07045815158304429</t>
  </si>
  <si>
    <t>0.21766876780018965</t>
  </si>
  <si>
    <t>0.2492825805135068</t>
  </si>
  <si>
    <t>0.08607484667181038</t>
  </si>
  <si>
    <t>-0.13530126334129958</t>
  </si>
  <si>
    <t>-0.025828264517968078</t>
  </si>
  <si>
    <t>-0.020912127830358743</t>
  </si>
  <si>
    <t>-0.14598046669588924</t>
  </si>
  <si>
    <t>-0.4295075407098394</t>
  </si>
  <si>
    <t>0.3245629827907493</t>
  </si>
  <si>
    <t>0.16185193681539256</t>
  </si>
  <si>
    <t>-0.02500056225107774</t>
  </si>
  <si>
    <t>0.44838867687918127</t>
  </si>
  <si>
    <t>-0.4218214340483403</t>
  </si>
  <si>
    <t>-0.21591980573933345</t>
  </si>
  <si>
    <t>0.14650723458695747</t>
  </si>
  <si>
    <t>-0.08309280178265717</t>
  </si>
  <si>
    <t>0.11263046975524668</t>
  </si>
  <si>
    <t>-0.22353828122519223</t>
  </si>
  <si>
    <t>0.17898474066493375</t>
  </si>
  <si>
    <t>-0.1852914472676333</t>
  </si>
  <si>
    <t>-3.3866032194075326</t>
  </si>
  <si>
    <t>0.22504529724996009</t>
  </si>
  <si>
    <t>0.32579457953402025</t>
  </si>
  <si>
    <t>0.16208219998242637</t>
  </si>
  <si>
    <t>-0.39623309307905097</t>
  </si>
  <si>
    <t>0.1423288757300997</t>
  </si>
  <si>
    <t>0.12197871098440477</t>
  </si>
  <si>
    <t>-0.4200226592652745</t>
  </si>
  <si>
    <t>-0.1538896828131381</t>
  </si>
  <si>
    <t>-0.06559405332724992</t>
  </si>
  <si>
    <t>0.18437083718298095</t>
  </si>
  <si>
    <t>0.021516124228402277</t>
  </si>
  <si>
    <t>-0.18829923073612936</t>
  </si>
  <si>
    <t>-0.05504420685817947</t>
  </si>
  <si>
    <t>0.0037141957713433668</t>
  </si>
  <si>
    <t>0.4136985918524786</t>
  </si>
  <si>
    <t>0.0727800847719665</t>
  </si>
  <si>
    <t>0.02322209924472961</t>
  </si>
  <si>
    <t>-0.19087781545770346</t>
  </si>
  <si>
    <t>-0.4064606682660529</t>
  </si>
  <si>
    <t>-0.25571143588472195</t>
  </si>
  <si>
    <t>0.34313365345361635</t>
  </si>
  <si>
    <t>-0.21126762085632356</t>
  </si>
  <si>
    <t>0.2293580039915589</t>
  </si>
  <si>
    <t>0.48614048489271316</t>
  </si>
  <si>
    <t>0.09278775032900058</t>
  </si>
  <si>
    <t>-0.4157348143611045</t>
  </si>
  <si>
    <t>0.07833058015130656</t>
  </si>
  <si>
    <t>-0.018984693034492222</t>
  </si>
  <si>
    <t>-0.0026075579104136767</t>
  </si>
  <si>
    <t>0.28414348838737113</t>
  </si>
  <si>
    <t>-0.21540286803182745</t>
  </si>
  <si>
    <t>0.9799294466859678</t>
  </si>
  <si>
    <t>0.05299926023067943</t>
  </si>
  <si>
    <t>0.07826978577852146</t>
  </si>
  <si>
    <t>0.018585290473099095</t>
  </si>
  <si>
    <t>-0.2799983693874534</t>
  </si>
  <si>
    <t>0.23812849209480258</t>
  </si>
  <si>
    <t>0.0750958708525459</t>
  </si>
  <si>
    <t>0.054583781468057</t>
  </si>
  <si>
    <t>-0.032486147120220785</t>
  </si>
  <si>
    <t>-0.21132270426994418</t>
  </si>
  <si>
    <t>0.25579066647797</t>
  </si>
  <si>
    <t>0.13751686886623612</t>
  </si>
  <si>
    <t>-0.09544398444934961</t>
  </si>
  <si>
    <t>0.24486547482768145</t>
  </si>
  <si>
    <t>-1.0946468117970634</t>
  </si>
  <si>
    <t>-0.2300296283413398</t>
  </si>
  <si>
    <t>0.029532897084433744</t>
  </si>
  <si>
    <t>-0.1866722000494967</t>
  </si>
  <si>
    <t>-0.16326396338867455</t>
  </si>
  <si>
    <t>-0.28214876420025997</t>
  </si>
  <si>
    <t>0.32148134048101196</t>
  </si>
  <si>
    <t>-0.010502686743854291</t>
  </si>
  <si>
    <t>-0.0618410705903372</t>
  </si>
  <si>
    <t>-1.5693138746321011</t>
  </si>
  <si>
    <t>-0.096107332561642</t>
  </si>
  <si>
    <t>-0.2464286024663897</t>
  </si>
  <si>
    <t>-0.010666240527971275</t>
  </si>
  <si>
    <t>-0.004631491362990487</t>
  </si>
  <si>
    <t>-0.11644732409511363</t>
  </si>
  <si>
    <t>-0.3778879508744266</t>
  </si>
  <si>
    <t>-2.266706420210799</t>
  </si>
  <si>
    <t>-0.14047680077147887</t>
  </si>
  <si>
    <t>0.21855222242695554</t>
  </si>
  <si>
    <t>0.003832672811503765</t>
  </si>
  <si>
    <t>-0.2444752865821782</t>
  </si>
  <si>
    <t>-0.8944357562153727</t>
  </si>
  <si>
    <t>0.12689685546515858</t>
  </si>
  <si>
    <t>-0.11572618654692289</t>
  </si>
  <si>
    <t>0.0240294744747911</t>
  </si>
  <si>
    <t>0.023672992685525505</t>
  </si>
  <si>
    <t>-0.09896354718391598</t>
  </si>
  <si>
    <t>0.1570502675978728</t>
  </si>
  <si>
    <t>-0.09535152287433207</t>
  </si>
  <si>
    <t>-0.0785888361376901</t>
  </si>
  <si>
    <t>-0.23641745468543288</t>
  </si>
  <si>
    <t>0.33954011416482816</t>
  </si>
  <si>
    <t>0.12637010457420456</t>
  </si>
  <si>
    <t>-0.2888872950735233</t>
  </si>
  <si>
    <t>-0.37164517294756755</t>
  </si>
  <si>
    <t>0.10009350019580301</t>
  </si>
  <si>
    <t>0.08008993663181466</t>
  </si>
  <si>
    <t>-0.06433902938214803</t>
  </si>
  <si>
    <t>-0.015287561149987916</t>
  </si>
  <si>
    <t>0.06519140666523103</t>
  </si>
  <si>
    <t>0.12225734784313785</t>
  </si>
  <si>
    <t>-0.2105079753034094</t>
  </si>
  <si>
    <t>0.20400895567808705</t>
  </si>
  <si>
    <t>-0.08034870916112632</t>
  </si>
  <si>
    <t>-0.024990871032034272</t>
  </si>
  <si>
    <t>0.018375630597682126</t>
  </si>
  <si>
    <t>0.3173593649769548</t>
  </si>
  <si>
    <t>0.14747203890348146</t>
  </si>
  <si>
    <t>0.10706505744975575</t>
  </si>
  <si>
    <t>-0.05070338859357042</t>
  </si>
  <si>
    <t>-0.12425329491655204</t>
  </si>
  <si>
    <t>0.06420087185404538</t>
  </si>
  <si>
    <t>-0.06244031697939771</t>
  </si>
  <si>
    <t>-0.025893292707860043</t>
  </si>
  <si>
    <t>0.019074209973411336</t>
  </si>
  <si>
    <t>0.040424169474976825</t>
  </si>
  <si>
    <t>0.02813930883649498</t>
  </si>
  <si>
    <t>0.283190539264712</t>
  </si>
  <si>
    <t>0.1380242106656608</t>
  </si>
  <si>
    <t>1.1608656063590541</t>
  </si>
  <si>
    <t>-1.8580175975595676</t>
  </si>
  <si>
    <t>-0.2293694579789401</t>
  </si>
  <si>
    <t>-0.38188099319977975</t>
  </si>
  <si>
    <t>-0.163351645512552</t>
  </si>
  <si>
    <t>0.21247439495269976</t>
  </si>
  <si>
    <t>-0.12098645784055514</t>
  </si>
  <si>
    <t>-0.5057881554670071</t>
  </si>
  <si>
    <t>-0.2167444119059121</t>
  </si>
  <si>
    <t>-0.011823864219561817</t>
  </si>
  <si>
    <t>-0.014199753837113424</t>
  </si>
  <si>
    <t>0.06518938161294657</t>
  </si>
  <si>
    <t>-0.32004721407514436</t>
  </si>
  <si>
    <t>-0.24726120356727743</t>
  </si>
  <si>
    <t>-0.05598316346906348</t>
  </si>
  <si>
    <t>-0.13587032224383971</t>
  </si>
  <si>
    <t>0.07127207735322917</t>
  </si>
  <si>
    <t>0.05230673787356931</t>
  </si>
  <si>
    <t>0.15790490997237486</t>
  </si>
  <si>
    <t>0.161819032728398</t>
  </si>
  <si>
    <t>-0.03970637275507574</t>
  </si>
  <si>
    <t>0.005289888184612501</t>
  </si>
  <si>
    <t>-0.31099460805377216</t>
  </si>
  <si>
    <t>0.2854242666526076</t>
  </si>
  <si>
    <t>0.048676387025528095</t>
  </si>
  <si>
    <t>-0.013651974820954978</t>
  </si>
  <si>
    <t>0.27934010119236974</t>
  </si>
  <si>
    <t>-0.0726582951363903</t>
  </si>
  <si>
    <t>-0.9074253663195543</t>
  </si>
  <si>
    <t>0.02565601901197749</t>
  </si>
  <si>
    <t>0.14682287072212316</t>
  </si>
  <si>
    <t>0.010522097758409914</t>
  </si>
  <si>
    <t>0.17125051786799927</t>
  </si>
  <si>
    <t>0.1743173735137846</t>
  </si>
  <si>
    <t>0.05930180400044801</t>
  </si>
  <si>
    <t>-0.30238879526633</t>
  </si>
  <si>
    <t>-0.049986717635637015</t>
  </si>
  <si>
    <t>-0.067044602915362</t>
  </si>
  <si>
    <t>-0.23001855909385285</t>
  </si>
  <si>
    <t>0.16044708903271748</t>
  </si>
  <si>
    <t>0.5714350726063759</t>
  </si>
  <si>
    <t>0.2502773931727931</t>
  </si>
  <si>
    <t>-0.07681470867970826</t>
  </si>
  <si>
    <t>0.16376638223563514</t>
  </si>
  <si>
    <t>-0.0454050998586436</t>
  </si>
  <si>
    <t>-0.19936092053929347</t>
  </si>
  <si>
    <t>-0.06620705405520917</t>
  </si>
  <si>
    <t>0.20197768544904524</t>
  </si>
  <si>
    <t>0.3534129361529892</t>
  </si>
  <si>
    <t>-0.3008014909367605</t>
  </si>
  <si>
    <t>-0.6681439304929411</t>
  </si>
  <si>
    <t>0.2520237540397403</t>
  </si>
  <si>
    <t>0.154370348643935</t>
  </si>
  <si>
    <t>-0.18014924772392685</t>
  </si>
  <si>
    <t>-1.5081707597126572</t>
  </si>
  <si>
    <t>-0.11525257993392378</t>
  </si>
  <si>
    <t>-0.0863341919778777</t>
  </si>
  <si>
    <t>-2.367146610805813</t>
  </si>
  <si>
    <t>0.03377428943227237</t>
  </si>
  <si>
    <t>-1.555093860125252</t>
  </si>
  <si>
    <t>0.030261711746082488</t>
  </si>
  <si>
    <t>1.1081764644048546</t>
  </si>
  <si>
    <t>0.09661572505253953</t>
  </si>
  <si>
    <t>0.26301213580539085</t>
  </si>
  <si>
    <t>0.01053765182418155</t>
  </si>
  <si>
    <t>1.6218502683370175</t>
  </si>
  <si>
    <t>-0.19709478549021303</t>
  </si>
  <si>
    <t>0.1894850078146818</t>
  </si>
  <si>
    <t>0.06240885415276524</t>
  </si>
  <si>
    <t>0.23793521072659612</t>
  </si>
  <si>
    <t>-0.17796808492412067</t>
  </si>
  <si>
    <t>-0.04120701906965859</t>
  </si>
  <si>
    <t>0.2872856842115522</t>
  </si>
  <si>
    <t>-0.2535812213534671</t>
  </si>
  <si>
    <t>0.1058123462058458</t>
  </si>
  <si>
    <t>0.17972170788156994</t>
  </si>
  <si>
    <t>-0.0035829413240880017</t>
  </si>
  <si>
    <t>-0.17014081126858122</t>
  </si>
  <si>
    <t>-0.9334916058074879</t>
  </si>
  <si>
    <t>0.07443774276167756</t>
  </si>
  <si>
    <t>-0.6119261976658087</t>
  </si>
  <si>
    <t>-0.9987141822257859</t>
  </si>
  <si>
    <t>0.13558797560295116</t>
  </si>
  <si>
    <t>-0.22866462507593435</t>
  </si>
  <si>
    <t>0.04273496089402195</t>
  </si>
  <si>
    <t>-0.132204239981647</t>
  </si>
  <si>
    <t>-0.009537477843518645</t>
  </si>
  <si>
    <t>0.483893967053017</t>
  </si>
  <si>
    <t>0.1885522986450841</t>
  </si>
  <si>
    <t>0.2509646506708079</t>
  </si>
  <si>
    <t>1.6207844086389662</t>
  </si>
  <si>
    <t>0.02714428647697702</t>
  </si>
  <si>
    <t>-0.025443077900262658</t>
  </si>
  <si>
    <t>0.2172197239918243</t>
  </si>
  <si>
    <t>0.12395781900346951</t>
  </si>
  <si>
    <t>0.01908558107005807</t>
  </si>
  <si>
    <t>-0.474478586542092</t>
  </si>
  <si>
    <t>0.3348942094993286</t>
  </si>
  <si>
    <t>-0.34672130678829255</t>
  </si>
  <si>
    <t>0.18584397940635528</t>
  </si>
  <si>
    <t>0.0043131733875924755</t>
  </si>
  <si>
    <t>0.9668053911109011</t>
  </si>
  <si>
    <t>-0.4671449384946232</t>
  </si>
  <si>
    <t>-0.11349584855338996</t>
  </si>
  <si>
    <t>0.024701595910336542</t>
  </si>
  <si>
    <t>-0.4626889877597644</t>
  </si>
  <si>
    <t>0.1136947828605816</t>
  </si>
  <si>
    <t>0.494450720809506</t>
  </si>
  <si>
    <t>0.26405923847003515</t>
  </si>
  <si>
    <t>0.9913962800316128</t>
  </si>
  <si>
    <t>-0.19129576780892393</t>
  </si>
  <si>
    <t>-0.08438621552835573</t>
  </si>
  <si>
    <t>-0.22586426219940173</t>
  </si>
  <si>
    <t>-1.0340857131645045</t>
  </si>
  <si>
    <t>-0.46669367572194864</t>
  </si>
  <si>
    <t>-0.08704079902987705</t>
  </si>
  <si>
    <t>-0.2616365346497406</t>
  </si>
  <si>
    <t>0.20356905282203774</t>
  </si>
  <si>
    <t>0.025488160704229768</t>
  </si>
  <si>
    <t>0.09199687042262657</t>
  </si>
  <si>
    <t>-0.14030854721400252</t>
  </si>
  <si>
    <t>0.550664298394052</t>
  </si>
  <si>
    <t>-0.5729736897760975</t>
  </si>
  <si>
    <t>0.07477887050624057</t>
  </si>
  <si>
    <t>-0.41251530114618057</t>
  </si>
  <si>
    <t>0.43351647746103356</t>
  </si>
  <si>
    <t>-0.046753923702550104</t>
  </si>
  <si>
    <t>-0.03217609538183439</t>
  </si>
  <si>
    <t>-0.038415761035766015</t>
  </si>
  <si>
    <t>-0.059222972703557954</t>
  </si>
  <si>
    <t>0.3855510880171777</t>
  </si>
  <si>
    <t>-0.23838969926408196</t>
  </si>
  <si>
    <t>-0.2997733997515575</t>
  </si>
  <si>
    <t>0.37028993738575117</t>
  </si>
  <si>
    <t>-0.3590127355643667</t>
  </si>
  <si>
    <t>-0.032021702079099205</t>
  </si>
  <si>
    <t>0.22180716362402336</t>
  </si>
  <si>
    <t>-0.4628617530446724</t>
  </si>
  <si>
    <t>-0.00019375080327386327</t>
  </si>
  <si>
    <t>-0.03282162369196875</t>
  </si>
  <si>
    <t>-0.10168426367233141</t>
  </si>
  <si>
    <t>0.10312420139652255</t>
  </si>
  <si>
    <t>0.01019026557491797</t>
  </si>
  <si>
    <t>-0.012274345716248802</t>
  </si>
  <si>
    <t>0.31818626044450665</t>
  </si>
  <si>
    <t>-0.1204986142269868</t>
  </si>
  <si>
    <t>0.15130645237478077</t>
  </si>
  <si>
    <t>0.3015257349757825</t>
  </si>
  <si>
    <t>-0.5256149638645599</t>
  </si>
  <si>
    <t>0.3391004180201367</t>
  </si>
  <si>
    <t>0.13051753610424932</t>
  </si>
  <si>
    <t>0.16524530203554633</t>
  </si>
  <si>
    <t>0.05669414158914603</t>
  </si>
  <si>
    <t>-0.45836555846930394</t>
  </si>
  <si>
    <t>0.23327827089869813</t>
  </si>
  <si>
    <t>-0.4668371824354276</t>
  </si>
  <si>
    <t>0.30915017914764714</t>
  </si>
  <si>
    <t>-0.4337009327066557</t>
  </si>
  <si>
    <t>0.06922021745528234</t>
  </si>
  <si>
    <t>0.097235346847119</t>
  </si>
  <si>
    <t>-0.26964986353769343</t>
  </si>
  <si>
    <t>-0.19813373221491953</t>
  </si>
  <si>
    <t>0.06842068700596159</t>
  </si>
  <si>
    <t>-0.25773679831360097</t>
  </si>
  <si>
    <t>0.1126445234854585</t>
  </si>
  <si>
    <t>-0.09962615721680289</t>
  </si>
  <si>
    <t>0.10092066109544347</t>
  </si>
  <si>
    <t>0.24027436722313777</t>
  </si>
  <si>
    <t>-0.08035537199181429</t>
  </si>
  <si>
    <t>-0.382486222938777</t>
  </si>
  <si>
    <t>0.4155332173327854</t>
  </si>
  <si>
    <t>0.1309780248638205</t>
  </si>
  <si>
    <t>0.30389909324375053</t>
  </si>
  <si>
    <t>0.11147790790008488</t>
  </si>
  <si>
    <t>0.08389514526877632</t>
  </si>
  <si>
    <t>0.03201107006158355</t>
  </si>
  <si>
    <t>0.29281751637290787</t>
  </si>
  <si>
    <t>0.47230826114317376</t>
  </si>
  <si>
    <t>0.020537832697172093</t>
  </si>
  <si>
    <t>0.0054177410750018955</t>
  </si>
  <si>
    <t>-0.22215914009134052</t>
  </si>
  <si>
    <t>0.39082413842305586</t>
  </si>
  <si>
    <t>0.1645772863405606</t>
  </si>
  <si>
    <t>0.7469346006623379</t>
  </si>
  <si>
    <t>-0.5770291326555753</t>
  </si>
  <si>
    <t>-0.18280062495974694</t>
  </si>
  <si>
    <t>-0.2718006745820694</t>
  </si>
  <si>
    <t>-0.733914788581389</t>
  </si>
  <si>
    <t>-0.537719576716524</t>
  </si>
  <si>
    <t>-0.36271991158189265</t>
  </si>
  <si>
    <t>0.19186701450002122</t>
  </si>
  <si>
    <t>-0.4280617817573001</t>
  </si>
  <si>
    <t>0.12462726988480002</t>
  </si>
  <si>
    <t>0.13152928747520012</t>
  </si>
  <si>
    <t>-0.22072886625044233</t>
  </si>
  <si>
    <t>-0.12403538601330742</t>
  </si>
  <si>
    <t>0.0035709563046070368</t>
  </si>
  <si>
    <t>0.4239508225613081</t>
  </si>
  <si>
    <t>0.12645123015862392</t>
  </si>
  <si>
    <t>-0.11843257411168448</t>
  </si>
  <si>
    <t>0.1651716704612707</t>
  </si>
  <si>
    <t>0.07079791204320801</t>
  </si>
  <si>
    <t>-0.16476841277037932</t>
  </si>
  <si>
    <t>0.3012368651676465</t>
  </si>
  <si>
    <t>1.1720961496659985</t>
  </si>
  <si>
    <t>-0.6050139281295188</t>
  </si>
  <si>
    <t>-0.23373663333207725</t>
  </si>
  <si>
    <t>0.11120242177111213</t>
  </si>
  <si>
    <t>0.17886572420301425</t>
  </si>
  <si>
    <t>0.27366143881406846</t>
  </si>
  <si>
    <t>-0.2105975496423302</t>
  </si>
  <si>
    <t>0.31432024261220165</t>
  </si>
  <si>
    <t>0.1966894587493873</t>
  </si>
  <si>
    <t>-0.18000438550193726</t>
  </si>
  <si>
    <t>0.3055310019512489</t>
  </si>
  <si>
    <t>-0.462692205733681</t>
  </si>
  <si>
    <t>0.19995608339586557</t>
  </si>
  <si>
    <t>0.1005824071908443</t>
  </si>
  <si>
    <t>-0.15070090331065064</t>
  </si>
  <si>
    <t>-0.2673939363916713</t>
  </si>
  <si>
    <t>-0.3896556878089099</t>
  </si>
  <si>
    <t>0.07496096287226825</t>
  </si>
  <si>
    <t>0.08525455946627694</t>
  </si>
  <si>
    <t>-0.35595886575681335</t>
  </si>
  <si>
    <t>0.0850634902064463</t>
  </si>
  <si>
    <t>-0.391815093176028</t>
  </si>
  <si>
    <t>1.5165120418199627</t>
  </si>
  <si>
    <t>0.07777023606999318</t>
  </si>
  <si>
    <t>-0.9470474206812187</t>
  </si>
  <si>
    <t>0.025052914465895935</t>
  </si>
  <si>
    <t>-0.30364654746254854</t>
  </si>
  <si>
    <t>0.5299895979263405</t>
  </si>
  <si>
    <t>-0.7319172329121744</t>
  </si>
  <si>
    <t>0.03412823129636997</t>
  </si>
  <si>
    <t>-0.27866815116164845</t>
  </si>
  <si>
    <t>-0.12081752035453529</t>
  </si>
  <si>
    <t>0.7442359138284049</t>
  </si>
  <si>
    <t>0.03179422503700166</t>
  </si>
  <si>
    <t>0.142577726391306</t>
  </si>
  <si>
    <t>-1.0420819642273653</t>
  </si>
  <si>
    <t>0.1482135768595575</t>
  </si>
  <si>
    <t>-0.42545643846826997</t>
  </si>
  <si>
    <t>-0.17190396314003017</t>
  </si>
  <si>
    <t>0.9153833914542597</t>
  </si>
  <si>
    <t>-0.32411577811263115</t>
  </si>
  <si>
    <t>0.13400581254884714</t>
  </si>
  <si>
    <t>-0.2574740357965896</t>
  </si>
  <si>
    <t>0.017976364570420213</t>
  </si>
  <si>
    <t>0.2688776294343098</t>
  </si>
  <si>
    <t>-0.0980881210046315</t>
  </si>
  <si>
    <t>-0.027300684266319687</t>
  </si>
  <si>
    <t>-1.4957749560137579</t>
  </si>
  <si>
    <t>-0.5872287630999768</t>
  </si>
  <si>
    <t>-0.15218415244586284</t>
  </si>
  <si>
    <t>-0.0171964888423068</t>
  </si>
  <si>
    <t>0.2793964689120382</t>
  </si>
  <si>
    <t>-0.3151291409103809</t>
  </si>
  <si>
    <t>-0.27602929922916264</t>
  </si>
  <si>
    <t>-0.3543253862289039</t>
  </si>
  <si>
    <t>0.09786129150912577</t>
  </si>
  <si>
    <t>-0.24183885513581124</t>
  </si>
  <si>
    <t>0.09413164503679561</t>
  </si>
  <si>
    <t>-0.1370152530957312</t>
  </si>
  <si>
    <t>0.04703520881587305</t>
  </si>
  <si>
    <t>1.3558055953116996</t>
  </si>
  <si>
    <t>-0.9994276316863374</t>
  </si>
  <si>
    <t>0.13063991004049158</t>
  </si>
  <si>
    <t>0.018499027388587656</t>
  </si>
  <si>
    <t>-0.9254389128565441</t>
  </si>
  <si>
    <t>-0.034592219508206165</t>
  </si>
  <si>
    <t>-0.19595145175400352</t>
  </si>
  <si>
    <t>0.1668067645277072</t>
  </si>
  <si>
    <t>0.3874970026390546</t>
  </si>
  <si>
    <t>-0.13135980196482902</t>
  </si>
  <si>
    <t>-0.040045278321470194</t>
  </si>
  <si>
    <t>0.2670695354066658</t>
  </si>
  <si>
    <t>0.6221369829695844</t>
  </si>
  <si>
    <t>-0.05848257567492524</t>
  </si>
  <si>
    <t>0.02175517258183776</t>
  </si>
  <si>
    <t>-1.483801594153943</t>
  </si>
  <si>
    <t>-0.5981676974501368</t>
  </si>
  <si>
    <t>0.023229089081165753</t>
  </si>
  <si>
    <t>-0.23034245136252057</t>
  </si>
  <si>
    <t>0.09723888112547434</t>
  </si>
  <si>
    <t>0.5741280100096215</t>
  </si>
  <si>
    <t>0.021793910835355642</t>
  </si>
  <si>
    <t>-0.17381254396620427</t>
  </si>
  <si>
    <t>0.05345756179493162</t>
  </si>
  <si>
    <t>-0.16393022744474406</t>
  </si>
  <si>
    <t>0.258094797960679</t>
  </si>
  <si>
    <t>-0.05002724559480202</t>
  </si>
  <si>
    <t>0.31555048035117184</t>
  </si>
  <si>
    <t>-0.0681743341679804</t>
  </si>
  <si>
    <t>0.08259734382746897</t>
  </si>
  <si>
    <t>-0.12816191000443666</t>
  </si>
  <si>
    <t>-0.4168084461348266</t>
  </si>
  <si>
    <t>-0.7429538879760432</t>
  </si>
  <si>
    <t>0.14453254015313585</t>
  </si>
  <si>
    <t>-0.3119798476351727</t>
  </si>
  <si>
    <t>0.3250983724627847</t>
  </si>
  <si>
    <t>-0.02811873040373525</t>
  </si>
  <si>
    <t>0.4605507895056533</t>
  </si>
  <si>
    <t>-0.11331793065943209</t>
  </si>
  <si>
    <t>0.8510059507283007</t>
  </si>
  <si>
    <t>-0.8857061963793855</t>
  </si>
  <si>
    <t>0.4670537983147691</t>
  </si>
  <si>
    <t>-0.03842305044988255</t>
  </si>
  <si>
    <t>-0.7649460875553697</t>
  </si>
  <si>
    <t>0.7072356793411871</t>
  </si>
  <si>
    <t>0.0297344498754986</t>
  </si>
  <si>
    <t>0.07138394288748168</t>
  </si>
  <si>
    <t>-0.11450153202916595</t>
  </si>
  <si>
    <t>0.6604040366260694</t>
  </si>
  <si>
    <t>-1.0125878104609938</t>
  </si>
  <si>
    <t>0.8628826411755333</t>
  </si>
  <si>
    <t>-1.0877258000898373</t>
  </si>
  <si>
    <t>0.7585085376796814</t>
  </si>
  <si>
    <t>-0.8574978475248064</t>
  </si>
  <si>
    <t>0.8805922230793569</t>
  </si>
  <si>
    <t>-0.44204583182001267</t>
  </si>
  <si>
    <t>-0.25081497444398415</t>
  </si>
  <si>
    <t>-0.17707543853088512</t>
  </si>
  <si>
    <t>-0.12120928188294203</t>
  </si>
  <si>
    <t>0.048812977002835704</t>
  </si>
  <si>
    <t>0.31071020957688816</t>
  </si>
  <si>
    <t>0.2135068553246228</t>
  </si>
  <si>
    <t>1.0041216324382893</t>
  </si>
  <si>
    <t>-0.3406133639824151</t>
  </si>
  <si>
    <t>0.35623401456193976</t>
  </si>
  <si>
    <t>0.15720718005420856</t>
  </si>
  <si>
    <t>-0.06458115608032529</t>
  </si>
  <si>
    <t>0.10917143052518738</t>
  </si>
  <si>
    <t>-0.025536112322499332</t>
  </si>
  <si>
    <t>0.1996381393139372</t>
  </si>
  <si>
    <t>0.05046850609249631</t>
  </si>
  <si>
    <t>0.5805637749039397</t>
  </si>
  <si>
    <t>0.11659043216173172</t>
  </si>
  <si>
    <t>-0.2157031483892302</t>
  </si>
  <si>
    <t>-0.05359646166218571</t>
  </si>
  <si>
    <t>0.2055655027515273</t>
  </si>
  <si>
    <t>0.08595728134277954</t>
  </si>
  <si>
    <t>0.03350085453940407</t>
  </si>
  <si>
    <t>0.1818918570934573</t>
  </si>
  <si>
    <t>0.17646103528004345</t>
  </si>
  <si>
    <t>0.15257015988771994</t>
  </si>
  <si>
    <t>0.3599517975227813</t>
  </si>
  <si>
    <t>0.08790973487121354</t>
  </si>
  <si>
    <t>0.0002460530530755136</t>
  </si>
  <si>
    <t>0.11398741941146004</t>
  </si>
  <si>
    <t>-0.37596496722005307</t>
  </si>
  <si>
    <t>0.30857453109152577</t>
  </si>
  <si>
    <t>-0.10317514943868653</t>
  </si>
  <si>
    <t>0.046090332828951946</t>
  </si>
  <si>
    <t>0.501391100020835</t>
  </si>
  <si>
    <t>0.25910098475720067</t>
  </si>
  <si>
    <t>-0.6026461648740034</t>
  </si>
  <si>
    <t>-0.07536995091046182</t>
  </si>
  <si>
    <t>-0.2759921540718806</t>
  </si>
  <si>
    <t>0.26883248232662177</t>
  </si>
  <si>
    <t>0.21467334384585776</t>
  </si>
  <si>
    <t>0.05183342536396904</t>
  </si>
  <si>
    <t>0.10937761816504459</t>
  </si>
  <si>
    <t>-0.2651551545956029</t>
  </si>
  <si>
    <t>0.13896348002585143</t>
  </si>
  <si>
    <t>-1.4407738411422848</t>
  </si>
  <si>
    <t>-0.20116049234313446</t>
  </si>
  <si>
    <t>-0.420112383312978</t>
  </si>
  <si>
    <t>-0.399116995775999</t>
  </si>
  <si>
    <t>0.4455256509940498</t>
  </si>
  <si>
    <t>0.5160331137974161</t>
  </si>
  <si>
    <t>0.43498382277750225</t>
  </si>
  <si>
    <t>-0.480096053140364</t>
  </si>
  <si>
    <t>-0.1239382554692371</t>
  </si>
  <si>
    <t>-0.6688288625187178</t>
  </si>
  <si>
    <t>-0.40206681724785964</t>
  </si>
  <si>
    <t>0.4731754017791217</t>
  </si>
  <si>
    <t>0.21754422701842976</t>
  </si>
  <si>
    <t>0.20725694995630306</t>
  </si>
  <si>
    <t>0.4698601638834203</t>
  </si>
  <si>
    <t>-0.21284294379907331</t>
  </si>
  <si>
    <t>0.0677998210072317</t>
  </si>
  <si>
    <t>-0.01694223597895675</t>
  </si>
  <si>
    <t>-0.02532423542949911</t>
  </si>
  <si>
    <t>-0.11482556686365854</t>
  </si>
  <si>
    <t>-0.636249134517522</t>
  </si>
  <si>
    <t>0.19839910483181453</t>
  </si>
  <si>
    <t>0.623415478235954</t>
  </si>
  <si>
    <t>0.10929923267529779</t>
  </si>
  <si>
    <t>-0.14267475357131412</t>
  </si>
  <si>
    <t>0.17089818797855796</t>
  </si>
  <si>
    <t>0.36345066640189366</t>
  </si>
  <si>
    <t>-0.02769722528144744</t>
  </si>
  <si>
    <t>-0.2620987678275845</t>
  </si>
  <si>
    <t>-0.05767872710569109</t>
  </si>
  <si>
    <t>0.2364533822400485</t>
  </si>
  <si>
    <t>0.5820494080860409</t>
  </si>
  <si>
    <t>-0.030819857428928402</t>
  </si>
  <si>
    <t>-1.108080139364571</t>
  </si>
  <si>
    <t>0.30853458284144536</t>
  </si>
  <si>
    <t>-0.1545453077155694</t>
  </si>
  <si>
    <t>0.603137562453713</t>
  </si>
  <si>
    <t>0.6130303394567336</t>
  </si>
  <si>
    <t>0.14132706254511065</t>
  </si>
  <si>
    <t>0.4762602783184363</t>
  </si>
  <si>
    <t>-0.4829869273367408</t>
  </si>
  <si>
    <t>-1.1349796288725311</t>
  </si>
  <si>
    <t>1.0239152848528712</t>
  </si>
  <si>
    <t>-0.3576046313924868</t>
  </si>
  <si>
    <t>0.13150188484033942</t>
  </si>
  <si>
    <t>0.5828977130917241</t>
  </si>
  <si>
    <t>0.19446925654734343</t>
  </si>
  <si>
    <t>0.42750756751070473</t>
  </si>
  <si>
    <t>0.14061975758619807</t>
  </si>
  <si>
    <t>0.5796675124330718</t>
  </si>
  <si>
    <t>-0.5318110698774017</t>
  </si>
  <si>
    <t>0.1893302233196617</t>
  </si>
  <si>
    <t>0.24457344259880756</t>
  </si>
  <si>
    <t>-0.3274732696035834</t>
  </si>
  <si>
    <t>0.36529246770689666</t>
  </si>
  <si>
    <t>0.10433040808365228</t>
  </si>
  <si>
    <t>-0.7745033529114469</t>
  </si>
  <si>
    <t>0.7150945664840781</t>
  </si>
  <si>
    <t>-0.08110362249747281</t>
  </si>
  <si>
    <t>0.34874322391583523</t>
  </si>
  <si>
    <t>0.06973147825792615</t>
  </si>
  <si>
    <t>-0.007876984881035892</t>
  </si>
  <si>
    <t>0.34715257170209146</t>
  </si>
  <si>
    <t>0.3695733600194271</t>
  </si>
  <si>
    <t>0.11546298245671813</t>
  </si>
  <si>
    <t>-0.31784635028278535</t>
  </si>
  <si>
    <t>-0.5097186385026411</t>
  </si>
  <si>
    <t>0.5807631517099596</t>
  </si>
  <si>
    <t>-0.18842966848169904</t>
  </si>
  <si>
    <t>-0.045129260415834656</t>
  </si>
  <si>
    <t>-0.5824152937698334</t>
  </si>
  <si>
    <t>-0.1279220968425561</t>
  </si>
  <si>
    <t>0.07678286863909949</t>
  </si>
  <si>
    <t>-0.5647583409746363</t>
  </si>
  <si>
    <t>-0.2823503587448559</t>
  </si>
  <si>
    <t>-0.4600537289565114</t>
  </si>
  <si>
    <t>0.371037200806336</t>
  </si>
  <si>
    <t>-1.0020550073555563</t>
  </si>
  <si>
    <t>-0.012731042125870716</t>
  </si>
  <si>
    <t>0.1188103610743626</t>
  </si>
  <si>
    <t>0.09184764945742892</t>
  </si>
  <si>
    <t>0.18962567440493988</t>
  </si>
  <si>
    <t>0.3245234739377623</t>
  </si>
  <si>
    <t>0.16513145755090422</t>
  </si>
  <si>
    <t>-0.7811605447386107</t>
  </si>
  <si>
    <t>-0.12942942901768595</t>
  </si>
  <si>
    <t>0.566471799935287</t>
  </si>
  <si>
    <t>0.4797626277175863</t>
  </si>
  <si>
    <t>-0.9978741819501689</t>
  </si>
  <si>
    <t>0.43026902244559284</t>
  </si>
  <si>
    <t>0.011419175111640423</t>
  </si>
  <si>
    <t>-1.0227779117732425</t>
  </si>
  <si>
    <t>-0.2444553570312272</t>
  </si>
  <si>
    <t>0.5263950384862119</t>
  </si>
  <si>
    <t>0.1178151993736006</t>
  </si>
  <si>
    <t>0.721634707479983</t>
  </si>
  <si>
    <t>-0.04986584529130321</t>
  </si>
  <si>
    <t>0.1774789972502317</t>
  </si>
  <si>
    <t>0.08282668922072169</t>
  </si>
  <si>
    <t>-0.08304901553941055</t>
  </si>
  <si>
    <t>0.24555362096836944</t>
  </si>
  <si>
    <t>0.33983441851330515</t>
  </si>
  <si>
    <t>0.24886205703574926</t>
  </si>
  <si>
    <t>0.35645021045787895</t>
  </si>
  <si>
    <t>-0.23926144423025728</t>
  </si>
  <si>
    <t>-0.41436739272004713</t>
  </si>
  <si>
    <t>0.5663054639428586</t>
  </si>
  <si>
    <t>-0.007072952840386478</t>
  </si>
  <si>
    <t>0.25169944388021</t>
  </si>
  <si>
    <t>-1.0086064104113535</t>
  </si>
  <si>
    <t>-0.8861286680767037</t>
  </si>
  <si>
    <t>-0.019139144657209964</t>
  </si>
  <si>
    <t>0.39754180946895723</t>
  </si>
  <si>
    <t>-0.22894057633152562</t>
  </si>
  <si>
    <t>1.0743479241278566</t>
  </si>
  <si>
    <t>-0.1824489728214469</t>
  </si>
  <si>
    <t>0.6174564168092995</t>
  </si>
  <si>
    <t>0.27295524939309496</t>
  </si>
  <si>
    <t>0.1790614271437901</t>
  </si>
  <si>
    <t>-0.42375690676515926</t>
  </si>
  <si>
    <t>-0.03795413909950873</t>
  </si>
  <si>
    <t>0.2443059187761073</t>
  </si>
  <si>
    <t>-0.456432458190399</t>
  </si>
  <si>
    <t>-1.0094331674650612</t>
  </si>
  <si>
    <t>0.39570807804549774</t>
  </si>
  <si>
    <t>-0.16145350903298633</t>
  </si>
  <si>
    <t>0.006414216019220028</t>
  </si>
  <si>
    <t>-0.08555945983498396</t>
  </si>
  <si>
    <t>0.5488138736518229</t>
  </si>
  <si>
    <t>-0.21308653167957028</t>
  </si>
  <si>
    <t>-0.3862000934248211</t>
  </si>
  <si>
    <t>0.24905442167380282</t>
  </si>
  <si>
    <t>-0.09516741876314774</t>
  </si>
  <si>
    <t>0.7849758969686267</t>
  </si>
  <si>
    <t>-0.1726583045083399</t>
  </si>
  <si>
    <t>-0.3756812074002258</t>
  </si>
  <si>
    <t>0.5643470898822421</t>
  </si>
  <si>
    <t>-1.4666886403043093</t>
  </si>
  <si>
    <t>0.1037085241085382</t>
  </si>
  <si>
    <t>0.3243375319662286</t>
  </si>
  <si>
    <t>0.9145931423490691</t>
  </si>
  <si>
    <t>0.136956631694089</t>
  </si>
  <si>
    <t>-0.5041276512814711</t>
  </si>
  <si>
    <t>0.3290159662505211</t>
  </si>
  <si>
    <t>-0.34059921227565515</t>
  </si>
  <si>
    <t>0.7495146612615913</t>
  </si>
  <si>
    <t>-0.09486655886635842</t>
  </si>
  <si>
    <t>0.5535182754536621</t>
  </si>
  <si>
    <t>-0.24666987883381897</t>
  </si>
  <si>
    <t>-0.7352654134232259</t>
  </si>
  <si>
    <t>-0.4384037023651804</t>
  </si>
  <si>
    <t>0.5499295237315825</t>
  </si>
  <si>
    <t>-1.7948136002786441</t>
  </si>
  <si>
    <t>-0.39461766052538333</t>
  </si>
  <si>
    <t>-0.49648267753964864</t>
  </si>
  <si>
    <t>0.3990091096556223</t>
  </si>
  <si>
    <t>0.27291316765567175</t>
  </si>
  <si>
    <t>0.606976240093381</t>
  </si>
  <si>
    <t>-0.07856392541339374</t>
  </si>
  <si>
    <t>-0.22410114093028702</t>
  </si>
  <si>
    <t>-0.3282207088395689</t>
  </si>
  <si>
    <t>-0.017992417886940462</t>
  </si>
  <si>
    <t>0.2812926265586597</t>
  </si>
  <si>
    <t>0.14889283872003742</t>
  </si>
  <si>
    <t>-0.09736287185135989</t>
  </si>
  <si>
    <t>0.34757851024009884</t>
  </si>
  <si>
    <t>0.6105783116946728</t>
  </si>
  <si>
    <t>0.638259346461015</t>
  </si>
  <si>
    <t>-0.8025075194432593</t>
  </si>
  <si>
    <t>0.13340461193657469</t>
  </si>
  <si>
    <t>-0.12634831067013727</t>
  </si>
  <si>
    <t>0.024688222689182485</t>
  </si>
  <si>
    <t>-0.30278941047237146</t>
  </si>
  <si>
    <t>0.08976419268868567</t>
  </si>
  <si>
    <t>0.37392737218608524</t>
  </si>
  <si>
    <t>-0.29616095223500816</t>
  </si>
  <si>
    <t>-0.15528043476070116</t>
  </si>
  <si>
    <t>-0.49826361483719755</t>
  </si>
  <si>
    <t>-0.9737632460562815</t>
  </si>
  <si>
    <t>0.1564485645508306</t>
  </si>
  <si>
    <t>0.42965980561656164</t>
  </si>
  <si>
    <t>-0.2629462196253119</t>
  </si>
  <si>
    <t>0.0980070714733348</t>
  </si>
  <si>
    <t>0.010875811677865877</t>
  </si>
  <si>
    <t>0.33506094435518324</t>
  </si>
  <si>
    <t>-0.3256175655110079</t>
  </si>
  <si>
    <t>0.5113589459192145</t>
  </si>
  <si>
    <t>0.3224369051026898</t>
  </si>
  <si>
    <t>0.291134143666386</t>
  </si>
  <si>
    <t>-0.18168535349021542</t>
  </si>
  <si>
    <t>-0.16913588345826222</t>
  </si>
  <si>
    <t>-0.3759187672596555</t>
  </si>
  <si>
    <t>-0.5689399050197423</t>
  </si>
  <si>
    <t>-0.07748925982627189</t>
  </si>
  <si>
    <t>0.2649597049758</t>
  </si>
  <si>
    <t>-0.6971885476654666</t>
  </si>
  <si>
    <t>-0.1272159464834389</t>
  </si>
  <si>
    <t>0.05573480263195198</t>
  </si>
  <si>
    <t>0.06991865402932011</t>
  </si>
  <si>
    <t>-0.3307117713613697</t>
  </si>
  <si>
    <t>-0.46229176118406395</t>
  </si>
  <si>
    <t>-0.27554841874435565</t>
  </si>
  <si>
    <t>0.860609464630495</t>
  </si>
  <si>
    <t>0.3232940451312768</t>
  </si>
  <si>
    <t>-0.5753810084228776</t>
  </si>
  <si>
    <t>0.569713287649043</t>
  </si>
  <si>
    <t>-0.19290128146701704</t>
  </si>
  <si>
    <t>0.77404622493938</t>
  </si>
  <si>
    <t>0.27855023027431586</t>
  </si>
  <si>
    <t>-0.5517153722845836</t>
  </si>
  <si>
    <t>0.22062182855830342</t>
  </si>
  <si>
    <t>-0.2174958026353579</t>
  </si>
  <si>
    <t>0.6239540470045667</t>
  </si>
  <si>
    <t>0.26951470554866475</t>
  </si>
  <si>
    <t>0.1047049407167675</t>
  </si>
  <si>
    <t>-0.007627304639505228</t>
  </si>
  <si>
    <t>-0.19913721183628863</t>
  </si>
  <si>
    <t>0.8231733714540219</t>
  </si>
  <si>
    <t>0.29468820824351716</t>
  </si>
  <si>
    <t>0.287081172439717</t>
  </si>
  <si>
    <t>-0.049147844886813306</t>
  </si>
  <si>
    <t>0.5789268223849628</t>
  </si>
  <si>
    <t>0.2206681796272269</t>
  </si>
  <si>
    <t>0.16250151233183843</t>
  </si>
  <si>
    <t>0.5363379388025495</t>
  </si>
  <si>
    <t>-0.24759810311150504</t>
  </si>
  <si>
    <t>-0.04489962276574314</t>
  </si>
  <si>
    <t>-0.11109281594241449</t>
  </si>
  <si>
    <t>-0.2417192731444729</t>
  </si>
  <si>
    <t>0.517259530226471</t>
  </si>
  <si>
    <t>-0.29484584714054013</t>
  </si>
  <si>
    <t>0.5589506810971181</t>
  </si>
  <si>
    <t>0.1996489230707998</t>
  </si>
  <si>
    <t>0.01976625780665645</t>
  </si>
  <si>
    <t>-0.1406781623911743</t>
  </si>
  <si>
    <t>-0.14342178890872306</t>
  </si>
  <si>
    <t>-0.10843407294219606</t>
  </si>
  <si>
    <t>0.09709202960988884</t>
  </si>
  <si>
    <t>-0.8063049963897488</t>
  </si>
  <si>
    <t>-0.4822217590051641</t>
  </si>
  <si>
    <t>0.8511022029941683</t>
  </si>
  <si>
    <t>1.2577059090923912</t>
  </si>
  <si>
    <t>0.6589148749285643</t>
  </si>
  <si>
    <t>0.17234467621630192</t>
  </si>
  <si>
    <t>-0.6523320526194518</t>
  </si>
  <si>
    <t>0.6927195272285505</t>
  </si>
  <si>
    <t>-0.08167213043272152</t>
  </si>
  <si>
    <t>0.5021306239432745</t>
  </si>
  <si>
    <t>0.20507958961160228</t>
  </si>
  <si>
    <t>0.34775682491324755</t>
  </si>
  <si>
    <t>-0.4732312872356302</t>
  </si>
  <si>
    <t>0.9223187203477954</t>
  </si>
  <si>
    <t>0.1898083715305809</t>
  </si>
  <si>
    <t>-1.0220958737577057</t>
  </si>
  <si>
    <t>0.025645048497307196</t>
  </si>
  <si>
    <t>0.27630224130255526</t>
  </si>
  <si>
    <t>0.23614327009746947</t>
  </si>
  <si>
    <t>0.3253536250815957</t>
  </si>
  <si>
    <t>-0.16868916398023662</t>
  </si>
  <si>
    <t>0.36877397895681796</t>
  </si>
  <si>
    <t>-0.05146011748214426</t>
  </si>
  <si>
    <t>-0.3509666321188822</t>
  </si>
  <si>
    <t>0.21957227142183175</t>
  </si>
  <si>
    <t>-0.053205575229483756</t>
  </si>
  <si>
    <t>0.1665503649113878</t>
  </si>
  <si>
    <t>0.4543631422758017</t>
  </si>
  <si>
    <t>-0.9856003180114248</t>
  </si>
  <si>
    <t>-0.40864631248343697</t>
  </si>
  <si>
    <t>-0.7300748834366435</t>
  </si>
  <si>
    <t>0.11485500540053492</t>
  </si>
  <si>
    <t>-0.47007049527765676</t>
  </si>
  <si>
    <t>0.4334824076744918</t>
  </si>
  <si>
    <t>-0.5312795438757503</t>
  </si>
  <si>
    <t>-1.5704401384872089</t>
  </si>
  <si>
    <t>-0.9484728159719255</t>
  </si>
  <si>
    <t>0.3151491168339161</t>
  </si>
  <si>
    <t>-0.7380128750496382</t>
  </si>
  <si>
    <t>2.6208459977106515</t>
  </si>
  <si>
    <t>0.3661687473129669</t>
  </si>
  <si>
    <t>-0.06580665610092859</t>
  </si>
  <si>
    <t>-0.3279057643082909</t>
  </si>
  <si>
    <t>-0.08107640855127307</t>
  </si>
  <si>
    <t>2.247691414763742</t>
  </si>
  <si>
    <t>-1.8072176925703087</t>
  </si>
  <si>
    <t>1.861802449826004</t>
  </si>
  <si>
    <t>-0.3224266002476044</t>
  </si>
  <si>
    <t>1.5231604233236893</t>
  </si>
  <si>
    <t>-0.7700518765258205</t>
  </si>
  <si>
    <t>-0.6916810695108268</t>
  </si>
  <si>
    <t>0.17333251292250226</t>
  </si>
  <si>
    <t>-1.5662072014122026</t>
  </si>
  <si>
    <t>0.5686114387259542</t>
  </si>
  <si>
    <t>-0.5799992513917442</t>
  </si>
  <si>
    <t>-1.55817880210406</t>
  </si>
  <si>
    <t>0.9592576103872515</t>
  </si>
  <si>
    <t>-0.7718616589786679</t>
  </si>
  <si>
    <t>0.19832347786888666</t>
  </si>
  <si>
    <t>-0.797233187804078</t>
  </si>
  <si>
    <t>-1.536475369697729</t>
  </si>
  <si>
    <t>1.9770160052350458</t>
  </si>
  <si>
    <t>-0.8619964981560277</t>
  </si>
  <si>
    <t>-1.5302816026398256</t>
  </si>
  <si>
    <t>1.468780643272214</t>
  </si>
  <si>
    <t>-1.9012709080906227</t>
  </si>
  <si>
    <t>1.6945791701716266</t>
  </si>
  <si>
    <t>-1.2594022064097024</t>
  </si>
  <si>
    <t>0.34544147344998666</t>
  </si>
  <si>
    <t>1.8340339050964303</t>
  </si>
  <si>
    <t>0.7016764519951161</t>
  </si>
  <si>
    <t>0.1160207739045782</t>
  </si>
  <si>
    <t>-0.18689167775840995</t>
  </si>
  <si>
    <t>0.019613216697574588</t>
  </si>
  <si>
    <t>-0.25632909776937746</t>
  </si>
  <si>
    <t>1.035262362604362</t>
  </si>
  <si>
    <t>0.01256969121368991</t>
  </si>
  <si>
    <t>-1.4309787046362514</t>
  </si>
  <si>
    <t>0.43739567728659895</t>
  </si>
  <si>
    <t>-0.4162165742335114</t>
  </si>
  <si>
    <t>0.11641885277055064</t>
  </si>
  <si>
    <t>0.09288127209987072</t>
  </si>
  <si>
    <t>-0.8355731392524676</t>
  </si>
  <si>
    <t>0.26265337545495077</t>
  </si>
  <si>
    <t>-0.2624745630787752</t>
  </si>
  <si>
    <t>-1.9300978833470495</t>
  </si>
  <si>
    <t>0.37033339968682893</t>
  </si>
  <si>
    <t>0.31445695989938727</t>
  </si>
  <si>
    <t>0.40854265631827574</t>
  </si>
  <si>
    <t>0.3545232366511361</t>
  </si>
  <si>
    <t>0.336327086587618</t>
  </si>
  <si>
    <t>-0.9788859468529874</t>
  </si>
  <si>
    <t>-0.8182642319437713</t>
  </si>
  <si>
    <t>-1.133522072670145</t>
  </si>
  <si>
    <t>0.8349109707826161</t>
  </si>
  <si>
    <t>-0.5809694926828275</t>
  </si>
  <si>
    <t>0.09980997703646627</t>
  </si>
  <si>
    <t>2.128235406697138</t>
  </si>
  <si>
    <t>-0.20583514066747458</t>
  </si>
  <si>
    <t>-0.6892900481878824</t>
  </si>
  <si>
    <t>0.3833674503687107</t>
  </si>
  <si>
    <t>0.49792770294189986</t>
  </si>
  <si>
    <t>0.5829058186278108</t>
  </si>
  <si>
    <t>-0.09900339171274622</t>
  </si>
  <si>
    <t>-0.5904497653221225</t>
  </si>
  <si>
    <t>0.7166075179204927</t>
  </si>
  <si>
    <t>0.5155962899765988</t>
  </si>
  <si>
    <t>1.1974352790564995</t>
  </si>
  <si>
    <t>0.35679630537489265</t>
  </si>
  <si>
    <t>0.16656936978405334</t>
  </si>
  <si>
    <t>-0.7974457767534957</t>
  </si>
  <si>
    <t>-0.41087178607909813</t>
  </si>
  <si>
    <t>-3.643048970947422</t>
  </si>
  <si>
    <t>-1.225563034289291</t>
  </si>
  <si>
    <t>-0.09061769710187496</t>
  </si>
  <si>
    <t>-0.16571621186176436</t>
  </si>
  <si>
    <t>1.3926948584673975</t>
  </si>
  <si>
    <t>-0.0346167464386891</t>
  </si>
  <si>
    <t>0.9971631284516582</t>
  </si>
  <si>
    <t>0.49266913140933033</t>
  </si>
  <si>
    <t>-0.6186430576348332</t>
  </si>
  <si>
    <t>0.8971204787585533</t>
  </si>
  <si>
    <t>-0.06874058289252893</t>
  </si>
  <si>
    <t>1.6274687199578932</t>
  </si>
  <si>
    <t>0.5409826937167111</t>
  </si>
  <si>
    <t>-0.38962571611741514</t>
  </si>
  <si>
    <t>0.5313261630686696</t>
  </si>
  <si>
    <t>-0.013800933263505467</t>
  </si>
  <si>
    <t>0.6512411683839624</t>
  </si>
  <si>
    <t>0.32752177900387947</t>
  </si>
  <si>
    <t>-0.29412331537927755</t>
  </si>
  <si>
    <t>0.1733278869689289</t>
  </si>
  <si>
    <t>1.8684575117592157</t>
  </si>
  <si>
    <t>-0.6685588178668795</t>
  </si>
  <si>
    <t>2.229960140582507</t>
  </si>
  <si>
    <t>1.2523902293192692</t>
  </si>
  <si>
    <t>0.7703544033966043</t>
  </si>
  <si>
    <t>-1.7175702791750023</t>
  </si>
  <si>
    <t>0.7432327834128758</t>
  </si>
  <si>
    <t>-0.22120241900152135</t>
  </si>
  <si>
    <t>-1.03539838233545</t>
  </si>
  <si>
    <t>0.05987605698191297</t>
  </si>
  <si>
    <t>0.4552765942868247</t>
  </si>
  <si>
    <t>0.6382159193420593</t>
  </si>
  <si>
    <t>0.7331204208956114</t>
  </si>
  <si>
    <t>-0.31157216252004455</t>
  </si>
  <si>
    <t>-0.955312145840326</t>
  </si>
  <si>
    <t>-0.7073785992365758</t>
  </si>
  <si>
    <t>1.7277960549252938</t>
  </si>
  <si>
    <t>-0.8681666302420977</t>
  </si>
  <si>
    <t>0.5243906657975974</t>
  </si>
  <si>
    <t>-0.868981576977904</t>
  </si>
  <si>
    <t>1.1356422594255553</t>
  </si>
  <si>
    <t>-0.07243568712715064</t>
  </si>
  <si>
    <t>1.203131125186458</t>
  </si>
  <si>
    <t>-0.2823014739968897</t>
  </si>
  <si>
    <t>-1.2357970841284918</t>
  </si>
  <si>
    <t>1.8601920777522931</t>
  </si>
  <si>
    <t>1.495539715452805</t>
  </si>
  <si>
    <t>-1.0761721518595773</t>
  </si>
  <si>
    <t>-0.9186618101803445</t>
  </si>
  <si>
    <t>-1.242204983685883</t>
  </si>
  <si>
    <t>0.6643243650073866</t>
  </si>
  <si>
    <t>-0.8781545966786636</t>
  </si>
  <si>
    <t>-1.841490220272716</t>
  </si>
  <si>
    <t>-0.03669689406191198</t>
  </si>
  <si>
    <t>0.5092291372009674</t>
  </si>
  <si>
    <t>0.2271532355323186</t>
  </si>
  <si>
    <t>-0.47200877315335465</t>
  </si>
  <si>
    <t>0.03783934854055047</t>
  </si>
  <si>
    <t>0.777272243048046</t>
  </si>
  <si>
    <t>-1.2133888994425932</t>
  </si>
  <si>
    <t>1.0402141841808927</t>
  </si>
  <si>
    <t>-0.6647339758817672</t>
  </si>
  <si>
    <t>-0.7958169991501687</t>
  </si>
  <si>
    <t>1.242600409783443</t>
  </si>
  <si>
    <t>-0.26900196064735793</t>
  </si>
  <si>
    <t>0.04041330052148976</t>
  </si>
  <si>
    <t>-0.3272289858443923</t>
  </si>
  <si>
    <t>0.1474882679903763</t>
  </si>
  <si>
    <t>-0.5601309238584972</t>
  </si>
  <si>
    <t>0.8141889108987588</t>
  </si>
  <si>
    <t>-0.28790610849693166</t>
  </si>
  <si>
    <t>-0.06652468338406688</t>
  </si>
  <si>
    <t>-1.1534967349326555</t>
  </si>
  <si>
    <t>-0.4315674680771573</t>
  </si>
  <si>
    <t>-0.1173236997592491</t>
  </si>
  <si>
    <t>0.6879352444552551</t>
  </si>
  <si>
    <t>0.08137722235828085</t>
  </si>
  <si>
    <t>-0.017755055952965726</t>
  </si>
  <si>
    <t>-0.15380283359179464</t>
  </si>
  <si>
    <t>-0.13677157639322066</t>
  </si>
  <si>
    <t>0.3328968389618384</t>
  </si>
  <si>
    <t>0.26941230508390007</t>
  </si>
  <si>
    <t>-0.9046699943258257</t>
  </si>
  <si>
    <t>-0.17311871539393384</t>
  </si>
  <si>
    <t>-0.34401148201044385</t>
  </si>
  <si>
    <t>-0.634549035836664</t>
  </si>
  <si>
    <t>0.8067474150108123</t>
  </si>
  <si>
    <t>-0.15282767871536732</t>
  </si>
  <si>
    <t>-2.126541334978278</t>
  </si>
  <si>
    <t>1.4806293677664637</t>
  </si>
  <si>
    <t>-0.07338361082125361</t>
  </si>
  <si>
    <t>0.3829120185576996</t>
  </si>
  <si>
    <t>1.831602478906022</t>
  </si>
  <si>
    <t>0.6262436446369334</t>
  </si>
  <si>
    <t>-0.9275103478473093</t>
  </si>
  <si>
    <t>2.6820345615118035</t>
  </si>
  <si>
    <t>0.19848711330116856</t>
  </si>
  <si>
    <t>0.6645054133391946</t>
  </si>
  <si>
    <t>-0.5570701325763308</t>
  </si>
  <si>
    <t>-1.1134000207358306</t>
  </si>
  <si>
    <t>1.1566862841910113</t>
  </si>
  <si>
    <t>-0.0365038101364979</t>
  </si>
  <si>
    <t>-1.552874346016856</t>
  </si>
  <si>
    <t>0.010112096383033604</t>
  </si>
  <si>
    <t>-1.1611423192942925</t>
  </si>
  <si>
    <t>-0.7249245922158847</t>
  </si>
  <si>
    <t>0.23907019566873006</t>
  </si>
  <si>
    <t>1.307286721490359</t>
  </si>
  <si>
    <t>-1.5049106987228824</t>
  </si>
  <si>
    <t>-0.39344641247867135</t>
  </si>
  <si>
    <t>0.5959416499184624</t>
  </si>
  <si>
    <t>0.8489001731381685</t>
  </si>
  <si>
    <t>0.25969504354617035</t>
  </si>
  <si>
    <t>-0.16831396614237262</t>
  </si>
  <si>
    <t>1.245482837740575</t>
  </si>
  <si>
    <t>-0.6092556085165861</t>
  </si>
  <si>
    <t>-0.4708674390871376</t>
  </si>
  <si>
    <t>-1.3862838458085849</t>
  </si>
  <si>
    <t>1.5962205537555176</t>
  </si>
  <si>
    <t>-0.2867935961551139</t>
  </si>
  <si>
    <t>-0.41530971306019365</t>
  </si>
  <si>
    <t>-0.1523718616461631</t>
  </si>
  <si>
    <t>-0.48242042529160595</t>
  </si>
  <si>
    <t>0.05628292796633682</t>
  </si>
  <si>
    <t>-1.67163222380288</t>
  </si>
  <si>
    <t>0.07087167935417918</t>
  </si>
  <si>
    <t>-0.41303292761017324</t>
  </si>
  <si>
    <t>1.6825180336889825</t>
  </si>
  <si>
    <t>-0.9951696074498518</t>
  </si>
  <si>
    <t>0.726410030756993</t>
  </si>
  <si>
    <t>1.8305420917986843</t>
  </si>
  <si>
    <t>-0.2708244924595678</t>
  </si>
  <si>
    <t>-0.15047235874283219</t>
  </si>
  <si>
    <t>-0.35547010935448653</t>
  </si>
  <si>
    <t>0.2692456414113105</t>
  </si>
  <si>
    <t>-0.15098762361689674</t>
  </si>
  <si>
    <t>1.681637246165726</t>
  </si>
  <si>
    <t>-0.6944037036256138</t>
  </si>
  <si>
    <t>-0.08799887418096985</t>
  </si>
  <si>
    <t>-0.2510993046658477</t>
  </si>
  <si>
    <t>0.9125713888090368</t>
  </si>
  <si>
    <t>0.19376060957738706</t>
  </si>
  <si>
    <t>-0.47522315995238745</t>
  </si>
  <si>
    <t>-0.7273908372846294</t>
  </si>
  <si>
    <t>0.7621615368966652</t>
  </si>
  <si>
    <t>2.1760992622098443</t>
  </si>
  <si>
    <t>0.5344389776600602</t>
  </si>
  <si>
    <t>0.08946934348475567</t>
  </si>
  <si>
    <t>-0.7743016675629713</t>
  </si>
  <si>
    <t>0.7093137594262926</t>
  </si>
  <si>
    <t>-0.9784295297662612</t>
  </si>
  <si>
    <t>0.8487457873580143</t>
  </si>
  <si>
    <t>0.6468973224730348</t>
  </si>
  <si>
    <t>-0.14268407587370485</t>
  </si>
  <si>
    <t>-0.5404363381154883</t>
  </si>
  <si>
    <t>0.06267447748328592</t>
  </si>
  <si>
    <t>0.13610600456035477</t>
  </si>
  <si>
    <t>0.5174486141295862</t>
  </si>
  <si>
    <t>0.767715094667812</t>
  </si>
  <si>
    <t>-1.2931762810036294</t>
  </si>
  <si>
    <t>0.5292637572561267</t>
  </si>
  <si>
    <t>-0.4297233611541771</t>
  </si>
  <si>
    <t>-0.17570982422846668</t>
  </si>
  <si>
    <t>0.9423805866234772</t>
  </si>
  <si>
    <t>-0.4308141007100311</t>
  </si>
  <si>
    <t>-0.10698828495666284</t>
  </si>
  <si>
    <t>0.47008180361567603</t>
  </si>
  <si>
    <t>-0.08432599045512292</t>
  </si>
  <si>
    <t>2.631591509290893</t>
  </si>
  <si>
    <t>-1.1286549600487967</t>
  </si>
  <si>
    <t>-0.8156891842939994</t>
  </si>
  <si>
    <t>-1.2663427095338726</t>
  </si>
  <si>
    <t>-0.29336391896798625</t>
  </si>
  <si>
    <t>-0.05474192024823454</t>
  </si>
  <si>
    <t>-0.8148541977043958</t>
  </si>
  <si>
    <t>0.8545249362341679</t>
  </si>
  <si>
    <t>-0.2974688572775394</t>
  </si>
  <si>
    <t>1.4865333029958046</t>
  </si>
  <si>
    <t>0.9820497075625677</t>
  </si>
  <si>
    <t>-0.39915552536000226</t>
  </si>
  <si>
    <t>0.3439758594178591</t>
  </si>
  <si>
    <t>-0.10239369255747244</t>
  </si>
  <si>
    <t>1.0701059093499468</t>
  </si>
  <si>
    <t>0.4650046557345975</t>
  </si>
  <si>
    <t>0.88954957969486</t>
  </si>
  <si>
    <t>-0.05456900640434918</t>
  </si>
  <si>
    <t>-0.6364462870265619</t>
  </si>
  <si>
    <t>-0.3846138188202794</t>
  </si>
  <si>
    <t>0.26131910541733017</t>
  </si>
  <si>
    <t>0.12150098340122895</t>
  </si>
  <si>
    <t>0.2285602414623395</t>
  </si>
  <si>
    <t>-0.3312016489362124</t>
  </si>
  <si>
    <t>0.2368997026896766</t>
  </si>
  <si>
    <t>0.21829377616807696</t>
  </si>
  <si>
    <t>-0.3700862398676596</t>
  </si>
  <si>
    <t>0.5792085592929005</t>
  </si>
  <si>
    <t>0.854251226149546</t>
  </si>
  <si>
    <t>0.14673075971471836</t>
  </si>
  <si>
    <t>0.5783461792043144</t>
  </si>
  <si>
    <t>0.20224634899553126</t>
  </si>
  <si>
    <t>-0.35861438761727704</t>
  </si>
  <si>
    <t>-0.41668931960038874</t>
  </si>
  <si>
    <t>-0.03015985718701692</t>
  </si>
  <si>
    <t>-0.31759870766158144</t>
  </si>
  <si>
    <t>0.7598106492495194</t>
  </si>
  <si>
    <t>-0.9642505290485609</t>
  </si>
  <si>
    <t>-0.5380639052698746</t>
  </si>
  <si>
    <t>-0.018031791745942632</t>
  </si>
  <si>
    <t>-0.0501265917539234</t>
  </si>
  <si>
    <t>0.30895565965767835</t>
  </si>
  <si>
    <t>-0.6111971083564326</t>
  </si>
  <si>
    <t>-0.05324754002431387</t>
  </si>
  <si>
    <t>-0.18318612057769104</t>
  </si>
  <si>
    <t>0.23289590640829036</t>
  </si>
  <si>
    <t>-0.35311192553233417</t>
  </si>
  <si>
    <t>-0.3908237570435461</t>
  </si>
  <si>
    <t>-0.7672015491336479</t>
  </si>
  <si>
    <t>0.570678557588142</t>
  </si>
  <si>
    <t>-0.10841605259214837</t>
  </si>
  <si>
    <t>0.6593899257456577</t>
  </si>
  <si>
    <t>1.3669584204475806</t>
  </si>
  <si>
    <t>-0.36889227418931136</t>
  </si>
  <si>
    <t>-0.7049702839329977</t>
  </si>
  <si>
    <t>0.0976708341477959</t>
  </si>
  <si>
    <t>0.10354625177098965</t>
  </si>
  <si>
    <t>0.35033091543373057</t>
  </si>
  <si>
    <t>0.6411243363175443</t>
  </si>
  <si>
    <t>0.26402695029174744</t>
  </si>
  <si>
    <t>1.2217286956947706</t>
  </si>
  <si>
    <t>0.3159917987442259</t>
  </si>
  <si>
    <t>0.4617794078147847</t>
  </si>
  <si>
    <t>0.5120524021782897</t>
  </si>
  <si>
    <t>0.4717723135179915</t>
  </si>
  <si>
    <t>0.4010090633107067</t>
  </si>
  <si>
    <t>-0.7768950351208149</t>
  </si>
  <si>
    <t>-0.8202239219218217</t>
  </si>
  <si>
    <t>-0.1656719190106874</t>
  </si>
  <si>
    <t>0.23398339182294128</t>
  </si>
  <si>
    <t>0.11456576803130762</t>
  </si>
  <si>
    <t>0.47597157699270753</t>
  </si>
  <si>
    <t>-0.04199654411092305</t>
  </si>
  <si>
    <t>-0.49247391362088333</t>
  </si>
  <si>
    <t>1.454412259976408</t>
  </si>
  <si>
    <t>0.6336969746942391</t>
  </si>
  <si>
    <t>-0.9358579542948152</t>
  </si>
  <si>
    <t>0.40299964270281535</t>
  </si>
  <si>
    <t>-0.21849531697675087</t>
  </si>
  <si>
    <t>-0.5768215787574492</t>
  </si>
  <si>
    <t>-0.289211890260707</t>
  </si>
  <si>
    <t>0.4465025620047237</t>
  </si>
  <si>
    <t>-0.34231656210263384</t>
  </si>
  <si>
    <t>-0.8656818084595497</t>
  </si>
  <si>
    <t>0.6641908060110137</t>
  </si>
  <si>
    <t>0.46251779774510404</t>
  </si>
  <si>
    <t>0.2590813050212953</t>
  </si>
  <si>
    <t>-1.001482367930179</t>
  </si>
  <si>
    <t>-0.49992004048105004</t>
  </si>
  <si>
    <t>0.06507646827050313</t>
  </si>
  <si>
    <t>-0.07980547134700611</t>
  </si>
  <si>
    <t>-0.9130562143813826</t>
  </si>
  <si>
    <t>0.3278089382062401</t>
  </si>
  <si>
    <t>0.17542966173965338</t>
  </si>
  <si>
    <t>0.48112953798935976</t>
  </si>
  <si>
    <t>0.20647338898439024</t>
  </si>
  <si>
    <t>-0.4642307020586332</t>
  </si>
  <si>
    <t>1.7831854057800813</t>
  </si>
  <si>
    <t>0.6331717612286739</t>
  </si>
  <si>
    <t>0.45859698128197324</t>
  </si>
  <si>
    <t>0.6831376446448955</t>
  </si>
  <si>
    <t>-0.29512881038918426</t>
  </si>
  <si>
    <t>-0.30546579310242256</t>
  </si>
  <si>
    <t>-0.3859839561401217</t>
  </si>
  <si>
    <t>0.04456089667167271</t>
  </si>
  <si>
    <t>0.006875969891265363</t>
  </si>
  <si>
    <t>0.6017864789238944</t>
  </si>
  <si>
    <t>0.03498674062043575</t>
  </si>
  <si>
    <t>0.1226576314189751</t>
  </si>
  <si>
    <t>0.7036606740652902</t>
  </si>
  <si>
    <t>-0.18378198442895666</t>
  </si>
  <si>
    <t>0.6975686553340535</t>
  </si>
  <si>
    <t>-0.3473508827445081</t>
  </si>
  <si>
    <t>0.34537821111041395</t>
  </si>
  <si>
    <t>1.3033423835953437</t>
  </si>
  <si>
    <t>0.3122403540112122</t>
  </si>
  <si>
    <t>0.06554266972605538</t>
  </si>
  <si>
    <t>0.26721102920344253</t>
  </si>
  <si>
    <t>-0.4753799536890238</t>
  </si>
  <si>
    <t>0.7066410314934166</t>
  </si>
  <si>
    <t>-0.46565115131452933</t>
  </si>
  <si>
    <t>-1.2731743352100495</t>
  </si>
  <si>
    <t>-0.6297166321513878</t>
  </si>
  <si>
    <t>0.4367175901884834</t>
  </si>
  <si>
    <t>0.0333199240107604</t>
  </si>
  <si>
    <t>0.6933345254129599</t>
  </si>
  <si>
    <t>0.21813182210213988</t>
  </si>
  <si>
    <t>0.7670305624933607</t>
  </si>
  <si>
    <t>0.713830034700492</t>
  </si>
  <si>
    <t>0.555762499177465</t>
  </si>
  <si>
    <t>-1.190613138974768</t>
  </si>
  <si>
    <t>0.532620164079875</t>
  </si>
  <si>
    <t>-1.2412212719144617</t>
  </si>
  <si>
    <t>1.0479979089498868</t>
  </si>
  <si>
    <t>-1.0031235671239567</t>
  </si>
  <si>
    <t>-0.9854918183420299</t>
  </si>
  <si>
    <t>0.35878102125059197</t>
  </si>
  <si>
    <t>1.6202334809329348</t>
  </si>
  <si>
    <t>0.9397671371501405</t>
  </si>
  <si>
    <t>0.9324129163700481</t>
  </si>
  <si>
    <t>-1.003110201705151</t>
  </si>
  <si>
    <t>0.32350496174573184</t>
  </si>
  <si>
    <t>-0.8759940845035341</t>
  </si>
  <si>
    <t>-1.0387090412614153</t>
  </si>
  <si>
    <t>-1.102958684867358</t>
  </si>
  <si>
    <t>0.8843932298517019</t>
  </si>
  <si>
    <t>1.0814404746089523</t>
  </si>
  <si>
    <t>-1.5633285625358084</t>
  </si>
  <si>
    <t>0.45140134557378764</t>
  </si>
  <si>
    <t>0.05697547869168458</t>
  </si>
  <si>
    <t>1.6547580607563654</t>
  </si>
  <si>
    <t>-0.7057276076773575</t>
  </si>
  <si>
    <t>0.05758502761792203</t>
  </si>
  <si>
    <t>0.8034486144674603</t>
  </si>
  <si>
    <t>0.6376530702792228</t>
  </si>
  <si>
    <t>0.21115269911704657</t>
  </si>
  <si>
    <t>0.20282511693141325</t>
  </si>
  <si>
    <t>-0.007341929526588647</t>
  </si>
  <si>
    <t>2.0000007042794783</t>
  </si>
  <si>
    <t>0.13792168648428285</t>
  </si>
  <si>
    <t>0.9101806156111019</t>
  </si>
  <si>
    <t>0.0954441316441752</t>
  </si>
  <si>
    <t>0.33288688857803966</t>
  </si>
  <si>
    <t>0.46818770952104244</t>
  </si>
  <si>
    <t>-1.4674447666613584</t>
  </si>
  <si>
    <t>0.1785563255101736</t>
  </si>
  <si>
    <t>0.13455866143473116</t>
  </si>
  <si>
    <t>0.4607762455103075</t>
  </si>
  <si>
    <t>-0.7310584660137762</t>
  </si>
  <si>
    <t>-0.41812814360942513</t>
  </si>
  <si>
    <t>-0.37130077729811883</t>
  </si>
  <si>
    <t>0.2027108420150373</t>
  </si>
  <si>
    <t>-0.0994785816407806</t>
  </si>
  <si>
    <t>0.8847102395184092</t>
  </si>
  <si>
    <t>-0.9480776724868583</t>
  </si>
  <si>
    <t>0.15105037951798772</t>
  </si>
  <si>
    <t>1.5849922843048248</t>
  </si>
  <si>
    <t>-0.3168043306868155</t>
  </si>
  <si>
    <t>-0.5017856429035774</t>
  </si>
  <si>
    <t>-0.4363571241034313</t>
  </si>
  <si>
    <t>-0.852864870510112</t>
  </si>
  <si>
    <t>-0.4485304262653074</t>
  </si>
  <si>
    <t>-1.2977567440070081</t>
  </si>
  <si>
    <t>-0.0003288580482279766</t>
  </si>
  <si>
    <t>0.986191859975517</t>
  </si>
  <si>
    <t>1.8912434363690067</t>
  </si>
  <si>
    <t>1.349514832188675</t>
  </si>
  <si>
    <t>0.01903664926520002</t>
  </si>
  <si>
    <t>-0.18943480920349337</t>
  </si>
  <si>
    <t>-0.024681532161750838</t>
  </si>
  <si>
    <t>0.1438293759180065</t>
  </si>
  <si>
    <t>-1.5864673782105465</t>
  </si>
  <si>
    <t>0.9618379590897453</t>
  </si>
  <si>
    <t>1.6926504489756304</t>
  </si>
  <si>
    <t>-0.9806010528583877</t>
  </si>
  <si>
    <t>0.5019974221644236</t>
  </si>
  <si>
    <t>-0.7604643563342844</t>
  </si>
  <si>
    <t>0.38235257050256405</t>
  </si>
  <si>
    <t>0.09988465167824136</t>
  </si>
  <si>
    <t>0.22617776381767343</t>
  </si>
  <si>
    <t>-0.9403053902077791</t>
  </si>
  <si>
    <t>-1.3159233268945123</t>
  </si>
  <si>
    <t>0.6386775251099113</t>
  </si>
  <si>
    <t>-0.47027681004393335</t>
  </si>
  <si>
    <t>0.10939274588343485</t>
  </si>
  <si>
    <t>-0.27964248275023285</t>
  </si>
  <si>
    <t>0.8887991890761021</t>
  </si>
  <si>
    <t>0.0974425302398923</t>
  </si>
  <si>
    <t>-2.1954753586676863</t>
  </si>
  <si>
    <t>0.22533384229115272</t>
  </si>
  <si>
    <t>2.794081967629483</t>
  </si>
  <si>
    <t>-0.14274328916931842</t>
  </si>
  <si>
    <t>1.0582380929116961</t>
  </si>
  <si>
    <t>0.5973321303644469</t>
  </si>
  <si>
    <t>-0.11976538584368612</t>
  </si>
  <si>
    <t>-0.7262476821824146</t>
  </si>
  <si>
    <t>0.14076937017826557</t>
  </si>
  <si>
    <t>0.3109901481503721</t>
  </si>
  <si>
    <t>1.1018594080094315</t>
  </si>
  <si>
    <t>0.141172589362906</t>
  </si>
  <si>
    <t>-0.4880558578414533</t>
  </si>
  <si>
    <t>0.08679313915491883</t>
  </si>
  <si>
    <t>0.7110346424545542</t>
  </si>
  <si>
    <t>0.3799078707628285</t>
  </si>
  <si>
    <t>-0.4926672469873105</t>
  </si>
  <si>
    <t>0.32785012786467227</t>
  </si>
  <si>
    <t>0.3164561882257122</t>
  </si>
  <si>
    <t>-0.7516990687807534</t>
  </si>
  <si>
    <t>-0.32481164483998476</t>
  </si>
  <si>
    <t>0.21970109225191947</t>
  </si>
  <si>
    <t>0.12366230205661272</t>
  </si>
  <si>
    <t>0.599356117837532</t>
  </si>
  <si>
    <t>-0.010125173047508111</t>
  </si>
  <si>
    <t>0.26385152139223167</t>
  </si>
  <si>
    <t>0.4600994704150718</t>
  </si>
  <si>
    <t>3.072325662611355</t>
  </si>
  <si>
    <t>-0.9372273361358812</t>
  </si>
  <si>
    <t>-0.6645987042798588</t>
  </si>
  <si>
    <t>0.2750947520651187</t>
  </si>
  <si>
    <t>0.29915571047170764</t>
  </si>
  <si>
    <t>0.7256946032804452</t>
  </si>
  <si>
    <t>-0.1971199826084825</t>
  </si>
  <si>
    <t>-0.14407484620678299</t>
  </si>
  <si>
    <t>0.4916674884848307</t>
  </si>
  <si>
    <t>-0.1873658073759055</t>
  </si>
  <si>
    <t>-0.4586133416828973</t>
  </si>
  <si>
    <t>-0.08617109638744563</t>
  </si>
  <si>
    <t>-0.3929712971973063</t>
  </si>
  <si>
    <t>0.16000670977939846</t>
  </si>
  <si>
    <t>0.4733292124198319</t>
  </si>
  <si>
    <t>0.39169837638083366</t>
  </si>
  <si>
    <t>-0.7084346732211667</t>
  </si>
  <si>
    <t>0.6836171987405678</t>
  </si>
  <si>
    <t>0.7313476318841655</t>
  </si>
  <si>
    <t>-0.5541146451532916</t>
  </si>
  <si>
    <t>1.0147904317747471</t>
  </si>
  <si>
    <t>1.0286681271336306</t>
  </si>
  <si>
    <t>0.2530803020089205</t>
  </si>
  <si>
    <t>1.1230011752266789</t>
  </si>
  <si>
    <t>0.04547471823845544</t>
  </si>
  <si>
    <t>0.5428007013090137</t>
  </si>
  <si>
    <t>-1.110283521008921</t>
  </si>
  <si>
    <t>0.08681340144895705</t>
  </si>
  <si>
    <t>-1.374394775608705</t>
  </si>
  <si>
    <t>-0.3821993759794056</t>
  </si>
  <si>
    <t>-0.02934174470467772</t>
  </si>
  <si>
    <t>0.30230207964081374</t>
  </si>
  <si>
    <t>-0.2276215607227353</t>
  </si>
  <si>
    <t>0.264605741905659</t>
  </si>
  <si>
    <t>-0.8384383035219695</t>
  </si>
  <si>
    <t>-0.42445243052292797</t>
  </si>
  <si>
    <t>0.17064178298392532</t>
  </si>
  <si>
    <t>-0.9044263136547822</t>
  </si>
  <si>
    <t>0.4869772767083065</t>
  </si>
  <si>
    <t>-1.2979028867675027</t>
  </si>
  <si>
    <t>0.6831069171869969</t>
  </si>
  <si>
    <t>0.6012376446923526</t>
  </si>
  <si>
    <t>1.2927209860656819</t>
  </si>
  <si>
    <t>-0.4246908617737988</t>
  </si>
  <si>
    <t>1.8784800610967984</t>
  </si>
  <si>
    <t>-0.13199776061600324</t>
  </si>
  <si>
    <t>-0.7671163135618966</t>
  </si>
  <si>
    <t>0.15142034844798602</t>
  </si>
  <si>
    <t>-0.2585668936484416</t>
  </si>
  <si>
    <t>-0.10032594091299178</t>
  </si>
  <si>
    <t>0.0918962321454281</t>
  </si>
  <si>
    <t>-0.5710208839130209</t>
  </si>
  <si>
    <t>-0.26919946918769544</t>
  </si>
  <si>
    <t>0.1911834019413809</t>
  </si>
  <si>
    <t>1.024786064756872</t>
  </si>
  <si>
    <t>0.30412871236333794</t>
  </si>
  <si>
    <t>-0.6014937653269936</t>
  </si>
  <si>
    <t>-0.30188420098570445</t>
  </si>
  <si>
    <t>-0.7040262152886997</t>
  </si>
  <si>
    <t>-0.9948255618125689</t>
  </si>
  <si>
    <t>-0.09384950568975127</t>
  </si>
  <si>
    <t>-0.30195289291493277</t>
  </si>
  <si>
    <t>-0.11702954094090362</t>
  </si>
  <si>
    <t>1.451055306674461</t>
  </si>
  <si>
    <t>-0.16870296049021818</t>
  </si>
  <si>
    <t>0.0961175905663037</t>
  </si>
  <si>
    <t>1.6244791686593592</t>
  </si>
  <si>
    <t>-0.6722127497649101</t>
  </si>
  <si>
    <t>-1.2620971829642775</t>
  </si>
  <si>
    <t>-0.7519377877244561</t>
  </si>
  <si>
    <t>0.18869738265652747</t>
  </si>
  <si>
    <t>-0.17407465130523</t>
  </si>
  <si>
    <t>-0.33327758611121405</t>
  </si>
  <si>
    <t>-0.47484209807928707</t>
  </si>
  <si>
    <t>-0.9950772390600616</t>
  </si>
  <si>
    <t>-0.02135240289734691</t>
  </si>
  <si>
    <t>0.9452906645467081</t>
  </si>
  <si>
    <t>-1.4779745298214326</t>
  </si>
  <si>
    <t>-0.16628746363066743</t>
  </si>
  <si>
    <t>0.580344600929322</t>
  </si>
  <si>
    <t>-0.7115427771259326</t>
  </si>
  <si>
    <t>0.12973146426589113</t>
  </si>
  <si>
    <t>-0.10306653733301023</t>
  </si>
  <si>
    <t>1.0498482545846592</t>
  </si>
  <si>
    <t>-0.49859035423186504</t>
  </si>
  <si>
    <t>-0.04853519966746389</t>
  </si>
  <si>
    <t>0.23155972136562492</t>
  </si>
  <si>
    <t>-1.2885188965523406</t>
  </si>
  <si>
    <t>0.26424693471683897</t>
  </si>
  <si>
    <t>-0.38134865257328443</t>
  </si>
  <si>
    <t>0.6802815197106165</t>
  </si>
  <si>
    <t>0.9944136672660701</t>
  </si>
  <si>
    <t>0.25044382015566347</t>
  </si>
  <si>
    <t>0.2672036273037967</t>
  </si>
  <si>
    <t>0.04344023420323222</t>
  </si>
  <si>
    <t>0.6645563046380736</t>
  </si>
  <si>
    <t>0.8391480666932659</t>
  </si>
  <si>
    <t>0.992344860444355</t>
  </si>
  <si>
    <t>-0.42866583594652397</t>
  </si>
  <si>
    <t>0.12743688024495492</t>
  </si>
  <si>
    <t>0.7150428044751318</t>
  </si>
  <si>
    <t>-0.39339768341380965</t>
  </si>
  <si>
    <t>-0.6457741358994104</t>
  </si>
  <si>
    <t>-1.5039153865786081</t>
  </si>
  <si>
    <t>-0.4750084140601926</t>
  </si>
  <si>
    <t>0.4286131654065267</t>
  </si>
  <si>
    <t>-0.8523897211227223</t>
  </si>
  <si>
    <t>0.34704286304188614</t>
  </si>
  <si>
    <t>0.07130728444103546</t>
  </si>
  <si>
    <t>-0.3001939747871042</t>
  </si>
  <si>
    <t>0.3868396526200114</t>
  </si>
  <si>
    <t>0.672587917873165</t>
  </si>
  <si>
    <t>-0.029153913946631943</t>
  </si>
  <si>
    <t>0.8821077236510272</t>
  </si>
  <si>
    <t>-0.05996036351817458</t>
  </si>
  <si>
    <t>-0.18164472125196032</t>
  </si>
  <si>
    <t>-0.21590770327651876</t>
  </si>
  <si>
    <t>-0.34730496866443056</t>
  </si>
  <si>
    <t>-1.051362970018805</t>
  </si>
  <si>
    <t>0.34390944475626267</t>
  </si>
  <si>
    <t>-0.9334530906707399</t>
  </si>
  <si>
    <t>-0.12458120470646405</t>
  </si>
  <si>
    <t>-0.17157073861985467</t>
  </si>
  <si>
    <t>-0.020923355298157833</t>
  </si>
  <si>
    <t>0.3430897846067619</t>
  </si>
  <si>
    <t>0.37220021084226673</t>
  </si>
  <si>
    <t>-0.8652742749145056</t>
  </si>
  <si>
    <t>0.8202413901641704</t>
  </si>
  <si>
    <t>-0.9993602886592622</t>
  </si>
  <si>
    <t>-0.2620905106169487</t>
  </si>
  <si>
    <t>0.5962482922966534</t>
  </si>
  <si>
    <t>-0.5767446807910351</t>
  </si>
  <si>
    <t>1.2001270652032023</t>
  </si>
  <si>
    <t>-0.70277641782424</t>
  </si>
  <si>
    <t>-1.8701092052383925</t>
  </si>
  <si>
    <t>1.147787882178419</t>
  </si>
  <si>
    <t>0.0003674359263033527</t>
  </si>
  <si>
    <t>-0.6666013747803512</t>
  </si>
  <si>
    <t>0.8524059986857055</t>
  </si>
  <si>
    <t>-0.8076273063550273</t>
  </si>
  <si>
    <t>0.9615877779127779</t>
  </si>
  <si>
    <t>0.26067114631944305</t>
  </si>
  <si>
    <t>-0.7044667270238218</t>
  </si>
  <si>
    <t>0.05793693579377776</t>
  </si>
  <si>
    <t>0.4725931393598791</t>
  </si>
  <si>
    <t>-0.41936130260335414</t>
  </si>
  <si>
    <t>-1.0487049812467002</t>
  </si>
  <si>
    <t>0.22924157453822164</t>
  </si>
  <si>
    <t>1.00904811440255</t>
  </si>
  <si>
    <t>0.30100959571102265</t>
  </si>
  <si>
    <t>-0.05454631970674074</t>
  </si>
  <si>
    <t>0.2724003088816789</t>
  </si>
  <si>
    <t>0.33993895902407995</t>
  </si>
  <si>
    <t>-1.155534583644708</t>
  </si>
  <si>
    <t>0.09169601630119696</t>
  </si>
  <si>
    <t>0.3499405163835237</t>
  </si>
  <si>
    <t>-0.9682451129843541</t>
  </si>
  <si>
    <t>0.5265794118893796</t>
  </si>
  <si>
    <t>0.606264079771424</t>
  </si>
  <si>
    <t>1.0554367338178035</t>
  </si>
  <si>
    <t>-1.1505360191325198</t>
  </si>
  <si>
    <t>-1.0456278824987655</t>
  </si>
  <si>
    <t>0.20358589941247432</t>
  </si>
  <si>
    <t>-0.6320872776700092</t>
  </si>
  <si>
    <t>-0.15101342281534175</t>
  </si>
  <si>
    <t>0.011230420827520564</t>
  </si>
  <si>
    <t>-0.6042477491840671</t>
  </si>
  <si>
    <t>-0.16236621049244632</t>
  </si>
  <si>
    <t>-1.3963544989873555</t>
  </si>
  <si>
    <t>-0.07801644761608331</t>
  </si>
  <si>
    <t>-0.4156371003302579</t>
  </si>
  <si>
    <t>-0.7463607580510163</t>
  </si>
  <si>
    <t>-1.1349244782853227</t>
  </si>
  <si>
    <t>1.567670818592914</t>
  </si>
  <si>
    <t>-0.5930964888206708</t>
  </si>
  <si>
    <t>0.6310261059193</t>
  </si>
  <si>
    <t>0.1612431664815664</t>
  </si>
  <si>
    <t>-0.44789108391020027</t>
  </si>
  <si>
    <t>0.36400213002941423</t>
  </si>
  <si>
    <t>-0.2530438481690449</t>
  </si>
  <si>
    <t>-0.3280739772722561</t>
  </si>
  <si>
    <t>-0.48349562869383417</t>
  </si>
  <si>
    <t>-0.3946056876315652</t>
  </si>
  <si>
    <t>0.5298061989386207</t>
  </si>
  <si>
    <t>-0.5833172762198411</t>
  </si>
  <si>
    <t>1.0752655172946848</t>
  </si>
  <si>
    <t>-0.1770383355626516</t>
  </si>
  <si>
    <t>-0.17467284463481514</t>
  </si>
  <si>
    <t>-0.33557928545917076</t>
  </si>
  <si>
    <t>-0.13273463522831555</t>
  </si>
  <si>
    <t>-0.2171979935440009</t>
  </si>
  <si>
    <t>0.8801561428397114</t>
  </si>
  <si>
    <t>0.08823531383780993</t>
  </si>
  <si>
    <t>0.6006678875661478</t>
  </si>
  <si>
    <t>-0.5020255987362734</t>
  </si>
  <si>
    <t>-0.6970755475709038</t>
  </si>
  <si>
    <t>-0.45327054180774495</t>
  </si>
  <si>
    <t>0.46852130749841114</t>
  </si>
  <si>
    <t>1.684712981409279</t>
  </si>
  <si>
    <t>0.43243998452944954</t>
  </si>
  <si>
    <t>-0.31896240095987327</t>
  </si>
  <si>
    <t>0.08580558027331052</t>
  </si>
  <si>
    <t>-0.0913617502532094</t>
  </si>
  <si>
    <t>-0.5531776125806014</t>
  </si>
  <si>
    <t>0.0618725543442023</t>
  </si>
  <si>
    <t>-0.759355555122372</t>
  </si>
  <si>
    <t>-0.26891643506117335</t>
  </si>
  <si>
    <t>0.2560622027229468</t>
  </si>
  <si>
    <t>0.09093595244219209</t>
  </si>
  <si>
    <t>-0.4209638746420975</t>
  </si>
  <si>
    <t>-0.9795846997288337</t>
  </si>
  <si>
    <t>3.0566412913275687</t>
  </si>
  <si>
    <t>0.9774113961824465</t>
  </si>
  <si>
    <t>0.4001510773033128</t>
  </si>
  <si>
    <t>0.050699343337726695</t>
  </si>
  <si>
    <t>-0.21124485522647446</t>
  </si>
  <si>
    <t>-0.15701930627058838</t>
  </si>
  <si>
    <t>1.286442181227563</t>
  </si>
  <si>
    <t>0.40249465757781894</t>
  </si>
  <si>
    <t>-0.9743049146384505</t>
  </si>
  <si>
    <t>0.6490643748278521</t>
  </si>
  <si>
    <t>-0.49968189673317226</t>
  </si>
  <si>
    <t>-0.11115598373005062</t>
  </si>
  <si>
    <t>0.28937941757116004</t>
  </si>
  <si>
    <t>-0.6344783236053233</t>
  </si>
  <si>
    <t>0.16349795755136284</t>
  </si>
  <si>
    <t>0.5560686889789526</t>
  </si>
  <si>
    <t>-0.8225022488627646</t>
  </si>
  <si>
    <t>0.7779725100535071</t>
  </si>
  <si>
    <t>0.018969027854326418</t>
  </si>
  <si>
    <t>0.1063649419156961</t>
  </si>
  <si>
    <t>-0.13584813467763857</t>
  </si>
  <si>
    <t>-0.379562437031841</t>
  </si>
  <si>
    <t>-0.3141343002832253</t>
  </si>
  <si>
    <t>-0.241113392627554</t>
  </si>
  <si>
    <t>-0.5761790879171778</t>
  </si>
  <si>
    <t>0.22189473305860524</t>
  </si>
  <si>
    <t>0.033096518155488794</t>
  </si>
  <si>
    <t>0.6930668154999098</t>
  </si>
  <si>
    <t>-0.023309599857210966</t>
  </si>
  <si>
    <t>-0.11499349192095304</t>
  </si>
  <si>
    <t>0.23914862081131533</t>
  </si>
  <si>
    <t>-0.6253227260360141</t>
  </si>
  <si>
    <t>0.25652085684231807</t>
  </si>
  <si>
    <t>0.4162905025038501</t>
  </si>
  <si>
    <t>1.2152003904947601</t>
  </si>
  <si>
    <t>0.8844850018907973</t>
  </si>
  <si>
    <t>-1.9116469422093</t>
  </si>
  <si>
    <t>1.3707342254868886</t>
  </si>
  <si>
    <t>-0.5642903106319992</t>
  </si>
  <si>
    <t>-0.0925689676681679</t>
  </si>
  <si>
    <t>1.3948132837036091</t>
  </si>
  <si>
    <t>0.113648842408067</t>
  </si>
  <si>
    <t>-0.4812625429370887</t>
  </si>
  <si>
    <t>0.02240058681970595</t>
  </si>
  <si>
    <t>0.692067727017839</t>
  </si>
  <si>
    <t>0.29315830055922737</t>
  </si>
  <si>
    <t>-0.2012604428632076</t>
  </si>
  <si>
    <t>0.159772358968044</t>
  </si>
  <si>
    <t>-0.2811818990218648</t>
  </si>
  <si>
    <t>-1.0714892298954453</t>
  </si>
  <si>
    <t>-0.11240249527487643</t>
  </si>
  <si>
    <t>-0.4017922885837187</t>
  </si>
  <si>
    <t>0.17303764677367814</t>
  </si>
  <si>
    <t>0.23557040316142575</t>
  </si>
  <si>
    <t>1.3014300575902613</t>
  </si>
  <si>
    <t>-0.2107310056432706</t>
  </si>
  <si>
    <t>0.530594157399709</t>
  </si>
  <si>
    <t>-0.33283404523556637</t>
  </si>
  <si>
    <t>-0.35959158458888835</t>
  </si>
  <si>
    <t>-0.42171067913335125</t>
  </si>
  <si>
    <t>-0.05419515011820585</t>
  </si>
  <si>
    <t>-0.7311448403866899</t>
  </si>
  <si>
    <t>-0.20475891972864127</t>
  </si>
  <si>
    <t>-0.23215439164187382</t>
  </si>
  <si>
    <t>-0.1425847365919451</t>
  </si>
  <si>
    <t>-1.5300156784244976</t>
  </si>
  <si>
    <t>1.120768226473001</t>
  </si>
  <si>
    <t>-0.39943655878758805</t>
  </si>
  <si>
    <t>-0.3450946488929869</t>
  </si>
  <si>
    <t>0.16193215985360426</t>
  </si>
  <si>
    <t>0.285459330748388</t>
  </si>
  <si>
    <t>-0.4851636012193152</t>
  </si>
  <si>
    <t>0.5920066505312473</t>
  </si>
  <si>
    <t>-0.8300848351159381</t>
  </si>
  <si>
    <t>-0.33287951855008246</t>
  </si>
  <si>
    <t>1.0535169414186483</t>
  </si>
  <si>
    <t>0.09618188908867929</t>
  </si>
  <si>
    <t>1.23780183880615</t>
  </si>
  <si>
    <t>-0.06048273153161604</t>
  </si>
  <si>
    <t>0.6677959971443799</t>
  </si>
  <si>
    <t>-0.3937617471562726</t>
  </si>
  <si>
    <t>-0.5768775083376426</t>
  </si>
  <si>
    <t>-0.2672297969411015</t>
  </si>
  <si>
    <t>0.13324429230922596</t>
  </si>
  <si>
    <t>-1.1911014338113854</t>
  </si>
  <si>
    <t>0.5918325923782964</t>
  </si>
  <si>
    <t>-0.9479363501417177</t>
  </si>
  <si>
    <t>1.9866561966287193</t>
  </si>
  <si>
    <t>-0.7823407072726545</t>
  </si>
  <si>
    <t>0.6508684855320608</t>
  </si>
  <si>
    <t>1.1727976222739447</t>
  </si>
  <si>
    <t>-0.3436503364461295</t>
  </si>
  <si>
    <t>0.7750667700049434</t>
  </si>
  <si>
    <t>0.3313082494143497</t>
  </si>
  <si>
    <t>0.4277162795741843</t>
  </si>
  <si>
    <t>0.3844031759971431</t>
  </si>
  <si>
    <t>-0.04209635854226841</t>
  </si>
  <si>
    <t>0.11347494317894916</t>
  </si>
  <si>
    <t>2.0279960404154638</t>
  </si>
  <si>
    <t>0.27703806652827534</t>
  </si>
  <si>
    <t>-0.17003402809510593</t>
  </si>
  <si>
    <t>2.376992503795044</t>
  </si>
  <si>
    <t>0.19212656049340823</t>
  </si>
  <si>
    <t>-1.0573138066099732</t>
  </si>
  <si>
    <t>0.4706377731587163</t>
  </si>
  <si>
    <t>0.4435059053741227</t>
  </si>
  <si>
    <t>-1.8431942723972397</t>
  </si>
  <si>
    <t>-0.9789542676195518</t>
  </si>
  <si>
    <t>1.796005007334298</t>
  </si>
  <si>
    <t>-0.29567914540597595</t>
  </si>
  <si>
    <t>1.4120795723302413</t>
  </si>
  <si>
    <t>-0.5921995921462943</t>
  </si>
  <si>
    <t>2.6589505978209527</t>
  </si>
  <si>
    <t>-0.5668652764901699</t>
  </si>
  <si>
    <t>-1.0794004794853804</t>
  </si>
  <si>
    <t>-0.18339649649771525</t>
  </si>
  <si>
    <t>-0.19594135552501818</t>
  </si>
  <si>
    <t>-0.4081039636984621</t>
  </si>
  <si>
    <t>-0.01883528321276822</t>
  </si>
  <si>
    <t>-1.4540804489677945</t>
  </si>
  <si>
    <t>-0.7678765999303931</t>
  </si>
  <si>
    <t>2.0215082353529206</t>
  </si>
  <si>
    <t>1.7648464313733307</t>
  </si>
  <si>
    <t>-0.252712305712504</t>
  </si>
  <si>
    <t>0.6001256704930716</t>
  </si>
  <si>
    <t>2.651649497530758</t>
  </si>
  <si>
    <t>-0.4871234287502046</t>
  </si>
  <si>
    <t>-0.4904116153522766</t>
  </si>
  <si>
    <t>0.5714794879472821</t>
  </si>
  <si>
    <t>-1.6383696700001888</t>
  </si>
  <si>
    <t>-0.7800852419611424</t>
  </si>
  <si>
    <t>3.0755483253393963</t>
  </si>
  <si>
    <t>-0.610257779928214</t>
  </si>
  <si>
    <t>1.0664975120792823</t>
  </si>
  <si>
    <t>-0.2296843090199346</t>
  </si>
  <si>
    <t>-1.465870779591257</t>
  </si>
  <si>
    <t>-0.18696083377196407</t>
  </si>
  <si>
    <t>-1.9538922941932109</t>
  </si>
  <si>
    <t>0.7055866462985577</t>
  </si>
  <si>
    <t>-1.9070335869720334</t>
  </si>
  <si>
    <t>1.3076277979269186</t>
  </si>
  <si>
    <t>-0.805793538742001</t>
  </si>
  <si>
    <t>-0.7317921272001033</t>
  </si>
  <si>
    <t>3.6491269279536738</t>
  </si>
  <si>
    <t>-0.14276297378448263</t>
  </si>
  <si>
    <t>-3.469656737810628</t>
  </si>
  <si>
    <t>2.5086160222747163</t>
  </si>
  <si>
    <t>2.087841936534396</t>
  </si>
  <si>
    <t>1.4490598279719709</t>
  </si>
  <si>
    <t>1.0430296459947292</t>
  </si>
  <si>
    <t>-2.859088973185188</t>
  </si>
  <si>
    <t>-0.3829587480099234</t>
  </si>
  <si>
    <t>0.8285276762670184</t>
  </si>
  <si>
    <t>-0.6011019917846758</t>
  </si>
  <si>
    <t>0.3335971442263921</t>
  </si>
  <si>
    <t>-0.24852601300160612</t>
  </si>
  <si>
    <t>-1.43328342904852</t>
  </si>
  <si>
    <t>-0.14366363496185194</t>
  </si>
  <si>
    <t>-0.4645266079282959</t>
  </si>
  <si>
    <t>0.6378782062920335</t>
  </si>
  <si>
    <t>0.43172202440692997</t>
  </si>
  <si>
    <t>1.1546262208979292</t>
  </si>
  <si>
    <t>-0.48230939162505987</t>
  </si>
  <si>
    <t>-0.11677422685464617</t>
  </si>
  <si>
    <t>-1.5019743130958432</t>
  </si>
  <si>
    <t>1.3719500124515478</t>
  </si>
  <si>
    <t>-0.022279161929777507</t>
  </si>
  <si>
    <t>-0.664290264683039</t>
  </si>
  <si>
    <t>0.08641845704584186</t>
  </si>
  <si>
    <t>2.2340369123321913</t>
  </si>
  <si>
    <t>-1.4274006077677135</t>
  </si>
  <si>
    <t>-0.07963108842144902</t>
  </si>
  <si>
    <t>1.1643335217312711</t>
  </si>
  <si>
    <t>-0.847110095333671</t>
  </si>
  <si>
    <t>-0.7600355129366154</t>
  </si>
  <si>
    <t>1.0509015686613814</t>
  </si>
  <si>
    <t>-0.83850835598137</t>
  </si>
  <si>
    <t>-0.036177077405318024</t>
  </si>
  <si>
    <t>2.6028346700704597</t>
  </si>
  <si>
    <t>-0.9140801666498677</t>
  </si>
  <si>
    <t>-2.002134470730311</t>
  </si>
  <si>
    <t>0.43312265897603724</t>
  </si>
  <si>
    <t>-1.3851854718329706</t>
  </si>
  <si>
    <t>-0.10802348574183866</t>
  </si>
  <si>
    <t>-0.4661845560908292</t>
  </si>
  <si>
    <t>-0.22892127134067086</t>
  </si>
  <si>
    <t>-2.0725394150851595</t>
  </si>
  <si>
    <t>1.8597618612018312</t>
  </si>
  <si>
    <t>1.7525539087188833</t>
  </si>
  <si>
    <t>-1.0301921993511043</t>
  </si>
  <si>
    <t>2.7514799581728946</t>
  </si>
  <si>
    <t>0.8195827897004132</t>
  </si>
  <si>
    <t>-0.2953928725311685</t>
  </si>
  <si>
    <t>0.5041589946317465</t>
  </si>
  <si>
    <t>0.630651887794642</t>
  </si>
  <si>
    <t>0.3173446064473192</t>
  </si>
  <si>
    <t>-1.2884657761016876</t>
  </si>
  <si>
    <t>-1.476101044083747</t>
  </si>
  <si>
    <t>2.417890661838011</t>
  </si>
  <si>
    <t>0.5117399931802326</t>
  </si>
  <si>
    <t>0.04084312959039539</t>
  </si>
  <si>
    <t>-0.23456134493325043</t>
  </si>
  <si>
    <t>2.583429101722399</t>
  </si>
  <si>
    <t>-1.2579135130461476</t>
  </si>
  <si>
    <t>1.0305479425613266</t>
  </si>
  <si>
    <t>2.6982691362102793</t>
  </si>
  <si>
    <t>1.8695139788665347</t>
  </si>
  <si>
    <t>-0.6464647918773142</t>
  </si>
  <si>
    <t>-0.43060876547187954</t>
  </si>
  <si>
    <t>-0.9143481471861046</t>
  </si>
  <si>
    <t>-1.2413015994366616</t>
  </si>
  <si>
    <t>1.0438794944778016</t>
  </si>
  <si>
    <t>1.0907618603906137</t>
  </si>
  <si>
    <t>1.3032602388833645</t>
  </si>
  <si>
    <t>-0.741968802323999</t>
  </si>
  <si>
    <t>0.16663488190652434</t>
  </si>
  <si>
    <t>-1.6911329627031781</t>
  </si>
  <si>
    <t>0.7058396248944975</t>
  </si>
  <si>
    <t>-0.25106434555008034</t>
  </si>
  <si>
    <t>0.44260243495296325</t>
  </si>
  <si>
    <t>0.09880492753441164</t>
  </si>
  <si>
    <t>1.6665969763818786</t>
  </si>
  <si>
    <t>-1.4955453881591292</t>
  </si>
  <si>
    <t>-0.21752487615184524</t>
  </si>
  <si>
    <t>-0.25211513664396656</t>
  </si>
  <si>
    <t>-0.2879917837825953</t>
  </si>
  <si>
    <t>0.033228275706492755</t>
  </si>
  <si>
    <t>1.7799957696714646</t>
  </si>
  <si>
    <t>0.1330141849294329</t>
  </si>
  <si>
    <t>0.23737384901383865</t>
  </si>
  <si>
    <t>2.843970520540983</t>
  </si>
  <si>
    <t>1.2155964790359932</t>
  </si>
  <si>
    <t>0.27625755940333285</t>
  </si>
  <si>
    <t>0.586550765389879</t>
  </si>
  <si>
    <t>0.22725426607059088</t>
  </si>
  <si>
    <t>-0.1260064507325485</t>
  </si>
  <si>
    <t>-0.3266319531361438</t>
  </si>
  <si>
    <t>0.7632504598588594</t>
  </si>
  <si>
    <t>0.6537520743739389</t>
  </si>
  <si>
    <t>-0.49725824868355045</t>
  </si>
  <si>
    <t>0.21236579708020745</t>
  </si>
  <si>
    <t>1.35639284028659</t>
  </si>
  <si>
    <t>0.6215036943498654</t>
  </si>
  <si>
    <t>-0.23458153790262368</t>
  </si>
  <si>
    <t>0.871293988026384</t>
  </si>
  <si>
    <t>-1.5172141700920003</t>
  </si>
  <si>
    <t>0.10294096606704703</t>
  </si>
  <si>
    <t>-0.5868841998853125</t>
  </si>
  <si>
    <t>0.3525139169265729</t>
  </si>
  <si>
    <t>0.4140163929697543</t>
  </si>
  <si>
    <t>0.044022053151545094</t>
  </si>
  <si>
    <t>-0.6780102867814436</t>
  </si>
  <si>
    <t>-0.713204780935471</t>
  </si>
  <si>
    <t>0.2454521781694585</t>
  </si>
  <si>
    <t>0.6171138492420752</t>
  </si>
  <si>
    <t>0.3055775599104974</t>
  </si>
  <si>
    <t>-0.2213780267387555</t>
  </si>
  <si>
    <t>0.193698515324421</t>
  </si>
  <si>
    <t>1.0597087792355626</t>
  </si>
  <si>
    <t>-0.9312884893213441</t>
  </si>
  <si>
    <t>0.15968606209586744</t>
  </si>
  <si>
    <t>-0.19908067301797308</t>
  </si>
  <si>
    <t>0.502407834284977</t>
  </si>
  <si>
    <t>-0.053442733194405005</t>
  </si>
  <si>
    <t>0.009281037201051648</t>
  </si>
  <si>
    <t>-0.1567140347148034</t>
  </si>
  <si>
    <t>0.8312371286070577</t>
  </si>
  <si>
    <t>-0.44347378802671805</t>
  </si>
  <si>
    <t>0.5790313437239081</t>
  </si>
  <si>
    <t>0.17901199931781578</t>
  </si>
  <si>
    <t>-0.3795772996825963</t>
  </si>
  <si>
    <t>-0.6010630100463354</t>
  </si>
  <si>
    <t>-0.7627359201990992</t>
  </si>
  <si>
    <t>-0.8684619232849335</t>
  </si>
  <si>
    <t>0.1862335545097586</t>
  </si>
  <si>
    <t>-1.0356518892378843</t>
  </si>
  <si>
    <t>0.23345669262857052</t>
  </si>
  <si>
    <t>0.23401193742047557</t>
  </si>
  <si>
    <t>0.6613622906668902</t>
  </si>
  <si>
    <t>0.1446373984383741</t>
  </si>
  <si>
    <t>-0.884216143608699</t>
  </si>
  <si>
    <t>-0.8876363374181715</t>
  </si>
  <si>
    <t>0.6199512343577392</t>
  </si>
  <si>
    <t>0.9362860498399824</t>
  </si>
  <si>
    <t>1.3382955332772146</t>
  </si>
  <si>
    <t>-1.2377815795009748</t>
  </si>
  <si>
    <t>0.4351388385003838</t>
  </si>
  <si>
    <t>-0.04901430065364101</t>
  </si>
  <si>
    <t>0.1299919066734471</t>
  </si>
  <si>
    <t>-0.19249748866637356</t>
  </si>
  <si>
    <t>-1.1753575618702619</t>
  </si>
  <si>
    <t>-0.27945353998898537</t>
  </si>
  <si>
    <t>-2.0179218795295166</t>
  </si>
  <si>
    <t>-0.1449797551241856</t>
  </si>
  <si>
    <t>-0.33760826037838165</t>
  </si>
  <si>
    <t>-0.0398117890374389</t>
  </si>
  <si>
    <t>-0.15530226400163266</t>
  </si>
  <si>
    <t>-0.15964757514410285</t>
  </si>
  <si>
    <t>-0.430766471282792</t>
  </si>
  <si>
    <t>0.3059102962409989</t>
  </si>
  <si>
    <t>-0.9524033790697363</t>
  </si>
  <si>
    <t>0.2773758914699722</t>
  </si>
  <si>
    <t>-0.8568323005606125</t>
  </si>
  <si>
    <t>-0.47242240949610115</t>
  </si>
  <si>
    <t>0.7089080989940121</t>
  </si>
  <si>
    <t>-0.10664979019056488</t>
  </si>
  <si>
    <t>-0.2669159498584088</t>
  </si>
  <si>
    <t>1.6214343609229542</t>
  </si>
  <si>
    <t>-0.8056568449990137</t>
  </si>
  <si>
    <t>0.26814411348917094</t>
  </si>
  <si>
    <t>1.146149009433845</t>
  </si>
  <si>
    <t>1.051367952407773</t>
  </si>
  <si>
    <t>0.5899938606886327</t>
  </si>
  <si>
    <t>-0.9003227370815013</t>
  </si>
  <si>
    <t>0.6255346126344096</t>
  </si>
  <si>
    <t>-0.9892689549931244</t>
  </si>
  <si>
    <t>-0.6285887360382226</t>
  </si>
  <si>
    <t>-1.4035422438218799</t>
  </si>
  <si>
    <t>-0.29849528650616625</t>
  </si>
  <si>
    <t>-0.26212341785278065</t>
  </si>
  <si>
    <t>0.32987874651930577</t>
  </si>
  <si>
    <t>0.5355680401091711</t>
  </si>
  <si>
    <t>0.08246777164064917</t>
  </si>
  <si>
    <t>0.13579412195279675</t>
  </si>
  <si>
    <t>0.32511225070709354</t>
  </si>
  <si>
    <t>0.3583408178848099</t>
  </si>
  <si>
    <t>-0.3297288839359999</t>
  </si>
  <si>
    <t>-1.0602928431838043</t>
  </si>
  <si>
    <t>-0.34406335276985106</t>
  </si>
  <si>
    <t>0.4815459559956963</t>
  </si>
  <si>
    <t>0.17695649887891476</t>
  </si>
  <si>
    <t>0.3103819925793283</t>
  </si>
  <si>
    <t>-0.1661920264156549</t>
  </si>
  <si>
    <t>0.4107842293658643</t>
  </si>
  <si>
    <t>0.21885272251164278</t>
  </si>
  <si>
    <t>0.5011267069122657</t>
  </si>
  <si>
    <t>-0.06832195574648897</t>
  </si>
  <si>
    <t>0.6567241152139881</t>
  </si>
  <si>
    <t>-0.878857436425795</t>
  </si>
  <si>
    <t>-0.4124663814767255</t>
  </si>
  <si>
    <t>0.17995341377232654</t>
  </si>
  <si>
    <t>-0.42626527049754503</t>
  </si>
  <si>
    <t>0.4861701301417443</t>
  </si>
  <si>
    <t>0.08370205561705013</t>
  </si>
  <si>
    <t>1.0617790114879724</t>
  </si>
  <si>
    <t>0.9044009752203928</t>
  </si>
  <si>
    <t>-0.6095274707038404</t>
  </si>
  <si>
    <t>-1.171379629975373</t>
  </si>
  <si>
    <t>-0.2526450179617098</t>
  </si>
  <si>
    <t>-0.24261547502282915</t>
  </si>
  <si>
    <t>0.12412638610037607</t>
  </si>
  <si>
    <t>0.0053388552442472795</t>
  </si>
  <si>
    <t>1.3272274860451523</t>
  </si>
  <si>
    <t>0.606043932608888</t>
  </si>
  <si>
    <t>0.021189850677815796</t>
  </si>
  <si>
    <t>0.3195215280656875</t>
  </si>
  <si>
    <t>-1.2527031017819585</t>
  </si>
  <si>
    <t>0.850308925049337</t>
  </si>
  <si>
    <t>0.8301025250172427</t>
  </si>
  <si>
    <t>-1.2291451622909948</t>
  </si>
  <si>
    <t>0.7625975382819543</t>
  </si>
  <si>
    <t>-1.4436361715148835</t>
  </si>
  <si>
    <t>0.7877466991356235</t>
  </si>
  <si>
    <t>1.0403613696820215</t>
  </si>
  <si>
    <t>0.9735373246094388</t>
  </si>
  <si>
    <t>-1.1208325679572175</t>
  </si>
  <si>
    <t>-0.28310219335798475</t>
  </si>
  <si>
    <t>0.12118558876483942</t>
  </si>
  <si>
    <t>-0.0142091859774281</t>
  </si>
  <si>
    <t>-0.209824708997779</t>
  </si>
  <si>
    <t>-0.2510344036556671</t>
  </si>
  <si>
    <t>-1.41397154592179</t>
  </si>
  <si>
    <t>-0.1631412185955895</t>
  </si>
  <si>
    <t>-0.6650004788123985</t>
  </si>
  <si>
    <t>-0.46771489264288524</t>
  </si>
  <si>
    <t>-0.00820948156430889</t>
  </si>
  <si>
    <t>-0.6331517802433435</t>
  </si>
  <si>
    <t>0.17121980399732123</t>
  </si>
  <si>
    <t>-0.5542193563079526</t>
  </si>
  <si>
    <t>-0.8493616088881106</t>
  </si>
  <si>
    <t>-0.7424801681031905</t>
  </si>
  <si>
    <t>-0.5679431741994702</t>
  </si>
  <si>
    <t>-0.15108988106625157</t>
  </si>
  <si>
    <t>-0.8823554743504176</t>
  </si>
  <si>
    <t>-0.1875384835127015</t>
  </si>
  <si>
    <t>0.5572376315668458</t>
  </si>
  <si>
    <t>0.5684164649465991</t>
  </si>
  <si>
    <t>-0.708473861559994</t>
  </si>
  <si>
    <t>-0.24092401136100153</t>
  </si>
  <si>
    <t>-0.2903388208821286</t>
  </si>
  <si>
    <t>-0.10671808288108946</t>
  </si>
  <si>
    <t>0.10778778622624001</t>
  </si>
  <si>
    <t>-1.336073091836608</t>
  </si>
  <si>
    <t>-0.9645659753493346</t>
  </si>
  <si>
    <t>-0.7001819555920074</t>
  </si>
  <si>
    <t>-0.5276228627226583</t>
  </si>
  <si>
    <t>-0.5220665241512952</t>
  </si>
  <si>
    <t>0.33135043094857125</t>
  </si>
  <si>
    <t>-1.6654677054529705</t>
  </si>
  <si>
    <t>0.48771080592053645</t>
  </si>
  <si>
    <t>0.477195245400084</t>
  </si>
  <si>
    <t>1.060723098001739</t>
  </si>
  <si>
    <t>0.38970773299340844</t>
  </si>
  <si>
    <t>0.08616418865315605</t>
  </si>
  <si>
    <t>-1.16929579797727</t>
  </si>
  <si>
    <t>1.3176786835475214</t>
  </si>
  <si>
    <t>0.07391416870695762</t>
  </si>
  <si>
    <t>0.3450229153291173</t>
  </si>
  <si>
    <t>3.4925400881896382</t>
  </si>
  <si>
    <t>-1.5198722590412745</t>
  </si>
  <si>
    <t>-0.14166937292143938</t>
  </si>
  <si>
    <t>1.767509745801276</t>
  </si>
  <si>
    <t>0.35716527117794467</t>
  </si>
  <si>
    <t>-0.820187293034188</t>
  </si>
  <si>
    <t>-1.1677157084295282</t>
  </si>
  <si>
    <t>0.7595925449440332</t>
  </si>
  <si>
    <t>-0.7813369535666048</t>
  </si>
  <si>
    <t>0.22489682022074278</t>
  </si>
  <si>
    <t>0.367559503810232</t>
  </si>
  <si>
    <t>-1.0931183002223865</t>
  </si>
  <si>
    <t>-0.24872319960612033</t>
  </si>
  <si>
    <t>3.8141391906561797</t>
  </si>
  <si>
    <t>0.18348974319715447</t>
  </si>
  <si>
    <t>-0.40768738357526996</t>
  </si>
  <si>
    <t>-0.7737157027798176</t>
  </si>
  <si>
    <t>-0.8155093743790661</t>
  </si>
  <si>
    <t>-1.1216806393586505</t>
  </si>
  <si>
    <t>-0.19359619577087622</t>
  </si>
  <si>
    <t>0.23518564829935415</t>
  </si>
  <si>
    <t>0.986000692391676</t>
  </si>
  <si>
    <t>-0.516992938726327</t>
  </si>
  <si>
    <t>0.06817789512088163</t>
  </si>
  <si>
    <t>1.5122321706261577</t>
  </si>
  <si>
    <t>0.38506768109914463</t>
  </si>
  <si>
    <t>-0.5400362970737086</t>
  </si>
  <si>
    <t>-0.23640722645047194</t>
  </si>
  <si>
    <t>1.550194901966317</t>
  </si>
  <si>
    <t>1.495708140689212</t>
  </si>
  <si>
    <t>-2.7390200946830627</t>
  </si>
  <si>
    <t>1.2530761368948715</t>
  </si>
  <si>
    <t>-0.6195210115801794</t>
  </si>
  <si>
    <t>0.5912226728785485</t>
  </si>
  <si>
    <t>-0.6764526465673368</t>
  </si>
  <si>
    <t>0.604564446495984</t>
  </si>
  <si>
    <t>1.0306377222209238</t>
  </si>
  <si>
    <t>0.06868798590674659</t>
  </si>
  <si>
    <t>-0.19695769436883945</t>
  </si>
  <si>
    <t>-0.8514482961039381</t>
  </si>
  <si>
    <t>-0.004232792100218637</t>
  </si>
  <si>
    <t>-0.17797050148872523</t>
  </si>
  <si>
    <t>1.6699720876623347</t>
  </si>
  <si>
    <t>-0.9804973522232328</t>
  </si>
  <si>
    <t>-1.0846770087735225</t>
  </si>
  <si>
    <t>0.3091506175493596</t>
  </si>
  <si>
    <t>-0.5258858343649201</t>
  </si>
  <si>
    <t>1.1108793457270345</t>
  </si>
  <si>
    <t>0.4622150432145629</t>
  </si>
  <si>
    <t>0.7147827151428738</t>
  </si>
  <si>
    <t>1.4852720845800624</t>
  </si>
  <si>
    <t>-0.28088462509020523</t>
  </si>
  <si>
    <t>-0.9826154320769813</t>
  </si>
  <si>
    <t>0.07543855998877731</t>
  </si>
  <si>
    <t>1.6450210422054907</t>
  </si>
  <si>
    <t>-0.2691864445972576</t>
  </si>
  <si>
    <t>-1.6492433068348427</t>
  </si>
  <si>
    <t>-0.34183963425993563</t>
  </si>
  <si>
    <t>-0.05353377566782975</t>
  </si>
  <si>
    <t>-1.1292790996692716</t>
  </si>
  <si>
    <t>0.5539606526417484</t>
  </si>
  <si>
    <t>-0.21843794322283688</t>
  </si>
  <si>
    <t>-1.0206057739281602</t>
  </si>
  <si>
    <t>-2.028598780423505</t>
  </si>
  <si>
    <t>0.2792693602619768</t>
  </si>
  <si>
    <t>0.39746503158818025</t>
  </si>
  <si>
    <t>-0.30785466947852885</t>
  </si>
  <si>
    <t>-0.619153062461395</t>
  </si>
  <si>
    <t>1.2311897416105375</t>
  </si>
  <si>
    <t>-0.6154887076252401</t>
  </si>
  <si>
    <t>-0.5868088984718577</t>
  </si>
  <si>
    <t>-0.18069190058050866</t>
  </si>
  <si>
    <t>-0.06541643929174143</t>
  </si>
  <si>
    <t>0.051360807668584973</t>
  </si>
  <si>
    <t>0.7978128918009413</t>
  </si>
  <si>
    <t>0.07234725125210185</t>
  </si>
  <si>
    <t>0.46969761116989056</t>
  </si>
  <si>
    <t>-0.009615815876066115</t>
  </si>
  <si>
    <t>1.5916743568595488</t>
  </si>
  <si>
    <t>-0.5738605526825086</t>
  </si>
  <si>
    <t>1.0874599185658864</t>
  </si>
  <si>
    <t>0.28476818289348277</t>
  </si>
  <si>
    <t>-0.1407697914266043</t>
  </si>
  <si>
    <t>0.5355602408561526</t>
  </si>
  <si>
    <t>-0.11505657564290235</t>
  </si>
  <si>
    <t>-0.14683593718602447</t>
  </si>
  <si>
    <t>1.259380429019493</t>
  </si>
  <si>
    <t>0.660684919071035</t>
  </si>
  <si>
    <t>-1.184189365793707</t>
  </si>
  <si>
    <t>-0.3970168454516479</t>
  </si>
  <si>
    <t>-1.004456203202013</t>
  </si>
  <si>
    <t>0.3372621998803539</t>
  </si>
  <si>
    <t>1.633203354925121</t>
  </si>
  <si>
    <t>-1.0378715284620839</t>
  </si>
  <si>
    <t>-0.483818787133964</t>
  </si>
  <si>
    <t>1.4876416057395059</t>
  </si>
  <si>
    <t>0.764543455058835</t>
  </si>
  <si>
    <t>-0.5707241521696117</t>
  </si>
  <si>
    <t>0.7070859807899104</t>
  </si>
  <si>
    <t>-0.2850366367137433</t>
  </si>
  <si>
    <t>-0.205664149508044</t>
  </si>
  <si>
    <t>-0.4353336542130749</t>
  </si>
  <si>
    <t>-0.6508789348348369</t>
  </si>
  <si>
    <t>-0.02474704307346137</t>
  </si>
  <si>
    <t>-1.6966676816154285</t>
  </si>
  <si>
    <t>-1.0106145765590855</t>
  </si>
  <si>
    <t>0.6924434765181345</t>
  </si>
  <si>
    <t>0.24478821325191388</t>
  </si>
  <si>
    <t>-2.941525747517564</t>
  </si>
  <si>
    <t>-0.17538683319865575</t>
  </si>
  <si>
    <t>-0.5479820157995856</t>
  </si>
  <si>
    <t>-0.2853716753050924</t>
  </si>
  <si>
    <t>0.35057148506836183</t>
  </si>
  <si>
    <t>0.71637667665526</t>
  </si>
  <si>
    <t>-0.7119607479500976</t>
  </si>
  <si>
    <t>0.4275064577584546</t>
  </si>
  <si>
    <t>-1.3791381756725434</t>
  </si>
  <si>
    <t>1.0338768560245957</t>
  </si>
  <si>
    <t>0.003655781414860436</t>
  </si>
  <si>
    <t>0.10339495313741182</t>
  </si>
  <si>
    <t>-0.9015927449424815</t>
  </si>
  <si>
    <t>0.28949872203712806</t>
  </si>
  <si>
    <t>2.0745427701972012</t>
  </si>
  <si>
    <t>0.13232370462265874</t>
  </si>
  <si>
    <t>1.1949409800148663</t>
  </si>
  <si>
    <t>-0.9407512214399343</t>
  </si>
  <si>
    <t>0.15988433358742862</t>
  </si>
  <si>
    <t>-0.03073673334045145</t>
  </si>
  <si>
    <t>0.34533804778917176</t>
  </si>
  <si>
    <t>-1.1271752898437042</t>
  </si>
  <si>
    <t>-0.5981194603150405</t>
  </si>
  <si>
    <t>0.657391217191871</t>
  </si>
  <si>
    <t>-0.13988998653669385</t>
  </si>
  <si>
    <t>-0.16327409856350872</t>
  </si>
  <si>
    <t>-0.8417929496580997</t>
  </si>
  <si>
    <t>1.7845387465469649</t>
  </si>
  <si>
    <t>1.0792824411028428</t>
  </si>
  <si>
    <t>-0.4177863029723442</t>
  </si>
  <si>
    <t>1.6455808685648914</t>
  </si>
  <si>
    <t>-0.3216224173230874</t>
  </si>
  <si>
    <t>0.14384545518032085</t>
  </si>
  <si>
    <t>0.3631637817214392</t>
  </si>
  <si>
    <t>0.07016624649885236</t>
  </si>
  <si>
    <t>-0.34248780249835437</t>
  </si>
  <si>
    <t>0.7447524724797142</t>
  </si>
  <si>
    <t>1.217219254098085</t>
  </si>
  <si>
    <t>0.1469433778555145</t>
  </si>
  <si>
    <t>-0.09759521145604985</t>
  </si>
  <si>
    <t>-0.5407463252725581</t>
  </si>
  <si>
    <t>0.5567068212301364</t>
  </si>
  <si>
    <t>-0.64501408215903</t>
  </si>
  <si>
    <t>-0.34585906931877447</t>
  </si>
  <si>
    <t>-0.08831972504236323</t>
  </si>
  <si>
    <t>-0.4624859370779823</t>
  </si>
  <si>
    <t>-0.033960511496944186</t>
  </si>
  <si>
    <t>-1.4343890355915867</t>
  </si>
  <si>
    <t>-0.09648696030408346</t>
  </si>
  <si>
    <t>0.7697393605971388</t>
  </si>
  <si>
    <t>-0.13836947824618695</t>
  </si>
  <si>
    <t>2.523234173479066</t>
  </si>
  <si>
    <t>-1.4161710972164692</t>
  </si>
  <si>
    <t>-0.2486257040996405</t>
  </si>
  <si>
    <t>0.07075836652634823</t>
  </si>
  <si>
    <t>0.36521661039699377</t>
  </si>
  <si>
    <t>-0.1585314631512405</t>
  </si>
  <si>
    <t>-0.422345796184239</t>
  </si>
  <si>
    <t>-0.7409795630846459</t>
  </si>
  <si>
    <t>0.7668253957603964</t>
  </si>
  <si>
    <t>0.2344493333702787</t>
  </si>
  <si>
    <t>0.15271540678387044</t>
  </si>
  <si>
    <t>1.956398722003023</t>
  </si>
  <si>
    <t>-1.0502481433002127</t>
  </si>
  <si>
    <t>-0.21708183135882514</t>
  </si>
  <si>
    <t>0.6837685185186859</t>
  </si>
  <si>
    <t>0.05084512016709064</t>
  </si>
  <si>
    <t>-0.09594634864206554</t>
  </si>
  <si>
    <t>0.6723061183105733</t>
  </si>
  <si>
    <t>-0.3837378160896402</t>
  </si>
  <si>
    <t>0.14234819128031684</t>
  </si>
  <si>
    <t>1.1249426659377073</t>
  </si>
  <si>
    <t>-0.3768456138379685</t>
  </si>
  <si>
    <t>0.0010736158044778337</t>
  </si>
  <si>
    <t>-0.7030918355892547</t>
  </si>
  <si>
    <t>0.7947266832239709</t>
  </si>
  <si>
    <t>-0.34096477453349916</t>
  </si>
  <si>
    <t>-0.24819530912200655</t>
  </si>
  <si>
    <t>0.271254880277881</t>
  </si>
  <si>
    <t>-0.30721139012314974</t>
  </si>
  <si>
    <t>-0.632186309597695</t>
  </si>
  <si>
    <t>0.6699462870873304</t>
  </si>
  <si>
    <t>-0.20400833926352382</t>
  </si>
  <si>
    <t>-0.1047989439907676</t>
  </si>
  <si>
    <t>-0.004381867713525315</t>
  </si>
  <si>
    <t>0.21631334802782973</t>
  </si>
  <si>
    <t>-0.1695576010775488</t>
  </si>
  <si>
    <t>0.15888343388942788</t>
  </si>
  <si>
    <t>-1.0775504254136021</t>
  </si>
  <si>
    <t>0.04539065131692433</t>
  </si>
  <si>
    <t>0.2674717884326321</t>
  </si>
  <si>
    <t>0.7115353582437546</t>
  </si>
  <si>
    <t>0.47728739426064143</t>
  </si>
  <si>
    <t>-0.4196821589750127</t>
  </si>
  <si>
    <t>0.08665954213301999</t>
  </si>
  <si>
    <t>1.2268506014109892</t>
  </si>
  <si>
    <t>0.4284375407476377</t>
  </si>
  <si>
    <t>-0.6161144140170396</t>
  </si>
  <si>
    <t>0.63542774410397</t>
  </si>
  <si>
    <t>-1.3191937613655775</t>
  </si>
  <si>
    <t>0.49621150673953773</t>
  </si>
  <si>
    <t>0.36045561081202065</t>
  </si>
  <si>
    <t>-0.7493114586387083</t>
  </si>
  <si>
    <t>-0.12464618866645459</t>
  </si>
  <si>
    <t>1.7047596315135625</t>
  </si>
  <si>
    <t>0.0037218944062492303</t>
  </si>
  <si>
    <t>-0.29406786164034315</t>
  </si>
  <si>
    <t>0.02819642589840856</t>
  </si>
  <si>
    <t>-0.9241757359485137</t>
  </si>
  <si>
    <t>0.45945247443071335</t>
  </si>
  <si>
    <t>-0.3233350950549737</t>
  </si>
  <si>
    <t>1.0538387232021125</t>
  </si>
  <si>
    <t>-0.5969929130462909</t>
  </si>
  <si>
    <t>0.871502684302599</t>
  </si>
  <si>
    <t>-0.046365640300965356</t>
  </si>
  <si>
    <t>0.5607407989437458</t>
  </si>
  <si>
    <t>-0.8280404733437364</t>
  </si>
  <si>
    <t>-0.4353875934969321</t>
  </si>
  <si>
    <t>-0.021994721968476696</t>
  </si>
  <si>
    <t>0.23736085169191679</t>
  </si>
  <si>
    <t>0.24256737503055562</t>
  </si>
  <si>
    <t>-1.2600412089944153</t>
  </si>
  <si>
    <t>0.3283916322397856</t>
  </si>
  <si>
    <t>-0.4644075992691215</t>
  </si>
  <si>
    <t>0.6024627395976814</t>
  </si>
  <si>
    <t>-0.5570188538786274</t>
  </si>
  <si>
    <t>0.43322208034902543</t>
  </si>
  <si>
    <t>-0.07564124473599756</t>
  </si>
  <si>
    <t>-0.4003687298648738</t>
  </si>
  <si>
    <t>0.40116328394805767</t>
  </si>
  <si>
    <t>-0.803584713029369</t>
  </si>
  <si>
    <t>-0.11362593533096417</t>
  </si>
  <si>
    <t>1.3262240179892708</t>
  </si>
  <si>
    <t>1.1099925474282146</t>
  </si>
  <si>
    <t>0.25453410626549866</t>
  </si>
  <si>
    <t>0.41407764062542207</t>
  </si>
  <si>
    <t>0.759266479999173</t>
  </si>
  <si>
    <t>-0.13352292164276738</t>
  </si>
  <si>
    <t>-0.3959308662742043</t>
  </si>
  <si>
    <t>-0.3252392751960227</t>
  </si>
  <si>
    <t>0.49604052737924925</t>
  </si>
  <si>
    <t>2.2595849072457352</t>
  </si>
  <si>
    <t>-0.1957846417196644</t>
  </si>
  <si>
    <t>-0.4485551916179939</t>
  </si>
  <si>
    <t>-0.04671887847728371</t>
  </si>
  <si>
    <t>-1.8812612362268126</t>
  </si>
  <si>
    <t>-0.42358277945881945</t>
  </si>
  <si>
    <t>-1.1002415098729201</t>
  </si>
  <si>
    <t>1.9067693777742063</t>
  </si>
  <si>
    <t>-1.429738409540032</t>
  </si>
  <si>
    <t>0.2202183074082296</t>
  </si>
  <si>
    <t>-0.3599892749351105</t>
  </si>
  <si>
    <t>0.026221328927316455</t>
  </si>
  <si>
    <t>1.742926055025753</t>
  </si>
  <si>
    <t>0.8316820986102791</t>
  </si>
  <si>
    <t>1.2210067270278269</t>
  </si>
  <si>
    <t>1.1465889703524674</t>
  </si>
  <si>
    <t>2.175690490320347</t>
  </si>
  <si>
    <t>1.1160916316838594</t>
  </si>
  <si>
    <t>1.3523019745136016</t>
  </si>
  <si>
    <t>-1.2160400669139173</t>
  </si>
  <si>
    <t>1.1144767496774877</t>
  </si>
  <si>
    <t>-2.5086894940981006</t>
  </si>
  <si>
    <t>0.3015869268367703</t>
  </si>
  <si>
    <t>1.9950514699941613</t>
  </si>
  <si>
    <t>-0.8710423924662348</t>
  </si>
  <si>
    <t>-1.9292182743531492</t>
  </si>
  <si>
    <t>0.3498260635796234</t>
  </si>
  <si>
    <t>-0.4652756381144397</t>
  </si>
  <si>
    <t>-0.417424932590883</t>
  </si>
  <si>
    <t>-0.349309857518455</t>
  </si>
  <si>
    <t>-0.8906650798006708</t>
  </si>
  <si>
    <t>-0.18613339342633625</t>
  </si>
  <si>
    <t>-1.2585737486522584</t>
  </si>
  <si>
    <t>-0.0926276065348269</t>
  </si>
  <si>
    <t>0.6474526344991114</t>
  </si>
  <si>
    <t>-1.0023968789099709</t>
  </si>
  <si>
    <t>-0.26225509281425735</t>
  </si>
  <si>
    <t>-0.40187088008492705</t>
  </si>
  <si>
    <t>0.997082094847565</t>
  </si>
  <si>
    <t>0.6182778831239651</t>
  </si>
  <si>
    <t>-0.40812332949540675</t>
  </si>
  <si>
    <t>-1.5808253031436765</t>
  </si>
  <si>
    <t>0.23384844523217757</t>
  </si>
  <si>
    <t>-2.8810373501291346</t>
  </si>
  <si>
    <t>2.3536831611569546</t>
  </si>
  <si>
    <t>1.725464216703251</t>
  </si>
  <si>
    <t>-0.5505667030472112</t>
  </si>
  <si>
    <t>-0.7427210052475365</t>
  </si>
  <si>
    <t>1.7177835802348935</t>
  </si>
  <si>
    <t>0.4692576758877233</t>
  </si>
  <si>
    <t>-0.20431473158996516</t>
  </si>
  <si>
    <t>-0.07441957712662839</t>
  </si>
  <si>
    <t>2.036071297621527</t>
  </si>
  <si>
    <t>0.9805542294741215</t>
  </si>
  <si>
    <t>-0.12214724181691496</t>
  </si>
  <si>
    <t>-0.8916500669871706</t>
  </si>
  <si>
    <t>0.5570229069239377</t>
  </si>
  <si>
    <t>-0.5334223399113404</t>
  </si>
  <si>
    <t>0.04522466258858996</t>
  </si>
  <si>
    <t>0.0928110513382907</t>
  </si>
  <si>
    <t>-0.6350369657083265</t>
  </si>
  <si>
    <t>0.360808844782792</t>
  </si>
  <si>
    <t>-0.6068870881085519</t>
  </si>
  <si>
    <t>0.5080985225934516</t>
  </si>
  <si>
    <t>0.053529201843450364</t>
  </si>
  <si>
    <t>0.1303160847141095</t>
  </si>
  <si>
    <t>-1.0248309518312293</t>
  </si>
  <si>
    <t>1.0264644775866405</t>
  </si>
  <si>
    <t>1.3977267215124891</t>
  </si>
  <si>
    <t>-0.27761219012164723</t>
  </si>
  <si>
    <t>-0.9007373436018888</t>
  </si>
  <si>
    <t>2.5066234747426264</t>
  </si>
  <si>
    <t>-0.28205042496739624</t>
  </si>
  <si>
    <t>-0.05836236824823332</t>
  </si>
  <si>
    <t>-1.268745434654989</t>
  </si>
  <si>
    <t>2.1032611822182257</t>
  </si>
  <si>
    <t>0.9717648626224471</t>
  </si>
  <si>
    <t>-0.1649772576780257</t>
  </si>
  <si>
    <t>0.48531795368387426</t>
  </si>
  <si>
    <t>1.1540702269064949</t>
  </si>
  <si>
    <t>-0.08481596009345255</t>
  </si>
  <si>
    <t>0.8983551366904812</t>
  </si>
  <si>
    <t>1.313049237100878</t>
  </si>
  <si>
    <t>-0.09677709865232273</t>
  </si>
  <si>
    <t>0.35258944324319036</t>
  </si>
  <si>
    <t>0.8434641442605764</t>
  </si>
  <si>
    <t>-0.7416584353016175</t>
  </si>
  <si>
    <t>1.1520495903847547</t>
  </si>
  <si>
    <t>0.10542678462215399</t>
  </si>
  <si>
    <t>-0.9520981637429187</t>
  </si>
  <si>
    <t>1.922854552421072</t>
  </si>
  <si>
    <t>0.3192832794853836</t>
  </si>
  <si>
    <t>-0.3669105634530085</t>
  </si>
  <si>
    <t>0.4664583460205663</t>
  </si>
  <si>
    <t>2.6422499200819654</t>
  </si>
  <si>
    <t>0.4249602153598202</t>
  </si>
  <si>
    <t>-0.15237982418709958</t>
  </si>
  <si>
    <t>-0.9902644183570983</t>
  </si>
  <si>
    <t>-1.398378829218686</t>
  </si>
  <si>
    <t>-0.3963045212544505</t>
  </si>
  <si>
    <t>1.7248316288599264</t>
  </si>
  <si>
    <t>1.0818592638702427</t>
  </si>
  <si>
    <t>-1.3842192288679367</t>
  </si>
  <si>
    <t>0.8954497695871972</t>
  </si>
  <si>
    <t>-3.1509108716423926</t>
  </si>
  <si>
    <t>-1.0355647673833503</t>
  </si>
  <si>
    <t>0.4263636086576697</t>
  </si>
  <si>
    <t>-1.067156646263608</t>
  </si>
  <si>
    <t>-0.4497974788022661</t>
  </si>
  <si>
    <t>-0.8834238283621629</t>
  </si>
  <si>
    <t>0.4617121587318511</t>
  </si>
  <si>
    <t>-1.0482836503919424</t>
  </si>
  <si>
    <t>0.3186662227655271</t>
  </si>
  <si>
    <t>-0.8395655977118117</t>
  </si>
  <si>
    <t>-0.9035765830559056</t>
  </si>
  <si>
    <t>1.000127015830723</t>
  </si>
  <si>
    <t>-1.5159834789788496</t>
  </si>
  <si>
    <t>0.7401148614606093</t>
  </si>
  <si>
    <t>-0.5281730917744163</t>
  </si>
  <si>
    <t>0.0996912741739322</t>
  </si>
  <si>
    <t>-0.35908102913552103</t>
  </si>
  <si>
    <t>0.7604471763003966</t>
  </si>
  <si>
    <t>0.028519430924717055</t>
  </si>
  <si>
    <t>-0.3481788370786161</t>
  </si>
  <si>
    <t>1.4869029568052836</t>
  </si>
  <si>
    <t>0.9606133674039505</t>
  </si>
  <si>
    <t>-1.4088577909422917</t>
  </si>
  <si>
    <t>0.31269922966148606</t>
  </si>
  <si>
    <t>-0.5013980035260895</t>
  </si>
  <si>
    <t>-1.1409227324920268</t>
  </si>
  <si>
    <t>2.5996662129867087</t>
  </si>
  <si>
    <t>1.3523868088446536</t>
  </si>
  <si>
    <t>0.16502567970487156</t>
  </si>
  <si>
    <t>1.0228543198435083</t>
  </si>
  <si>
    <t>0.35193184934173005</t>
  </si>
  <si>
    <t>0.7769109335717663</t>
  </si>
  <si>
    <t>0.6083049731695915</t>
  </si>
  <si>
    <t>-0.08979594725205439</t>
  </si>
  <si>
    <t>0.5065149689986762</t>
  </si>
  <si>
    <t>-1.9133558563470336</t>
  </si>
  <si>
    <t>0.007480328218010366</t>
  </si>
  <si>
    <t>-1.0021252973191368</t>
  </si>
  <si>
    <t>-1.029806109006068</t>
  </si>
  <si>
    <t>0.7836682655986282</t>
  </si>
  <si>
    <t>-0.14965303574965516</t>
  </si>
  <si>
    <t>-0.1309162916088024</t>
  </si>
  <si>
    <t>-0.35922936711241127</t>
  </si>
  <si>
    <t>1.2404629613466893</t>
  </si>
  <si>
    <t>-0.31540353790466885</t>
  </si>
  <si>
    <t>1.8893399787767458</t>
  </si>
  <si>
    <t>1.5546898737418533</t>
  </si>
  <si>
    <t>-1.3520603567133238</t>
  </si>
  <si>
    <t>-2.2533532357755943</t>
  </si>
  <si>
    <t>1.229421181808665</t>
  </si>
  <si>
    <t>-1.069669145406218</t>
  </si>
  <si>
    <t>0.31622542462540126</t>
  </si>
  <si>
    <t>-1.2221040535220364</t>
  </si>
  <si>
    <t>0.17226145479476757</t>
  </si>
  <si>
    <t>-0.7856241237969637</t>
  </si>
  <si>
    <t>-0.21234312771310704</t>
  </si>
  <si>
    <t>-0.1540423962570271</t>
  </si>
  <si>
    <t>0.8132512858704926</t>
  </si>
  <si>
    <t>-0.6067471511048435</t>
  </si>
  <si>
    <t>-1.9577995189925124</t>
  </si>
  <si>
    <t>-0.4240616543812198</t>
  </si>
  <si>
    <t>-1.416825740491909</t>
  </si>
  <si>
    <t>2.7067319340115463</t>
  </si>
  <si>
    <t>-0.3315244532130126</t>
  </si>
  <si>
    <t>-0.12224827873632897</t>
  </si>
  <si>
    <t>-0.8365267853097365</t>
  </si>
  <si>
    <t>0.19306891894998052</t>
  </si>
  <si>
    <t>-0.7803205527415044</t>
  </si>
  <si>
    <t>-1.421268229712991</t>
  </si>
  <si>
    <t>0.9872302154372522</t>
  </si>
  <si>
    <t>-1.1826122290856247</t>
  </si>
  <si>
    <t>1.0323180682043525</t>
  </si>
  <si>
    <t>1.865310937685978</t>
  </si>
  <si>
    <t>0.4808934733983927</t>
  </si>
  <si>
    <t>0.5275181936977196</t>
  </si>
  <si>
    <t>1.6737118947929188</t>
  </si>
  <si>
    <t>-1.7988065931510326</t>
  </si>
  <si>
    <t>1.0163791571368084</t>
  </si>
  <si>
    <t>4.190910525292116</t>
  </si>
  <si>
    <t>0.9427017546908363</t>
  </si>
  <si>
    <t>0.8517083317874934</t>
  </si>
  <si>
    <t>-0.6431192855820091</t>
  </si>
  <si>
    <t>1.1772492533424963</t>
  </si>
  <si>
    <t>-0.37585243244143973</t>
  </si>
  <si>
    <t>0.6834422513915882</t>
  </si>
  <si>
    <t>-1.2601939155912794</t>
  </si>
  <si>
    <t>-0.10362930259500576</t>
  </si>
  <si>
    <t>-1.5324639164147251</t>
  </si>
  <si>
    <t>-0.015344091176543173</t>
  </si>
  <si>
    <t>0.0029356111537613403</t>
  </si>
  <si>
    <t>0.23795372049059496</t>
  </si>
  <si>
    <t>-2.1699321345295015</t>
  </si>
  <si>
    <t>0.7648397016171744</t>
  </si>
  <si>
    <t>-1.0676534974484198</t>
  </si>
  <si>
    <t>-0.3916265201649942</t>
  </si>
  <si>
    <t>2.2801346360436203</t>
  </si>
  <si>
    <t>-0.9823991268666833</t>
  </si>
  <si>
    <t>-0.660201496951392</t>
  </si>
  <si>
    <t>-0.02167000131022282</t>
  </si>
  <si>
    <t>1.743459149113207</t>
  </si>
  <si>
    <t>0.9291623036225652</t>
  </si>
  <si>
    <t>-0.062089715520978236</t>
  </si>
  <si>
    <t>-0.1636337931561167</t>
  </si>
  <si>
    <t>-1.7292990067432532</t>
  </si>
  <si>
    <t>-0.46385898924757724</t>
  </si>
  <si>
    <t>-0.4742411578173247</t>
  </si>
  <si>
    <t>-0.727370651290103</t>
  </si>
  <si>
    <t>-1.1924441790216742</t>
  </si>
  <si>
    <t>-0.24193655478519155</t>
  </si>
  <si>
    <t>2.2320507787141217</t>
  </si>
  <si>
    <t>-1.6143942239128128</t>
  </si>
  <si>
    <t>-0.8313691830377208</t>
  </si>
  <si>
    <t>-0.2513426013575553</t>
  </si>
  <si>
    <t>-0.875508331130721</t>
  </si>
  <si>
    <t>-0.8501505504431032</t>
  </si>
  <si>
    <t>0.4018774703472888</t>
  </si>
  <si>
    <t>0.3789170640207438</t>
  </si>
  <si>
    <t>0.5973773334124243</t>
  </si>
  <si>
    <t>0.06659750589877644</t>
  </si>
  <si>
    <t>-0.6198355226271385</t>
  </si>
  <si>
    <t>-0.5053416671976727</t>
  </si>
  <si>
    <t>-0.190195559015041</t>
  </si>
  <si>
    <t>-0.23315606349371235</t>
  </si>
  <si>
    <t>0.9516107783494839</t>
  </si>
  <si>
    <t>0.5732177331855535</t>
  </si>
  <si>
    <t>-0.4625947580293825</t>
  </si>
  <si>
    <t>-1.5197994397679155</t>
  </si>
  <si>
    <t>-2.429107001087782</t>
  </si>
  <si>
    <t>-0.058502973196980716</t>
  </si>
  <si>
    <t>-2.052257887818678</t>
  </si>
  <si>
    <t>0.6864967309083437</t>
  </si>
  <si>
    <t>-0.03873779071297989</t>
  </si>
  <si>
    <t>-0.5663526910073142</t>
  </si>
  <si>
    <t>-0.5558760915749507</t>
  </si>
  <si>
    <t>-1.2039350169335943</t>
  </si>
  <si>
    <t>1.1364954102094427</t>
  </si>
  <si>
    <t>0.020502061003273182</t>
  </si>
  <si>
    <t>-0.5194428279988721</t>
  </si>
  <si>
    <t>0.6015077607329397</t>
  </si>
  <si>
    <t>0.44898540408671034</t>
  </si>
  <si>
    <t>0.22582028401618962</t>
  </si>
  <si>
    <t>-0.4909026377632374</t>
  </si>
  <si>
    <t>0.07502325393758046</t>
  </si>
  <si>
    <t>-0.2342918746907595</t>
  </si>
  <si>
    <t>0.7268973217127609</t>
  </si>
  <si>
    <t>-0.5920506210197514</t>
  </si>
  <si>
    <t>-0.17343019348640046</t>
  </si>
  <si>
    <t>-0.7572088572404022</t>
  </si>
  <si>
    <t>0.9645068657353906</t>
  </si>
  <si>
    <t>-1.4617597476828776</t>
  </si>
  <si>
    <t>-0.6917924611145086</t>
  </si>
  <si>
    <t>0.10389626896594294</t>
  </si>
  <si>
    <t>-1.5157369465834436</t>
  </si>
  <si>
    <t>-0.9250135267969253</t>
  </si>
  <si>
    <t>-0.2164498250549851</t>
  </si>
  <si>
    <t>-1.9700037986169503</t>
  </si>
  <si>
    <t>-3.140974914481049</t>
  </si>
  <si>
    <t>-0.5703247587354225</t>
  </si>
  <si>
    <t>0.6240599713531166</t>
  </si>
  <si>
    <t>-0.22957238107398786</t>
  </si>
  <si>
    <t>-2.0398517266895695</t>
  </si>
  <si>
    <t>-0.009081390322888532</t>
  </si>
  <si>
    <t>0.68386015826887</t>
  </si>
  <si>
    <t>-1.7629756797871514</t>
  </si>
  <si>
    <t>0.6571756291073828</t>
  </si>
  <si>
    <t>-0.5444843320135675</t>
  </si>
  <si>
    <t>0.12660812592735238</t>
  </si>
  <si>
    <t>0.8261288044623725</t>
  </si>
  <si>
    <t>-1.833100139641668</t>
  </si>
  <si>
    <t>0.5207820038571783</t>
  </si>
  <si>
    <t>0.3284309213816587</t>
  </si>
  <si>
    <t>-0.8637370183478297</t>
  </si>
  <si>
    <t>-0.15144011927222376</t>
  </si>
  <si>
    <t>-0.07836359841977639</t>
  </si>
  <si>
    <t>2.1141719372635057</t>
  </si>
  <si>
    <t>-0.2170928771007135</t>
  </si>
  <si>
    <t>-2.349016561136074</t>
  </si>
  <si>
    <t>-1.495939355010542</t>
  </si>
  <si>
    <t>-0.3837263115359285</t>
  </si>
  <si>
    <t>-3.059868260874732</t>
  </si>
  <si>
    <t>0.455576142273029</t>
  </si>
  <si>
    <t>-0.45623680000075884</t>
  </si>
  <si>
    <t>0.2886272890710235</t>
  </si>
  <si>
    <t>2.0300690733599867</t>
  </si>
  <si>
    <t>-2.127297289735136</t>
  </si>
  <si>
    <t>0.3050154186357237</t>
  </si>
  <si>
    <t>0.7232998422682908</t>
  </si>
  <si>
    <t>-0.6156346474983699</t>
  </si>
  <si>
    <t>-0.7595139729397135</t>
  </si>
  <si>
    <t>1.0509530242443466</t>
  </si>
  <si>
    <t>-0.019652033988447445</t>
  </si>
  <si>
    <t>-0.03679643348632723</t>
  </si>
  <si>
    <t>1.283062750803757</t>
  </si>
  <si>
    <t>-1.8111561561831666</t>
  </si>
  <si>
    <t>-0.734137640016223</t>
  </si>
  <si>
    <t>-0.29076645847401134</t>
  </si>
  <si>
    <t>-0.49993175934548373</t>
  </si>
  <si>
    <t>-0.10537084489257954</t>
  </si>
  <si>
    <t>-0.12159962410458203</t>
  </si>
  <si>
    <t>-0.5530569493872467</t>
  </si>
  <si>
    <t>0.4235676794127221</t>
  </si>
  <si>
    <t>-0.18122195645030875</t>
  </si>
  <si>
    <t>-1.215336585476124</t>
  </si>
  <si>
    <t>0.9279485520281019</t>
  </si>
  <si>
    <t>-1.4818393256042548</t>
  </si>
  <si>
    <t>0.2709044985604412</t>
  </si>
  <si>
    <t>-1.6942234768514763</t>
  </si>
  <si>
    <t>0.9611437526922533</t>
  </si>
  <si>
    <t>-1.1331951756816294</t>
  </si>
  <si>
    <t>0.57160507670936</t>
  </si>
  <si>
    <t>-0.41180334572593896</t>
  </si>
  <si>
    <t>0.6541903959682527</t>
  </si>
  <si>
    <t>0.47537162967278684</t>
  </si>
  <si>
    <t>-0.14439070294411133</t>
  </si>
  <si>
    <t>-0.4132037371671494</t>
  </si>
  <si>
    <t>-0.405400671840606</t>
  </si>
  <si>
    <t>-0.2640593035573336</t>
  </si>
  <si>
    <t>-0.0300532742833773</t>
  </si>
  <si>
    <t>0.7683776348131173</t>
  </si>
  <si>
    <t>0.9064204195559711</t>
  </si>
  <si>
    <t>1.4507417044817967</t>
  </si>
  <si>
    <t>0.422293719155313</t>
  </si>
  <si>
    <t>-0.2619361671506258</t>
  </si>
  <si>
    <t>0.26183977415101545</t>
  </si>
  <si>
    <t>0.701257214469713</t>
  </si>
  <si>
    <t>-1.202339892083725</t>
  </si>
  <si>
    <t>1.090799951412907</t>
  </si>
  <si>
    <t>1.9657733099800816</t>
  </si>
  <si>
    <t>-0.22089362878311922</t>
  </si>
  <si>
    <t>1.2163120688187008</t>
  </si>
  <si>
    <t>-0.573996682031357</t>
  </si>
  <si>
    <t>-0.6815348050153458</t>
  </si>
  <si>
    <t>1.7347960471267114</t>
  </si>
  <si>
    <t>-1.6844620304482907</t>
  </si>
  <si>
    <t>-0.06653385157087527</t>
  </si>
  <si>
    <t>3.0605110030422114</t>
  </si>
  <si>
    <t>3.9471340968402755</t>
  </si>
  <si>
    <t>-0.8099969554759678</t>
  </si>
  <si>
    <t>-0.43378445760822326</t>
  </si>
  <si>
    <t>-1.6884472254426768</t>
  </si>
  <si>
    <t>-0.3758587820310716</t>
  </si>
  <si>
    <t>-1.7439010838780373</t>
  </si>
  <si>
    <t>-0.1125734438074599</t>
  </si>
  <si>
    <t>0.9124720395436919</t>
  </si>
  <si>
    <t>0.8111410640842188</t>
  </si>
  <si>
    <t>-0.11445412240087542</t>
  </si>
  <si>
    <t>-0.06614568761416628</t>
  </si>
  <si>
    <t>0.5850660257173333</t>
  </si>
  <si>
    <t>-3.3068736531391583</t>
  </si>
  <si>
    <t>3.637676076140827</t>
  </si>
  <si>
    <t>-1.5394324561509978</t>
  </si>
  <si>
    <t>1.472795181031632</t>
  </si>
  <si>
    <t>-1.5164900094246816</t>
  </si>
  <si>
    <t>-0.14978384483901275</t>
  </si>
  <si>
    <t>-0.4751930287065262</t>
  </si>
  <si>
    <t>0.3291747385241105</t>
  </si>
  <si>
    <t>-0.09389702120525921</t>
  </si>
  <si>
    <t>-1.0698590662984842</t>
  </si>
  <si>
    <t>-0.5154690999678493</t>
  </si>
  <si>
    <t>0.09957061487082952</t>
  </si>
  <si>
    <t>-1.7181865487292651</t>
  </si>
  <si>
    <t>-1.5625693188723992</t>
  </si>
  <si>
    <t>0.3503619743941315</t>
  </si>
  <si>
    <t>0.8937122775698558</t>
  </si>
  <si>
    <t>1.4658985712854518</t>
  </si>
  <si>
    <t>-0.3776585926221931</t>
  </si>
  <si>
    <t>-0.3486678412703266</t>
  </si>
  <si>
    <t>1.1930697993007653</t>
  </si>
  <si>
    <t>-0.3805965294770495</t>
  </si>
  <si>
    <t>0.15264694217782254</t>
  </si>
  <si>
    <t>-0.22288568909574075</t>
  </si>
  <si>
    <t>1.889590847569956</t>
  </si>
  <si>
    <t>-1.3508408923426862</t>
  </si>
  <si>
    <t>-0.7448038099943896</t>
  </si>
  <si>
    <t>1.2246376833694064</t>
  </si>
  <si>
    <t>-0.06399812038302789</t>
  </si>
  <si>
    <t>0.4997753737548509</t>
  </si>
  <si>
    <t>-0.7999382826225991</t>
  </si>
  <si>
    <t>-0.4146750603725634</t>
  </si>
  <si>
    <t>-0.1588614583142238</t>
  </si>
  <si>
    <t>-0.26056880164740476</t>
  </si>
  <si>
    <t>-0.4419354760158933</t>
  </si>
  <si>
    <t>0.21692788125501156</t>
  </si>
  <si>
    <t>0.2752018574377255</t>
  </si>
  <si>
    <t>-1.0867557079193375</t>
  </si>
  <si>
    <t>0.29090015387298407</t>
  </si>
  <si>
    <t>-0.28008069077423736</t>
  </si>
  <si>
    <t>0.3687621989785455</t>
  </si>
  <si>
    <t>-0.8689017529779474</t>
  </si>
  <si>
    <t>-0.6934310872085091</t>
  </si>
  <si>
    <t>-0.19366444149436804</t>
  </si>
  <si>
    <t>0.40528684516858815</t>
  </si>
  <si>
    <t>-0.15820965926462022</t>
  </si>
  <si>
    <t>-0.026640597153496454</t>
  </si>
  <si>
    <t>0.29621360875996045</t>
  </si>
  <si>
    <t>-0.20903014919592988</t>
  </si>
  <si>
    <t>0.23704602379037004</t>
  </si>
  <si>
    <t>0.059235869790030954</t>
  </si>
  <si>
    <t>1.341959407843419</t>
  </si>
  <si>
    <t>-1.6606568647286983</t>
  </si>
  <si>
    <t>-1.1918090314628371</t>
  </si>
  <si>
    <t>0.8261008764781895</t>
  </si>
  <si>
    <t>-0.39439328092882064</t>
  </si>
  <si>
    <t>-0.7887524387756244</t>
  </si>
  <si>
    <t>-1.173818853818809</t>
  </si>
  <si>
    <t>0.1430208695901331</t>
  </si>
  <si>
    <t>-0.6178816665107133</t>
  </si>
  <si>
    <t>-0.3789350288793477</t>
  </si>
  <si>
    <t>0.27083773042194664</t>
  </si>
  <si>
    <t>0.11124529912509679</t>
  </si>
  <si>
    <t>-3.5177364227371957</t>
  </si>
  <si>
    <t>-2.921089887303534</t>
  </si>
  <si>
    <t>0.23824218659436655</t>
  </si>
  <si>
    <t>1.2928368563026442</t>
  </si>
  <si>
    <t>-0.026856418961663447</t>
  </si>
  <si>
    <t>0.27635468330211993</t>
  </si>
  <si>
    <t>0.19171995367724556</t>
  </si>
  <si>
    <t>-0.881322689265546</t>
  </si>
  <si>
    <t>-1.5929117038522702</t>
  </si>
  <si>
    <t>1.6338253171698216</t>
  </si>
  <si>
    <t>-0.8772070047109574</t>
  </si>
  <si>
    <t>-1.0928695086297122</t>
  </si>
  <si>
    <t>-0.1401529531696174</t>
  </si>
  <si>
    <t>-0.8961694310887942</t>
  </si>
  <si>
    <t>-4.648946494501319</t>
  </si>
  <si>
    <t>-0.4047924100865167</t>
  </si>
  <si>
    <t>-1.1589800425217316</t>
  </si>
  <si>
    <t>-1.2150588754941138</t>
  </si>
  <si>
    <t>1.401560104275544</t>
  </si>
  <si>
    <t>3.9793507994055655</t>
  </si>
  <si>
    <t>0.06690386329222597</t>
  </si>
  <si>
    <t>-0.7279964327183908</t>
  </si>
  <si>
    <t>1.1864163633124845</t>
  </si>
  <si>
    <t>-0.662856709010613</t>
  </si>
  <si>
    <t>-1.8327805792273768</t>
  </si>
  <si>
    <t>0.5340399645367642</t>
  </si>
  <si>
    <t>-0.439904785995024</t>
  </si>
  <si>
    <t>0.8542370424882384</t>
  </si>
  <si>
    <t>-0.8030060497309685</t>
  </si>
  <si>
    <t>1.5500089195641462</t>
  </si>
  <si>
    <t>-1.369399963806477</t>
  </si>
  <si>
    <t>1.9899055494281144</t>
  </si>
  <si>
    <t>0.5249472194326007</t>
  </si>
  <si>
    <t>-0.595773515428035</t>
  </si>
  <si>
    <t>-0.14932153886490568</t>
  </si>
  <si>
    <t>-0.2509601378660562</t>
  </si>
  <si>
    <t>1.5897600345504341</t>
  </si>
  <si>
    <t>-0.6457484434813091</t>
  </si>
  <si>
    <t>-0.468827353456914</t>
  </si>
  <si>
    <t>0.005668674879875922</t>
  </si>
  <si>
    <t>-1.4407565202792512</t>
  </si>
  <si>
    <t>-0.30057203647050595</t>
  </si>
  <si>
    <t>0.8119779046361831</t>
  </si>
  <si>
    <t>0.45880763864984203</t>
  </si>
  <si>
    <t>-0.8232421395934021</t>
  </si>
  <si>
    <t>-0.8095974016807607</t>
  </si>
  <si>
    <t>1.3745761771247293</t>
  </si>
  <si>
    <t>-0.5838323145006951</t>
  </si>
  <si>
    <t>0.46183922500661456</t>
  </si>
  <si>
    <t>1.7465837635361032</t>
  </si>
  <si>
    <t>0.3525347359724145</t>
  </si>
  <si>
    <t>1.564412135985154</t>
  </si>
  <si>
    <t>2.063868811514309</t>
  </si>
  <si>
    <t>-1.2335510511659566</t>
  </si>
  <si>
    <t>0.34075382026529094</t>
  </si>
  <si>
    <t>1.392551528761591</t>
  </si>
  <si>
    <t>-0.05491212417863091</t>
  </si>
  <si>
    <t>0.8838996378249295</t>
  </si>
  <si>
    <t>-0.7958199037973241</t>
  </si>
  <si>
    <t>-0.6317382440652696</t>
  </si>
  <si>
    <t>0.5724129093979018</t>
  </si>
  <si>
    <t>0.25886742322347833</t>
  </si>
  <si>
    <t>-0.20513746931341983</t>
  </si>
  <si>
    <t>-0.19794834010273868</t>
  </si>
  <si>
    <t>0.024860343524944855</t>
  </si>
  <si>
    <t>0.626523687311965</t>
  </si>
  <si>
    <t>0.3364825683173799</t>
  </si>
  <si>
    <t>0.5054290211025037</t>
  </si>
  <si>
    <t>-0.2270945860534942</t>
  </si>
  <si>
    <t>-1.246894590382626</t>
  </si>
  <si>
    <t>-0.9623346693440749</t>
  </si>
  <si>
    <t>2.589998465811883</t>
  </si>
  <si>
    <t>0.0424885612606532</t>
  </si>
  <si>
    <t>0.4301048015455936</t>
  </si>
  <si>
    <t>0.02690516684810903</t>
  </si>
  <si>
    <t>0.16518677593263548</t>
  </si>
  <si>
    <t>0.6479871871322127</t>
  </si>
  <si>
    <t>-0.4224334639826034</t>
  </si>
  <si>
    <t>0.23161965579326468</t>
  </si>
  <si>
    <t>-0.7086286090953776</t>
  </si>
  <si>
    <t>-0.1560092364666815</t>
  </si>
  <si>
    <t>0.28421258733803073</t>
  </si>
  <si>
    <t>-0.8307126019077542</t>
  </si>
  <si>
    <t>2.315736595958121</t>
  </si>
  <si>
    <t>-0.6007324031216216</t>
  </si>
  <si>
    <t>-0.1536527060855608</t>
  </si>
  <si>
    <t>-0.6041612703616756</t>
  </si>
  <si>
    <t>0.4706763004550045</t>
  </si>
  <si>
    <t>-0.7634973961139787</t>
  </si>
  <si>
    <t>0.10901410072806933</t>
  </si>
  <si>
    <t>0.008374667937236393</t>
  </si>
  <si>
    <t>0.48030109505846375</t>
  </si>
  <si>
    <t>-0.7439376331943047</t>
  </si>
  <si>
    <t>0.25027305693829227</t>
  </si>
  <si>
    <t>0.3193078923245127</t>
  </si>
  <si>
    <t>0.9820827229189047</t>
  </si>
  <si>
    <t>-0.7203824439399821</t>
  </si>
  <si>
    <t>-0.5541547027318858</t>
  </si>
  <si>
    <t>0.4083519445729082</t>
  </si>
  <si>
    <t>-0.4075666122422188</t>
  </si>
  <si>
    <t>0.8923572232893606</t>
  </si>
  <si>
    <t>-0.17155250491359506</t>
  </si>
  <si>
    <t>0.9986286264238794</t>
  </si>
  <si>
    <t>-0.06330225726799528</t>
  </si>
  <si>
    <t>2.0813216193208284</t>
  </si>
  <si>
    <t>0.7850666476998652</t>
  </si>
  <si>
    <t>-0.16309756948782697</t>
  </si>
  <si>
    <t>-0.42265983030788556</t>
  </si>
  <si>
    <t>0.9096538601915383</t>
  </si>
  <si>
    <t>0.34968834317172204</t>
  </si>
  <si>
    <t>1.2154939057735243</t>
  </si>
  <si>
    <t>-0.5159853907101634</t>
  </si>
  <si>
    <t>0.2328811622089435</t>
  </si>
  <si>
    <t>-0.6019968579199816</t>
  </si>
  <si>
    <t>0.30187692570197844</t>
  </si>
  <si>
    <t>-0.33738614961069635</t>
  </si>
  <si>
    <t>-0.10122307603330574</t>
  </si>
  <si>
    <t>0.6545030039482224</t>
  </si>
  <si>
    <t>-0.7018815855912656</t>
  </si>
  <si>
    <t>0.38953526630979846</t>
  </si>
  <si>
    <t>-0.670527537885912</t>
  </si>
  <si>
    <t>0.46576098654046444</t>
  </si>
  <si>
    <t>-0.23339563133717783</t>
  </si>
  <si>
    <t>-0.25154252833449614</t>
  </si>
  <si>
    <t>-0.9031682811943915</t>
  </si>
  <si>
    <t>-0.5368994034286415</t>
  </si>
  <si>
    <t>0.6081977132794766</t>
  </si>
  <si>
    <t>-0.2966236955245232</t>
  </si>
  <si>
    <t>1.8620882593710637</t>
  </si>
  <si>
    <t>-0.8148597620532344</t>
  </si>
  <si>
    <t>0.009857909209818619</t>
  </si>
  <si>
    <t>0.215408674232558</t>
  </si>
  <si>
    <t>0.2357656680187447</t>
  </si>
  <si>
    <t>0.5356409700364964</t>
  </si>
  <si>
    <t>-0.2883520560128798</t>
  </si>
  <si>
    <t>0.4393573367255799</t>
  </si>
  <si>
    <t>-0.0033874974926884254</t>
  </si>
  <si>
    <t>0.3825305368262557</t>
  </si>
  <si>
    <t>-0.403410890840692</t>
  </si>
  <si>
    <t>0.7495446573151359</t>
  </si>
  <si>
    <t>-0.46989450806652505</t>
  </si>
  <si>
    <t>0.2545456913204503</t>
  </si>
  <si>
    <t>-0.845001055862705</t>
  </si>
  <si>
    <t>-0.0002915935211367584</t>
  </si>
  <si>
    <t>1.0530659595204626</t>
  </si>
  <si>
    <t>-0.8194468607580004</t>
  </si>
  <si>
    <t>0.47337342425598544</t>
  </si>
  <si>
    <t>0.4356524931298747</t>
  </si>
  <si>
    <t>0.137330064435115</t>
  </si>
  <si>
    <t>0.31809030044674336</t>
  </si>
  <si>
    <t>-0.19653559890473152</t>
  </si>
  <si>
    <t>-0.6641277085489056</t>
  </si>
  <si>
    <t>-0.5519557471668911</t>
  </si>
  <si>
    <t>-0.904274454158464</t>
  </si>
  <si>
    <t>-0.7845064481628715</t>
  </si>
  <si>
    <t>0.09861104865438282</t>
  </si>
  <si>
    <t>2.2073734633274356</t>
  </si>
  <si>
    <t>0.589026774557662</t>
  </si>
  <si>
    <t>0.3875199118314471</t>
  </si>
  <si>
    <t>-0.21980116490200388</t>
  </si>
  <si>
    <t>1.803436359360678</t>
  </si>
  <si>
    <t>0.24740397118128266</t>
  </si>
  <si>
    <t>-1.2740612709245256</t>
  </si>
  <si>
    <t>0.178299828434417</t>
  </si>
  <si>
    <t>-0.8561363748371827</t>
  </si>
  <si>
    <t>0.5798204509005662</t>
  </si>
  <si>
    <t>-0.11569617165562565</t>
  </si>
  <si>
    <t>-0.6441526321202533</t>
  </si>
  <si>
    <t>-0.4855389938291988</t>
  </si>
  <si>
    <t>0.12941980743190218</t>
  </si>
  <si>
    <t>0.22459906706090507</t>
  </si>
  <si>
    <t>-1.0153632229918697</t>
  </si>
  <si>
    <t>-0.5618278784042303</t>
  </si>
  <si>
    <t>3.4321632534059012</t>
  </si>
  <si>
    <t>-1.5963028161977286</t>
  </si>
  <si>
    <t>0.4618833495464277</t>
  </si>
  <si>
    <t>-0.5431718161883575</t>
  </si>
  <si>
    <t>0.07616697477084687</t>
  </si>
  <si>
    <t>-0.8885450137145762</t>
  </si>
  <si>
    <t>0.8614052411297782</t>
  </si>
  <si>
    <t>0.7323222963728213</t>
  </si>
  <si>
    <t>0.025519647091565612</t>
  </si>
  <si>
    <t>0.11621123784892987</t>
  </si>
  <si>
    <t>1.6555531200982108</t>
  </si>
  <si>
    <t>-1.6938209317151993</t>
  </si>
  <si>
    <t>-0.17756879000421633</t>
  </si>
  <si>
    <t>2.736347371655163</t>
  </si>
  <si>
    <t>-0.39896713255944594</t>
  </si>
  <si>
    <t>-0.040409518688174134</t>
  </si>
  <si>
    <t>-0.6230386575562944</t>
  </si>
  <si>
    <t>0.5354545012702597</t>
  </si>
  <si>
    <t>-0.9258547945912853</t>
  </si>
  <si>
    <t>0.4631965355241376</t>
  </si>
  <si>
    <t>0.28539117172798056</t>
  </si>
  <si>
    <t>-0.02099301687172235</t>
  </si>
  <si>
    <t>-0.35909344912703706</t>
  </si>
  <si>
    <t>-0.9885624491159747</t>
  </si>
  <si>
    <t>-0.2804081892327049</t>
  </si>
  <si>
    <t>-0.35288886391812263</t>
  </si>
  <si>
    <t>1.8699762530513833</t>
  </si>
  <si>
    <t>-0.19892227844404092</t>
  </si>
  <si>
    <t>1.2070557784836669</t>
  </si>
  <si>
    <t>-2.1682021422448488</t>
  </si>
  <si>
    <t>1.9325216451685199</t>
  </si>
  <si>
    <t>-0.931654105908594</t>
  </si>
  <si>
    <t>-0.4203774372963487</t>
  </si>
  <si>
    <t>0.8939715008414786</t>
  </si>
  <si>
    <t>0.13494300451614985</t>
  </si>
  <si>
    <t>-0.15536638510629214</t>
  </si>
  <si>
    <t>0.8642625199438108</t>
  </si>
  <si>
    <t>-1.064597948516181</t>
  </si>
  <si>
    <t>-0.17412780018451615</t>
  </si>
  <si>
    <t>0.7350437106910616</t>
  </si>
  <si>
    <t>-0.43647727698604016</t>
  </si>
  <si>
    <t>0.6137423510298142</t>
  </si>
  <si>
    <t>0.07649212830289707</t>
  </si>
  <si>
    <t>0.42532161617992925</t>
  </si>
  <si>
    <t>-0.3435537084692109</t>
  </si>
  <si>
    <t>-0.21381117495591156</t>
  </si>
  <si>
    <t>-0.840578044496683</t>
  </si>
  <si>
    <t>0.16076796841666807</t>
  </si>
  <si>
    <t>0.13935031524995176</t>
  </si>
  <si>
    <t>1.0680243727320724</t>
  </si>
  <si>
    <t>0.2639066549406371</t>
  </si>
  <si>
    <t>-0.07983651577399882</t>
  </si>
  <si>
    <t>-1.0447962364509609</t>
  </si>
  <si>
    <t>-1.2317695653225822</t>
  </si>
  <si>
    <t>0.6583785082515302</t>
  </si>
  <si>
    <t>0.12852286207931304</t>
  </si>
  <si>
    <t>-0.5753896924388541</t>
  </si>
  <si>
    <t>0.3772085186075231</t>
  </si>
  <si>
    <t>-0.1728886799349219</t>
  </si>
  <si>
    <t>-0.431187305584948</t>
  </si>
  <si>
    <t>0.49538636918318196</t>
  </si>
  <si>
    <t>-0.015877461694150597</t>
  </si>
  <si>
    <t>-0.9748249552339733</t>
  </si>
  <si>
    <t>0.04796707018701743</t>
  </si>
  <si>
    <t>-0.5200780319389718</t>
  </si>
  <si>
    <t>0.8372398364874694</t>
  </si>
  <si>
    <t>-0.8247405802242829</t>
  </si>
  <si>
    <t>0.3447010017341517</t>
  </si>
  <si>
    <t>-0.7104938327068995</t>
  </si>
  <si>
    <t>-1.544093187444192</t>
  </si>
  <si>
    <t>0.35665415787442784</t>
  </si>
  <si>
    <t>-0.019767110827511557</t>
  </si>
  <si>
    <t>0.605992784493359</t>
  </si>
  <si>
    <t>1.1239554261708287</t>
  </si>
  <si>
    <t>-0.12018048946120255</t>
  </si>
  <si>
    <t>0.8195588920625367</t>
  </si>
  <si>
    <t>-0.4188780033649716</t>
  </si>
  <si>
    <t>-0.8241551771100534</t>
  </si>
  <si>
    <t>-0.03714500007121495</t>
  </si>
  <si>
    <t>-0.5860194924280946</t>
  </si>
  <si>
    <t>0.641458936169116</t>
  </si>
  <si>
    <t>0.40895874180994396</t>
  </si>
  <si>
    <t>-0.21136370341586586</t>
  </si>
  <si>
    <t>-1.0044234365653755</t>
  </si>
  <si>
    <t>-0.12187392199797041</t>
  </si>
  <si>
    <t>0.5954515565845339</t>
  </si>
  <si>
    <t>-0.4109810323114232</t>
  </si>
  <si>
    <t>-0.32927928313418375</t>
  </si>
  <si>
    <t>0.8182850000772359</t>
  </si>
  <si>
    <t>-0.9881531406895191</t>
  </si>
  <si>
    <t>-1.044487977050294</t>
  </si>
  <si>
    <t>-0.1562960249104329</t>
  </si>
  <si>
    <t>0.07122852573498185</t>
  </si>
  <si>
    <t>-0.034241082657562136</t>
  </si>
  <si>
    <t>1.1495676911395565</t>
  </si>
  <si>
    <t>-0.23292203324639613</t>
  </si>
  <si>
    <t>-2.301460091729001</t>
  </si>
  <si>
    <t>1.439443111712581</t>
  </si>
  <si>
    <t>-1.665501825469858</t>
  </si>
  <si>
    <t>1.2542530706673212</t>
  </si>
  <si>
    <t>-1.2337900151096002</t>
  </si>
  <si>
    <t>-0.06408559990587691</t>
  </si>
  <si>
    <t>0.619701597987764</t>
  </si>
  <si>
    <t>0.1666511294516151</t>
  </si>
  <si>
    <t>-1.2649891524111003</t>
  </si>
  <si>
    <t>1.9362862610001503</t>
  </si>
  <si>
    <t>-1.5648287978697395</t>
  </si>
  <si>
    <t>-1.6388491308067012</t>
  </si>
  <si>
    <t>2.5726574666802864</t>
  </si>
  <si>
    <t>-1.3039916671200062</t>
  </si>
  <si>
    <t>0.15304339279862372</t>
  </si>
  <si>
    <t>1.1342971051993467</t>
  </si>
  <si>
    <t>-1.134161442618076</t>
  </si>
  <si>
    <t>-0.9661223749035871</t>
  </si>
  <si>
    <t>0.7553978680347069</t>
  </si>
  <si>
    <t>-0.6942215988854058</t>
  </si>
  <si>
    <t>0.888949455022965</t>
  </si>
  <si>
    <t>0.33858870830822463</t>
  </si>
  <si>
    <t>-0.7552041817134741</t>
  </si>
  <si>
    <t>-0.2922950619366744</t>
  </si>
  <si>
    <t>2.1756952639075537</t>
  </si>
  <si>
    <t>-0.8251980477402073</t>
  </si>
  <si>
    <t>0.512840833925076</t>
  </si>
  <si>
    <t>0.12511792647585698</t>
  </si>
  <si>
    <t>-1.2327127825617517</t>
  </si>
  <si>
    <t>-1.5196450002496973</t>
  </si>
  <si>
    <t>-0.07871697818031316</t>
  </si>
  <si>
    <t>-1.8776514822093495</t>
  </si>
  <si>
    <t>1.0028371395669007</t>
  </si>
  <si>
    <t>-0.3194712164829969</t>
  </si>
  <si>
    <t>-0.027117600799257714</t>
  </si>
  <si>
    <t>-1.9925060147120872</t>
  </si>
  <si>
    <t>0.05554960658167562</t>
  </si>
  <si>
    <t>1.3090614564777976</t>
  </si>
  <si>
    <t>0.3202449775262674</t>
  </si>
  <si>
    <t>-0.6373735181671918</t>
  </si>
  <si>
    <t>0.3233766803655338</t>
  </si>
  <si>
    <t>0.676196549131015</t>
  </si>
  <si>
    <t>-0.7082152681496259</t>
  </si>
  <si>
    <t>0.275827469639334</t>
  </si>
  <si>
    <t>-0.7034729763433752</t>
  </si>
  <si>
    <t>0.6294263469835341</t>
  </si>
  <si>
    <t>-0.8093681878754598</t>
  </si>
  <si>
    <t>-0.3335012917017921</t>
  </si>
  <si>
    <t>0.07597535460626366</t>
  </si>
  <si>
    <t>2.018015420788084</t>
  </si>
  <si>
    <t>-1.5432071965142098</t>
  </si>
  <si>
    <t>0.3049093731036034</t>
  </si>
  <si>
    <t>-0.16483472867630566</t>
  </si>
  <si>
    <t>1.3300634017649096</t>
  </si>
  <si>
    <t>1.332083793538249</t>
  </si>
  <si>
    <t>-1.590508671615821</t>
  </si>
  <si>
    <t>0.909726206565212</t>
  </si>
  <si>
    <t>-0.3965516585108206</t>
  </si>
  <si>
    <t>0.2844168027118373</t>
  </si>
  <si>
    <t>-0.5916908676045805</t>
  </si>
  <si>
    <t>0.07879158622434962</t>
  </si>
  <si>
    <t>-0.3234453144924148</t>
  </si>
  <si>
    <t>0.27291315480084855</t>
  </si>
  <si>
    <t>-0.16631466072943554</t>
  </si>
  <si>
    <t>0.24877580210955363</t>
  </si>
  <si>
    <t>-0.0467817962089701</t>
  </si>
  <si>
    <t>0.9750441308604174</t>
  </si>
  <si>
    <t>0.4973646204795515</t>
  </si>
  <si>
    <t>-0.5934804468843595</t>
  </si>
  <si>
    <t>1.079491278850999</t>
  </si>
  <si>
    <t>1.442066875678255</t>
  </si>
  <si>
    <t>-0.5313395819842973</t>
  </si>
  <si>
    <t>-0.6688767003755319</t>
  </si>
  <si>
    <t>-0.20032063568881983</t>
  </si>
  <si>
    <t>0.4202744971329934</t>
  </si>
  <si>
    <t>0.2856409177709019</t>
  </si>
  <si>
    <t>-1.4776258027366111</t>
  </si>
  <si>
    <t>2.5212393170338254</t>
  </si>
  <si>
    <t>0.25431797734056044</t>
  </si>
  <si>
    <t>2.0883736365210885</t>
  </si>
  <si>
    <t>-0.4145275185127131</t>
  </si>
  <si>
    <t>-0.8050768729927924</t>
  </si>
  <si>
    <t>1.0489216834764161</t>
  </si>
  <si>
    <t>0.8053061738845643</t>
  </si>
  <si>
    <t>-1.773155868384938</t>
  </si>
  <si>
    <t>-1.5504363796506782</t>
  </si>
  <si>
    <t>-0.07237944572463331</t>
  </si>
  <si>
    <t>-1.2219250653575922</t>
  </si>
  <si>
    <t>0.8695796089641352</t>
  </si>
  <si>
    <t>-0.7538305625996027</t>
  </si>
  <si>
    <t>-0.32512303132533427</t>
  </si>
  <si>
    <t>0.4979705345380872</t>
  </si>
  <si>
    <t>1.06552472778623</t>
  </si>
  <si>
    <t>0.28728942744658514</t>
  </si>
  <si>
    <t>-0.0038250879007021878</t>
  </si>
  <si>
    <t>0.8374248851002583</t>
  </si>
  <si>
    <t>0.7974939324292376</t>
  </si>
  <si>
    <t>0.11124009702226972</t>
  </si>
  <si>
    <t>-0.3674961423571606</t>
  </si>
  <si>
    <t>1.4297018445988987</t>
  </si>
  <si>
    <t>-0.6023422216327028</t>
  </si>
  <si>
    <t>0.43732654842622853</t>
  </si>
  <si>
    <t>-1.1745757965311852</t>
  </si>
  <si>
    <t>0.18889717189553282</t>
  </si>
  <si>
    <t>-0.34982484590825424</t>
  </si>
  <si>
    <t>-0.01296012267090646</t>
  </si>
  <si>
    <t>1.5117473395852044</t>
  </si>
  <si>
    <t>1.7894977820975115</t>
  </si>
  <si>
    <t>-1.187446987088945</t>
  </si>
  <si>
    <t>2.6096042486125066</t>
  </si>
  <si>
    <t>-2.940354740304332</t>
  </si>
  <si>
    <t>1.5660960600794966</t>
  </si>
  <si>
    <t>0.41624472214772607</t>
  </si>
  <si>
    <t>-1.4238531789600029</t>
  </si>
  <si>
    <t>1.2135180073163447</t>
  </si>
  <si>
    <t>1.4422956974159238</t>
  </si>
  <si>
    <t>-1.6527373617774546</t>
  </si>
  <si>
    <t>-1.0397963430735424</t>
  </si>
  <si>
    <t>-2.7927866146115514</t>
  </si>
  <si>
    <t>-1.1665621199696967</t>
  </si>
  <si>
    <t>-0.4196199773929573</t>
  </si>
  <si>
    <t>-0.7060848828754355</t>
  </si>
  <si>
    <t>0.6492898873383095</t>
  </si>
  <si>
    <t>-0.18798856966105376</t>
  </si>
  <si>
    <t>-0.16657025853039495</t>
  </si>
  <si>
    <t>-0.4797979440830679</t>
  </si>
  <si>
    <t>1.1801984613375622</t>
  </si>
  <si>
    <t>-0.53083938958653</t>
  </si>
  <si>
    <t>-0.26221520024578876</t>
  </si>
  <si>
    <t>-0.6533164058790795</t>
  </si>
  <si>
    <t>0.36737527444519874</t>
  </si>
  <si>
    <t>1.7727570473560708</t>
  </si>
  <si>
    <t>-2.4644818104038464</t>
  </si>
  <si>
    <t>-3.2690543514324912</t>
  </si>
  <si>
    <t>1.877472143633993</t>
  </si>
  <si>
    <t>0.4943573472318244</t>
  </si>
  <si>
    <t>-0.43112107580974857</t>
  </si>
  <si>
    <t>-0.005236066582867901</t>
  </si>
  <si>
    <t>-0.5541928190206261</t>
  </si>
  <si>
    <t>2.453949973364291</t>
  </si>
  <si>
    <t>-2.4458702425884717</t>
  </si>
  <si>
    <t>0.1758324003311854</t>
  </si>
  <si>
    <t>1.139907876307942</t>
  </si>
  <si>
    <t>0.1080642571805723</t>
  </si>
  <si>
    <t>-0.43259100225349534</t>
  </si>
  <si>
    <t>0.9803406623063486</t>
  </si>
  <si>
    <t>-0.48164932111295344</t>
  </si>
  <si>
    <t>-1.7032788941797616</t>
  </si>
  <si>
    <t>0.8001233065501121</t>
  </si>
  <si>
    <t>-1.7464315575473517</t>
  </si>
  <si>
    <t>0.2705112697145639</t>
  </si>
  <si>
    <t>-0.15450327587896057</t>
  </si>
  <si>
    <t>0.6564883851015142</t>
  </si>
  <si>
    <t>0.6321411951193222</t>
  </si>
  <si>
    <t>-0.44819751075167336</t>
  </si>
  <si>
    <t>-0.12470615629917196</t>
  </si>
  <si>
    <t>1.4488926184922417</t>
  </si>
  <si>
    <t>-0.353729966187331</t>
  </si>
  <si>
    <t>-2.4620070298189587</t>
  </si>
  <si>
    <t>-1.148610405312754</t>
  </si>
  <si>
    <t>2.3786872914463055</t>
  </si>
  <si>
    <t>-0.7790740505918308</t>
  </si>
  <si>
    <t>-0.08171968523867357</t>
  </si>
  <si>
    <t>0.732532997106574</t>
  </si>
  <si>
    <t>-2.3988544068247784</t>
  </si>
  <si>
    <t>2.9596515370276837</t>
  </si>
  <si>
    <t>-3.507043732560777</t>
  </si>
  <si>
    <t>0.1060057234903872</t>
  </si>
  <si>
    <t>-0.4231739428026621</t>
  </si>
  <si>
    <t>0.9302767700443803</t>
  </si>
  <si>
    <t>0.17737661973380375</t>
  </si>
  <si>
    <t>-0.85326671889602</t>
  </si>
  <si>
    <t>2.107884767810923</t>
  </si>
  <si>
    <t>-0.28394877366739074</t>
  </si>
  <si>
    <t>0.28998361408833595</t>
  </si>
  <si>
    <t>0.6282739266403984</t>
  </si>
  <si>
    <t>-1.4825785408388394</t>
  </si>
  <si>
    <t>-0.3623655372070065</t>
  </si>
  <si>
    <t>1.4028511977740423</t>
  </si>
  <si>
    <t>-1.0651358158161652</t>
  </si>
  <si>
    <t>-1.3676397568407932</t>
  </si>
  <si>
    <t>1.570733914520372</t>
  </si>
  <si>
    <t>0.5298741744314065</t>
  </si>
  <si>
    <t>0.31590680184528147</t>
  </si>
  <si>
    <t>1.5413615554006808</t>
  </si>
  <si>
    <t>1.3363303880877473</t>
  </si>
  <si>
    <t>-0.17089011513978858</t>
  </si>
  <si>
    <t>2.93633779795226</t>
  </si>
  <si>
    <t>0.8799578450048235</t>
  </si>
  <si>
    <t>2.8310738251794385</t>
  </si>
  <si>
    <t>-0.8726166729259139</t>
  </si>
  <si>
    <t>4.694091910515647</t>
  </si>
  <si>
    <t>-3.217595187963411</t>
  </si>
  <si>
    <t>1.0836098379519805</t>
  </si>
  <si>
    <t>-1.0412395372387904</t>
  </si>
  <si>
    <t>-0.44727904763873816</t>
  </si>
  <si>
    <t>0.47252964170554496</t>
  </si>
  <si>
    <t>-1.2825135908059424</t>
  </si>
  <si>
    <t>1.3132240408747946</t>
  </si>
  <si>
    <t>0.7733337799318241</t>
  </si>
  <si>
    <t>-0.7143301818505037</t>
  </si>
  <si>
    <t>-1.422987326564336</t>
  </si>
  <si>
    <t>1.224950234300058</t>
  </si>
  <si>
    <t>-0.21683524167695295</t>
  </si>
  <si>
    <t>-0.7550712234375706</t>
  </si>
  <si>
    <t>-0.8403005075055745</t>
  </si>
  <si>
    <t>0.9533350123565467</t>
  </si>
  <si>
    <t>0.7727933317751621</t>
  </si>
  <si>
    <t>-1.2027474883429634</t>
  </si>
  <si>
    <t>0.24889209692817357</t>
  </si>
  <si>
    <t>0.496097383200274</t>
  </si>
  <si>
    <t>-0.11639136043960727</t>
  </si>
  <si>
    <t>1.4070302350129174</t>
  </si>
  <si>
    <t>0.5229082892933055</t>
  </si>
  <si>
    <t>0.02659775471268982</t>
  </si>
  <si>
    <t>1.2123940123726626</t>
  </si>
  <si>
    <t>-0.3790764889260312</t>
  </si>
  <si>
    <t>1.2394730037311088</t>
  </si>
  <si>
    <t>-0.09536898817951338</t>
  </si>
  <si>
    <t>-0.3695205909638453</t>
  </si>
  <si>
    <t>-0.8494528379111188</t>
  </si>
  <si>
    <t>1.2548470088442523</t>
  </si>
  <si>
    <t>2.0220744392248196</t>
  </si>
  <si>
    <t>1.1314086428596115</t>
  </si>
  <si>
    <t>-2.2560775175227494</t>
  </si>
  <si>
    <t>2.2070798294426144</t>
  </si>
  <si>
    <t>-2.286324495643532</t>
  </si>
  <si>
    <t>-1.8023380369999233</t>
  </si>
  <si>
    <t>0.8996894720463103</t>
  </si>
  <si>
    <t>-0.4944556663846935</t>
  </si>
  <si>
    <t>-0.13886031119192987</t>
  </si>
  <si>
    <t>-2.1346797439650556</t>
  </si>
  <si>
    <t>0.008006703934658426</t>
  </si>
  <si>
    <t>-2.2816018754614826</t>
  </si>
  <si>
    <t>0.6511658987785515</t>
  </si>
  <si>
    <t>-1.1949964390467531</t>
  </si>
  <si>
    <t>0.03413515749733118</t>
  </si>
  <si>
    <t>-0.9540812642383866</t>
  </si>
  <si>
    <t>0.6359046617796481</t>
  </si>
  <si>
    <t>0.429512170397101</t>
  </si>
  <si>
    <t>4.024063291583014</t>
  </si>
  <si>
    <t>-0.6313000613824629</t>
  </si>
  <si>
    <t>-0.5081677845230036</t>
  </si>
  <si>
    <t>-1.0305218131131069</t>
  </si>
  <si>
    <t>0.12863953561274666</t>
  </si>
  <si>
    <t>-1.1634688590903235</t>
  </si>
  <si>
    <t>0.05759913299773541</t>
  </si>
  <si>
    <t>-3.8727208137479825</t>
  </si>
  <si>
    <t>1.063862792696713</t>
  </si>
  <si>
    <t>-0.35112541923582324</t>
  </si>
  <si>
    <t>-0.7872105114578337</t>
  </si>
  <si>
    <t>-0.8625412833669244</t>
  </si>
  <si>
    <t>-0.483285910208321</t>
  </si>
  <si>
    <t>-0.5024196658455493</t>
  </si>
  <si>
    <t>0.687198166463527</t>
  </si>
  <si>
    <t>-0.70631680781823</t>
  </si>
  <si>
    <t>-0.42691352806597754</t>
  </si>
  <si>
    <t>1.538184108046062</t>
  </si>
  <si>
    <t>-0.49838278649050805</t>
  </si>
  <si>
    <t>-0.825765586972214</t>
  </si>
  <si>
    <t>-1.4399141199939072</t>
  </si>
  <si>
    <t>-0.6171635757581702</t>
  </si>
  <si>
    <t>-0.06442513732071797</t>
  </si>
  <si>
    <t>-1.449590233278198</t>
  </si>
  <si>
    <t>0.2812718905117508</t>
  </si>
  <si>
    <t>0.3879004353883341</t>
  </si>
  <si>
    <t>-0.6930575330248161</t>
  </si>
  <si>
    <t>0.4862242070983927</t>
  </si>
  <si>
    <t>-0.042290170840445306</t>
  </si>
  <si>
    <t>-2.2025398770554285</t>
  </si>
  <si>
    <t>-0.34723401764001033</t>
  </si>
  <si>
    <t>1.2727157303229797</t>
  </si>
  <si>
    <t>-1.2674017462188982</t>
  </si>
  <si>
    <t>-0.017023809040922974</t>
  </si>
  <si>
    <t>-0.727875646033236</t>
  </si>
  <si>
    <t>1.1905509933371525</t>
  </si>
  <si>
    <t>1.6882435619395817</t>
  </si>
  <si>
    <t>1.335132821125539</t>
  </si>
  <si>
    <t>-2.1275399777486426</t>
  </si>
  <si>
    <t>-0.10777442242897432</t>
  </si>
  <si>
    <t>-0.12128048606920322</t>
  </si>
  <si>
    <t>-0.22901543758370713</t>
  </si>
  <si>
    <t>-0.44475447800889983</t>
  </si>
  <si>
    <t>4.146861453518584</t>
  </si>
  <si>
    <t>0.6137310512368371</t>
  </si>
  <si>
    <t>1.0624829480433025</t>
  </si>
  <si>
    <t>-0.297118155602533</t>
  </si>
  <si>
    <t>-0.006260941913380637</t>
  </si>
  <si>
    <t>-0.5645138110998964</t>
  </si>
  <si>
    <t>0.6576710499118751</t>
  </si>
  <si>
    <t>1.319518590314986</t>
  </si>
  <si>
    <t>-1.8070546287843439</t>
  </si>
  <si>
    <t>-0.5499108348265743</t>
  </si>
  <si>
    <t>1.1726598240434194</t>
  </si>
  <si>
    <t>-0.01778788443577971</t>
  </si>
  <si>
    <t>0.20532937299839693</t>
  </si>
  <si>
    <t>0.3101738446501198</t>
  </si>
  <si>
    <t>0.16996628739280709</t>
  </si>
  <si>
    <t>-0.1639930319148174</t>
  </si>
  <si>
    <t>0.9276529271709774</t>
  </si>
  <si>
    <t>-0.8776416221314863</t>
  </si>
  <si>
    <t>0.47291699043352614</t>
  </si>
  <si>
    <t>0.3473924835429384</t>
  </si>
  <si>
    <t>0.33707891427469255</t>
  </si>
  <si>
    <t>-0.9138624937858117</t>
  </si>
  <si>
    <t>0.753402492865942</t>
  </si>
  <si>
    <t>-0.03836814453196003</t>
  </si>
  <si>
    <t>-0.8335967002962011</t>
  </si>
  <si>
    <t>-0.4227062284505317</t>
  </si>
  <si>
    <t>-0.038370708088361585</t>
  </si>
  <si>
    <t>0.8531110309265401</t>
  </si>
  <si>
    <t>-0.08726085723640511</t>
  </si>
  <si>
    <t>0.5665996951768756</t>
  </si>
  <si>
    <t>-0.5817424967511938</t>
  </si>
  <si>
    <t>0.91067194883751</t>
  </si>
  <si>
    <t>-0.6255244115145498</t>
  </si>
  <si>
    <t>-0.7723268352703009</t>
  </si>
  <si>
    <t>0.2016102588897663</t>
  </si>
  <si>
    <t>-0.055209043331329075</t>
  </si>
  <si>
    <t>-0.2923179951127841</t>
  </si>
  <si>
    <t>-0.2648680308668493</t>
  </si>
  <si>
    <t>-0.07145223483474177</t>
  </si>
  <si>
    <t>-0.0070171110293688835</t>
  </si>
  <si>
    <t>-0.2260426271720065</t>
  </si>
  <si>
    <t>0.5529340082032982</t>
  </si>
  <si>
    <t>-1.3010626711125324</t>
  </si>
  <si>
    <t>-1.2581481877083447</t>
  </si>
  <si>
    <t>-0.38961551955170526</t>
  </si>
  <si>
    <t>1.461045939472227</t>
  </si>
  <si>
    <t>-0.016912931361349796</t>
  </si>
  <si>
    <t>-0.7627743995911941</t>
  </si>
  <si>
    <t>-0.6344121714836459</t>
  </si>
  <si>
    <t>0.7176559819232556</t>
  </si>
  <si>
    <t>-0.25503812597961145</t>
  </si>
  <si>
    <t>0.17435771686240759</t>
  </si>
  <si>
    <t>0.4513116447444813</t>
  </si>
  <si>
    <t>-0.009376447651848734</t>
  </si>
  <si>
    <t>-0.02679778038996197</t>
  </si>
  <si>
    <t>0.07907988401958521</t>
  </si>
  <si>
    <t>-0.23446934090333063</t>
  </si>
  <si>
    <t>-0.7712520352229497</t>
  </si>
  <si>
    <t>0.6311213818899147</t>
  </si>
  <si>
    <t>0.700346423460292</t>
  </si>
  <si>
    <t>2.058761548757352</t>
  </si>
  <si>
    <t>0.7957103626984308</t>
  </si>
  <si>
    <t>-2.061378575804264</t>
  </si>
  <si>
    <t>-0.6928934361454918</t>
  </si>
  <si>
    <t>-0.18364527726473126</t>
  </si>
  <si>
    <t>0.016598215820038443</t>
  </si>
  <si>
    <t>-0.5049840578736354</t>
  </si>
  <si>
    <t>-0.9786631138759665</t>
  </si>
  <si>
    <t>1.8956246002242751</t>
  </si>
  <si>
    <t>-0.7319258060659912</t>
  </si>
  <si>
    <t>0.3666544855482936</t>
  </si>
  <si>
    <t>-1.0191498159507402</t>
  </si>
  <si>
    <t>1.7163485654669595</t>
  </si>
  <si>
    <t>-0.52435508523987</t>
  </si>
  <si>
    <t>0.5589204183562324</t>
  </si>
  <si>
    <t>-0.6939658855559245</t>
  </si>
  <si>
    <t>1.04342132798301</t>
  </si>
  <si>
    <t>-1.1790567047160712</t>
  </si>
  <si>
    <t>-0.06141894692304898</t>
  </si>
  <si>
    <t>0.8364723095913003</t>
  </si>
  <si>
    <t>-1.0691348988299496</t>
  </si>
  <si>
    <t>0.32686233598890446</t>
  </si>
  <si>
    <t>0.1325559094028834</t>
  </si>
  <si>
    <t>-0.5621456403191175</t>
  </si>
  <si>
    <t>0.3505243271572316</t>
  </si>
  <si>
    <t>-0.45838213633603325</t>
  </si>
  <si>
    <t>1.5875405033929206</t>
  </si>
  <si>
    <t>0.010250456602412748</t>
  </si>
  <si>
    <t>0.13600142433876758</t>
  </si>
  <si>
    <t>0.2671836154306766</t>
  </si>
  <si>
    <t>-0.0999539656785635</t>
  </si>
  <si>
    <t>0.28519263696767255</t>
  </si>
  <si>
    <t>-0.22810851890861075</t>
  </si>
  <si>
    <t>-0.5110587624342264</t>
  </si>
  <si>
    <t>0.16688954009709187</t>
  </si>
  <si>
    <t>-0.31398672859869997</t>
  </si>
  <si>
    <t>0.6038481822203342</t>
  </si>
  <si>
    <t>-0.032889641993403274</t>
  </si>
  <si>
    <t>0.691385760413898</t>
  </si>
  <si>
    <t>0.7304276705836865</t>
  </si>
  <si>
    <t>-0.8460345104240791</t>
  </si>
  <si>
    <t>-0.39039373463108135</t>
  </si>
  <si>
    <t>1.5708257748506558</t>
  </si>
  <si>
    <t>-0.016557593935489594</t>
  </si>
  <si>
    <t>0.30716648900478516</t>
  </si>
  <si>
    <t>-0.4157438189714456</t>
  </si>
  <si>
    <t>0.30024333705752454</t>
  </si>
  <si>
    <t>-0.18982000926275366</t>
  </si>
  <si>
    <t>-0.6550532545329734</t>
  </si>
  <si>
    <t>-0.3192005375223435</t>
  </si>
  <si>
    <t>0.23144832790059208</t>
  </si>
  <si>
    <t>-0.11337592800041123</t>
  </si>
  <si>
    <t>0.4368952994815986</t>
  </si>
  <si>
    <t>-0.6470379425177059</t>
  </si>
  <si>
    <t>1.1154979598506067</t>
  </si>
  <si>
    <t>0.05952759444961044</t>
  </si>
  <si>
    <t>1.709623630730981</t>
  </si>
  <si>
    <t>0.05889416877237028</t>
  </si>
  <si>
    <t>-1.009635796191237</t>
  </si>
  <si>
    <t>-0.6057089584597776</t>
  </si>
  <si>
    <t>0.7329299114534018</t>
  </si>
  <si>
    <t>-0.0758312376293486</t>
  </si>
  <si>
    <t>0.0625419626342874</t>
  </si>
  <si>
    <t>0.46422578061238906</t>
  </si>
  <si>
    <t>-0.4040181198160646</t>
  </si>
  <si>
    <t>-0.8689428372566415</t>
  </si>
  <si>
    <t>0.9593398578732872</t>
  </si>
  <si>
    <t>-0.41454985891764995</t>
  </si>
  <si>
    <t>-0.5760520958214239</t>
  </si>
  <si>
    <t>0.306478033129531</t>
  </si>
  <si>
    <t>-0.02591284672579626</t>
  </si>
  <si>
    <t>0.24324422897255094</t>
  </si>
  <si>
    <t>-0.16431347003466465</t>
  </si>
  <si>
    <t>-0.2190444166385437</t>
  </si>
  <si>
    <t>0.27340529348200576</t>
  </si>
  <si>
    <t>-0.42109873324928254</t>
  </si>
  <si>
    <t>-0.9171220984278985</t>
  </si>
  <si>
    <t>1.3484878453487246</t>
  </si>
  <si>
    <t>-0.45620173247438844</t>
  </si>
  <si>
    <t>-0.8782106894241852</t>
  </si>
  <si>
    <t>0.5234882372166796</t>
  </si>
  <si>
    <t>-0.042237000798179</t>
  </si>
  <si>
    <t>-0.5395385538516125</t>
  </si>
  <si>
    <t>0.8628081568633189</t>
  </si>
  <si>
    <t>0.7150359386233021</t>
  </si>
  <si>
    <t>1.736958170240387</t>
  </si>
  <si>
    <t>0.4472080722695348</t>
  </si>
  <si>
    <t>-0.23364520847277406</t>
  </si>
  <si>
    <t>-0.5080361322834631</t>
  </si>
  <si>
    <t>0.45446885925743047</t>
  </si>
  <si>
    <t>0.391519806972709</t>
  </si>
  <si>
    <t>-0.24306552870092443</t>
  </si>
  <si>
    <t>-1.2124857074584252</t>
  </si>
  <si>
    <t>1.1333916592795965</t>
  </si>
  <si>
    <t>-1.0353830056581614</t>
  </si>
  <si>
    <t>2.135089567452047</t>
  </si>
  <si>
    <t>0.7818410741740243</t>
  </si>
  <si>
    <t>-0.4075297791049781</t>
  </si>
  <si>
    <t>0.08552081965931033</t>
  </si>
  <si>
    <t>0.10479487145401918</t>
  </si>
  <si>
    <t>-1.440297311884096</t>
  </si>
  <si>
    <t>-0.7738665705272578</t>
  </si>
  <si>
    <t>-0.12042290656678209</t>
  </si>
  <si>
    <t>1.2935705709986782</t>
  </si>
  <si>
    <t>-0.6307188848665212</t>
  </si>
  <si>
    <t>0.3174202864808517</t>
  </si>
  <si>
    <t>-0.15190934572399686</t>
  </si>
  <si>
    <t>-0.13459537321293735</t>
  </si>
  <si>
    <t>-0.0116597515543811</t>
  </si>
  <si>
    <t>-0.44981359412567656</t>
  </si>
  <si>
    <t>-0.23607049226617308</t>
  </si>
  <si>
    <t>-0.5175945738921539</t>
  </si>
  <si>
    <t>1.421745781745019</t>
  </si>
  <si>
    <t>0.09650426565458761</t>
  </si>
  <si>
    <t>-0.5869817717628998</t>
  </si>
  <si>
    <t>-0.14965873344735653</t>
  </si>
  <si>
    <t>-0.21806795391630446</t>
  </si>
  <si>
    <t>0.4108164518211299</t>
  </si>
  <si>
    <t>-0.07610158559385498</t>
  </si>
  <si>
    <t>-0.34498771490253993</t>
  </si>
  <si>
    <t>-0.062176951352970675</t>
  </si>
  <si>
    <t>1.1229465312886981</t>
  </si>
  <si>
    <t>-0.3094973856936003</t>
  </si>
  <si>
    <t>-0.22537791223525333</t>
  </si>
  <si>
    <t>-0.41948817144418293</t>
  </si>
  <si>
    <t>0.6620672157557587</t>
  </si>
  <si>
    <t>0.9292413166442989</t>
  </si>
  <si>
    <t>0.16210507633895938</t>
  </si>
  <si>
    <t>-0.2013123703854114</t>
  </si>
  <si>
    <t>0.49542381651351125</t>
  </si>
  <si>
    <t>-0.5571249868398569</t>
  </si>
  <si>
    <t>-0.2729562307981508</t>
  </si>
  <si>
    <t>-0.162411231086632</t>
  </si>
  <si>
    <t>-0.7268689189617029</t>
  </si>
  <si>
    <t>-0.6647917441772971</t>
  </si>
  <si>
    <t>-0.5075083520314638</t>
  </si>
  <si>
    <t>-0.7557256512306075</t>
  </si>
  <si>
    <t>-0.03658763574287355</t>
  </si>
  <si>
    <t>1.4810683243979874</t>
  </si>
  <si>
    <t>0.8437232746013124</t>
  </si>
  <si>
    <t>0.7076493283127512</t>
  </si>
  <si>
    <t>0.5357122192159305</t>
  </si>
  <si>
    <t>-0.3511236034679488</t>
  </si>
  <si>
    <t>-0.04051616611989735</t>
  </si>
  <si>
    <t>0.22755380672867107</t>
  </si>
  <si>
    <t>-0.15690428162294506</t>
  </si>
  <si>
    <t>-0.19353691381971444</t>
  </si>
  <si>
    <t>0.8887206951499267</t>
  </si>
  <si>
    <t>-0.423791380286927</t>
  </si>
  <si>
    <t>-0.14786001148038683</t>
  </si>
  <si>
    <t>0.5717047739111836</t>
  </si>
  <si>
    <t>0.05088751531282798</t>
  </si>
  <si>
    <t>-1.6664613436312692</t>
  </si>
  <si>
    <t>-0.6508788523848299</t>
  </si>
  <si>
    <t>-0.40848639451056795</t>
  </si>
  <si>
    <t>0.12231109328239072</t>
  </si>
  <si>
    <t>-0.5954538397840755</t>
  </si>
  <si>
    <t>0.34506024426565</t>
  </si>
  <si>
    <t>0.567270156817407</t>
  </si>
  <si>
    <t>0.08095442976599185</t>
  </si>
  <si>
    <t>-1.5442554694420747</t>
  </si>
  <si>
    <t>-0.3490945304495862</t>
  </si>
  <si>
    <t>0.26443549459786075</t>
  </si>
  <si>
    <t>0.2015228390298289</t>
  </si>
  <si>
    <t>-1.2640725142193203</t>
  </si>
  <si>
    <t>0.6405702553942865</t>
  </si>
  <si>
    <t>0.3064153013654958</t>
  </si>
  <si>
    <t>-0.023358096209181306</t>
  </si>
  <si>
    <t>-0.04503772759937428</t>
  </si>
  <si>
    <t>0.4547740286271515</t>
  </si>
  <si>
    <t>-0.06600205015430027</t>
  </si>
  <si>
    <t>0.7106803404730636</t>
  </si>
  <si>
    <t>-0.10769342331488817</t>
  </si>
  <si>
    <t>0.7512198225346273</t>
  </si>
  <si>
    <t>-0.27924611276382494</t>
  </si>
  <si>
    <t>0.9689821897927031</t>
  </si>
  <si>
    <t>0.003774919645152578</t>
  </si>
  <si>
    <t>-2.0262796943026795</t>
  </si>
  <si>
    <t>-0.10755923689715073</t>
  </si>
  <si>
    <t>0.5835954325418888</t>
  </si>
  <si>
    <t>0.027494166538192602</t>
  </si>
  <si>
    <t>0.6295754277023219</t>
  </si>
  <si>
    <t>-0.08763531350429463</t>
  </si>
  <si>
    <t>-0.8063900686606401</t>
  </si>
  <si>
    <t>0.13967277464446257</t>
  </si>
  <si>
    <t>0.78466358132967</t>
  </si>
  <si>
    <t>0.5127746246466548</t>
  </si>
  <si>
    <t>-1.022420486654431</t>
  </si>
  <si>
    <t>-0.7220268818700054</t>
  </si>
  <si>
    <t>0.6167397114841671</t>
  </si>
  <si>
    <t>-0.16785920664645135</t>
  </si>
  <si>
    <t>0.9417717982514635</t>
  </si>
  <si>
    <t>-0.16786997053461258</t>
  </si>
  <si>
    <t>-0.3347919215212138</t>
  </si>
  <si>
    <t>0.16306477784492415</t>
  </si>
  <si>
    <t>0.6535941526175856</t>
  </si>
  <si>
    <t>-0.7508087263186861</t>
  </si>
  <si>
    <t>-0.4781949180150925</t>
  </si>
  <si>
    <t>-0.14164428003628177</t>
  </si>
  <si>
    <t>-0.19234238024706052</t>
  </si>
  <si>
    <t>-0.2934520316271091</t>
  </si>
  <si>
    <t>-0.33055652258533225</t>
  </si>
  <si>
    <t>0.17795625915426383</t>
  </si>
  <si>
    <t>0.24139761301318025</t>
  </si>
  <si>
    <t>1.2982174036935055</t>
  </si>
  <si>
    <t>-0.5422912102948672</t>
  </si>
  <si>
    <t>-0.06353067116846167</t>
  </si>
  <si>
    <t>0.46174012806758274</t>
  </si>
  <si>
    <t>0.3431159835208264</t>
  </si>
  <si>
    <t>0.19234475777448215</t>
  </si>
  <si>
    <t>0.07667633067372577</t>
  </si>
  <si>
    <t>-0.1374392090928933</t>
  </si>
  <si>
    <t>0.21822455469107682</t>
  </si>
  <si>
    <t>0.4921853392891041</t>
  </si>
  <si>
    <t>-0.08407921745987176</t>
  </si>
  <si>
    <t>-0.3834608751500784</t>
  </si>
  <si>
    <t>0.25862365361947737</t>
  </si>
  <si>
    <t>1.643284671999373</t>
  </si>
  <si>
    <t>-0.9261616528162139</t>
  </si>
  <si>
    <t>0.40589504459161924</t>
  </si>
  <si>
    <t>0.7917650363976687</t>
  </si>
  <si>
    <t>0.22069957134239332</t>
  </si>
  <si>
    <t>-0.0947710226312205</t>
  </si>
  <si>
    <t>0.31558662444793006</t>
  </si>
  <si>
    <t>-0.0949912346455004</t>
  </si>
  <si>
    <t>0.37433022859254617</t>
  </si>
  <si>
    <t>-0.19593258890569015</t>
  </si>
  <si>
    <t>0.20532111792938448</t>
  </si>
  <si>
    <t>0.29737411631630895</t>
  </si>
  <si>
    <t>-0.11525826051523747</t>
  </si>
  <si>
    <t>-0.45740381524201884</t>
  </si>
  <si>
    <t>-0.14401411640254344</t>
  </si>
  <si>
    <t>0.6350785646182183</t>
  </si>
  <si>
    <t>-0.1150734928063194</t>
  </si>
  <si>
    <t>-0.8669647199705914</t>
  </si>
  <si>
    <t>0.09858123644482776</t>
  </si>
  <si>
    <t>-0.2100192973726254</t>
  </si>
  <si>
    <t>1.0421226212755972</t>
  </si>
  <si>
    <t>0.4863066823363648</t>
  </si>
  <si>
    <t>-0.6314860502416944</t>
  </si>
  <si>
    <t>-0.1808863189801022</t>
  </si>
  <si>
    <t>-0.2919000538914979</t>
  </si>
  <si>
    <t>-0.004326027109904354</t>
  </si>
  <si>
    <t>-1.4635889644547946</t>
  </si>
  <si>
    <t>0.627021006287688</t>
  </si>
  <si>
    <t>0.5672488187806058</t>
  </si>
  <si>
    <t>0.6379738948104285</t>
  </si>
  <si>
    <t>-0.4572495863102988</t>
  </si>
  <si>
    <t>-0.019327135210700376</t>
  </si>
  <si>
    <t>-0.8279195682419881</t>
  </si>
  <si>
    <t>-0.5233516152929507</t>
  </si>
  <si>
    <t>-0.1891272993631382</t>
  </si>
  <si>
    <t>0.7758336113645202</t>
  </si>
  <si>
    <t>-0.5506275000463419</t>
  </si>
  <si>
    <t>-0.7164804877350852</t>
  </si>
  <si>
    <t>1.521949332858995</t>
  </si>
  <si>
    <t>3.390970291611042</t>
  </si>
  <si>
    <t>0.10401067311769407</t>
  </si>
  <si>
    <t>0.1108310650243393</t>
  </si>
  <si>
    <t>1.432806140295193</t>
  </si>
  <si>
    <t>-0.7597084853881111</t>
  </si>
  <si>
    <t>-0.33612020834220246</t>
  </si>
  <si>
    <t>1.413234876117335</t>
  </si>
  <si>
    <t>1.3687365418999207</t>
  </si>
  <si>
    <t>0.5887340399144781</t>
  </si>
  <si>
    <t>0.23548340261809095</t>
  </si>
  <si>
    <t>0.11703629541292025</t>
  </si>
  <si>
    <t>-0.9821579898353756</t>
  </si>
  <si>
    <t>-0.31580613774612126</t>
  </si>
  <si>
    <t>1.0565933416781996</t>
  </si>
  <si>
    <t>-0.5900559878752075</t>
  </si>
  <si>
    <t>-0.14047687251614394</t>
  </si>
  <si>
    <t>1.3252389958079065</t>
  </si>
  <si>
    <t>1.0537766655437553</t>
  </si>
  <si>
    <t>0.7370845819363282</t>
  </si>
  <si>
    <t>-0.3077013285373549</t>
  </si>
  <si>
    <t>0.6226186104541159</t>
  </si>
  <si>
    <t>0.1517353085173523</t>
  </si>
  <si>
    <t>-0.3399936702482438</t>
  </si>
  <si>
    <t>-0.25445170389326904</t>
  </si>
  <si>
    <t>0.6596265395251161</t>
  </si>
  <si>
    <t>-0.7023728285399102</t>
  </si>
  <si>
    <t>0.5078358447465154</t>
  </si>
  <si>
    <t>1.430678844619182</t>
  </si>
  <si>
    <t>-0.01710769041101705</t>
  </si>
  <si>
    <t>0.6662930139243857</t>
  </si>
  <si>
    <t>-0.08152786134371547</t>
  </si>
  <si>
    <t>-1.8853200385084565</t>
  </si>
  <si>
    <t>-0.24967392239374042</t>
  </si>
  <si>
    <t>-1.1016782707847277</t>
  </si>
  <si>
    <t>-1.0747560999282428</t>
  </si>
  <si>
    <t>-1.1092925089918153</t>
  </si>
  <si>
    <t>0.9292071149806004</t>
  </si>
  <si>
    <t>0.4910178171413725</t>
  </si>
  <si>
    <t>-0.18266493208294995</t>
  </si>
  <si>
    <t>-0.6473490694677229</t>
  </si>
  <si>
    <t>0.9839886660709606</t>
  </si>
  <si>
    <t>-0.7535540479024612</t>
  </si>
  <si>
    <t>1.9252034497073538</t>
  </si>
  <si>
    <t>-1.1412615061694362</t>
  </si>
  <si>
    <t>-0.4467620887850521</t>
  </si>
  <si>
    <t>0.002062757327543226</t>
  </si>
  <si>
    <t>0.8872031823023026</t>
  </si>
  <si>
    <t>0.28755424735238194</t>
  </si>
  <si>
    <t>1.7772628386673583</t>
  </si>
  <si>
    <t>-0.6734878722671441</t>
  </si>
  <si>
    <t>-0.5392709865837675</t>
  </si>
  <si>
    <t>0.9401176700775865</t>
  </si>
  <si>
    <t>1.533466426526365</t>
  </si>
  <si>
    <t>-1.6987793491662655</t>
  </si>
  <si>
    <t>-0.4184346079174609</t>
  </si>
  <si>
    <t>0.3139014108727477</t>
  </si>
  <si>
    <t>-0.4336640422576323</t>
  </si>
  <si>
    <t>-0.6582651706050116</t>
  </si>
  <si>
    <t>0.6435264147475207</t>
  </si>
  <si>
    <t>1.4374338181347157</t>
  </si>
  <si>
    <t>-0.4667740599632684</t>
  </si>
  <si>
    <t>0.3625309864568073</t>
  </si>
  <si>
    <t>-0.2657650512237364</t>
  </si>
  <si>
    <t>-0.5768526331023547</t>
  </si>
  <si>
    <t>0.3112445565749158</t>
  </si>
  <si>
    <t>-0.8289148337329431</t>
  </si>
  <si>
    <t>-0.3701630207508718</t>
  </si>
  <si>
    <t>-1.0215059320231583</t>
  </si>
  <si>
    <t>1.6484657362923298</t>
  </si>
  <si>
    <t>1.4784638624485558</t>
  </si>
  <si>
    <t>0.638405411676511</t>
  </si>
  <si>
    <t>-0.9817687192854876</t>
  </si>
  <si>
    <t>0.08651526004438523</t>
  </si>
  <si>
    <t>-0.7061227191240138</t>
  </si>
  <si>
    <t>-0.6317136416454789</t>
  </si>
  <si>
    <t>1.0105259314639288</t>
  </si>
  <si>
    <t>0.8359436033157188</t>
  </si>
  <si>
    <t>0.22021575216946354</t>
  </si>
  <si>
    <t>0.9417371072126941</t>
  </si>
  <si>
    <t>0.7440501816470753</t>
  </si>
  <si>
    <t>1.084078252576474</t>
  </si>
  <si>
    <t>0.13137733593586481</t>
  </si>
  <si>
    <t>-0.11122307680060525</t>
  </si>
  <si>
    <t>-1.0375006378124505</t>
  </si>
  <si>
    <t>-0.24388448543726968</t>
  </si>
  <si>
    <t>-0.06019420686213025</t>
  </si>
  <si>
    <t>3.3993301005134513</t>
  </si>
  <si>
    <t>0.2338360401530504</t>
  </si>
  <si>
    <t>-0.18932694405352926</t>
  </si>
  <si>
    <t>0.6926229725065183</t>
  </si>
  <si>
    <t>-0.9975886967773671</t>
  </si>
  <si>
    <t>-0.7100954875566257</t>
  </si>
  <si>
    <t>-0.17507490222826128</t>
  </si>
  <si>
    <t>-0.3380738466787653</t>
  </si>
  <si>
    <t>0.26071739492519463</t>
  </si>
  <si>
    <t>0.9762870063872217</t>
  </si>
  <si>
    <t>0.40526392202259226</t>
  </si>
  <si>
    <t>-0.524418124940779</t>
  </si>
  <si>
    <t>1.2982638087516847</t>
  </si>
  <si>
    <t>-0.7835934409582097</t>
  </si>
  <si>
    <t>0.286420995933513</t>
  </si>
  <si>
    <t>0.34045354421735474</t>
  </si>
  <si>
    <t>-1.4529852513489876</t>
  </si>
  <si>
    <t>0.46790899186211193</t>
  </si>
  <si>
    <t>-1.987653758484019</t>
  </si>
  <si>
    <t>-0.35574570067029426</t>
  </si>
  <si>
    <t>0.3990858927496619</t>
  </si>
  <si>
    <t>0.45906719683614894</t>
  </si>
  <si>
    <t>-0.7265555002516534</t>
  </si>
  <si>
    <t>-1.001900981734889</t>
  </si>
  <si>
    <t>0.6919989831947561</t>
  </si>
  <si>
    <t>-0.6494231905698722</t>
  </si>
  <si>
    <t>0.2001390054004472</t>
  </si>
  <si>
    <t>0.19869690304914214</t>
  </si>
  <si>
    <t>-0.13613515881084187</t>
  </si>
  <si>
    <t>-0.05326630827880915</t>
  </si>
  <si>
    <t>2.0610951364976264</t>
  </si>
  <si>
    <t>0.4458666866747021</t>
  </si>
  <si>
    <t>-1.6038179954381937</t>
  </si>
  <si>
    <t>-0.43786618793291576</t>
  </si>
  <si>
    <t>-0.16315903182123576</t>
  </si>
  <si>
    <t>-0.2342730916309672</t>
  </si>
  <si>
    <t>-0.4536907064660149</t>
  </si>
  <si>
    <t>0.4246989924395414</t>
  </si>
  <si>
    <t>0.9919169225955254</t>
  </si>
  <si>
    <t>-0.8197046314259285</t>
  </si>
  <si>
    <t>0.07328526687237777</t>
  </si>
  <si>
    <t>1.3719821707776991</t>
  </si>
  <si>
    <t>0.4518638397600165</t>
  </si>
  <si>
    <t>0.46039592813823815</t>
  </si>
  <si>
    <t>1.03211858433624</t>
  </si>
  <si>
    <t>-0.7253655892813503</t>
  </si>
  <si>
    <t>0.7125636245828582</t>
  </si>
  <si>
    <t>-0.3734121458003953</t>
  </si>
  <si>
    <t>-0.5110118749294695</t>
  </si>
  <si>
    <t>-0.2506693832682719</t>
  </si>
  <si>
    <t>-1.471708356487491</t>
  </si>
  <si>
    <t>0.1939755379243708</t>
  </si>
  <si>
    <t>-0.4497279510830486</t>
  </si>
  <si>
    <t>0.0387630504088348</t>
  </si>
  <si>
    <t>-0.32508147174979507</t>
  </si>
  <si>
    <t>-0.3181094911109164</t>
  </si>
  <si>
    <t>0.38734586018796685</t>
  </si>
  <si>
    <t>0.9892756107895412</t>
  </si>
  <si>
    <t>-0.7324529306404294</t>
  </si>
  <si>
    <t>-0.058395794069810186</t>
  </si>
  <si>
    <t>-0.024642087264921515</t>
  </si>
  <si>
    <t>-0.14688665502921674</t>
  </si>
  <si>
    <t>1.3517985294918002</t>
  </si>
  <si>
    <t>0.7636080848094088</t>
  </si>
  <si>
    <t>0.361339058314082</t>
  </si>
  <si>
    <t>0.09990412173851432</t>
  </si>
  <si>
    <t>0.4453052001096847</t>
  </si>
  <si>
    <t>-0.4774832949312948</t>
  </si>
  <si>
    <t>-2.024812998009586</t>
  </si>
  <si>
    <t>-0.20910051588360878</t>
  </si>
  <si>
    <t>0.8931231802364309</t>
  </si>
  <si>
    <t>-0.8263361642348134</t>
  </si>
  <si>
    <t>-1.1821324972333698</t>
  </si>
  <si>
    <t>0.7255003016388285</t>
  </si>
  <si>
    <t>-1.6070300693618904</t>
  </si>
  <si>
    <t>0.750383072235281</t>
  </si>
  <si>
    <t>0.44816983999319043</t>
  </si>
  <si>
    <t>1.0836792434336016</t>
  </si>
  <si>
    <t>-1.219130289397717</t>
  </si>
  <si>
    <t>0.1480140101259457</t>
  </si>
  <si>
    <t>-0.7248209990490526</t>
  </si>
  <si>
    <t>0.9390868020043842</t>
  </si>
  <si>
    <t>-0.32291808789665916</t>
  </si>
  <si>
    <t>-0.2980886184042262</t>
  </si>
  <si>
    <t>0.8996323635302412</t>
  </si>
  <si>
    <t>0.32438529971702484</t>
  </si>
  <si>
    <t>-0.4666327340626631</t>
  </si>
  <si>
    <t>0.5632342570259137</t>
  </si>
  <si>
    <t>0.1919289250718378</t>
  </si>
  <si>
    <t>0.15890815491441737</t>
  </si>
  <si>
    <t>1.1104070961599728</t>
  </si>
  <si>
    <t>0.12443663374140626</t>
  </si>
  <si>
    <t>-0.3726513586140521</t>
  </si>
  <si>
    <t>0.49050962810488274</t>
  </si>
  <si>
    <t>0.07344431056918779</t>
  </si>
  <si>
    <t>-0.06267834517520639</t>
  </si>
  <si>
    <t>-1.162147437981023</t>
  </si>
  <si>
    <t>-1.026101066533128</t>
  </si>
  <si>
    <t>0.7760868610610542</t>
  </si>
  <si>
    <t>0.3865949154818966</t>
  </si>
  <si>
    <t>-0.08416604599529326</t>
  </si>
  <si>
    <t>-0.07972599374907649</t>
  </si>
  <si>
    <t>1.366491535903542</t>
  </si>
  <si>
    <t>0.9671082726814368</t>
  </si>
  <si>
    <t>0.15191147802526825</t>
  </si>
  <si>
    <t>-0.9541565190244804</t>
  </si>
  <si>
    <t>0.9260569816665148</t>
  </si>
  <si>
    <t>0.052242517406917696</t>
  </si>
  <si>
    <t>-1.792457471472359</t>
  </si>
  <si>
    <t>1.0145035662861646</t>
  </si>
  <si>
    <t>0.03919001501693111</t>
  </si>
  <si>
    <t>0.5371008321971812</t>
  </si>
  <si>
    <t>0.4188155718162668</t>
  </si>
  <si>
    <t>-1.0479814414944932</t>
  </si>
  <si>
    <t>-0.09711833606593702</t>
  </si>
  <si>
    <t>-0.29736298310855014</t>
  </si>
  <si>
    <t>-1.0299619172946564</t>
  </si>
  <si>
    <t>0.07397275265031275</t>
  </si>
  <si>
    <t>0.2746977382816082</t>
  </si>
  <si>
    <t>-0.5012987307264973</t>
  </si>
  <si>
    <t>-0.0023757534040013935</t>
  </si>
  <si>
    <t>0.5568558608843955</t>
  </si>
  <si>
    <t>-0.0009654001531283465</t>
  </si>
  <si>
    <t>-0.2627045662921992</t>
  </si>
  <si>
    <t>-1.3681956252280847</t>
  </si>
  <si>
    <t>-0.8676550628322184</t>
  </si>
  <si>
    <t>0.3712226394028556</t>
  </si>
  <si>
    <t>-0.005701032247046944</t>
  </si>
  <si>
    <t>-0.48886010866719726</t>
  </si>
  <si>
    <t>-0.41774657505979795</t>
  </si>
  <si>
    <t>-0.32549193111484737</t>
  </si>
  <si>
    <t>-0.5401392001831483</t>
  </si>
  <si>
    <t>1.089761770114466</t>
  </si>
  <si>
    <t>0.07383770141099717</t>
  </si>
  <si>
    <t>1.0050853968720235</t>
  </si>
  <si>
    <t>-0.3387181017651075</t>
  </si>
  <si>
    <t>-0.27551018103916397</t>
  </si>
  <si>
    <t>0.25181391335072895</t>
  </si>
  <si>
    <t>0.24763498499440642</t>
  </si>
  <si>
    <t>-0.4633912279687145</t>
  </si>
  <si>
    <t>0.47500095697320216</t>
  </si>
  <si>
    <t>-1.2152805897459122</t>
  </si>
  <si>
    <t>-0.6891220715997213</t>
  </si>
  <si>
    <t>0.7905608433233969</t>
  </si>
  <si>
    <t>-0.1159639889001926</t>
  </si>
  <si>
    <t>-0.9047287180435701</t>
  </si>
  <si>
    <t>0.7068759430233393</t>
  </si>
  <si>
    <t>0.7284369898641554</t>
  </si>
  <si>
    <t>0.7114476451968877</t>
  </si>
  <si>
    <t>-0.9256215914558351</t>
  </si>
  <si>
    <t>-0.30189498279779614</t>
  </si>
  <si>
    <t>-0.5303877907485735</t>
  </si>
  <si>
    <t>-0.8982517500596533</t>
  </si>
  <si>
    <t>-0.16757774793057217</t>
  </si>
  <si>
    <t>-0.5292090372723788</t>
  </si>
  <si>
    <t>0.23129056836128237</t>
  </si>
  <si>
    <t>-0.054911277545493</t>
  </si>
  <si>
    <t>0.05901314234337718</t>
  </si>
  <si>
    <t>0.8275285334709719</t>
  </si>
  <si>
    <t>-0.2492726268554159</t>
  </si>
  <si>
    <t>0.23149019611801527</t>
  </si>
  <si>
    <t>-0.7229105203417523</t>
  </si>
  <si>
    <t>0.5138276009055973</t>
  </si>
  <si>
    <t>-0.7297110751232192</t>
  </si>
  <si>
    <t>-0.9061275877148175</t>
  </si>
  <si>
    <t>-0.6716586725787113</t>
  </si>
  <si>
    <t>1.590507697453632</t>
  </si>
  <si>
    <t>-0.1653083054362822</t>
  </si>
  <si>
    <t>-0.08054958065468579</t>
  </si>
  <si>
    <t>-1.333704998608062</t>
  </si>
  <si>
    <t>-0.4143247783696639</t>
  </si>
  <si>
    <t>0.37024700297537955</t>
  </si>
  <si>
    <t>0.35206100833300014</t>
  </si>
  <si>
    <t>1.3194310070405797</t>
  </si>
  <si>
    <t>0.5298940498646758</t>
  </si>
  <si>
    <t>0.59964051960832</t>
  </si>
  <si>
    <t>-0.072370818900748</t>
  </si>
  <si>
    <t>-0.23117466542782425</t>
  </si>
  <si>
    <t>-0.3823414267625453</t>
  </si>
  <si>
    <t>-0.3949951079958454</t>
  </si>
  <si>
    <t>0.3346558055183577</t>
  </si>
  <si>
    <t>-1.2737535834566092</t>
  </si>
  <si>
    <t>2.6548347588297636</t>
  </si>
  <si>
    <t>0.5280911408031947</t>
  </si>
  <si>
    <t>0.21945227182563598</t>
  </si>
  <si>
    <t>-1.5179103387112822</t>
  </si>
  <si>
    <t>0.41687927586011414</t>
  </si>
  <si>
    <t>-0.4268514981498726</t>
  </si>
  <si>
    <t>-0.1197934884282753</t>
  </si>
  <si>
    <t>-0.7187522261936448</t>
  </si>
  <si>
    <t>1.0521973210719209</t>
  </si>
  <si>
    <t>-0.6462164280565833</t>
  </si>
  <si>
    <t>-0.038080664950063396</t>
  </si>
  <si>
    <t>-0.9658658792269561</t>
  </si>
  <si>
    <t>-0.35282035141106255</t>
  </si>
  <si>
    <t>0.2734583944436144</t>
  </si>
  <si>
    <t>0.056417787876134454</t>
  </si>
  <si>
    <t>-0.14225473706525146</t>
  </si>
  <si>
    <t>-1.1863656255492006</t>
  </si>
  <si>
    <t>0.1329789796880776</t>
  </si>
  <si>
    <t>-0.004408456018527336</t>
  </si>
  <si>
    <t>0.37067896748989</t>
  </si>
  <si>
    <t>-0.04914576372912536</t>
  </si>
  <si>
    <t>-0.3362846355903598</t>
  </si>
  <si>
    <t>-0.17296439980053524</t>
  </si>
  <si>
    <t>-0.21665688696021485</t>
  </si>
  <si>
    <t>-0.08735984128794744</t>
  </si>
  <si>
    <t>-0.1527910232877825</t>
  </si>
  <si>
    <t>-0.17750844829902393</t>
  </si>
  <si>
    <t>-0.23207737174373963</t>
  </si>
  <si>
    <t>-0.12134878714245352</t>
  </si>
  <si>
    <t>2.50339706651334</t>
  </si>
  <si>
    <t>-1.1187080133685883</t>
  </si>
  <si>
    <t>-0.012096260107600908</t>
  </si>
  <si>
    <t>1.1425862154826858</t>
  </si>
  <si>
    <t>-0.672464209277243</t>
  </si>
  <si>
    <t>-0.0679136101160744</t>
  </si>
  <si>
    <t>0.8828416743402073</t>
  </si>
  <si>
    <t>-1.0788466436160076</t>
  </si>
  <si>
    <t>-0.15387037433733605</t>
  </si>
  <si>
    <t>-0.262154681872727</t>
  </si>
  <si>
    <t>0.6216509314426509</t>
  </si>
  <si>
    <t>-0.4087145782578148</t>
  </si>
  <si>
    <t>-0.1809356236476584</t>
  </si>
  <si>
    <t>0.051854730880436885</t>
  </si>
  <si>
    <t>-0.47703493832779836</t>
  </si>
  <si>
    <t>0.2629448898043685</t>
  </si>
  <si>
    <t>0.8555367309987513</t>
  </si>
  <si>
    <t>0.4082153553970036</t>
  </si>
  <si>
    <t>0.32245990328480745</t>
  </si>
  <si>
    <t>0.2558261910011767</t>
  </si>
  <si>
    <t>-0.4109538023151881</t>
  </si>
  <si>
    <t>0.32959047813667125</t>
  </si>
  <si>
    <t>0.29029352932818764</t>
  </si>
  <si>
    <t>0.5017413212008498</t>
  </si>
  <si>
    <t>-1.2737658283651025</t>
  </si>
  <si>
    <t>-0.4842658809041087</t>
  </si>
  <si>
    <t>1.0074755156915252</t>
  </si>
  <si>
    <t>0.30471948138425425</t>
  </si>
  <si>
    <t>-0.2948095657187119</t>
  </si>
  <si>
    <t>0.046828078160561316</t>
  </si>
  <si>
    <t>0.09271456026007989</t>
  </si>
  <si>
    <t>0.13811470479247062</t>
  </si>
  <si>
    <t>-0.1798409799867375</t>
  </si>
  <si>
    <t>-1.0971011701215443</t>
  </si>
  <si>
    <t>0.0864510742965466</t>
  </si>
  <si>
    <t>-0.1731358356134163</t>
  </si>
  <si>
    <t>0.849823724266668</t>
  </si>
  <si>
    <t>0.22419836648566085</t>
  </si>
  <si>
    <t>-0.5565945729077788</t>
  </si>
  <si>
    <t>-0.39457517805098913</t>
  </si>
  <si>
    <t>0.45816191258272543</t>
  </si>
  <si>
    <t>0.7365478968153972</t>
  </si>
  <si>
    <t>-0.152975748526107</t>
  </si>
  <si>
    <t>-0.5898140471961753</t>
  </si>
  <si>
    <t>-0.05661043894458953</t>
  </si>
  <si>
    <t>0.12114136968819378</t>
  </si>
  <si>
    <t>-0.8947666304902372</t>
  </si>
  <si>
    <t>-0.42492568929247726</t>
  </si>
  <si>
    <t>0.12155191866042472</t>
  </si>
  <si>
    <t>0.17851636806675591</t>
  </si>
  <si>
    <t>0.010582964246357324</t>
  </si>
  <si>
    <t>1.8379905721571779</t>
  </si>
  <si>
    <t>0.29704178717422175</t>
  </si>
  <si>
    <t>-0.05103039403149164</t>
  </si>
  <si>
    <t>0.15489946783839775</t>
  </si>
  <si>
    <t>-0.4423226496356369</t>
  </si>
  <si>
    <t>3.7413477367271764</t>
  </si>
  <si>
    <t>-0.08558623717789007</t>
  </si>
  <si>
    <t>-0.08093283662776857</t>
  </si>
  <si>
    <t>-0.7782455068778864</t>
  </si>
  <si>
    <t>-0.3934222736615598</t>
  </si>
  <si>
    <t>-0.5845286796042591</t>
  </si>
  <si>
    <t>-0.28212160369338773</t>
  </si>
  <si>
    <t>0.11796817699603275</t>
  </si>
  <si>
    <t>0.037282643343049454</t>
  </si>
  <si>
    <t>-0.17289066686658033</t>
  </si>
  <si>
    <t>0.1693894732082211</t>
  </si>
  <si>
    <t>0.3740412098135733</t>
  </si>
  <si>
    <t>0.5433207561222057</t>
  </si>
  <si>
    <t>0.530549413267249</t>
  </si>
  <si>
    <t>0.5731360466723449</t>
  </si>
  <si>
    <t>0.15171127113250493</t>
  </si>
  <si>
    <t>-0.5046034898132865</t>
  </si>
  <si>
    <t>0.6717941606863712</t>
  </si>
  <si>
    <t>-0.9867725083826299</t>
  </si>
  <si>
    <t>0.7999300410414564</t>
  </si>
  <si>
    <t>0.20112260395981385</t>
  </si>
  <si>
    <t>0.7254002923877038</t>
  </si>
  <si>
    <t>-0.6911587723509732</t>
  </si>
  <si>
    <t>0.3498338983198268</t>
  </si>
  <si>
    <t>0.44965366980362365</t>
  </si>
  <si>
    <t>0.7172980933176166</t>
  </si>
  <si>
    <t>-1.3237664875208437</t>
  </si>
  <si>
    <t>-0.2211536853974731</t>
  </si>
  <si>
    <t>0.879528056483382</t>
  </si>
  <si>
    <t>0.256453826297666</t>
  </si>
  <si>
    <t>0.3177291887881018</t>
  </si>
  <si>
    <t>-0.2602269823834182</t>
  </si>
  <si>
    <t>-0.4880447588777357</t>
  </si>
  <si>
    <t>0.23962740150966938</t>
  </si>
  <si>
    <t>0.5395239117824113</t>
  </si>
  <si>
    <t>-0.10519927667945485</t>
  </si>
  <si>
    <t>0.2870337542526099</t>
  </si>
  <si>
    <t>-1.1357596016546583</t>
  </si>
  <si>
    <t>-2.888293054550804</t>
  </si>
  <si>
    <t>0.24631604491286463</t>
  </si>
  <si>
    <t>0.40259068193201164</t>
  </si>
  <si>
    <t>-0.09679728950836071</t>
  </si>
  <si>
    <t>-0.030619168444438762</t>
  </si>
  <si>
    <t>-0.8487652372498431</t>
  </si>
  <si>
    <t>1.2561920801003952</t>
  </si>
  <si>
    <t>-0.5789081714936732</t>
  </si>
  <si>
    <t>0.02784878070608363</t>
  </si>
  <si>
    <t>-0.44113996417161233</t>
  </si>
  <si>
    <t>-0.3923378726502622</t>
  </si>
  <si>
    <t>0.05749703612830227</t>
  </si>
  <si>
    <t>0.7775935926955124</t>
  </si>
  <si>
    <t>-0.2719088259208764</t>
  </si>
  <si>
    <t>1.5199701172671003</t>
  </si>
  <si>
    <t>-0.3527136045575372</t>
  </si>
  <si>
    <t>-0.37751431394897167</t>
  </si>
  <si>
    <t>-0.31490943986586806</t>
  </si>
  <si>
    <t>-0.23903363466758015</t>
  </si>
  <si>
    <t>-0.4214075438610977</t>
  </si>
  <si>
    <t>-0.3450678268119199</t>
  </si>
  <si>
    <t>0.5859473286919357</t>
  </si>
  <si>
    <t>0.9672732946837276</t>
  </si>
  <si>
    <t>-0.6876266499150828</t>
  </si>
  <si>
    <t>-0.11267479413957042</t>
  </si>
  <si>
    <t>-0.03633955165441538</t>
  </si>
  <si>
    <t>-0.6281388603067122</t>
  </si>
  <si>
    <t>0.0027176070922943227</t>
  </si>
  <si>
    <t>0.576900270825329</t>
  </si>
  <si>
    <t>1.6459135118723573</t>
  </si>
  <si>
    <t>-0.13956203258364927</t>
  </si>
  <si>
    <t>-0.7861401469841339</t>
  </si>
  <si>
    <t>-1.076234673478227</t>
  </si>
  <si>
    <t>-0.5660852130832448</t>
  </si>
  <si>
    <t>-0.3525556667246843</t>
  </si>
  <si>
    <t>-0.16498079486426398</t>
  </si>
  <si>
    <t>0.11336458503702371</t>
  </si>
  <si>
    <t>1.1672384762694867</t>
  </si>
  <si>
    <t>-0.503098638646382</t>
  </si>
  <si>
    <t>0.6897735046653345</t>
  </si>
  <si>
    <t>-0.45708932217799725</t>
  </si>
  <si>
    <t>-0.9007617893450285</t>
  </si>
  <si>
    <t>-0.03746032200311616</t>
  </si>
  <si>
    <t>0.14468722988264987</t>
  </si>
  <si>
    <t>-0.5774995334792433</t>
  </si>
  <si>
    <t>-0.4459299155251898</t>
  </si>
  <si>
    <t>0.26469683379693415</t>
  </si>
  <si>
    <t>-0.07245116230439956</t>
  </si>
  <si>
    <t>0.5681329482745096</t>
  </si>
  <si>
    <t>-0.060238286825842445</t>
  </si>
  <si>
    <t>-0.2112148008693998</t>
  </si>
  <si>
    <t>-0.2037481817304567</t>
  </si>
  <si>
    <t>-0.33290881427528285</t>
  </si>
  <si>
    <t>0.27603207834344984</t>
  </si>
  <si>
    <t>-0.7164762758931779</t>
  </si>
  <si>
    <t>-0.054814505388679824</t>
  </si>
  <si>
    <t>-0.7302647128460684</t>
  </si>
  <si>
    <t>-0.736093707473379</t>
  </si>
  <si>
    <t>-0.6401070338272299</t>
  </si>
  <si>
    <t>0.4333344443327098</t>
  </si>
  <si>
    <t>-0.29341566339558456</t>
  </si>
  <si>
    <t>-0.5536630771602241</t>
  </si>
  <si>
    <t>0.3440699944552661</t>
  </si>
  <si>
    <t>-0.6005539629604638</t>
  </si>
  <si>
    <t>-0.10650793445505918</t>
  </si>
  <si>
    <t>0.08219837553223446</t>
  </si>
  <si>
    <t>-0.6147181975332374</t>
  </si>
  <si>
    <t>0.5887887631965539</t>
  </si>
  <si>
    <t>-0.11715953266353632</t>
  </si>
  <si>
    <t>-0.017063514647339764</t>
  </si>
  <si>
    <t>-0.3588133563414936</t>
  </si>
  <si>
    <t>-0.7002869933907152</t>
  </si>
  <si>
    <t>-0.0012910709886005461</t>
  </si>
  <si>
    <t>0.2699265590609702</t>
  </si>
  <si>
    <t>1.0074428206970751</t>
  </si>
  <si>
    <t>-0.9635538232665469</t>
  </si>
  <si>
    <t>0.23906681853076892</t>
  </si>
  <si>
    <t>-0.5537053345380263</t>
  </si>
  <si>
    <t>0.6531456682139397</t>
  </si>
  <si>
    <t>-1.1821306288074802</t>
  </si>
  <si>
    <t>0.5884715213060495</t>
  </si>
  <si>
    <t>1.1468804617899437</t>
  </si>
  <si>
    <t>-0.28294526942254306</t>
  </si>
  <si>
    <t>0.4546776318322429</t>
  </si>
  <si>
    <t>-0.47312118120026925</t>
  </si>
  <si>
    <t>0.3435411492215762</t>
  </si>
  <si>
    <t>-0.3290727492128815</t>
  </si>
  <si>
    <t>-0.5107424113069131</t>
  </si>
  <si>
    <t>-1.5677925775087096</t>
  </si>
  <si>
    <t>0.414420107391035</t>
  </si>
  <si>
    <t>0.014004799712101433</t>
  </si>
  <si>
    <t>-0.03672847593301165</t>
  </si>
  <si>
    <t>-0.3634207074703517</t>
  </si>
  <si>
    <t>-0.41976713173027486</t>
  </si>
  <si>
    <t>-0.03152451023161341</t>
  </si>
  <si>
    <t>0.17311380925679576</t>
  </si>
  <si>
    <t>0.4112038689998576</t>
  </si>
  <si>
    <t>-1.656898922393651</t>
  </si>
  <si>
    <t>-0.10793057237716185</t>
  </si>
  <si>
    <t>0.5082752466458869</t>
  </si>
  <si>
    <t>-0.09958996924053812</t>
  </si>
  <si>
    <t>-1.3069729416587987</t>
  </si>
  <si>
    <t>-0.1964893426088577</t>
  </si>
  <si>
    <t>-0.4278311653337695</t>
  </si>
  <si>
    <t>0.9551832564016308</t>
  </si>
  <si>
    <t>1.4166191029206272</t>
  </si>
  <si>
    <t>1.502529317416967</t>
  </si>
  <si>
    <t>-0.010930123963093629</t>
  </si>
  <si>
    <t>0.452341834786039</t>
  </si>
  <si>
    <t>-0.6746187789271632</t>
  </si>
  <si>
    <t>0.19752376687798545</t>
  </si>
  <si>
    <t>-0.19919421713596974</t>
  </si>
  <si>
    <t>0.3433104799232811</t>
  </si>
  <si>
    <t>-0.7395874057258043</t>
  </si>
  <si>
    <t>-0.01686800509638519</t>
  </si>
  <si>
    <t>-0.32254888087387573</t>
  </si>
  <si>
    <t>2.9187724646701927</t>
  </si>
  <si>
    <t>0.019700175308504608</t>
  </si>
  <si>
    <t>-0.7877687403305831</t>
  </si>
  <si>
    <t>1.8937091143910105</t>
  </si>
  <si>
    <t>1.7753964419402843</t>
  </si>
  <si>
    <t>-0.007936614499352719</t>
  </si>
  <si>
    <t>-0.027370708363401223</t>
  </si>
  <si>
    <t>-1.4147875587301464</t>
  </si>
  <si>
    <t>0.11645168180281472</t>
  </si>
  <si>
    <t>-0.7673671907165487</t>
  </si>
  <si>
    <t>0.142440659923302</t>
  </si>
  <si>
    <t>-0.1744171987247484</t>
  </si>
  <si>
    <t>0.7320881725832595</t>
  </si>
  <si>
    <t>0.11505977792351478</t>
  </si>
  <si>
    <t>0.9754908015946734</t>
  </si>
  <si>
    <t>0.8188262225712617</t>
  </si>
  <si>
    <t>0.4074481030086255</t>
  </si>
  <si>
    <t>1.0380029578138266</t>
  </si>
  <si>
    <t>0.6173082259209383</t>
  </si>
  <si>
    <t>-0.9788396746021336</t>
  </si>
  <si>
    <t>-0.817339906367386</t>
  </si>
  <si>
    <t>0.07105953536271115</t>
  </si>
  <si>
    <t>0.36623344451196294</t>
  </si>
  <si>
    <t>1.8290616148988414</t>
  </si>
  <si>
    <t>0.09926685175766845</t>
  </si>
  <si>
    <t>0.23328029447659504</t>
  </si>
  <si>
    <t>-0.586109886442675</t>
  </si>
  <si>
    <t>1.7685386758573263</t>
  </si>
  <si>
    <t>-1.5974915500873539</t>
  </si>
  <si>
    <t>0.49713815904586367</t>
  </si>
  <si>
    <t>-0.06179794065544565</t>
  </si>
  <si>
    <t>0.3700236313506493</t>
  </si>
  <si>
    <t>0.8334095296401083</t>
  </si>
  <si>
    <t>-1.643516684618165</t>
  </si>
  <si>
    <t>0.9015871796573706</t>
  </si>
  <si>
    <t>1.6403728568580085</t>
  </si>
  <si>
    <t>-1.0931711170349</t>
  </si>
  <si>
    <t>0.1658611528522119</t>
  </si>
  <si>
    <t>-0.797037164011618</t>
  </si>
  <si>
    <t>-1.6728406743944602</t>
  </si>
  <si>
    <t>-1.234826726807613</t>
  </si>
  <si>
    <t>0.26825759086320505</t>
  </si>
  <si>
    <t>-0.7853089786131644</t>
  </si>
  <si>
    <t>2.5232947175261384</t>
  </si>
  <si>
    <t>-0.22224149211755387</t>
  </si>
  <si>
    <t>-0.9953938329660891</t>
  </si>
  <si>
    <t>0.5823568319889352</t>
  </si>
  <si>
    <t>0.4924054367446008</t>
  </si>
  <si>
    <t>1.0108634947883648</t>
  </si>
  <si>
    <t>0.4316266814618433</t>
  </si>
  <si>
    <t>-0.4515545764291772</t>
  </si>
  <si>
    <t>0.290113252068326</t>
  </si>
  <si>
    <t>0.0787186578811175</t>
  </si>
  <si>
    <t>0.7149891401041013</t>
  </si>
  <si>
    <t>-1.028052649324726</t>
  </si>
  <si>
    <t>0.3941188092125271</t>
  </si>
  <si>
    <t>0.6514305621318444</t>
  </si>
  <si>
    <t>-0.046404597689892114</t>
  </si>
  <si>
    <t>0.005027912078393805</t>
  </si>
  <si>
    <t>0.1731055190986474</t>
  </si>
  <si>
    <t>-0.2964945822028143</t>
  </si>
  <si>
    <t>-0.3162450704247447</t>
  </si>
  <si>
    <t>0.8994119590174375</t>
  </si>
  <si>
    <t>0.23203884769013033</t>
  </si>
  <si>
    <t>0.11338859757787291</t>
  </si>
  <si>
    <t>0.7790671580438683</t>
  </si>
  <si>
    <t>-0.3692547684319906</t>
  </si>
  <si>
    <t>-0.5044194924488653</t>
  </si>
  <si>
    <t>0.532509628570896</t>
  </si>
  <si>
    <t>-0.7101434831156006</t>
  </si>
  <si>
    <t>0.08907516594416344</t>
  </si>
  <si>
    <t>0.016348259368480125</t>
  </si>
  <si>
    <t>0.733080860769378</t>
  </si>
  <si>
    <t>-1.9573100761017228</t>
  </si>
  <si>
    <t>0.062368788568792584</t>
  </si>
  <si>
    <t>0.4630942337921874</t>
  </si>
  <si>
    <t>-0.04574704320679744</t>
  </si>
  <si>
    <t>2.419904103899941</t>
  </si>
  <si>
    <t>-1.6738705112639902</t>
  </si>
  <si>
    <t>-0.8687325612709801</t>
  </si>
  <si>
    <t>-0.9179704899965171</t>
  </si>
  <si>
    <t>-0.4523471808038539</t>
  </si>
  <si>
    <t>0.5896874475868806</t>
  </si>
  <si>
    <t>0.24591032095803417</t>
  </si>
  <si>
    <t>0.9181367851689002</t>
  </si>
  <si>
    <t>0.19483194469942047</t>
  </si>
  <si>
    <t>-0.9431570136582428</t>
  </si>
  <si>
    <t>-0.4169162208808227</t>
  </si>
  <si>
    <t>-2.095575578975963</t>
  </si>
  <si>
    <t>-1.8897306191427459</t>
  </si>
  <si>
    <t>0.29057326585722076</t>
  </si>
  <si>
    <t>0.24701867355449597</t>
  </si>
  <si>
    <t>0.528104445013421</t>
  </si>
  <si>
    <t>0.30702803916394705</t>
  </si>
  <si>
    <t>0.50981762099413</t>
  </si>
  <si>
    <t>-0.7296615173555249</t>
  </si>
  <si>
    <t>0.3216974024075077</t>
  </si>
  <si>
    <t>1.171469338928023</t>
  </si>
  <si>
    <t>0.44923363165675</t>
  </si>
  <si>
    <t>0.08843650930845705</t>
  </si>
  <si>
    <t>1.0406735622453247</t>
  </si>
  <si>
    <t>1.0109443172204484</t>
  </si>
  <si>
    <t>-0.4986999003241643</t>
  </si>
  <si>
    <t>0.871396630570535</t>
  </si>
  <si>
    <t>0.0418257005745172</t>
  </si>
  <si>
    <t>0.3137664901673015</t>
  </si>
  <si>
    <t>0.37733693915437044</t>
  </si>
  <si>
    <t>-0.351776462185841</t>
  </si>
  <si>
    <t>0.7846044985779087</t>
  </si>
  <si>
    <t>0.4071298160254925</t>
  </si>
  <si>
    <t>0.4735971663156435</t>
  </si>
  <si>
    <t>0.4469353845845121</t>
  </si>
  <si>
    <t>0.002905289385333218</t>
  </si>
  <si>
    <t>0.2411793770718536</t>
  </si>
  <si>
    <t>0.14145190467216665</t>
  </si>
  <si>
    <t>-1.1326857222859614</t>
  </si>
  <si>
    <t>1.48801851691925</t>
  </si>
  <si>
    <t>-1.3523861948727787</t>
  </si>
  <si>
    <t>0.19535057627374913</t>
  </si>
  <si>
    <t>-0.47936019158895415</t>
  </si>
  <si>
    <t>0.6753356706714985</t>
  </si>
  <si>
    <t>-0.4480085094785756</t>
  </si>
  <si>
    <t>-0.40366859486989415</t>
  </si>
  <si>
    <t>0.5200131154253657</t>
  </si>
  <si>
    <t>-0.34377385835611507</t>
  </si>
  <si>
    <t>-0.9975474068900411</t>
  </si>
  <si>
    <t>-0.30826801485595023</t>
  </si>
  <si>
    <t>0.09606209930201681</t>
  </si>
  <si>
    <t>0.10267154550950104</t>
  </si>
  <si>
    <t>-1.3551390387147413</t>
  </si>
  <si>
    <t>-0.37245400341362217</t>
  </si>
  <si>
    <t>0.38223124115498436</t>
  </si>
  <si>
    <t>0.8859011120873427</t>
  </si>
  <si>
    <t>1.1255286065732086</t>
  </si>
  <si>
    <t>0.9367629622927274</t>
  </si>
  <si>
    <t>-0.9545452253637189</t>
  </si>
  <si>
    <t>-0.41813386721846274</t>
  </si>
  <si>
    <t>0.2619648802371881</t>
  </si>
  <si>
    <t>0.5581327355402338</t>
  </si>
  <si>
    <t>-0.262446973544394</t>
  </si>
  <si>
    <t>0.06955360555194319</t>
  </si>
  <si>
    <t>0.49235224535297506</t>
  </si>
  <si>
    <t>-0.5606603207702864</t>
  </si>
  <si>
    <t>-0.2727211918645325</t>
  </si>
  <si>
    <t>-0.36403061767081163</t>
  </si>
  <si>
    <t>0.8362806146601522</t>
  </si>
  <si>
    <t>-0.8883959885910527</t>
  </si>
  <si>
    <t>-0.14397284018560158</t>
  </si>
  <si>
    <t>0.3752981813863457</t>
  </si>
  <si>
    <t>1.0152149976939138</t>
  </si>
  <si>
    <t>0.29869674608844976</t>
  </si>
  <si>
    <t>0.208972178364307</t>
  </si>
  <si>
    <t>0.2593710731977355</t>
  </si>
  <si>
    <t>0.18337720810332706</t>
  </si>
  <si>
    <t>-0.5790274367987257</t>
  </si>
  <si>
    <t>-0.32255070989601387</t>
  </si>
  <si>
    <t>0.22471352071666156</t>
  </si>
  <si>
    <t>0.25419794349406055</t>
  </si>
  <si>
    <t>0.1702673480630692</t>
  </si>
  <si>
    <t>-0.8766223905291226</t>
  </si>
  <si>
    <t>0.03149338069964865</t>
  </si>
  <si>
    <t>0.9880890600327756</t>
  </si>
  <si>
    <t>-0.13217576482860258</t>
  </si>
  <si>
    <t>2.0008551712458695</t>
  </si>
  <si>
    <t>-1.2511945832997622</t>
  </si>
  <si>
    <t>0.43247395187221505</t>
  </si>
  <si>
    <t>0.2904732610234086</t>
  </si>
  <si>
    <t>-1.4455371878729149</t>
  </si>
  <si>
    <t>1.775381876582826</t>
  </si>
  <si>
    <t>-1.1694799369354527</t>
  </si>
  <si>
    <t>-0.6888282005882294</t>
  </si>
  <si>
    <t>-0.971044024315281</t>
  </si>
  <si>
    <t>-0.6153131251242769</t>
  </si>
  <si>
    <t>-0.3541461922647933</t>
  </si>
  <si>
    <t>0.26824679320234796</t>
  </si>
  <si>
    <t>0.20274309926756126</t>
  </si>
  <si>
    <t>0.2088114072081816</t>
  </si>
  <si>
    <t>-0.4274187903971108</t>
  </si>
  <si>
    <t>1.88541533912354</t>
  </si>
  <si>
    <t>0.2099688798452239</t>
  </si>
  <si>
    <t>0.2734750354334212</t>
  </si>
  <si>
    <t>-0.3303887231749047</t>
  </si>
  <si>
    <t>-0.4750155688234958</t>
  </si>
  <si>
    <t>0.13583782045978995</t>
  </si>
  <si>
    <t>-1.2687313999946068</t>
  </si>
  <si>
    <t>0.34447304940720624</t>
  </si>
  <si>
    <t>0.5345435310684938</t>
  </si>
  <si>
    <t>-0.35319344491495375</t>
  </si>
  <si>
    <t>-0.5153716722322482</t>
  </si>
  <si>
    <t>0.7079777712994471</t>
  </si>
  <si>
    <t>1.0637385943152602</t>
  </si>
  <si>
    <t>-0.4940260835862553</t>
  </si>
  <si>
    <t>-1.2232352769523187</t>
  </si>
  <si>
    <t>1.0186037791773779</t>
  </si>
  <si>
    <t>-1.4437338673881606</t>
  </si>
  <si>
    <t>-0.6337574751690725</t>
  </si>
  <si>
    <t>0.5242568917604369</t>
  </si>
  <si>
    <t>-0.022422444299892295</t>
  </si>
  <si>
    <t>-0.02058557105574029</t>
  </si>
  <si>
    <t>-1.5633733537445413</t>
  </si>
  <si>
    <t>0.02831467780841222</t>
  </si>
  <si>
    <t>0.6205404582930859</t>
  </si>
  <si>
    <t>0.694449258872126</t>
  </si>
  <si>
    <t>0.7370665850905898</t>
  </si>
  <si>
    <t>-0.16658186987659332</t>
  </si>
  <si>
    <t>-0.10640471501243633</t>
  </si>
  <si>
    <t>-0.7498604759614734</t>
  </si>
  <si>
    <t>-0.0852376996566839</t>
  </si>
  <si>
    <t>0.17109027828898252</t>
  </si>
  <si>
    <t>0.8063830123761293</t>
  </si>
  <si>
    <t>0.08039607602023811</t>
  </si>
  <si>
    <t>-1.2633285978923823</t>
  </si>
  <si>
    <t>0.8806094592735849</t>
  </si>
  <si>
    <t>-0.05486318073994759</t>
  </si>
  <si>
    <t>0.5148473200867628</t>
  </si>
  <si>
    <t>1.1593727985814626</t>
  </si>
  <si>
    <t>0.02165720403163163</t>
  </si>
  <si>
    <t>-0.5430526629974596</t>
  </si>
  <si>
    <t>1.6788597926125972</t>
  </si>
  <si>
    <t>-0.39865183892444117</t>
  </si>
  <si>
    <t>-0.168090762902817</t>
  </si>
  <si>
    <t>1.37675734395578</t>
  </si>
  <si>
    <t>-0.25885667782903166</t>
  </si>
  <si>
    <t>0.4646949710605369</t>
  </si>
  <si>
    <t>2.243902477748198</t>
  </si>
  <si>
    <t>-0.3294733452428265</t>
  </si>
  <si>
    <t>0.4600683582030459</t>
  </si>
  <si>
    <t>-0.25563569601166686</t>
  </si>
  <si>
    <t>-0.7320065994796667</t>
  </si>
  <si>
    <t>0.5562231725539541</t>
  </si>
  <si>
    <t>0.2291766739940645</t>
  </si>
  <si>
    <t>0.22165865169547747</t>
  </si>
  <si>
    <t>0.977124029075405</t>
  </si>
  <si>
    <t>0.014949338668008922</t>
  </si>
  <si>
    <t>-0.7755869099872631</t>
  </si>
  <si>
    <t>0.31812345451412327</t>
  </si>
  <si>
    <t>0.6170001979025581</t>
  </si>
  <si>
    <t>0.8375989741690116</t>
  </si>
  <si>
    <t>0.0629845904166601</t>
  </si>
  <si>
    <t>0.7546217418949884</t>
  </si>
  <si>
    <t>-0.14018479275677365</t>
  </si>
  <si>
    <t>1.085314435551926</t>
  </si>
  <si>
    <t>0.6114827733403264</t>
  </si>
  <si>
    <t>0.9676032105828372</t>
  </si>
  <si>
    <t>-1.1228871502413493</t>
  </si>
  <si>
    <t>-0.624753331319864</t>
  </si>
  <si>
    <t>1.1080104722921515</t>
  </si>
  <si>
    <t>0.21274872630676533</t>
  </si>
  <si>
    <t>0.10989655067354565</t>
  </si>
  <si>
    <t>-0.2436469271277495</t>
  </si>
  <si>
    <t>-0.6123100171896667</t>
  </si>
  <si>
    <t>-0.6332384978343804</t>
  </si>
  <si>
    <t>-0.3454610540194721</t>
  </si>
  <si>
    <t>-0.6408867425535125</t>
  </si>
  <si>
    <t>0.5237940942072804</t>
  </si>
  <si>
    <t>-0.5101672019764557</t>
  </si>
  <si>
    <t>-0.07131441357571078</t>
  </si>
  <si>
    <t>-0.17355973818500295</t>
  </si>
  <si>
    <t>0.6368391530055074</t>
  </si>
  <si>
    <t>-1.0105129967991808</t>
  </si>
  <si>
    <t>0.8116347760334827</t>
  </si>
  <si>
    <t>-0.8251090071792795</t>
  </si>
  <si>
    <t>-0.7047390393390871</t>
  </si>
  <si>
    <t>0.38553398538865885</t>
  </si>
  <si>
    <t>1.4435037145121128</t>
  </si>
  <si>
    <t>0.5744976132943778</t>
  </si>
  <si>
    <t>0.982559433952133</t>
  </si>
  <si>
    <t>0.2639113701249269</t>
  </si>
  <si>
    <t>-0.728563737060772</t>
  </si>
  <si>
    <t>-0.5378575955194184</t>
  </si>
  <si>
    <t>-0.237089638751117</t>
  </si>
  <si>
    <t>0.20438884982175867</t>
  </si>
  <si>
    <t>0.2665352736651208</t>
  </si>
  <si>
    <t>-0.15371413026624192</t>
  </si>
  <si>
    <t>-1.262643992415397</t>
  </si>
  <si>
    <t>-0.5078699176646925</t>
  </si>
  <si>
    <t>-0.6710315771344402</t>
  </si>
  <si>
    <t>-0.9078972446567567</t>
  </si>
  <si>
    <t>-0.6173684117964132</t>
  </si>
  <si>
    <t>0.47606227507882454</t>
  </si>
  <si>
    <t>1.6076889838568893</t>
  </si>
  <si>
    <t>1.279146534950924</t>
  </si>
  <si>
    <t>-1.6091004736768382</t>
  </si>
  <si>
    <t>0.11423568510872159</t>
  </si>
  <si>
    <t>-0.6131160217052463</t>
  </si>
  <si>
    <t>0.07681873713771198</t>
  </si>
  <si>
    <t>-0.6034403276481678</t>
  </si>
  <si>
    <t>0.2379920327875101</t>
  </si>
  <si>
    <t>-2.1208207639201575</t>
  </si>
  <si>
    <t>-0.1460785854910251</t>
  </si>
  <si>
    <t>-0.6923872840609431</t>
  </si>
  <si>
    <t>0.3559133782634154</t>
  </si>
  <si>
    <t>-0.3178175378270111</t>
  </si>
  <si>
    <t>-0.0035226271234293535</t>
  </si>
  <si>
    <t>0.014849660884833003</t>
  </si>
  <si>
    <t>-0.780418155301319</t>
  </si>
  <si>
    <t>0.9472333939452183</t>
  </si>
  <si>
    <t>-0.23495538743187794</t>
  </si>
  <si>
    <t>-1.088650506964347</t>
  </si>
  <si>
    <t>-0.5864480516534901</t>
  </si>
  <si>
    <t>-0.25160339035158913</t>
  </si>
  <si>
    <t>1.0293503300211182</t>
  </si>
  <si>
    <t>0.7034398705050102</t>
  </si>
  <si>
    <t>-0.45235506884082105</t>
  </si>
  <si>
    <t>0.5813664780063207</t>
  </si>
  <si>
    <t>-1.457668849628264</t>
  </si>
  <si>
    <t>0.6319118146386431</t>
  </si>
  <si>
    <t>0.016382850197868244</t>
  </si>
  <si>
    <t>0.3836353281074782</t>
  </si>
  <si>
    <t>-0.29446581784549636</t>
  </si>
  <si>
    <t>0.06634143250511015</t>
  </si>
  <si>
    <t>1.8859125037548026</t>
  </si>
  <si>
    <t>0.5403959113665664</t>
  </si>
  <si>
    <t>-0.5275510651095214</t>
  </si>
  <si>
    <t>-0.24448040866253956</t>
  </si>
  <si>
    <t>0.2875054740748954</t>
  </si>
  <si>
    <t>1.227077369840085</t>
  </si>
  <si>
    <t>-0.32954346787631716</t>
  </si>
  <si>
    <t>0.17435295263892514</t>
  </si>
  <si>
    <t>-0.07298000039756451</t>
  </si>
  <si>
    <t>0.5932908628312089</t>
  </si>
  <si>
    <t>-0.4211988999983974</t>
  </si>
  <si>
    <t>0.27192083857113514</t>
  </si>
  <si>
    <t>0.3125852797973629</t>
  </si>
  <si>
    <t>-0.4345535959465033</t>
  </si>
  <si>
    <t>0.2670819560509175</t>
  </si>
  <si>
    <t>-1.2221819850934466</t>
  </si>
  <si>
    <t>0.3449524786390109</t>
  </si>
  <si>
    <t>-2.792497092025757</t>
  </si>
  <si>
    <t>1.0181501604180812</t>
  </si>
  <si>
    <t>-1.3499712574562603</t>
  </si>
  <si>
    <t>-2.0953776480328936</t>
  </si>
  <si>
    <t>-0.2460083213049889</t>
  </si>
  <si>
    <t>-0.5240444754205167</t>
  </si>
  <si>
    <t>1.1046650767550341</t>
  </si>
  <si>
    <t>0.7665004910863477</t>
  </si>
  <si>
    <t>-0.8432587751375931</t>
  </si>
  <si>
    <t>1.4754696062141142</t>
  </si>
  <si>
    <t>-0.2754966200224693</t>
  </si>
  <si>
    <t>-0.22443688186324282</t>
  </si>
  <si>
    <t>0.758329180248276</t>
  </si>
  <si>
    <t>1.6348301683509265</t>
  </si>
  <si>
    <t>-1.0054246249631498</t>
  </si>
  <si>
    <t>0.012368991395550115</t>
  </si>
  <si>
    <t>-0.11413579124334244</t>
  </si>
  <si>
    <t>-0.06366275025401498</t>
  </si>
  <si>
    <t>-1.5954036172719992</t>
  </si>
  <si>
    <t>0.9319655928307456</t>
  </si>
  <si>
    <t>-1.002941057006336</t>
  </si>
  <si>
    <t>-0.6362398009999928</t>
  </si>
  <si>
    <t>-2.0253134207909076</t>
  </si>
  <si>
    <t>0.2761348223277161</t>
  </si>
  <si>
    <t>0.4047568046365185</t>
  </si>
  <si>
    <t>-0.288606391609609</t>
  </si>
  <si>
    <t>-1.0304331113996574</t>
  </si>
  <si>
    <t>0.6340780534692515</t>
  </si>
  <si>
    <t>-1.045486353058165</t>
  </si>
  <si>
    <t>-0.8363720063837802</t>
  </si>
  <si>
    <t>0.02239194368072202</t>
  </si>
  <si>
    <t>-0.7066346172060836</t>
  </si>
  <si>
    <t>0.057123689535175944</t>
  </si>
  <si>
    <t>0.34722655346112113</t>
  </si>
  <si>
    <t>-0.681868905761481</t>
  </si>
  <si>
    <t>1.7388796697293154</t>
  </si>
  <si>
    <t>0.8174882719858304</t>
  </si>
  <si>
    <t>-0.7936012478407192</t>
  </si>
  <si>
    <t>-3.387104127800732</t>
  </si>
  <si>
    <t>2.616483099101427</t>
  </si>
  <si>
    <t>-0.6471154086409271</t>
  </si>
  <si>
    <t>-0.8748585810412213</t>
  </si>
  <si>
    <t>0.7303735893251682</t>
  </si>
  <si>
    <t>-0.11433359601584607</t>
  </si>
  <si>
    <t>-0.15666371415492483</t>
  </si>
  <si>
    <t>-0.08933870517252482</t>
  </si>
  <si>
    <t>1.2065207633016213</t>
  </si>
  <si>
    <t>1.772563380628273</t>
  </si>
  <si>
    <t>0.5555809648196948</t>
  </si>
  <si>
    <t>0.16393187413749452</t>
  </si>
  <si>
    <t>-0.016849655690363872</t>
  </si>
  <si>
    <t>0.48799883514057746</t>
  </si>
  <si>
    <t>0.5119721235750204</t>
  </si>
  <si>
    <t>0.19523965517171324</t>
  </si>
  <si>
    <t>0.6748292877544425</t>
  </si>
  <si>
    <t>1.5819418081766603</t>
  </si>
  <si>
    <t>-2.477687771112866</t>
  </si>
  <si>
    <t>-0.5684504504969897</t>
  </si>
  <si>
    <t>0.37861240902206134</t>
  </si>
  <si>
    <t>0.03317106061075822</t>
  </si>
  <si>
    <t>-0.9901195090519781</t>
  </si>
  <si>
    <t>-0.02563042134156488</t>
  </si>
  <si>
    <t>0.38085917947381714</t>
  </si>
  <si>
    <t>-1.0613966564449522</t>
  </si>
  <si>
    <t>-0.35451650305834914</t>
  </si>
  <si>
    <t>2.7962849547893067</t>
  </si>
  <si>
    <t>-1.919070454161244</t>
  </si>
  <si>
    <t>0.019697515452334217</t>
  </si>
  <si>
    <t>-4.218194697074957</t>
  </si>
  <si>
    <t>0.46836252378549703</t>
  </si>
  <si>
    <t>-0.2971122789388581</t>
  </si>
  <si>
    <t>-0.2937834461050729</t>
  </si>
  <si>
    <t>-0.04328578716695916</t>
  </si>
  <si>
    <t>-1.0660897340253956</t>
  </si>
  <si>
    <t>1.3514016566725768</t>
  </si>
  <si>
    <t>-1.0064942365586447</t>
  </si>
  <si>
    <t>-1.8312869580342808</t>
  </si>
  <si>
    <t>0.009942335425804224</t>
  </si>
  <si>
    <t>-1.2770190753299224</t>
  </si>
  <si>
    <t>1.7339182548145706</t>
  </si>
  <si>
    <t>0.29158178172850563</t>
  </si>
  <si>
    <t>1.6677143619331867</t>
  </si>
  <si>
    <t>-0.3491896265304109</t>
  </si>
  <si>
    <t>0.3643764402237842</t>
  </si>
  <si>
    <t>2.0069717924340775</t>
  </si>
  <si>
    <t>0.16948397139410434</t>
  </si>
  <si>
    <t>0.888096715074968</t>
  </si>
  <si>
    <t>0.3429046311484567</t>
  </si>
  <si>
    <t>-1.9238226504138276</t>
  </si>
  <si>
    <t>-0.5884458636229482</t>
  </si>
  <si>
    <t>-0.5460676025770167</t>
  </si>
  <si>
    <t>-0.38416076065594984</t>
  </si>
  <si>
    <t>-0.17736210365334523</t>
  </si>
  <si>
    <t>-0.11732392923538519</t>
  </si>
  <si>
    <t>1.4675707049792277</t>
  </si>
  <si>
    <t>0.8072619280065837</t>
  </si>
  <si>
    <t>-1.7357622341356116</t>
  </si>
  <si>
    <t>1.830419243239899</t>
  </si>
  <si>
    <t>-1.755052298869354</t>
  </si>
  <si>
    <t>-2.1921239541381214</t>
  </si>
  <si>
    <t>0.07382004313425683</t>
  </si>
  <si>
    <t>3.098421946021667</t>
  </si>
  <si>
    <t>-1.1407131133058823</t>
  </si>
  <si>
    <t>1.7773590224797755</t>
  </si>
  <si>
    <t>0.23727794374629063</t>
  </si>
  <si>
    <t>1.0446941325886245</t>
  </si>
  <si>
    <t>0.10820858962975334</t>
  </si>
  <si>
    <t>0.7278371739673506</t>
  </si>
  <si>
    <t>-0.14917574560918906</t>
  </si>
  <si>
    <t>-1.1573181315900527</t>
  </si>
  <si>
    <t>-0.34285506435035845</t>
  </si>
  <si>
    <t>0.05089301261090643</t>
  </si>
  <si>
    <t>-0.009647209760777624</t>
  </si>
  <si>
    <t>0.5629068848675965</t>
  </si>
  <si>
    <t>-0.9004946360140992</t>
  </si>
  <si>
    <t>-1.4376273885030484</t>
  </si>
  <si>
    <t>0.42772127286718</t>
  </si>
  <si>
    <t>-0.40159903210883985</t>
  </si>
  <si>
    <t>1.563940484262359</t>
  </si>
  <si>
    <t>0.2992763879306669</t>
  </si>
  <si>
    <t>-0.5843900122875495</t>
  </si>
  <si>
    <t>0.4810960960801089</t>
  </si>
  <si>
    <t>0.8740910777604324</t>
  </si>
  <si>
    <t>-0.1588301909068433</t>
  </si>
  <si>
    <t>0.2937969146975954</t>
  </si>
  <si>
    <t>0.6685572674155197</t>
  </si>
  <si>
    <t>-0.0857547388269069</t>
  </si>
  <si>
    <t>1.1676951262450321</t>
  </si>
  <si>
    <t>1.3685536514759495</t>
  </si>
  <si>
    <t>-0.28225007521515494</t>
  </si>
  <si>
    <t>0.39190776647304487</t>
  </si>
  <si>
    <t>1.2571847985860407</t>
  </si>
  <si>
    <t>0.44124264344178754</t>
  </si>
  <si>
    <t>-0.6254723812263593</t>
  </si>
  <si>
    <t>0.2182217813846869</t>
  </si>
  <si>
    <t>0.5022099180534157</t>
  </si>
  <si>
    <t>0.321479535710508</t>
  </si>
  <si>
    <t>-0.13350739039733237</t>
  </si>
  <si>
    <t>0.653226014240615</t>
  </si>
  <si>
    <t>0.2974914552152903</t>
  </si>
  <si>
    <t>2.2368953099093463</t>
  </si>
  <si>
    <t>-1.3539983571653877</t>
  </si>
  <si>
    <t>0.6472515146208133</t>
  </si>
  <si>
    <t>0.17789032344193606</t>
  </si>
  <si>
    <t>-0.2508122309277286</t>
  </si>
  <si>
    <t>-0.34212141489285314</t>
  </si>
  <si>
    <t>0.6067421740473659</t>
  </si>
  <si>
    <t>-0.49113373018092404</t>
  </si>
  <si>
    <t>-0.002251805926382411</t>
  </si>
  <si>
    <t>-0.9533160482879887</t>
  </si>
  <si>
    <t>-0.42411643954930867</t>
  </si>
  <si>
    <t>0.3434108044054231</t>
  </si>
  <si>
    <t>0.3693526866576496</t>
  </si>
  <si>
    <t>-0.6631404346668167</t>
  </si>
  <si>
    <t>-0.8126767293284721</t>
  </si>
  <si>
    <t>-1.5196565048044552</t>
  </si>
  <si>
    <t>-0.14019733815171445</t>
  </si>
  <si>
    <t>0.2755485894272974</t>
  </si>
  <si>
    <t>-0.04608568633100488</t>
  </si>
  <si>
    <t>-0.32840613442599437</t>
  </si>
  <si>
    <t>-0.13223004858939397</t>
  </si>
  <si>
    <t>-0.11964923927375705</t>
  </si>
  <si>
    <t>0.7944264300314756</t>
  </si>
  <si>
    <t>-0.7636041647053948</t>
  </si>
  <si>
    <t>0.07323635763783325</t>
  </si>
  <si>
    <t>2.4840995008083917</t>
  </si>
  <si>
    <t>-1.1689724345028694</t>
  </si>
  <si>
    <t>-0.2687067356761468</t>
  </si>
  <si>
    <t>-0.33611249358035805</t>
  </si>
  <si>
    <t>-0.9968528810753248</t>
  </si>
  <si>
    <t>0.7184015467849612</t>
  </si>
  <si>
    <t>-1.2135297337738278</t>
  </si>
  <si>
    <t>0.6051757210000687</t>
  </si>
  <si>
    <t>-0.4993710198262162</t>
  </si>
  <si>
    <t>-0.9948955409591159</t>
  </si>
  <si>
    <t>0.0728320695371027</t>
  </si>
  <si>
    <t>0.6496130400203709</t>
  </si>
  <si>
    <t>-1.150797233486325</t>
  </si>
  <si>
    <t>0.277030353667437</t>
  </si>
  <si>
    <t>0.26297304771126007</t>
  </si>
  <si>
    <t>0.5636298033269027</t>
  </si>
  <si>
    <t>-0.04795529100783426</t>
  </si>
  <si>
    <t>-0.46618699308685924</t>
  </si>
  <si>
    <t>-0.3801828942349263</t>
  </si>
  <si>
    <t>-0.9098067341586444</t>
  </si>
  <si>
    <t>-0.4729140762977752</t>
  </si>
  <si>
    <t>-0.37455113279233165</t>
  </si>
  <si>
    <t>-0.1398766304461562</t>
  </si>
  <si>
    <t>0.31515017091521347</t>
  </si>
  <si>
    <t>-0.46708589781802373</t>
  </si>
  <si>
    <t>1.0841937704845679</t>
  </si>
  <si>
    <t>0.9437391609297119</t>
  </si>
  <si>
    <t>-1.7847722056445967</t>
  </si>
  <si>
    <t>0.13229902799751225</t>
  </si>
  <si>
    <t>-0.08270826689338111</t>
  </si>
  <si>
    <t>-1.6448224874527255</t>
  </si>
  <si>
    <t>-0.14224385661342495</t>
  </si>
  <si>
    <t>0.36850594153946936</t>
  </si>
  <si>
    <t>0.3524068992311742</t>
  </si>
  <si>
    <t>-0.49780738611169256</t>
  </si>
  <si>
    <t>-1.392912135842055</t>
  </si>
  <si>
    <t>-0.8463784988850722</t>
  </si>
  <si>
    <t>0.9005598806301549</t>
  </si>
  <si>
    <t>1.0071987346625078</t>
  </si>
  <si>
    <t>-0.38155480651396556</t>
  </si>
  <si>
    <t>0.6801736634292596</t>
  </si>
  <si>
    <t>-0.6545885823828231</t>
  </si>
  <si>
    <t>1.264090493830863</t>
  </si>
  <si>
    <t>-0.5279344239079853</t>
  </si>
  <si>
    <t>-0.9237883434414951</t>
  </si>
  <si>
    <t>-0.6675022920649655</t>
  </si>
  <si>
    <t>0.5444486628805544</t>
  </si>
  <si>
    <t>0.6094782330773261</t>
  </si>
  <si>
    <t>-1.500398966261065</t>
  </si>
  <si>
    <t>-0.6034914639629885</t>
  </si>
  <si>
    <t>-0.0016051778392629822</t>
  </si>
  <si>
    <t>0.43304696721570124</t>
  </si>
  <si>
    <t>-0.6458659798173122</t>
  </si>
  <si>
    <t>-0.5275614519771974</t>
  </si>
  <si>
    <t>-0.3099132307753936</t>
  </si>
  <si>
    <t>-0.09356739838119961</t>
  </si>
  <si>
    <t>0.27631971303593617</t>
  </si>
  <si>
    <t>0.056132535139323564</t>
  </si>
  <si>
    <t>-0.7865727221973904</t>
  </si>
  <si>
    <t>0.40777264864535634</t>
  </si>
  <si>
    <t>0.13739440742471137</t>
  </si>
  <si>
    <t>1.3504476171779853</t>
  </si>
  <si>
    <t>-1.2216792260988667</t>
  </si>
  <si>
    <t>1.8131853637902469</t>
  </si>
  <si>
    <t>-0.6015659767913865</t>
  </si>
  <si>
    <t>0.7379834309802635</t>
  </si>
  <si>
    <t>-0.2160632745739585</t>
  </si>
  <si>
    <t>0.17402135955624418</t>
  </si>
  <si>
    <t>1.6291361297827258</t>
  </si>
  <si>
    <t>0.6061128641063127</t>
  </si>
  <si>
    <t>0.9361984077832619</t>
  </si>
  <si>
    <t>-0.12390997893734543</t>
  </si>
  <si>
    <t>0.006789551061116446</t>
  </si>
  <si>
    <t>0.20036186807624898</t>
  </si>
  <si>
    <t>-0.014260891164765222</t>
  </si>
  <si>
    <t>-0.8311909621707005</t>
  </si>
  <si>
    <t>-0.47755069384736365</t>
  </si>
  <si>
    <t>-0.24739161663010276</t>
  </si>
  <si>
    <t>0.4128790186932831</t>
  </si>
  <si>
    <t>-1.3510325591551033</t>
  </si>
  <si>
    <t>0.3460342011296776</t>
  </si>
  <si>
    <t>0.6831278072257823</t>
  </si>
  <si>
    <t>1.3919395803916244</t>
  </si>
  <si>
    <t>-0.40897460947576714</t>
  </si>
  <si>
    <t>0.9408860302626797</t>
  </si>
  <si>
    <t>0.5999196047282684</t>
  </si>
  <si>
    <t>0.4841851204987517</t>
  </si>
  <si>
    <t>-0.20231124576905818</t>
  </si>
  <si>
    <t>-0.5874224660260569</t>
  </si>
  <si>
    <t>0.8881855218687353</t>
  </si>
  <si>
    <t>0.10914852674717562</t>
  </si>
  <si>
    <t>0.2596650699708746</t>
  </si>
  <si>
    <t>0.6151691442811361</t>
  </si>
  <si>
    <t>-1.018271142354085</t>
  </si>
  <si>
    <t>1.02133328002597</t>
  </si>
  <si>
    <t>-1.6571030798587156</t>
  </si>
  <si>
    <t>-1.7247657110581744</t>
  </si>
  <si>
    <t>0.22972560541125475</t>
  </si>
  <si>
    <t>-1.1584697365468741</t>
  </si>
  <si>
    <t>1.7754980482327718</t>
  </si>
  <si>
    <t>-0.2964409743081844</t>
  </si>
  <si>
    <t>0.9462622103633147</t>
  </si>
  <si>
    <t>0.0926721234818843</t>
  </si>
  <si>
    <t>0.13711242946431848</t>
  </si>
  <si>
    <t>-0.17933572522121285</t>
  </si>
  <si>
    <t>-0.2940616498737205</t>
  </si>
  <si>
    <t>0.08658167672517147</t>
  </si>
  <si>
    <t>0.5259400531411246</t>
  </si>
  <si>
    <t>-0.11695200413627656</t>
  </si>
  <si>
    <t>0.6419226484281834</t>
  </si>
  <si>
    <t>-1.1503476298928286</t>
  </si>
  <si>
    <t>-1.5358429897895596</t>
  </si>
  <si>
    <t>1.4485659304723273</t>
  </si>
  <si>
    <t>0.18843020643533953</t>
  </si>
  <si>
    <t>1.4020742502016226</t>
  </si>
  <si>
    <t>-1.4985930075104212</t>
  </si>
  <si>
    <t>0.49276979721890374</t>
  </si>
  <si>
    <t>-0.7204064197907023</t>
  </si>
  <si>
    <t>-0.39808799328104005</t>
  </si>
  <si>
    <t>-0.0776923963998015</t>
  </si>
  <si>
    <t>-2.5971802551188135</t>
  </si>
  <si>
    <t>0.7965825079021959</t>
  </si>
  <si>
    <t>-0.8484408995257658</t>
  </si>
  <si>
    <t>0.4717784839678035</t>
  </si>
  <si>
    <t>0.8803271488174936</t>
  </si>
  <si>
    <t>0.9720481444231195</t>
  </si>
  <si>
    <t>1.120916797607453</t>
  </si>
  <si>
    <t>-0.9699880926352665</t>
  </si>
  <si>
    <t>0.6050865751890336</t>
  </si>
  <si>
    <t>-0.08746524941533129</t>
  </si>
  <si>
    <t>-0.5741868597552406</t>
  </si>
  <si>
    <t>-1.3674095126844579</t>
  </si>
  <si>
    <t>0.1664479872236496</t>
  </si>
  <si>
    <t>-0.3059623289444179</t>
  </si>
  <si>
    <t>0.8988326209107391</t>
  </si>
  <si>
    <t>0.5980161461716684</t>
  </si>
  <si>
    <t>-0.39460827193183945</t>
  </si>
  <si>
    <t>0.5925871800515081</t>
  </si>
  <si>
    <t>0.16751066407298731</t>
  </si>
  <si>
    <t>0.37959723321565114</t>
  </si>
  <si>
    <t>-0.7907479151747773</t>
  </si>
  <si>
    <t>-0.8757704619784368</t>
  </si>
  <si>
    <t>-0.8813565725484038</t>
  </si>
  <si>
    <t>1.9486099794469403</t>
  </si>
  <si>
    <t>-0.5025609091924896</t>
  </si>
  <si>
    <t>0.3300217053237949</t>
  </si>
  <si>
    <t>-1.2571715312483691</t>
  </si>
  <si>
    <t>0.7984337216475613</t>
  </si>
  <si>
    <t>-0.787392092395126</t>
  </si>
  <si>
    <t>0.431989604623606</t>
  </si>
  <si>
    <t>0.04750682854658794</t>
  </si>
  <si>
    <t>1.1478790779159358</t>
  </si>
  <si>
    <t>-0.6269135748927227</t>
  </si>
  <si>
    <t>0.4636441307051721</t>
  </si>
  <si>
    <t>0.3386653415538151</t>
  </si>
  <si>
    <t>0.3134303341923058</t>
  </si>
  <si>
    <t>-0.5555322722830495</t>
  </si>
  <si>
    <t>-0.6724452429549838</t>
  </si>
  <si>
    <t>0.09058625902157251</t>
  </si>
  <si>
    <t>-1.050973460822198</t>
  </si>
  <si>
    <t>0.7375512338206183</t>
  </si>
  <si>
    <t>-0.52898072870032</t>
  </si>
  <si>
    <t>-0.32947521974123756</t>
  </si>
  <si>
    <t>0.3999585835263089</t>
  </si>
  <si>
    <t>-0.43025503895644013</t>
  </si>
  <si>
    <t>0.9485235293860449</t>
  </si>
  <si>
    <t>-0.54710796228482</t>
  </si>
  <si>
    <t>-1.4118567363532015</t>
  </si>
  <si>
    <t>-0.7131847777154015</t>
  </si>
  <si>
    <t>-0.3168642722117302</t>
  </si>
  <si>
    <t>-0.37241305798820334</t>
  </si>
  <si>
    <t>2.2879572752486292</t>
  </si>
  <si>
    <t>-0.4535413829392719</t>
  </si>
  <si>
    <t>0.2891839717637227</t>
  </si>
  <si>
    <t>-0.6343567212497261</t>
  </si>
  <si>
    <t>0.46620280422141275</t>
  </si>
  <si>
    <t>1.0286820964130472</t>
  </si>
  <si>
    <t>-0.2361804790676927</t>
  </si>
  <si>
    <t>0.20467020779152817</t>
  </si>
  <si>
    <t>-0.5656162351938613</t>
  </si>
  <si>
    <t>-0.9015424173479676</t>
  </si>
  <si>
    <t>0.941088808507265</t>
  </si>
  <si>
    <t>0.7205281859451712</t>
  </si>
  <si>
    <t>0.00949100141513037</t>
  </si>
  <si>
    <t>-1.2631329396278907</t>
  </si>
  <si>
    <t>-0.4228671886617032</t>
  </si>
  <si>
    <t>0.7872088962699145</t>
  </si>
  <si>
    <t>-0.15092235854297262</t>
  </si>
  <si>
    <t>-0.404748112201809</t>
  </si>
  <si>
    <t>-0.023648945138848996</t>
  </si>
  <si>
    <t>-0.11451200409617734</t>
  </si>
  <si>
    <t>-0.3038323897208717</t>
  </si>
  <si>
    <t>1.6163612899800288</t>
  </si>
  <si>
    <t>0.2572968127529955</t>
  </si>
  <si>
    <t>-1.030293801599479</t>
  </si>
  <si>
    <t>-0.7329667665717581</t>
  </si>
  <si>
    <t>0.8847226115179</t>
  </si>
  <si>
    <t>-0.2220309738081417</t>
  </si>
  <si>
    <t>0.6717913008394134</t>
  </si>
  <si>
    <t>1.7200849478749867</t>
  </si>
  <si>
    <t>1.2139997363024295</t>
  </si>
  <si>
    <t>0.7704463117178478</t>
  </si>
  <si>
    <t>0.11358981511078013</t>
  </si>
  <si>
    <t>-1.4711330752152363</t>
  </si>
  <si>
    <t>-0.5035778954177313</t>
  </si>
  <si>
    <t>0.6915913216238594</t>
  </si>
  <si>
    <t>1.5456017332691976</t>
  </si>
  <si>
    <t>-0.20038836448664255</t>
  </si>
  <si>
    <t>-1.6131849961456293</t>
  </si>
  <si>
    <t>-0.7090156345152041</t>
  </si>
  <si>
    <t>-0.8242653376766873</t>
  </si>
  <si>
    <t>-0.44314534555040413</t>
  </si>
  <si>
    <t>-0.4012180154193387</t>
  </si>
  <si>
    <t>0.427161099448529</t>
  </si>
  <si>
    <t>0.5706190400696973</t>
  </si>
  <si>
    <t>0.6203630599330792</t>
  </si>
  <si>
    <t>1.887972623869895</t>
  </si>
  <si>
    <t>0.04077864886295318</t>
  </si>
  <si>
    <t>0.759439698003116</t>
  </si>
  <si>
    <t>-0.9955951526179524</t>
  </si>
  <si>
    <t>-0.4210554113176099</t>
  </si>
  <si>
    <t>0.529124770203065</t>
  </si>
  <si>
    <t>1.2710303937458116</t>
  </si>
  <si>
    <t>0.32683950138863327</t>
  </si>
  <si>
    <t>0.180934696041974</t>
  </si>
  <si>
    <t>-1.0115887310713254</t>
  </si>
  <si>
    <t>0.6968230026130812</t>
  </si>
  <si>
    <t>1.6809675889583502</t>
  </si>
  <si>
    <t>0.8378083047449735</t>
  </si>
  <si>
    <t>-1.8709983962049967</t>
  </si>
  <si>
    <t>-0.9075495333752674</t>
  </si>
  <si>
    <t>1.4939856063039787</t>
  </si>
  <si>
    <t>0.03003261551335743</t>
  </si>
  <si>
    <t>0.5913384420283563</t>
  </si>
  <si>
    <t>-0.5927917198346012</t>
  </si>
  <si>
    <t>0.6119035213509498</t>
  </si>
  <si>
    <t>2.29387930408771</t>
  </si>
  <si>
    <t>-0.5694449758580425</t>
  </si>
  <si>
    <t>-1.2324485940449823</t>
  </si>
  <si>
    <t>-0.2273316490447058</t>
  </si>
  <si>
    <t>-0.366445694110617</t>
  </si>
  <si>
    <t>-0.6788805947639135</t>
  </si>
  <si>
    <t>-0.16840009952353693</t>
  </si>
  <si>
    <t>0.45811174212244754</t>
  </si>
  <si>
    <t>-0.12894269149776638</t>
  </si>
  <si>
    <t>0.11193864096935481</t>
  </si>
  <si>
    <t>0.11993955094153023</t>
  </si>
  <si>
    <t>-0.7769735980193181</t>
  </si>
  <si>
    <t>0.19534435786048</t>
  </si>
  <si>
    <t>-0.1639977180847559</t>
  </si>
  <si>
    <t>0.0257846805905229</t>
  </si>
  <si>
    <t>-0.4693713938988574</t>
  </si>
  <si>
    <t>-0.15423384804434795</t>
  </si>
  <si>
    <t>-1.0125501787155111</t>
  </si>
  <si>
    <t>-0.40464451679437996</t>
  </si>
  <si>
    <t>0.46775256139074656</t>
  </si>
  <si>
    <t>-0.12947040130695436</t>
  </si>
  <si>
    <t>0.025246122480443164</t>
  </si>
  <si>
    <t>1.105783913619592</t>
  </si>
  <si>
    <t>0.5134947820732796</t>
  </si>
  <si>
    <t>-0.20373188050059565</t>
  </si>
  <si>
    <t>-0.13029715365062391</t>
  </si>
  <si>
    <t>0.4074160744305364</t>
  </si>
  <si>
    <t>-0.15446567513413212</t>
  </si>
  <si>
    <t>0.7568365993464917</t>
  </si>
  <si>
    <t>-0.72169514938424</t>
  </si>
  <si>
    <t>0.49318466223199986</t>
  </si>
  <si>
    <t>-0.14813622240569102</t>
  </si>
  <si>
    <t>-0.21590516795521902</t>
  </si>
  <si>
    <t>0.026545511143735098</t>
  </si>
  <si>
    <t>-0.45381217855421246</t>
  </si>
  <si>
    <t>-0.3270683489190225</t>
  </si>
  <si>
    <t>0.2641397425167255</t>
  </si>
  <si>
    <t>0.9207764464338658</t>
  </si>
  <si>
    <t>-0.4894843578399596</t>
  </si>
  <si>
    <t>0.23497345902599504</t>
  </si>
  <si>
    <t>-0.13707081984102182</t>
  </si>
  <si>
    <t>-0.5515348259492131</t>
  </si>
  <si>
    <t>-0.17471123946830902</t>
  </si>
  <si>
    <t>-0.1517785090583237</t>
  </si>
  <si>
    <t>-0.9549964372506474</t>
  </si>
  <si>
    <t>-0.5924067633503227</t>
  </si>
  <si>
    <t>-0.017999934824594374</t>
  </si>
  <si>
    <t>-0.5613274820016376</t>
  </si>
  <si>
    <t>-0.8753827014748305</t>
  </si>
  <si>
    <t>0.15053003659444197</t>
  </si>
  <si>
    <t>-0.1364103688204966</t>
  </si>
  <si>
    <t>-0.009349838493672701</t>
  </si>
  <si>
    <t>0.4897655604515515</t>
  </si>
  <si>
    <t>-0.2534740512366168</t>
  </si>
  <si>
    <t>-0.07845108335385503</t>
  </si>
  <si>
    <t>0.5415327789950329</t>
  </si>
  <si>
    <t>-0.18396515864500074</t>
  </si>
  <si>
    <t>0.23887362329150708</t>
  </si>
  <si>
    <t>-0.24293383326309068</t>
  </si>
  <si>
    <t>-0.3974556416176647</t>
  </si>
  <si>
    <t>0.5665063254853722</t>
  </si>
  <si>
    <t>0.14736819534981419</t>
  </si>
  <si>
    <t>-0.4770265430642534</t>
  </si>
  <si>
    <t>-0.8938018110829338</t>
  </si>
  <si>
    <t>-0.504998784995072</t>
  </si>
  <si>
    <t>-0.3436970838004176</t>
  </si>
  <si>
    <t>-0.6848573073883102</t>
  </si>
  <si>
    <t>0.8741613742092895</t>
  </si>
  <si>
    <t>0.05412145718188167</t>
  </si>
  <si>
    <t>-0.06974428663582179</t>
  </si>
  <si>
    <t>-0.6583725012595251</t>
  </si>
  <si>
    <t>0.10732329258158138</t>
  </si>
  <si>
    <t>-0.20290682039351288</t>
  </si>
  <si>
    <t>0.4330524376798537</t>
  </si>
  <si>
    <t>0.49319844070950153</t>
  </si>
  <si>
    <t>-0.28663718528707827</t>
  </si>
  <si>
    <t>0.3684427718500947</t>
  </si>
  <si>
    <t>1.3064796103021301</t>
  </si>
  <si>
    <t>-0.27760764732019894</t>
  </si>
  <si>
    <t>0.3268075966628668</t>
  </si>
  <si>
    <t>0.9034872416220873</t>
  </si>
  <si>
    <t>0.026499888849795303</t>
  </si>
  <si>
    <t>-0.13227217100214397</t>
  </si>
  <si>
    <t>0.5775693889297104</t>
  </si>
  <si>
    <t>-0.4777710335635995</t>
  </si>
  <si>
    <t>0.43093053554641236</t>
  </si>
  <si>
    <t>0.021361573389791007</t>
  </si>
  <si>
    <t>-0.7288645953020536</t>
  </si>
  <si>
    <t>0.13110026780169268</t>
  </si>
  <si>
    <t>-1.059059669602862</t>
  </si>
  <si>
    <t>-0.9002495696195946</t>
  </si>
  <si>
    <t>-0.5111232471756084</t>
  </si>
  <si>
    <t>-0.9386180189245266</t>
  </si>
  <si>
    <t>0.6256488515157559</t>
  </si>
  <si>
    <t>0.06070268839569232</t>
  </si>
  <si>
    <t>0.12236619441929904</t>
  </si>
  <si>
    <t>0.4367714875931046</t>
  </si>
  <si>
    <t>-0.45706771216082304</t>
  </si>
  <si>
    <t>-0.5379323929142719</t>
  </si>
  <si>
    <t>0.8371445545053267</t>
  </si>
  <si>
    <t>0.5312514992624922</t>
  </si>
  <si>
    <t>-0.4250094030509385</t>
  </si>
  <si>
    <t>0.07716197249023844</t>
  </si>
  <si>
    <t>-0.16548835694441735</t>
  </si>
  <si>
    <t>-0.300756167410253</t>
  </si>
  <si>
    <t>-0.4311890224156874</t>
  </si>
  <si>
    <t>0.4276895757987765</t>
  </si>
  <si>
    <t>-0.3191459183525128</t>
  </si>
  <si>
    <t>-0.3225515666154825</t>
  </si>
  <si>
    <t>0.4527480703822062</t>
  </si>
  <si>
    <t>-0.8746489072822422</t>
  </si>
  <si>
    <t>0.30400596284543746</t>
  </si>
  <si>
    <t>-0.36821029035559216</t>
  </si>
  <si>
    <t>-1.1658631001363404</t>
  </si>
  <si>
    <t>-0.6416867746938603</t>
  </si>
  <si>
    <t>1.3419346244764565</t>
  </si>
  <si>
    <t>-0.3995088281653458</t>
  </si>
  <si>
    <t>-0.0875372627470536</t>
  </si>
  <si>
    <t>-0.25692064042872476</t>
  </si>
  <si>
    <t>0.47278175057120997</t>
  </si>
  <si>
    <t>0.5713565371119153</t>
  </si>
  <si>
    <t>-0.51094203307829</t>
  </si>
  <si>
    <t>-0.4039486413104551</t>
  </si>
  <si>
    <t>0.027859051640980095</t>
  </si>
  <si>
    <t>-0.5054763619323611</t>
  </si>
  <si>
    <t>0.03866511604008517</t>
  </si>
  <si>
    <t>-0.23379176422708306</t>
  </si>
  <si>
    <t>0.1799101553900738</t>
  </si>
  <si>
    <t>-0.842762502966687</t>
  </si>
  <si>
    <t>-0.8145275247190913</t>
  </si>
  <si>
    <t>0.07524328343608858</t>
  </si>
  <si>
    <t>-0.08025555010845123</t>
  </si>
  <si>
    <t>0.07027988618589001</t>
  </si>
  <si>
    <t>0.6795653380082409</t>
  </si>
  <si>
    <t>0.26008885212321114</t>
  </si>
  <si>
    <t>-0.3784304607289624</t>
  </si>
  <si>
    <t>0.2920732395077967</t>
  </si>
  <si>
    <t>0.15320964024291614</t>
  </si>
  <si>
    <t>-0.4423097506547933</t>
  </si>
  <si>
    <t>0.07280257725860245</t>
  </si>
  <si>
    <t>0.3951769691660116</t>
  </si>
  <si>
    <t>1.181639908408179</t>
  </si>
  <si>
    <t>-0.21211649080067285</t>
  </si>
  <si>
    <t>-0.34206854507617596</t>
  </si>
  <si>
    <t>0.010568490359725222</t>
  </si>
  <si>
    <t>-0.4505363029484861</t>
  </si>
  <si>
    <t>-0.19797601806003914</t>
  </si>
  <si>
    <t>-0.19702389834652062</t>
  </si>
  <si>
    <t>-0.10588965266418636</t>
  </si>
  <si>
    <t>0.3739425479677718</t>
  </si>
  <si>
    <t>0.14063267522506304</t>
  </si>
  <si>
    <t>0.12918149099396978</t>
  </si>
  <si>
    <t>-0.4476870885369512</t>
  </si>
  <si>
    <t>0.059365578604862676</t>
  </si>
  <si>
    <t>-0.29447557448755907</t>
  </si>
  <si>
    <t>-0.06854132415008057</t>
  </si>
  <si>
    <t>-0.041559580950064824</t>
  </si>
  <si>
    <t>-0.06634873971185046</t>
  </si>
  <si>
    <t>0.004605676712255998</t>
  </si>
  <si>
    <t>0.910866031028521</t>
  </si>
  <si>
    <t>-0.3797966929099938</t>
  </si>
  <si>
    <t>-1.1335864286197377</t>
  </si>
  <si>
    <t>0.3082589640269509</t>
  </si>
  <si>
    <t>-0.7950431006420282</t>
  </si>
  <si>
    <t>0.545583365217505</t>
  </si>
  <si>
    <t>-0.020280401820451065</t>
  </si>
  <si>
    <t>1.3595778357867703</t>
  </si>
  <si>
    <t>0.984115257136566</t>
  </si>
  <si>
    <t>-0.45867360814803443</t>
  </si>
  <si>
    <t>0.05965990380400714</t>
  </si>
  <si>
    <t>-0.048781758934908964</t>
  </si>
  <si>
    <t>-0.38853507806836535</t>
  </si>
  <si>
    <t>0.7138818906202848</t>
  </si>
  <si>
    <t>0.9259657043605455</t>
  </si>
  <si>
    <t>-0.6427490396339769</t>
  </si>
  <si>
    <t>-1.2424394806539094</t>
  </si>
  <si>
    <t>-0.4740697768157392</t>
  </si>
  <si>
    <t>0.25891138978867845</t>
  </si>
  <si>
    <t>1.617628842321207</t>
  </si>
  <si>
    <t>-0.5435446192842449</t>
  </si>
  <si>
    <t>0.3122344168551714</t>
  </si>
  <si>
    <t>-0.1041757286939446</t>
  </si>
  <si>
    <t>0.7103579496311931</t>
  </si>
  <si>
    <t>0.1260572777531742</t>
  </si>
  <si>
    <t>0.18566562206484682</t>
  </si>
  <si>
    <t>0.1621247376573922</t>
  </si>
  <si>
    <t>-0.473177985711299</t>
  </si>
  <si>
    <t>0.3193500277355304</t>
  </si>
  <si>
    <t>-0.5571903223682108</t>
  </si>
  <si>
    <t>-0.2729518871086397</t>
  </si>
  <si>
    <t>0.2357699821161263</t>
  </si>
  <si>
    <t>-0.20630412965143033</t>
  </si>
  <si>
    <t>-0.1388272081065298</t>
  </si>
  <si>
    <t>0.7017204519236978</t>
  </si>
  <si>
    <t>0.05936226230775945</t>
  </si>
  <si>
    <t>-0.5058712699703004</t>
  </si>
  <si>
    <t>-0.29726857904320625</t>
  </si>
  <si>
    <t>-0.22095590103978952</t>
  </si>
  <si>
    <t>-0.19135667966926231</t>
  </si>
  <si>
    <t>-0.40153727610824275</t>
  </si>
  <si>
    <t>0.9412119523084975</t>
  </si>
  <si>
    <t>-0.42488398198554583</t>
  </si>
  <si>
    <t>-0.4673352740733398</t>
  </si>
  <si>
    <t>1.3471090755364645</t>
  </si>
  <si>
    <t>0.39990003743788055</t>
  </si>
  <si>
    <t>0.6923565997210146</t>
  </si>
  <si>
    <t>0.17441861695676164</t>
  </si>
  <si>
    <t>-0.9076087564320461</t>
  </si>
  <si>
    <t>-0.00905515631316741</t>
  </si>
  <si>
    <t>0.050966520985682634</t>
  </si>
  <si>
    <t>-0.54823336965955</t>
  </si>
  <si>
    <t>-0.2895049565726781</t>
  </si>
  <si>
    <t>0.41110279119939686</t>
  </si>
  <si>
    <t>-0.39924142142791524</t>
  </si>
  <si>
    <t>0.7233974472374638</t>
  </si>
  <si>
    <t>-0.28671305727055285</t>
  </si>
  <si>
    <t>1.1270041388356804</t>
  </si>
  <si>
    <t>0.6647102348075138</t>
  </si>
  <si>
    <t>-0.7688710489319945</t>
  </si>
  <si>
    <t>0.46784606983598115</t>
  </si>
  <si>
    <t>0.6586143337237218</t>
  </si>
  <si>
    <t>-0.7425893383911509</t>
  </si>
  <si>
    <t>0.08600038367488402</t>
  </si>
  <si>
    <t>0.28425194494258876</t>
  </si>
  <si>
    <t>-0.35140473424824553</t>
  </si>
  <si>
    <t>-0.33112268190360045</t>
  </si>
  <si>
    <t>-0.2581959583505034</t>
  </si>
  <si>
    <t>-0.41846137404344275</t>
  </si>
  <si>
    <t>0.47827853058984743</t>
  </si>
  <si>
    <t>-0.0568011908660253</t>
  </si>
  <si>
    <t>-0.2044168213471973</t>
  </si>
  <si>
    <t>-0.4019775404753797</t>
  </si>
  <si>
    <t>-0.00785728966913967</t>
  </si>
  <si>
    <t>0.6008673768896616</t>
  </si>
  <si>
    <t>-1.1152344264028262</t>
  </si>
  <si>
    <t>0.1723043093797763</t>
  </si>
  <si>
    <t>-0.4966624386727652</t>
  </si>
  <si>
    <t>-0.3121294788270468</t>
  </si>
  <si>
    <t>0.027431641382544676</t>
  </si>
  <si>
    <t>-0.01581039747748225</t>
  </si>
  <si>
    <t>0.21352083253280063</t>
  </si>
  <si>
    <t>-0.5160668602323334</t>
  </si>
  <si>
    <t>-0.5060631734214291</t>
  </si>
  <si>
    <t>-0.024339218757067058</t>
  </si>
  <si>
    <t>-0.3651781836220577</t>
  </si>
  <si>
    <t>0.5092338886329553</t>
  </si>
  <si>
    <t>0.11363408722304272</t>
  </si>
  <si>
    <t>0.5292049601771285</t>
  </si>
  <si>
    <t>-0.8434966168510192</t>
  </si>
  <si>
    <t>-0.0841572068944129</t>
  </si>
  <si>
    <t>0.27310351871782984</t>
  </si>
  <si>
    <t>0.2032660982763334</t>
  </si>
  <si>
    <t>-0.954776408517929</t>
  </si>
  <si>
    <t>-0.006173250043179922</t>
  </si>
  <si>
    <t>-0.34070314048066197</t>
  </si>
  <si>
    <t>0.2737615361774178</t>
  </si>
  <si>
    <t>0.5300198785171929</t>
  </si>
  <si>
    <t>0.8669303658069244</t>
  </si>
  <si>
    <t>0.33267815206990087</t>
  </si>
  <si>
    <t>-0.055317322709391194</t>
  </si>
  <si>
    <t>-0.48736623606111973</t>
  </si>
  <si>
    <t>0.648568246761297</t>
  </si>
  <si>
    <t>0.5529029488743872</t>
  </si>
  <si>
    <t>0.6981192044799468</t>
  </si>
  <si>
    <t>0.2849073656607114</t>
  </si>
  <si>
    <t>-0.7783076904126126</t>
  </si>
  <si>
    <t>0.5137579298853551</t>
  </si>
  <si>
    <t>-0.5966452657338859</t>
  </si>
  <si>
    <t>0.5198766861979017</t>
  </si>
  <si>
    <t>-0.0038723670482061884</t>
  </si>
  <si>
    <t>-0.007395088170515543</t>
  </si>
  <si>
    <t>0.7666731467290099</t>
  </si>
  <si>
    <t>-0.08414636914826265</t>
  </si>
  <si>
    <t>-0.08308743691560218</t>
  </si>
  <si>
    <t>0.42412412051563514</t>
  </si>
  <si>
    <t>0.48453069711454383</t>
  </si>
  <si>
    <t>0.38584404867617655</t>
  </si>
  <si>
    <t>-0.20840923102004635</t>
  </si>
  <si>
    <t>-0.38036952484115666</t>
  </si>
  <si>
    <t>-1.3421397450387145</t>
  </si>
  <si>
    <t>0.13094784824394665</t>
  </si>
  <si>
    <t>0.6628605250670009</t>
  </si>
  <si>
    <t>-0.8058471062142756</t>
  </si>
  <si>
    <t>-0.2402659691022389</t>
  </si>
  <si>
    <t>-0.36756919399015314</t>
  </si>
  <si>
    <t>-0.22385260905187135</t>
  </si>
  <si>
    <t>-0.21142290982050155</t>
  </si>
  <si>
    <t>-0.5157488109432672</t>
  </si>
  <si>
    <t>0.18413770757025905</t>
  </si>
  <si>
    <t>-0.2867950453725649</t>
  </si>
  <si>
    <t>-0.5783331669536314</t>
  </si>
  <si>
    <t>0.4504295611623733</t>
  </si>
  <si>
    <t>-0.3182985481125907</t>
  </si>
  <si>
    <t>-1.0539246790774173</t>
  </si>
  <si>
    <t>0.056646977728815565</t>
  </si>
  <si>
    <t>-0.5525346817854344</t>
  </si>
  <si>
    <t>0.22379868048098794</t>
  </si>
  <si>
    <t>0.8002588009369651</t>
  </si>
  <si>
    <t>-0.12666916278644558</t>
  </si>
  <si>
    <t>0.8147419503453227</t>
  </si>
  <si>
    <t>-0.12127494707417184</t>
  </si>
  <si>
    <t>0.6789120898661617</t>
  </si>
  <si>
    <t>-0.222506291185768</t>
  </si>
  <si>
    <t>0.13357548521951396</t>
  </si>
  <si>
    <t>-0.23116452979571997</t>
  </si>
  <si>
    <t>1.3046254212711015</t>
  </si>
  <si>
    <t>-0.4828866630861479</t>
  </si>
  <si>
    <t>0.8422262696057898</t>
  </si>
  <si>
    <t>-0.10218943562002802</t>
  </si>
  <si>
    <t>1.2492599020129307</t>
  </si>
  <si>
    <t>-0.19156482308457676</t>
  </si>
  <si>
    <t>-0.4757086665757909</t>
  </si>
  <si>
    <t>0.8725115894702653</t>
  </si>
  <si>
    <t>-1.5822906704854802</t>
  </si>
  <si>
    <t>-1.0161304026089943</t>
  </si>
  <si>
    <t>0.2463500988776362</t>
  </si>
  <si>
    <t>-0.7040821880714637</t>
  </si>
  <si>
    <t>-0.718815083255825</t>
  </si>
  <si>
    <t>-0.006994855639005219</t>
  </si>
  <si>
    <t>-0.39788659633220463</t>
  </si>
  <si>
    <t>1.1700995285171851</t>
  </si>
  <si>
    <t>-0.19863576861931218</t>
  </si>
  <si>
    <t>0.08399026870267823</t>
  </si>
  <si>
    <t>-0.39908974018585097</t>
  </si>
  <si>
    <t>-0.12714894606133315</t>
  </si>
  <si>
    <t>0.4764019554386189</t>
  </si>
  <si>
    <t>-0.1325492304084581</t>
  </si>
  <si>
    <t>-0.3461409308821228</t>
  </si>
  <si>
    <t>0.20409132142340342</t>
  </si>
  <si>
    <t>0.033074646503173856</t>
  </si>
  <si>
    <t>1.1095582176839232</t>
  </si>
  <si>
    <t>-0.3586499399175935</t>
  </si>
  <si>
    <t>0.7371499604328432</t>
  </si>
  <si>
    <t>-0.39825867312111984</t>
  </si>
  <si>
    <t>0.11409874777751236</t>
  </si>
  <si>
    <t>0.15171041804875407</t>
  </si>
  <si>
    <t>-1.1579848729335025</t>
  </si>
  <si>
    <t>0.6107668317151451</t>
  </si>
  <si>
    <t>-0.23961213299172585</t>
  </si>
  <si>
    <t>1.0844574082606189</t>
  </si>
  <si>
    <t>-0.22724704480221095</t>
  </si>
  <si>
    <t>-0.04356773881006504</t>
  </si>
  <si>
    <t>-1.0622118499775057</t>
  </si>
  <si>
    <t>-0.8347239125160514</t>
  </si>
  <si>
    <t>-0.6417734033671147</t>
  </si>
  <si>
    <t>0.0684565046482934</t>
  </si>
  <si>
    <t>1.2000854070171287</t>
  </si>
  <si>
    <t>-0.5328382273608239</t>
  </si>
  <si>
    <t>0.4812446724290717</t>
  </si>
  <si>
    <t>-0.12008978237200715</t>
  </si>
  <si>
    <t>1.0454206590576123</t>
  </si>
  <si>
    <t>-0.9138286449718561</t>
  </si>
  <si>
    <t>-0.3625247906507567</t>
  </si>
  <si>
    <t>0.08939138116940779</t>
  </si>
  <si>
    <t>-0.8144330335597556</t>
  </si>
  <si>
    <t>0.40044421596904706</t>
  </si>
  <si>
    <t>-0.18088144402974132</t>
  </si>
  <si>
    <t>0.24685208816355553</t>
  </si>
  <si>
    <t>-0.06177077107434671</t>
  </si>
  <si>
    <t>-0.8869126791839125</t>
  </si>
  <si>
    <t>-0.4302628829700267</t>
  </si>
  <si>
    <t>-0.04912125557378742</t>
  </si>
  <si>
    <t>0.21184631590907058</t>
  </si>
  <si>
    <t>-0.09942192148078224</t>
  </si>
  <si>
    <t>0.2952835331002656</t>
  </si>
  <si>
    <t>-0.42461328627255895</t>
  </si>
  <si>
    <t>-0.24360237492144857</t>
  </si>
  <si>
    <t>0.26030663113863256</t>
  </si>
  <si>
    <t>0.26866083434682225</t>
  </si>
  <si>
    <t>-2.065268726320731</t>
  </si>
  <si>
    <t>0.9839194733442166</t>
  </si>
  <si>
    <t>0.26659855428615553</t>
  </si>
  <si>
    <t>0.1458097453687245</t>
  </si>
  <si>
    <t>-0.7393024050950207</t>
  </si>
  <si>
    <t>0.6965487648103219</t>
  </si>
  <si>
    <t>0.03518207085342126</t>
  </si>
  <si>
    <t>-0.1456534405766028</t>
  </si>
  <si>
    <t>0.09834024183724688</t>
  </si>
  <si>
    <t>0.49731950650858026</t>
  </si>
  <si>
    <t>0.08401925632294048</t>
  </si>
  <si>
    <t>-0.7639917816254069</t>
  </si>
  <si>
    <t>-0.6245832568533717</t>
  </si>
  <si>
    <t>0.09130133458195304</t>
  </si>
  <si>
    <t>1.0189473335960022</t>
  </si>
  <si>
    <t>0.028070596274340203</t>
  </si>
  <si>
    <t>0.3639438570795989</t>
  </si>
  <si>
    <t>-0.2468659041485066</t>
  </si>
  <si>
    <t>-0.31550261723746387</t>
  </si>
  <si>
    <t>-0.5040543402239632</t>
  </si>
  <si>
    <t>-0.20896059844670747</t>
  </si>
  <si>
    <t>0.20436296711033383</t>
  </si>
  <si>
    <t>-0.34141045685107035</t>
  </si>
  <si>
    <t>-0.13399227212985348</t>
  </si>
  <si>
    <t>0.6199426843483815</t>
  </si>
  <si>
    <t>-0.6545785960101054</t>
  </si>
  <si>
    <t>0.19536046915644018</t>
  </si>
  <si>
    <t>-0.11120453060001309</t>
  </si>
  <si>
    <t>1.2630193006335462</t>
  </si>
  <si>
    <t>1.1208083530514081</t>
  </si>
  <si>
    <t>0.48659519331692186</t>
  </si>
  <si>
    <t>-0.6818737944931652</t>
  </si>
  <si>
    <t>0.3004421153034599</t>
  </si>
  <si>
    <t>0.3096832483076069</t>
  </si>
  <si>
    <t>0.01234724738434237</t>
  </si>
  <si>
    <t>0.4988127268848643</t>
  </si>
  <si>
    <t>-0.6012734882970063</t>
  </si>
  <si>
    <t>0.3626469196204167</t>
  </si>
  <si>
    <t>0.4975969036052989</t>
  </si>
  <si>
    <t>-0.11629443610262492</t>
  </si>
  <si>
    <t>0.2974073503926708</t>
  </si>
  <si>
    <t>-0.3466202733164847</t>
  </si>
  <si>
    <t>0.17587882763630097</t>
  </si>
  <si>
    <t>0.7517118313111012</t>
  </si>
  <si>
    <t>0.04197552261436055</t>
  </si>
  <si>
    <t>0.2864344297045554</t>
  </si>
  <si>
    <t>0.0977238786984415</t>
  </si>
  <si>
    <t>0.20192757975781633</t>
  </si>
  <si>
    <t>-0.3087048316222217</t>
  </si>
  <si>
    <t>-0.2410501627926564</t>
  </si>
  <si>
    <t>0.36001305879827783</t>
  </si>
  <si>
    <t>-0.5841878786184918</t>
  </si>
  <si>
    <t>0.34974705375566534</t>
  </si>
  <si>
    <t>0.13051480903217155</t>
  </si>
  <si>
    <t>0.3569470343062778</t>
  </si>
  <si>
    <t>-0.1351204385391924</t>
  </si>
  <si>
    <t>-0.7443937622010268</t>
  </si>
  <si>
    <t>-0.2083384964969805</t>
  </si>
  <si>
    <t>-0.26161808573497414</t>
  </si>
  <si>
    <t>0.22447766058359986</t>
  </si>
  <si>
    <t>-0.053267678829354174</t>
  </si>
  <si>
    <t>-0.4081213621561905</t>
  </si>
  <si>
    <t>-0.14368590398733655</t>
  </si>
  <si>
    <t>0.08411441626531836</t>
  </si>
  <si>
    <t>0.4235320816763763</t>
  </si>
  <si>
    <t>0.11202500480360934</t>
  </si>
  <si>
    <t>0.2583054671970804</t>
  </si>
  <si>
    <t>-0.03439009710360277</t>
  </si>
  <si>
    <t>-0.9902197641948632</t>
  </si>
  <si>
    <t>-0.23823934126580265</t>
  </si>
  <si>
    <t>0.185265626894967</t>
  </si>
  <si>
    <t>0.6179384258429271</t>
  </si>
  <si>
    <t>-0.2477800223989776</t>
  </si>
  <si>
    <t>-0.7500800945515557</t>
  </si>
  <si>
    <t>0.625587125237811</t>
  </si>
  <si>
    <t>0.36923001287531776</t>
  </si>
  <si>
    <t>-0.1507540674904149</t>
  </si>
  <si>
    <t>0.2935479486782545</t>
  </si>
  <si>
    <t>0.3164050080819517</t>
  </si>
  <si>
    <t>-0.6664813819827778</t>
  </si>
  <si>
    <t>0.2522573288394794</t>
  </si>
  <si>
    <t>-0.2812439102403796</t>
  </si>
  <si>
    <t>0.0700420344238296</t>
  </si>
  <si>
    <t>-0.1743135163575405</t>
  </si>
  <si>
    <t>-0.08687925933499079</t>
  </si>
  <si>
    <t>0.8385367747768836</t>
  </si>
  <si>
    <t>0.3447076801522563</t>
  </si>
  <si>
    <t>-0.2705274815801614</t>
  </si>
  <si>
    <t>0.015123477708478949</t>
  </si>
  <si>
    <t>0.2513064220186639</t>
  </si>
  <si>
    <t>0.39155333434396666</t>
  </si>
  <si>
    <t>0.051245647009152046</t>
  </si>
  <si>
    <t>0.18012267170356297</t>
  </si>
  <si>
    <t>0.3488011192037446</t>
  </si>
  <si>
    <t>0.492660925962646</t>
  </si>
  <si>
    <t>-0.9540749190046013</t>
  </si>
  <si>
    <t>-0.7860836367622239</t>
  </si>
  <si>
    <t>-0.2761989882773554</t>
  </si>
  <si>
    <t>0.5932801306216313</t>
  </si>
  <si>
    <t>0.6208177020754703</t>
  </si>
  <si>
    <t>-0.20919455108913612</t>
  </si>
  <si>
    <t>-0.10789526022818391</t>
  </si>
  <si>
    <t>-0.19343726472415942</t>
  </si>
  <si>
    <t>-0.22972797221750943</t>
  </si>
  <si>
    <t>0.04488372344099865</t>
  </si>
  <si>
    <t>0.3570327621735055</t>
  </si>
  <si>
    <t>-0.030642184301367587</t>
  </si>
  <si>
    <t>0.6245356072612497</t>
  </si>
  <si>
    <t>-0.19632834914918001</t>
  </si>
  <si>
    <t>-0.6519030576828976</t>
  </si>
  <si>
    <t>-0.5091974107681573</t>
  </si>
  <si>
    <t>-0.7943227472925631</t>
  </si>
  <si>
    <t>-0.9632113670099385</t>
  </si>
  <si>
    <t>-0.08928889044169967</t>
  </si>
  <si>
    <t>-0.29806626773239203</t>
  </si>
  <si>
    <t>0.018904092905535314</t>
  </si>
  <si>
    <t>0.46147033107915686</t>
  </si>
  <si>
    <t>-0.4156876289701632</t>
  </si>
  <si>
    <t>0.06494559489452281</t>
  </si>
  <si>
    <t>-0.8065277017365137</t>
  </si>
  <si>
    <t>-0.19498471034645745</t>
  </si>
  <si>
    <t>-0.14074181679306663</t>
  </si>
  <si>
    <t>1.2640137842869708</t>
  </si>
  <si>
    <t>-0.050239546133392404</t>
  </si>
  <si>
    <t>0.2361374223460357</t>
  </si>
  <si>
    <t>-0.1450565699322854</t>
  </si>
  <si>
    <t>-0.10789174814322092</t>
  </si>
  <si>
    <t>0.1953845978528064</t>
  </si>
  <si>
    <t>0.13038008010143085</t>
  </si>
  <si>
    <t>-0.826482655301406</t>
  </si>
  <si>
    <t>-0.17700831544493006</t>
  </si>
  <si>
    <t>-0.3666551176685044</t>
  </si>
  <si>
    <t>-0.07974298274059875</t>
  </si>
  <si>
    <t>0.056684992522682595</t>
  </si>
  <si>
    <t>0.7997325506276719</t>
  </si>
  <si>
    <t>0.151896712511093</t>
  </si>
  <si>
    <t>0.2743583835182933</t>
  </si>
  <si>
    <t>-0.04348689361117791</t>
  </si>
  <si>
    <t>-0.023116066348364606</t>
  </si>
  <si>
    <t>-0.298460221472561</t>
  </si>
  <si>
    <t>-0.23832120937622375</t>
  </si>
  <si>
    <t>-0.43239549974974756</t>
  </si>
  <si>
    <t>0.055270852982982885</t>
  </si>
  <si>
    <t>0.5558651512252142</t>
  </si>
  <si>
    <t>0.016738428627826665</t>
  </si>
  <si>
    <t>-0.23830432769661586</t>
  </si>
  <si>
    <t>-0.5682352206115586</t>
  </si>
  <si>
    <t>-0.3768618479294648</t>
  </si>
  <si>
    <t>0.17747368704669306</t>
  </si>
  <si>
    <t>-0.5998347122268023</t>
  </si>
  <si>
    <t>0.8504961194885324</t>
  </si>
  <si>
    <t>-0.8650689615467395</t>
  </si>
  <si>
    <t>0.29417360550124066</t>
  </si>
  <si>
    <t>1.112322006733671</t>
  </si>
  <si>
    <t>-0.10936120018298483</t>
  </si>
  <si>
    <t>-0.212777821924885</t>
  </si>
  <si>
    <t>-0.3488702842477221</t>
  </si>
  <si>
    <t>0.3181343758483475</t>
  </si>
  <si>
    <t>-1.1011046926716683</t>
  </si>
  <si>
    <t>-0.3810629849174459</t>
  </si>
  <si>
    <t>-1.0786209510103266</t>
  </si>
  <si>
    <t>-0.38728094770417</t>
  </si>
  <si>
    <t>0.3408954395460848</t>
  </si>
  <si>
    <t>0.39572128681504193</t>
  </si>
  <si>
    <t>1.077063069495075</t>
  </si>
  <si>
    <t>0.4360008844867652</t>
  </si>
  <si>
    <t>-0.7708292895722079</t>
  </si>
  <si>
    <t>0.43856595253274727</t>
  </si>
  <si>
    <t>-0.08555493456495762</t>
  </si>
  <si>
    <t>0.18985894832728484</t>
  </si>
  <si>
    <t>-0.15657089328815282</t>
  </si>
  <si>
    <t>-0.5713051833129689</t>
  </si>
  <si>
    <t>1.3138952619292545</t>
  </si>
  <si>
    <t>-0.1037264717745899</t>
  </si>
  <si>
    <t>1.2663673741860275</t>
  </si>
  <si>
    <t>-0.254317938862795</t>
  </si>
  <si>
    <t>-1.6195684951891605</t>
  </si>
  <si>
    <t>0.8747867921948855</t>
  </si>
  <si>
    <t>0.25103579035960183</t>
  </si>
  <si>
    <t>-0.084965515826495</t>
  </si>
  <si>
    <t>0.18446615497055335</t>
  </si>
  <si>
    <t>-0.619080466663892</t>
  </si>
  <si>
    <t>0.5723313223552485</t>
  </si>
  <si>
    <t>0.14496059919678173</t>
  </si>
  <si>
    <t>0.2638481282961722</t>
  </si>
  <si>
    <t>0.40648109262746235</t>
  </si>
  <si>
    <t>0.8817222621649304</t>
  </si>
  <si>
    <t>0.15157188264347074</t>
  </si>
  <si>
    <t>0.2796619548063075</t>
  </si>
  <si>
    <t>-0.4884866737393183</t>
  </si>
  <si>
    <t>0.4130342702356025</t>
  </si>
  <si>
    <t>0.8349018949388132</t>
  </si>
  <si>
    <t>-0.20603769938166788</t>
  </si>
  <si>
    <t>0.1189735191436371</t>
  </si>
  <si>
    <t>0.06177720281665619</t>
  </si>
  <si>
    <t>0.052068877926625054</t>
  </si>
  <si>
    <t>0.4014359152962284</t>
  </si>
  <si>
    <t>-0.4550399947775108</t>
  </si>
  <si>
    <t>0.23252157677836974</t>
  </si>
  <si>
    <t>-0.1911925758584731</t>
  </si>
  <si>
    <t>0.4291673052801266</t>
  </si>
  <si>
    <t>0.3108453769476729</t>
  </si>
  <si>
    <t>-0.10090136232429915</t>
  </si>
  <si>
    <t>-0.1903164816444495</t>
  </si>
  <si>
    <t>0.023482346941558506</t>
  </si>
  <si>
    <t>-0.49475309221552394</t>
  </si>
  <si>
    <t>0.23964008039865495</t>
  </si>
  <si>
    <t>0.1708604461934584</t>
  </si>
  <si>
    <t>-0.8090415978114209</t>
  </si>
  <si>
    <t>0.45303008162046965</t>
  </si>
  <si>
    <t>1.5156920086411856</t>
  </si>
  <si>
    <t>-1.0944461640383751</t>
  </si>
  <si>
    <t>-0.42851458821570065</t>
  </si>
  <si>
    <t>0.798830769895139</t>
  </si>
  <si>
    <t>0.8505519187587589</t>
  </si>
  <si>
    <t>0.9593674711159041</t>
  </si>
  <si>
    <t>1.6237636207430266</t>
  </si>
  <si>
    <t>-0.5393836184782599</t>
  </si>
  <si>
    <t>0.10917687706633458</t>
  </si>
  <si>
    <t>-0.03861171881729791</t>
  </si>
  <si>
    <t>0.15694672990465935</t>
  </si>
  <si>
    <t>-0.8766777579707579</t>
  </si>
  <si>
    <t>-0.5016713563702381</t>
  </si>
  <si>
    <t>-0.09232843335927998</t>
  </si>
  <si>
    <t>0.24063738216196898</t>
  </si>
  <si>
    <t>0.43124261537568476</t>
  </si>
  <si>
    <t>-0.5735832131883276</t>
  </si>
  <si>
    <t>0.735377716102347</t>
  </si>
  <si>
    <t>-0.7143213452734286</t>
  </si>
  <si>
    <t>-0.18311541525992006</t>
  </si>
  <si>
    <t>-0.3635155590271029</t>
  </si>
  <si>
    <t>0.5226898273090536</t>
  </si>
  <si>
    <t>-0.5572236684596111</t>
  </si>
  <si>
    <t>0.5715949530074174</t>
  </si>
  <si>
    <t>-0.696411897547456</t>
  </si>
  <si>
    <t>1.0506760201259546</t>
  </si>
  <si>
    <t>0.5210401132478437</t>
  </si>
  <si>
    <t>-0.0004326577954987668</t>
  </si>
  <si>
    <t>0.045600846321130005</t>
  </si>
  <si>
    <t>0.6950102293908916</t>
  </si>
  <si>
    <t>-0.07628196355849069</t>
  </si>
  <si>
    <t>-1.1277283954182469</t>
  </si>
  <si>
    <t>-0.46856305085443184</t>
  </si>
  <si>
    <t>-0.23715068766154257</t>
  </si>
  <si>
    <t>-0.0717892594993408</t>
  </si>
  <si>
    <t>0.23022883168995845</t>
  </si>
  <si>
    <t>0.10348753318655532</t>
  </si>
  <si>
    <t>-0.8392882844029146</t>
  </si>
  <si>
    <t>1.4321492485588585</t>
  </si>
  <si>
    <t>0.28231652877274244</t>
  </si>
  <si>
    <t>0.5976166989850312</t>
  </si>
  <si>
    <t>0.9978064645500879</t>
  </si>
  <si>
    <t>-0.5315294263621095</t>
  </si>
  <si>
    <t>-0.6045418241707503</t>
  </si>
  <si>
    <t>1.317892789539598</t>
  </si>
  <si>
    <t>-0.6176717914849268</t>
  </si>
  <si>
    <t>0.4883164370564912</t>
  </si>
  <si>
    <t>0.10827168042632651</t>
  </si>
  <si>
    <t>-0.10482816274890036</t>
  </si>
  <si>
    <t>0.40813716392861343</t>
  </si>
  <si>
    <t>-0.10378800664825304</t>
  </si>
  <si>
    <t>-0.07092199292552863</t>
  </si>
  <si>
    <t>-0.6064510101822311</t>
  </si>
  <si>
    <t>-0.7471673714914229</t>
  </si>
  <si>
    <t>-0.2583358158195498</t>
  </si>
  <si>
    <t>0.398795302178588</t>
  </si>
  <si>
    <t>0.07848164001486757</t>
  </si>
  <si>
    <t>-0.7229128131221818</t>
  </si>
  <si>
    <t>-0.4372956524831228</t>
  </si>
  <si>
    <t>0.4684116102393723</t>
  </si>
  <si>
    <t>0.4321269054246509</t>
  </si>
  <si>
    <t>-0.02805296872899876</t>
  </si>
  <si>
    <t>0.2575657474540728</t>
  </si>
  <si>
    <t>-0.29269859839493423</t>
  </si>
  <si>
    <t>-0.36043119357834813</t>
  </si>
  <si>
    <t>0.08491831953756458</t>
  </si>
  <si>
    <t>0.7896941661998339</t>
  </si>
  <si>
    <t>0.05912134715191268</t>
  </si>
  <si>
    <t>-1.0800748974868444</t>
  </si>
  <si>
    <t>0.08696419932537912</t>
  </si>
  <si>
    <t>0.03642636388077165</t>
  </si>
  <si>
    <t>0.5850494082797736</t>
  </si>
  <si>
    <t>-0.2052679288433936</t>
  </si>
  <si>
    <t>0.007486459313409067</t>
  </si>
  <si>
    <t>-0.0049950940884871025</t>
  </si>
  <si>
    <t>0.21572748634600922</t>
  </si>
  <si>
    <t>-0.23946611211397015</t>
  </si>
  <si>
    <t>0.027934439344802935</t>
  </si>
  <si>
    <t>-0.5622408244177266</t>
  </si>
  <si>
    <t>0.09775611917225643</t>
  </si>
  <si>
    <t>-0.3324850328178305</t>
  </si>
  <si>
    <t>0.7957928778299769</t>
  </si>
  <si>
    <t>-0.6590629072046741</t>
  </si>
  <si>
    <t>-1.5387362661537738</t>
  </si>
  <si>
    <t>-0.48811621554151535</t>
  </si>
  <si>
    <t>-0.39205412670147044</t>
  </si>
  <si>
    <t>-0.005172795313334025</t>
  </si>
  <si>
    <t>-0.006359756658937244</t>
  </si>
  <si>
    <t>-0.6828355863059975</t>
  </si>
  <si>
    <t>-0.25070711825609804</t>
  </si>
  <si>
    <t>-0.08094530452181325</t>
  </si>
  <si>
    <t>0.5966945671222504</t>
  </si>
  <si>
    <t>-0.8607795473029829</t>
  </si>
  <si>
    <t>0.0655182122256873</t>
  </si>
  <si>
    <t>-0.8746413718606735</t>
  </si>
  <si>
    <t>0.11803826563041304</t>
  </si>
  <si>
    <t>-1.1200714709023953</t>
  </si>
  <si>
    <t>-0.2581267576876472</t>
  </si>
  <si>
    <t>-0.24947654819317544</t>
  </si>
  <si>
    <t>0.6310378723340682</t>
  </si>
  <si>
    <t>0.16145939958351593</t>
  </si>
  <si>
    <t>0.23781386114906516</t>
  </si>
  <si>
    <t>-0.07327307653978606</t>
  </si>
  <si>
    <t>0.22658819172753156</t>
  </si>
  <si>
    <t>-0.3984919352317614</t>
  </si>
  <si>
    <t>0.6718061747489906</t>
  </si>
  <si>
    <t>-0.003551761845624916</t>
  </si>
  <si>
    <t>-0.4083385851891323</t>
  </si>
  <si>
    <t>-0.7876828916567301</t>
  </si>
  <si>
    <t>0.13517365285238186</t>
  </si>
  <si>
    <t>-0.4461199938274883</t>
  </si>
  <si>
    <t>-0.004276373512590987</t>
  </si>
  <si>
    <t>0.36017220865882393</t>
  </si>
  <si>
    <t>0.4630648984669606</t>
  </si>
  <si>
    <t>-0.031258385663369914</t>
  </si>
  <si>
    <t>0.25542419693569157</t>
  </si>
  <si>
    <t>-0.4590771000795883</t>
  </si>
  <si>
    <t>0.798124873064142</t>
  </si>
  <si>
    <t>-1.0531096680015815</t>
  </si>
  <si>
    <t>-0.41793403208010943</t>
  </si>
  <si>
    <t>-1.6326797018463348</t>
  </si>
  <si>
    <t>0.239622842314297</t>
  </si>
  <si>
    <t>-0.4765160097786983</t>
  </si>
  <si>
    <t>-0.1892562631314076</t>
  </si>
  <si>
    <t>-0.27311549411826547</t>
  </si>
  <si>
    <t>0.409773297231262</t>
  </si>
  <si>
    <t>-0.48092345819581517</t>
  </si>
  <si>
    <t>-1.1371217191840683</t>
  </si>
  <si>
    <t>-1.7358345265810098</t>
  </si>
  <si>
    <t>0.6333801059464791</t>
  </si>
  <si>
    <t>0.42348809038885776</t>
  </si>
  <si>
    <t>-0.9649131997530723</t>
  </si>
  <si>
    <t>-0.2263822110843123</t>
  </si>
  <si>
    <t>0.6739392735500629</t>
  </si>
  <si>
    <t>0.321947541095453</t>
  </si>
  <si>
    <t>-0.23942020765384348</t>
  </si>
  <si>
    <t>0.23846827983615063</t>
  </si>
  <si>
    <t>0.9367349828724821</t>
  </si>
  <si>
    <t>-0.9420717139745297</t>
  </si>
  <si>
    <t>-1.8317001687017653</t>
  </si>
  <si>
    <t>-0.496688995502583</t>
  </si>
  <si>
    <t>-0.280877381577979</t>
  </si>
  <si>
    <t>0.6488099949097964</t>
  </si>
  <si>
    <t>-0.2069693351199971</t>
  </si>
  <si>
    <t>0.7833873291047984</t>
  </si>
  <si>
    <t>0.2412593829757842</t>
  </si>
  <si>
    <t>0.3148160301311038</t>
  </si>
  <si>
    <t>1.0155546405016576</t>
  </si>
  <si>
    <t>-0.039008872017927056</t>
  </si>
  <si>
    <t>-0.0249198531843907</t>
  </si>
  <si>
    <t>-1.0120156669096054</t>
  </si>
  <si>
    <t>1.7705747726562469</t>
  </si>
  <si>
    <t>0.3996089094321202</t>
  </si>
  <si>
    <t>-0.2548771263911771</t>
  </si>
  <si>
    <t>-0.4410473181822303</t>
  </si>
  <si>
    <t>-0.4460595599082083</t>
  </si>
  <si>
    <t>0.20215164182086454</t>
  </si>
  <si>
    <t>-0.3167265032843404</t>
  </si>
  <si>
    <t>0.9026994923856587</t>
  </si>
  <si>
    <t>-0.13086883907949995</t>
  </si>
  <si>
    <t>-0.0042265569588829915</t>
  </si>
  <si>
    <t>-0.5815830532442811</t>
  </si>
  <si>
    <t>-0.10342831485594203</t>
  </si>
  <si>
    <t>-0.5921654838340439</t>
  </si>
  <si>
    <t>0.1983646159728421</t>
  </si>
  <si>
    <t>0.4313296242332062</t>
  </si>
  <si>
    <t>-0.7075488772454502</t>
  </si>
  <si>
    <t>-0.6662562826206164</t>
  </si>
  <si>
    <t>0.422185763590485</t>
  </si>
  <si>
    <t>0.21596037195164156</t>
  </si>
  <si>
    <t>0.9068314383478655</t>
  </si>
  <si>
    <t>-0.8858958980514621</t>
  </si>
  <si>
    <t>-0.62030846055333</t>
  </si>
  <si>
    <t>0.18008287874738627</t>
  </si>
  <si>
    <t>-0.1032214685568802</t>
  </si>
  <si>
    <t>-0.060249948677578054</t>
  </si>
  <si>
    <t>0.1885644913498613</t>
  </si>
  <si>
    <t>0.4494842417525863</t>
  </si>
  <si>
    <t>0.8504056557163543</t>
  </si>
  <si>
    <t>-1.949747168868894</t>
  </si>
  <si>
    <t>0.17724101386833147</t>
  </si>
  <si>
    <t>0.23691882999257</t>
  </si>
  <si>
    <t>0.07051938804724865</t>
  </si>
  <si>
    <t>-0.7360969040956655</t>
  </si>
  <si>
    <t>1.8330659857519838</t>
  </si>
  <si>
    <t>-0.14554211122327335</t>
  </si>
  <si>
    <t>-0.7882876692393826</t>
  </si>
  <si>
    <t>-1.113129053398893</t>
  </si>
  <si>
    <t>0.3440505969990219</t>
  </si>
  <si>
    <t>0.41656875905139085</t>
  </si>
  <si>
    <t>0.1608204387231212</t>
  </si>
  <si>
    <t>0.48518960304365927</t>
  </si>
  <si>
    <t>0.1583103682663584</t>
  </si>
  <si>
    <t>-1.471026235744192</t>
  </si>
  <si>
    <t>2.013253301916554</t>
  </si>
  <si>
    <t>-0.646800728292498</t>
  </si>
  <si>
    <t>-0.3588752118528283</t>
  </si>
  <si>
    <t>-0.3005764991737875</t>
  </si>
  <si>
    <t>-0.9272253912079909</t>
  </si>
  <si>
    <t>0.26996058311895027</t>
  </si>
  <si>
    <t>0.6630956270121439</t>
  </si>
  <si>
    <t>-1.2488420936930658</t>
  </si>
  <si>
    <t>-1.1918348787802824</t>
  </si>
  <si>
    <t>-0.2638989911255576</t>
  </si>
  <si>
    <t>0.6531919427048917</t>
  </si>
  <si>
    <t>-0.02557597937424975</t>
  </si>
  <si>
    <t>-0.9442591333876447</t>
  </si>
  <si>
    <t>-0.95017701119146</t>
  </si>
  <si>
    <t>1.5291621646184643</t>
  </si>
  <si>
    <t>1.693500356979109</t>
  </si>
  <si>
    <t>4.849877855778952</t>
  </si>
  <si>
    <t>-2.091748961414179</t>
  </si>
  <si>
    <t>5.030102690182686</t>
  </si>
  <si>
    <t>-0.9432203028060868</t>
  </si>
  <si>
    <t>1.8557932606040553</t>
  </si>
  <si>
    <t>-2.234663325645039</t>
  </si>
  <si>
    <t>1.1236920185127361</t>
  </si>
  <si>
    <t>1.3876108808726633</t>
  </si>
  <si>
    <t>2.0013618160050335</t>
  </si>
  <si>
    <t>-1.8352796183259341</t>
  </si>
  <si>
    <t>-0.38880400857219516</t>
  </si>
  <si>
    <t>-0.5109242150442863</t>
  </si>
  <si>
    <t>0.8909821936050472</t>
  </si>
  <si>
    <t>0.5620693216412816</t>
  </si>
  <si>
    <t>-2.947821580123071</t>
  </si>
  <si>
    <t>-0.3636836368603871</t>
  </si>
  <si>
    <t>2.0356382151650925</t>
  </si>
  <si>
    <t>1.3666843516691367</t>
  </si>
  <si>
    <t>-0.9774740345909945</t>
  </si>
  <si>
    <t>-0.7793234820182375</t>
  </si>
  <si>
    <t>0.5341626562764497</t>
  </si>
  <si>
    <t>-1.3888760654172083</t>
  </si>
  <si>
    <t>-2.9550506551453</t>
  </si>
  <si>
    <t>0.3836857458249551</t>
  </si>
  <si>
    <t>-1.2448530059004392</t>
  </si>
  <si>
    <t>-1.0787067459714783</t>
  </si>
  <si>
    <t>1.311935873921254</t>
  </si>
  <si>
    <t>0.5112551282043724</t>
  </si>
  <si>
    <t>-0.412725648114616</t>
  </si>
  <si>
    <t>0.34618925406058154</t>
  </si>
  <si>
    <t>0.34222572303434823</t>
  </si>
  <si>
    <t>0.9827742513278621</t>
  </si>
  <si>
    <t>1.1322677809101853</t>
  </si>
  <si>
    <t>-1.3742729698192495</t>
  </si>
  <si>
    <t>0.27957681423533753</t>
  </si>
  <si>
    <t>-0.25966031243414467</t>
  </si>
  <si>
    <t>0.005830596288901643</t>
  </si>
  <si>
    <t>-0.4879418122132535</t>
  </si>
  <si>
    <t>-2.814668650477591</t>
  </si>
  <si>
    <t>1.56767252794703</t>
  </si>
  <si>
    <t>-1.2872521823852914</t>
  </si>
  <si>
    <t>-2.500754019867925</t>
  </si>
  <si>
    <t>-1.3261698059965001</t>
  </si>
  <si>
    <t>-0.610025646469638</t>
  </si>
  <si>
    <t>-1.253079311210965</t>
  </si>
  <si>
    <t>2.1560254387818167</t>
  </si>
  <si>
    <t>0.3506463511605118</t>
  </si>
  <si>
    <t>-0.6906847190090678</t>
  </si>
  <si>
    <t>-2.2497246042131036</t>
  </si>
  <si>
    <t>-1.3411431012734836</t>
  </si>
  <si>
    <t>1.1819145866381564</t>
  </si>
  <si>
    <t>2.831654456182258</t>
  </si>
  <si>
    <t>-1.5779138857999007</t>
  </si>
  <si>
    <t>1.6773736896217963</t>
  </si>
  <si>
    <t>0.83663901749112</t>
  </si>
  <si>
    <t>-0.5809470844481046</t>
  </si>
  <si>
    <t>1.710458498293368</t>
  </si>
  <si>
    <t>0.9927908539077966</t>
  </si>
  <si>
    <t>0.1847210271891546</t>
  </si>
  <si>
    <t>0.5249041393690631</t>
  </si>
  <si>
    <t>-0.9378821203269773</t>
  </si>
  <si>
    <t>0.8201995231017638</t>
  </si>
  <si>
    <t>-1.3499479590474537</t>
  </si>
  <si>
    <t>1.7664271575406492</t>
  </si>
  <si>
    <t>-1.0776972886693608</t>
  </si>
  <si>
    <t>0.3352806908801781</t>
  </si>
  <si>
    <t>1.6799920630650609</t>
  </si>
  <si>
    <t>-0.9887324213702924</t>
  </si>
  <si>
    <t>-0.6293766193679992</t>
  </si>
  <si>
    <t>1.398560267321347</t>
  </si>
  <si>
    <t>-2.2208578288563663</t>
  </si>
  <si>
    <t>2.114664123840191</t>
  </si>
  <si>
    <t>-0.5702414468171502</t>
  </si>
  <si>
    <t>1.011182261805579</t>
  </si>
  <si>
    <t>-0.12097890402142532</t>
  </si>
  <si>
    <t>1.1877255594074818</t>
  </si>
  <si>
    <t>0.5619158934187194</t>
  </si>
  <si>
    <t>-1.4628332073069619</t>
  </si>
  <si>
    <t>0.5789152295889556</t>
  </si>
  <si>
    <t>0.8912325451607975</t>
  </si>
  <si>
    <t>1.4195208166080742</t>
  </si>
  <si>
    <t>0.9025570401875636</t>
  </si>
  <si>
    <t>-0.08138174343436333</t>
  </si>
  <si>
    <t>0.27078256696734726</t>
  </si>
  <si>
    <t>-0.3852389037221245</t>
  </si>
  <si>
    <t>-1.1286395102485682</t>
  </si>
  <si>
    <t>0.5310797508341351</t>
  </si>
  <si>
    <t>0.3857266814029415</t>
  </si>
  <si>
    <t>-2.1056867712226985</t>
  </si>
  <si>
    <t>0.7285903579599894</t>
  </si>
  <si>
    <t>-0.3160136525314257</t>
  </si>
  <si>
    <t>-2.364693781397793</t>
  </si>
  <si>
    <t>-1.370174534437848</t>
  </si>
  <si>
    <t>-1.739953626128983</t>
  </si>
  <si>
    <t>0.22265154413634125</t>
  </si>
  <si>
    <t>2.247396368059262</t>
  </si>
  <si>
    <t>-0.2314219937110474</t>
  </si>
  <si>
    <t>1.1375326791848055</t>
  </si>
  <si>
    <t>-3.332543336477828</t>
  </si>
  <si>
    <t>-1.3590572660226177</t>
  </si>
  <si>
    <t>2.8894500214098797</t>
  </si>
  <si>
    <t>-0.7131326545551441</t>
  </si>
  <si>
    <t>0.8192991530201684</t>
  </si>
  <si>
    <t>3.1243629795371843</t>
  </si>
  <si>
    <t>0.5040731968962664</t>
  </si>
  <si>
    <t>-0.30956505214380037</t>
  </si>
  <si>
    <t>-0.44578362583223596</t>
  </si>
  <si>
    <t>-0.7027344776677896</t>
  </si>
  <si>
    <t>0.2943199172437442</t>
  </si>
  <si>
    <t>-0.27283047877458294</t>
  </si>
  <si>
    <t>-0.3692230142792496</t>
  </si>
  <si>
    <t>1.4010807974068387</t>
  </si>
  <si>
    <t>0.792010209677663</t>
  </si>
  <si>
    <t>-0.0751224847361166</t>
  </si>
  <si>
    <t>-0.3405580258346836</t>
  </si>
  <si>
    <t>1.2934878249028459</t>
  </si>
  <si>
    <t>-1.2556945411417635</t>
  </si>
  <si>
    <t>1.8710124798196999</t>
  </si>
  <si>
    <t>0.26640429955355244</t>
  </si>
  <si>
    <t>-0.4329860540836965</t>
  </si>
  <si>
    <t>1.8332234356625685</t>
  </si>
  <si>
    <t>-0.5935637857624482</t>
  </si>
  <si>
    <t>1.7930513282963714</t>
  </si>
  <si>
    <t>1.0907365984902753</t>
  </si>
  <si>
    <t>-0.01647714605645894</t>
  </si>
  <si>
    <t>-0.744463841975457</t>
  </si>
  <si>
    <t>-0.1826227012781687</t>
  </si>
  <si>
    <t>-0.09799592598683504</t>
  </si>
  <si>
    <t>-1.2833746172538538</t>
  </si>
  <si>
    <t>0.3150831894674931</t>
  </si>
  <si>
    <t>-0.8685799152386591</t>
  </si>
  <si>
    <t>-1.2003902979949788</t>
  </si>
  <si>
    <t>-0.5030542841478599</t>
  </si>
  <si>
    <t>0.45991596858081063</t>
  </si>
  <si>
    <t>-0.5190379548910901</t>
  </si>
  <si>
    <t>-0.2543773298101771</t>
  </si>
  <si>
    <t>-1.2277499594189862</t>
  </si>
  <si>
    <t>1.1276162485062602</t>
  </si>
  <si>
    <t>-0.33689098362490294</t>
  </si>
  <si>
    <t>0.6288793814694282</t>
  </si>
  <si>
    <t>-0.8405645661882272</t>
  </si>
  <si>
    <t>-0.6141439400324973</t>
  </si>
  <si>
    <t>-0.6960857075453785</t>
  </si>
  <si>
    <t>-0.23708501470606858</t>
  </si>
  <si>
    <t>1.1655094440475942</t>
  </si>
  <si>
    <t>0.5617673980331107</t>
  </si>
  <si>
    <t>1.4291128024614226</t>
  </si>
  <si>
    <t>-0.3271535428994004</t>
  </si>
  <si>
    <t>0.7596700881714992</t>
  </si>
  <si>
    <t>-1.0142616013148391</t>
  </si>
  <si>
    <t>1.9449160328372965</t>
  </si>
  <si>
    <t>-1.1588161827140946</t>
  </si>
  <si>
    <t>0.3271941521757872</t>
  </si>
  <si>
    <t>2.054373198419801</t>
  </si>
  <si>
    <t>-1.4028121567758935</t>
  </si>
  <si>
    <t>0.872146727442681</t>
  </si>
  <si>
    <t>1.718424911787134</t>
  </si>
  <si>
    <t>-1.7141513599731226</t>
  </si>
  <si>
    <t>-1.1443731472088516</t>
  </si>
  <si>
    <t>-0.8872175812474878</t>
  </si>
  <si>
    <t>0.412766953643196</t>
  </si>
  <si>
    <t>-0.31339443706654085</t>
  </si>
  <si>
    <t>5.887897496533828</t>
  </si>
  <si>
    <t>-1.0769919054621644</t>
  </si>
  <si>
    <t>-1.3311406061985203</t>
  </si>
  <si>
    <t>1.1156078901511253</t>
  </si>
  <si>
    <t>-0.9394293506003366</t>
  </si>
  <si>
    <t>-0.9477863110661855</t>
  </si>
  <si>
    <t>-0.11520427979001328</t>
  </si>
  <si>
    <t>0.2545422525800495</t>
  </si>
  <si>
    <t>-0.5598839942285937</t>
  </si>
  <si>
    <t>1.0103132291489378</t>
  </si>
  <si>
    <t>-1.2859127061155902</t>
  </si>
  <si>
    <t>1.0322047493349982</t>
  </si>
  <si>
    <t>-0.05143329285056818</t>
  </si>
  <si>
    <t>2.8368643468392363</t>
  </si>
  <si>
    <t>-0.5535173860882663</t>
  </si>
  <si>
    <t>0.20571790064150552</t>
  </si>
  <si>
    <t>-0.44449399390115696</t>
  </si>
  <si>
    <t>-1.9607575267147328</t>
  </si>
  <si>
    <t>-0.574757733844248</t>
  </si>
  <si>
    <t>0.6783772436449255</t>
  </si>
  <si>
    <t>2.3610975188034438</t>
  </si>
  <si>
    <t>0.5126385923120936</t>
  </si>
  <si>
    <t>-1.3186789746590566</t>
  </si>
  <si>
    <t>-0.8676580712345668</t>
  </si>
  <si>
    <t>-1.0357399195869461</t>
  </si>
  <si>
    <t>-0.05850424293865025</t>
  </si>
  <si>
    <t>-0.11179197405880918</t>
  </si>
  <si>
    <t>1.8913810244943907</t>
  </si>
  <si>
    <t>-0.571763173859021</t>
  </si>
  <si>
    <t>0.882128101743059</t>
  </si>
  <si>
    <t>0.902801260772147</t>
  </si>
  <si>
    <t>0.24214185020819212</t>
  </si>
  <si>
    <t>-1.1499248458931526</t>
  </si>
  <si>
    <t>1.3358656579792607</t>
  </si>
  <si>
    <t>-3.332272246640943</t>
  </si>
  <si>
    <t>0.07421257460239869</t>
  </si>
  <si>
    <t>-0.7495288072951584</t>
  </si>
  <si>
    <t>-0.9110682400579889</t>
  </si>
  <si>
    <t>-0.19067685521886613</t>
  </si>
  <si>
    <t>-2.3136296968227827</t>
  </si>
  <si>
    <t>0.5582570308177429</t>
  </si>
  <si>
    <t>0.08435974487825527</t>
  </si>
  <si>
    <t>-0.14409681594074727</t>
  </si>
  <si>
    <t>-0.3347369579060678</t>
  </si>
  <si>
    <t>0.5491845210466706</t>
  </si>
  <si>
    <t>0.5521052016153593</t>
  </si>
  <si>
    <t>2.417716805684275</t>
  </si>
  <si>
    <t>-0.1640947866069136</t>
  </si>
  <si>
    <t>1.095173024859775</t>
  </si>
  <si>
    <t>-0.030376243937062144</t>
  </si>
  <si>
    <t>1.5568704150186243</t>
  </si>
  <si>
    <t>3.596307065231294</t>
  </si>
  <si>
    <t>-0.06375077270221688</t>
  </si>
  <si>
    <t>-0.15496784826000662</t>
  </si>
  <si>
    <t>-0.6866783993963141</t>
  </si>
  <si>
    <t>-0.6740795918901983</t>
  </si>
  <si>
    <t>0.8074725280595517</t>
  </si>
  <si>
    <t>-0.36569654627130666</t>
  </si>
  <si>
    <t>-1.0214260530493577</t>
  </si>
  <si>
    <t>-0.44875832352789113</t>
  </si>
  <si>
    <t>-0.7020584875951381</t>
  </si>
  <si>
    <t>-0.7519160390391634</t>
  </si>
  <si>
    <t>-0.8983997317361843</t>
  </si>
  <si>
    <t>0.23727330118467163</t>
  </si>
  <si>
    <t>-0.5370416875381717</t>
  </si>
  <si>
    <t>-0.27926847989009607</t>
  </si>
  <si>
    <t>-0.046000104268922024</t>
  </si>
  <si>
    <t>-1.9176830517393184</t>
  </si>
  <si>
    <t>0.2683612100732199</t>
  </si>
  <si>
    <t>-1.0213786150789108</t>
  </si>
  <si>
    <t>-0.967667598140913</t>
  </si>
  <si>
    <t>1.3943823517402174</t>
  </si>
  <si>
    <t>1.2973682123886898</t>
  </si>
  <si>
    <t>0.9404008289096645</t>
  </si>
  <si>
    <t>-0.7006705648229788</t>
  </si>
  <si>
    <t>-0.3284632413692029</t>
  </si>
  <si>
    <t>0.15823951614213322</t>
  </si>
  <si>
    <t>-0.5934775465943972</t>
  </si>
  <si>
    <t>-1.3635046354844054</t>
  </si>
  <si>
    <t>-0.7873191193875287</t>
  </si>
  <si>
    <t>-0.3602598066242522</t>
  </si>
  <si>
    <t>-0.512816805206332</t>
  </si>
  <si>
    <t>1.3499378871727294</t>
  </si>
  <si>
    <t>-0.33187156438061277</t>
  </si>
  <si>
    <t>-0.1666554044640203</t>
  </si>
  <si>
    <t>0.5412887840917554</t>
  </si>
  <si>
    <t>0.6560656817267735</t>
  </si>
  <si>
    <t>-0.540127048714807</t>
  </si>
  <si>
    <t>1.329577985599365</t>
  </si>
  <si>
    <t>-1.2497376177114818</t>
  </si>
  <si>
    <t>0.853067639472754</t>
  </si>
  <si>
    <t>0.7815346557908462</t>
  </si>
  <si>
    <t>0.4179014192615712</t>
  </si>
  <si>
    <t>0.8607898633315177</t>
  </si>
  <si>
    <t>-0.1081507408579796</t>
  </si>
  <si>
    <t>1.3106940693074167</t>
  </si>
  <si>
    <t>-0.07375196673636437</t>
  </si>
  <si>
    <t>0.6490451839427354</t>
  </si>
  <si>
    <t>1.4935110719438853</t>
  </si>
  <si>
    <t>-0.3099791736778457</t>
  </si>
  <si>
    <t>-0.45640040779286745</t>
  </si>
  <si>
    <t>0.5900297586241391</t>
  </si>
  <si>
    <t>1.1611064713963386</t>
  </si>
  <si>
    <t>-0.1815706881140964</t>
  </si>
  <si>
    <t>0.050552625349080324</t>
  </si>
  <si>
    <t>1.0896373678051015</t>
  </si>
  <si>
    <t>0.8496751978853251</t>
  </si>
  <si>
    <t>0.36782211057304015</t>
  </si>
  <si>
    <t>0.057517869010379453</t>
  </si>
  <si>
    <t>1.3157191932188126</t>
  </si>
  <si>
    <t>-0.7886677116137253</t>
  </si>
  <si>
    <t>1.689299135865867</t>
  </si>
  <si>
    <t>-0.6702289475854384</t>
  </si>
  <si>
    <t>-0.4814561880498119</t>
  </si>
  <si>
    <t>0.762386422686774</t>
  </si>
  <si>
    <t>0.5655787212426524</t>
  </si>
  <si>
    <t>1.1089284462822135</t>
  </si>
  <si>
    <t>-0.2440918870953177</t>
  </si>
  <si>
    <t>0.9102289316669144</t>
  </si>
  <si>
    <t>-0.4363207428844311</t>
  </si>
  <si>
    <t>-0.47107388495510527</t>
  </si>
  <si>
    <t>-0.51041528782252</t>
  </si>
  <si>
    <t>-0.33845974655359407</t>
  </si>
  <si>
    <t>-0.2932541300600294</t>
  </si>
  <si>
    <t>1.3945855523466228</t>
  </si>
  <si>
    <t>-0.5148123670531843</t>
  </si>
  <si>
    <t>2.4898310055489046</t>
  </si>
  <si>
    <t>-0.3698824478882863</t>
  </si>
  <si>
    <t>1.7586357256739689</t>
  </si>
  <si>
    <t>-0.46606047013306445</t>
  </si>
  <si>
    <t>1.38064322350378</t>
  </si>
  <si>
    <t>-0.8359075998684025</t>
  </si>
  <si>
    <t>-0.7013488870762751</t>
  </si>
  <si>
    <t>0.10053870678587136</t>
  </si>
  <si>
    <t>2.121057413647473</t>
  </si>
  <si>
    <t>-0.33125339613715915</t>
  </si>
  <si>
    <t>-0.7064723897689846</t>
  </si>
  <si>
    <t>-0.49287047709353016</t>
  </si>
  <si>
    <t>-0.5062568183333613</t>
  </si>
  <si>
    <t>1.3887897097240605</t>
  </si>
  <si>
    <t>0.10702703675032188</t>
  </si>
  <si>
    <t>2.351834305481663</t>
  </si>
  <si>
    <t>0.2672601818444775</t>
  </si>
  <si>
    <t>0.5974063942954743</t>
  </si>
  <si>
    <t>-0.0404249738331542</t>
  </si>
  <si>
    <t>-2.405474269812011</t>
  </si>
  <si>
    <t>-0.17468165426200727</t>
  </si>
  <si>
    <t>-1.2840614545744644</t>
  </si>
  <si>
    <t>-0.9760709601024156</t>
  </si>
  <si>
    <t>2.227671560011442</t>
  </si>
  <si>
    <t>1.0612184605268888</t>
  </si>
  <si>
    <t>-0.49684788627545073</t>
  </si>
  <si>
    <t>1.1060527303340657</t>
  </si>
  <si>
    <t>0.6573980667329163</t>
  </si>
  <si>
    <t>-1.2731179440659663</t>
  </si>
  <si>
    <t>0.3993582649549358</t>
  </si>
  <si>
    <t>2.2631015370989256</t>
  </si>
  <si>
    <t>-0.04192261013210993</t>
  </si>
  <si>
    <t>0.004224122272275497</t>
  </si>
  <si>
    <t>-1.0303050286661009</t>
  </si>
  <si>
    <t>-0.33476260200995106</t>
  </si>
  <si>
    <t>-0.2533648604197003</t>
  </si>
  <si>
    <t>-0.3317125768849347</t>
  </si>
  <si>
    <t>-0.46832167390993223</t>
  </si>
  <si>
    <t>0.516269877515407</t>
  </si>
  <si>
    <t>-1.0026342401059478</t>
  </si>
  <si>
    <t>-0.016072483229090575</t>
  </si>
  <si>
    <t>-1.4332796563671435</t>
  </si>
  <si>
    <t>-0.08540662117005463</t>
  </si>
  <si>
    <t>-0.572265968148391</t>
  </si>
  <si>
    <t>-1.1140670805498782</t>
  </si>
  <si>
    <t>0.611447034150524</t>
  </si>
  <si>
    <t>0.03693737696597568</t>
  </si>
  <si>
    <t>0.21699094281870512</t>
  </si>
  <si>
    <t>-0.81594019615401</t>
  </si>
  <si>
    <t>-0.4712705902776708</t>
  </si>
  <si>
    <t>0.3435173583626975</t>
  </si>
  <si>
    <t>1.5609112783901038</t>
  </si>
  <si>
    <t>-0.8119016936935014</t>
  </si>
  <si>
    <t>-0.9771730513476551</t>
  </si>
  <si>
    <t>0.4401569508838953</t>
  </si>
  <si>
    <t>-0.0012523987912521546</t>
  </si>
  <si>
    <t>-1.4284666746711896</t>
  </si>
  <si>
    <t>-0.2754901979477682</t>
  </si>
  <si>
    <t>-0.7996143490186391</t>
  </si>
  <si>
    <t>1.5502226240976378</t>
  </si>
  <si>
    <t>-0.16316145279470248</t>
  </si>
  <si>
    <t>-1.0165098793122236</t>
  </si>
  <si>
    <t>-1.9650568906692751</t>
  </si>
  <si>
    <t>1.421845744673496</t>
  </si>
  <si>
    <t>-1.6043534639289607</t>
  </si>
  <si>
    <t>0.8567948230530793</t>
  </si>
  <si>
    <t>0.259159581292438</t>
  </si>
  <si>
    <t>-0.7529735656602817</t>
  </si>
  <si>
    <t>-0.18097110068840333</t>
  </si>
  <si>
    <t>0.2651896841811151</t>
  </si>
  <si>
    <t>-0.8518935723000431</t>
  </si>
  <si>
    <t>1.8120098363616766</t>
  </si>
  <si>
    <t>0.98483016783139</t>
  </si>
  <si>
    <t>-0.9494556123565135</t>
  </si>
  <si>
    <t>-0.618450030176535</t>
  </si>
  <si>
    <t>0.43412106445917775</t>
  </si>
  <si>
    <t>1.424974765724002</t>
  </si>
  <si>
    <t>0.38671816576275997</t>
  </si>
  <si>
    <t>0.2259224806090571</t>
  </si>
  <si>
    <t>0.7587294000975926</t>
  </si>
  <si>
    <t>-0.8422235632734743</t>
  </si>
  <si>
    <t>0.10859040451908293</t>
  </si>
  <si>
    <t>-0.8921853174667566</t>
  </si>
  <si>
    <t>-0.47818745532429835</t>
  </si>
  <si>
    <t>-0.5942727467204842</t>
  </si>
  <si>
    <t>-0.9902836319251341</t>
  </si>
  <si>
    <t>1.6382786102789109</t>
  </si>
  <si>
    <t>-1.3164299990932722</t>
  </si>
  <si>
    <t>-0.577079731512895</t>
  </si>
  <si>
    <t>-1.4556977659573747</t>
  </si>
  <si>
    <t>0.024144380226625923</t>
  </si>
  <si>
    <t>-1.681512239662365</t>
  </si>
  <si>
    <t>-2.8260384849103044</t>
  </si>
  <si>
    <t>2.6261932728209216</t>
  </si>
  <si>
    <t>0.2689434824618797</t>
  </si>
  <si>
    <t>-1.0347793570567514</t>
  </si>
  <si>
    <t>-0.6811575462509721</t>
  </si>
  <si>
    <t>-1.0140717792809177</t>
  </si>
  <si>
    <t>0.8566506362216695</t>
  </si>
  <si>
    <t>-0.5672215602455573</t>
  </si>
  <si>
    <t>-2.3260315916400756</t>
  </si>
  <si>
    <t>0.6878029110077984</t>
  </si>
  <si>
    <t>1.0438097206403465</t>
  </si>
  <si>
    <t>0.25889056416405637</t>
  </si>
  <si>
    <t>-0.18007800630606263</t>
  </si>
  <si>
    <t>0.5690047750293331</t>
  </si>
  <si>
    <t>-0.11612431227325713</t>
  </si>
  <si>
    <t>0.9794804139622464</t>
  </si>
  <si>
    <t>-0.010800724364756037</t>
  </si>
  <si>
    <t>0.019444431885831316</t>
  </si>
  <si>
    <t>-1.2761222524448914</t>
  </si>
  <si>
    <t>-0.4573645007816056</t>
  </si>
  <si>
    <t>-0.3384871900836764</t>
  </si>
  <si>
    <t>0.10296795871079026</t>
  </si>
  <si>
    <t>-0.6553362924576226</t>
  </si>
  <si>
    <t>-0.4064138130786248</t>
  </si>
  <si>
    <t>1.1648646594647303</t>
  </si>
  <si>
    <t>-1.1552849971720975</t>
  </si>
  <si>
    <t>-0.9500411867045968</t>
  </si>
  <si>
    <t>-1.1849590520851974</t>
  </si>
  <si>
    <t>-0.0735627995504178</t>
  </si>
  <si>
    <t>-2.1698040190253236</t>
  </si>
  <si>
    <t>-2.4986469840901306</t>
  </si>
  <si>
    <t>0.7798061206816947</t>
  </si>
  <si>
    <t>-1.347373878598479</t>
  </si>
  <si>
    <t>-0.13666540768580906</t>
  </si>
  <si>
    <t>0.9469561479019718</t>
  </si>
  <si>
    <t>-1.4839275243124497</t>
  </si>
  <si>
    <t>-3.9169677341248477</t>
  </si>
  <si>
    <t>-0.5539457456625041</t>
  </si>
  <si>
    <t>-2.4872130999006536</t>
  </si>
  <si>
    <t>-1.1460268676798542</t>
  </si>
  <si>
    <t>-1.1225969481737963</t>
  </si>
  <si>
    <t>-0.860592903625911</t>
  </si>
  <si>
    <t>-0.022355936568524568</t>
  </si>
  <si>
    <t>1.6993676380507685</t>
  </si>
  <si>
    <t>-4.027304934750254</t>
  </si>
  <si>
    <t>0.39210003668058346</t>
  </si>
  <si>
    <t>1.1499027225625111</t>
  </si>
  <si>
    <t>-1.050424275851504</t>
  </si>
  <si>
    <t>1.7357245497595084</t>
  </si>
  <si>
    <t>0.43775368106895207</t>
  </si>
  <si>
    <t>-1.1670963404754775</t>
  </si>
  <si>
    <t>1.8585366855098846</t>
  </si>
  <si>
    <t>-1.5451874424209606</t>
  </si>
  <si>
    <t>-3.1249061151097113</t>
  </si>
  <si>
    <t>3.2265789757151886</t>
  </si>
  <si>
    <t>-1.001130274033739</t>
  </si>
  <si>
    <t>-0.03620268802739266</t>
  </si>
  <si>
    <t>-0.18338917268979452</t>
  </si>
  <si>
    <t>-2.374935801766366</t>
  </si>
  <si>
    <t>-1.0895715053858939</t>
  </si>
  <si>
    <t>-0.9429168649891522</t>
  </si>
  <si>
    <t>1.4795422407139711</t>
  </si>
  <si>
    <t>3.5844392770714695</t>
  </si>
  <si>
    <t>-5.694655318883776</t>
  </si>
  <si>
    <t>-1.1509333146466374</t>
  </si>
  <si>
    <t>-1.8663095663507587</t>
  </si>
  <si>
    <t>1.1053127168615782</t>
  </si>
  <si>
    <t>1.5720970242309635</t>
  </si>
  <si>
    <t>-2.2256865945776694</t>
  </si>
  <si>
    <t>0.4842080868537562</t>
  </si>
  <si>
    <t>2.1733675104330943</t>
  </si>
  <si>
    <t>6.384550543384531</t>
  </si>
  <si>
    <t>0.45753584396890745</t>
  </si>
  <si>
    <t>-0.12984278496867888</t>
  </si>
  <si>
    <t>-0.755352053139306</t>
  </si>
  <si>
    <t>-0.9607268994366202</t>
  </si>
  <si>
    <t>-3.420046988158963</t>
  </si>
  <si>
    <t>4.114872544400468</t>
  </si>
  <si>
    <t>-0.8922509806972124</t>
  </si>
  <si>
    <t>0.7276487838549733</t>
  </si>
  <si>
    <t>0.08409657281086479</t>
  </si>
  <si>
    <t>0.06749346396362164</t>
  </si>
  <si>
    <t>-5.633441768770852</t>
  </si>
  <si>
    <t>-0.29992331397411165</t>
  </si>
  <si>
    <t>-0.4832905412131467</t>
  </si>
  <si>
    <t>4.448480184658981</t>
  </si>
  <si>
    <t>0.9451672843311802</t>
  </si>
  <si>
    <t>-4.345413534911303</t>
  </si>
  <si>
    <t>-3.4730223542952916</t>
  </si>
  <si>
    <t>-0.30152592575124054</t>
  </si>
  <si>
    <t>0.430747520584557</t>
  </si>
  <si>
    <t>-0.4999100890455023</t>
  </si>
  <si>
    <t>0.6091056664513927</t>
  </si>
  <si>
    <t>0.5641646972817554</t>
  </si>
  <si>
    <t>-1.1602439425215256</t>
  </si>
  <si>
    <t>-3.01294426198334</t>
  </si>
  <si>
    <t>2.134762530695926</t>
  </si>
  <si>
    <t>-0.66428542918505</t>
  </si>
  <si>
    <t>0.26530420619865663</t>
  </si>
  <si>
    <t>-0.4620455128550447</t>
  </si>
  <si>
    <t>-1.8856370651145107</t>
  </si>
  <si>
    <t>1.1557560215795144</t>
  </si>
  <si>
    <t>4.183313449539903</t>
  </si>
  <si>
    <t>-2.110044378938619</t>
  </si>
  <si>
    <t>-2.5849082855449073</t>
  </si>
  <si>
    <t>-1.0228731743701365</t>
  </si>
  <si>
    <t>-0.9270298796478903</t>
  </si>
  <si>
    <t>1.4833122435436605</t>
  </si>
  <si>
    <t>3.1742617551087613</t>
  </si>
  <si>
    <t>-0.05757664798816103</t>
  </si>
  <si>
    <t>3.284520603978343</t>
  </si>
  <si>
    <t>-3.6569313038354303</t>
  </si>
  <si>
    <t>-1.4976790965861</t>
  </si>
  <si>
    <t>-0.853943495522341</t>
  </si>
  <si>
    <t>1.1395610239384812</t>
  </si>
  <si>
    <t>0.6721769257150656</t>
  </si>
  <si>
    <t>0.04105028768431517</t>
  </si>
  <si>
    <t>-0.24548274882636129</t>
  </si>
  <si>
    <t>-0.10828278114444514</t>
  </si>
  <si>
    <t>-0.9655655359418313</t>
  </si>
  <si>
    <t>0.5288211298326144</t>
  </si>
  <si>
    <t>0.10965403452458597</t>
  </si>
  <si>
    <t>-0.04372302485303115</t>
  </si>
  <si>
    <t>-0.23771295470149723</t>
  </si>
  <si>
    <t>0.8016802519949547</t>
  </si>
  <si>
    <t>2.608973918599328</t>
  </si>
  <si>
    <t>-0.9162619942508257</t>
  </si>
  <si>
    <t>0.8111854194919899</t>
  </si>
  <si>
    <t>0.6706774643142034</t>
  </si>
  <si>
    <t>-0.49124808538829917</t>
  </si>
  <si>
    <t>1.9442124035088642</t>
  </si>
  <si>
    <t>0.8599037215985106</t>
  </si>
  <si>
    <t>-1.5333960744995787</t>
  </si>
  <si>
    <t>-0.6623742434548814</t>
  </si>
  <si>
    <t>0.805939862665178</t>
  </si>
  <si>
    <t>-0.8569963945542685</t>
  </si>
  <si>
    <t>-0.3252968157425975</t>
  </si>
  <si>
    <t>0.6726798293384277</t>
  </si>
  <si>
    <t>-0.4240778369674867</t>
  </si>
  <si>
    <t>0.6784740541637934</t>
  </si>
  <si>
    <t>-1.273837282444358</t>
  </si>
  <si>
    <t>3.9744598063947976</t>
  </si>
  <si>
    <t>1.2275390121783838</t>
  </si>
  <si>
    <t>-0.4128298837973476</t>
  </si>
  <si>
    <t>0.2508561421236968</t>
  </si>
  <si>
    <t>2.658750416689944</t>
  </si>
  <si>
    <t>-0.721432063773799</t>
  </si>
  <si>
    <t>-0.07179224060948367</t>
  </si>
  <si>
    <t>0.8862632417614215</t>
  </si>
  <si>
    <t>-0.628677602893153</t>
  </si>
  <si>
    <t>0.28845701375766</t>
  </si>
  <si>
    <t>0.021285919506612478</t>
  </si>
  <si>
    <t>-0.7010407529394949</t>
  </si>
  <si>
    <t>1.3428449069005202</t>
  </si>
  <si>
    <t>-0.48393840594245796</t>
  </si>
  <si>
    <t>0.07527524284022834</t>
  </si>
  <si>
    <t>-0.6823861343711578</t>
  </si>
  <si>
    <t>-1.3570633944128099</t>
  </si>
  <si>
    <t>0.6616775761180025</t>
  </si>
  <si>
    <t>0.26639854280736264</t>
  </si>
  <si>
    <t>-0.8445849565243021</t>
  </si>
  <si>
    <t>1.6264720701347049</t>
  </si>
  <si>
    <t>2.830797463517615</t>
  </si>
  <si>
    <t>0.2738643768437372</t>
  </si>
  <si>
    <t>0.19641165123506338</t>
  </si>
  <si>
    <t>0.6419876239785579</t>
  </si>
  <si>
    <t>0.6411346564316865</t>
  </si>
  <si>
    <t>-1.5026803884375843</t>
  </si>
  <si>
    <t>-0.6670777375466445</t>
  </si>
  <si>
    <t>0.06524346465570846</t>
  </si>
  <si>
    <t>-1.1279020740738113</t>
  </si>
  <si>
    <t>-1.010379922266546</t>
  </si>
  <si>
    <t>-1.4774402397419948</t>
  </si>
  <si>
    <t>2.8207283744066283</t>
  </si>
  <si>
    <t>-1.733460790824923</t>
  </si>
  <si>
    <t>-0.7114512379315342</t>
  </si>
  <si>
    <t>-0.4147315047854245</t>
  </si>
  <si>
    <t>0.3751953579490939</t>
  </si>
  <si>
    <t>1.2808788761413712</t>
  </si>
  <si>
    <t>-1.7822221605301947</t>
  </si>
  <si>
    <t>0.5345835035851336</t>
  </si>
  <si>
    <t>-1.5411745441781395</t>
  </si>
  <si>
    <t>0.4140741795466102</t>
  </si>
  <si>
    <t>-1.7173603540990607</t>
  </si>
  <si>
    <t>1.6202796123291916</t>
  </si>
  <si>
    <t>3.902864115408421</t>
  </si>
  <si>
    <t>1.9832370166553817</t>
  </si>
  <si>
    <t>-0.7730355165658722</t>
  </si>
  <si>
    <t>-1.7169084410452966</t>
  </si>
  <si>
    <t>-1.404641189141319</t>
  </si>
  <si>
    <t>2.658492250980441</t>
  </si>
  <si>
    <t>-1.2252077804408987</t>
  </si>
  <si>
    <t>3.2819298146630755</t>
  </si>
  <si>
    <t>-0.958820617993269</t>
  </si>
  <si>
    <t>0.11490257526706493</t>
  </si>
  <si>
    <t>-0.720674400967062</t>
  </si>
  <si>
    <t>-1.4302216857315007</t>
  </si>
  <si>
    <t>2.171290151453996</t>
  </si>
  <si>
    <t>-0.19647632921833938</t>
  </si>
  <si>
    <t>-0.9597216327341345</t>
  </si>
  <si>
    <t>0.43729111360750755</t>
  </si>
  <si>
    <t>-1.1464980423965123</t>
  </si>
  <si>
    <t>0.6391986898310884</t>
  </si>
  <si>
    <t>-0.5691374749815573</t>
  </si>
  <si>
    <t>-0.657409998794038</t>
  </si>
  <si>
    <t>-0.872722599214635</t>
  </si>
  <si>
    <t>0.2231051736120584</t>
  </si>
  <si>
    <t>-0.6185726277092569</t>
  </si>
  <si>
    <t>-0.9805815502571029</t>
  </si>
  <si>
    <t>1.5409824248510533</t>
  </si>
  <si>
    <t>-0.1534166306020229</t>
  </si>
  <si>
    <t>-1.3248730661864565</t>
  </si>
  <si>
    <t>1.4753139461932436</t>
  </si>
  <si>
    <t>-1.331349064439308</t>
  </si>
  <si>
    <t>-0.6962823589830917</t>
  </si>
  <si>
    <t>-0.23145119155619215</t>
  </si>
  <si>
    <t>-0.1140694999814784</t>
  </si>
  <si>
    <t>-0.34921689437082604</t>
  </si>
  <si>
    <t>1.315292781127822</t>
  </si>
  <si>
    <t>0.5309329015832502</t>
  </si>
  <si>
    <t>0.49486492104675855</t>
  </si>
  <si>
    <t>1.8466802575793813</t>
  </si>
  <si>
    <t>-1.66575139162892</t>
  </si>
  <si>
    <t>-0.767474282720994</t>
  </si>
  <si>
    <t>1.3711132251052467</t>
  </si>
  <si>
    <t>-0.40124544685121416</t>
  </si>
  <si>
    <t>-1.5230081336608594</t>
  </si>
  <si>
    <t>-0.34357177890836893</t>
  </si>
  <si>
    <t>0.17949179009593477</t>
  </si>
  <si>
    <t>-1.298461427157431</t>
  </si>
  <si>
    <t>-1.9574968066717517</t>
  </si>
  <si>
    <t>-0.22371474991405282</t>
  </si>
  <si>
    <t>4.906136002158158</t>
  </si>
  <si>
    <t>-0.00170011839270842</t>
  </si>
  <si>
    <t>0.6623409831262542</t>
  </si>
  <si>
    <t>2.454219620978148</t>
  </si>
  <si>
    <t>0.7351442210615463</t>
  </si>
  <si>
    <t>0.616000580837354</t>
  </si>
  <si>
    <t>1.6810619292364402</t>
  </si>
  <si>
    <t>0.2915862386152048</t>
  </si>
  <si>
    <t>-0.7487425948628379</t>
  </si>
  <si>
    <t>0.3045698300422749</t>
  </si>
  <si>
    <t>-0.4790166788000056</t>
  </si>
  <si>
    <t>-0.3505604782705474</t>
  </si>
  <si>
    <t>0.06745432968413097</t>
  </si>
  <si>
    <t>-0.5324950673250786</t>
  </si>
  <si>
    <t>-1.977316291807848</t>
  </si>
  <si>
    <t>-1.3908325712258451</t>
  </si>
  <si>
    <t>2.208778266001164</t>
  </si>
  <si>
    <t>0.08962233758776374</t>
  </si>
  <si>
    <t>-1.5723785980206828</t>
  </si>
  <si>
    <t>-1.8126699485319768</t>
  </si>
  <si>
    <t>-0.6444937268495647</t>
  </si>
  <si>
    <t>-1.0748014659056004</t>
  </si>
  <si>
    <t>0.6200014339651098</t>
  </si>
  <si>
    <t>0.03848268591769661</t>
  </si>
  <si>
    <t>-0.5623691133503232</t>
  </si>
  <si>
    <t>0.7200265971116357</t>
  </si>
  <si>
    <t>-0.6265868460294337</t>
  </si>
  <si>
    <t>-1.7108899934903963</t>
  </si>
  <si>
    <t>-1.7911102460527781</t>
  </si>
  <si>
    <t>-0.058800310148405255</t>
  </si>
  <si>
    <t>1.2480652611780814</t>
  </si>
  <si>
    <t>1.6056458457158904</t>
  </si>
  <si>
    <t>-1.118350975327724</t>
  </si>
  <si>
    <t>-0.16848656968290998</t>
  </si>
  <si>
    <t>-0.4410317760537255</t>
  </si>
  <si>
    <t>0.5789214371170589</t>
  </si>
  <si>
    <t>1.0087910708836096</t>
  </si>
  <si>
    <t>1.19588122879899</t>
  </si>
  <si>
    <t>-0.05105016075455417</t>
  </si>
  <si>
    <t>-1.0606249716847511</t>
  </si>
  <si>
    <t>-3.8309293088977485</t>
  </si>
  <si>
    <t>0.11899329330079454</t>
  </si>
  <si>
    <t>-0.2453319611272352</t>
  </si>
  <si>
    <t>0.1672742893889741</t>
  </si>
  <si>
    <t>0.4000022721377491</t>
  </si>
  <si>
    <t>2.413282400308173</t>
  </si>
  <si>
    <t>-0.8630482850279961</t>
  </si>
  <si>
    <t>0.3215225536372489</t>
  </si>
  <si>
    <t>-0.36906618893146476</t>
  </si>
  <si>
    <t>-1.4878548038198518</t>
  </si>
  <si>
    <t>-1.1913971972923945</t>
  </si>
  <si>
    <t>-1.3330633511531589</t>
  </si>
  <si>
    <t>0.35825016679309996</t>
  </si>
  <si>
    <t>0.535887865261902</t>
  </si>
  <si>
    <t>-0.8707565075214098</t>
  </si>
  <si>
    <t>0.08854403255106222</t>
  </si>
  <si>
    <t>0.15246404905207142</t>
  </si>
  <si>
    <t>-1.4650730629829636</t>
  </si>
  <si>
    <t>0.6699465193261601</t>
  </si>
  <si>
    <t>-0.9804156538803627</t>
  </si>
  <si>
    <t>0.14514227199442195</t>
  </si>
  <si>
    <t>-1.7773413944808958</t>
  </si>
  <si>
    <t>0.13025762831249207</t>
  </si>
  <si>
    <t>2.237793611896403</t>
  </si>
  <si>
    <t>0.3462946081032959</t>
  </si>
  <si>
    <t>-1.4178776216901132</t>
  </si>
  <si>
    <t>-4.115017087333678</t>
  </si>
  <si>
    <t>1.1670537770055118</t>
  </si>
  <si>
    <t>-0.5740636754741819</t>
  </si>
  <si>
    <t>0.881965190987952</t>
  </si>
  <si>
    <t>0.25733574838939344</t>
  </si>
  <si>
    <t>2.141754866462512</t>
  </si>
  <si>
    <t>-0.25330249062138255</t>
  </si>
  <si>
    <t>0.49528414121690073</t>
  </si>
  <si>
    <t>1.5209309432616516</t>
  </si>
  <si>
    <t>-0.33686246605641845</t>
  </si>
  <si>
    <t>-0.6117101898207078</t>
  </si>
  <si>
    <t>-0.2015931371476165</t>
  </si>
  <si>
    <t>-0.2020422672434088</t>
  </si>
  <si>
    <t>1.994795749695816</t>
  </si>
  <si>
    <t>0.2406407894477956</t>
  </si>
  <si>
    <t>0.6817317690897459</t>
  </si>
  <si>
    <t>-0.7511083324099658</t>
  </si>
  <si>
    <t>-1.0490086247209616</t>
  </si>
  <si>
    <t>-0.8501446648670341</t>
  </si>
  <si>
    <t>0.5692205145301475</t>
  </si>
  <si>
    <t>-0.2919122751084454</t>
  </si>
  <si>
    <t>-0.8531544762506466</t>
  </si>
  <si>
    <t>-0.4399119624303209</t>
  </si>
  <si>
    <t>0.31222259511458544</t>
  </si>
  <si>
    <t>0.6453527550065814</t>
  </si>
  <si>
    <t>-1.8027659982601814</t>
  </si>
  <si>
    <t>3.5335813740307462</t>
  </si>
  <si>
    <t>-0.6939005805013266</t>
  </si>
  <si>
    <t>2.014000132768389</t>
  </si>
  <si>
    <t>1.8264286273421624</t>
  </si>
  <si>
    <t>2.9212076024244897</t>
  </si>
  <si>
    <t>-1.0011886585822687</t>
  </si>
  <si>
    <t>-1.181905826875479</t>
  </si>
  <si>
    <t>-0.34814166107741035</t>
  </si>
  <si>
    <t>1.1394107748669378</t>
  </si>
  <si>
    <t>-0.9543467376321523</t>
  </si>
  <si>
    <t>-0.028623903277176056</t>
  </si>
  <si>
    <t>-0.6470373226822754</t>
  </si>
  <si>
    <t>-0.04638516077904677</t>
  </si>
  <si>
    <t>0.4866537067775572</t>
  </si>
  <si>
    <t>-0.24640734732406083</t>
  </si>
  <si>
    <t>-0.7091986147021297</t>
  </si>
  <si>
    <t>-1.3886490353287018</t>
  </si>
  <si>
    <t>-0.8204460712473343</t>
  </si>
  <si>
    <t>0.3380532365136026</t>
  </si>
  <si>
    <t>1.7119926067779483</t>
  </si>
  <si>
    <t>0.409050436494805</t>
  </si>
  <si>
    <t>-0.08842555560924058</t>
  </si>
  <si>
    <t>-0.15971995858375224</t>
  </si>
  <si>
    <t>-0.21247114571812659</t>
  </si>
  <si>
    <t>-0.4843625747589136</t>
  </si>
  <si>
    <t>4.4962522755904315</t>
  </si>
  <si>
    <t>-1.1247353259253483</t>
  </si>
  <si>
    <t>0.04623794194105866</t>
  </si>
  <si>
    <t>-0.6567372995481542</t>
  </si>
  <si>
    <t>-1.0229558810221415</t>
  </si>
  <si>
    <t>1.4235115185025617</t>
  </si>
  <si>
    <t>-0.3318772963836119</t>
  </si>
  <si>
    <t>3.176299831374979</t>
  </si>
  <si>
    <t>0.04968349292182622</t>
  </si>
  <si>
    <t>-0.05634978087434887</t>
  </si>
  <si>
    <t>-0.11033325514859924</t>
  </si>
  <si>
    <t>-0.39906099925936067</t>
  </si>
  <si>
    <t>0.08752486578255617</t>
  </si>
  <si>
    <t>-1.427328263924172</t>
  </si>
  <si>
    <t>0.7592120779177431</t>
  </si>
  <si>
    <t>1.229231019257632</t>
  </si>
  <si>
    <t>0.7802357795380119</t>
  </si>
  <si>
    <t>-0.9313820692665234</t>
  </si>
  <si>
    <t>1.6741082685843867</t>
  </si>
  <si>
    <t>-1.267155189029764</t>
  </si>
  <si>
    <t>-0.2183230054704206</t>
  </si>
  <si>
    <t>-0.15234493137130375</t>
  </si>
  <si>
    <t>3.416834728615348</t>
  </si>
  <si>
    <t>0.5737143972945673</t>
  </si>
  <si>
    <t>-0.1477347880021946</t>
  </si>
  <si>
    <t>1.4309928441476851</t>
  </si>
  <si>
    <t>1.762134270565241</t>
  </si>
  <si>
    <t>1.4885717227491024</t>
  </si>
  <si>
    <t>-0.8740083643625569</t>
  </si>
  <si>
    <t>1.6114732570101458</t>
  </si>
  <si>
    <t>0.3625218544910582</t>
  </si>
  <si>
    <t>-0.014914274984511467</t>
  </si>
  <si>
    <t>0.18190733372309473</t>
  </si>
  <si>
    <t>-0.8266900633927983</t>
  </si>
  <si>
    <t>0.6060714073642269</t>
  </si>
  <si>
    <t>1.9283582186843011</t>
  </si>
  <si>
    <t>-0.3809677225690032</t>
  </si>
  <si>
    <t>0.17927093930890567</t>
  </si>
  <si>
    <t>3.097028877462424</t>
  </si>
  <si>
    <t>0.6133303539747964</t>
  </si>
  <si>
    <t>2.9998059971621274</t>
  </si>
  <si>
    <t>0.17530748554514836</t>
  </si>
  <si>
    <t>0.1418326864907862</t>
  </si>
  <si>
    <t>0.3775302607874821</t>
  </si>
  <si>
    <t>-0.13543504031764012</t>
  </si>
  <si>
    <t>-0.21543879200250213</t>
  </si>
  <si>
    <t>-0.23781818759758386</t>
  </si>
  <si>
    <t>0.34937020717532097</t>
  </si>
  <si>
    <t>-0.11181876987832294</t>
  </si>
  <si>
    <t>-0.36878102429512044</t>
  </si>
  <si>
    <t>-0.6179395505164977</t>
  </si>
  <si>
    <t>0.716660377060687</t>
  </si>
  <si>
    <t>-0.5399715806527379</t>
  </si>
  <si>
    <t>-0.08690488334486374</t>
  </si>
  <si>
    <t>-0.28240979031331953</t>
  </si>
  <si>
    <t>-0.36571846700811944</t>
  </si>
  <si>
    <t>0.23389822117380424</t>
  </si>
  <si>
    <t>0.05837537103970682</t>
  </si>
  <si>
    <t>0.07561003165155177</t>
  </si>
  <si>
    <t>-0.670387991137345</t>
  </si>
  <si>
    <t>0.44114229398061156</t>
  </si>
  <si>
    <t>0.3528628606486355</t>
  </si>
  <si>
    <t>0.17147917199750135</t>
  </si>
  <si>
    <t>0.11917351578086466</t>
  </si>
  <si>
    <t>0.40070601032900144</t>
  </si>
  <si>
    <t>0.43806101021518395</t>
  </si>
  <si>
    <t>0.5375988170651166</t>
  </si>
  <si>
    <t>-0.6389414828447801</t>
  </si>
  <si>
    <t>0.4111466778076859</t>
  </si>
  <si>
    <t>-0.3845730552474915</t>
  </si>
  <si>
    <t>-0.6217065162027223</t>
  </si>
  <si>
    <t>0.8942136576027488</t>
  </si>
  <si>
    <t>-0.7409448022163448</t>
  </si>
  <si>
    <t>0.15562960114455518</t>
  </si>
  <si>
    <t>0.7336339497905909</t>
  </si>
  <si>
    <t>-0.3786926085707795</t>
  </si>
  <si>
    <t>-0.4959579758673479</t>
  </si>
  <si>
    <t>0.6960026030883071</t>
  </si>
  <si>
    <t>-0.2661329804088023</t>
  </si>
  <si>
    <t>-0.1542022588470348</t>
  </si>
  <si>
    <t>-0.34312658279899416</t>
  </si>
  <si>
    <t>0.10195049867595689</t>
  </si>
  <si>
    <t>-0.13729068092344723</t>
  </si>
  <si>
    <t>0.7806668059146402</t>
  </si>
  <si>
    <t>0.5159014179738856</t>
  </si>
  <si>
    <t>-0.5044643289440235</t>
  </si>
  <si>
    <t>0.2921649344386476</t>
  </si>
  <si>
    <t>0.1575698651759922</t>
  </si>
  <si>
    <t>-0.10265705325725191</t>
  </si>
  <si>
    <t>0.1905172907458973</t>
  </si>
  <si>
    <t>0.12582073713970984</t>
  </si>
  <si>
    <t>-0.45490186368909763</t>
  </si>
  <si>
    <t>0.46286556602092577</t>
  </si>
  <si>
    <t>-0.44040836143919476</t>
  </si>
  <si>
    <t>-0.18580720866788486</t>
  </si>
  <si>
    <t>-0.3802621610513501</t>
  </si>
  <si>
    <t>-0.317390022611752</t>
  </si>
  <si>
    <t>0.48185765579785433</t>
  </si>
  <si>
    <t>0.22017942987051375</t>
  </si>
  <si>
    <t>-0.39729365048502935</t>
  </si>
  <si>
    <t>0.5231350586900039</t>
  </si>
  <si>
    <t>0.6605706637421503</t>
  </si>
  <si>
    <t>-0.17373733273224434</t>
  </si>
  <si>
    <t>-0.20831185392589846</t>
  </si>
  <si>
    <t>0.5601393270525392</t>
  </si>
  <si>
    <t>0.738416119240236</t>
  </si>
  <si>
    <t>-0.2772104122519824</t>
  </si>
  <si>
    <t>-0.28825234662809524</t>
  </si>
  <si>
    <t>-0.007489172587604113</t>
  </si>
  <si>
    <t>0.12974954205384834</t>
  </si>
  <si>
    <t>-0.12092848790659634</t>
  </si>
  <si>
    <t>0.45955671930657327</t>
  </si>
  <si>
    <t>-0.3804200870352667</t>
  </si>
  <si>
    <t>-0.19145477059888805</t>
  </si>
  <si>
    <t>-0.2154178744788851</t>
  </si>
  <si>
    <t>0.5761205972727718</t>
  </si>
  <si>
    <t>-0.635803040693779</t>
  </si>
  <si>
    <t>0.15065801427223563</t>
  </si>
  <si>
    <t>1.0508155887586783</t>
  </si>
  <si>
    <t>-0.2936606048745828</t>
  </si>
  <si>
    <t>-0.6233476896671969</t>
  </si>
  <si>
    <t>-0.012356599123349977</t>
  </si>
  <si>
    <t>0.23942908192038767</t>
  </si>
  <si>
    <t>-0.10854773629472834</t>
  </si>
  <si>
    <t>0.23552111747906404</t>
  </si>
  <si>
    <t>-0.38162306994623435</t>
  </si>
  <si>
    <t>-0.278577524306519</t>
  </si>
  <si>
    <t>-0.6533252226507849</t>
  </si>
  <si>
    <t>-0.45622897689154596</t>
  </si>
  <si>
    <t>-0.5339893470299221</t>
  </si>
  <si>
    <t>-0.3071159712420644</t>
  </si>
  <si>
    <t>-0.3293323877712296</t>
  </si>
  <si>
    <t>0.09806290053471563</t>
  </si>
  <si>
    <t>-0.2900163640809892</t>
  </si>
  <si>
    <t>0.5375317353718311</t>
  </si>
  <si>
    <t>-0.6003037469000876</t>
  </si>
  <si>
    <t>0.6982144718398876</t>
  </si>
  <si>
    <t>0.11147164314708376</t>
  </si>
  <si>
    <t>-0.052278201272498215</t>
  </si>
  <si>
    <t>1.2093188950867648</t>
  </si>
  <si>
    <t>-0.49042806528874994</t>
  </si>
  <si>
    <t>-0.11638072020939833</t>
  </si>
  <si>
    <t>0.21601357865918816</t>
  </si>
  <si>
    <t>0.7203455696884913</t>
  </si>
  <si>
    <t>-0.1203583452347918</t>
  </si>
  <si>
    <t>-0.36550122142308394</t>
  </si>
  <si>
    <t>0.8613113260826197</t>
  </si>
  <si>
    <t>-0.2622650753149802</t>
  </si>
  <si>
    <t>0.7594473518079684</t>
  </si>
  <si>
    <t>-0.34675845663252025</t>
  </si>
  <si>
    <t>0.352138949719792</t>
  </si>
  <si>
    <t>0.19873292171066984</t>
  </si>
  <si>
    <t>0.10503308645589962</t>
  </si>
  <si>
    <t>-0.9979088333557209</t>
  </si>
  <si>
    <t>0.36214417924429176</t>
  </si>
  <si>
    <t>0.17699440885521553</t>
  </si>
  <si>
    <t>-0.2144180660746761</t>
  </si>
  <si>
    <t>0.03917452475712925</t>
  </si>
  <si>
    <t>-0.8043953040447404</t>
  </si>
  <si>
    <t>-0.5799206706447066</t>
  </si>
  <si>
    <t>-0.23165160201541232</t>
  </si>
  <si>
    <t>0.7266987778742873</t>
  </si>
  <si>
    <t>0.31211128359133383</t>
  </si>
  <si>
    <t>-0.2870984903023428</t>
  </si>
  <si>
    <t>-0.38817533096853624</t>
  </si>
  <si>
    <t>0.1820589391635113</t>
  </si>
  <si>
    <t>-0.19707011042559583</t>
  </si>
  <si>
    <t>-0.48622558310832253</t>
  </si>
  <si>
    <t>0.16817535216444082</t>
  </si>
  <si>
    <t>0.48136474670567325</t>
  </si>
  <si>
    <t>0.30157975162288925</t>
  </si>
  <si>
    <t>0.24288684045963518</t>
  </si>
  <si>
    <t>0.3963808240464092</t>
  </si>
  <si>
    <t>0.1181336923343752</t>
  </si>
  <si>
    <t>0.5804812806591451</t>
  </si>
  <si>
    <t>0.22412822739490168</t>
  </si>
  <si>
    <t>0.0640671640698838</t>
  </si>
  <si>
    <t>0.3642837874957257</t>
  </si>
  <si>
    <t>0.4231487428052713</t>
  </si>
  <si>
    <t>0.12973227953481664</t>
  </si>
  <si>
    <t>-0.6559855951798838</t>
  </si>
  <si>
    <t>0.06334149896814888</t>
  </si>
  <si>
    <t>-0.01836426965027639</t>
  </si>
  <si>
    <t>0.31068254854235444</t>
  </si>
  <si>
    <t>0.6088251264336385</t>
  </si>
  <si>
    <t>0.43081486490262205</t>
  </si>
  <si>
    <t>0.421621363455973</t>
  </si>
  <si>
    <t>0.30371286114130575</t>
  </si>
  <si>
    <t>0.3365686719931947</t>
  </si>
  <si>
    <t>-0.15184338704234945</t>
  </si>
  <si>
    <t>0.43901496307608706</t>
  </si>
  <si>
    <t>-0.7199132647041129</t>
  </si>
  <si>
    <t>-0.16493058437050442</t>
  </si>
  <si>
    <t>0.1469300661088608</t>
  </si>
  <si>
    <t>0.36356065968308376</t>
  </si>
  <si>
    <t>0.0955235473298091</t>
  </si>
  <si>
    <t>0.25575419635565183</t>
  </si>
  <si>
    <t>0.2093377169768412</t>
  </si>
  <si>
    <t>-0.18378049035498537</t>
  </si>
  <si>
    <t>0.20645411443166628</t>
  </si>
  <si>
    <t>-0.26355539363709046</t>
  </si>
  <si>
    <t>-0.05499220041373767</t>
  </si>
  <si>
    <t>0.0007213713251959003</t>
  </si>
  <si>
    <t>-0.3263940039898953</t>
  </si>
  <si>
    <t>0.06347266916706124</t>
  </si>
  <si>
    <t>-0.8930541779058585</t>
  </si>
  <si>
    <t>-0.05993520705515826</t>
  </si>
  <si>
    <t>-0.005369483275375588</t>
  </si>
  <si>
    <t>0.569546613360016</t>
  </si>
  <si>
    <t>-0.2859472577400572</t>
  </si>
  <si>
    <t>0.3560923947145508</t>
  </si>
  <si>
    <t>0.12168661299071663</t>
  </si>
  <si>
    <t>-0.00016160091811738935</t>
  </si>
  <si>
    <t>0.44232351820266075</t>
  </si>
  <si>
    <t>0.1960768310562817</t>
  </si>
  <si>
    <t>0.32603865558514616</t>
  </si>
  <si>
    <t>0.4951265393545156</t>
  </si>
  <si>
    <t>0.019682386059151014</t>
  </si>
  <si>
    <t>0.2522748253424921</t>
  </si>
  <si>
    <t>-0.2070542975943937</t>
  </si>
  <si>
    <t>-0.14225848247048067</t>
  </si>
  <si>
    <t>0.43385132833632445</t>
  </si>
  <si>
    <t>0.17074205854968752</t>
  </si>
  <si>
    <t>-0.3632909680801402</t>
  </si>
  <si>
    <t>0.23587575510535025</t>
  </si>
  <si>
    <t>0.09669974484639662</t>
  </si>
  <si>
    <t>-0.036023812594626795</t>
  </si>
  <si>
    <t>0.20004836670591045</t>
  </si>
  <si>
    <t>-0.002598753972646637</t>
  </si>
  <si>
    <t>0.14950921482312157</t>
  </si>
  <si>
    <t>-0.2669384933898724</t>
  </si>
  <si>
    <t>0.4775867767116672</t>
  </si>
  <si>
    <t>0.10491364641720928</t>
  </si>
  <si>
    <t>-0.1399135545252112</t>
  </si>
  <si>
    <t>0.11321796646872594</t>
  </si>
  <si>
    <t>0.321163043075776</t>
  </si>
  <si>
    <t>-0.13826027394320597</t>
  </si>
  <si>
    <t>0.10189212521006853</t>
  </si>
  <si>
    <t>-0.1282272640573139</t>
  </si>
  <si>
    <t>-0.3992370206120713</t>
  </si>
  <si>
    <t>0.22701691995654952</t>
  </si>
  <si>
    <t>0.5350977254213025</t>
  </si>
  <si>
    <t>0.5023729125046067</t>
  </si>
  <si>
    <t>0.9155612546321515</t>
  </si>
  <si>
    <t>-0.6993558196007242</t>
  </si>
  <si>
    <t>0.558634779377174</t>
  </si>
  <si>
    <t>-0.1981225999167092</t>
  </si>
  <si>
    <t>0.15458893456800996</t>
  </si>
  <si>
    <t>-0.06400621336542682</t>
  </si>
  <si>
    <t>0.02319684971246756</t>
  </si>
  <si>
    <t>-0.4578729753261584</t>
  </si>
  <si>
    <t>-0.4145657292770572</t>
  </si>
  <si>
    <t>1.2969971566338552</t>
  </si>
  <si>
    <t>0.5549417014320659</t>
  </si>
  <si>
    <t>0.20869195251929493</t>
  </si>
  <si>
    <t>0.3727880164576853</t>
  </si>
  <si>
    <t>-0.022611738210577836</t>
  </si>
  <si>
    <t>0.3216501767997626</t>
  </si>
  <si>
    <t>-0.044420927402753406</t>
  </si>
  <si>
    <t>0.017754956478755968</t>
  </si>
  <si>
    <t>-0.40577653402780345</t>
  </si>
  <si>
    <t>0.13465492010249427</t>
  </si>
  <si>
    <t>0.37611874805324064</t>
  </si>
  <si>
    <t>0.10664566998831455</t>
  </si>
  <si>
    <t>0.21852009065200237</t>
  </si>
  <si>
    <t>-0.4317671467462686</t>
  </si>
  <si>
    <t>-0.2530468672474559</t>
  </si>
  <si>
    <t>-0.8159586146705021</t>
  </si>
  <si>
    <t>-0.15816190219350468</t>
  </si>
  <si>
    <t>0.047648355128409675</t>
  </si>
  <si>
    <t>1.2246189164235373</t>
  </si>
  <si>
    <t>-0.2749306397989397</t>
  </si>
  <si>
    <t>-0.7648428851328926</t>
  </si>
  <si>
    <t>-0.8926785077674573</t>
  </si>
  <si>
    <t>0.011998953093028055</t>
  </si>
  <si>
    <t>0.15440022147460628</t>
  </si>
  <si>
    <t>0.42844040320939963</t>
  </si>
  <si>
    <t>1.365358710442755</t>
  </si>
  <si>
    <t>0.6160063329154422</t>
  </si>
  <si>
    <t>-0.34888263420631654</t>
  </si>
  <si>
    <t>0.1731219759868508</t>
  </si>
  <si>
    <t>0.4285531418701485</t>
  </si>
  <si>
    <t>0.4928877777181803</t>
  </si>
  <si>
    <t>0.5503807967649522</t>
  </si>
  <si>
    <t>-0.44756272389464474</t>
  </si>
  <si>
    <t>-0.5029120937084967</t>
  </si>
  <si>
    <t>0.6850703282422737</t>
  </si>
  <si>
    <t>0.8671379123905424</t>
  </si>
  <si>
    <t>0.26980052536980925</t>
  </si>
  <si>
    <t>-0.24524928432626653</t>
  </si>
  <si>
    <t>-0.6848187297284075</t>
  </si>
  <si>
    <t>0.6325112384672171</t>
  </si>
  <si>
    <t>0.6193867332598076</t>
  </si>
  <si>
    <t>-0.8792184628119254</t>
  </si>
  <si>
    <t>-0.08657742229118486</t>
  </si>
  <si>
    <t>-0.20359946122006076</t>
  </si>
  <si>
    <t>0.28478905873056765</t>
  </si>
  <si>
    <t>0.6058133378979946</t>
  </si>
  <si>
    <t>0.0868192699807268</t>
  </si>
  <si>
    <t>0.24119048620781888</t>
  </si>
  <si>
    <t>0.6877548139385881</t>
  </si>
  <si>
    <t>0.5296741307099553</t>
  </si>
  <si>
    <t>0.6150973240467835</t>
  </si>
  <si>
    <t>0.07961589099433047</t>
  </si>
  <si>
    <t>-0.03654986921085761</t>
  </si>
  <si>
    <t>-0.361531540064657</t>
  </si>
  <si>
    <t>0.8779968443347574</t>
  </si>
  <si>
    <t>0.08661181485356904</t>
  </si>
  <si>
    <t>-0.1531504627365066</t>
  </si>
  <si>
    <t>-0.11629302852662415</t>
  </si>
  <si>
    <t>0.1130106165069581</t>
  </si>
  <si>
    <t>0.28963431987386434</t>
  </si>
  <si>
    <t>0.01991515055518317</t>
  </si>
  <si>
    <t>-0.5971974740830467</t>
  </si>
  <si>
    <t>0.41784240351590035</t>
  </si>
  <si>
    <t>0.5268045251097788</t>
  </si>
  <si>
    <t>-0.15375338352123877</t>
  </si>
  <si>
    <t>0.4824506961752988</t>
  </si>
  <si>
    <t>1.27933429262438</t>
  </si>
  <si>
    <t>0.03536068810369948</t>
  </si>
  <si>
    <t>-0.42157569928347094</t>
  </si>
  <si>
    <t>-0.14307581909957118</t>
  </si>
  <si>
    <t>-0.034058708971908644</t>
  </si>
  <si>
    <t>0.2246064863096371</t>
  </si>
  <si>
    <t>0.12076601384912507</t>
  </si>
  <si>
    <t>-0.2850211149220084</t>
  </si>
  <si>
    <t>-0.23664178304880595</t>
  </si>
  <si>
    <t>0.12093586208110454</t>
  </si>
  <si>
    <t>-0.22487500200352298</t>
  </si>
  <si>
    <t>-0.47579217718085953</t>
  </si>
  <si>
    <t>-0.31557012904479437</t>
  </si>
  <si>
    <t>0.3776576313310756</t>
  </si>
  <si>
    <t>-0.15143573939238633</t>
  </si>
  <si>
    <t>-0.31362437863476106</t>
  </si>
  <si>
    <t>0.01094500427934737</t>
  </si>
  <si>
    <t>-0.05376297921082508</t>
  </si>
  <si>
    <t>0.14192274253475362</t>
  </si>
  <si>
    <t>-0.5979451969806506</t>
  </si>
  <si>
    <t>-0.29569988660422</t>
  </si>
  <si>
    <t>-0.18411088842884304</t>
  </si>
  <si>
    <t>0.07878868448032231</t>
  </si>
  <si>
    <t>-0.2846589305253109</t>
  </si>
  <si>
    <t>-0.2648828688418094</t>
  </si>
  <si>
    <t>0.1598137488153415</t>
  </si>
  <si>
    <t>1.0446555781301123</t>
  </si>
  <si>
    <t>0.3471406596369424</t>
  </si>
  <si>
    <t>-0.834736010050177</t>
  </si>
  <si>
    <t>-2.030783079511139</t>
  </si>
  <si>
    <t>1.5071747835492557</t>
  </si>
  <si>
    <t>-0.41202323341435626</t>
  </si>
  <si>
    <t>1.2932540432646449</t>
  </si>
  <si>
    <t>-2.186173194111629</t>
  </si>
  <si>
    <t>-0.2875837022890772</t>
  </si>
  <si>
    <t>1.0530012956110506</t>
  </si>
  <si>
    <t>-1.179147503646983</t>
  </si>
  <si>
    <t>-1.2868241902022672</t>
  </si>
  <si>
    <t>-0.6143976054970326</t>
  </si>
  <si>
    <t>0.47658749552465574</t>
  </si>
  <si>
    <t>1.609011644689275</t>
  </si>
  <si>
    <t>1.4990166125300526</t>
  </si>
  <si>
    <t>0.429931786835029</t>
  </si>
  <si>
    <t>-0.13748757723610405</t>
  </si>
  <si>
    <t>-1.912615589982424</t>
  </si>
  <si>
    <t>0.0754722422670854</t>
  </si>
  <si>
    <t>-0.22479135918725535</t>
  </si>
  <si>
    <t>-0.30879604084993634</t>
  </si>
  <si>
    <t>0.3159984519864014</t>
  </si>
  <si>
    <t>-1.3299028098548753</t>
  </si>
  <si>
    <t>-1.0401470900119714</t>
  </si>
  <si>
    <t>0.5091805997022458</t>
  </si>
  <si>
    <t>0.6577544908028742</t>
  </si>
  <si>
    <t>0.6962005589224509</t>
  </si>
  <si>
    <t>-1.2056934992742339</t>
  </si>
  <si>
    <t>0.3248447373751933</t>
  </si>
  <si>
    <t>-0.016919146706132888</t>
  </si>
  <si>
    <t>-0.5341768965130685</t>
  </si>
  <si>
    <t>-0.41839676310623847</t>
  </si>
  <si>
    <t>-0.9064869374353836</t>
  </si>
  <si>
    <t>-0.5386341416066428</t>
  </si>
  <si>
    <t>-0.6738366512716283</t>
  </si>
  <si>
    <t>-0.6301360373024725</t>
  </si>
  <si>
    <t>0.2110341294668267</t>
  </si>
  <si>
    <t>0.23161753792796597</t>
  </si>
  <si>
    <t>-1.4521947986397166</t>
  </si>
  <si>
    <t>4.673461516635574</t>
  </si>
  <si>
    <t>0.23637413615109065</t>
  </si>
  <si>
    <t>-0.21449017348269436</t>
  </si>
  <si>
    <t>-0.5214355201862769</t>
  </si>
  <si>
    <t>0.4388529873032301</t>
  </si>
  <si>
    <t>-0.19402618392841156</t>
  </si>
  <si>
    <t>0.8749281302836419</t>
  </si>
  <si>
    <t>8.860256299666989e-05</t>
  </si>
  <si>
    <t>-0.5230422476407943</t>
  </si>
  <si>
    <t>1.045097348077424</t>
  </si>
  <si>
    <t>0.9472841778278915</t>
  </si>
  <si>
    <t>1.048996934997972</t>
  </si>
  <si>
    <t>0.1769875918367351</t>
  </si>
  <si>
    <t>-0.34498691092076983</t>
  </si>
  <si>
    <t>1.2195369689597517</t>
  </si>
  <si>
    <t>-0.42106937014123813</t>
  </si>
  <si>
    <t>-0.07663687433377203</t>
  </si>
  <si>
    <t>0.3145826987390054</t>
  </si>
  <si>
    <t>0.5674552221221641</t>
  </si>
  <si>
    <t>3.0408983799509564</t>
  </si>
  <si>
    <t>-1.5966692715046342</t>
  </si>
  <si>
    <t>-1.0998532165404338</t>
  </si>
  <si>
    <t>0.4052451618236069</t>
  </si>
  <si>
    <t>-0.6200249491476965</t>
  </si>
  <si>
    <t>-0.26434405340428757</t>
  </si>
  <si>
    <t>-1.589951894110325</t>
  </si>
  <si>
    <t>-1.642840422684289</t>
  </si>
  <si>
    <t>0.38802560593704605</t>
  </si>
  <si>
    <t>-0.3691804255748721</t>
  </si>
  <si>
    <t>1.3587588630640552</t>
  </si>
  <si>
    <t>0.4028776702846084</t>
  </si>
  <si>
    <t>0.10163024389306054</t>
  </si>
  <si>
    <t>0.3323708490510684</t>
  </si>
  <si>
    <t>-0.22500202881157</t>
  </si>
  <si>
    <t>-0.9164200425689603</t>
  </si>
  <si>
    <t>0.7605297677487614</t>
  </si>
  <si>
    <t>-1.4012408568542232</t>
  </si>
  <si>
    <t>0.012978024664302526</t>
  </si>
  <si>
    <t>-2.004495612693843</t>
  </si>
  <si>
    <t>-0.05896717752086943</t>
  </si>
  <si>
    <t>0.7120378397954528</t>
  </si>
  <si>
    <t>1.3017923255786623</t>
  </si>
  <si>
    <t>-0.741164824596036</t>
  </si>
  <si>
    <t>-0.6364639651217255</t>
  </si>
  <si>
    <t>-0.4947613326027908</t>
  </si>
  <si>
    <t>-0.7083567738930895</t>
  </si>
  <si>
    <t>-0.029566137475032665</t>
  </si>
  <si>
    <t>-1.4689882074347937</t>
  </si>
  <si>
    <t>-0.40219548460065185</t>
  </si>
  <si>
    <t>0.8328248748987904</t>
  </si>
  <si>
    <t>-1.0444369646597136</t>
  </si>
  <si>
    <t>-0.0736003622671439</t>
  </si>
  <si>
    <t>1.8593417643545382</t>
  </si>
  <si>
    <t>-1.0381611072906243</t>
  </si>
  <si>
    <t>0.28489040965167733</t>
  </si>
  <si>
    <t>-0.7947032554665469</t>
  </si>
  <si>
    <t>0.2607481796378952</t>
  </si>
  <si>
    <t>0.21315237343422366</t>
  </si>
  <si>
    <t>0.8143244637274709</t>
  </si>
  <si>
    <t>-0.2583831128312529</t>
  </si>
  <si>
    <t>-0.10672798961008761</t>
  </si>
  <si>
    <t>1.3868318305032727</t>
  </si>
  <si>
    <t>-1.271060803144076</t>
  </si>
  <si>
    <t>0.09870669851344169</t>
  </si>
  <si>
    <t>0.13634903775569174</t>
  </si>
  <si>
    <t>-0.6971321822613983</t>
  </si>
  <si>
    <t>0.10989109108026697</t>
  </si>
  <si>
    <t>0.18214515622271882</t>
  </si>
  <si>
    <t>1.4703082803511962</t>
  </si>
  <si>
    <t>0.1303307183181455</t>
  </si>
  <si>
    <t>0.5609957759047994</t>
  </si>
  <si>
    <t>-0.42012816877812104</t>
  </si>
  <si>
    <t>0.6919406706047798</t>
  </si>
  <si>
    <t>0.49076245699753107</t>
  </si>
  <si>
    <t>-0.4155222989061949</t>
  </si>
  <si>
    <t>-1.1802667610135154</t>
  </si>
  <si>
    <t>1.4868823032512444</t>
  </si>
  <si>
    <t>0.9688235042565447</t>
  </si>
  <si>
    <t>0.3876375884701709</t>
  </si>
  <si>
    <t>0.7004563699574949</t>
  </si>
  <si>
    <t>0.37714716037128204</t>
  </si>
  <si>
    <t>0.5011979615897735</t>
  </si>
  <si>
    <t>-0.7128856884365786</t>
  </si>
  <si>
    <t>-0.4441130096610005</t>
  </si>
  <si>
    <t>-0.032134713623008106</t>
  </si>
  <si>
    <t>-0.8484930831382347</t>
  </si>
  <si>
    <t>-0.012157822538103654</t>
  </si>
  <si>
    <t>-1.1201515368682067</t>
  </si>
  <si>
    <t>0.6155756060610889</t>
  </si>
  <si>
    <t>0.833382298371676</t>
  </si>
  <si>
    <t>-0.18236393223585665</t>
  </si>
  <si>
    <t>-0.5339917472931323</t>
  </si>
  <si>
    <t>-1.1754326493237928</t>
  </si>
  <si>
    <t>-0.07926806120145491</t>
  </si>
  <si>
    <t>0.4620408936106428</t>
  </si>
  <si>
    <t>-0.3719583256608575</t>
  </si>
  <si>
    <t>0.8891397540810292</t>
  </si>
  <si>
    <t>0.1272676764288178</t>
  </si>
  <si>
    <t>-0.7561470789239139</t>
  </si>
  <si>
    <t>-0.3648789498188625</t>
  </si>
  <si>
    <t>1.4788154289318112</t>
  </si>
  <si>
    <t>0.039183954107492716</t>
  </si>
  <si>
    <t>-0.12006852214863958</t>
  </si>
  <si>
    <t>0.6776334152927878</t>
  </si>
  <si>
    <t>-0.35472578815087125</t>
  </si>
  <si>
    <t>-0.0551884614065726</t>
  </si>
  <si>
    <t>0.11135867400944195</t>
  </si>
  <si>
    <t>0.1650337877008233</t>
  </si>
  <si>
    <t>0.8840287824001309</t>
  </si>
  <si>
    <t>-0.1465018851611699</t>
  </si>
  <si>
    <t>-1.1142484991756556</t>
  </si>
  <si>
    <t>-0.3219285657326709</t>
  </si>
  <si>
    <t>0.6631984538062938</t>
  </si>
  <si>
    <t>0.10032184359910118</t>
  </si>
  <si>
    <t>-0.1708312103233852</t>
  </si>
  <si>
    <t>-0.4791699334345583</t>
  </si>
  <si>
    <t>0.19743417083360698</t>
  </si>
  <si>
    <t>1.0703468191364784</t>
  </si>
  <si>
    <t>0.33072292601496656</t>
  </si>
  <si>
    <t>-0.06602645049278359</t>
  </si>
  <si>
    <t>-0.32418790597910985</t>
  </si>
  <si>
    <t>1.01757843963407</t>
  </si>
  <si>
    <t>-1.3250580686796793</t>
  </si>
  <si>
    <t>-0.5911005126924027</t>
  </si>
  <si>
    <t>0.44887598617416125</t>
  </si>
  <si>
    <t>0.038777080395385674</t>
  </si>
  <si>
    <t>0.9700916669056948</t>
  </si>
  <si>
    <t>-0.03147158170421893</t>
  </si>
  <si>
    <t>-0.09902019197677339</t>
  </si>
  <si>
    <t>0.3049260875961009</t>
  </si>
  <si>
    <t>0.20358664196371817</t>
  </si>
  <si>
    <t>0.9058998249903801</t>
  </si>
  <si>
    <t>-0.34424765584122535</t>
  </si>
  <si>
    <t>-0.22424484963917524</t>
  </si>
  <si>
    <t>0.4519298971959111</t>
  </si>
  <si>
    <t>-0.034535415081760945</t>
  </si>
  <si>
    <t>1.0104881978812936</t>
  </si>
  <si>
    <t>-0.10418239818793186</t>
  </si>
  <si>
    <t>-0.9367941248835212</t>
  </si>
  <si>
    <t>0.12447614549726704</t>
  </si>
  <si>
    <t>0.9155847191428655</t>
  </si>
  <si>
    <t>-0.2723431010387929</t>
  </si>
  <si>
    <t>-0.9083265323531163</t>
  </si>
  <si>
    <t>-0.06319253101053103</t>
  </si>
  <si>
    <t>-1.1621157397553783</t>
  </si>
  <si>
    <t>0.7086704175338314</t>
  </si>
  <si>
    <t>0.05573401555303824</t>
  </si>
  <si>
    <t>0.10470938582099915</t>
  </si>
  <si>
    <t>-1.3544123697274753</t>
  </si>
  <si>
    <t>0.2328349677188041</t>
  </si>
  <si>
    <t>0.15633672156206482</t>
  </si>
  <si>
    <t>-0.2927499140247593</t>
  </si>
  <si>
    <t>1.5970966006921108</t>
  </si>
  <si>
    <t>-0.7084613543167335</t>
  </si>
  <si>
    <t>-1.013007033957153</t>
  </si>
  <si>
    <t>0.730253859901471</t>
  </si>
  <si>
    <t>-0.4023230174501162</t>
  </si>
  <si>
    <t>-0.3523366120907567</t>
  </si>
  <si>
    <t>0.18100085460225585</t>
  </si>
  <si>
    <t>0.05309484946209749</t>
  </si>
  <si>
    <t>-0.40325855694817886</t>
  </si>
  <si>
    <t>-0.039608273252336575</t>
  </si>
  <si>
    <t>0.6426754263407884</t>
  </si>
  <si>
    <t>0.027808458606521976</t>
  </si>
  <si>
    <t>-0.8888143769043283</t>
  </si>
  <si>
    <t>0.07375302238382608</t>
  </si>
  <si>
    <t>0.14393387218125223</t>
  </si>
  <si>
    <t>-0.0350507789465334</t>
  </si>
  <si>
    <t>-0.7636589291465882</t>
  </si>
  <si>
    <t>0.5553246160234726</t>
  </si>
  <si>
    <t>0.6676872089348868</t>
  </si>
  <si>
    <t>-0.49246345788222107</t>
  </si>
  <si>
    <t>0.36563025929875737</t>
  </si>
  <si>
    <t>1.552982072760743</t>
  </si>
  <si>
    <t>0.053868377098194475</t>
  </si>
  <si>
    <t>-0.16990780121028579</t>
  </si>
  <si>
    <t>-0.4886515439743465</t>
  </si>
  <si>
    <t>-0.19721624241120114</t>
  </si>
  <si>
    <t>0.04527009276815665</t>
  </si>
  <si>
    <t>0.4751095241303789</t>
  </si>
  <si>
    <t>0.332707026353234</t>
  </si>
  <si>
    <t>-0.3269693950614213</t>
  </si>
  <si>
    <t>-0.9872265359486088</t>
  </si>
  <si>
    <t>1.6044850218107287</t>
  </si>
  <si>
    <t>-0.7033423388105929</t>
  </si>
  <si>
    <t>-0.7582834407606276</t>
  </si>
  <si>
    <t>0.24822165876345834</t>
  </si>
  <si>
    <t>-0.4646595715399926</t>
  </si>
  <si>
    <t>-0.7209006566973598</t>
  </si>
  <si>
    <t>0.1135282076168549</t>
  </si>
  <si>
    <t>-1.743702202004869</t>
  </si>
  <si>
    <t>0.316219745367874</t>
  </si>
  <si>
    <t>-0.3255773546236079</t>
  </si>
  <si>
    <t>-0.443944378619359</t>
  </si>
  <si>
    <t>1.009635118926138</t>
  </si>
  <si>
    <t>0.31935074078086606</t>
  </si>
  <si>
    <t>0.1993263627845554</t>
  </si>
  <si>
    <t>-0.7587775032597873</t>
  </si>
  <si>
    <t>-0.6824927938327703</t>
  </si>
  <si>
    <t>-0.7370814985774247</t>
  </si>
  <si>
    <t>-0.899133624922911</t>
  </si>
  <si>
    <t>0.6957684673527352</t>
  </si>
  <si>
    <t>0.8736570995577979</t>
  </si>
  <si>
    <t>-1.9985403660962242</t>
  </si>
  <si>
    <t>0.5636038742558681</t>
  </si>
  <si>
    <t>-1.4863154625867365</t>
  </si>
  <si>
    <t>0.6697107199319894</t>
  </si>
  <si>
    <t>0.19377829960220988</t>
  </si>
  <si>
    <t>0.6351329859536752</t>
  </si>
  <si>
    <t>-0.33609829638202765</t>
  </si>
  <si>
    <t>1.304142410777186</t>
  </si>
  <si>
    <t>-0.46524694820085466</t>
  </si>
  <si>
    <t>-1.3484891191498356</t>
  </si>
  <si>
    <t>-0.35282760532917845</t>
  </si>
  <si>
    <t>-0.25041567308234514</t>
  </si>
  <si>
    <t>0.13347646458599927</t>
  </si>
  <si>
    <t>-0.07943214883578385</t>
  </si>
  <si>
    <t>-0.08931271248686677</t>
  </si>
  <si>
    <t>-0.9582744889813203</t>
  </si>
  <si>
    <t>-0.8066422194038759</t>
  </si>
  <si>
    <t>-0.11301851068514851</t>
  </si>
  <si>
    <t>0.2842627458319116</t>
  </si>
  <si>
    <t>-0.23771434060231666</t>
  </si>
  <si>
    <t>0.6030039563137305</t>
  </si>
  <si>
    <t>0.17085718157100807</t>
  </si>
  <si>
    <t>1.502387400154558</t>
  </si>
  <si>
    <t>0.36907265764419595</t>
  </si>
  <si>
    <t>-0.3952081427376319</t>
  </si>
  <si>
    <t>0.6643789359611874</t>
  </si>
  <si>
    <t>-0.007123223233208733</t>
  </si>
  <si>
    <t>-0.5262918030082667</t>
  </si>
  <si>
    <t>0.044764526554045246</t>
  </si>
  <si>
    <t>-0.6689033837005058</t>
  </si>
  <si>
    <t>0.24894159278571218</t>
  </si>
  <si>
    <t>-0.1575877136669862</t>
  </si>
  <si>
    <t>-0.4261073416102774</t>
  </si>
  <si>
    <t>-0.36475036340185846</t>
  </si>
  <si>
    <t>0.23619200263075066</t>
  </si>
  <si>
    <t>0.6384234485577369</t>
  </si>
  <si>
    <t>-0.6463978356212493</t>
  </si>
  <si>
    <t>-0.3626242100616</t>
  </si>
  <si>
    <t>0.8450680012235202</t>
  </si>
  <si>
    <t>-0.8744605418911328</t>
  </si>
  <si>
    <t>0.5543420778858139</t>
  </si>
  <si>
    <t>-0.23441963831800072</t>
  </si>
  <si>
    <t>-0.7854210918391271</t>
  </si>
  <si>
    <t>-0.12451074310008703</t>
  </si>
  <si>
    <t>-0.8624589197318736</t>
  </si>
  <si>
    <t>-0.455922747712793</t>
  </si>
  <si>
    <t>0.9680589996812513</t>
  </si>
  <si>
    <t>-0.04920548637513167</t>
  </si>
  <si>
    <t>-0.06864854560593386</t>
  </si>
  <si>
    <t>-0.1694041377667566</t>
  </si>
  <si>
    <t>0.33630035528516916</t>
  </si>
  <si>
    <t>0.43380423964803466</t>
  </si>
  <si>
    <t>-1.3413859138544066</t>
  </si>
  <si>
    <t>0.6086523831112051</t>
  </si>
  <si>
    <t>0.23543511484992355</t>
  </si>
  <si>
    <t>0.7856760474580071</t>
  </si>
  <si>
    <t>-0.8845493577067143</t>
  </si>
  <si>
    <t>0.20545998247689906</t>
  </si>
  <si>
    <t>-0.5478527099827365</t>
  </si>
  <si>
    <t>-0.8263140019384051</t>
  </si>
  <si>
    <t>-0.09099463611394039</t>
  </si>
  <si>
    <t>1.000869293197529</t>
  </si>
  <si>
    <t>-0.29465652979311124</t>
  </si>
  <si>
    <t>-0.26217335105373707</t>
  </si>
  <si>
    <t>0.3477041620159068</t>
  </si>
  <si>
    <t>0.052670564249767286</t>
  </si>
  <si>
    <t>1.005285614332954</t>
  </si>
  <si>
    <t>-0.11484631403500005</t>
  </si>
  <si>
    <t>-0.7418053042678036</t>
  </si>
  <si>
    <t>1.5125127031698247</t>
  </si>
  <si>
    <t>-0.7162134100088914</t>
  </si>
  <si>
    <t>0.4955960556137458</t>
  </si>
  <si>
    <t>-0.5836577640654577</t>
  </si>
  <si>
    <t>0.41040549558171846</t>
  </si>
  <si>
    <t>0.10943561887804548</t>
  </si>
  <si>
    <t>-0.48150402382788876</t>
  </si>
  <si>
    <t>0.17563784132190519</t>
  </si>
  <si>
    <t>0.06142443307773679</t>
  </si>
  <si>
    <t>0.2905289722448981</t>
  </si>
  <si>
    <t>-1.0463744950828586</t>
  </si>
  <si>
    <t>-1.0482614901870584</t>
  </si>
  <si>
    <t>-0.1253906366379466</t>
  </si>
  <si>
    <t>0.7359315974869136</t>
  </si>
  <si>
    <t>0.060621423309287374</t>
  </si>
  <si>
    <t>0.9176459583739867</t>
  </si>
  <si>
    <t>0.2711452820509005</t>
  </si>
  <si>
    <t>-1.3909312156869618</t>
  </si>
  <si>
    <t>-0.6367970777535594</t>
  </si>
  <si>
    <t>-0.4510018488788253</t>
  </si>
  <si>
    <t>-0.45082249602508057</t>
  </si>
  <si>
    <t>0.08638346868218941</t>
  </si>
  <si>
    <t>-0.1743986793173703</t>
  </si>
  <si>
    <t>0.12707876915111316</t>
  </si>
  <si>
    <t>0.2212449684164279</t>
  </si>
  <si>
    <t>-0.35854439789883646</t>
  </si>
  <si>
    <t>-0.5586657403103187</t>
  </si>
  <si>
    <t>1.206812405374208</t>
  </si>
  <si>
    <t>2.6509628959852547</t>
  </si>
  <si>
    <t>0.06814727701198585</t>
  </si>
  <si>
    <t>0.015667094550899614</t>
  </si>
  <si>
    <t>-0.05700928319257689</t>
  </si>
  <si>
    <t>-0.15663340361872433</t>
  </si>
  <si>
    <t>-0.3947943511693696</t>
  </si>
  <si>
    <t>-0.07581585929108953</t>
  </si>
  <si>
    <t>0.6633371687268331</t>
  </si>
  <si>
    <t>-0.1305308967225572</t>
  </si>
  <si>
    <t>0.8705700181085199</t>
  </si>
  <si>
    <t>1.5627733105855752</t>
  </si>
  <si>
    <t>0.005496270702487475</t>
  </si>
  <si>
    <t>-0.3920578553725781</t>
  </si>
  <si>
    <t>1.1132885073764833</t>
  </si>
  <si>
    <t>0.868094558443834</t>
  </si>
  <si>
    <t>0.8450425261361173</t>
  </si>
  <si>
    <t>-0.24969973260932182</t>
  </si>
  <si>
    <t>0.4119957685745721</t>
  </si>
  <si>
    <t>-0.1890355464110475</t>
  </si>
  <si>
    <t>-0.11253292571700667</t>
  </si>
  <si>
    <t>-0.3059238181244985</t>
  </si>
  <si>
    <t>0.6085881969026832</t>
  </si>
  <si>
    <t>0.5922604395025313</t>
  </si>
  <si>
    <t>-1.265888490843104</t>
  </si>
  <si>
    <t>1.872880159424893</t>
  </si>
  <si>
    <t>0.17036202821492877</t>
  </si>
  <si>
    <t>1.1418471150418288</t>
  </si>
  <si>
    <t>0.35101214950552345</t>
  </si>
  <si>
    <t>-0.8737899554866095</t>
  </si>
  <si>
    <t>0.3307720838442788</t>
  </si>
  <si>
    <t>0.1518483756081963</t>
  </si>
  <si>
    <t>-0.823882238852955</t>
  </si>
  <si>
    <t>0.32903510569956806</t>
  </si>
  <si>
    <t>-0.18112756839510044</t>
  </si>
  <si>
    <t>-0.18785619384683314</t>
  </si>
  <si>
    <t>-0.5406389891800848</t>
  </si>
  <si>
    <t>0.4293815150258231</t>
  </si>
  <si>
    <t>-0.32564986688301095</t>
  </si>
  <si>
    <t>0.3491892825349526</t>
  </si>
  <si>
    <t>-0.3532276630712435</t>
  </si>
  <si>
    <t>1.2254808135453814</t>
  </si>
  <si>
    <t>2.276421197881419</t>
  </si>
  <si>
    <t>-0.5777813705436421</t>
  </si>
  <si>
    <t>-0.8410714626553812</t>
  </si>
  <si>
    <t>-0.2076799320418782</t>
  </si>
  <si>
    <t>0.3170384840221956</t>
  </si>
  <si>
    <t>-0.5742898632617549</t>
  </si>
  <si>
    <t>0.0029122302856100764</t>
  </si>
  <si>
    <t>-0.27248584903399065</t>
  </si>
  <si>
    <t>-0.55012362837536</t>
  </si>
  <si>
    <t>1.6599022852814875</t>
  </si>
  <si>
    <t>-1.395118210900546</t>
  </si>
  <si>
    <t>-0.43909047560823383</t>
  </si>
  <si>
    <t>-0.35018252562461266</t>
  </si>
  <si>
    <t>0.037761202832602626</t>
  </si>
  <si>
    <t>0.12370522283922446</t>
  </si>
  <si>
    <t>-0.7534518381450643</t>
  </si>
  <si>
    <t>0.3105974107277855</t>
  </si>
  <si>
    <t>0.19639591427271266</t>
  </si>
  <si>
    <t>1.2557006150000567</t>
  </si>
  <si>
    <t>1.444514013937376</t>
  </si>
  <si>
    <t>-0.6336525383264117</t>
  </si>
  <si>
    <t>1.6772249786889812</t>
  </si>
  <si>
    <t>-0.8663392965168132</t>
  </si>
  <si>
    <t>-0.2352781831396163</t>
  </si>
  <si>
    <t>1.0640499877109206</t>
  </si>
  <si>
    <t>-0.5637178640236674</t>
  </si>
  <si>
    <t>0.31079741546390466</t>
  </si>
  <si>
    <t>0.07759698313400432</t>
  </si>
  <si>
    <t>0.28312492309433557</t>
  </si>
  <si>
    <t>0.008558896969677389</t>
  </si>
  <si>
    <t>-0.7494063241444893</t>
  </si>
  <si>
    <t>-0.7265106909796212</t>
  </si>
  <si>
    <t>-0.6284264697701172</t>
  </si>
  <si>
    <t>0.21790705246634906</t>
  </si>
  <si>
    <t>0.14385229915512066</t>
  </si>
  <si>
    <t>-1.3509797825188465</t>
  </si>
  <si>
    <t>-0.3815158486545845</t>
  </si>
  <si>
    <t>-1.1222785746095105</t>
  </si>
  <si>
    <t>0.7721240922780196</t>
  </si>
  <si>
    <t>0.519330284879915</t>
  </si>
  <si>
    <t>-1.0304369875499122</t>
  </si>
  <si>
    <t>-0.08626777969235012</t>
  </si>
  <si>
    <t>0.5443681471140628</t>
  </si>
  <si>
    <t>-0.7865704310781283</t>
  </si>
  <si>
    <t>-0.37880379306930423</t>
  </si>
  <si>
    <t>1.7179265797675856</t>
  </si>
  <si>
    <t>0.17048857067652728</t>
  </si>
  <si>
    <t>-0.16402263153190497</t>
  </si>
  <si>
    <t>-0.5371431909698264</t>
  </si>
  <si>
    <t>-0.15271595391801063</t>
  </si>
  <si>
    <t>-1.0289546377911158</t>
  </si>
  <si>
    <t>1.2057874719255846</t>
  </si>
  <si>
    <t>0.2946861273148469</t>
  </si>
  <si>
    <t>-0.1953382756330753</t>
  </si>
  <si>
    <t>-0.8255186177298812</t>
  </si>
  <si>
    <t>-0.2834759297757347</t>
  </si>
  <si>
    <t>-0.0830477098018264</t>
  </si>
  <si>
    <t>0.21265483254228384</t>
  </si>
  <si>
    <t>-0.17665127697215968</t>
  </si>
  <si>
    <t>-1.0800735488888127</t>
  </si>
  <si>
    <t>-0.10455432479971687</t>
  </si>
  <si>
    <t>1.3025531105005206</t>
  </si>
  <si>
    <t>1.8873908606738696</t>
  </si>
  <si>
    <t>-1.42834724793625</t>
  </si>
  <si>
    <t>-0.05986716369982663</t>
  </si>
  <si>
    <t>-0.3600351919657538</t>
  </si>
  <si>
    <t>-0.11933967761602621</t>
  </si>
  <si>
    <t>0.2366557301236386</t>
  </si>
  <si>
    <t>-0.3295052313238683</t>
  </si>
  <si>
    <t>-0.7360041701994363</t>
  </si>
  <si>
    <t>0.5982550970124068</t>
  </si>
  <si>
    <t>0.7215636939524998</t>
  </si>
  <si>
    <t>0.44865864075165834</t>
  </si>
  <si>
    <t>0.5667160581326284</t>
  </si>
  <si>
    <t>-0.15017459860691124</t>
  </si>
  <si>
    <t>-0.6010391595426124</t>
  </si>
  <si>
    <t>0.694964869959295</t>
  </si>
  <si>
    <t>-0.5229788054725072</t>
  </si>
  <si>
    <t>-0.7438491335096419</t>
  </si>
  <si>
    <t>-0.0991517700275775</t>
  </si>
  <si>
    <t>-0.3527387567092934</t>
  </si>
  <si>
    <t>0.6130511677986769</t>
  </si>
  <si>
    <t>1.2365430277531613</t>
  </si>
  <si>
    <t>-0.8322913229548751</t>
  </si>
  <si>
    <t>0.30555941022069766</t>
  </si>
  <si>
    <t>0.10260712486152784</t>
  </si>
  <si>
    <t>-0.3721818793677497</t>
  </si>
  <si>
    <t>0.46314432400865646</t>
  </si>
  <si>
    <t>0.03393982895574858</t>
  </si>
  <si>
    <t>-0.6972468126739451</t>
  </si>
  <si>
    <t>0.1287879930084983</t>
  </si>
  <si>
    <t>-0.01991041077318131</t>
  </si>
  <si>
    <t>-0.17804420295217435</t>
  </si>
  <si>
    <t>-0.10926191166490734</t>
  </si>
  <si>
    <t>-0.9718802010645856</t>
  </si>
  <si>
    <t>-0.31852767868415477</t>
  </si>
  <si>
    <t>1.0686494264750408</t>
  </si>
  <si>
    <t>-0.976751856260361</t>
  </si>
  <si>
    <t>0.2006536794679058</t>
  </si>
  <si>
    <t>-0.6195012593605737</t>
  </si>
  <si>
    <t>0.2397425958252481</t>
  </si>
  <si>
    <t>-0.24454455024849275</t>
  </si>
  <si>
    <t>0.8459910266474271</t>
  </si>
  <si>
    <t>0.03189375451818551</t>
  </si>
  <si>
    <t>-0.36063051890655723</t>
  </si>
  <si>
    <t>0.3648909668092046</t>
  </si>
  <si>
    <t>0.37004557337343996</t>
  </si>
  <si>
    <t>0.5120487717834413</t>
  </si>
  <si>
    <t>-1.32676409670571</t>
  </si>
  <si>
    <t>0.47265281881930826</t>
  </si>
  <si>
    <t>0.00772594626446145</t>
  </si>
  <si>
    <t>0.280926663952152</t>
  </si>
  <si>
    <t>1.0999233812450386</t>
  </si>
  <si>
    <t>-0.23759764501856906</t>
  </si>
  <si>
    <t>-0.09299401891902288</t>
  </si>
  <si>
    <t>-0.23595816930872057</t>
  </si>
  <si>
    <t>1.8870772690027724</t>
  </si>
  <si>
    <t>0.014074647863001364</t>
  </si>
  <si>
    <t>0.2584427876941985</t>
  </si>
  <si>
    <t>0.5653860868457256</t>
  </si>
  <si>
    <t>-0.48080409308281113</t>
  </si>
  <si>
    <t>-0.2636754285607052</t>
  </si>
  <si>
    <t>-0.08675404890372274</t>
  </si>
  <si>
    <t>-0.19743096161102894</t>
  </si>
  <si>
    <t>-0.5771125274977923</t>
  </si>
  <si>
    <t>0.35518419001412893</t>
  </si>
  <si>
    <t>1.5099342208742794</t>
  </si>
  <si>
    <t>-0.5455217405320332</t>
  </si>
  <si>
    <t>0.6946225540803054</t>
  </si>
  <si>
    <t>-0.8517410035438377</t>
  </si>
  <si>
    <t>-0.12131887747576628</t>
  </si>
  <si>
    <t>0.28046727103289665</t>
  </si>
  <si>
    <t>-0.8724030218535241</t>
  </si>
  <si>
    <t>0.10812656668943581</t>
  </si>
  <si>
    <t>0.20610426856677455</t>
  </si>
  <si>
    <t>-0.42204833577237183</t>
  </si>
  <si>
    <t>0.3799586921892314</t>
  </si>
  <si>
    <t>0.2997767508598236</t>
  </si>
  <si>
    <t>0.5085666088232745</t>
  </si>
  <si>
    <t>1.0285459746984589</t>
  </si>
  <si>
    <t>0.5679759461855214</t>
  </si>
  <si>
    <t>0.7948033819790743</t>
  </si>
  <si>
    <t>0.05735673656133761</t>
  </si>
  <si>
    <t>0.442081107081317</t>
  </si>
  <si>
    <t>-0.6270679876440366</t>
  </si>
  <si>
    <t>0.7014813677478832</t>
  </si>
  <si>
    <t>-1.3466836798392507</t>
  </si>
  <si>
    <t>1.7835900720104225</t>
  </si>
  <si>
    <t>-0.8110810491076998</t>
  </si>
  <si>
    <t>-1.3341633667874493</t>
  </si>
  <si>
    <t>-0.5705951244124696</t>
  </si>
  <si>
    <t>0.4597362601895257</t>
  </si>
  <si>
    <t>-1.2806917919901457</t>
  </si>
  <si>
    <t>0.7077316743754427</t>
  </si>
  <si>
    <t>1.1320821401096437</t>
  </si>
  <si>
    <t>-0.3126481757995273</t>
  </si>
  <si>
    <t>-1.0200598687160571</t>
  </si>
  <si>
    <t>1.1610648273246271</t>
  </si>
  <si>
    <t>-0.3029265409921005</t>
  </si>
  <si>
    <t>-0.45857662844013597</t>
  </si>
  <si>
    <t>0.2344596523454063</t>
  </si>
  <si>
    <t>-0.9496644536218289</t>
  </si>
  <si>
    <t>-0.8296535063307073</t>
  </si>
  <si>
    <t>-0.33728711668360334</t>
  </si>
  <si>
    <t>0.8295633132252985</t>
  </si>
  <si>
    <t>-0.305090087450717</t>
  </si>
  <si>
    <t>0.7546917050192217</t>
  </si>
  <si>
    <t>-0.8308550072808184</t>
  </si>
  <si>
    <t>-0.38522352189793735</t>
  </si>
  <si>
    <t>0.1729703506006569</t>
  </si>
  <si>
    <t>-0.19227806205418743</t>
  </si>
  <si>
    <t>1.183075289512636</t>
  </si>
  <si>
    <t>-1.0393523979516635</t>
  </si>
  <si>
    <t>-0.027510234888039123</t>
  </si>
  <si>
    <t>0.8916959059961304</t>
  </si>
  <si>
    <t>-0.7174590917968122</t>
  </si>
  <si>
    <t>-0.10875938569015205</t>
  </si>
  <si>
    <t>-0.49770455713702044</t>
  </si>
  <si>
    <t>-0.6480237563632534</t>
  </si>
  <si>
    <t>-0.052824294280678946</t>
  </si>
  <si>
    <t>-1.0774709529711972</t>
  </si>
  <si>
    <t>0.621844713404495</t>
  </si>
  <si>
    <t>0.011416192112711679</t>
  </si>
  <si>
    <t>-0.6309877250856513</t>
  </si>
  <si>
    <t>0.30772625655687946</t>
  </si>
  <si>
    <t>-0.0353732606208137</t>
  </si>
  <si>
    <t>-0.07957428994621032</t>
  </si>
  <si>
    <t>1.1673116683986897</t>
  </si>
  <si>
    <t>-0.11182401423051613</t>
  </si>
  <si>
    <t>0.47295888657803903</t>
  </si>
  <si>
    <t>-0.518926178786907</t>
  </si>
  <si>
    <t>-0.20277469760728573</t>
  </si>
  <si>
    <t>0.18755759513243697</t>
  </si>
  <si>
    <t>-0.1117037483790549</t>
  </si>
  <si>
    <t>0.7454000830840388</t>
  </si>
  <si>
    <t>-1.56777555255088</t>
  </si>
  <si>
    <t>-1.0323995944052577</t>
  </si>
  <si>
    <t>0.4431993696845763</t>
  </si>
  <si>
    <t>0.8203309083797411</t>
  </si>
  <si>
    <t>-0.5281828911910564</t>
  </si>
  <si>
    <t>-0.9232877944451934</t>
  </si>
  <si>
    <t>0.6299187375466063</t>
  </si>
  <si>
    <t>0.3806872098064306</t>
  </si>
  <si>
    <t>-0.11998588229730445</t>
  </si>
  <si>
    <t>-0.1410465050950308</t>
  </si>
  <si>
    <t>0.10210384112139582</t>
  </si>
  <si>
    <t>0.18750528718454287</t>
  </si>
  <si>
    <t>0.15272679427373137</t>
  </si>
  <si>
    <t>-0.06293095863710249</t>
  </si>
  <si>
    <t>0.7806458677678995</t>
  </si>
  <si>
    <t>0.5079164284211731</t>
  </si>
  <si>
    <t>-0.8166419085996618</t>
  </si>
  <si>
    <t>0.9095335237391143</t>
  </si>
  <si>
    <t>-0.21700229809580177</t>
  </si>
  <si>
    <t>-0.6427719073195962</t>
  </si>
  <si>
    <t>0.40110164055047426</t>
  </si>
  <si>
    <t>-0.6218687441292028</t>
  </si>
  <si>
    <t>0.053500558520952375</t>
  </si>
  <si>
    <t>0.8545126249673461</t>
  </si>
  <si>
    <t>-0.24532859923864886</t>
  </si>
  <si>
    <t>0.19063419856819533</t>
  </si>
  <si>
    <t>0.04058166357022875</t>
  </si>
  <si>
    <t>1.7406709932068387</t>
  </si>
  <si>
    <t>0.46310651783643536</t>
  </si>
  <si>
    <t>0.11582849010182154</t>
  </si>
  <si>
    <t>0.38911546822833254</t>
  </si>
  <si>
    <t>0.44563910609022866</t>
  </si>
  <si>
    <t>-0.39381642431810726</t>
  </si>
  <si>
    <t>-0.8942940407600152</t>
  </si>
  <si>
    <t>-0.8004286241318562</t>
  </si>
  <si>
    <t>0.7605500822076801</t>
  </si>
  <si>
    <t>0.586713218791108</t>
  </si>
  <si>
    <t>0.969000538680444</t>
  </si>
  <si>
    <t>0.5840461744433024</t>
  </si>
  <si>
    <t>0.5494550082212221</t>
  </si>
  <si>
    <t>0.26369910081032755</t>
  </si>
  <si>
    <t>0.37606267492530887</t>
  </si>
  <si>
    <t>0.20173029499040615</t>
  </si>
  <si>
    <t>-0.014895524272295693</t>
  </si>
  <si>
    <t>-0.06623653697446796</t>
  </si>
  <si>
    <t>-0.7887346675886282</t>
  </si>
  <si>
    <t>-0.44023050580295664</t>
  </si>
  <si>
    <t>-0.3817441769672077</t>
  </si>
  <si>
    <t>-0.0218594657609937</t>
  </si>
  <si>
    <t>-0.37154334450410903</t>
  </si>
  <si>
    <t>0.15143936526072044</t>
  </si>
  <si>
    <t>-0.8482676771585733</t>
  </si>
  <si>
    <t>-1.076621165730435</t>
  </si>
  <si>
    <t>0.24436622170135966</t>
  </si>
  <si>
    <t>0.0864990254294333</t>
  </si>
  <si>
    <t>0.014851628751881119</t>
  </si>
  <si>
    <t>0.8690448068366304</t>
  </si>
  <si>
    <t>0.2460394690540818</t>
  </si>
  <si>
    <t>-0.17410819721966736</t>
  </si>
  <si>
    <t>0.24932147434212124</t>
  </si>
  <si>
    <t>0.16257583540815398</t>
  </si>
  <si>
    <t>-0.6975825818282798</t>
  </si>
  <si>
    <t>-0.30202482556386284</t>
  </si>
  <si>
    <t>-0.8240346937304698</t>
  </si>
  <si>
    <t>-0.799888127874228</t>
  </si>
  <si>
    <t>-1.0095289985799643</t>
  </si>
  <si>
    <t>1.9958794030465563</t>
  </si>
  <si>
    <t>1.2424484910082618</t>
  </si>
  <si>
    <t>-0.8604974457348314</t>
  </si>
  <si>
    <t>-0.11240416877849417</t>
  </si>
  <si>
    <t>0.3590451274878348</t>
  </si>
  <si>
    <t>0.9287102606797424</t>
  </si>
  <si>
    <t>-0.15793093948330136</t>
  </si>
  <si>
    <t>0.8188759211960691</t>
  </si>
  <si>
    <t>-1.2183629764061403</t>
  </si>
  <si>
    <t>0.8086337401292674</t>
  </si>
  <si>
    <t>-0.6972958236605863</t>
  </si>
  <si>
    <t>0.9844337050518913</t>
  </si>
  <si>
    <t>-0.5719013313155605</t>
  </si>
  <si>
    <t>0.17906478179241433</t>
  </si>
  <si>
    <t>0.2174230620301304</t>
  </si>
  <si>
    <t>-0.0053196041396700875</t>
  </si>
  <si>
    <t>0.49431316340956805</t>
  </si>
  <si>
    <t>-0.003427668460241372</t>
  </si>
  <si>
    <t>-0.5170165879676298</t>
  </si>
  <si>
    <t>-1.6532589305466951</t>
  </si>
  <si>
    <t>-0.34226824370291625</t>
  </si>
  <si>
    <t>0.21890320759561602</t>
  </si>
  <si>
    <t>0.17085414764519002</t>
  </si>
  <si>
    <t>0.31660842101406744</t>
  </si>
  <si>
    <t>-0.46525360248923464</t>
  </si>
  <si>
    <t>0.6903373445665357</t>
  </si>
  <si>
    <t>-0.14421257106113267</t>
  </si>
  <si>
    <t>0.01956744484075492</t>
  </si>
  <si>
    <t>-0.24005125078151618</t>
  </si>
  <si>
    <t>-1.3388481606734681</t>
  </si>
  <si>
    <t>-0.27670596030993155</t>
  </si>
  <si>
    <t>0.22384970360784012</t>
  </si>
  <si>
    <t>0.16287678345304885</t>
  </si>
  <si>
    <t>-0.31787575277023644</t>
  </si>
  <si>
    <t>-0.005444866138230749</t>
  </si>
  <si>
    <t>-0.49405444109440827</t>
  </si>
  <si>
    <t>-1.1726659792204797</t>
  </si>
  <si>
    <t>0.5648137669726827</t>
  </si>
  <si>
    <t>1.1326828022325655</t>
  </si>
  <si>
    <t>0.20162731682562898</t>
  </si>
  <si>
    <t>-1.2643447967998938</t>
  </si>
  <si>
    <t>-0.5513652592248526</t>
  </si>
  <si>
    <t>0.2890902756178265</t>
  </si>
  <si>
    <t>-1.2641334821959642</t>
  </si>
  <si>
    <t>-1.0305524832111137</t>
  </si>
  <si>
    <t>0.40491688627926065</t>
  </si>
  <si>
    <t>-0.3138428667654291</t>
  </si>
  <si>
    <t>-0.8433755578639236</t>
  </si>
  <si>
    <t>0.1922091208338403</t>
  </si>
  <si>
    <t>0.1387222084097106</t>
  </si>
  <si>
    <t>1.9332732526174177</t>
  </si>
  <si>
    <t>-0.760163577121287</t>
  </si>
  <si>
    <t>-0.6735300445789996</t>
  </si>
  <si>
    <t>0.33170434343956395</t>
  </si>
  <si>
    <t>-1.1321356891826717</t>
  </si>
  <si>
    <t>0.13497993932361743</t>
  </si>
  <si>
    <t>0.5852164467613497</t>
  </si>
  <si>
    <t>0.03545371077263109</t>
  </si>
  <si>
    <t>0.04837139100053423</t>
  </si>
  <si>
    <t>-0.5155991650289541</t>
  </si>
  <si>
    <t>-0.4367419274738353</t>
  </si>
  <si>
    <t>0.4777017882512049</t>
  </si>
  <si>
    <t>-0.021215681903917566</t>
  </si>
  <si>
    <t>-0.3908272303767167</t>
  </si>
  <si>
    <t>-1.037186580276542</t>
  </si>
  <si>
    <t>-0.008762606211830639</t>
  </si>
  <si>
    <t>-0.1436838221254099</t>
  </si>
  <si>
    <t>-0.4699376472507588</t>
  </si>
  <si>
    <t>-0.043241725650767025</t>
  </si>
  <si>
    <t>0.7054878859760898</t>
  </si>
  <si>
    <t>-0.8539931979924491</t>
  </si>
  <si>
    <t>-0.830292239207945</t>
  </si>
  <si>
    <t>-0.33306713639599894</t>
  </si>
  <si>
    <t>-1.286403365273682</t>
  </si>
  <si>
    <t>-2.2564838721929235</t>
  </si>
  <si>
    <t>-1.3653136408500695</t>
  </si>
  <si>
    <t>-0.2328751903722491</t>
  </si>
  <si>
    <t>2.2667154736200534</t>
  </si>
  <si>
    <t>0.08143737764033104</t>
  </si>
  <si>
    <t>0.7630863979584943</t>
  </si>
  <si>
    <t>-0.330914917143606</t>
  </si>
  <si>
    <t>-0.9897400013905868</t>
  </si>
  <si>
    <t>0.5452608726080906</t>
  </si>
  <si>
    <t>1.3505583834297656</t>
  </si>
  <si>
    <t>-0.37255260742888263</t>
  </si>
  <si>
    <t>-1.6897267394536215</t>
  </si>
  <si>
    <t>-0.9675546117960834</t>
  </si>
  <si>
    <t>-1.7049640164606643</t>
  </si>
  <si>
    <t>-0.49873519409306727</t>
  </si>
  <si>
    <t>-0.19796618306770442</t>
  </si>
  <si>
    <t>-1.0397832831187979</t>
  </si>
  <si>
    <t>0.10870699197754706</t>
  </si>
  <si>
    <t>-1.338847193446426</t>
  </si>
  <si>
    <t>0.3295712041130049</t>
  </si>
  <si>
    <t>-0.8118822993258202</t>
  </si>
  <si>
    <t>0.13287360373763304</t>
  </si>
  <si>
    <t>-0.20288246734121246</t>
  </si>
  <si>
    <t>1.622579237866427</t>
  </si>
  <si>
    <t>-0.5463209174921275</t>
  </si>
  <si>
    <t>-0.9666648888349139</t>
  </si>
  <si>
    <t>-0.18551192291765767</t>
  </si>
  <si>
    <t>0.33690209683851563</t>
  </si>
  <si>
    <t>-0.6412526638435188</t>
  </si>
  <si>
    <t>-0.25382741210962945</t>
  </si>
  <si>
    <t>-1.3945291929063715</t>
  </si>
  <si>
    <t>-0.19703468993555623</t>
  </si>
  <si>
    <t>-1.4480024892209895</t>
  </si>
  <si>
    <t>-0.282938142589039</t>
  </si>
  <si>
    <t>1.6374787713649035</t>
  </si>
  <si>
    <t>-1.0630312855147945</t>
  </si>
  <si>
    <t>-0.17115956867129142</t>
  </si>
  <si>
    <t>-0.45231129497976813</t>
  </si>
  <si>
    <t>0.08341118035306895</t>
  </si>
  <si>
    <t>2.1509085754712514</t>
  </si>
  <si>
    <t>-0.9762348979622811</t>
  </si>
  <si>
    <t>-0.6899551505102113</t>
  </si>
  <si>
    <t>0.9483728506952022</t>
  </si>
  <si>
    <t>-0.46229393407981517</t>
  </si>
  <si>
    <t>1.6723239527870086</t>
  </si>
  <si>
    <t>0.09177931972263519</t>
  </si>
  <si>
    <t>1.6880219019456455</t>
  </si>
  <si>
    <t>1.2518912299796123</t>
  </si>
  <si>
    <t>0.5986022094892354</t>
  </si>
  <si>
    <t>2.0582382537158463</t>
  </si>
  <si>
    <t>-1.510533159638668</t>
  </si>
  <si>
    <t>-1.2856215140725964</t>
  </si>
  <si>
    <t>0.18943987929258682</t>
  </si>
  <si>
    <t>0.9566011826275226</t>
  </si>
  <si>
    <t>0.688170594499056</t>
  </si>
  <si>
    <t>1.7938135202296837</t>
  </si>
  <si>
    <t>-1.387252812475886</t>
  </si>
  <si>
    <t>-0.041121326423945136</t>
  </si>
  <si>
    <t>-0.4397395655846385</t>
  </si>
  <si>
    <t>-0.20298456266244796</t>
  </si>
  <si>
    <t>-0.9114516367684591</t>
  </si>
  <si>
    <t>-0.90661093119272</t>
  </si>
  <si>
    <t>0.9235527773533052</t>
  </si>
  <si>
    <t>1.0993618924652286</t>
  </si>
  <si>
    <t>-0.20738560416615667</t>
  </si>
  <si>
    <t>0.7116574761482092</t>
  </si>
  <si>
    <t>0.7768861584688076</t>
  </si>
  <si>
    <t>1.1714832101186605</t>
  </si>
  <si>
    <t>-1.926272577697654</t>
  </si>
  <si>
    <t>0.292576113755017</t>
  </si>
  <si>
    <t>0.870955194700501</t>
  </si>
  <si>
    <t>-0.4918201103607048</t>
  </si>
  <si>
    <t>0.8656274405007798</t>
  </si>
  <si>
    <t>0.4637792377783861</t>
  </si>
  <si>
    <t>0.7604512234365075</t>
  </si>
  <si>
    <t>1.110096034459858</t>
  </si>
  <si>
    <t>-0.09258923993242907</t>
  </si>
  <si>
    <t>-0.8347587862082769</t>
  </si>
  <si>
    <t>1.0530894336854797</t>
  </si>
  <si>
    <t>-0.033691386041761244</t>
  </si>
  <si>
    <t>0.7778177145099994</t>
  </si>
  <si>
    <t>0.010121968524467704</t>
  </si>
  <si>
    <t>0.4492456047587762</t>
  </si>
  <si>
    <t>-0.4554190493879077</t>
  </si>
  <si>
    <t>1.6798781987957212</t>
  </si>
  <si>
    <t>-0.9782756486920295</t>
  </si>
  <si>
    <t>1.0070438510258628</t>
  </si>
  <si>
    <t>-0.8782519018412925</t>
  </si>
  <si>
    <t>0.2510600373666066</t>
  </si>
  <si>
    <t>0.06356654936296253</t>
  </si>
  <si>
    <t>-1.03434606673378</t>
  </si>
  <si>
    <t>-1.2031264844711027</t>
  </si>
  <si>
    <t>0.1799307854461963</t>
  </si>
  <si>
    <t>-0.15152638795347462</t>
  </si>
  <si>
    <t>-1.8110152886915678</t>
  </si>
  <si>
    <t>2.40779736101</t>
  </si>
  <si>
    <t>-0.11805746091545154</t>
  </si>
  <si>
    <t>-0.5819739686104413</t>
  </si>
  <si>
    <t>-0.0464882293136453</t>
  </si>
  <si>
    <t>-1.0861323292567084</t>
  </si>
  <si>
    <t>0.6782370129416824</t>
  </si>
  <si>
    <t>-0.11435140214162558</t>
  </si>
  <si>
    <t>0.6332594958865049</t>
  </si>
  <si>
    <t>-1.171530457939387</t>
  </si>
  <si>
    <t>1.1314026223422142</t>
  </si>
  <si>
    <t>0.7656756126752505</t>
  </si>
  <si>
    <t>-1.6900785379206635</t>
  </si>
  <si>
    <t>-0.05190130895211216</t>
  </si>
  <si>
    <t>-0.8907690791028634</t>
  </si>
  <si>
    <t>-1.263374987622707</t>
  </si>
  <si>
    <t>0.70468046677127</t>
  </si>
  <si>
    <t>0.5351136131175482</t>
  </si>
  <si>
    <t>-0.43301773801050336</t>
  </si>
  <si>
    <t>-0.4531716829878482</t>
  </si>
  <si>
    <t>1.2825069574134804</t>
  </si>
  <si>
    <t>-1.2225470381419072</t>
  </si>
  <si>
    <t>-0.041951006988802435</t>
  </si>
  <si>
    <t>1.7351190410484814</t>
  </si>
  <si>
    <t>1.4993474644199878</t>
  </si>
  <si>
    <t>-1.099139411460982</t>
  </si>
  <si>
    <t>-0.25230781401908253</t>
  </si>
  <si>
    <t>1.2774963407931261</t>
  </si>
  <si>
    <t>1.2348169952948804</t>
  </si>
  <si>
    <t>-0.3838010645464091</t>
  </si>
  <si>
    <t>-0.07095678420681982</t>
  </si>
  <si>
    <t>0.217502265479643</t>
  </si>
  <si>
    <t>0.38788108764258766</t>
  </si>
  <si>
    <t>1.0095851811073697</t>
  </si>
  <si>
    <t>0.961353883042511</t>
  </si>
  <si>
    <t>0.5067575271777053</t>
  </si>
  <si>
    <t>1.021321973012374</t>
  </si>
  <si>
    <t>0.12849289661809332</t>
  </si>
  <si>
    <t>-0.140991103240251</t>
  </si>
  <si>
    <t>0.749684235193807</t>
  </si>
  <si>
    <t>1.0543378170951754</t>
  </si>
  <si>
    <t>0.7639528284651483</t>
  </si>
  <si>
    <t>-0.6520892905577982</t>
  </si>
  <si>
    <t>-0.2670746887450342</t>
  </si>
  <si>
    <t>0.12901746748759443</t>
  </si>
  <si>
    <t>-0.7474403982550906</t>
  </si>
  <si>
    <t>0.6185890419681197</t>
  </si>
  <si>
    <t>-0.3063377643062943</t>
  </si>
  <si>
    <t>-0.5725215129655551</t>
  </si>
  <si>
    <t>-0.3673462568940101</t>
  </si>
  <si>
    <t>0.606482172300314</t>
  </si>
  <si>
    <t>0.8317468395757769</t>
  </si>
  <si>
    <t>-1.392401651751077</t>
  </si>
  <si>
    <t>-0.8252524065858329</t>
  </si>
  <si>
    <t>-0.03306546958553976</t>
  </si>
  <si>
    <t>0.1676536281795028</t>
  </si>
  <si>
    <t>-0.924419945731631</t>
  </si>
  <si>
    <t>0.3630111146849529</t>
  </si>
  <si>
    <t>0.5923202556185679</t>
  </si>
  <si>
    <t>1.3598166918032293</t>
  </si>
  <si>
    <t>0.7242350191183273</t>
  </si>
  <si>
    <t>-0.6189282478740962</t>
  </si>
  <si>
    <t>0.2982984296015345</t>
  </si>
  <si>
    <t>-0.2799169515042955</t>
  </si>
  <si>
    <t>1.0565767528369485</t>
  </si>
  <si>
    <t>0.36192753561381874</t>
  </si>
  <si>
    <t>-0.6758597239023179</t>
  </si>
  <si>
    <t>0.38966497977941844</t>
  </si>
  <si>
    <t>0.9081636742636504</t>
  </si>
  <si>
    <t>0.5338298104794246</t>
  </si>
  <si>
    <t>-0.6971889250181258</t>
  </si>
  <si>
    <t>0.2853283275397066</t>
  </si>
  <si>
    <t>1.077408311546032</t>
  </si>
  <si>
    <t>-0.5864833126594073</t>
  </si>
  <si>
    <t>-0.3073978940304911</t>
  </si>
  <si>
    <t>0.02620235832826917</t>
  </si>
  <si>
    <t>0.8413512443446335</t>
  </si>
  <si>
    <t>0.455591296770774</t>
  </si>
  <si>
    <t>-1.027760350577981</t>
  </si>
  <si>
    <t>-0.21262116005102458</t>
  </si>
  <si>
    <t>-0.7191273602562621</t>
  </si>
  <si>
    <t>0.7657517777955156</t>
  </si>
  <si>
    <t>0.014927897287912894</t>
  </si>
  <si>
    <t>-0.09064996678095572</t>
  </si>
  <si>
    <t>-0.3933274569860494</t>
  </si>
  <si>
    <t>1.1841625808345944</t>
  </si>
  <si>
    <t>1.597187685155646</t>
  </si>
  <si>
    <t>-0.3914660183838767</t>
  </si>
  <si>
    <t>0.8936481883648996</t>
  </si>
  <si>
    <t>0.6679101106105749</t>
  </si>
  <si>
    <t>-0.7776346308870377</t>
  </si>
  <si>
    <t>-0.23464181813442675</t>
  </si>
  <si>
    <t>-0.41612207845489124</t>
  </si>
  <si>
    <t>-0.11165239709986219</t>
  </si>
  <si>
    <t>-0.6057169782319413</t>
  </si>
  <si>
    <t>-0.03994657286046751</t>
  </si>
  <si>
    <t>-0.8661266197074136</t>
  </si>
  <si>
    <t>-1.0272173496816077</t>
  </si>
  <si>
    <t>0.5669943013927932</t>
  </si>
  <si>
    <t>0.5462687133537393</t>
  </si>
  <si>
    <t>-0.6011930550066189</t>
  </si>
  <si>
    <t>0.7343962488193735</t>
  </si>
  <si>
    <t>-1.0040167677461338</t>
  </si>
  <si>
    <t>0.07783270424648679</t>
  </si>
  <si>
    <t>-0.24140335564889445</t>
  </si>
  <si>
    <t>-0.2653371061076434</t>
  </si>
  <si>
    <t>1.4841066277030588</t>
  </si>
  <si>
    <t>0.9064795963347305</t>
  </si>
  <si>
    <t>1.0760693443349316</t>
  </si>
  <si>
    <t>-0.6023908534992762</t>
  </si>
  <si>
    <t>-0.2642895488303417</t>
  </si>
  <si>
    <t>0.5332623969369122</t>
  </si>
  <si>
    <t>0.6891577911254085</t>
  </si>
  <si>
    <t>0.5799872822527179</t>
  </si>
  <si>
    <t>0.6712467596004766</t>
  </si>
  <si>
    <t>-0.20420033805712645</t>
  </si>
  <si>
    <t>0.0386478957920637</t>
  </si>
  <si>
    <t>-1.1590782592877404</t>
  </si>
  <si>
    <t>-0.5438147019348</t>
  </si>
  <si>
    <t>-0.16972551907611746</t>
  </si>
  <si>
    <t>-0.12310604917070345</t>
  </si>
  <si>
    <t>0.9381701498703499</t>
  </si>
  <si>
    <t>0.9865333079217069</t>
  </si>
  <si>
    <t>-0.48225813940410794</t>
  </si>
  <si>
    <t>-0.12892363648715918</t>
  </si>
  <si>
    <t>0.6286189774143158</t>
  </si>
  <si>
    <t>-1.0240351542266242</t>
  </si>
  <si>
    <t>1.0138580466289346</t>
  </si>
  <si>
    <t>-0.5923087444610484</t>
  </si>
  <si>
    <t>-0.43272839769161087</t>
  </si>
  <si>
    <t>-0.6582176463001348</t>
  </si>
  <si>
    <t>1.2137941638561884</t>
  </si>
  <si>
    <t>-0.6290654043202616</t>
  </si>
  <si>
    <t>0.1791353079377267</t>
  </si>
  <si>
    <t>0.5162627098510327</t>
  </si>
  <si>
    <t>-1.1395551770513193</t>
  </si>
  <si>
    <t>-0.2416628095088277</t>
  </si>
  <si>
    <t>0.12179346177465614</t>
  </si>
  <si>
    <t>0.004042130252352285</t>
  </si>
  <si>
    <t>-0.3122836488370561</t>
  </si>
  <si>
    <t>-0.5327339122174499</t>
  </si>
  <si>
    <t>-0.5316492727761858</t>
  </si>
  <si>
    <t>-0.014603497933946236</t>
  </si>
  <si>
    <t>-1.5054335883623053</t>
  </si>
  <si>
    <t>0.2121556470099312</t>
  </si>
  <si>
    <t>0.5926040673180727</t>
  </si>
  <si>
    <t>0.045729831512049644</t>
  </si>
  <si>
    <t>-0.4707817455048629</t>
  </si>
  <si>
    <t>0.02701576636740502</t>
  </si>
  <si>
    <t>0.1105873386263404</t>
  </si>
  <si>
    <t>0.20273262362749508</t>
  </si>
  <si>
    <t>0.5368888923726539</t>
  </si>
  <si>
    <t>-0.36500334751852476</t>
  </si>
  <si>
    <t>0.3407540974987557</t>
  </si>
  <si>
    <t>-0.49512739993637955</t>
  </si>
  <si>
    <t>0.35732144406114547</t>
  </si>
  <si>
    <t>0.626742141808857</t>
  </si>
  <si>
    <t>-1.13171102362688</t>
  </si>
  <si>
    <t>-0.21705935609640412</t>
  </si>
  <si>
    <t>-0.851405523891393</t>
  </si>
  <si>
    <t>0.3532462433066952</t>
  </si>
  <si>
    <t>0.11244056762022152</t>
  </si>
  <si>
    <t>-0.5232353285696744</t>
  </si>
  <si>
    <t>-0.3375617309336695</t>
  </si>
  <si>
    <t>-0.012202005907609934</t>
  </si>
  <si>
    <t>0.3996609268712658</t>
  </si>
  <si>
    <t>-1.1605030746710538</t>
  </si>
  <si>
    <t>1.9130407094044763</t>
  </si>
  <si>
    <t>-0.2429944291380915</t>
  </si>
  <si>
    <t>0.0448362299881759</t>
  </si>
  <si>
    <t>-0.9267892439125474</t>
  </si>
  <si>
    <t>-0.11821604310708114</t>
  </si>
  <si>
    <t>0.6919826158313276</t>
  </si>
  <si>
    <t>0.8601995169600394</t>
  </si>
  <si>
    <t>0.4669855876320423</t>
  </si>
  <si>
    <t>0.13362837103008351</t>
  </si>
  <si>
    <t>-0.20479218731713333</t>
  </si>
  <si>
    <t>1.8365215703578361</t>
  </si>
  <si>
    <t>-0.46462415531662044</t>
  </si>
  <si>
    <t>-0.317027096031731</t>
  </si>
  <si>
    <t>0.21353342831143884</t>
  </si>
  <si>
    <t>-0.11123202564768392</t>
  </si>
  <si>
    <t>0.6840580806746615</t>
  </si>
  <si>
    <t>0.5395897148558328</t>
  </si>
  <si>
    <t>0.3389388435420837</t>
  </si>
  <si>
    <t>0.6482170962408135</t>
  </si>
  <si>
    <t>-0.12607757994419258</t>
  </si>
  <si>
    <t>-1.3668548669098708</t>
  </si>
  <si>
    <t>-0.6291416722306451</t>
  </si>
  <si>
    <t>0.2967067808499403</t>
  </si>
  <si>
    <t>-0.2514265489728021</t>
  </si>
  <si>
    <t>-0.8488338760514529</t>
  </si>
  <si>
    <t>-0.8947742048586262</t>
  </si>
  <si>
    <t>0.02640515061951453</t>
  </si>
  <si>
    <t>0.7463139346111227</t>
  </si>
  <si>
    <t>0.6558235098625669</t>
  </si>
  <si>
    <t>-1.0312981643506813</t>
  </si>
  <si>
    <t>0.2271396078611898</t>
  </si>
  <si>
    <t>-0.7496525684522015</t>
  </si>
  <si>
    <t>0.03589344738443725</t>
  </si>
  <si>
    <t>0.7968032446400091</t>
  </si>
  <si>
    <t>1.2232238780732805</t>
  </si>
  <si>
    <t>1.2395649780112357</t>
  </si>
  <si>
    <t>0.3959467577995267</t>
  </si>
  <si>
    <t>-0.7370484549128598</t>
  </si>
  <si>
    <t>1.5779831988375541</t>
  </si>
  <si>
    <t>-0.023073044240362838</t>
  </si>
  <si>
    <t>0.35352662991077805</t>
  </si>
  <si>
    <t>-0.04709360037144937</t>
  </si>
  <si>
    <t>0.0814612366170656</t>
  </si>
  <si>
    <t>-1.4868361970769783</t>
  </si>
  <si>
    <t>-0.698889842955456</t>
  </si>
  <si>
    <t>-0.17346575147998675</t>
  </si>
  <si>
    <t>0.8369495205680084</t>
  </si>
  <si>
    <t>0.5033652122737483</t>
  </si>
  <si>
    <t>-0.01163584533280527</t>
  </si>
  <si>
    <t>-0.9926093917813776</t>
  </si>
  <si>
    <t>-0.2429417654161439</t>
  </si>
  <si>
    <t>0.5040394400153209</t>
  </si>
  <si>
    <t>0.05644956843277972</t>
  </si>
  <si>
    <t>0.13367580658476244</t>
  </si>
  <si>
    <t>-0.18948059764798406</t>
  </si>
  <si>
    <t>1.0513753639048307</t>
  </si>
  <si>
    <t>0.12944000752847204</t>
  </si>
  <si>
    <t>0.13603750694080877</t>
  </si>
  <si>
    <t>-0.8104580896102912</t>
  </si>
  <si>
    <t>-0.9244701808049032</t>
  </si>
  <si>
    <t>-0.429406020026943</t>
  </si>
  <si>
    <t>0.12483296441433661</t>
  </si>
  <si>
    <t>-0.47776078983603676</t>
  </si>
  <si>
    <t>-0.5614501345287667</t>
  </si>
  <si>
    <t>1.2877632118110274</t>
  </si>
  <si>
    <t>0.6794433395187027</t>
  </si>
  <si>
    <t>0.6643440861782463</t>
  </si>
  <si>
    <t>0.41489685161171297</t>
  </si>
  <si>
    <t>-0.26087313504420645</t>
  </si>
  <si>
    <t>0.6092861424273064</t>
  </si>
  <si>
    <t>0.07075754698235906</t>
  </si>
  <si>
    <t>-0.34028532652643806</t>
  </si>
  <si>
    <t>-1.1779725749307177</t>
  </si>
  <si>
    <t>0.9143993874480998</t>
  </si>
  <si>
    <t>0.7702195547094149</t>
  </si>
  <si>
    <t>1.3505282682607676</t>
  </si>
  <si>
    <t>-1.3595747658190123</t>
  </si>
  <si>
    <t>-0.06833349910765858</t>
  </si>
  <si>
    <t>-0.6333388857336855</t>
  </si>
  <si>
    <t>-0.19639113184100934</t>
  </si>
  <si>
    <t>0.4329194672944447</t>
  </si>
  <si>
    <t>-0.38760920512720975</t>
  </si>
  <si>
    <t>-0.9133115454534686</t>
  </si>
  <si>
    <t>-1.3572787034049643</t>
  </si>
  <si>
    <t>0.5834598004162477</t>
  </si>
  <si>
    <t>0.1295588593846816</t>
  </si>
  <si>
    <t>0.5984402934944827</t>
  </si>
  <si>
    <t>-0.5558575884565894</t>
  </si>
  <si>
    <t>0.028357192554440976</t>
  </si>
  <si>
    <t>0.4704233546892726</t>
  </si>
  <si>
    <t>-1.2384335398825468</t>
  </si>
  <si>
    <t>1.0738338624871933</t>
  </si>
  <si>
    <t>-0.08785158424955354</t>
  </si>
  <si>
    <t>0.445968510997055</t>
  </si>
  <si>
    <t>0.2600624871473754</t>
  </si>
  <si>
    <t>-0.38770619574206433</t>
  </si>
  <si>
    <t>1.1888670296839807</t>
  </si>
  <si>
    <t>0.007079794719982155</t>
  </si>
  <si>
    <t>-0.23448660150376394</t>
  </si>
  <si>
    <t>0.705416374109749</t>
  </si>
  <si>
    <t>1.1450753467198636</t>
  </si>
  <si>
    <t>-1.2551353947495938</t>
  </si>
  <si>
    <t>-0.7787842904858152</t>
  </si>
  <si>
    <t>1.8238193776522211</t>
  </si>
  <si>
    <t>0.8267445389334489</t>
  </si>
  <si>
    <t>-0.15301805001874674</t>
  </si>
  <si>
    <t>0.6825670220582808</t>
  </si>
  <si>
    <t>-0.9171085028107616</t>
  </si>
  <si>
    <t>-0.11477950167815772</t>
  </si>
  <si>
    <t>0.6639859141742457</t>
  </si>
  <si>
    <t>-0.49615008811188754</t>
  </si>
  <si>
    <t>0.9743691107602925</t>
  </si>
  <si>
    <t>0.49593241184905196</t>
  </si>
  <si>
    <t>1.1455538964289584</t>
  </si>
  <si>
    <t>0.16939203064936428</t>
  </si>
  <si>
    <t>-1.1692490177682744</t>
  </si>
  <si>
    <t>-1.2178334251117708</t>
  </si>
  <si>
    <t>0.17569344279299492</t>
  </si>
  <si>
    <t>-0.476432891454433</t>
  </si>
  <si>
    <t>-0.8065960414241052</t>
  </si>
  <si>
    <t>0.49791590259525975</t>
  </si>
  <si>
    <t>0.5294299562339858</t>
  </si>
  <si>
    <t>0.23300310872934193</t>
  </si>
  <si>
    <t>-1.7024787657711402</t>
  </si>
  <si>
    <t>2.271953818268316</t>
  </si>
  <si>
    <t>1.1603873390116286</t>
  </si>
  <si>
    <t>0.04628185521010361</t>
  </si>
  <si>
    <t>0.5873033454845457</t>
  </si>
  <si>
    <t>-0.11958581688137691</t>
  </si>
  <si>
    <t>0.09066698428213235</t>
  </si>
  <si>
    <t>0.6782705132744715</t>
  </si>
  <si>
    <t>-0.1246222917563072</t>
  </si>
  <si>
    <t>-0.6394497032658424</t>
  </si>
  <si>
    <t>-0.3549137131866044</t>
  </si>
  <si>
    <t>-1.4282962881341288</t>
  </si>
  <si>
    <t>2.0137771851023984</t>
  </si>
  <si>
    <t>0.4205200492874137</t>
  </si>
  <si>
    <t>0.2129807468089219</t>
  </si>
  <si>
    <t>-0.08258026841460138</t>
  </si>
  <si>
    <t>1.8431708151864998</t>
  </si>
  <si>
    <t>0.6204983242649729</t>
  </si>
  <si>
    <t>-0.6058169925174232</t>
  </si>
  <si>
    <t>-0.994132357848994</t>
  </si>
  <si>
    <t>0.10461213831644778</t>
  </si>
  <si>
    <t>0.4472065011156223</t>
  </si>
  <si>
    <t>0.38926015111657825</t>
  </si>
  <si>
    <t>0.7951548589122274</t>
  </si>
  <si>
    <t>0.583050045467533</t>
  </si>
  <si>
    <t>-0.9020688212529331</t>
  </si>
  <si>
    <t>0.5957033644887708</t>
  </si>
  <si>
    <t>0.6310119412513806</t>
  </si>
  <si>
    <t>-1.5307280273966353</t>
  </si>
  <si>
    <t>1.915734845919868</t>
  </si>
  <si>
    <t>-0.12046839450884732</t>
  </si>
  <si>
    <t>-0.41430309524251735</t>
  </si>
  <si>
    <t>-0.326699958688295</t>
  </si>
  <si>
    <t>1.2840881674368603</t>
  </si>
  <si>
    <t>-1.514311834597264</t>
  </si>
  <si>
    <t>0.2512661539240986</t>
  </si>
  <si>
    <t>-1.1677404181288322</t>
  </si>
  <si>
    <t>0.11503054605795161</t>
  </si>
  <si>
    <t>0.9036766321994418</t>
  </si>
  <si>
    <t>0.850723054081381</t>
  </si>
  <si>
    <t>0.6734423285489856</t>
  </si>
  <si>
    <t>-0.4009443473713656</t>
  </si>
  <si>
    <t>0.3503401912291865</t>
  </si>
  <si>
    <t>-0.697827791393275</t>
  </si>
  <si>
    <t>0.3307914107890709</t>
  </si>
  <si>
    <t>-0.07272901706671184</t>
  </si>
  <si>
    <t>0.13025719691459148</t>
  </si>
  <si>
    <t>-0.6983995518693723</t>
  </si>
  <si>
    <t>0.08760949836765877</t>
  </si>
  <si>
    <t>-1.1760325261383364</t>
  </si>
  <si>
    <t>-0.5407151139105394</t>
  </si>
  <si>
    <t>1.01919835993565</t>
  </si>
  <si>
    <t>-0.3266153422902622</t>
  </si>
  <si>
    <t>-0.18233060963056041</t>
  </si>
  <si>
    <t>-1.4252891798252545</t>
  </si>
  <si>
    <t>1.733817385596058</t>
  </si>
  <si>
    <t>0.3375097846533077</t>
  </si>
  <si>
    <t>1.031179674230671</t>
  </si>
  <si>
    <t>-1.4145322701149017</t>
  </si>
  <si>
    <t>0.25669418069524547</t>
  </si>
  <si>
    <t>0.5451728960980678</t>
  </si>
  <si>
    <t>-0.731325890003408</t>
  </si>
  <si>
    <t>0.0031134355396341155</t>
  </si>
  <si>
    <t>1.264300398336269</t>
  </si>
  <si>
    <t>-0.9860785518739411</t>
  </si>
  <si>
    <t>0.398655156352567</t>
  </si>
  <si>
    <t>0.2847303294094666</t>
  </si>
  <si>
    <t>0.7206663933800073</t>
  </si>
  <si>
    <t>0.04049831499093093</t>
  </si>
  <si>
    <t>0.24476934070711728</t>
  </si>
  <si>
    <t>-0.1552000718285124</t>
  </si>
  <si>
    <t>0.3421012428431089</t>
  </si>
  <si>
    <t>-0.029692102503182827</t>
  </si>
  <si>
    <t>-0.15219958680208354</t>
  </si>
  <si>
    <t>-1.481635952955812</t>
  </si>
  <si>
    <t>-0.29037036571134384</t>
  </si>
  <si>
    <t>-0.1923723158776228</t>
  </si>
  <si>
    <t>-0.13821367887679692</t>
  </si>
  <si>
    <t>0.07936319396403504</t>
  </si>
  <si>
    <t>0.05795755515506833</t>
  </si>
  <si>
    <t>-0.08247439101099098</t>
  </si>
  <si>
    <t>-0.5633964665852312</t>
  </si>
  <si>
    <t>-0.0921288292469182</t>
  </si>
  <si>
    <t>-0.7844772407921761</t>
  </si>
  <si>
    <t>1.1632741473405737</t>
  </si>
  <si>
    <t>-0.3153851727365454</t>
  </si>
  <si>
    <t>-0.2377572074965676</t>
  </si>
  <si>
    <t>0.4972992460320177</t>
  </si>
  <si>
    <t>0.21969204921100835</t>
  </si>
  <si>
    <t>-1.2549572473295139</t>
  </si>
  <si>
    <t>-0.6795201424373325</t>
  </si>
  <si>
    <t>-0.3572881769732952</t>
  </si>
  <si>
    <t>0.6981245073786632</t>
  </si>
  <si>
    <t>-0.3101046796013567</t>
  </si>
  <si>
    <t>1.0518343691992025</t>
  </si>
  <si>
    <t>0.005011003497986357</t>
  </si>
  <si>
    <t>-1.1911900711648782</t>
  </si>
  <si>
    <t>-1.6015979054977927</t>
  </si>
  <si>
    <t>1.228061960124884</t>
  </si>
  <si>
    <t>0.058132899005010744</t>
  </si>
  <si>
    <t>-0.3793020543671437</t>
  </si>
  <si>
    <t>-1.2199719500595636</t>
  </si>
  <si>
    <t>-0.6130345118810367</t>
  </si>
  <si>
    <t>-0.7883991099288652</t>
  </si>
  <si>
    <t>0.11319012539366943</t>
  </si>
  <si>
    <t>-2.132255186474245</t>
  </si>
  <si>
    <t>0.2864287116333962</t>
  </si>
  <si>
    <t>0.17141050246792328</t>
  </si>
  <si>
    <t>-0.9573117490704796</t>
  </si>
  <si>
    <t>1.2129187301990756</t>
  </si>
  <si>
    <t>-0.43158878552021224</t>
  </si>
  <si>
    <t>1.853672500262975</t>
  </si>
  <si>
    <t>0.16417937061723992</t>
  </si>
  <si>
    <t>-1.108112964359452</t>
  </si>
  <si>
    <t>-0.839811856487012</t>
  </si>
  <si>
    <t>-0.06806297669240631</t>
  </si>
  <si>
    <t>-0.44089328141388456</t>
  </si>
  <si>
    <t>-0.05974950263484517</t>
  </si>
  <si>
    <t>-0.2115117245421166</t>
  </si>
  <si>
    <t>-0.9383042206250152</t>
  </si>
  <si>
    <t>0.21318993177920312</t>
  </si>
  <si>
    <t>-0.9960374798601737</t>
  </si>
  <si>
    <t>-0.41661841657206783</t>
  </si>
  <si>
    <t>-0.05519462745622694</t>
  </si>
  <si>
    <t>0.8718694325706393</t>
  </si>
  <si>
    <t>-0.7359597271695897</t>
  </si>
  <si>
    <t>0.18691511007628844</t>
  </si>
  <si>
    <t>0.14203216500312482</t>
  </si>
  <si>
    <t>-0.2937851577426606</t>
  </si>
  <si>
    <t>0.008079284981989279</t>
  </si>
  <si>
    <t>0.09748904414791737</t>
  </si>
  <si>
    <t>0.4158254063363604</t>
  </si>
  <si>
    <t>-0.10720037988305081</t>
  </si>
  <si>
    <t>-0.7248234467826683</t>
  </si>
  <si>
    <t>0.02902268881025338</t>
  </si>
  <si>
    <t>0.24350346926549143</t>
  </si>
  <si>
    <t>-0.5888910318777478</t>
  </si>
  <si>
    <t>-0.016477772199952834</t>
  </si>
  <si>
    <t>-0.17915148838697373</t>
  </si>
  <si>
    <t>-0.16541380863976549</t>
  </si>
  <si>
    <t>-0.6213410881555518</t>
  </si>
  <si>
    <t>0.4348669273769599</t>
  </si>
  <si>
    <t>-1.0619871144036646</t>
  </si>
  <si>
    <t>-0.10725473527306138</t>
  </si>
  <si>
    <t>0.23800612711927632</t>
  </si>
  <si>
    <t>-0.5516307124090944</t>
  </si>
  <si>
    <t>-0.6564476594839781</t>
  </si>
  <si>
    <t>-0.4102474590655291</t>
  </si>
  <si>
    <t>-0.561722432784896</t>
  </si>
  <si>
    <t>-0.11114563814444216</t>
  </si>
  <si>
    <t>-0.28952635721013575</t>
  </si>
  <si>
    <t>-0.1636754527751447</t>
  </si>
  <si>
    <t>-0.47005235580253174</t>
  </si>
  <si>
    <t>-0.46449001136128404</t>
  </si>
  <si>
    <t>-0.07028829123220567</t>
  </si>
  <si>
    <t>0.7758689527989427</t>
  </si>
  <si>
    <t>0.7153822141004771</t>
  </si>
  <si>
    <t>1.3117975615806767</t>
  </si>
  <si>
    <t>-0.7245726459413112</t>
  </si>
  <si>
    <t>1.962473177625317</t>
  </si>
  <si>
    <t>0.11186909667493805</t>
  </si>
  <si>
    <t>-0.7774422468038973</t>
  </si>
  <si>
    <t>-2.0327974217910243</t>
  </si>
  <si>
    <t>6.979551422138792</t>
  </si>
  <si>
    <t>0.8971171040441912</t>
  </si>
  <si>
    <t>0.9354520981413539</t>
  </si>
  <si>
    <t>0.8338195978955087</t>
  </si>
  <si>
    <t>1.7240599664676546</t>
  </si>
  <si>
    <t>0.4394047105138909</t>
  </si>
  <si>
    <t>-0.2377737690306492</t>
  </si>
  <si>
    <t>-1.7726047592039034</t>
  </si>
  <si>
    <t>0.6867730035071409</t>
  </si>
  <si>
    <t>2.197876657804199</t>
  </si>
  <si>
    <t>2.533562788759038</t>
  </si>
  <si>
    <t>0.719072573518655</t>
  </si>
  <si>
    <t>-1.520442316207427</t>
  </si>
  <si>
    <t>1.466469343134417</t>
  </si>
  <si>
    <t>-0.671869625422315</t>
  </si>
  <si>
    <t>0.1928504618530223</t>
  </si>
  <si>
    <t>-0.9035878923466749</t>
  </si>
  <si>
    <t>-0.15820102743662384</t>
  </si>
  <si>
    <t>0.3531053291978094</t>
  </si>
  <si>
    <t>1.7793625092482348</t>
  </si>
  <si>
    <t>-0.3276032126156311</t>
  </si>
  <si>
    <t>1.5807600243384574</t>
  </si>
  <si>
    <t>-2.0724244499035027</t>
  </si>
  <si>
    <t>-0.25375702224769237</t>
  </si>
  <si>
    <t>-1.5454007545994233</t>
  </si>
  <si>
    <t>-1.314001906388016</t>
  </si>
  <si>
    <t>0.937766554587912</t>
  </si>
  <si>
    <t>0.4388363069321638</t>
  </si>
  <si>
    <t>1.572224524565856</t>
  </si>
  <si>
    <t>-2.3405901841895647</t>
  </si>
  <si>
    <t>-0.34650235472316987</t>
  </si>
  <si>
    <t>-0.34746090838948823</t>
  </si>
  <si>
    <t>2.0123907467811804</t>
  </si>
  <si>
    <t>-0.5916369241785862</t>
  </si>
  <si>
    <t>-1.5921314260206842</t>
  </si>
  <si>
    <t>2.1775154441736535</t>
  </si>
  <si>
    <t>-1.7002513292961916</t>
  </si>
  <si>
    <t>-0.48233446943271613</t>
  </si>
  <si>
    <t>0.020027810126113578</t>
  </si>
  <si>
    <t>-0.7847583027050175</t>
  </si>
  <si>
    <t>-0.978441984211694</t>
  </si>
  <si>
    <t>0.7388543166149147</t>
  </si>
  <si>
    <t>-0.33033010663841605</t>
  </si>
  <si>
    <t>0.8359696801266479</t>
  </si>
  <si>
    <t>-0.36186215702575286</t>
  </si>
  <si>
    <t>0.09459892010970126</t>
  </si>
  <si>
    <t>-0.14485874659213507</t>
  </si>
  <si>
    <t>2.466328843628806</t>
  </si>
  <si>
    <t>-0.6986059812958407</t>
  </si>
  <si>
    <t>0.7130699400056902</t>
  </si>
  <si>
    <t>0.824988805042985</t>
  </si>
  <si>
    <t>-0.06094428441669492</t>
  </si>
  <si>
    <t>1.3020389904753757</t>
  </si>
  <si>
    <t>-0.12314213269077903</t>
  </si>
  <si>
    <t>0.7240554001390225</t>
  </si>
  <si>
    <t>-0.25050314654111866</t>
  </si>
  <si>
    <t>-0.5555487574372846</t>
  </si>
  <si>
    <t>1.7929653097668932</t>
  </si>
  <si>
    <t>0.15977432839600836</t>
  </si>
  <si>
    <t>2.542700626372616</t>
  </si>
  <si>
    <t>1.2727422885255704</t>
  </si>
  <si>
    <t>-1.248864215478158</t>
  </si>
  <si>
    <t>1.759940625982781</t>
  </si>
  <si>
    <t>0.9299099774601832</t>
  </si>
  <si>
    <t>1.1841500346714264</t>
  </si>
  <si>
    <t>-0.23545654976885466</t>
  </si>
  <si>
    <t>-1.4683802133590176</t>
  </si>
  <si>
    <t>-0.6633754068028991</t>
  </si>
  <si>
    <t>2.1009110674867983</t>
  </si>
  <si>
    <t>0.19691847003077018</t>
  </si>
  <si>
    <t>0.43461030647334736</t>
  </si>
  <si>
    <t>2.59756219095684</t>
  </si>
  <si>
    <t>-1.057256114203258</t>
  </si>
  <si>
    <t>-0.8466269619824223</t>
  </si>
  <si>
    <t>-0.3911558824888739</t>
  </si>
  <si>
    <t>0.011387502970067033</t>
  </si>
  <si>
    <t>0.7976911674828219</t>
  </si>
  <si>
    <t>-4.866729544726036</t>
  </si>
  <si>
    <t>-0.03240284026274579</t>
  </si>
  <si>
    <t>0.5941124070606043</t>
  </si>
  <si>
    <t>0.5332714021985653</t>
  </si>
  <si>
    <t>-1.7348713753611533</t>
  </si>
  <si>
    <t>-0.6759903515232543</t>
  </si>
  <si>
    <t>0.5600061713945701</t>
  </si>
  <si>
    <t>-0.1206459518228357</t>
  </si>
  <si>
    <t>0.43138501902927545</t>
  </si>
  <si>
    <t>-1.3597339212413513</t>
  </si>
  <si>
    <t>-1.4796242978025342</t>
  </si>
  <si>
    <t>1.1886416311920358</t>
  </si>
  <si>
    <t>-1.8154570789298756</t>
  </si>
  <si>
    <t>-0.7118958606615168</t>
  </si>
  <si>
    <t>-0.2781194877280849</t>
  </si>
  <si>
    <t>-1.8496313580968369</t>
  </si>
  <si>
    <t>-0.6378253069557515</t>
  </si>
  <si>
    <t>1.10039987103922</t>
  </si>
  <si>
    <t>0.5715766256082453</t>
  </si>
  <si>
    <t>-0.7045333203008285</t>
  </si>
  <si>
    <t>-2.1812844615008937</t>
  </si>
  <si>
    <t>-1.4675734595602132</t>
  </si>
  <si>
    <t>0.5153941614754484</t>
  </si>
  <si>
    <t>0.946337762191551</t>
  </si>
  <si>
    <t>-1.2609808311678465</t>
  </si>
  <si>
    <t>0.30565814084006526</t>
  </si>
  <si>
    <t>-0.33591199899427543</t>
  </si>
  <si>
    <t>0.7688156522058699</t>
  </si>
  <si>
    <t>1.266417651174394</t>
  </si>
  <si>
    <t>-2.2983063449105643</t>
  </si>
  <si>
    <t>0.8798330088144375</t>
  </si>
  <si>
    <t>1.5547191652863976</t>
  </si>
  <si>
    <t>1.438872837392518</t>
  </si>
  <si>
    <t>1.9964004271758218</t>
  </si>
  <si>
    <t>-0.08013614388404272</t>
  </si>
  <si>
    <t>-1.7221550420068743</t>
  </si>
  <si>
    <t>1.5713976389059752</t>
  </si>
  <si>
    <t>0.29714060131485176</t>
  </si>
  <si>
    <t>-1.2377940245153616</t>
  </si>
  <si>
    <t>-1.0519474172399808</t>
  </si>
  <si>
    <t>1.9021196687872084</t>
  </si>
  <si>
    <t>0.8845243136067937</t>
  </si>
  <si>
    <t>0.44467120420729894</t>
  </si>
  <si>
    <t>-0.5549274533350153</t>
  </si>
  <si>
    <t>0.42443670590293453</t>
  </si>
  <si>
    <t>-0.10152280799880876</t>
  </si>
  <si>
    <t>1.578907679533329</t>
  </si>
  <si>
    <t>0.1221104979388574</t>
  </si>
  <si>
    <t>0.3419638260318726</t>
  </si>
  <si>
    <t>0.035303682340861085</t>
  </si>
  <si>
    <t>-0.33314852915413157</t>
  </si>
  <si>
    <t>0.13719504843158525</t>
  </si>
  <si>
    <t>0.5092881533383097</t>
  </si>
  <si>
    <t>-1.0190961221233414</t>
  </si>
  <si>
    <t>-2.212191530646279</t>
  </si>
  <si>
    <t>-0.5795919211645965</t>
  </si>
  <si>
    <t>0.0068074039576795095</t>
  </si>
  <si>
    <t>-0.10533224250126133</t>
  </si>
  <si>
    <t>-0.12349842335080018</t>
  </si>
  <si>
    <t>-0.12343021519245755</t>
  </si>
  <si>
    <t>0.06553793060711369</t>
  </si>
  <si>
    <t>1.9875153157669112</t>
  </si>
  <si>
    <t>0.1987298872693855</t>
  </si>
  <si>
    <t>-2.1906788850370447</t>
  </si>
  <si>
    <t>0.6722059941011496</t>
  </si>
  <si>
    <t>-0.09360046036822658</t>
  </si>
  <si>
    <t>-0.2352503493605596</t>
  </si>
  <si>
    <t>0.86976170590479</t>
  </si>
  <si>
    <t>0.24647272996160233</t>
  </si>
  <si>
    <t>0.8275302573261972</t>
  </si>
  <si>
    <t>0.24934197964845484</t>
  </si>
  <si>
    <t>-0.642977476377762</t>
  </si>
  <si>
    <t>0.0977202199141979</t>
  </si>
  <si>
    <t>0.40392930233478247</t>
  </si>
  <si>
    <t>-0.07879878444207489</t>
  </si>
  <si>
    <t>-1.4351730475659055</t>
  </si>
  <si>
    <t>-1.0110680325553663</t>
  </si>
  <si>
    <t>-0.8801339761076826</t>
  </si>
  <si>
    <t>2.4844170582027485</t>
  </si>
  <si>
    <t>0.14052937850640862</t>
  </si>
  <si>
    <t>-0.11305131524993697</t>
  </si>
  <si>
    <t>-0.14442080572400845</t>
  </si>
  <si>
    <t>0.5565884675108497</t>
  </si>
  <si>
    <t>-1.9673070223028168</t>
  </si>
  <si>
    <t>1.7028492241569873</t>
  </si>
  <si>
    <t>-0.5568314041198633</t>
  </si>
  <si>
    <t>0.43859026634151876</t>
  </si>
  <si>
    <t>-0.2732506002290555</t>
  </si>
  <si>
    <t>1.4336369633961952</t>
  </si>
  <si>
    <t>0.20816698947165266</t>
  </si>
  <si>
    <t>0.23455688255418927</t>
  </si>
  <si>
    <t>-0.1457097914573303</t>
  </si>
  <si>
    <t>-0.006516440850462351</t>
  </si>
  <si>
    <t>-0.031675057999375214</t>
  </si>
  <si>
    <t>-0.0049692438992465365</t>
  </si>
  <si>
    <t>-0.7585465246249125</t>
  </si>
  <si>
    <t>0.03182947198823683</t>
  </si>
  <si>
    <t>-0.1661200689822065</t>
  </si>
  <si>
    <t>0.10479984506205596</t>
  </si>
  <si>
    <t>0.2399207478160427</t>
  </si>
  <si>
    <t>0.578529356668846</t>
  </si>
  <si>
    <t>-0.5682390963073201</t>
  </si>
  <si>
    <t>-0.5593174125974109</t>
  </si>
  <si>
    <t>-0.2926261916970178</t>
  </si>
  <si>
    <t>-2.2264656120347266</t>
  </si>
  <si>
    <t>0.9961413666438577</t>
  </si>
  <si>
    <t>-2.5547619934736536</t>
  </si>
  <si>
    <t>-0.9273129676130557</t>
  </si>
  <si>
    <t>0.01612554853794861</t>
  </si>
  <si>
    <t>0.434307459826381</t>
  </si>
  <si>
    <t>-1.4578177361134415</t>
  </si>
  <si>
    <t>1.1695219966088453</t>
  </si>
  <si>
    <t>-0.5914421186048326</t>
  </si>
  <si>
    <t>-0.41535611074108614</t>
  </si>
  <si>
    <t>1.4028114725694487</t>
  </si>
  <si>
    <t>-0.9683452812083932</t>
  </si>
  <si>
    <t>-0.14656630301839763</t>
  </si>
  <si>
    <t>0.06574929349976137</t>
  </si>
  <si>
    <t>-0.6270817919737349</t>
  </si>
  <si>
    <t>0.19999455047691936</t>
  </si>
  <si>
    <t>0.20863411723606762</t>
  </si>
  <si>
    <t>-0.6969749840458391</t>
  </si>
  <si>
    <t>-1.272640801054904</t>
  </si>
  <si>
    <t>0.43526459938631135</t>
  </si>
  <si>
    <t>-0.6829540241088797</t>
  </si>
  <si>
    <t>0.4538199524336077</t>
  </si>
  <si>
    <t>-0.47323141102746036</t>
  </si>
  <si>
    <t>0.4218931819910317</t>
  </si>
  <si>
    <t>-0.10711857137588268</t>
  </si>
  <si>
    <t>-0.0631382014573822</t>
  </si>
  <si>
    <t>1.0782345150423678</t>
  </si>
  <si>
    <t>-0.5814282584893594</t>
  </si>
  <si>
    <t>0.5236040279094619</t>
  </si>
  <si>
    <t>0.6964955194101319</t>
  </si>
  <si>
    <t>-1.5716907020938566</t>
  </si>
  <si>
    <t>0.049716058464630855</t>
  </si>
  <si>
    <t>-0.5919416283411654</t>
  </si>
  <si>
    <t>0.240098472992499</t>
  </si>
  <si>
    <t>0.3651577318156578</t>
  </si>
  <si>
    <t>-0.4559898228220264</t>
  </si>
  <si>
    <t>-1.2127235300936783</t>
  </si>
  <si>
    <t>-1.3752192831590861</t>
  </si>
  <si>
    <t>-0.2689279281314048</t>
  </si>
  <si>
    <t>0.5997974917697642</t>
  </si>
  <si>
    <t>-0.970502018048185</t>
  </si>
  <si>
    <t>1.4004244750312818</t>
  </si>
  <si>
    <t>-1.3181070886868704</t>
  </si>
  <si>
    <t>0.12041732763075624</t>
  </si>
  <si>
    <t>-0.4340530348875241</t>
  </si>
  <si>
    <t>1.5129083352037052</t>
  </si>
  <si>
    <t>-0.448810204516414</t>
  </si>
  <si>
    <t>-0.09307345395103273</t>
  </si>
  <si>
    <t>-0.44212160356070135</t>
  </si>
  <si>
    <t>0.1722203882340817</t>
  </si>
  <si>
    <t>0.30848318301332156</t>
  </si>
  <si>
    <t>0.17522346989914186</t>
  </si>
  <si>
    <t>1.1152505395068328</t>
  </si>
  <si>
    <t>-0.05590536328790092</t>
  </si>
  <si>
    <t>1.5035071229268955</t>
  </si>
  <si>
    <t>-0.06635982937642715</t>
  </si>
  <si>
    <t>0.6579072502273773</t>
  </si>
  <si>
    <t>0.13525762939176575</t>
  </si>
  <si>
    <t>-0.7606749623721003</t>
  </si>
  <si>
    <t>-0.10816618277682649</t>
  </si>
  <si>
    <t>-0.42556941751689803</t>
  </si>
  <si>
    <t>-0.10466311222015502</t>
  </si>
  <si>
    <t>0.08054622662898107</t>
  </si>
  <si>
    <t>-0.1389191558588674</t>
  </si>
  <si>
    <t>-0.4531409908701093</t>
  </si>
  <si>
    <t>-0.058868645364777254</t>
  </si>
  <si>
    <t>-0.353418976155354</t>
  </si>
  <si>
    <t>-0.3823167444647326</t>
  </si>
  <si>
    <t>0.0077573099730637385</t>
  </si>
  <si>
    <t>-0.09389576331749638</t>
  </si>
  <si>
    <t>-0.22860152734196074</t>
  </si>
  <si>
    <t>0.03724273839708482</t>
  </si>
  <si>
    <t>-0.8742633789855795</t>
  </si>
  <si>
    <t>0.22308697686161694</t>
  </si>
  <si>
    <t>-0.09042878612293195</t>
  </si>
  <si>
    <t>-1.5105324188857288</t>
  </si>
  <si>
    <t>0.14057118866686466</t>
  </si>
  <si>
    <t>-0.32000598576374323</t>
  </si>
  <si>
    <t>1.3472515192662045</t>
  </si>
  <si>
    <t>-0.7111891222995783</t>
  </si>
  <si>
    <t>0.5172599908038689</t>
  </si>
  <si>
    <t>-0.11419152558832123</t>
  </si>
  <si>
    <t>-0.4569524613420844</t>
  </si>
  <si>
    <t>-0.7412831353700992</t>
  </si>
  <si>
    <t>-0.9959493950661051</t>
  </si>
  <si>
    <t>0.3947868810618889</t>
  </si>
  <si>
    <t>-0.20826078243617502</t>
  </si>
  <si>
    <t>-0.361059132936138</t>
  </si>
  <si>
    <t>0.11008931342964652</t>
  </si>
  <si>
    <t>2.327322546878722</t>
  </si>
  <si>
    <t>1.1111957748771988</t>
  </si>
  <si>
    <t>-0.5132011888436799</t>
  </si>
  <si>
    <t>-0.6668615890052781</t>
  </si>
  <si>
    <t>-0.8166914180154534</t>
  </si>
  <si>
    <t>-0.18193582982172077</t>
  </si>
  <si>
    <t>0.5583489631651757</t>
  </si>
  <si>
    <t>1.0945213919588037</t>
  </si>
  <si>
    <t>-0.1796807988274182</t>
  </si>
  <si>
    <t>-1.5954783748663413</t>
  </si>
  <si>
    <t>-0.1829504682887391</t>
  </si>
  <si>
    <t>-0.5713486247070597</t>
  </si>
  <si>
    <t>1.21822109665755</t>
  </si>
  <si>
    <t>0.3802788032995744</t>
  </si>
  <si>
    <t>0.09942787204757139</t>
  </si>
  <si>
    <t>-1.4539808575175734</t>
  </si>
  <si>
    <t>-1.0022609669950284</t>
  </si>
  <si>
    <t>-0.37155804648917606</t>
  </si>
  <si>
    <t>0.011222211317915214</t>
  </si>
  <si>
    <t>1.0086297622079912</t>
  </si>
  <si>
    <t>-0.32152584949140506</t>
  </si>
  <si>
    <t>-0.24010436565434534</t>
  </si>
  <si>
    <t>0.5093063516068072</t>
  </si>
  <si>
    <t>0.26696024521394224</t>
  </si>
  <si>
    <t>0.40790160188893315</t>
  </si>
  <si>
    <t>-0.28630170489569207</t>
  </si>
  <si>
    <t>-0.2041470439119201</t>
  </si>
  <si>
    <t>1.3431611766604352</t>
  </si>
  <si>
    <t>0.2369719474823698</t>
  </si>
  <si>
    <t>0.11948793833299179</t>
  </si>
  <si>
    <t>1.9354081277106276</t>
  </si>
  <si>
    <t>-1.1394431802085125</t>
  </si>
  <si>
    <t>-0.0521787452200249</t>
  </si>
  <si>
    <t>1.449494925915918</t>
  </si>
  <si>
    <t>0.6482177440007759</t>
  </si>
  <si>
    <t>0.3502346180201992</t>
  </si>
  <si>
    <t>-1.880869988367056</t>
  </si>
  <si>
    <t>0.7326539174600666</t>
  </si>
  <si>
    <t>-0.3103499591372896</t>
  </si>
  <si>
    <t>0.008758890283813379</t>
  </si>
  <si>
    <t>0.1534221217800328</t>
  </si>
  <si>
    <t>0.01286454635649984</t>
  </si>
  <si>
    <t>0.5094615826324337</t>
  </si>
  <si>
    <t>-0.08069825349215581</t>
  </si>
  <si>
    <t>3.4932431348344273</t>
  </si>
  <si>
    <t>1.2465804554685218</t>
  </si>
  <si>
    <t>0.766914047401755</t>
  </si>
  <si>
    <t>0.46570114582844846</t>
  </si>
  <si>
    <t>0.6671013336924858</t>
  </si>
  <si>
    <t>-0.4193995434771054</t>
  </si>
  <si>
    <t>-0.2524931269084486</t>
  </si>
  <si>
    <t>-1.9870113868140489</t>
  </si>
  <si>
    <t>-0.24550005327031962</t>
  </si>
  <si>
    <t>0.036790197580356544</t>
  </si>
  <si>
    <t>0.21291709936904016</t>
  </si>
  <si>
    <t>1.6254550270329948</t>
  </si>
  <si>
    <t>-0.8011845682814245</t>
  </si>
  <si>
    <t>0.6210831075392947</t>
  </si>
  <si>
    <t>0.4568952389905547</t>
  </si>
  <si>
    <t>0.9850969264402769</t>
  </si>
  <si>
    <t>0.17285032854340687</t>
  </si>
  <si>
    <t>0.43926517483218813</t>
  </si>
  <si>
    <t>-0.9500935454863213</t>
  </si>
  <si>
    <t>-0.27803472950801755</t>
  </si>
  <si>
    <t>-0.0027136635259453713</t>
  </si>
  <si>
    <t>-0.23892585949530962</t>
  </si>
  <si>
    <t>0.54012128355984</t>
  </si>
  <si>
    <t>-1.540745782236804</t>
  </si>
  <si>
    <t>0.36047460945484294</t>
  </si>
  <si>
    <t>-0.1794167914448781</t>
  </si>
  <si>
    <t>1.182768920142926</t>
  </si>
  <si>
    <t>0.5918678969575969</t>
  </si>
  <si>
    <t>-0.4210066568560167</t>
  </si>
  <si>
    <t>-0.42259440580133845</t>
  </si>
  <si>
    <t>-0.7550658455790638</t>
  </si>
  <si>
    <t>0.06777945598003467</t>
  </si>
  <si>
    <t>-0.19645468454078202</t>
  </si>
  <si>
    <t>0.642545259562784</t>
  </si>
  <si>
    <t>0.35430363794597225</t>
  </si>
  <si>
    <t>1.567897783092059</t>
  </si>
  <si>
    <t>-1.275408478043449</t>
  </si>
  <si>
    <t>-0.9833010356417305</t>
  </si>
  <si>
    <t>0.9415126837243224</t>
  </si>
  <si>
    <t>0.031004281057733476</t>
  </si>
  <si>
    <t>2.517767608690178</t>
  </si>
  <si>
    <t>-1.5491666969346183</t>
  </si>
  <si>
    <t>-0.4287111367943325</t>
  </si>
  <si>
    <t>0.714507531777268</t>
  </si>
  <si>
    <t>-0.3556308173916381</t>
  </si>
  <si>
    <t>-0.2792037008582379</t>
  </si>
  <si>
    <t>0.7840036199891725</t>
  </si>
  <si>
    <t>-0.5865283733218197</t>
  </si>
  <si>
    <t>0.46980885045631976</t>
  </si>
  <si>
    <t>0.8872543315004093</t>
  </si>
  <si>
    <t>-0.6518975308539733</t>
  </si>
  <si>
    <t>-0.3446847206893149</t>
  </si>
  <si>
    <t>2.18958235452156</t>
  </si>
  <si>
    <t>0.9436920190232485</t>
  </si>
  <si>
    <t>0.18328678986795088</t>
  </si>
  <si>
    <t>-0.4798938536726419</t>
  </si>
  <si>
    <t>0.8989571878617749</t>
  </si>
  <si>
    <t>-0.11247994253648898</t>
  </si>
  <si>
    <t>0.6069396953243185</t>
  </si>
  <si>
    <t>0.39973988431323687</t>
  </si>
  <si>
    <t>0.1667338096585237</t>
  </si>
  <si>
    <t>1.2841531304780776</t>
  </si>
  <si>
    <t>-0.5661388274407598</t>
  </si>
  <si>
    <t>0.4531400211686479</t>
  </si>
  <si>
    <t>1.3282868271810202</t>
  </si>
  <si>
    <t>-0.1809950292387542</t>
  </si>
  <si>
    <t>-0.38815586018742104</t>
  </si>
  <si>
    <t>-1.3294709180935584</t>
  </si>
  <si>
    <t>0.7994407798754737</t>
  </si>
  <si>
    <t>-0.3047242201364235</t>
  </si>
  <si>
    <t>-0.040594115343204104</t>
  </si>
  <si>
    <t>0.19758317199115707</t>
  </si>
  <si>
    <t>0.00906906849816639</t>
  </si>
  <si>
    <t>-0.34040266411610376</t>
  </si>
  <si>
    <t>-1.0859072367746634</t>
  </si>
  <si>
    <t>0.2855105967149265</t>
  </si>
  <si>
    <t>0.3427494848489104</t>
  </si>
  <si>
    <t>-0.4585791334784707</t>
  </si>
  <si>
    <t>-3.0271481668187947</t>
  </si>
  <si>
    <t>-0.6738996827277953</t>
  </si>
  <si>
    <t>-0.08479665114772775</t>
  </si>
  <si>
    <t>-0.40907960239842295</t>
  </si>
  <si>
    <t>0.7854067186112139</t>
  </si>
  <si>
    <t>-0.722086954704578</t>
  </si>
  <si>
    <t>-1.2944857111378698</t>
  </si>
  <si>
    <t>1.4008191860474466</t>
  </si>
  <si>
    <t>-0.07752101553627816</t>
  </si>
  <si>
    <t>0.19337571324820824</t>
  </si>
  <si>
    <t>0.5482151806649411</t>
  </si>
  <si>
    <t>-1.2174560689220586</t>
  </si>
  <si>
    <t>-1.0752248502923798</t>
  </si>
  <si>
    <t>0.1476217878362859</t>
  </si>
  <si>
    <t>0.4505947976404988</t>
  </si>
  <si>
    <t>0.15627497447333422</t>
  </si>
  <si>
    <t>-0.6742844908693586</t>
  </si>
  <si>
    <t>-0.1614878088053297</t>
  </si>
  <si>
    <t>1.0355840755110268</t>
  </si>
  <si>
    <t>-1.2871786708774746</t>
  </si>
  <si>
    <t>0.8497226031617061</t>
  </si>
  <si>
    <t>-0.6797732735178665</t>
  </si>
  <si>
    <t>-0.21414616613422713</t>
  </si>
  <si>
    <t>1.156908963873607</t>
  </si>
  <si>
    <t>-1.0544330136955877</t>
  </si>
  <si>
    <t>-0.6036342066763596</t>
  </si>
  <si>
    <t>-0.5398454742393638</t>
  </si>
  <si>
    <t>0.5947286062909484</t>
  </si>
  <si>
    <t>0.3512172381254866</t>
  </si>
  <si>
    <t>-0.03950850896515258</t>
  </si>
  <si>
    <t>-0.36989466228977247</t>
  </si>
  <si>
    <t>-0.9739728805807258</t>
  </si>
  <si>
    <t>-0.24892088784395752</t>
  </si>
  <si>
    <t>2.1028576387111584</t>
  </si>
  <si>
    <t>0.377524005955636</t>
  </si>
  <si>
    <t>0.3778137785788344</t>
  </si>
  <si>
    <t>-0.902423204148372</t>
  </si>
  <si>
    <t>0.08480626379446227</t>
  </si>
  <si>
    <t>0.6796775072360902</t>
  </si>
  <si>
    <t>-0.3574061808445009</t>
  </si>
  <si>
    <t>0.3613185085003487</t>
  </si>
  <si>
    <t>-0.5202595133697093</t>
  </si>
  <si>
    <t>0.38782665172359226</t>
  </si>
  <si>
    <t>0.6545446544574914</t>
  </si>
  <si>
    <t>0.09931158430334379</t>
  </si>
  <si>
    <t>1.0689975417490396</t>
  </si>
  <si>
    <t>-0.3240997702442178</t>
  </si>
  <si>
    <t>-1.1606584248786718</t>
  </si>
  <si>
    <t>0.10091478992000488</t>
  </si>
  <si>
    <t>0.14151278970919712</t>
  </si>
  <si>
    <t>-0.1246630070137201</t>
  </si>
  <si>
    <t>0.5147956497763395</t>
  </si>
  <si>
    <t>1.3294482926824793</t>
  </si>
  <si>
    <t>-0.23140073518563842</t>
  </si>
  <si>
    <t>-0.25477348340120287</t>
  </si>
  <si>
    <t>-1.4660322970383504</t>
  </si>
  <si>
    <t>-0.7319871025968174</t>
  </si>
  <si>
    <t>1.2021944392034918</t>
  </si>
  <si>
    <t>0.4097313070698506</t>
  </si>
  <si>
    <t>0.7144648107149585</t>
  </si>
  <si>
    <t>-1.0051563773233</t>
  </si>
  <si>
    <t>-0.9731534516566156</t>
  </si>
  <si>
    <t>-0.03181756510305778</t>
  </si>
  <si>
    <t>-0.7238047303424285</t>
  </si>
  <si>
    <t>0.30484006232577315</t>
  </si>
  <si>
    <t>-0.3210390051111746</t>
  </si>
  <si>
    <t>-0.47169109460482006</t>
  </si>
  <si>
    <t>0.2767806201540793</t>
  </si>
  <si>
    <t>0.32356669125069626</t>
  </si>
  <si>
    <t>-0.3114121749597802</t>
  </si>
  <si>
    <t>0.5636442672078624</t>
  </si>
  <si>
    <t>-0.8931428135985549</t>
  </si>
  <si>
    <t>0.6951142151847396</t>
  </si>
  <si>
    <t>0.08704834469069672</t>
  </si>
  <si>
    <t>0.3875118994661416</t>
  </si>
  <si>
    <t>-0.05327127490798015</t>
  </si>
  <si>
    <t>0.3003135595591339</t>
  </si>
  <si>
    <t>-0.251146906543389</t>
  </si>
  <si>
    <t>-1.0137893701929408</t>
  </si>
  <si>
    <t>-0.3984583381475811</t>
  </si>
  <si>
    <t>-0.8091462523712815</t>
  </si>
  <si>
    <t>0.29723763550507853</t>
  </si>
  <si>
    <t>0.10459236059132962</t>
  </si>
  <si>
    <t>0.3415132452150957</t>
  </si>
  <si>
    <t>-0.39065975964232513</t>
  </si>
  <si>
    <t>-1.0542658597347259</t>
  </si>
  <si>
    <t>-0.2978335248654434</t>
  </si>
  <si>
    <t>-0.8102688986967616</t>
  </si>
  <si>
    <t>-0.4627694449090634</t>
  </si>
  <si>
    <t>2.138039436107456</t>
  </si>
  <si>
    <t>-0.40074684349659695</t>
  </si>
  <si>
    <t>-1.176203615450529</t>
  </si>
  <si>
    <t>-0.010822996105484258</t>
  </si>
  <si>
    <t>0.3229538186689205</t>
  </si>
  <si>
    <t>0.9175415155814672</t>
  </si>
  <si>
    <t>0.06706396919217016</t>
  </si>
  <si>
    <t>-1.0487041652656346</t>
  </si>
  <si>
    <t>-1.2666880373052334</t>
  </si>
  <si>
    <t>0.5968154009111039</t>
  </si>
  <si>
    <t>-0.7471683166686903</t>
  </si>
  <si>
    <t>-0.13354505889949345</t>
  </si>
  <si>
    <t>0.2756988826672835</t>
  </si>
  <si>
    <t>-0.3493468161538491</t>
  </si>
  <si>
    <t>-0.3070520816722036</t>
  </si>
  <si>
    <t>0.4217825884647608</t>
  </si>
  <si>
    <t>0.1342430726172119</t>
  </si>
  <si>
    <t>0.543053670087026</t>
  </si>
  <si>
    <t>-1.2090297596979398</t>
  </si>
  <si>
    <t>-0.1767001565762782</t>
  </si>
  <si>
    <t>0.37356462129049867</t>
  </si>
  <si>
    <t>-2.9630312088731605</t>
  </si>
  <si>
    <t>-0.164941781798533</t>
  </si>
  <si>
    <t>0.46399266243218584</t>
  </si>
  <si>
    <t>0.6014102670550721</t>
  </si>
  <si>
    <t>-0.13661877816960655</t>
  </si>
  <si>
    <t>-0.424315284489127</t>
  </si>
  <si>
    <t>-0.32627378211522057</t>
  </si>
  <si>
    <t>0.15032398099229882</t>
  </si>
  <si>
    <t>-0.9907069999086937</t>
  </si>
  <si>
    <t>0.5829249353263918</t>
  </si>
  <si>
    <t>-0.4184032983830052</t>
  </si>
  <si>
    <t>0.07578915387321496</t>
  </si>
  <si>
    <t>-1.0186550503569858</t>
  </si>
  <si>
    <t>1.670497912621679</t>
  </si>
  <si>
    <t>-0.8335442843886732</t>
  </si>
  <si>
    <t>-0.5157577912499111</t>
  </si>
  <si>
    <t>0.31837690686551234</t>
  </si>
  <si>
    <t>-0.7436566290861739</t>
  </si>
  <si>
    <t>0.017374254500255273</t>
  </si>
  <si>
    <t>0.6073003315435763</t>
  </si>
  <si>
    <t>1.5471016893643772</t>
  </si>
  <si>
    <t>-0.8248359615604154</t>
  </si>
  <si>
    <t>3.737592703772816</t>
  </si>
  <si>
    <t>0.4594056107754368</t>
  </si>
  <si>
    <t>-1.357267839908368</t>
  </si>
  <si>
    <t>2.620349993660785</t>
  </si>
  <si>
    <t>-1.0293458420796702</t>
  </si>
  <si>
    <t>0.24897735654834374</t>
  </si>
  <si>
    <t>-0.046861571978821556</t>
  </si>
  <si>
    <t>-1.2956713492164742</t>
  </si>
  <si>
    <t>1.1595316614248055</t>
  </si>
  <si>
    <t>-0.11974917408139979</t>
  </si>
  <si>
    <t>-0.02491052041507079</t>
  </si>
  <si>
    <t>-0.9721949698931724</t>
  </si>
  <si>
    <t>-0.5310791927417451</t>
  </si>
  <si>
    <t>0.5154082292904074</t>
  </si>
  <si>
    <t>-1.2558672720733297</t>
  </si>
  <si>
    <t>-1.3486579930697284</t>
  </si>
  <si>
    <t>-0.35717757229386926</t>
  </si>
  <si>
    <t>0.6701753603726209</t>
  </si>
  <si>
    <t>1.3275791937164076</t>
  </si>
  <si>
    <t>-1.4050831941925597</t>
  </si>
  <si>
    <t>1.1550844166410632</t>
  </si>
  <si>
    <t>0.12937162549942505</t>
  </si>
  <si>
    <t>2.0213342200165556</t>
  </si>
  <si>
    <t>-1.9728745479219594</t>
  </si>
  <si>
    <t>-0.23189941732168048</t>
  </si>
  <si>
    <t>3.9900417085229756</t>
  </si>
  <si>
    <t>-0.8317431614753348</t>
  </si>
  <si>
    <t>-0.8020719029821283</t>
  </si>
  <si>
    <t>-0.7265954571593765</t>
  </si>
  <si>
    <t>0.3684946616783598</t>
  </si>
  <si>
    <t>-1.1120153571349114</t>
  </si>
  <si>
    <t>0.004692592911761323</t>
  </si>
  <si>
    <t>0.24478129749456154</t>
  </si>
  <si>
    <t>1.4630577607968949</t>
  </si>
  <si>
    <t>-0.19654461666525336</t>
  </si>
  <si>
    <t>-0.6695817374120611</t>
  </si>
  <si>
    <t>-0.04606188887070994</t>
  </si>
  <si>
    <t>0.22394170609800773</t>
  </si>
  <si>
    <t>-0.4250510289679139</t>
  </si>
  <si>
    <t>-0.8537463713638276</t>
  </si>
  <si>
    <t>-1.197246415220674</t>
  </si>
  <si>
    <t>-0.18886878987333344</t>
  </si>
  <si>
    <t>1.0878078024153777</t>
  </si>
  <si>
    <t>3.379660997222747</t>
  </si>
  <si>
    <t>-0.3050438597119621</t>
  </si>
  <si>
    <t>-0.3501722238429032</t>
  </si>
  <si>
    <t>-0.294854860078933</t>
  </si>
  <si>
    <t>0.6387452178447723</t>
  </si>
  <si>
    <t>0.2877350784762553</t>
  </si>
  <si>
    <t>0.22901173811219114</t>
  </si>
  <si>
    <t>0.6240251116938959</t>
  </si>
  <si>
    <t>2.0294347126799552</t>
  </si>
  <si>
    <t>-0.22365205683286868</t>
  </si>
  <si>
    <t>-0.04929026126140242</t>
  </si>
  <si>
    <t>-0.07223559149008406</t>
  </si>
  <si>
    <t>0.29456239274319657</t>
  </si>
  <si>
    <t>-1.323929388692221</t>
  </si>
  <si>
    <t>0.17259141057729402</t>
  </si>
  <si>
    <t>0.1503242688613913</t>
  </si>
  <si>
    <t>-1.2224722454778416</t>
  </si>
  <si>
    <t>0.2355970019552902</t>
  </si>
  <si>
    <t>0.4856582875077428</t>
  </si>
  <si>
    <t>1.0770625030569605</t>
  </si>
  <si>
    <t>-0.6736911168230691</t>
  </si>
  <si>
    <t>-1.7989750780589167</t>
  </si>
  <si>
    <t>-2.2471376422983993</t>
  </si>
  <si>
    <t>-0.09167789411936988</t>
  </si>
  <si>
    <t>0.6459464187399819</t>
  </si>
  <si>
    <t>-0.29528756521033706</t>
  </si>
  <si>
    <t>1.9156521465028198</t>
  </si>
  <si>
    <t>-0.15249224753574228</t>
  </si>
  <si>
    <t>0.36742719222934267</t>
  </si>
  <si>
    <t>0.42759170006384756</t>
  </si>
  <si>
    <t>-0.4083889077807252</t>
  </si>
  <si>
    <t>0.10302342046035351</t>
  </si>
  <si>
    <t>-0.6788768797093949</t>
  </si>
  <si>
    <t>0.01095124411220887</t>
  </si>
  <si>
    <t>-2.9830449206815857</t>
  </si>
  <si>
    <t>-0.8699307577973345</t>
  </si>
  <si>
    <t>0.6556149183381533</t>
  </si>
  <si>
    <t>0.5358190315896382</t>
  </si>
  <si>
    <t>0.2510182700315505</t>
  </si>
  <si>
    <t>-0.11744296524492667</t>
  </si>
  <si>
    <t>-0.20631611033159375</t>
  </si>
  <si>
    <t>0.290863177907609</t>
  </si>
  <si>
    <t>-0.43177961797042136</t>
  </si>
  <si>
    <t>-0.37195235146237676</t>
  </si>
  <si>
    <t>-0.12403355420222476</t>
  </si>
  <si>
    <t>1.2768138495021262</t>
  </si>
  <si>
    <t>-0.18283835039790158</t>
  </si>
  <si>
    <t>-1.5043773778919498</t>
  </si>
  <si>
    <t>-0.17873734954235204</t>
  </si>
  <si>
    <t>1.08187953802356</t>
  </si>
  <si>
    <t>-0.11910688539042422</t>
  </si>
  <si>
    <t>0.6322242043989255</t>
  </si>
  <si>
    <t>0.3572819829561201</t>
  </si>
  <si>
    <t>-0.33565690285714034</t>
  </si>
  <si>
    <t>0.7526571328453509</t>
  </si>
  <si>
    <t>0.1284333079389731</t>
  </si>
  <si>
    <t>0.2170526895712283</t>
  </si>
  <si>
    <t>0.6303741599723642</t>
  </si>
  <si>
    <t>0.0932270389938878</t>
  </si>
  <si>
    <t>-0.7798319079761622</t>
  </si>
  <si>
    <t>-0.35532861850387687</t>
  </si>
  <si>
    <t>-0.1549230744175253</t>
  </si>
  <si>
    <t>1.5279755995863755</t>
  </si>
  <si>
    <t>-1.4290997772366625</t>
  </si>
  <si>
    <t>-0.1542665285816571</t>
  </si>
  <si>
    <t>-0.39319969861823656</t>
  </si>
  <si>
    <t>0.6220322325185478</t>
  </si>
  <si>
    <t>1.203781765917329</t>
  </si>
  <si>
    <t>-0.13112202880714438</t>
  </si>
  <si>
    <t>0.2950889604881432</t>
  </si>
  <si>
    <t>1.013165729119967</t>
  </si>
  <si>
    <t>0.30393867603219205</t>
  </si>
  <si>
    <t>-1.0741106880882678</t>
  </si>
  <si>
    <t>1.109595187924896</t>
  </si>
  <si>
    <t>-0.43679677990971383</t>
  </si>
  <si>
    <t>0.8443821087529888</t>
  </si>
  <si>
    <t>-1.0737498423622058</t>
  </si>
  <si>
    <t>0.6587811755576342</t>
  </si>
  <si>
    <t>0.6947833654451739</t>
  </si>
  <si>
    <t>-0.39224790558830114</t>
  </si>
  <si>
    <t>-0.305905172693347</t>
  </si>
  <si>
    <t>-0.2771874179826572</t>
  </si>
  <si>
    <t>1.0657291942978142</t>
  </si>
  <si>
    <t>-0.8334322277349655</t>
  </si>
  <si>
    <t>0.595767835724459</t>
  </si>
  <si>
    <t>-0.07955623269963237</t>
  </si>
  <si>
    <t>-0.1467052779540263</t>
  </si>
  <si>
    <t>0.3490905154298854</t>
  </si>
  <si>
    <t>0.356556955257601</t>
  </si>
  <si>
    <t>0.33082735411476777</t>
  </si>
  <si>
    <t>-0.5218933467996758</t>
  </si>
  <si>
    <t>0.12928116153326272</t>
  </si>
  <si>
    <t>-0.01386510873908646</t>
  </si>
  <si>
    <t>-0.7158088948413666</t>
  </si>
  <si>
    <t>-0.5162769877192854</t>
  </si>
  <si>
    <t>0.20075154120350433</t>
  </si>
  <si>
    <t>0.1329895807227051</t>
  </si>
  <si>
    <t>0.7739511223807587</t>
  </si>
  <si>
    <t>0.08267430141771812</t>
  </si>
  <si>
    <t>0.1858975849693422</t>
  </si>
  <si>
    <t>-0.04617331589855659</t>
  </si>
  <si>
    <t>0.060235183475704786</t>
  </si>
  <si>
    <t>-0.7553339837030681</t>
  </si>
  <si>
    <t>0.020080311509519232</t>
  </si>
  <si>
    <t>1.1854312243825</t>
  </si>
  <si>
    <t>-0.1408964604365304</t>
  </si>
  <si>
    <t>-0.2571756181400619</t>
  </si>
  <si>
    <t>-0.24178818779030842</t>
  </si>
  <si>
    <t>-1.552906961387197</t>
  </si>
  <si>
    <t>-0.11607547859066703</t>
  </si>
  <si>
    <t>-1.1149659077912664</t>
  </si>
  <si>
    <t>0.523396853528403</t>
  </si>
  <si>
    <t>-1.13295137713292</t>
  </si>
  <si>
    <t>0.041043524340152786</t>
  </si>
  <si>
    <t>-0.5862696277220993</t>
  </si>
  <si>
    <t>0.12376112849223776</t>
  </si>
  <si>
    <t>-0.09553462311665707</t>
  </si>
  <si>
    <t>0.3114768416066587</t>
  </si>
  <si>
    <t>0.8929808815959245</t>
  </si>
  <si>
    <t>0.5707298362297532</t>
  </si>
  <si>
    <t>-0.5798421841034921</t>
  </si>
  <si>
    <t>0.028429904113132776</t>
  </si>
  <si>
    <t>-0.13800721761072515</t>
  </si>
  <si>
    <t>0.5515925013438655</t>
  </si>
  <si>
    <t>-1.7002562171468725</t>
  </si>
  <si>
    <t>-1.2290650926591176</t>
  </si>
  <si>
    <t>0.022114337663804537</t>
  </si>
  <si>
    <t>-1.503026499894068</t>
  </si>
  <si>
    <t>-0.7850145535492932</t>
  </si>
  <si>
    <t>-0.15554878227544736</t>
  </si>
  <si>
    <t>-0.31567865435990566</t>
  </si>
  <si>
    <t>1.2967073527082391</t>
  </si>
  <si>
    <t>1.7214316251277504</t>
  </si>
  <si>
    <t>5.592352476917113</t>
  </si>
  <si>
    <t>0.2181919474710905</t>
  </si>
  <si>
    <t>-0.13072607748508064</t>
  </si>
  <si>
    <t>-0.6892483412487994</t>
  </si>
  <si>
    <t>-0.380165896189936</t>
  </si>
  <si>
    <t>0.5012884257343504</t>
  </si>
  <si>
    <t>0.7704845308698731</t>
  </si>
  <si>
    <t>0.5215058406056815</t>
  </si>
  <si>
    <t>-0.7090486285963122</t>
  </si>
  <si>
    <t>-0.08749931456184293</t>
  </si>
  <si>
    <t>-2.1888091032365624</t>
  </si>
  <si>
    <t>1.4659305438173793</t>
  </si>
  <si>
    <t>-0.38022869685011557</t>
  </si>
  <si>
    <t>-0.8942589637559544</t>
  </si>
  <si>
    <t>2.2613169722439945</t>
  </si>
  <si>
    <t>-0.7875146169492963</t>
  </si>
  <si>
    <t>1.0886692808850178</t>
  </si>
  <si>
    <t>-1.1429435357139615</t>
  </si>
  <si>
    <t>-0.23944636200292546</t>
  </si>
  <si>
    <t>-0.08793560589682184</t>
  </si>
  <si>
    <t>0.295316913435589</t>
  </si>
  <si>
    <t>-3.4768312606575833</t>
  </si>
  <si>
    <t>-0.03770149090668162</t>
  </si>
  <si>
    <t>-0.07067509254371097</t>
  </si>
  <si>
    <t>-0.08350384829722957</t>
  </si>
  <si>
    <t>-0.7794304725333762</t>
  </si>
  <si>
    <t>0.2674412179515208</t>
  </si>
  <si>
    <t>-0.31799462471877</t>
  </si>
  <si>
    <t>-0.10638106525155627</t>
  </si>
  <si>
    <t>0.6217844050450877</t>
  </si>
  <si>
    <t>1.5872800377518015</t>
  </si>
  <si>
    <t>-0.20319915944881073</t>
  </si>
  <si>
    <t>-0.8791276464678551</t>
  </si>
  <si>
    <t>2.183534633706133</t>
  </si>
  <si>
    <t>5.24507848644281</t>
  </si>
  <si>
    <t>0.5280194058057994</t>
  </si>
  <si>
    <t>0.07140567579478152</t>
  </si>
  <si>
    <t>0.32722910533533167</t>
  </si>
  <si>
    <t>-0.42978336228360436</t>
  </si>
  <si>
    <t>-0.14856444151637022</t>
  </si>
  <si>
    <t>0.6957485427721034</t>
  </si>
  <si>
    <t>-0.2701872469742418</t>
  </si>
  <si>
    <t>0.3453845493149188</t>
  </si>
  <si>
    <t>-0.347451534706424</t>
  </si>
  <si>
    <t>0.4269961519867612</t>
  </si>
  <si>
    <t>-0.32253157943889843</t>
  </si>
  <si>
    <t>-1.0019399863480092</t>
  </si>
  <si>
    <t>3.675388651342167</t>
  </si>
  <si>
    <t>-0.5878406893086691</t>
  </si>
  <si>
    <t>-0.330978044440844</t>
  </si>
  <si>
    <t>0.7077944330299807</t>
  </si>
  <si>
    <t>-0.5640173939118914</t>
  </si>
  <si>
    <t>-0.6230173711690038</t>
  </si>
  <si>
    <t>0.4339871890810344</t>
  </si>
  <si>
    <t>-0.7193761602768747</t>
  </si>
  <si>
    <t>-0.10696617385699665</t>
  </si>
  <si>
    <t>0.03293363863129494</t>
  </si>
  <si>
    <t>-0.4054229484244112</t>
  </si>
  <si>
    <t>-0.3961133851877122</t>
  </si>
  <si>
    <t>0.36075521951444284</t>
  </si>
  <si>
    <t>-0.943248859143116</t>
  </si>
  <si>
    <t>0.7114727725178841</t>
  </si>
  <si>
    <t>0.15878705577227167</t>
  </si>
  <si>
    <t>0.14643929214044563</t>
  </si>
  <si>
    <t>-0.18666341328390654</t>
  </si>
  <si>
    <t>0.7704190310856834</t>
  </si>
  <si>
    <t>-0.08174883302784233</t>
  </si>
  <si>
    <t>0.3443872963377197</t>
  </si>
  <si>
    <t>0.708850193757289</t>
  </si>
  <si>
    <t>-0.8983227103722872</t>
  </si>
  <si>
    <t>-0.7239235579057192</t>
  </si>
  <si>
    <t>0.5276138729921824</t>
  </si>
  <si>
    <t>0.11591581884354239</t>
  </si>
  <si>
    <t>0.9702683028243915</t>
  </si>
  <si>
    <t>-1.3884670459920503</t>
  </si>
  <si>
    <t>1.1903339250885623</t>
  </si>
  <si>
    <t>-0.5966321290325799</t>
  </si>
  <si>
    <t>-0.18119675690144996</t>
  </si>
  <si>
    <t>1.3026952696068521</t>
  </si>
  <si>
    <t>0.03889666317426518</t>
  </si>
  <si>
    <t>0.979689669914413</t>
  </si>
  <si>
    <t>0.29629228382673933</t>
  </si>
  <si>
    <t>-0.9749113572446196</t>
  </si>
  <si>
    <t>1.0662625399783439</t>
  </si>
  <si>
    <t>0.5327080291132831</t>
  </si>
  <si>
    <t>-0.2701735670167997</t>
  </si>
  <si>
    <t>-0.8517352771638513</t>
  </si>
  <si>
    <t>0.7671177629138257</t>
  </si>
  <si>
    <t>0.4479056724263593</t>
  </si>
  <si>
    <t>0.14882654980352703</t>
  </si>
  <si>
    <t>-0.9348732569841778</t>
  </si>
  <si>
    <t>0.8655487389887774</t>
  </si>
  <si>
    <t>-0.6623252743833741</t>
  </si>
  <si>
    <t>-0.025589076418705458</t>
  </si>
  <si>
    <t>-0.7356175102994331</t>
  </si>
  <si>
    <t>1.8565292802672846</t>
  </si>
  <si>
    <t>0.2417945857632341</t>
  </si>
  <si>
    <t>-0.3275104624313499</t>
  </si>
  <si>
    <t>0.2805833748000438</t>
  </si>
  <si>
    <t>0.16818750077106165</t>
  </si>
  <si>
    <t>0.004214828157873774</t>
  </si>
  <si>
    <t>-0.014885506734718706</t>
  </si>
  <si>
    <t>-0.9544387276611718</t>
  </si>
  <si>
    <t>1.0659445807518049</t>
  </si>
  <si>
    <t>0.11705623562176752</t>
  </si>
  <si>
    <t>-0.7861161449126215</t>
  </si>
  <si>
    <t>1.6077973430225299</t>
  </si>
  <si>
    <t>0.264731453620587</t>
  </si>
  <si>
    <t>1.7307882019990806</t>
  </si>
  <si>
    <t>0.1094086796322759</t>
  </si>
  <si>
    <t>-0.8669028635937409</t>
  </si>
  <si>
    <t>-0.18575440399000778</t>
  </si>
  <si>
    <t>0.09383321392604693</t>
  </si>
  <si>
    <t>-0.9970674435465599</t>
  </si>
  <si>
    <t>1.7442433389500005</t>
  </si>
  <si>
    <t>-1.3589691367959762</t>
  </si>
  <si>
    <t>0.7479317878480624</t>
  </si>
  <si>
    <t>0.47286534261052965</t>
  </si>
  <si>
    <t>-0.10052240700003083</t>
  </si>
  <si>
    <t>-0.36184810486775465</t>
  </si>
  <si>
    <t>1.0607575487786276</t>
  </si>
  <si>
    <t>0.23514928977322552</t>
  </si>
  <si>
    <t>0.18703814534495833</t>
  </si>
  <si>
    <t>0.5212584256989726</t>
  </si>
  <si>
    <t>0.0523552963090223</t>
  </si>
  <si>
    <t>0.8172349765363626</t>
  </si>
  <si>
    <t>0.26243269299958377</t>
  </si>
  <si>
    <t>-1.5266101907686056</t>
  </si>
  <si>
    <t>1.7686358473126491</t>
  </si>
  <si>
    <t>-0.4487714624967875</t>
  </si>
  <si>
    <t>0.13996277035826535</t>
  </si>
  <si>
    <t>1.6657936608029367</t>
  </si>
  <si>
    <t>0.33150984745142054</t>
  </si>
  <si>
    <t>2.0174420343115407</t>
  </si>
  <si>
    <t>-2.2193235867368415</t>
  </si>
  <si>
    <t>0.43225805941135526</t>
  </si>
  <si>
    <t>0.8006862293942749</t>
  </si>
  <si>
    <t>-0.8575021724979708</t>
  </si>
  <si>
    <t>2.2963756552185877</t>
  </si>
  <si>
    <t>-0.6023421923761636</t>
  </si>
  <si>
    <t>-0.25055681243253913</t>
  </si>
  <si>
    <t>-0.9785538594605674</t>
  </si>
  <si>
    <t>1.40717686971779</t>
  </si>
  <si>
    <t>1.2929354290712394</t>
  </si>
  <si>
    <t>-0.6169175919860024</t>
  </si>
  <si>
    <t>0.43801956298606604</t>
  </si>
  <si>
    <t>0.6796009891723869</t>
  </si>
  <si>
    <t>-0.6248595766803494</t>
  </si>
  <si>
    <t>1.000715797367713</t>
  </si>
  <si>
    <t>0.34379412328796605</t>
  </si>
  <si>
    <t>1.0508083635101964</t>
  </si>
  <si>
    <t>1.2005616851836476</t>
  </si>
  <si>
    <t>-0.3800419353736763</t>
  </si>
  <si>
    <t>0.7347073804061507</t>
  </si>
  <si>
    <t>0.27983598483033867</t>
  </si>
  <si>
    <t>0.5310876067944065</t>
  </si>
  <si>
    <t>-1.0069133023727674</t>
  </si>
  <si>
    <t>-1.3897735924675387</t>
  </si>
  <si>
    <t>0.21960585424690102</t>
  </si>
  <si>
    <t>1.5624642582508224</t>
  </si>
  <si>
    <t>1.0758741062608443</t>
  </si>
  <si>
    <t>1.1379990056302292</t>
  </si>
  <si>
    <t>1.1195695659489806</t>
  </si>
  <si>
    <t>0.336073588002903</t>
  </si>
  <si>
    <t>0.9314962507637418</t>
  </si>
  <si>
    <t>-0.7138982250800079</t>
  </si>
  <si>
    <t>-1.7436864298423733</t>
  </si>
  <si>
    <t>1.5696093568759586</t>
  </si>
  <si>
    <t>-0.1813584244204221</t>
  </si>
  <si>
    <t>-0.3090838265463597</t>
  </si>
  <si>
    <t>0.06320455757230364</t>
  </si>
  <si>
    <t>-0.4090769306317688</t>
  </si>
  <si>
    <t>0.9996435716602872</t>
  </si>
  <si>
    <t>0.3244246672497716</t>
  </si>
  <si>
    <t>-0.3727437221257098</t>
  </si>
  <si>
    <t>-0.41091434774912616</t>
  </si>
  <si>
    <t>-0.2350825426630154</t>
  </si>
  <si>
    <t>-0.8352465284091395</t>
  </si>
  <si>
    <t>0.8819216023947701</t>
  </si>
  <si>
    <t>-0.29586722815981015</t>
  </si>
  <si>
    <t>-0.5420636891511147</t>
  </si>
  <si>
    <t>0.2075557130895398</t>
  </si>
  <si>
    <t>0.263980361783185</t>
  </si>
  <si>
    <t>-0.43710177340205014</t>
  </si>
  <si>
    <t>-0.9124542222246227</t>
  </si>
  <si>
    <t>0.7018728161818304</t>
  </si>
  <si>
    <t>-0.45035450408244</t>
  </si>
  <si>
    <t>-1.440973202396164</t>
  </si>
  <si>
    <t>-0.5478650705318332</t>
  </si>
  <si>
    <t>-1.0936587805171547</t>
  </si>
  <si>
    <t>0.5206546789276849</t>
  </si>
  <si>
    <t>0.2192857345694713</t>
  </si>
  <si>
    <t>-0.09520534099960899</t>
  </si>
  <si>
    <t>0.3135814146572363</t>
  </si>
  <si>
    <t>1.4219812052381944</t>
  </si>
  <si>
    <t>-0.22152721155209856</t>
  </si>
  <si>
    <t>-1.1215144466744644</t>
  </si>
  <si>
    <t>-0.9341781024276324</t>
  </si>
  <si>
    <t>0.0727619146217291</t>
  </si>
  <si>
    <t>0.8521883532319215</t>
  </si>
  <si>
    <t>-0.29632931504036353</t>
  </si>
  <si>
    <t>0.8517308991127597</t>
  </si>
  <si>
    <t>-1.0443904407905993</t>
  </si>
  <si>
    <t>0.12665930110093532</t>
  </si>
  <si>
    <t>1.5785435073635525</t>
  </si>
  <si>
    <t>0.40163874674878164</t>
  </si>
  <si>
    <t>-1.4656588841825968</t>
  </si>
  <si>
    <t>-0.2369457941840114</t>
  </si>
  <si>
    <t>-0.8556948248770279</t>
  </si>
  <si>
    <t>1.2314433707968473</t>
  </si>
  <si>
    <t>0.9078580384575077</t>
  </si>
  <si>
    <t>0.8855304257657062</t>
  </si>
  <si>
    <t>-1.006893679995616</t>
  </si>
  <si>
    <t>-0.6794040890532523</t>
  </si>
  <si>
    <t>0.20259127667856172</t>
  </si>
  <si>
    <t>-0.4710383874113766</t>
  </si>
  <si>
    <t>-0.7025820580489393</t>
  </si>
  <si>
    <t>-0.4567201707336823</t>
  </si>
  <si>
    <t>-0.9013379908520328</t>
  </si>
  <si>
    <t>0.8736230463346023</t>
  </si>
  <si>
    <t>-0.6335001235654442</t>
  </si>
  <si>
    <t>0.47107591642360613</t>
  </si>
  <si>
    <t>0.24945242471929988</t>
  </si>
  <si>
    <t>-0.38828331441093894</t>
  </si>
  <si>
    <t>0.7291451243860387</t>
  </si>
  <si>
    <t>-0.31880565623909773</t>
  </si>
  <si>
    <t>0.21416444331648354</t>
  </si>
  <si>
    <t>-0.354926741968028</t>
  </si>
  <si>
    <t>-0.3894526798521914</t>
  </si>
  <si>
    <t>0.11314372806125791</t>
  </si>
  <si>
    <t>-0.9422870555320684</t>
  </si>
  <si>
    <t>0.14505699084672988</t>
  </si>
  <si>
    <t>0.4997290941650207</t>
  </si>
  <si>
    <t>0.6546754396908403</t>
  </si>
  <si>
    <t>-0.5605586468390095</t>
  </si>
  <si>
    <t>1.0092663364130743</t>
  </si>
  <si>
    <t>-0.46940445028114275</t>
  </si>
  <si>
    <t>-1.0769770183206875</t>
  </si>
  <si>
    <t>-0.5435981671061622</t>
  </si>
  <si>
    <t>-0.8393989123587265</t>
  </si>
  <si>
    <t>-0.9492792918722576</t>
  </si>
  <si>
    <t>0.20420192434925918</t>
  </si>
  <si>
    <t>-0.22086108546160668</t>
  </si>
  <si>
    <t>0.21506983683175224</t>
  </si>
  <si>
    <t>-0.765308923100967</t>
  </si>
  <si>
    <t>-0.3734880296229811</t>
  </si>
  <si>
    <t>0.2831269890378863</t>
  </si>
  <si>
    <t>-0.4496772782428476</t>
  </si>
  <si>
    <t>1.6019483682689475</t>
  </si>
  <si>
    <t>0.5390505487666112</t>
  </si>
  <si>
    <t>-0.12365748105782869</t>
  </si>
  <si>
    <t>0.8003585448209496</t>
  </si>
  <si>
    <t>-0.10899704627869553</t>
  </si>
  <si>
    <t>0.24975106300330913</t>
  </si>
  <si>
    <t>-0.5794670508190191</t>
  </si>
  <si>
    <t>0.2906246746404101</t>
  </si>
  <si>
    <t>-0.4495048766922611</t>
  </si>
  <si>
    <t>0.6255010430396922</t>
  </si>
  <si>
    <t>-0.44615811721854637</t>
  </si>
  <si>
    <t>-0.28975162332448823</t>
  </si>
  <si>
    <t>0.4460344078013106</t>
  </si>
  <si>
    <t>0.7977914677562057</t>
  </si>
  <si>
    <t>-1.0972649516352668</t>
  </si>
  <si>
    <t>2.7426864411276157</t>
  </si>
  <si>
    <t>-0.1875248541474353</t>
  </si>
  <si>
    <t>0.338190822208329</t>
  </si>
  <si>
    <t>0.13537990581238016</t>
  </si>
  <si>
    <t>-0.2647280094394291</t>
  </si>
  <si>
    <t>-1.0730639675961258</t>
  </si>
  <si>
    <t>-0.7382829484351351</t>
  </si>
  <si>
    <t>0.24985278467888103</t>
  </si>
  <si>
    <t>-0.8652976646236005</t>
  </si>
  <si>
    <t>0.20843153581590296</t>
  </si>
  <si>
    <t>1.171163495718474</t>
  </si>
  <si>
    <t>1.4896489545874003</t>
  </si>
  <si>
    <t>1.1214822054631832</t>
  </si>
  <si>
    <t>0.27922567833839135</t>
  </si>
  <si>
    <t>0.45185931816332636</t>
  </si>
  <si>
    <t>-0.062971318169982</t>
  </si>
  <si>
    <t>0.13207614304184292</t>
  </si>
  <si>
    <t>0.7644969941012238</t>
  </si>
  <si>
    <t>0.13968399354715702</t>
  </si>
  <si>
    <t>-0.5491158784729666</t>
  </si>
  <si>
    <t>1.6192459716503071</t>
  </si>
  <si>
    <t>-0.5023226398105137</t>
  </si>
  <si>
    <t>0.22851529995042066</t>
  </si>
  <si>
    <t>-0.705776868027679</t>
  </si>
  <si>
    <t>1.9378717691187926</t>
  </si>
  <si>
    <t>-0.27139740763631093</t>
  </si>
  <si>
    <t>-0.5389778708312016</t>
  </si>
  <si>
    <t>-0.08447063725750957</t>
  </si>
  <si>
    <t>0.07070800890780525</t>
  </si>
  <si>
    <t>-0.43062935330403457</t>
  </si>
  <si>
    <t>-0.031847319051483795</t>
  </si>
  <si>
    <t>0.8016150101324903</t>
  </si>
  <si>
    <t>-0.480431602106925</t>
  </si>
  <si>
    <t>-0.4644967516583506</t>
  </si>
  <si>
    <t>-0.44906252766682575</t>
  </si>
  <si>
    <t>0.14545078696039132</t>
  </si>
  <si>
    <t>0.9399261613976566</t>
  </si>
  <si>
    <t>0.09177133656838951</t>
  </si>
  <si>
    <t>-0.7874999383140542</t>
  </si>
  <si>
    <t>1.3760662174625324</t>
  </si>
  <si>
    <t>-0.3494639093200175</t>
  </si>
  <si>
    <t>-1.0550523462434993</t>
  </si>
  <si>
    <t>-0.4604522049840691</t>
  </si>
  <si>
    <t>0.3132681700874437</t>
  </si>
  <si>
    <t>-0.14833778041208925</t>
  </si>
  <si>
    <t>-0.2937191588891263</t>
  </si>
  <si>
    <t>0.49336507870225965</t>
  </si>
  <si>
    <t>0.4946203888530936</t>
  </si>
  <si>
    <t>0.5393983200658189</t>
  </si>
  <si>
    <t>-0.6227928647155898</t>
  </si>
  <si>
    <t>0.13721741860436046</t>
  </si>
  <si>
    <t>-0.06437499548302619</t>
  </si>
  <si>
    <t>0.18293702639150614</t>
  </si>
  <si>
    <t>1.8761733315831137</t>
  </si>
  <si>
    <t>-0.40286351731914505</t>
  </si>
  <si>
    <t>0.4209419885464965</t>
  </si>
  <si>
    <t>0.05835704772446799</t>
  </si>
  <si>
    <t>-1.457269682604268</t>
  </si>
  <si>
    <t>0.48564282122605706</t>
  </si>
  <si>
    <t>0.20371420455498016</t>
  </si>
  <si>
    <t>-0.5087042556499427</t>
  </si>
  <si>
    <t>0.7468349625193831</t>
  </si>
  <si>
    <t>0.3425428733708611</t>
  </si>
  <si>
    <t>-0.2225477636932333</t>
  </si>
  <si>
    <t>0.22139226687215455</t>
  </si>
  <si>
    <t>1.5309761415469407</t>
  </si>
  <si>
    <t>0.22799311445285322</t>
  </si>
  <si>
    <t>-0.7588542886967297</t>
  </si>
  <si>
    <t>-0.21496026821583256</t>
  </si>
  <si>
    <t>0.8485780474936881</t>
  </si>
  <si>
    <t>-0.09541006687684496</t>
  </si>
  <si>
    <t>0.5711064617014501</t>
  </si>
  <si>
    <t>-0.15318184309774432</t>
  </si>
  <si>
    <t>-0.3511322852862049</t>
  </si>
  <si>
    <t>-0.4123554840483493</t>
  </si>
  <si>
    <t>-0.028326136804632508</t>
  </si>
  <si>
    <t>0.03421824310704564</t>
  </si>
  <si>
    <t>0.2609073843128058</t>
  </si>
  <si>
    <t>-0.6213016754454268</t>
  </si>
  <si>
    <t>-0.8660505614702075</t>
  </si>
  <si>
    <t>-0.012530860968598746</t>
  </si>
  <si>
    <t>-0.049691139092095465</t>
  </si>
  <si>
    <t>0.4814773791144878</t>
  </si>
  <si>
    <t>-0.3177007003716577</t>
  </si>
  <si>
    <t>-0.3926007798189542</t>
  </si>
  <si>
    <t>-0.8249241014833112</t>
  </si>
  <si>
    <t>-0.11899139086891639</t>
  </si>
  <si>
    <t>-0.7127438277013316</t>
  </si>
  <si>
    <t>-0.03989568152673427</t>
  </si>
  <si>
    <t>0.17637041382840657</t>
  </si>
  <si>
    <t>0.18508798323482292</t>
  </si>
  <si>
    <t>2.1322312548589033</t>
  </si>
  <si>
    <t>-1.3036562756925416</t>
  </si>
  <si>
    <t>1.6620230417509798</t>
  </si>
  <si>
    <t>-0.8386732773947696</t>
  </si>
  <si>
    <t>-0.33947048838694643</t>
  </si>
  <si>
    <t>-0.1864537139057223</t>
  </si>
  <si>
    <t>0.5604063641416055</t>
  </si>
  <si>
    <t>-0.3330812740429995</t>
  </si>
  <si>
    <t>-0.7030073093936144</t>
  </si>
  <si>
    <t>0.26178293603998376</t>
  </si>
  <si>
    <t>-0.28809005183684455</t>
  </si>
  <si>
    <t>-0.1047963374504294</t>
  </si>
  <si>
    <t>-0.24354916092495418</t>
  </si>
  <si>
    <t>0.19911825515351272</t>
  </si>
  <si>
    <t>-0.9642730765682592</t>
  </si>
  <si>
    <t>0.41495654174639796</t>
  </si>
  <si>
    <t>-0.03870810952652324</t>
  </si>
  <si>
    <t>0.09818242238900031</t>
  </si>
  <si>
    <t>0.07555033833122209</t>
  </si>
  <si>
    <t>0.24003091918033873</t>
  </si>
  <si>
    <t>-0.24169751356853525</t>
  </si>
  <si>
    <t>-0.10569403620599195</t>
  </si>
  <si>
    <t>0.7871665443534465</t>
  </si>
  <si>
    <t>0.16656581412596827</t>
  </si>
  <si>
    <t>1.1041283721622133</t>
  </si>
  <si>
    <t>0.923568012550701</t>
  </si>
  <si>
    <t>-0.3055498487262282</t>
  </si>
  <si>
    <t>-0.2534115634295109</t>
  </si>
  <si>
    <t>0.5315399278746986</t>
  </si>
  <si>
    <t>-0.31579291637559903</t>
  </si>
  <si>
    <t>0.0014171188219695536</t>
  </si>
  <si>
    <t>0.4533555965337323</t>
  </si>
  <si>
    <t>-0.6835045421767928</t>
  </si>
  <si>
    <t>-0.5583623072639883</t>
  </si>
  <si>
    <t>0.1552589772674348</t>
  </si>
  <si>
    <t>-0.001849166038448549</t>
  </si>
  <si>
    <t>-0.7058567741567291</t>
  </si>
  <si>
    <t>0.987329476246043</t>
  </si>
  <si>
    <t>0.22546226373280473</t>
  </si>
  <si>
    <t>0.0683604377553461</t>
  </si>
  <si>
    <t>-0.4229120130338813</t>
  </si>
  <si>
    <t>-0.5686337291375964</t>
  </si>
  <si>
    <t>-0.532250430474028</t>
  </si>
  <si>
    <t>1.4670134276350904</t>
  </si>
  <si>
    <t>-0.8521157957704656</t>
  </si>
  <si>
    <t>0.2195126357895739</t>
  </si>
  <si>
    <t>0.22910976259901372</t>
  </si>
  <si>
    <t>0.5048186113146017</t>
  </si>
  <si>
    <t>0.6087096222452544</t>
  </si>
  <si>
    <t>0.897190166480079</t>
  </si>
  <si>
    <t>0.08817173731598936</t>
  </si>
  <si>
    <t>0.17936134143418395</t>
  </si>
  <si>
    <t>1.1840293779228621</t>
  </si>
  <si>
    <t>-0.567654430726614</t>
  </si>
  <si>
    <t>-0.6004549650378683</t>
  </si>
  <si>
    <t>-0.27924302197893425</t>
  </si>
  <si>
    <t>0.8966386424712406</t>
  </si>
  <si>
    <t>0.035234911462141784</t>
  </si>
  <si>
    <t>0.11080364763970288</t>
  </si>
  <si>
    <t>0.01731821063943805</t>
  </si>
  <si>
    <t>0.18273122618809998</t>
  </si>
  <si>
    <t>0.6436462209082305</t>
  </si>
  <si>
    <t>0.5902419367068004</t>
  </si>
  <si>
    <t>-0.6763201487984164</t>
  </si>
  <si>
    <t>-0.7746598543181547</t>
  </si>
  <si>
    <t>1.0326809079324737</t>
  </si>
  <si>
    <t>-0.43026045079227404</t>
  </si>
  <si>
    <t>0.26470504567915915</t>
  </si>
  <si>
    <t>-0.4793661034947418</t>
  </si>
  <si>
    <t>-0.36056437163914995</t>
  </si>
  <si>
    <t>0.11147485836176378</t>
  </si>
  <si>
    <t>-0.2955992542061875</t>
  </si>
  <si>
    <t>0.10522530998007708</t>
  </si>
  <si>
    <t>-0.5792732543452618</t>
  </si>
  <si>
    <t>0.5868078694722865</t>
  </si>
  <si>
    <t>-1.1353748041454768</t>
  </si>
  <si>
    <t>-0.3629001489582927</t>
  </si>
  <si>
    <t>0.4590751378540617</t>
  </si>
  <si>
    <t>-0.21909466143656225</t>
  </si>
  <si>
    <t>0.11153684367874261</t>
  </si>
  <si>
    <t>-1.198987465272023</t>
  </si>
  <si>
    <t>0.7830451957325701</t>
  </si>
  <si>
    <t>-0.5990664832016446</t>
  </si>
  <si>
    <t>0.770828888539912</t>
  </si>
  <si>
    <t>-0.6653079942955178</t>
  </si>
  <si>
    <t>0.34689095792837277</t>
  </si>
  <si>
    <t>0.13613174395581418</t>
  </si>
  <si>
    <t>-0.329515128435885</t>
  </si>
  <si>
    <t>-0.20482690662461367</t>
  </si>
  <si>
    <t>1.2961451552244014</t>
  </si>
  <si>
    <t>0.8257509467665056</t>
  </si>
  <si>
    <t>-0.06112902151583206</t>
  </si>
  <si>
    <t>-0.11506281175761775</t>
  </si>
  <si>
    <t>0.2807557589024361</t>
  </si>
  <si>
    <t>-0.036935363360686854</t>
  </si>
  <si>
    <t>-1.2541491931073498</t>
  </si>
  <si>
    <t>0.22006851607279998</t>
  </si>
  <si>
    <t>0.43101055582641323</t>
  </si>
  <si>
    <t>0.24105267567849023</t>
  </si>
  <si>
    <t>0.8136916474364825</t>
  </si>
  <si>
    <t>0.6359908030945037</t>
  </si>
  <si>
    <t>0.25548496252915</t>
  </si>
  <si>
    <t>-0.6426867534338871</t>
  </si>
  <si>
    <t>-1.4836831980905683</t>
  </si>
  <si>
    <t>0.4494503067240415</t>
  </si>
  <si>
    <t>0.7260139757864912</t>
  </si>
  <si>
    <t>-0.8331314492012629</t>
  </si>
  <si>
    <t>0.2885233286311139</t>
  </si>
  <si>
    <t>-0.10422494322625327</t>
  </si>
  <si>
    <t>0.4772694301716157</t>
  </si>
  <si>
    <t>-0.027781384947550166</t>
  </si>
  <si>
    <t>-0.3806196991022873</t>
  </si>
  <si>
    <t>-0.8527925710404609</t>
  </si>
  <si>
    <t>0.7582957301223875</t>
  </si>
  <si>
    <t>-0.6661733253472412</t>
  </si>
  <si>
    <t>0.1888168631538109</t>
  </si>
  <si>
    <t>1.9970924367371297</t>
  </si>
  <si>
    <t>0.12585044270282247</t>
  </si>
  <si>
    <t>0.2513742200176228</t>
  </si>
  <si>
    <t>-0.13266898757728227</t>
  </si>
  <si>
    <t>0.3370873201319486</t>
  </si>
  <si>
    <t>0.49678727946467405</t>
  </si>
  <si>
    <t>-0.4333888573209752</t>
  </si>
  <si>
    <t>0.21192495158231092</t>
  </si>
  <si>
    <t>0.9473816189993476</t>
  </si>
  <si>
    <t>-0.05298255469747648</t>
  </si>
  <si>
    <t>-0.09503888118760206</t>
  </si>
  <si>
    <t>0.20767560819519515</t>
  </si>
  <si>
    <t>-0.7268609982838531</t>
  </si>
  <si>
    <t>0.26232117253489823</t>
  </si>
  <si>
    <t>-0.8460751746456875</t>
  </si>
  <si>
    <t>0.1974733213267605</t>
  </si>
  <si>
    <t>-0.4375946492948992</t>
  </si>
  <si>
    <t>0.4263805309490606</t>
  </si>
  <si>
    <t>-0.3326238551384631</t>
  </si>
  <si>
    <t>-0.5104006721696271</t>
  </si>
  <si>
    <t>0.60099417651212</t>
  </si>
  <si>
    <t>0.8417253065351572</t>
  </si>
  <si>
    <t>-0.8055034203666568</t>
  </si>
  <si>
    <t>-0.06521759717922214</t>
  </si>
  <si>
    <t>-0.058863513405559856</t>
  </si>
  <si>
    <t>-0.29683487184957985</t>
  </si>
  <si>
    <t>-0.2865831904643263</t>
  </si>
  <si>
    <t>1.706940967367222</t>
  </si>
  <si>
    <t>-0.9671885359951851</t>
  </si>
  <si>
    <t>0.13188666891550888</t>
  </si>
  <si>
    <t>0.6804899573072075</t>
  </si>
  <si>
    <t>0.18662818363308853</t>
  </si>
  <si>
    <t>-3.200257223710177</t>
  </si>
  <si>
    <t>-0.7118895284251082</t>
  </si>
  <si>
    <t>-0.12217370799264504</t>
  </si>
  <si>
    <t>0.0902556863446906</t>
  </si>
  <si>
    <t>-0.8602504422426254</t>
  </si>
  <si>
    <t>-0.4771847031224144</t>
  </si>
  <si>
    <t>0.7474432232910186</t>
  </si>
  <si>
    <t>-0.2945627544125506</t>
  </si>
  <si>
    <t>0.19261671984465414</t>
  </si>
  <si>
    <t>0.3464919745440199</t>
  </si>
  <si>
    <t>-0.5914389575115165</t>
  </si>
  <si>
    <t>0.4813003870818957</t>
  </si>
  <si>
    <t>0.6522575826798784</t>
  </si>
  <si>
    <t>-0.621895152138832</t>
  </si>
  <si>
    <t>0.15258843402302225</t>
  </si>
  <si>
    <t>0.937654162869891</t>
  </si>
  <si>
    <t>-0.12055385681947185</t>
  </si>
  <si>
    <t>-0.9557198713515845</t>
  </si>
  <si>
    <t>-0.04043574115597992</t>
  </si>
  <si>
    <t>-0.44068949731511226</t>
  </si>
  <si>
    <t>1.1092927760619562</t>
  </si>
  <si>
    <t>-0.4383546800886973</t>
  </si>
  <si>
    <t>-0.19385892358092285</t>
  </si>
  <si>
    <t>0.7323908747299798</t>
  </si>
  <si>
    <t>0.7179758002442129</t>
  </si>
  <si>
    <t>-0.9936743367567668</t>
  </si>
  <si>
    <t>-1.2103888188514185</t>
  </si>
  <si>
    <t>0.14621239990933174</t>
  </si>
  <si>
    <t>-0.30479577632680493</t>
  </si>
  <si>
    <t>0.0931720353448662</t>
  </si>
  <si>
    <t>-0.3171774748362891</t>
  </si>
  <si>
    <t>-0.1306282330858274</t>
  </si>
  <si>
    <t>0.11899331650670472</t>
  </si>
  <si>
    <t>0.45895739629947574</t>
  </si>
  <si>
    <t>-1.0714004111284838</t>
  </si>
  <si>
    <t>-0.03345229303090928</t>
  </si>
  <si>
    <t>0.7489971999085155</t>
  </si>
  <si>
    <t>-0.08968414372738263</t>
  </si>
  <si>
    <t>0.08767483519234402</t>
  </si>
  <si>
    <t>1.4396270254914223</t>
  </si>
  <si>
    <t>-1.348881814432353</t>
  </si>
  <si>
    <t>0.30149868976669164</t>
  </si>
  <si>
    <t>0.08288939638054786</t>
  </si>
  <si>
    <t>-0.47356480194684136</t>
  </si>
  <si>
    <t>0.8743866113504045</t>
  </si>
  <si>
    <t>0.05845072480666501</t>
  </si>
  <si>
    <t>0.3011691951937559</t>
  </si>
  <si>
    <t>-0.1776206343972071</t>
  </si>
  <si>
    <t>0.34560214405664286</t>
  </si>
  <si>
    <t>-0.7003788583126388</t>
  </si>
  <si>
    <t>0.7540578271252609</t>
  </si>
  <si>
    <t>-0.8181507878568698</t>
  </si>
  <si>
    <t>-1.5305983239902057</t>
  </si>
  <si>
    <t>-0.46280802990161624</t>
  </si>
  <si>
    <t>-0.2857081285149843</t>
  </si>
  <si>
    <t>-0.17621878236670765</t>
  </si>
  <si>
    <t>0.21074585603537907</t>
  </si>
  <si>
    <t>1.013633888838053</t>
  </si>
  <si>
    <t>-0.09977766002765025</t>
  </si>
  <si>
    <t>0.2324282953342027</t>
  </si>
  <si>
    <t>1.3020147314614423</t>
  </si>
  <si>
    <t>-0.3777414490696466</t>
  </si>
  <si>
    <t>-0.32202425553447067</t>
  </si>
  <si>
    <t>-0.13387901633197452</t>
  </si>
  <si>
    <t>0.23845437440665515</t>
  </si>
  <si>
    <t>0.17584170169229746</t>
  </si>
  <si>
    <t>-0.24695436417388586</t>
  </si>
  <si>
    <t>-0.20163347449749833</t>
  </si>
  <si>
    <t>-0.459694024484266</t>
  </si>
  <si>
    <t>-0.24267313570917537</t>
  </si>
  <si>
    <t>-0.12964072332749677</t>
  </si>
  <si>
    <t>-0.49073358273497303</t>
  </si>
  <si>
    <t>-0.10280868410277938</t>
  </si>
  <si>
    <t>-0.6970018702960254</t>
  </si>
  <si>
    <t>-0.25826705274893563</t>
  </si>
  <si>
    <t>0.6523019593770684</t>
  </si>
  <si>
    <t>-0.3256116438317923</t>
  </si>
  <si>
    <t>-1.0768254130709112</t>
  </si>
  <si>
    <t>-0.3252292614031409</t>
  </si>
  <si>
    <t>0.8735572603897166</t>
  </si>
  <si>
    <t>-0.4239308578914203</t>
  </si>
  <si>
    <t>0.2781084808478489</t>
  </si>
  <si>
    <t>-0.13650768249223214</t>
  </si>
  <si>
    <t>0.08202451871131028</t>
  </si>
  <si>
    <t>-0.6993351608101741</t>
  </si>
  <si>
    <t>0.602532206285259</t>
  </si>
  <si>
    <t>1.2915630425734184</t>
  </si>
  <si>
    <t>0.07942888034634611</t>
  </si>
  <si>
    <t>-0.1237653866541701</t>
  </si>
  <si>
    <t>-0.06994214532453112</t>
  </si>
  <si>
    <t>0.8844997711241426</t>
  </si>
  <si>
    <t>-0.030962727004708427</t>
  </si>
  <si>
    <t>0.0770627849350141</t>
  </si>
  <si>
    <t>-0.8953140226665742</t>
  </si>
  <si>
    <t>-0.4985986255894395</t>
  </si>
  <si>
    <t>-0.29373385957213766</t>
  </si>
  <si>
    <t>-0.9961842222687508</t>
  </si>
  <si>
    <t>-0.5901587235933374</t>
  </si>
  <si>
    <t>0.6498344883938858</t>
  </si>
  <si>
    <t>-0.32313544676147066</t>
  </si>
  <si>
    <t>0.26880832738850996</t>
  </si>
  <si>
    <t>-1.027051196344262</t>
  </si>
  <si>
    <t>0.0898752860087401</t>
  </si>
  <si>
    <t>-0.04561182755438188</t>
  </si>
  <si>
    <t>-0.8869613896912734</t>
  </si>
  <si>
    <t>1.1543154946059853</t>
  </si>
  <si>
    <t>-1.0667625183264278</t>
  </si>
  <si>
    <t>-0.6799223859925334</t>
  </si>
  <si>
    <t>-0.3620903520455063</t>
  </si>
  <si>
    <t>-0.14752572834554836</t>
  </si>
  <si>
    <t>-0.27100508293069675</t>
  </si>
  <si>
    <t>0.3302727176263946</t>
  </si>
  <si>
    <t>0.19859945502128645</t>
  </si>
  <si>
    <t>-0.37241433497924786</t>
  </si>
  <si>
    <t>0.3636786196246229</t>
  </si>
  <si>
    <t>0.1360433303799227</t>
  </si>
  <si>
    <t>0.2595192422283071</t>
  </si>
  <si>
    <t>-0.7114292904571775</t>
  </si>
  <si>
    <t>-0.6868101412077143</t>
  </si>
  <si>
    <t>0.37690861533005293</t>
  </si>
  <si>
    <t>-0.3466131378918216</t>
  </si>
  <si>
    <t>0.03496852238198088</t>
  </si>
  <si>
    <t>0.1519758786353597</t>
  </si>
  <si>
    <t>-0.09525928946627783</t>
  </si>
  <si>
    <t>-1.045318727860096</t>
  </si>
  <si>
    <t>0.511478470204095</t>
  </si>
  <si>
    <t>-0.13474408515936015</t>
  </si>
  <si>
    <t>0.678187466386719</t>
  </si>
  <si>
    <t>0.004343504681908576</t>
  </si>
  <si>
    <t>0.4925445683664247</t>
  </si>
  <si>
    <t>-0.920421668285307</t>
  </si>
  <si>
    <t>-0.4364853821360389</t>
  </si>
  <si>
    <t>-0.4499883864028366</t>
  </si>
  <si>
    <t>-0.6367791365596086</t>
  </si>
  <si>
    <t>1.1767769098806886</t>
  </si>
  <si>
    <t>-0.4213510502821218</t>
  </si>
  <si>
    <t>0.1118973452244721</t>
  </si>
  <si>
    <t>0.47277798539482585</t>
  </si>
  <si>
    <t>3.5289465293622104</t>
  </si>
  <si>
    <t>-0.6475573056799977</t>
  </si>
  <si>
    <t>-1.0083004471686867</t>
  </si>
  <si>
    <t>-0.13495122444317828</t>
  </si>
  <si>
    <t>-1.3901996901055422</t>
  </si>
  <si>
    <t>-0.019854351049318</t>
  </si>
  <si>
    <t>-0.5244609554953255</t>
  </si>
  <si>
    <t>0.28968811117556664</t>
  </si>
  <si>
    <t>0.40408889814970084</t>
  </si>
  <si>
    <t>1.1092370417189252</t>
  </si>
  <si>
    <t>-1.1317599452502627</t>
  </si>
  <si>
    <t>-0.2192186880937705</t>
  </si>
  <si>
    <t>-2.1445799276900295</t>
  </si>
  <si>
    <t>0.18536306332735097</t>
  </si>
  <si>
    <t>-1.0644742973286776</t>
  </si>
  <si>
    <t>-1.325457198820266</t>
  </si>
  <si>
    <t>0.9531965304698595</t>
  </si>
  <si>
    <t>-0.43397767377155244</t>
  </si>
  <si>
    <t>-0.4328708713565492</t>
  </si>
  <si>
    <t>0.4698632686520959</t>
  </si>
  <si>
    <t>-1.621047622793573</t>
  </si>
  <si>
    <t>-0.3490559504195153</t>
  </si>
  <si>
    <t>-0.2242355975244352</t>
  </si>
  <si>
    <t>-0.003813994647980909</t>
  </si>
  <si>
    <t>-0.7062062453306999</t>
  </si>
  <si>
    <t>-0.48203844172935895</t>
  </si>
  <si>
    <t>0.11573231999260834</t>
  </si>
  <si>
    <t>0.17332354731055513</t>
  </si>
  <si>
    <t>0.5543700342448631</t>
  </si>
  <si>
    <t>-0.6506651250739474</t>
  </si>
  <si>
    <t>0.051625036466629796</t>
  </si>
  <si>
    <t>0.42377362697011695</t>
  </si>
  <si>
    <t>-0.11398599180258488</t>
  </si>
  <si>
    <t>-0.45305146517142925</t>
  </si>
  <si>
    <t>-0.1317641175125449</t>
  </si>
  <si>
    <t>0.021784426889071867</t>
  </si>
  <si>
    <t>0.03598016215402321</t>
  </si>
  <si>
    <t>0.0007408890018331027</t>
  </si>
  <si>
    <t>0.6665043906079915</t>
  </si>
  <si>
    <t>0.3231836998689419</t>
  </si>
  <si>
    <t>0.24113795367354574</t>
  </si>
  <si>
    <t>0.17635380441607282</t>
  </si>
  <si>
    <t>-0.4704530584483594</t>
  </si>
  <si>
    <t>0.10916016384354707</t>
  </si>
  <si>
    <t>0.1737332033512728</t>
  </si>
  <si>
    <t>0.07943969643749398</t>
  </si>
  <si>
    <t>-0.8351184597023272</t>
  </si>
  <si>
    <t>-0.08088770939769148</t>
  </si>
  <si>
    <t>1.298445297065626</t>
  </si>
  <si>
    <t>-0.046245297842317346</t>
  </si>
  <si>
    <t>0.2688121624706593</t>
  </si>
  <si>
    <t>0.09287693096112996</t>
  </si>
  <si>
    <t>-0.37500414709291247</t>
  </si>
  <si>
    <t>1.443621784527504</t>
  </si>
  <si>
    <t>-0.11877907258841024</t>
  </si>
  <si>
    <t>0.08595136605298134</t>
  </si>
  <si>
    <t>0.049741927271818136</t>
  </si>
  <si>
    <t>-0.8317543842262922</t>
  </si>
  <si>
    <t>0.8203965025379566</t>
  </si>
  <si>
    <t>-0.5538441793949045</t>
  </si>
  <si>
    <t>-0.07413928773190191</t>
  </si>
  <si>
    <t>-0.021696864383832084</t>
  </si>
  <si>
    <t>-0.6252680603095518</t>
  </si>
  <si>
    <t>-0.38085272462660885</t>
  </si>
  <si>
    <t>1.836487067866442</t>
  </si>
  <si>
    <t>0.7633561022904248</t>
  </si>
  <si>
    <t>-1.263744809020137</t>
  </si>
  <si>
    <t>0.11123481010053195</t>
  </si>
  <si>
    <t>-0.4201946952900568</t>
  </si>
  <si>
    <t>-0.17456212279027683</t>
  </si>
  <si>
    <t>-0.1331926052877656</t>
  </si>
  <si>
    <t>-1.71909874775576</t>
  </si>
  <si>
    <t>1.0060831747504182</t>
  </si>
  <si>
    <t>0.023715750933040635</t>
  </si>
  <si>
    <t>-0.05105700454089612</t>
  </si>
  <si>
    <t>0.856410752586088</t>
  </si>
  <si>
    <t>0.8826922236087178</t>
  </si>
  <si>
    <t>-2.7777311009313714</t>
  </si>
  <si>
    <t>0.08668935518182992</t>
  </si>
  <si>
    <t>-0.32464122115298893</t>
  </si>
  <si>
    <t>1.2837974379572952</t>
  </si>
  <si>
    <t>-0.10943060286756653</t>
  </si>
  <si>
    <t>-0.5844315888208044</t>
  </si>
  <si>
    <t>0.029175853314160043</t>
  </si>
  <si>
    <t>-0.37279815036884223</t>
  </si>
  <si>
    <t>-0.4048959983019233</t>
  </si>
  <si>
    <t>-0.16748771713840263</t>
  </si>
  <si>
    <t>-0.07472064689998928</t>
  </si>
  <si>
    <t>0.8665708372411607</t>
  </si>
  <si>
    <t>-0.4214598271866883</t>
  </si>
  <si>
    <t>-0.16696491642548583</t>
  </si>
  <si>
    <t>1.0582296507199191</t>
  </si>
  <si>
    <t>0.8266610205671397</t>
  </si>
  <si>
    <t>-0.830640187123204</t>
  </si>
  <si>
    <t>-0.35796080981490563</t>
  </si>
  <si>
    <t>0.09443480813766068</t>
  </si>
  <si>
    <t>-0.5124258350518012</t>
  </si>
  <si>
    <t>1.1887999752335148</t>
  </si>
  <si>
    <t>0.4236957600208436</t>
  </si>
  <si>
    <t>0.029372005529059404</t>
  </si>
  <si>
    <t>0.876269136374141</t>
  </si>
  <si>
    <t>-0.609613263860054</t>
  </si>
  <si>
    <t>0.7150401181941856</t>
  </si>
  <si>
    <t>1.166413005406026</t>
  </si>
  <si>
    <t>-0.21503428702593858</t>
  </si>
  <si>
    <t>-0.2645532708208366</t>
  </si>
  <si>
    <t>0.02549390220436225</t>
  </si>
  <si>
    <t>0.0841465780953207</t>
  </si>
  <si>
    <t>-0.40856706405082116</t>
  </si>
  <si>
    <t>0.2507789038649838</t>
  </si>
  <si>
    <t>-0.015549156710226369</t>
  </si>
  <si>
    <t>0.31443691552903974</t>
  </si>
  <si>
    <t>0.9008371314199137</t>
  </si>
  <si>
    <t>0.27565562910501273</t>
  </si>
  <si>
    <t>0.2638364500221285</t>
  </si>
  <si>
    <t>-0.3464075635187501</t>
  </si>
  <si>
    <t>0.6537182590341264</t>
  </si>
  <si>
    <t>0.6818066385244987</t>
  </si>
  <si>
    <t>-0.9691750662003292</t>
  </si>
  <si>
    <t>-0.36663681529120973</t>
  </si>
  <si>
    <t>0.19479012769979437</t>
  </si>
  <si>
    <t>-0.11598690528919774</t>
  </si>
  <si>
    <t>-0.0035306662387279996</t>
  </si>
  <si>
    <t>0.6913656220397845</t>
  </si>
  <si>
    <t>0.7708796544393993</t>
  </si>
  <si>
    <t>0.7835508165179675</t>
  </si>
  <si>
    <t>0.05977184146219087</t>
  </si>
  <si>
    <t>0.4898330364549342</t>
  </si>
  <si>
    <t>0.6102468416325834</t>
  </si>
  <si>
    <t>0.11428281987555021</t>
  </si>
  <si>
    <t>0.7202156767473049</t>
  </si>
  <si>
    <t>-0.5912381737776926</t>
  </si>
  <si>
    <t>-0.31725939634719447</t>
  </si>
  <si>
    <t>-0.9995670876360724</t>
  </si>
  <si>
    <t>-0.7216814059296234</t>
  </si>
  <si>
    <t>1.0647880989893748</t>
  </si>
  <si>
    <t>0.035069367682196796</t>
  </si>
  <si>
    <t>0.14323611383951412</t>
  </si>
  <si>
    <t>-0.692580930015</t>
  </si>
  <si>
    <t>-0.10564530035340576</t>
  </si>
  <si>
    <t>-0.32089057914955516</t>
  </si>
  <si>
    <t>-0.6366764103556342</t>
  </si>
  <si>
    <t>0.5291262263629506</t>
  </si>
  <si>
    <t>0.09435275445325567</t>
  </si>
  <si>
    <t>0.9902580089672275</t>
  </si>
  <si>
    <t>-0.47782347463787905</t>
  </si>
  <si>
    <t>-0.22604266217303962</t>
  </si>
  <si>
    <t>0.3132149529013209</t>
  </si>
  <si>
    <t>0.08125839687706148</t>
  </si>
  <si>
    <t>-0.34869295466496614</t>
  </si>
  <si>
    <t>0.15452752629522012</t>
  </si>
  <si>
    <t>0.4376984079652883</t>
  </si>
  <si>
    <t>-0.4851058396451897</t>
  </si>
  <si>
    <t>0.024839167174937685</t>
  </si>
  <si>
    <t>0.16586326194837336</t>
  </si>
  <si>
    <t>0.5479700773434639</t>
  </si>
  <si>
    <t>0.28480515556910346</t>
  </si>
  <si>
    <t>-0.03819709494801139</t>
  </si>
  <si>
    <t>-0.5014885402290342</t>
  </si>
  <si>
    <t>-0.08510157859323839</t>
  </si>
  <si>
    <t>0.203441986962094</t>
  </si>
  <si>
    <t>0.05183974990210505</t>
  </si>
  <si>
    <t>0.20186370111900864</t>
  </si>
  <si>
    <t>1.5657212589633553</t>
  </si>
  <si>
    <t>1.6452570752858529</t>
  </si>
  <si>
    <t>-0.8123398134381146</t>
  </si>
  <si>
    <t>-0.20207091423335796</t>
  </si>
  <si>
    <t>-0.060063170935014336</t>
  </si>
  <si>
    <t>-0.3608598668105634</t>
  </si>
  <si>
    <t>-0.4089885109820537</t>
  </si>
  <si>
    <t>0.5267563547334377</t>
  </si>
  <si>
    <t>-0.3271979746504668</t>
  </si>
  <si>
    <t>-0.7354318909316473</t>
  </si>
  <si>
    <t>-0.6272126700981917</t>
  </si>
  <si>
    <t>0.4242354646649267</t>
  </si>
  <si>
    <t>-0.29524083817169056</t>
  </si>
  <si>
    <t>-1.660964348189561</t>
  </si>
  <si>
    <t>-0.6414898600611207</t>
  </si>
  <si>
    <t>-0.6041403031506216</t>
  </si>
  <si>
    <t>-0.37724022850149735</t>
  </si>
  <si>
    <t>0.6812547744955275</t>
  </si>
  <si>
    <t>0.027286007601590737</t>
  </si>
  <si>
    <t>-2.5107599421700137</t>
  </si>
  <si>
    <t>0.3646848376034524</t>
  </si>
  <si>
    <t>-0.3290317679958225</t>
  </si>
  <si>
    <t>0.3622702243132687</t>
  </si>
  <si>
    <t>0.6414495435559924</t>
  </si>
  <si>
    <t>-0.9407125004610287</t>
  </si>
  <si>
    <t>-0.40258333901884297</t>
  </si>
  <si>
    <t>0.6485641073527243</t>
  </si>
  <si>
    <t>-0.1054119329438437</t>
  </si>
  <si>
    <t>0.0294092249255202</t>
  </si>
  <si>
    <t>-0.25360157436292047</t>
  </si>
  <si>
    <t>-0.141027119300565</t>
  </si>
  <si>
    <t>-0.40484947338922733</t>
  </si>
  <si>
    <t>-0.5637448837797758</t>
  </si>
  <si>
    <t>-0.9361444539237403</t>
  </si>
  <si>
    <t>-0.7396040443784705</t>
  </si>
  <si>
    <t>-1.711485551330427</t>
  </si>
  <si>
    <t>2.3260870440993755</t>
  </si>
  <si>
    <t>-1.288738592796733</t>
  </si>
  <si>
    <t>1.013740248130108</t>
  </si>
  <si>
    <t>-0.9404244673725367</t>
  </si>
  <si>
    <t>-0.8055458098083863</t>
  </si>
  <si>
    <t>0.8596822014923472</t>
  </si>
  <si>
    <t>-0.725069449175924</t>
  </si>
  <si>
    <t>0.5350639766749056</t>
  </si>
  <si>
    <t>-0.36297650834949735</t>
  </si>
  <si>
    <t>3.089952632930345</t>
  </si>
  <si>
    <t>-1.0263848309733943</t>
  </si>
  <si>
    <t>0.1728780491717546</t>
  </si>
  <si>
    <t>-0.08449199903807103</t>
  </si>
  <si>
    <t>3.5345335158841134</t>
  </si>
  <si>
    <t>0.8365405469029615</t>
  </si>
  <si>
    <t>0.09113384871770643</t>
  </si>
  <si>
    <t>-2.218255428615528</t>
  </si>
  <si>
    <t>0.2979669893525281</t>
  </si>
  <si>
    <t>0.19974173547022755</t>
  </si>
  <si>
    <t>1.046435237252116</t>
  </si>
  <si>
    <t>-0.7065983895173136</t>
  </si>
  <si>
    <t>-0.26387313609624546</t>
  </si>
  <si>
    <t>0.7150999494552516</t>
  </si>
  <si>
    <t>2.6472458127626677</t>
  </si>
  <si>
    <t>-1.2415810355499897</t>
  </si>
  <si>
    <t>-1.9006062202945695</t>
  </si>
  <si>
    <t>0.9451934363930131</t>
  </si>
  <si>
    <t>-1.6121769551702576</t>
  </si>
  <si>
    <t>0.34101329293532967</t>
  </si>
  <si>
    <t>0.7291727446549774</t>
  </si>
  <si>
    <t>-0.016880697417484988</t>
  </si>
  <si>
    <t>-0.3231828286596436</t>
  </si>
  <si>
    <t>-1.9636162439789275</t>
  </si>
  <si>
    <t>0.36860591531508274</t>
  </si>
  <si>
    <t>-1.3191874759881381</t>
  </si>
  <si>
    <t>-1.542224009605499</t>
  </si>
  <si>
    <t>0.01167547976054843</t>
  </si>
  <si>
    <t>-0.008343388236629053</t>
  </si>
  <si>
    <t>0.9026242242310218</t>
  </si>
  <si>
    <t>-1.9145067886772313</t>
  </si>
  <si>
    <t>-0.2345592171013666</t>
  </si>
  <si>
    <t>-1.1980798856160577</t>
  </si>
  <si>
    <t>-0.3467214725321041</t>
  </si>
  <si>
    <t>-0.1743018178565427</t>
  </si>
  <si>
    <t>-0.5934226226998035</t>
  </si>
  <si>
    <t>0.7965504851378585</t>
  </si>
  <si>
    <t>-1.4515224375787048</t>
  </si>
  <si>
    <t>1.3232113689429958</t>
  </si>
  <si>
    <t>-1.3544825141333348</t>
  </si>
  <si>
    <t>1.038776582974291</t>
  </si>
  <si>
    <t>-1.6286449903456055</t>
  </si>
  <si>
    <t>0.1641549338442914</t>
  </si>
  <si>
    <t>0.7319065424711213</t>
  </si>
  <si>
    <t>0.47259821164425475</t>
  </si>
  <si>
    <t>2.7102917488843223</t>
  </si>
  <si>
    <t>-0.8000601263039201</t>
  </si>
  <si>
    <t>-0.8728110991460071</t>
  </si>
  <si>
    <t>-0.14562161923680578</t>
  </si>
  <si>
    <t>0.5572309393642392</t>
  </si>
  <si>
    <t>-0.6913076885015302</t>
  </si>
  <si>
    <t>0.38327363833484357</t>
  </si>
  <si>
    <t>-0.8422587253781108</t>
  </si>
  <si>
    <t>-0.384092411570784</t>
  </si>
  <si>
    <t>-0.5708489446781246</t>
  </si>
  <si>
    <t>-1.5418563136495265</t>
  </si>
  <si>
    <t>1.5051873973925167</t>
  </si>
  <si>
    <t>-2.181734349743011</t>
  </si>
  <si>
    <t>-1.007481986884031</t>
  </si>
  <si>
    <t>1.3198666036291162</t>
  </si>
  <si>
    <t>0.7866386534418311</t>
  </si>
  <si>
    <t>0.15661072648651334</t>
  </si>
  <si>
    <t>-0.4106837443841041</t>
  </si>
  <si>
    <t>1.173268138650536</t>
  </si>
  <si>
    <t>1.015005221166957</t>
  </si>
  <si>
    <t>0.9444825163052464</t>
  </si>
  <si>
    <t>-1.956772332545125</t>
  </si>
  <si>
    <t>-0.22389901223393774</t>
  </si>
  <si>
    <t>-0.03271650973747018</t>
  </si>
  <si>
    <t>-0.247039315061444</t>
  </si>
  <si>
    <t>-1.5213437914519365</t>
  </si>
  <si>
    <t>1.4183137177502747</t>
  </si>
  <si>
    <t>-1.897203839382386</t>
  </si>
  <si>
    <t>-0.0704179402622745</t>
  </si>
  <si>
    <t>-1.0473450485671512</t>
  </si>
  <si>
    <t>-0.3835550464359109</t>
  </si>
  <si>
    <t>1.451333445609691</t>
  </si>
  <si>
    <t>-1.547857303698589</t>
  </si>
  <si>
    <t>-0.014990442064828835</t>
  </si>
  <si>
    <t>-0.038338756778265946</t>
  </si>
  <si>
    <t>-1.1713149508538947</t>
  </si>
  <si>
    <t>0.3040701261772042</t>
  </si>
  <si>
    <t>-0.18921123168486195</t>
  </si>
  <si>
    <t>0.4260327908338906</t>
  </si>
  <si>
    <t>0.036008270409256034</t>
  </si>
  <si>
    <t>-1.0960679969010052</t>
  </si>
  <si>
    <t>-0.7884311767029051</t>
  </si>
  <si>
    <t>0.440052004017078</t>
  </si>
  <si>
    <t>-0.6473779548433533</t>
  </si>
  <si>
    <t>-0.7398762782735936</t>
  </si>
  <si>
    <t>-1.353248771714768</t>
  </si>
  <si>
    <t>-1.4264770576014947</t>
  </si>
  <si>
    <t>1.5990836621139703</t>
  </si>
  <si>
    <t>-0.27713646183173074</t>
  </si>
  <si>
    <t>-1.5382251580546085</t>
  </si>
  <si>
    <t>-0.6375279498023934</t>
  </si>
  <si>
    <t>2.039931415209006</t>
  </si>
  <si>
    <t>1.5888710373314874</t>
  </si>
  <si>
    <t>-0.4142182995265347</t>
  </si>
  <si>
    <t>-0.7558322886569181</t>
  </si>
  <si>
    <t>-0.5695713920376796</t>
  </si>
  <si>
    <t>1.8408363140824404</t>
  </si>
  <si>
    <t>0.038000944337620884</t>
  </si>
  <si>
    <t>1.477713549672267</t>
  </si>
  <si>
    <t>-0.45253212667423814</t>
  </si>
  <si>
    <t>0.2825229114041817</t>
  </si>
  <si>
    <t>-0.5482086574253615</t>
  </si>
  <si>
    <t>-0.520035806147244</t>
  </si>
  <si>
    <t>-0.22093599997114882</t>
  </si>
  <si>
    <t>-0.3343401334195736</t>
  </si>
  <si>
    <t>1.2327823218509892</t>
  </si>
  <si>
    <t>-0.9179974191293715</t>
  </si>
  <si>
    <t>-0.5944732501643463</t>
  </si>
  <si>
    <t>1.0393082236069855</t>
  </si>
  <si>
    <t>-0.5968825713613529</t>
  </si>
  <si>
    <t>0.7902230172303504</t>
  </si>
  <si>
    <t>0.6506632520111985</t>
  </si>
  <si>
    <t>0.8609858827600888</t>
  </si>
  <si>
    <t>-0.0924919906100727</t>
  </si>
  <si>
    <t>-0.47421138884872177</t>
  </si>
  <si>
    <t>-0.8135142429223295</t>
  </si>
  <si>
    <t>-0.5338619035855829</t>
  </si>
  <si>
    <t>0.7398289597921833</t>
  </si>
  <si>
    <t>0.11089124236768672</t>
  </si>
  <si>
    <t>-2.059670254709161</t>
  </si>
  <si>
    <t>0.6938221210124003</t>
  </si>
  <si>
    <t>-1.350692065162243</t>
  </si>
  <si>
    <t>0.04030840737170528</t>
  </si>
  <si>
    <t>0.31319240428792333</t>
  </si>
  <si>
    <t>0.02408040864211096</t>
  </si>
  <si>
    <t>-0.8511248599479266</t>
  </si>
  <si>
    <t>0.24563993175369228</t>
  </si>
  <si>
    <t>-1.2202352750865109</t>
  </si>
  <si>
    <t>1.2349680766047444</t>
  </si>
  <si>
    <t>0.44697535470699545</t>
  </si>
  <si>
    <t>-1.1525532852742553</t>
  </si>
  <si>
    <t>-0.43388391013361216</t>
  </si>
  <si>
    <t>-0.8969185236236634</t>
  </si>
  <si>
    <t>-1.1329449760794517</t>
  </si>
  <si>
    <t>-0.6261993205685898</t>
  </si>
  <si>
    <t>0.984065494397298</t>
  </si>
  <si>
    <t>-0.8505062244102944</t>
  </si>
  <si>
    <t>1.92241054328074</t>
  </si>
  <si>
    <t>0.6749431258934121</t>
  </si>
  <si>
    <t>-0.09004459905967228</t>
  </si>
  <si>
    <t>1.4328922724145579</t>
  </si>
  <si>
    <t>2.945022222069204</t>
  </si>
  <si>
    <t>-1.2258241732723139</t>
  </si>
  <si>
    <t>0.8219537049877605</t>
  </si>
  <si>
    <t>-0.029499222541022985</t>
  </si>
  <si>
    <t>-0.399692000207517</t>
  </si>
  <si>
    <t>-0.21649076532644942</t>
  </si>
  <si>
    <t>1.1233437417090395</t>
  </si>
  <si>
    <t>-1.2685803990753328</t>
  </si>
  <si>
    <t>-0.3431239473637143</t>
  </si>
  <si>
    <t>0.2550863416804816</t>
  </si>
  <si>
    <t>-0.8750475101545699</t>
  </si>
  <si>
    <t>0.0034253175216805132</t>
  </si>
  <si>
    <t>-2.045160485172547</t>
  </si>
  <si>
    <t>0.8140156231734968</t>
  </si>
  <si>
    <t>0.6634533224836398</t>
  </si>
  <si>
    <t>-0.185649321780079</t>
  </si>
  <si>
    <t>0.16286839662095798</t>
  </si>
  <si>
    <t>-0.47386405928693043</t>
  </si>
  <si>
    <t>-0.034831063032191224</t>
  </si>
  <si>
    <t>1.4229134635801215</t>
  </si>
  <si>
    <t>-0.2727875937703836</t>
  </si>
  <si>
    <t>2.2251561318254147</t>
  </si>
  <si>
    <t>0.8358453788401193</t>
  </si>
  <si>
    <t>0.6888910171699455</t>
  </si>
  <si>
    <t>-0.5069550659115803</t>
  </si>
  <si>
    <t>1.1269366949775117</t>
  </si>
  <si>
    <t>-1.0951270065419365</t>
  </si>
  <si>
    <t>-1.4806111993783666</t>
  </si>
  <si>
    <t>-0.43103965473954514</t>
  </si>
  <si>
    <t>-1.9885502965001183</t>
  </si>
  <si>
    <t>-0.16783881295019615</t>
  </si>
  <si>
    <t>0.561222361237561</t>
  </si>
  <si>
    <t>-0.03597517017275482</t>
  </si>
  <si>
    <t>-1.5115755329673046</t>
  </si>
  <si>
    <t>0.6641184492989687</t>
  </si>
  <si>
    <t>-1.6118212325558423</t>
  </si>
  <si>
    <t>-2.055719483565396</t>
  </si>
  <si>
    <t>-0.41896958237912346</t>
  </si>
  <si>
    <t>0.6092576950014055</t>
  </si>
  <si>
    <t>-1.8720470499757331</t>
  </si>
  <si>
    <t>0.3782368924665069</t>
  </si>
  <si>
    <t>0.84678233575059</t>
  </si>
  <si>
    <t>-1.3742407742951348</t>
  </si>
  <si>
    <t>0.29149099843105836</t>
  </si>
  <si>
    <t>-0.4016026748773509</t>
  </si>
  <si>
    <t>0.19359423371340562</t>
  </si>
  <si>
    <t>-1.1699871561250006</t>
  </si>
  <si>
    <t>0.14978894190412376</t>
  </si>
  <si>
    <t>1.4811618502202646</t>
  </si>
  <si>
    <t>-0.14962638707197062</t>
  </si>
  <si>
    <t>-1.5782699625486716</t>
  </si>
  <si>
    <t>-0.028411256579704388</t>
  </si>
  <si>
    <t>-1.5678542582749986</t>
  </si>
  <si>
    <t>-0.5276134350927069</t>
  </si>
  <si>
    <t>-2.2984780283832427</t>
  </si>
  <si>
    <t>-1.272203280690824</t>
  </si>
  <si>
    <t>-0.021586401507748303</t>
  </si>
  <si>
    <t>-1.0050055939112503</t>
  </si>
  <si>
    <t>-1.3785033144836216</t>
  </si>
  <si>
    <t>1.9745366993777231</t>
  </si>
  <si>
    <t>0.4234285955928748</t>
  </si>
  <si>
    <t>-1.5587464754054483</t>
  </si>
  <si>
    <t>-1.0801460282764455</t>
  </si>
  <si>
    <t>0.5346562384636078</t>
  </si>
  <si>
    <t>-0.5750177739384815</t>
  </si>
  <si>
    <t>-0.7728292038257185</t>
  </si>
  <si>
    <t>0.024247655064018454</t>
  </si>
  <si>
    <t>-2.1480064919566573</t>
  </si>
  <si>
    <t>-1.2993366951219687</t>
  </si>
  <si>
    <t>0.9605763591046315</t>
  </si>
  <si>
    <t>-0.5309030953125703</t>
  </si>
  <si>
    <t>0.8152855409933457</t>
  </si>
  <si>
    <t>0.41195716098388346</t>
  </si>
  <si>
    <t>0.7187604259122814</t>
  </si>
  <si>
    <t>-1.9107315679468868</t>
  </si>
  <si>
    <t>-1.86214568374642</t>
  </si>
  <si>
    <t>1.6802479393668468</t>
  </si>
  <si>
    <t>0.27952656800061493</t>
  </si>
  <si>
    <t>-0.16897823449211358</t>
  </si>
  <si>
    <t>-1.6198703679257724</t>
  </si>
  <si>
    <t>-2.340883450767787</t>
  </si>
  <si>
    <t>-1.4897948296462433</t>
  </si>
  <si>
    <t>0.8166800889802621</t>
  </si>
  <si>
    <t>-1.0552144504715384</t>
  </si>
  <si>
    <t>0.16121637315177828</t>
  </si>
  <si>
    <t>-2.596984386356267</t>
  </si>
  <si>
    <t>0.1630855258620831</t>
  </si>
  <si>
    <t>1.6482178523605753</t>
  </si>
  <si>
    <t>1.565214691099754</t>
  </si>
  <si>
    <t>0.8805897353328783</t>
  </si>
  <si>
    <t>-1.9816084410216939</t>
  </si>
  <si>
    <t>-1.4825365710692182</t>
  </si>
  <si>
    <t>0.8534787003595509</t>
  </si>
  <si>
    <t>0.6601892441091277</t>
  </si>
  <si>
    <t>-1.8960278909945476</t>
  </si>
  <si>
    <t>-1.1086742194154529</t>
  </si>
  <si>
    <t>-1.256578924568442</t>
  </si>
  <si>
    <t>-1.7039474412510422</t>
  </si>
  <si>
    <t>-0.6946402295880333</t>
  </si>
  <si>
    <t>0.07445936218736912</t>
  </si>
  <si>
    <t>-1.9394489389649636</t>
  </si>
  <si>
    <t>0.21521093634244343</t>
  </si>
  <si>
    <t>-1.1533250465404057</t>
  </si>
  <si>
    <t>0.7349854962955785</t>
  </si>
  <si>
    <t>-0.38411631956073244</t>
  </si>
  <si>
    <t>1.0047304952898484</t>
  </si>
  <si>
    <t>-0.5298860438161624</t>
  </si>
  <si>
    <t>0.9244554479546964</t>
  </si>
  <si>
    <t>-0.14694011932155385</t>
  </si>
  <si>
    <t>-1.6140021924825751</t>
  </si>
  <si>
    <t>-0.5960441606612672</t>
  </si>
  <si>
    <t>1.7993181506686629</t>
  </si>
  <si>
    <t>-1.2451148184930707</t>
  </si>
  <si>
    <t>-1.2789853979591146</t>
  </si>
  <si>
    <t>-2.8508790397165926</t>
  </si>
  <si>
    <t>1.865043070503188</t>
  </si>
  <si>
    <t>-3.1068482987501134</t>
  </si>
  <si>
    <t>-0.5758578085499427</t>
  </si>
  <si>
    <t>1.6862672772204623</t>
  </si>
  <si>
    <t>-2.168457539357759</t>
  </si>
  <si>
    <t>0.45422455560984476</t>
  </si>
  <si>
    <t>-0.9971856950119518</t>
  </si>
  <si>
    <t>1.5809621794389106</t>
  </si>
  <si>
    <t>0.778875618849756</t>
  </si>
  <si>
    <t>-0.4784374077831957</t>
  </si>
  <si>
    <t>-1.1700849838138403</t>
  </si>
  <si>
    <t>4.355808845537863</t>
  </si>
  <si>
    <t>2.8526318235332435</t>
  </si>
  <si>
    <t>1.8051475662761203</t>
  </si>
  <si>
    <t>0.6315687388750121</t>
  </si>
  <si>
    <t>0.23263644901546232</t>
  </si>
  <si>
    <t>1.4006652053990343</t>
  </si>
  <si>
    <t>1.7509965435847188</t>
  </si>
  <si>
    <t>0.856313074841404</t>
  </si>
  <si>
    <t>-3.334313387532555</t>
  </si>
  <si>
    <t>1.0096386427674164</t>
  </si>
  <si>
    <t>2.32679212137786</t>
  </si>
  <si>
    <t>-1.9684106729383215</t>
  </si>
  <si>
    <t>0.5405374294712766</t>
  </si>
  <si>
    <t>3.2666216819454266</t>
  </si>
  <si>
    <t>0.38573139556925085</t>
  </si>
  <si>
    <t>-0.11857924066895978</t>
  </si>
  <si>
    <t>-2.7958298829690214</t>
  </si>
  <si>
    <t>-0.03798248532407855</t>
  </si>
  <si>
    <t>-2.7565627789282967</t>
  </si>
  <si>
    <t>-1.8118612007515331</t>
  </si>
  <si>
    <t>2.4521004962187223</t>
  </si>
  <si>
    <t>-0.586726903633988</t>
  </si>
  <si>
    <t>-0.7180517110262727</t>
  </si>
  <si>
    <t>1.9088804670798667</t>
  </si>
  <si>
    <t>-0.5232341076763604</t>
  </si>
  <si>
    <t>0.6826737485047076</t>
  </si>
  <si>
    <t>-0.8225855272491704</t>
  </si>
  <si>
    <t>0.590309089060195</t>
  </si>
  <si>
    <t>-0.5268307617888993</t>
  </si>
  <si>
    <t>1.580526200786549</t>
  </si>
  <si>
    <t>-1.2741195626199673</t>
  </si>
  <si>
    <t>-0.5913409628659945</t>
  </si>
  <si>
    <t>-1.3790041711450038</t>
  </si>
  <si>
    <t>1.4533472661297218</t>
  </si>
  <si>
    <t>-2.489006472663715</t>
  </si>
  <si>
    <t>0.03317129139553313</t>
  </si>
  <si>
    <t>0.7284648528671878</t>
  </si>
  <si>
    <t>-0.22042189085897737</t>
  </si>
  <si>
    <t>2.1399195506833073</t>
  </si>
  <si>
    <t>1.5400959232313713</t>
  </si>
  <si>
    <t>1.929571333957513</t>
  </si>
  <si>
    <t>-0.6918673067766378</t>
  </si>
  <si>
    <t>1.730203251939195</t>
  </si>
  <si>
    <t>-0.5641043832784621</t>
  </si>
  <si>
    <t>1.8611005285252038</t>
  </si>
  <si>
    <t>-0.9643493792893557</t>
  </si>
  <si>
    <t>-0.11708414792590295</t>
  </si>
  <si>
    <t>-1.464427000639844</t>
  </si>
  <si>
    <t>-0.5349740518031516</t>
  </si>
  <si>
    <t>-0.08054868870459353</t>
  </si>
  <si>
    <t>1.0427987276173196</t>
  </si>
  <si>
    <t>2.3585726895898773</t>
  </si>
  <si>
    <t>0.6033327049840423</t>
  </si>
  <si>
    <t>0.7034660262490581</t>
  </si>
  <si>
    <t>-0.12188106386332466</t>
  </si>
  <si>
    <t>-1.8590379204362366</t>
  </si>
  <si>
    <t>-1.1324698824272268</t>
  </si>
  <si>
    <t>-1.2589078059343495</t>
  </si>
  <si>
    <t>-0.8678818794143844</t>
  </si>
  <si>
    <t>-0.5153173509802362</t>
  </si>
  <si>
    <t>1.3219119029944584</t>
  </si>
  <si>
    <t>-4.393422614126802</t>
  </si>
  <si>
    <t>1.1291677035958183</t>
  </si>
  <si>
    <t>0.8712717066319764</t>
  </si>
  <si>
    <t>-1.5954835988295328</t>
  </si>
  <si>
    <t>-1.6553056752667736</t>
  </si>
  <si>
    <t>-1.227516453790445</t>
  </si>
  <si>
    <t>-0.9836413764745119</t>
  </si>
  <si>
    <t>1.392823605557333</t>
  </si>
  <si>
    <t>0.5325233718177967</t>
  </si>
  <si>
    <t>-0.5878214805439057</t>
  </si>
  <si>
    <t>-1.9157071113527298</t>
  </si>
  <si>
    <t>1.1120241705490992</t>
  </si>
  <si>
    <t>-1.4466026527030145</t>
  </si>
  <si>
    <t>-1.4714022546996959</t>
  </si>
  <si>
    <t>4.31882697741001</t>
  </si>
  <si>
    <t>-2.507621052557636</t>
  </si>
  <si>
    <t>0.6440884944907325</t>
  </si>
  <si>
    <t>-0.01665122012414844</t>
  </si>
  <si>
    <t>2.151303668891447</t>
  </si>
  <si>
    <t>0.3631684740632571</t>
  </si>
  <si>
    <t>-0.26773463760120775</t>
  </si>
  <si>
    <t>0.9427589441958767</t>
  </si>
  <si>
    <t>1.98642667624679</t>
  </si>
  <si>
    <t>1.3016440123008766</t>
  </si>
  <si>
    <t>0.5145108261794057</t>
  </si>
  <si>
    <t>0.4682651079054176</t>
  </si>
  <si>
    <t>-1.1546145401212926</t>
  </si>
  <si>
    <t>0.5573931413419915</t>
  </si>
  <si>
    <t>1.5551341071016322</t>
  </si>
  <si>
    <t>-0.4768619035332938</t>
  </si>
  <si>
    <t>1.423895288872817</t>
  </si>
  <si>
    <t>1.049693160699521</t>
  </si>
  <si>
    <t>2.8170060078950114</t>
  </si>
  <si>
    <t>-0.3201028478482579</t>
  </si>
  <si>
    <t>-1.7711128336935331</t>
  </si>
  <si>
    <t>1.0603494058460787</t>
  </si>
  <si>
    <t>-1.1339481271459615</t>
  </si>
  <si>
    <t>0.0004405747574012485</t>
  </si>
  <si>
    <t>1.6052086606430114</t>
  </si>
  <si>
    <t>0.7073069440262935</t>
  </si>
  <si>
    <t>0.27251572815413266</t>
  </si>
  <si>
    <t>0.9337017890101692</t>
  </si>
  <si>
    <t>-0.24228640239106533</t>
  </si>
  <si>
    <t>-0.7588509458319479</t>
  </si>
  <si>
    <t>-1.6646752811994412</t>
  </si>
  <si>
    <t>1.2332270314134357</t>
  </si>
  <si>
    <t>-1.0452910059553988</t>
  </si>
  <si>
    <t>1.0765124970101347</t>
  </si>
  <si>
    <t>-0.9978016445274456</t>
  </si>
  <si>
    <t>-1.0338864828648446</t>
  </si>
  <si>
    <t>-2.4781945652235655</t>
  </si>
  <si>
    <t>1.9420914551738988</t>
  </si>
  <si>
    <t>-1.6243789343178368</t>
  </si>
  <si>
    <t>-0.042807489536092716</t>
  </si>
  <si>
    <t>-0.6185895138547963</t>
  </si>
  <si>
    <t>0.2588689444101241</t>
  </si>
  <si>
    <t>0.8292598611647377</t>
  </si>
  <si>
    <t>-1.0974128886289374</t>
  </si>
  <si>
    <t>1.5326269570305255</t>
  </si>
  <si>
    <t>0.581834042956096</t>
  </si>
  <si>
    <t>0.9292917822894307</t>
  </si>
  <si>
    <t>-0.4056277010095796</t>
  </si>
  <si>
    <t>2.2021741404296074</t>
  </si>
  <si>
    <t>0.17965449913851844</t>
  </si>
  <si>
    <t>-0.6715580779798547</t>
  </si>
  <si>
    <t>-0.19603222832742853</t>
  </si>
  <si>
    <t>-0.08626323534513955</t>
  </si>
  <si>
    <t>2.2018552596557703</t>
  </si>
  <si>
    <t>-0.7258427697084886</t>
  </si>
  <si>
    <t>-0.9355404826337634</t>
  </si>
  <si>
    <t>0.2040135296095996</t>
  </si>
  <si>
    <t>1.5769696668405695</t>
  </si>
  <si>
    <t>0.9454170477446168</t>
  </si>
  <si>
    <t>0.15109076690872156</t>
  </si>
  <si>
    <t>0.389413997197192</t>
  </si>
  <si>
    <t>-0.3147484189499244</t>
  </si>
  <si>
    <t>0.5985024180367999</t>
  </si>
  <si>
    <t>0.7375955807239759</t>
  </si>
  <si>
    <t>-0.16411643450150837</t>
  </si>
  <si>
    <t>1.03069458134329</t>
  </si>
  <si>
    <t>0.38204766796748163</t>
  </si>
  <si>
    <t>-0.6367993058723365</t>
  </si>
  <si>
    <t>-0.3532349528613374</t>
  </si>
  <si>
    <t>-0.21816281978815538</t>
  </si>
  <si>
    <t>0.9840668986305449</t>
  </si>
  <si>
    <t>-1.599305669275299</t>
  </si>
  <si>
    <t>1.2973924332954356</t>
  </si>
  <si>
    <t>0.9612437509799499</t>
  </si>
  <si>
    <t>-2.2845659880370137</t>
  </si>
  <si>
    <t>1.429837440969853</t>
  </si>
  <si>
    <t>1.2141420363822082</t>
  </si>
  <si>
    <t>-0.03049269705958118</t>
  </si>
  <si>
    <t>0.41962160428128975</t>
  </si>
  <si>
    <t>-1.3833142071103375</t>
  </si>
  <si>
    <t>0.3123150696575971</t>
  </si>
  <si>
    <t>0.3813068023144466</t>
  </si>
  <si>
    <t>0.3758580908459759</t>
  </si>
  <si>
    <t>0.4150615016275776</t>
  </si>
  <si>
    <t>1.9341405912067906</t>
  </si>
  <si>
    <t>-0.916687184904867</t>
  </si>
  <si>
    <t>1.6236020696182636</t>
  </si>
  <si>
    <t>0.36399289415990277</t>
  </si>
  <si>
    <t>-1.576485285341278</t>
  </si>
  <si>
    <t>1.0684454299567412</t>
  </si>
  <si>
    <t>0.8873394560244096</t>
  </si>
  <si>
    <t>0.5883819245087563</t>
  </si>
  <si>
    <t>1.083498098661094</t>
  </si>
  <si>
    <t>-0.589280662360295</t>
  </si>
  <si>
    <t>0.06014051007792705</t>
  </si>
  <si>
    <t>0.09932513472324708</t>
  </si>
  <si>
    <t>-1.722056342338718</t>
  </si>
  <si>
    <t>0.2386566249518964</t>
  </si>
  <si>
    <t>-0.11984977499193518</t>
  </si>
  <si>
    <t>1.0640621250214994</t>
  </si>
  <si>
    <t>-0.23391001689323176</t>
  </si>
  <si>
    <t>0.6915849337912291</t>
  </si>
  <si>
    <t>0.5311960789385</t>
  </si>
  <si>
    <t>-1.025163063346198</t>
  </si>
  <si>
    <t>0.9163380777379867</t>
  </si>
  <si>
    <t>-0.9200548005306491</t>
  </si>
  <si>
    <t>-0.3465683201738618</t>
  </si>
  <si>
    <t>1.7786193789146298</t>
  </si>
  <si>
    <t>-0.49142305057969593</t>
  </si>
  <si>
    <t>-0.7478574100796745</t>
  </si>
  <si>
    <t>0.10843783279120964</t>
  </si>
  <si>
    <t>-0.11766271609808968</t>
  </si>
  <si>
    <t>-0.49923726211814534</t>
  </si>
  <si>
    <t>0.3911302460927795</t>
  </si>
  <si>
    <t>-0.3431142998378858</t>
  </si>
  <si>
    <t>-0.6346564039000666</t>
  </si>
  <si>
    <t>-0.6208776849971054</t>
  </si>
  <si>
    <t>-0.33390932945489543</t>
  </si>
  <si>
    <t>-0.08270281633798686</t>
  </si>
  <si>
    <t>0.42112298874659504</t>
  </si>
  <si>
    <t>0.7690112451914366</t>
  </si>
  <si>
    <t>-0.4015774677993862</t>
  </si>
  <si>
    <t>-0.04857208391957705</t>
  </si>
  <si>
    <t>-0.08213906708990788</t>
  </si>
  <si>
    <t>1.05472183716199</t>
  </si>
  <si>
    <t>-0.06196565342939008</t>
  </si>
  <si>
    <t>-0.3985789668574433</t>
  </si>
  <si>
    <t>0.49171718184357277</t>
  </si>
  <si>
    <t>1.4961344371588639</t>
  </si>
  <si>
    <t>-1.5859124242233829</t>
  </si>
  <si>
    <t>0.3383836571483058</t>
  </si>
  <si>
    <t>0.5437846357954113</t>
  </si>
  <si>
    <t>0.46115554509491113</t>
  </si>
  <si>
    <t>2.9821151773685712</t>
  </si>
  <si>
    <t>-1.0526380545211198</t>
  </si>
  <si>
    <t>-0.2170369873788561</t>
  </si>
  <si>
    <t>-2.4673745191853973</t>
  </si>
  <si>
    <t>1.4093424142375506</t>
  </si>
  <si>
    <t>0.5268811126410899</t>
  </si>
  <si>
    <t>-1.3770977609342132</t>
  </si>
  <si>
    <t>-1.2345278312324388</t>
  </si>
  <si>
    <t>-1.098464025217272</t>
  </si>
  <si>
    <t>1.1233002039305153</t>
  </si>
  <si>
    <t>0.12921644813225108</t>
  </si>
  <si>
    <t>-0.2006111829333985</t>
  </si>
  <si>
    <t>0.6775796598272865</t>
  </si>
  <si>
    <t>1.0677774457337466</t>
  </si>
  <si>
    <t>-0.1327088676608669</t>
  </si>
  <si>
    <t>0.2741242072153993</t>
  </si>
  <si>
    <t>-0.34302767260697425</t>
  </si>
  <si>
    <t>1.0634195669767248</t>
  </si>
  <si>
    <t>1.4785574874943095</t>
  </si>
  <si>
    <t>1.066890355724371</t>
  </si>
  <si>
    <t>-0.6081240201072271</t>
  </si>
  <si>
    <t>-0.10863383698640228</t>
  </si>
  <si>
    <t>-0.6943045252620563</t>
  </si>
  <si>
    <t>0.3698809754148427</t>
  </si>
  <si>
    <t>-0.3344641038488644</t>
  </si>
  <si>
    <t>0.31938508222119877</t>
  </si>
  <si>
    <t>1.123938415721783</t>
  </si>
  <si>
    <t>0.6012750311606778</t>
  </si>
  <si>
    <t>1.088072246003371</t>
  </si>
  <si>
    <t>0.33252254196075776</t>
  </si>
  <si>
    <t>0.07315846477640914</t>
  </si>
  <si>
    <t>0.43662044017927387</t>
  </si>
  <si>
    <t>0.7438399935551715</t>
  </si>
  <si>
    <t>0.794768601438008</t>
  </si>
  <si>
    <t>-0.08800558209574309</t>
  </si>
  <si>
    <t>-0.6195045515677118</t>
  </si>
  <si>
    <t>0.27462689740328144</t>
  </si>
  <si>
    <t>-0.5711453831641057</t>
  </si>
  <si>
    <t>1.0596599892603338</t>
  </si>
  <si>
    <t>2.297512378341273</t>
  </si>
  <si>
    <t>-0.28223230248560954</t>
  </si>
  <si>
    <t>0.9249595605078841</t>
  </si>
  <si>
    <t>-0.29381333128869525</t>
  </si>
  <si>
    <t>-0.7043983894306175</t>
  </si>
  <si>
    <t>0.11448619310905823</t>
  </si>
  <si>
    <t>1.0529612684657184</t>
  </si>
  <si>
    <t>-1.259107680787951</t>
  </si>
  <si>
    <t>-0.6825494675527568</t>
  </si>
  <si>
    <t>1.1236021719482336</t>
  </si>
  <si>
    <t>0.27654905330412993</t>
  </si>
  <si>
    <t>0.6946672783950246</t>
  </si>
  <si>
    <t>1.031116941461604</t>
  </si>
  <si>
    <t>0.23094217657410068</t>
  </si>
  <si>
    <t>-0.05374152869204395</t>
  </si>
  <si>
    <t>-1.0425895344167257</t>
  </si>
  <si>
    <t>-1.2255929724373265</t>
  </si>
  <si>
    <t>0.4110386836595252</t>
  </si>
  <si>
    <t>1.0342502625555228</t>
  </si>
  <si>
    <t>0.4411245790734696</t>
  </si>
  <si>
    <t>-2.0534778302949968</t>
  </si>
  <si>
    <t>0.3247670999780269</t>
  </si>
  <si>
    <t>-0.9059626894712695</t>
  </si>
  <si>
    <t>3.1953355372976704</t>
  </si>
  <si>
    <t>-0.8642400488754719</t>
  </si>
  <si>
    <t>-0.16586495341678945</t>
  </si>
  <si>
    <t>-0.4139077101005875</t>
  </si>
  <si>
    <t>0.22175492479221767</t>
  </si>
  <si>
    <t>-0.9580977353837781</t>
  </si>
  <si>
    <t>0.8401140058583176</t>
  </si>
  <si>
    <t>-0.5774917610326242</t>
  </si>
  <si>
    <t>-1.0153207343933128</t>
  </si>
  <si>
    <t>-1.0082147524284375</t>
  </si>
  <si>
    <t>0.23509823973144733</t>
  </si>
  <si>
    <t>-1.0452910601606125</t>
  </si>
  <si>
    <t>-0.7264303825421329</t>
  </si>
  <si>
    <t>1.6230796924353794</t>
  </si>
  <si>
    <t>1.0383098038793521</t>
  </si>
  <si>
    <t>0.6645464616485077</t>
  </si>
  <si>
    <t>0.7563358603295534</t>
  </si>
  <si>
    <t>0.2677930638088677</t>
  </si>
  <si>
    <t>1.736836744324144</t>
  </si>
  <si>
    <t>-0.8897325512397943</t>
  </si>
  <si>
    <t>-0.044794707825767</t>
  </si>
  <si>
    <t>-2.259763791858646</t>
  </si>
  <si>
    <t>-0.4278829427890078</t>
  </si>
  <si>
    <t>-1.0911062403340666</t>
  </si>
  <si>
    <t>0.23702733393243433</t>
  </si>
  <si>
    <t>-2.253862561014287</t>
  </si>
  <si>
    <t>-0.8627728792490483</t>
  </si>
  <si>
    <t>-0.3644774399033654</t>
  </si>
  <si>
    <t>0.5133406181997094</t>
  </si>
  <si>
    <t>1.9979687282233964</t>
  </si>
  <si>
    <t>-0.0068534799002509745</t>
  </si>
  <si>
    <t>-1.9806824765369164</t>
  </si>
  <si>
    <t>-1.0008780616148125</t>
  </si>
  <si>
    <t>0.938682005888601</t>
  </si>
  <si>
    <t>-0.11214108442339323</t>
  </si>
  <si>
    <t>-0.6825261133273441</t>
  </si>
  <si>
    <t>1.5624198212102858</t>
  </si>
  <si>
    <t>0.882044892178858</t>
  </si>
  <si>
    <t>0.20754418394720303</t>
  </si>
  <si>
    <t>0.2810136906574011</t>
  </si>
  <si>
    <t>-0.21623097867802954</t>
  </si>
  <si>
    <t>0.6953347121642537</t>
  </si>
  <si>
    <t>-0.45359651469320594</t>
  </si>
  <si>
    <t>0.6065856039238657</t>
  </si>
  <si>
    <t>-1.8681299860365908</t>
  </si>
  <si>
    <t>1.386312008269665</t>
  </si>
  <si>
    <t>1.4333751634399132</t>
  </si>
  <si>
    <t>-0.9007133595070714</t>
  </si>
  <si>
    <t>1.0601045664791098</t>
  </si>
  <si>
    <t>0.9213290520851359</t>
  </si>
  <si>
    <t>-0.28382975787875087</t>
  </si>
  <si>
    <t>-0.24697497673684335</t>
  </si>
  <si>
    <t>1.8251007730046804</t>
  </si>
  <si>
    <t>-0.5343483220264865</t>
  </si>
  <si>
    <t>-0.9061672782250151</t>
  </si>
  <si>
    <t>-0.5769167763358488</t>
  </si>
  <si>
    <t>-1.6837002493753235</t>
  </si>
  <si>
    <t>2.2347017978097705</t>
  </si>
  <si>
    <t>-0.4636471924877144</t>
  </si>
  <si>
    <t>-0.495752573812596</t>
  </si>
  <si>
    <t>0.4853742533487582</t>
  </si>
  <si>
    <t>0.4939791643522149</t>
  </si>
  <si>
    <t>0.8537569207193104</t>
  </si>
  <si>
    <t>-1.5316248711351064</t>
  </si>
  <si>
    <t>-1.1695312719360673</t>
  </si>
  <si>
    <t>-0.7218768565469927</t>
  </si>
  <si>
    <t>0.02875065411924422</t>
  </si>
  <si>
    <t>1.67408655449186</t>
  </si>
  <si>
    <t>-1.3558956267624873</t>
  </si>
  <si>
    <t>2.6690678233633034</t>
  </si>
  <si>
    <t>0.30368279957744815</t>
  </si>
  <si>
    <t>-0.8435102144135892</t>
  </si>
  <si>
    <t>0.19567279730478</t>
  </si>
  <si>
    <t>-0.4342486147346101</t>
  </si>
  <si>
    <t>2.127241991447739</t>
  </si>
  <si>
    <t>-0.6267126763326788</t>
  </si>
  <si>
    <t>2.3181857271476223</t>
  </si>
  <si>
    <t>0.9128261915192196</t>
  </si>
  <si>
    <t>-0.7212771202120789</t>
  </si>
  <si>
    <t>0.6739141950116954</t>
  </si>
  <si>
    <t>1.141405797059784</t>
  </si>
  <si>
    <t>-0.868021751865814</t>
  </si>
  <si>
    <t>0.8485010744041113</t>
  </si>
  <si>
    <t>-1.0077645237330886</t>
  </si>
  <si>
    <t>0.8266361895505883</t>
  </si>
  <si>
    <t>0.42289719747661636</t>
  </si>
  <si>
    <t>-0.291410421388569</t>
  </si>
  <si>
    <t>-0.904746175819178</t>
  </si>
  <si>
    <t>0.5139234661241389</t>
  </si>
  <si>
    <t>0.9188740871625354</t>
  </si>
  <si>
    <t>-0.8789722238375303</t>
  </si>
  <si>
    <t>0.11883021627529544</t>
  </si>
  <si>
    <t>1.0990717400104613</t>
  </si>
  <si>
    <t>0.2711267001644135</t>
  </si>
  <si>
    <t>-0.41899948201637316</t>
  </si>
  <si>
    <t>-0.12953723747425924</t>
  </si>
  <si>
    <t>-0.8490050375942488</t>
  </si>
  <si>
    <t>-1.1717556674389478</t>
  </si>
  <si>
    <t>-0.29570144593265085</t>
  </si>
  <si>
    <t>-1.4151208488283393</t>
  </si>
  <si>
    <t>-0.562237357957938</t>
  </si>
  <si>
    <t>0.6010183524583873</t>
  </si>
  <si>
    <t>-1.0844073209027352</t>
  </si>
  <si>
    <t>-0.2520205567931134</t>
  </si>
  <si>
    <t>0.6574521865831647</t>
  </si>
  <si>
    <t>-0.7781771510801518</t>
  </si>
  <si>
    <t>-0.9549029740531275</t>
  </si>
  <si>
    <t>0.5298200181242311</t>
  </si>
  <si>
    <t>0.011275202198075738</t>
  </si>
  <si>
    <t>-0.8318216253767863</t>
  </si>
  <si>
    <t>0.6898459203017326</t>
  </si>
  <si>
    <t>0.08172615389352403</t>
  </si>
  <si>
    <t>-0.08325732490096828</t>
  </si>
  <si>
    <t>-1.4202303062581987</t>
  </si>
  <si>
    <t>0.16328746255400164</t>
  </si>
  <si>
    <t>-0.6997749231727692</t>
  </si>
  <si>
    <t>0.5730820775897901</t>
  </si>
  <si>
    <t>-1.1963514416672076</t>
  </si>
  <si>
    <t>-0.5031379678269359</t>
  </si>
  <si>
    <t>-1.039852119561872</t>
  </si>
  <si>
    <t>0.6205970516376281</t>
  </si>
  <si>
    <t>-0.5192246080685785</t>
  </si>
  <si>
    <t>-0.5402730515266732</t>
  </si>
  <si>
    <t>-0.7490126975836873</t>
  </si>
  <si>
    <t>0.04644525362445266</t>
  </si>
  <si>
    <t>-0.977272447502063</t>
  </si>
  <si>
    <t>0.983572995101564</t>
  </si>
  <si>
    <t>-1.0619871981675555</t>
  </si>
  <si>
    <t>-2.985079940645222</t>
  </si>
  <si>
    <t>0.6713377533063405</t>
  </si>
  <si>
    <t>0.018391115724050944</t>
  </si>
  <si>
    <t>0.9526727657073444</t>
  </si>
  <si>
    <t>-0.13826795921563284</t>
  </si>
  <si>
    <t>0.526335086041426</t>
  </si>
  <si>
    <t>-0.24333079464376467</t>
  </si>
  <si>
    <t>-0.27279055564004334</t>
  </si>
  <si>
    <t>0.10544250243246042</t>
  </si>
  <si>
    <t>0.399751077405688</t>
  </si>
  <si>
    <t>0.28916738163515554</t>
  </si>
  <si>
    <t>1.1809931405876122</t>
  </si>
  <si>
    <t>0.8195712541107458</t>
  </si>
  <si>
    <t>-0.5823360665685916</t>
  </si>
  <si>
    <t>-0.43423843895524983</t>
  </si>
  <si>
    <t>1.4358910171055563</t>
  </si>
  <si>
    <t>0.3091191376838829</t>
  </si>
  <si>
    <t>-0.8484170079598441</t>
  </si>
  <si>
    <t>-1.8223559209016473</t>
  </si>
  <si>
    <t>-0.2892576379211333</t>
  </si>
  <si>
    <t>0.6892573739974874</t>
  </si>
  <si>
    <t>-0.44144996679092924</t>
  </si>
  <si>
    <t>-1.1006805535335418</t>
  </si>
  <si>
    <t>1.229402376654908</t>
  </si>
  <si>
    <t>-0.6552500401245854</t>
  </si>
  <si>
    <t>-0.2728063048071911</t>
  </si>
  <si>
    <t>1.9221797026291754</t>
  </si>
  <si>
    <t>-2.7218164226473474</t>
  </si>
  <si>
    <t>0.28112052801044335</t>
  </si>
  <si>
    <t>-0.6382550385993983</t>
  </si>
  <si>
    <t>0.5266225937041564</t>
  </si>
  <si>
    <t>3.5537085949252276</t>
  </si>
  <si>
    <t>-0.061493052117768295</t>
  </si>
  <si>
    <t>0.2174281602464269</t>
  </si>
  <si>
    <t>-0.953683787253459</t>
  </si>
  <si>
    <t>2.958058146854813</t>
  </si>
  <si>
    <t>0.9651753381098868</t>
  </si>
  <si>
    <t>-0.03380359015162857</t>
  </si>
  <si>
    <t>0.21431290161605723</t>
  </si>
  <si>
    <t>-0.772026777824832</t>
  </si>
  <si>
    <t>-0.5481339301584806</t>
  </si>
  <si>
    <t>0.13221657173209134</t>
  </si>
  <si>
    <t>0.5432483221467982</t>
  </si>
  <si>
    <t>0.6226510976553044</t>
  </si>
  <si>
    <t>-2.12249537105666</t>
  </si>
  <si>
    <t>-0.565064817369434</t>
  </si>
  <si>
    <t>-0.6145408281606908</t>
  </si>
  <si>
    <t>-1.103586978954207</t>
  </si>
  <si>
    <t>-1.837647376418833</t>
  </si>
  <si>
    <t>-2.790909905408656</t>
  </si>
  <si>
    <t>0.022661585290714548</t>
  </si>
  <si>
    <t>-2.15217446306688</t>
  </si>
  <si>
    <t>-1.9603673982706953</t>
  </si>
  <si>
    <t>1.9116547520852942</t>
  </si>
  <si>
    <t>-0.23431181664978834</t>
  </si>
  <si>
    <t>0.5731079815654639</t>
  </si>
  <si>
    <t>1.6494251155503437</t>
  </si>
  <si>
    <t>-1.7639843571141252</t>
  </si>
  <si>
    <t>-0.17935775581034344</t>
  </si>
  <si>
    <t>0.6814003430980347</t>
  </si>
  <si>
    <t>-0.7728840401128226</t>
  </si>
  <si>
    <t>-1.7637719767889033</t>
  </si>
  <si>
    <t>-1.110427232872215</t>
  </si>
  <si>
    <t>-0.20406270313123598</t>
  </si>
  <si>
    <t>-0.6059386256797951</t>
  </si>
  <si>
    <t>-0.995665571289534</t>
  </si>
  <si>
    <t>-0.1224278742907947</t>
  </si>
  <si>
    <t>-0.6379109362774522</t>
  </si>
  <si>
    <t>-0.3303665678960573</t>
  </si>
  <si>
    <t>-0.20466472164613778</t>
  </si>
  <si>
    <t>0.3879897220087268</t>
  </si>
  <si>
    <t>0.1455804339369536</t>
  </si>
  <si>
    <t>0.6966882367386023</t>
  </si>
  <si>
    <t>0.0035871398249872305</t>
  </si>
  <si>
    <t>-0.8936528695498822</t>
  </si>
  <si>
    <t>1.4343293474320713</t>
  </si>
  <si>
    <t>-0.6404902371794652</t>
  </si>
  <si>
    <t>-2.7375469392550693</t>
  </si>
  <si>
    <t>1.3182352486281121</t>
  </si>
  <si>
    <t>-0.7826232917681464</t>
  </si>
  <si>
    <t>-0.11873662726239106</t>
  </si>
  <si>
    <t>0.6121171595128492</t>
  </si>
  <si>
    <t>-0.8924227387339756</t>
  </si>
  <si>
    <t>3.4287860518305378</t>
  </si>
  <si>
    <t>-0.3074405072971794</t>
  </si>
  <si>
    <t>-1.7251495683861184</t>
  </si>
  <si>
    <t>-0.7119305484701215</t>
  </si>
  <si>
    <t>1.3182297823693123</t>
  </si>
  <si>
    <t>-1.1908776833929224</t>
  </si>
  <si>
    <t>1.4733638658111639</t>
  </si>
  <si>
    <t>-2.4834269666232545</t>
  </si>
  <si>
    <t>0.3642759995965649</t>
  </si>
  <si>
    <t>-0.1762303456798147</t>
  </si>
  <si>
    <t>0.300155606666101</t>
  </si>
  <si>
    <t>1.074207777487629</t>
  </si>
  <si>
    <t>-0.1633486268827529</t>
  </si>
  <si>
    <t>1.490880020085159</t>
  </si>
  <si>
    <t>0.3571428709134417</t>
  </si>
  <si>
    <t>0.19278664480897895</t>
  </si>
  <si>
    <t>0.7748566191836073</t>
  </si>
  <si>
    <t>-1.1952983513467066</t>
  </si>
  <si>
    <t>-0.903541071285329</t>
  </si>
  <si>
    <t>-1.0938203415278258</t>
  </si>
  <si>
    <t>0.5297206108117667</t>
  </si>
  <si>
    <t>0.5856439311974144</t>
  </si>
  <si>
    <t>-0.4301754223459804</t>
  </si>
  <si>
    <t>0.27520628250097867</t>
  </si>
  <si>
    <t>0.510574417392584</t>
  </si>
  <si>
    <t>-1.086279336498349</t>
  </si>
  <si>
    <t>0.9333976052197277</t>
  </si>
  <si>
    <t>-1.5301140492984684</t>
  </si>
  <si>
    <t>0.8814550990283501</t>
  </si>
  <si>
    <t>-1.6752195953002047</t>
  </si>
  <si>
    <t>-0.7732635170480903</t>
  </si>
  <si>
    <t>-1.7692481343769344</t>
  </si>
  <si>
    <t>0.32413898849540856</t>
  </si>
  <si>
    <t>0.5346073467008451</t>
  </si>
  <si>
    <t>-0.8284254308924605</t>
  </si>
  <si>
    <t>-0.8543263799408732</t>
  </si>
  <si>
    <t>-0.7562358683405733</t>
  </si>
  <si>
    <t>0.1103540583296357</t>
  </si>
  <si>
    <t>-1.4878513315645299</t>
  </si>
  <si>
    <t>-0.5580795438686041</t>
  </si>
  <si>
    <t>-0.9023072258587884</t>
  </si>
  <si>
    <t>0.5561134711842242</t>
  </si>
  <si>
    <t>-0.019999312429396208</t>
  </si>
  <si>
    <t>-1.0948261280320712</t>
  </si>
  <si>
    <t>-0.3304954247295021</t>
  </si>
  <si>
    <t>1.1331599890596407</t>
  </si>
  <si>
    <t>-1.0255607863322678</t>
  </si>
  <si>
    <t>1.3426845382264474</t>
  </si>
  <si>
    <t>1.0291288827547926</t>
  </si>
  <si>
    <t>0.8879530868081572</t>
  </si>
  <si>
    <t>0.46143761641033787</t>
  </si>
  <si>
    <t>0.4395747506759042</t>
  </si>
  <si>
    <t>1.0696236308307152</t>
  </si>
  <si>
    <t>-0.23415100075313103</t>
  </si>
  <si>
    <t>-0.7811246796555034</t>
  </si>
  <si>
    <t>0.6301674593269178</t>
  </si>
  <si>
    <t>-1.047326113309605</t>
  </si>
  <si>
    <t>-0.5904685598586064</t>
  </si>
  <si>
    <t>0.11091315078785573</t>
  </si>
  <si>
    <t>0.35208934394891406</t>
  </si>
  <si>
    <t>0.3174126927610446</t>
  </si>
  <si>
    <t>0.6861162890126811</t>
  </si>
  <si>
    <t>-0.659204803303001</t>
  </si>
  <si>
    <t>0.6201302741629751</t>
  </si>
  <si>
    <t>-0.5972328402263222</t>
  </si>
  <si>
    <t>-0.8048498619544213</t>
  </si>
  <si>
    <t>2.480400136897241</t>
  </si>
  <si>
    <t>0.36772448678936187</t>
  </si>
  <si>
    <t>0.2954257009971758</t>
  </si>
  <si>
    <t>1.0634202835489377</t>
  </si>
  <si>
    <t>-0.902382248447952</t>
  </si>
  <si>
    <t>-0.1968791940857501</t>
  </si>
  <si>
    <t>-0.08868125921822548</t>
  </si>
  <si>
    <t>0.052576627824777324</t>
  </si>
  <si>
    <t>-0.18280351655414565</t>
  </si>
  <si>
    <t>-0.3828573435983105</t>
  </si>
  <si>
    <t>-0.5822353839712414</t>
  </si>
  <si>
    <t>0.8227407737448572</t>
  </si>
  <si>
    <t>0.7278730655919862</t>
  </si>
  <si>
    <t>0.13747549800257333</t>
  </si>
  <si>
    <t>0.3343545110392435</t>
  </si>
  <si>
    <t>-0.1449933053798934</t>
  </si>
  <si>
    <t>0.15629129872429068</t>
  </si>
  <si>
    <t>1.1148990788283222</t>
  </si>
  <si>
    <t>-0.4095585092508277</t>
  </si>
  <si>
    <t>-0.2241015779025883</t>
  </si>
  <si>
    <t>-0.8561222688622832</t>
  </si>
  <si>
    <t>-0.4651298142946948</t>
  </si>
  <si>
    <t>0.29090846295934913</t>
  </si>
  <si>
    <t>0.9670305310609333</t>
  </si>
  <si>
    <t>0.4595002153710875</t>
  </si>
  <si>
    <t>0.5791846938424433</t>
  </si>
  <si>
    <t>0.8915352291322175</t>
  </si>
  <si>
    <t>0.6047099641034903</t>
  </si>
  <si>
    <t>-0.029523339770460497</t>
  </si>
  <si>
    <t>2.2115855572025853</t>
  </si>
  <si>
    <t>0.27229608538835115</t>
  </si>
  <si>
    <t>-0.8472366635813813</t>
  </si>
  <si>
    <t>1.0810922302112853</t>
  </si>
  <si>
    <t>1.0508855045747545</t>
  </si>
  <si>
    <t>0.7948759280152913</t>
  </si>
  <si>
    <t>-0.03598371860604312</t>
  </si>
  <si>
    <t>-0.3999462080215537</t>
  </si>
  <si>
    <t>-0.915507239753464</t>
  </si>
  <si>
    <t>-0.19197629034516758</t>
  </si>
  <si>
    <t>0.07282795864782751</t>
  </si>
  <si>
    <t>0.026376969298124216</t>
  </si>
  <si>
    <t>0.22358263435918782</t>
  </si>
  <si>
    <t>1.2303124817452218</t>
  </si>
  <si>
    <t>0.09780792020066441</t>
  </si>
  <si>
    <t>0.42410062224077727</t>
  </si>
  <si>
    <t>0.7472801479767822</t>
  </si>
  <si>
    <t>1.1865384551711016</t>
  </si>
  <si>
    <t>0.9296044225575142</t>
  </si>
  <si>
    <t>-1.0978064372479732</t>
  </si>
  <si>
    <t>-1.3769746139451498</t>
  </si>
  <si>
    <t>0.6372389032447149</t>
  </si>
  <si>
    <t>0.504118606294786</t>
  </si>
  <si>
    <t>-1.0150833426064265</t>
  </si>
  <si>
    <t>0.06298205385820983</t>
  </si>
  <si>
    <t>0.1745573359294657</t>
  </si>
  <si>
    <t>-0.059060690103755385</t>
  </si>
  <si>
    <t>0.3252148847057372</t>
  </si>
  <si>
    <t>0.510782697069814</t>
  </si>
  <si>
    <t>0.9475624280487837</t>
  </si>
  <si>
    <t>0.7921112066642323</t>
  </si>
  <si>
    <t>-0.07492555173376979</t>
  </si>
  <si>
    <t>-0.03333997503080962</t>
  </si>
  <si>
    <t>-0.027986427979809884</t>
  </si>
  <si>
    <t>0.1825668225635411</t>
  </si>
  <si>
    <t>-0.6288572244241346</t>
  </si>
  <si>
    <t>-0.6471238713297041</t>
  </si>
  <si>
    <t>0.22862421739619906</t>
  </si>
  <si>
    <t>1.4404452678835682</t>
  </si>
  <si>
    <t>0.7015445434705412</t>
  </si>
  <si>
    <t>0.6701367801622051</t>
  </si>
  <si>
    <t>-0.8783236381138357</t>
  </si>
  <si>
    <t>-0.5419339088600837</t>
  </si>
  <si>
    <t>-0.3982679538667195</t>
  </si>
  <si>
    <t>-0.18329819697624614</t>
  </si>
  <si>
    <t>0.22127238933585813</t>
  </si>
  <si>
    <t>-0.8847748417444189</t>
  </si>
  <si>
    <t>1.166064760395208</t>
  </si>
  <si>
    <t>0.4420604717480605</t>
  </si>
  <si>
    <t>4.653136168272876</t>
  </si>
  <si>
    <t>0.42669593941884615</t>
  </si>
  <si>
    <t>-1.2158365905209048</t>
  </si>
  <si>
    <t>0.37806755081454474</t>
  </si>
  <si>
    <t>-0.25318003910736225</t>
  </si>
  <si>
    <t>0.6472767773797881</t>
  </si>
  <si>
    <t>0.5804560585131919</t>
  </si>
  <si>
    <t>0.016408653834463716</t>
  </si>
  <si>
    <t>2.373782520148066</t>
  </si>
  <si>
    <t>-0.0324574686928951</t>
  </si>
  <si>
    <t>-0.0036602998594719677</t>
  </si>
  <si>
    <t>-0.6941375329362783</t>
  </si>
  <si>
    <t>-0.5794095684929182</t>
  </si>
  <si>
    <t>-2.013868717274558</t>
  </si>
  <si>
    <t>-0.11081462236623127</t>
  </si>
  <si>
    <t>1.4298515223662522</t>
  </si>
  <si>
    <t>3.313883452349744</t>
  </si>
  <si>
    <t>0.7615650394064013</t>
  </si>
  <si>
    <t>-0.3471401141778769</t>
  </si>
  <si>
    <t>-2.2406579197009755</t>
  </si>
  <si>
    <t>0.212827155983579</t>
  </si>
  <si>
    <t>-0.01519083778513584</t>
  </si>
  <si>
    <t>0.621020721860074</t>
  </si>
  <si>
    <t>0.09948019401947697</t>
  </si>
  <si>
    <t>0.871695405694253</t>
  </si>
  <si>
    <t>-0.3405629442886455</t>
  </si>
  <si>
    <t>-0.26004187295552345</t>
  </si>
  <si>
    <t>3.036963979045464</t>
  </si>
  <si>
    <t>-0.6397411913029917</t>
  </si>
  <si>
    <t>0.09488695043405052</t>
  </si>
  <si>
    <t>-0.3117401868151557</t>
  </si>
  <si>
    <t>0.2169314772004099</t>
  </si>
  <si>
    <t>-0.7138998107484116</t>
  </si>
  <si>
    <t>-0.07036200836553441</t>
  </si>
  <si>
    <t>2.1163079656704187</t>
  </si>
  <si>
    <t>-0.9385557287877743</t>
  </si>
  <si>
    <t>-0.5846114264019164</t>
  </si>
  <si>
    <t>-0.7310629210722227</t>
  </si>
  <si>
    <t>1.059191877057729</t>
  </si>
  <si>
    <t>0.5557047996137169</t>
  </si>
  <si>
    <t>0.15940140730831517</t>
  </si>
  <si>
    <t>0.07302941595213171</t>
  </si>
  <si>
    <t>1.0312807425052328</t>
  </si>
  <si>
    <t>-0.548140561649103</t>
  </si>
  <si>
    <t>-0.839096921205852</t>
  </si>
  <si>
    <t>-0.9524986615299387</t>
  </si>
  <si>
    <t>-0.41846223600700105</t>
  </si>
  <si>
    <t>0.2322434303472086</t>
  </si>
  <si>
    <t>-0.1467037174135147</t>
  </si>
  <si>
    <t>-0.009744681754195506</t>
  </si>
  <si>
    <t>0.32528891468632715</t>
  </si>
  <si>
    <t>1.4728697510987014</t>
  </si>
  <si>
    <t>1.1527255350561398</t>
  </si>
  <si>
    <t>-0.19452103611736013</t>
  </si>
  <si>
    <t>-0.5164580264487881</t>
  </si>
  <si>
    <t>-0.35151719668313736</t>
  </si>
  <si>
    <t>-1.2100546493216615</t>
  </si>
  <si>
    <t>-1.1549012898186244</t>
  </si>
  <si>
    <t>1.481477390567812</t>
  </si>
  <si>
    <t>-0.5694080409414062</t>
  </si>
  <si>
    <t>0.2936050018885765</t>
  </si>
  <si>
    <t>-1.337998815176176</t>
  </si>
  <si>
    <t>-0.13877492285826215</t>
  </si>
  <si>
    <t>0.5898159430091963</t>
  </si>
  <si>
    <t>-0.6085409282213318</t>
  </si>
  <si>
    <t>0.8601340782974551</t>
  </si>
  <si>
    <t>2.2423013347623484</t>
  </si>
  <si>
    <t>-0.3993314681243476</t>
  </si>
  <si>
    <t>-1.955064607915754</t>
  </si>
  <si>
    <t>-0.5873135906549664</t>
  </si>
  <si>
    <t>-0.038586269741440575</t>
  </si>
  <si>
    <t>0.5592110196528074</t>
  </si>
  <si>
    <t>-0.26626745723960726</t>
  </si>
  <si>
    <t>-0.14456412124927334</t>
  </si>
  <si>
    <t>0.4807773322177289</t>
  </si>
  <si>
    <t>0.8459123594084811</t>
  </si>
  <si>
    <t>-0.5096792828303451</t>
  </si>
  <si>
    <t>0.20853266758234193</t>
  </si>
  <si>
    <t>0.9052244567647381</t>
  </si>
  <si>
    <t>2.279323290946748</t>
  </si>
  <si>
    <t>-0.4913487428790173</t>
  </si>
  <si>
    <t>1.5565119658373698</t>
  </si>
  <si>
    <t>0.19086325272107313</t>
  </si>
  <si>
    <t>1.1606751858590072</t>
  </si>
  <si>
    <t>0.708699552465958</t>
  </si>
  <si>
    <t>1.0540520049766822</t>
  </si>
  <si>
    <t>1.1575569204271086</t>
  </si>
  <si>
    <t>-0.2782322678390978</t>
  </si>
  <si>
    <t>0.29799731357364445</t>
  </si>
  <si>
    <t>0.010646153951951075</t>
  </si>
  <si>
    <t>-0.21979482046698653</t>
  </si>
  <si>
    <t>0.1747175787051999</t>
  </si>
  <si>
    <t>-0.21535882692908473</t>
  </si>
  <si>
    <t>0.6597652215250088</t>
  </si>
  <si>
    <t>0.23780791332953538</t>
  </si>
  <si>
    <t>-0.08553335624072793</t>
  </si>
  <si>
    <t>0.5913137248197395</t>
  </si>
  <si>
    <t>-0.24055538732327358</t>
  </si>
  <si>
    <t>0.24034146090642153</t>
  </si>
  <si>
    <t>-0.2603408148917844</t>
  </si>
  <si>
    <t>-0.7511957472362873</t>
  </si>
  <si>
    <t>-0.21607943265151813</t>
  </si>
  <si>
    <t>-0.96980906697399</t>
  </si>
  <si>
    <t>-0.44156077845387165</t>
  </si>
  <si>
    <t>1.1457335222664915</t>
  </si>
  <si>
    <t>-1.758562313469831</t>
  </si>
  <si>
    <t>-0.5597470272111832</t>
  </si>
  <si>
    <t>-0.45099842717299854</t>
  </si>
  <si>
    <t>0.1498796210379702</t>
  </si>
  <si>
    <t>0.789371374878258</t>
  </si>
  <si>
    <t>-0.7887141038403598</t>
  </si>
  <si>
    <t>-1.256417108816832</t>
  </si>
  <si>
    <t>-1.2226001043510977</t>
  </si>
  <si>
    <t>-0.05883112076251105</t>
  </si>
  <si>
    <t>0.7691902213258928</t>
  </si>
  <si>
    <t>2.163505204310781</t>
  </si>
  <si>
    <t>-0.9848900229588995</t>
  </si>
  <si>
    <t>0.01755485350277356</t>
  </si>
  <si>
    <t>-0.20205852572402347</t>
  </si>
  <si>
    <t>0.2843424928253693</t>
  </si>
  <si>
    <t>0.7527810144253899</t>
  </si>
  <si>
    <t>-0.4264475657007158</t>
  </si>
  <si>
    <t>0.48592864672349656</t>
  </si>
  <si>
    <t>-0.5803573891356247</t>
  </si>
  <si>
    <t>0.8611453372927702</t>
  </si>
  <si>
    <t>-0.4477273117787712</t>
  </si>
  <si>
    <t>-0.8844411914114612</t>
  </si>
  <si>
    <t>-0.07484504830290459</t>
  </si>
  <si>
    <t>-0.8960941367175602</t>
  </si>
  <si>
    <t>-0.24318691554677246</t>
  </si>
  <si>
    <t>0.5588526491823753</t>
  </si>
  <si>
    <t>-1.6147984290740034</t>
  </si>
  <si>
    <t>0.03717159682487591</t>
  </si>
  <si>
    <t>-0.31940566951640553</t>
  </si>
  <si>
    <t>-0.7936761624431946</t>
  </si>
  <si>
    <t>-0.22142988615818884</t>
  </si>
  <si>
    <t>0.3091397200253544</t>
  </si>
  <si>
    <t>-0.33478352294865305</t>
  </si>
  <si>
    <t>0.8294898453171573</t>
  </si>
  <si>
    <t>0.5729345923050915</t>
  </si>
  <si>
    <t>0.5793370935181723</t>
  </si>
  <si>
    <t>0.7371994875381408</t>
  </si>
  <si>
    <t>-0.4134498385450128</t>
  </si>
  <si>
    <t>0.6127590059311483</t>
  </si>
  <si>
    <t>-0.39635301489419855</t>
  </si>
  <si>
    <t>-0.36751973805576466</t>
  </si>
  <si>
    <t>0.5653635725640422</t>
  </si>
  <si>
    <t>0.4504518676709814</t>
  </si>
  <si>
    <t>-0.590162891413804</t>
  </si>
  <si>
    <t>-0.8498046670639638</t>
  </si>
  <si>
    <t>-0.435641908575204</t>
  </si>
  <si>
    <t>-0.6273483122556068</t>
  </si>
  <si>
    <t>-1.2074827464777493</t>
  </si>
  <si>
    <t>-0.013502927264604194</t>
  </si>
  <si>
    <t>0.5805469804038446</t>
  </si>
  <si>
    <t>1.0441578932244084</t>
  </si>
  <si>
    <t>0.19971090189986182</t>
  </si>
  <si>
    <t>-0.2912375596972884</t>
  </si>
  <si>
    <t>0.188579628407227</t>
  </si>
  <si>
    <t>0.6408576401815193</t>
  </si>
  <si>
    <t>-0.18694614288486683</t>
  </si>
  <si>
    <t>0.5453439416594593</t>
  </si>
  <si>
    <t>-0.15184188107708052</t>
  </si>
  <si>
    <t>-0.8821193885370398</t>
  </si>
  <si>
    <t>1.2510485935995739</t>
  </si>
  <si>
    <t>0.11130959377489394</t>
  </si>
  <si>
    <t>-0.5553481144097059</t>
  </si>
  <si>
    <t>-0.3670194435972186</t>
  </si>
  <si>
    <t>1.0174369699681807</t>
  </si>
  <si>
    <t>-0.7234339222526642</t>
  </si>
  <si>
    <t>2.24259113529897</t>
  </si>
  <si>
    <t>1.155207085369108</t>
  </si>
  <si>
    <t>-0.4142332612198214</t>
  </si>
  <si>
    <t>0.4724899106507151</t>
  </si>
  <si>
    <t>0.2262874163272057</t>
  </si>
  <si>
    <t>-1.013362247257517</t>
  </si>
  <si>
    <t>-0.20973631279070995</t>
  </si>
  <si>
    <t>-0.42641344209740045</t>
  </si>
  <si>
    <t>-0.14222687340557608</t>
  </si>
  <si>
    <t>-0.24421263366641122</t>
  </si>
  <si>
    <t>-0.68956523051317</t>
  </si>
  <si>
    <t>-0.03868179775138543</t>
  </si>
  <si>
    <t>-0.053552351919796216</t>
  </si>
  <si>
    <t>-2.6370259167101224</t>
  </si>
  <si>
    <t>0.13468613362743673</t>
  </si>
  <si>
    <t>-0.6248910107188707</t>
  </si>
  <si>
    <t>-1.230116760058057</t>
  </si>
  <si>
    <t>-0.23195044371106446</t>
  </si>
  <si>
    <t>1.045870704915869</t>
  </si>
  <si>
    <t>-0.910348399747883</t>
  </si>
  <si>
    <t>-0.14130901097139417</t>
  </si>
  <si>
    <t>-1.0364224426451354</t>
  </si>
  <si>
    <t>0.5099544585963732</t>
  </si>
  <si>
    <t>-0.33062464867830993</t>
  </si>
  <si>
    <t>-0.4684259841176229</t>
  </si>
  <si>
    <t>-0.46466021525474793</t>
  </si>
  <si>
    <t>-1.2236875773677058</t>
  </si>
  <si>
    <t>-0.01618205410312171</t>
  </si>
  <si>
    <t>0.3677321890115742</t>
  </si>
  <si>
    <t>0.2511663817144153</t>
  </si>
  <si>
    <t>-1.2246579571463778</t>
  </si>
  <si>
    <t>1.205024466149117</t>
  </si>
  <si>
    <t>1.8907461750573245</t>
  </si>
  <si>
    <t>0.2591955950048157</t>
  </si>
  <si>
    <t>-0.11352998616427458</t>
  </si>
  <si>
    <t>-0.46711357033711853</t>
  </si>
  <si>
    <t>-2.0932554224401643</t>
  </si>
  <si>
    <t>0.07504053894509159</t>
  </si>
  <si>
    <t>-0.8700873450934828</t>
  </si>
  <si>
    <t>0.38676900658603597</t>
  </si>
  <si>
    <t>-0.977934072494409</t>
  </si>
  <si>
    <t>-0.3033322226325713</t>
  </si>
  <si>
    <t>0.5661729818300997</t>
  </si>
  <si>
    <t>0.22084003450958023</t>
  </si>
  <si>
    <t>-0.2743429315187082</t>
  </si>
  <si>
    <t>-1.082660583733778</t>
  </si>
  <si>
    <t>0.7926900983420236</t>
  </si>
  <si>
    <t>0.39005451783250167</t>
  </si>
  <si>
    <t>0.7055651051486475</t>
  </si>
  <si>
    <t>-1.2502191805241156</t>
  </si>
  <si>
    <t>2.1928050499698575</t>
  </si>
  <si>
    <t>-0.3497536700221492</t>
  </si>
  <si>
    <t>-0.6764298103226579</t>
  </si>
  <si>
    <t>0.6036757690647631</t>
  </si>
  <si>
    <t>0.6741179970774167</t>
  </si>
  <si>
    <t>0.06892599688346566</t>
  </si>
  <si>
    <t>0.2653378418029238</t>
  </si>
  <si>
    <t>-1.971552986200402</t>
  </si>
  <si>
    <t>-1.0914517327853939</t>
  </si>
  <si>
    <t>-0.46903515557006137</t>
  </si>
  <si>
    <t>-0.294457656659291</t>
  </si>
  <si>
    <t>-0.258788805711164</t>
  </si>
  <si>
    <t>-0.5784603938990686</t>
  </si>
  <si>
    <t>0.5879911117767371</t>
  </si>
  <si>
    <t>0.3868873680096083</t>
  </si>
  <si>
    <t>-0.06999380830675643</t>
  </si>
  <si>
    <t>2.5453216797786364</t>
  </si>
  <si>
    <t>0.40342292148768</t>
  </si>
  <si>
    <t>-1.2706939225061553</t>
  </si>
  <si>
    <t>0.023857632542017265</t>
  </si>
  <si>
    <t>0.7835236558894263</t>
  </si>
  <si>
    <t>-0.2593360719101083</t>
  </si>
  <si>
    <t>-0.1121954015773989</t>
  </si>
  <si>
    <t>-1.0365179056670315</t>
  </si>
  <si>
    <t>0.3463753430884441</t>
  </si>
  <si>
    <t>-0.34109429634645877</t>
  </si>
  <si>
    <t>-0.052705941451123034</t>
  </si>
  <si>
    <t>-1.1288614625497377</t>
  </si>
  <si>
    <t>-0.37753884417916167</t>
  </si>
  <si>
    <t>-0.21826525739644415</t>
  </si>
  <si>
    <t>-1.0206452942892905</t>
  </si>
  <si>
    <t>-0.8798109584408268</t>
  </si>
  <si>
    <t>-0.70641915604155</t>
  </si>
  <si>
    <t>-0.8959588233326665</t>
  </si>
  <si>
    <t>-0.3094278181617434</t>
  </si>
  <si>
    <t>-0.6200455331111192</t>
  </si>
  <si>
    <t>1.4307879739399958</t>
  </si>
  <si>
    <t>-0.18756972423224103</t>
  </si>
  <si>
    <t>0.6883130874831161</t>
  </si>
  <si>
    <t>-0.18061248883423664</t>
  </si>
  <si>
    <t>0.25993168210458123</t>
  </si>
  <si>
    <t>-0.17954845580038173</t>
  </si>
  <si>
    <t>-0.5700265988299469</t>
  </si>
  <si>
    <t>0.44937389535055944</t>
  </si>
  <si>
    <t>0.21542615702367868</t>
  </si>
  <si>
    <t>-0.01017359846835379</t>
  </si>
  <si>
    <t>-0.770488679686709</t>
  </si>
  <si>
    <t>0.5974947180330966</t>
  </si>
  <si>
    <t>0.16013614938241266</t>
  </si>
  <si>
    <t>0.28457368997302274</t>
  </si>
  <si>
    <t>-1.1110624459771146</t>
  </si>
  <si>
    <t>0.5358690756131744</t>
  </si>
  <si>
    <t>-0.9888108071549109</t>
  </si>
  <si>
    <t>0.639963863890493</t>
  </si>
  <si>
    <t>0.7230729525154601</t>
  </si>
  <si>
    <t>0.6599104912800711</t>
  </si>
  <si>
    <t>-0.20044516715797936</t>
  </si>
  <si>
    <t>-0.07463611625556978</t>
  </si>
  <si>
    <t>0.4511294507509123</t>
  </si>
  <si>
    <t>-0.01724858537364497</t>
  </si>
  <si>
    <t>-1.214416965899627</t>
  </si>
  <si>
    <t>0.4928484738908353</t>
  </si>
  <si>
    <t>0.8978595308764716</t>
  </si>
  <si>
    <t>-0.6759675668688521</t>
  </si>
  <si>
    <t>0.7645632977654959</t>
  </si>
  <si>
    <t>1.579522098287152</t>
  </si>
  <si>
    <t>0.20282507844728365</t>
  </si>
  <si>
    <t>-1.6062715807609058</t>
  </si>
  <si>
    <t>-6.548844978129504</t>
  </si>
  <si>
    <t>-1.3982070625396417</t>
  </si>
  <si>
    <t>-0.4390900670266027</t>
  </si>
  <si>
    <t>-0.23331063332649965</t>
  </si>
  <si>
    <t>-0.21089392628726547</t>
  </si>
  <si>
    <t>-1.0094008532100749</t>
  </si>
  <si>
    <t>-2.3220347857054024</t>
  </si>
  <si>
    <t>2.4218958500066914</t>
  </si>
  <si>
    <t>-0.7812302577393593</t>
  </si>
  <si>
    <t>-0.8106081885483117</t>
  </si>
  <si>
    <t>0.4401502359274634</t>
  </si>
  <si>
    <t>-0.9472344182592554</t>
  </si>
  <si>
    <t>-0.5114974408750032</t>
  </si>
  <si>
    <t>-2.551255162653451</t>
  </si>
  <si>
    <t>0.3235942951437189</t>
  </si>
  <si>
    <t>0.4282117454250173</t>
  </si>
  <si>
    <t>-0.24712148257450714</t>
  </si>
  <si>
    <t>0.6773731302917316</t>
  </si>
  <si>
    <t>0.0031419856232773337</t>
  </si>
  <si>
    <t>2.3071228390101113</t>
  </si>
  <si>
    <t>-1.0898161106681186</t>
  </si>
  <si>
    <t>0.08398615367049245</t>
  </si>
  <si>
    <t>0.2855419269848623</t>
  </si>
  <si>
    <t>-1.102291245543991</t>
  </si>
  <si>
    <t>-0.4754403628579693</t>
  </si>
  <si>
    <t>-5.578274566229446</t>
  </si>
  <si>
    <t>-0.7406901131914883</t>
  </si>
  <si>
    <t>-1.3965414792852535</t>
  </si>
  <si>
    <t>0.5908042269984508</t>
  </si>
  <si>
    <t>1.059509975334789</t>
  </si>
  <si>
    <t>-0.5989100768056037</t>
  </si>
  <si>
    <t>2.477933473881612</t>
  </si>
  <si>
    <t>-1.1061899037743868</t>
  </si>
  <si>
    <t>1.0746052933004515</t>
  </si>
  <si>
    <t>-0.4857636765959815</t>
  </si>
  <si>
    <t>1.4670219450014899</t>
  </si>
  <si>
    <t>-1.2176202679105648</t>
  </si>
  <si>
    <t>-0.41744548145858357</t>
  </si>
  <si>
    <t>-0.06291107420990173</t>
  </si>
  <si>
    <t>-0.03550208196414435</t>
  </si>
  <si>
    <t>0.43573454708222</t>
  </si>
  <si>
    <t>-0.758470437839979</t>
  </si>
  <si>
    <t>0.06890806362198687</t>
  </si>
  <si>
    <t>1.509982460287668</t>
  </si>
  <si>
    <t>-2.7447588204188484</t>
  </si>
  <si>
    <t>-1.6995552221143466</t>
  </si>
  <si>
    <t>0.1468173924040619</t>
  </si>
  <si>
    <t>-0.931219128391731</t>
  </si>
  <si>
    <t>-3.077178093821181</t>
  </si>
  <si>
    <t>0.732350952410774</t>
  </si>
  <si>
    <t>1.075540162409136</t>
  </si>
  <si>
    <t>0.5864491867989109</t>
  </si>
  <si>
    <t>1.8305267203960336</t>
  </si>
  <si>
    <t>-0.3090615388272248</t>
  </si>
  <si>
    <t>-0.6318120535377899</t>
  </si>
  <si>
    <t>-0.07206621580421671</t>
  </si>
  <si>
    <t>0.9661211620767224</t>
  </si>
  <si>
    <t>2.475910509086563</t>
  </si>
  <si>
    <t>1.17654928457913</t>
  </si>
  <si>
    <t>-0.7010813617721184</t>
  </si>
  <si>
    <t>1.2547709144066626</t>
  </si>
  <si>
    <t>1.7181321251346373</t>
  </si>
  <si>
    <t>-0.20089796933398538</t>
  </si>
  <si>
    <t>0.11069552580278763</t>
  </si>
  <si>
    <t>-1.025869173072685</t>
  </si>
  <si>
    <t>-0.6623182715453544</t>
  </si>
  <si>
    <t>2.358811782073358</t>
  </si>
  <si>
    <t>-0.5038182316906548</t>
  </si>
  <si>
    <t>1.170950599751242</t>
  </si>
  <si>
    <t>-1.056923709261906</t>
  </si>
  <si>
    <t>-0.055495383800246434</t>
  </si>
  <si>
    <t>-0.08685334208861205</t>
  </si>
  <si>
    <t>0.27432000761197034</t>
  </si>
  <si>
    <t>0.44139419802810265</t>
  </si>
  <si>
    <t>-1.3059782649221792</t>
  </si>
  <si>
    <t>-0.4054577686373196</t>
  </si>
  <si>
    <t>0.5014049873765943</t>
  </si>
  <si>
    <t>0.7482135161119876</t>
  </si>
  <si>
    <t>-0.5334047630789583</t>
  </si>
  <si>
    <t>2.0061878264423716</t>
  </si>
  <si>
    <t>-1.0494479321317438</t>
  </si>
  <si>
    <t>0.10609896540758602</t>
  </si>
  <si>
    <t>-0.13420253782618724</t>
  </si>
  <si>
    <t>0.2355045387187767</t>
  </si>
  <si>
    <t>0.0728940090628323</t>
  </si>
  <si>
    <t>0.1455515250899721</t>
  </si>
  <si>
    <t>1.9860609606339588</t>
  </si>
  <si>
    <t>1.5196327145560435</t>
  </si>
  <si>
    <t>-0.3702408627243232</t>
  </si>
  <si>
    <t>0.1359011140102137</t>
  </si>
  <si>
    <t>-0.4338979869050805</t>
  </si>
  <si>
    <t>-0.5771365310047245</t>
  </si>
  <si>
    <t>-0.00454070596135101</t>
  </si>
  <si>
    <t>0.6942970260473381</t>
  </si>
  <si>
    <t>-0.3338142407708037</t>
  </si>
  <si>
    <t>-0.3261293265789262</t>
  </si>
  <si>
    <t>0.02401744028603497</t>
  </si>
  <si>
    <t>-0.6960439548628616</t>
  </si>
  <si>
    <t>-0.5464089802649608</t>
  </si>
  <si>
    <t>0.14372627646764322</t>
  </si>
  <si>
    <t>-0.12440502530228706</t>
  </si>
  <si>
    <t>-0.4199193100115339</t>
  </si>
  <si>
    <t>0.9501934176137251</t>
  </si>
  <si>
    <t>0.3702564430691856</t>
  </si>
  <si>
    <t>-1.7631007753589945</t>
  </si>
  <si>
    <t>-0.7890764460348298</t>
  </si>
  <si>
    <t>0.08257706221411211</t>
  </si>
  <si>
    <t>-0.42241747315370665</t>
  </si>
  <si>
    <t>-0.2620486234262765</t>
  </si>
  <si>
    <t>-0.8692850941892152</t>
  </si>
  <si>
    <t>-0.5105955626659119</t>
  </si>
  <si>
    <t>0.9125160232753848</t>
  </si>
  <si>
    <t>0.9395669557052078</t>
  </si>
  <si>
    <t>-0.09678269532909026</t>
  </si>
  <si>
    <t>0.11518732430129214</t>
  </si>
  <si>
    <t>-0.3131970593219664</t>
  </si>
  <si>
    <t>-0.09143097296106019</t>
  </si>
  <si>
    <t>-0.30177837463773466</t>
  </si>
  <si>
    <t>-0.32330068528855055</t>
  </si>
  <si>
    <t>-0.5113884014312247</t>
  </si>
  <si>
    <t>-0.16531201315492436</t>
  </si>
  <si>
    <t>1.1830635896955473</t>
  </si>
  <si>
    <t>1.3475657112343864</t>
  </si>
  <si>
    <t>-0.059054510501941083</t>
  </si>
  <si>
    <t>-0.16674866231980512</t>
  </si>
  <si>
    <t>-0.7511768233461537</t>
  </si>
  <si>
    <t>-0.021230859363860547</t>
  </si>
  <si>
    <t>0.43920481265701616</t>
  </si>
  <si>
    <t>-0.5331219849840158</t>
  </si>
  <si>
    <t>0.12220412169289128</t>
  </si>
  <si>
    <t>-0.19895793993473854</t>
  </si>
  <si>
    <t>-0.022226530286698618</t>
  </si>
  <si>
    <t>-1.9742856795332486</t>
  </si>
  <si>
    <t>2.8181657000784415</t>
  </si>
  <si>
    <t>-1.0584861619354333</t>
  </si>
  <si>
    <t>-1.0704915718979375</t>
  </si>
  <si>
    <t>0.2218276081306605</t>
  </si>
  <si>
    <t>2.304689709781048</t>
  </si>
  <si>
    <t>-0.09644458689591975</t>
  </si>
  <si>
    <t>0.11873175259363017</t>
  </si>
  <si>
    <t>-0.48722744886367836</t>
  </si>
  <si>
    <t>-0.4264909576762164</t>
  </si>
  <si>
    <t>0.25627261377170985</t>
  </si>
  <si>
    <t>-0.07238629375859057</t>
  </si>
  <si>
    <t>0.5115861384083672</t>
  </si>
  <si>
    <t>-0.6349475741608194</t>
  </si>
  <si>
    <t>0.678716244334969</t>
  </si>
  <si>
    <t>0.9938977968706816</t>
  </si>
  <si>
    <t>0.7489972054408819</t>
  </si>
  <si>
    <t>-0.12639062232701428</t>
  </si>
  <si>
    <t>1.013693937342487</t>
  </si>
  <si>
    <t>-0.44880220548883754</t>
  </si>
  <si>
    <t>-0.04689099249725974</t>
  </si>
  <si>
    <t>0.6047278307268897</t>
  </si>
  <si>
    <t>0.38088427751887655</t>
  </si>
  <si>
    <t>0.6025732733671664</t>
  </si>
  <si>
    <t>3.3395298983566954</t>
  </si>
  <si>
    <t>1.4633702821653305</t>
  </si>
  <si>
    <t>0.8705482188648959</t>
  </si>
  <si>
    <t>1.267013363894196</t>
  </si>
  <si>
    <t>-2.1120723070209797</t>
  </si>
  <si>
    <t>0.17528770247884135</t>
  </si>
  <si>
    <t>-0.016177969068112034</t>
  </si>
  <si>
    <t>-0.8158125498206148</t>
  </si>
  <si>
    <t>-0.9984051880256445</t>
  </si>
  <si>
    <t>-1.36534704499716</t>
  </si>
  <si>
    <t>-0.6231062565955092</t>
  </si>
  <si>
    <t>1.1265497792927526</t>
  </si>
  <si>
    <t>1.170374309374128</t>
  </si>
  <si>
    <t>-1.6788777504647605</t>
  </si>
  <si>
    <t>0.7319616540493604</t>
  </si>
  <si>
    <t>-1.0733112975177845</t>
  </si>
  <si>
    <t>-0.2181654477303082</t>
  </si>
  <si>
    <t>-0.08897319430917983</t>
  </si>
  <si>
    <t>-0.1418179832460086</t>
  </si>
  <si>
    <t>-0.9585506196962055</t>
  </si>
  <si>
    <t>-0.6989159087536437</t>
  </si>
  <si>
    <t>-1.0205390197389488</t>
  </si>
  <si>
    <t>-0.34926609614281573</t>
  </si>
  <si>
    <t>-0.228551722070495</t>
  </si>
  <si>
    <t>0.7092407117658973</t>
  </si>
  <si>
    <t>-0.9292866571242314</t>
  </si>
  <si>
    <t>-1.8387291610275218</t>
  </si>
  <si>
    <t>2.427879730540285</t>
  </si>
  <si>
    <t>-0.5318052027976999</t>
  </si>
  <si>
    <t>0.009964915428098365</t>
  </si>
  <si>
    <t>0.09942847493352175</t>
  </si>
  <si>
    <t>-2.4678795497589636</t>
  </si>
  <si>
    <t>-0.5353268098960895</t>
  </si>
  <si>
    <t>-0.995521076004312</t>
  </si>
  <si>
    <t>-0.73708612948091</t>
  </si>
  <si>
    <t>0.05117767655687025</t>
  </si>
  <si>
    <t>0.2577336257898531</t>
  </si>
  <si>
    <t>-0.4296488742495436</t>
  </si>
  <si>
    <t>-0.8667334976994435</t>
  </si>
  <si>
    <t>-1.2757363654351375</t>
  </si>
  <si>
    <t>0.10981843727045454</t>
  </si>
  <si>
    <t>-0.24415833393929312</t>
  </si>
  <si>
    <t>0.6159354825473989</t>
  </si>
  <si>
    <t>0.33457039468970534</t>
  </si>
  <si>
    <t>0.29144941258760404</t>
  </si>
  <si>
    <t>1.1074142913114466</t>
  </si>
  <si>
    <t>-1.9492585891346863</t>
  </si>
  <si>
    <t>0.2362661223631627</t>
  </si>
  <si>
    <t>0.7334100097354054</t>
  </si>
  <si>
    <t>-0.9159086691786692</t>
  </si>
  <si>
    <t>-0.5329858365763915</t>
  </si>
  <si>
    <t>1.6178116449615085</t>
  </si>
  <si>
    <t>0.09282240581768138</t>
  </si>
  <si>
    <t>-1.9271531359204193</t>
  </si>
  <si>
    <t>1.1733716374796692</t>
  </si>
  <si>
    <t>-0.606105900533572</t>
  </si>
  <si>
    <t>0.5080635783152277</t>
  </si>
  <si>
    <t>1.2139369440441967</t>
  </si>
  <si>
    <t>0.13080932277486995</t>
  </si>
  <si>
    <t>0.0036895442483024492</t>
  </si>
  <si>
    <t>-0.950123927119876</t>
  </si>
  <si>
    <t>-0.23535812732596328</t>
  </si>
  <si>
    <t>-0.027623738077986473</t>
  </si>
  <si>
    <t>-1.1737675111005792</t>
  </si>
  <si>
    <t>0.2869286602264009</t>
  </si>
  <si>
    <t>-0.8855741207582309</t>
  </si>
  <si>
    <t>-0.6071782621832981</t>
  </si>
  <si>
    <t>0.40876964208899497</t>
  </si>
  <si>
    <t>-0.8892513673032258</t>
  </si>
  <si>
    <t>-0.07331362101281778</t>
  </si>
  <si>
    <t>-0.16662922756929968</t>
  </si>
  <si>
    <t>0.7937335214896626</t>
  </si>
  <si>
    <t>1.4405428496067936</t>
  </si>
  <si>
    <t>-0.906930607169563</t>
  </si>
  <si>
    <t>0.3110363772793725</t>
  </si>
  <si>
    <t>-0.0510480685577838</t>
  </si>
  <si>
    <t>0.14212575810787464</t>
  </si>
  <si>
    <t>4.539796510475504</t>
  </si>
  <si>
    <t>2.532463636225233</t>
  </si>
  <si>
    <t>-0.24589721586165766</t>
  </si>
  <si>
    <t>0.1670713395379669</t>
  </si>
  <si>
    <t>-0.18922834495597055</t>
  </si>
  <si>
    <t>-0.11063537731460173</t>
  </si>
  <si>
    <t>-0.3058724664899997</t>
  </si>
  <si>
    <t>0.02411391319795873</t>
  </si>
  <si>
    <t>-0.8441807429590751</t>
  </si>
  <si>
    <t>-0.18514585179271006</t>
  </si>
  <si>
    <t>-0.16930206299679557</t>
  </si>
  <si>
    <t>-0.5797322054201255</t>
  </si>
  <si>
    <t>1.387497492885528</t>
  </si>
  <si>
    <t>-0.22714478093954749</t>
  </si>
  <si>
    <t>0.18261208513540383</t>
  </si>
  <si>
    <t>0.5733272043561595</t>
  </si>
  <si>
    <t>0.3770298180563328</t>
  </si>
  <si>
    <t>-0.509794346785998</t>
  </si>
  <si>
    <t>-0.6995480843185358</t>
  </si>
  <si>
    <t>-0.17660133392354324</t>
  </si>
  <si>
    <t>1.7922934680577869</t>
  </si>
  <si>
    <t>-0.541238553793991</t>
  </si>
  <si>
    <t>0.4259037998266743</t>
  </si>
  <si>
    <t>0.7691079792725889</t>
  </si>
  <si>
    <t>-0.18453070633126883</t>
  </si>
  <si>
    <t>-0.8824647031105107</t>
  </si>
  <si>
    <t>-2.58937495245316</t>
  </si>
  <si>
    <t>-0.4945309928568874</t>
  </si>
  <si>
    <t>0.31909414838414674</t>
  </si>
  <si>
    <t>1.1685478002683363</t>
  </si>
  <si>
    <t>-0.20705198213813558</t>
  </si>
  <si>
    <t>0.3143382433850085</t>
  </si>
  <si>
    <t>-0.5693594573038772</t>
  </si>
  <si>
    <t>0.004496939350909155</t>
  </si>
  <si>
    <t>0.7524952994436591</t>
  </si>
  <si>
    <t>0.7523681993185253</t>
  </si>
  <si>
    <t>-0.8637009158193001</t>
  </si>
  <si>
    <t>-0.6808735887007294</t>
  </si>
  <si>
    <t>0.724627816862612</t>
  </si>
  <si>
    <t>0.6280956409005972</t>
  </si>
  <si>
    <t>0.03372028339489528</t>
  </si>
  <si>
    <t>0.9606337247359996</t>
  </si>
  <si>
    <t>-0.31329400063401336</t>
  </si>
  <si>
    <t>0.3130194632237553</t>
  </si>
  <si>
    <t>0.5438845245664551</t>
  </si>
  <si>
    <t>0.2273695482537886</t>
  </si>
  <si>
    <t>0.8647739114988664</t>
  </si>
  <si>
    <t>-1.0738745600066646</t>
  </si>
  <si>
    <t>-1.3478167760491315</t>
  </si>
  <si>
    <t>0.07621813850846025</t>
  </si>
  <si>
    <t>1.524422837319116</t>
  </si>
  <si>
    <t>-0.6562284435767209</t>
  </si>
  <si>
    <t>0.608639657924787</t>
  </si>
  <si>
    <t>0.5156095151583855</t>
  </si>
  <si>
    <t>0.9371067619840011</t>
  </si>
  <si>
    <t>0.28640899171472695</t>
  </si>
  <si>
    <t>0.3311022601153219</t>
  </si>
  <si>
    <t>0.020767032944784082</t>
  </si>
  <si>
    <t>-0.26476875302661257</t>
  </si>
  <si>
    <t>0.21778128964841492</t>
  </si>
  <si>
    <t>0.21869168565799615</t>
  </si>
  <si>
    <t>0.4179169365088099</t>
  </si>
  <si>
    <t>-0.6909172503524399</t>
  </si>
  <si>
    <t>-0.3777979262857092</t>
  </si>
  <si>
    <t>-0.587376590584828</t>
  </si>
  <si>
    <t>1.6084593535158873</t>
  </si>
  <si>
    <t>0.010241981224506504</t>
  </si>
  <si>
    <t>-1.1913567585487963</t>
  </si>
  <si>
    <t>1.4252399153182242</t>
  </si>
  <si>
    <t>-1.1624492431747777</t>
  </si>
  <si>
    <t>-1.0698915524834818</t>
  </si>
  <si>
    <t>0.664923916008604</t>
  </si>
  <si>
    <t>0.08308569709743309</t>
  </si>
  <si>
    <t>0.6950532222025512</t>
  </si>
  <si>
    <t>0.4645752870529713</t>
  </si>
  <si>
    <t>-1.1879901711603658</t>
  </si>
  <si>
    <t>-1.1439170727742618</t>
  </si>
  <si>
    <t>-0.23882865056125224</t>
  </si>
  <si>
    <t>0.6851538447419034</t>
  </si>
  <si>
    <t>-3.7106756563858316</t>
  </si>
  <si>
    <t>-1.3614393301332106</t>
  </si>
  <si>
    <t>-0.43192899056808604</t>
  </si>
  <si>
    <t>-0.07233645715673945</t>
  </si>
  <si>
    <t>-0.3316905502409658</t>
  </si>
  <si>
    <t>0.20701975803176115</t>
  </si>
  <si>
    <t>-1.499664088297554</t>
  </si>
  <si>
    <t>-0.3106927601116821</t>
  </si>
  <si>
    <t>0.5618149861835853</t>
  </si>
  <si>
    <t>-0.7398670158379979</t>
  </si>
  <si>
    <t>-0.5120181298065622</t>
  </si>
  <si>
    <t>-0.937529742038225</t>
  </si>
  <si>
    <t>-0.6061316870031365</t>
  </si>
  <si>
    <t>-0.04257048574105869</t>
  </si>
  <si>
    <t>-0.1142798718548235</t>
  </si>
  <si>
    <t>1.40255968755441</t>
  </si>
  <si>
    <t>-0.7284924827383467</t>
  </si>
  <si>
    <t>0.32745204623272944</t>
  </si>
  <si>
    <t>-0.4254397400864254</t>
  </si>
  <si>
    <t>0.1378307094055368</t>
  </si>
  <si>
    <t>0.44769329981337525</t>
  </si>
  <si>
    <t>0.8525138762335089</t>
  </si>
  <si>
    <t>-1.6324142811789777</t>
  </si>
  <si>
    <t>0.41416941306931915</t>
  </si>
  <si>
    <t>0.425843934826855</t>
  </si>
  <si>
    <t>-0.7273129180601005</t>
  </si>
  <si>
    <t>0.8010352752511978</t>
  </si>
  <si>
    <t>0.582309205911284</t>
  </si>
  <si>
    <t>-1.058441690184008</t>
  </si>
  <si>
    <t>-1.5894498561392543</t>
  </si>
  <si>
    <t>-0.17323816296344466</t>
  </si>
  <si>
    <t>-0.8274149498707603</t>
  </si>
  <si>
    <t>1.5331258573254702</t>
  </si>
  <si>
    <t>-4.725744807532948</t>
  </si>
  <si>
    <t>0.6534204303073251</t>
  </si>
  <si>
    <t>0.17908927629857205</t>
  </si>
  <si>
    <t>-0.5820857638341905</t>
  </si>
  <si>
    <t>-0.5468987340557431</t>
  </si>
  <si>
    <t>0.12372083775593773</t>
  </si>
  <si>
    <t>-0.026724748629343424</t>
  </si>
  <si>
    <t>0.46479027291627106</t>
  </si>
  <si>
    <t>-0.8130355767113464</t>
  </si>
  <si>
    <t>0.464326174095413</t>
  </si>
  <si>
    <t>-0.16316604290253195</t>
  </si>
  <si>
    <t>0.4656258410174269</t>
  </si>
  <si>
    <t>0.22379475070363378</t>
  </si>
  <si>
    <t>-0.16883857336349709</t>
  </si>
  <si>
    <t>0.631137683551694</t>
  </si>
  <si>
    <t>-0.3070013971593858</t>
  </si>
  <si>
    <t>1.1719185428713608</t>
  </si>
  <si>
    <t>0.26146133137338096</t>
  </si>
  <si>
    <t>-0.6159714006508379</t>
  </si>
  <si>
    <t>-0.8284688229365805</t>
  </si>
  <si>
    <t>0.7378916438048646</t>
  </si>
  <si>
    <t>-0.8329746336970512</t>
  </si>
  <si>
    <t>-0.7382179710816626</t>
  </si>
  <si>
    <t>-0.2647154100215717</t>
  </si>
  <si>
    <t>0.06693605159009353</t>
  </si>
  <si>
    <t>0.0436602828243942</t>
  </si>
  <si>
    <t>-0.7823967683430103</t>
  </si>
  <si>
    <t>-0.2591282662346919</t>
  </si>
  <si>
    <t>0.29650045960993954</t>
  </si>
  <si>
    <t>-0.44905514470572966</t>
  </si>
  <si>
    <t>0.6955394924668554</t>
  </si>
  <si>
    <t>0.94888394785739</t>
  </si>
  <si>
    <t>0.4773209438965965</t>
  </si>
  <si>
    <t>1.423567556712675</t>
  </si>
  <si>
    <t>0.5118533474617097</t>
  </si>
  <si>
    <t>-0.4548621994762446</t>
  </si>
  <si>
    <t>0.284396329769697</t>
  </si>
  <si>
    <t>-0.6842828005996145</t>
  </si>
  <si>
    <t>-1.1371356791315945</t>
  </si>
  <si>
    <t>0.38919306783177465</t>
  </si>
  <si>
    <t>-0.7581265106594584</t>
  </si>
  <si>
    <t>-1.4541248187675273</t>
  </si>
  <si>
    <t>0.6898458158925213</t>
  </si>
  <si>
    <t>0.5393212839984558</t>
  </si>
  <si>
    <t>-0.676509868283932</t>
  </si>
  <si>
    <t>0.2800056388572243</t>
  </si>
  <si>
    <t>0.1690983219157107</t>
  </si>
  <si>
    <t>1.0337088589704722</t>
  </si>
  <si>
    <t>0.6185585773099881</t>
  </si>
  <si>
    <t>-0.4898457837732892</t>
  </si>
  <si>
    <t>0.9012584122067003</t>
  </si>
  <si>
    <t>-0.3510762325255534</t>
  </si>
  <si>
    <t>-0.6407169113765945</t>
  </si>
  <si>
    <t>-0.6742523865836154</t>
  </si>
  <si>
    <t>0.11877491443669784</t>
  </si>
  <si>
    <t>-0.2583741208457547</t>
  </si>
  <si>
    <t>0.22370694213773262</t>
  </si>
  <si>
    <t>0.55077359021537</t>
  </si>
  <si>
    <t>-1.0264693234336788</t>
  </si>
  <si>
    <t>-0.6863637593859276</t>
  </si>
  <si>
    <t>0.4807037291093495</t>
  </si>
  <si>
    <t>0.33993178306381605</t>
  </si>
  <si>
    <t>-0.7240995660070813</t>
  </si>
  <si>
    <t>-1.5764352991925366</t>
  </si>
  <si>
    <t>-0.06253061894333377</t>
  </si>
  <si>
    <t>0.9930781524962212</t>
  </si>
  <si>
    <t>-0.28881998626094874</t>
  </si>
  <si>
    <t>0.3063227960963038</t>
  </si>
  <si>
    <t>-0.2704178651876611</t>
  </si>
  <si>
    <t>-0.32214762634834615</t>
  </si>
  <si>
    <t>-0.2962489367675264</t>
  </si>
  <si>
    <t>-0.38772826615269096</t>
  </si>
  <si>
    <t>-0.9657911482438513</t>
  </si>
  <si>
    <t>0.15475145499861678</t>
  </si>
  <si>
    <t>0.04183902409531625</t>
  </si>
  <si>
    <t>-1.2372545840556781</t>
  </si>
  <si>
    <t>1.1234892462437236</t>
  </si>
  <si>
    <t>-0.6320977069584195</t>
  </si>
  <si>
    <t>-0.2505956525569267</t>
  </si>
  <si>
    <t>0.17335390451677063</t>
  </si>
  <si>
    <t>-0.6743757918004064</t>
  </si>
  <si>
    <t>0.3216822319303128</t>
  </si>
  <si>
    <t>-0.12885224227917902</t>
  </si>
  <si>
    <t>-0.34334407851313814</t>
  </si>
  <si>
    <t>0.388189486659288</t>
  </si>
  <si>
    <t>-1.9714203216589246</t>
  </si>
  <si>
    <t>-0.6036125240732975</t>
  </si>
  <si>
    <t>-1.0539424636300438</t>
  </si>
  <si>
    <t>-1.3010884783678505</t>
  </si>
  <si>
    <t>0.44034919388756344</t>
  </si>
  <si>
    <t>-0.04880625614523899</t>
  </si>
  <si>
    <t>1.5554477860777622</t>
  </si>
  <si>
    <t>-0.3391301737120638</t>
  </si>
  <si>
    <t>-0.0826729752337474</t>
  </si>
  <si>
    <t>-0.6220179233009827</t>
  </si>
  <si>
    <t>-0.23139052771492</t>
  </si>
  <si>
    <t>0.9579013485551449</t>
  </si>
  <si>
    <t>-0.5085208040990524</t>
  </si>
  <si>
    <t>-1.7938139385049796</t>
  </si>
  <si>
    <t>-0.9554280043364957</t>
  </si>
  <si>
    <t>-1.5221367020098182</t>
  </si>
  <si>
    <t>-2.6224589234486366</t>
  </si>
  <si>
    <t>-0.3132795921085971</t>
  </si>
  <si>
    <t>0.916702010398837</t>
  </si>
  <si>
    <t>-1.858888736130044</t>
  </si>
  <si>
    <t>-1.1083830368623682</t>
  </si>
  <si>
    <t>-1.037934122164352</t>
  </si>
  <si>
    <t>-0.23326645319749187</t>
  </si>
  <si>
    <t>-1.121018727208183</t>
  </si>
  <si>
    <t>0.25348352535264834</t>
  </si>
  <si>
    <t>0.14846893245744694</t>
  </si>
  <si>
    <t>-1.4206185642219527</t>
  </si>
  <si>
    <t>0.3129620519578112</t>
  </si>
  <si>
    <t>-0.03507489316991634</t>
  </si>
  <si>
    <t>0.22252037785759066</t>
  </si>
  <si>
    <t>0.1994396560688571</t>
  </si>
  <si>
    <t>-0.7796074865762449</t>
  </si>
  <si>
    <t>3.116013397273961</t>
  </si>
  <si>
    <t>-0.5072307233252944</t>
  </si>
  <si>
    <t>-0.8889613830009643</t>
  </si>
  <si>
    <t>2.616570038286779</t>
  </si>
  <si>
    <t>-3.1539993879571346</t>
  </si>
  <si>
    <t>-0.7136060296590221</t>
  </si>
  <si>
    <t>-0.6912317553280026</t>
  </si>
  <si>
    <t>1.3169828082053139</t>
  </si>
  <si>
    <t>0.8835722678485957</t>
  </si>
  <si>
    <t>-0.6469684162870435</t>
  </si>
  <si>
    <t>2.334280404144528</t>
  </si>
  <si>
    <t>-0.3492836974424921</t>
  </si>
  <si>
    <t>-0.14097023056120014</t>
  </si>
  <si>
    <t>1.106082013115353</t>
  </si>
  <si>
    <t>1.1797162754269523</t>
  </si>
  <si>
    <t>-2.320370260458351</t>
  </si>
  <si>
    <t>3.415015627882717</t>
  </si>
  <si>
    <t>-0.31576318162067823</t>
  </si>
  <si>
    <t>1.3865087809230747</t>
  </si>
  <si>
    <t>-0.05655338838808075</t>
  </si>
  <si>
    <t>-0.4153705953042923</t>
  </si>
  <si>
    <t>0.22015903964188324</t>
  </si>
  <si>
    <t>-1.8149142938142866</t>
  </si>
  <si>
    <t>-0.25257158917088113</t>
  </si>
  <si>
    <t>0.3314327106000488</t>
  </si>
  <si>
    <t>-0.5485648643877231</t>
  </si>
  <si>
    <t>0.11786557077174743</t>
  </si>
  <si>
    <t>0.8329807711187545</t>
  </si>
  <si>
    <t>-0.6207585463375199</t>
  </si>
  <si>
    <t>-1.6133018078858024</t>
  </si>
  <si>
    <t>1.0597231933422844</t>
  </si>
  <si>
    <t>-1.0643215826319783</t>
  </si>
  <si>
    <t>0.7198964302550596</t>
  </si>
  <si>
    <t>-0.1201246074209609</t>
  </si>
  <si>
    <t>1.3110123716518225</t>
  </si>
  <si>
    <t>-0.27565349367045827</t>
  </si>
  <si>
    <t>0.4460000958874538</t>
  </si>
  <si>
    <t>0.6186792799359392</t>
  </si>
  <si>
    <t>0.29927470997509376</t>
  </si>
  <si>
    <t>-0.5631184638500221</t>
  </si>
  <si>
    <t>-0.3878508459139268</t>
  </si>
  <si>
    <t>0.1444122397640853</t>
  </si>
  <si>
    <t>0.17024091373088643</t>
  </si>
  <si>
    <t>-0.012584353031152275</t>
  </si>
  <si>
    <t>0.5505041213804258</t>
  </si>
  <si>
    <t>0.21406874449999466</t>
  </si>
  <si>
    <t>-0.24472664437670993</t>
  </si>
  <si>
    <t>-0.21671806917219552</t>
  </si>
  <si>
    <t>-0.12263929977925639</t>
  </si>
  <si>
    <t>0.526406360681187</t>
  </si>
  <si>
    <t>0.5423963963083209</t>
  </si>
  <si>
    <t>0.3482302771434651</t>
  </si>
  <si>
    <t>-0.2151662605947913</t>
  </si>
  <si>
    <t>-0.2242136597043402</t>
  </si>
  <si>
    <t>0.41184540383586554</t>
  </si>
  <si>
    <t>-0.9061846191266144</t>
  </si>
  <si>
    <t>-0.5806351897954564</t>
  </si>
  <si>
    <t>-0.3534595849228828</t>
  </si>
  <si>
    <t>-0.49261770810394045</t>
  </si>
  <si>
    <t>-0.5520134524030242</t>
  </si>
  <si>
    <t>-0.008129618046144803</t>
  </si>
  <si>
    <t>0.0228287216250149</t>
  </si>
  <si>
    <t>-0.3211940563023457</t>
  </si>
  <si>
    <t>1.4598350435729157</t>
  </si>
  <si>
    <t>-0.1883772337339892</t>
  </si>
  <si>
    <t>-0.6925965077630429</t>
  </si>
  <si>
    <t>0.164351972459687</t>
  </si>
  <si>
    <t>0.32942433646195773</t>
  </si>
  <si>
    <t>-0.049951188580002505</t>
  </si>
  <si>
    <t>-0.27372278078365003</t>
  </si>
  <si>
    <t>-0.48609570864077545</t>
  </si>
  <si>
    <t>0.6215011044681824</t>
  </si>
  <si>
    <t>0.3812171054205655</t>
  </si>
  <si>
    <t>-0.5100233481316028</t>
  </si>
  <si>
    <t>-0.1369391844877773</t>
  </si>
  <si>
    <t>0.3281132752487914</t>
  </si>
  <si>
    <t>-0.011450313990545467</t>
  </si>
  <si>
    <t>-0.340885013458725</t>
  </si>
  <si>
    <t>0.4039414255010256</t>
  </si>
  <si>
    <t>0.5385577587090908</t>
  </si>
  <si>
    <t>-1.263863558814217</t>
  </si>
  <si>
    <t>0.13108484797781364</t>
  </si>
  <si>
    <t>0.5842353382426706</t>
  </si>
  <si>
    <t>0.6604522952504839</t>
  </si>
  <si>
    <t>-1.1683375211832672</t>
  </si>
  <si>
    <t>-0.10087914197766847</t>
  </si>
  <si>
    <t>0.8999838887967823</t>
  </si>
  <si>
    <t>0.49686811942363784</t>
  </si>
  <si>
    <t>1.7562039611412148</t>
  </si>
  <si>
    <t>1.0097913491287587</t>
  </si>
  <si>
    <t>-0.2552194728521478</t>
  </si>
  <si>
    <t>-0.5277610684943153</t>
  </si>
  <si>
    <t>0.5400119052764298</t>
  </si>
  <si>
    <t>-2.126462286753903</t>
  </si>
  <si>
    <t>1.3933585709747471</t>
  </si>
  <si>
    <t>-0.4189629204425825</t>
  </si>
  <si>
    <t>-0.8422608726549418</t>
  </si>
  <si>
    <t>0.4351288085111619</t>
  </si>
  <si>
    <t>-0.6086934630823732</t>
  </si>
  <si>
    <t>0.075897809921307</t>
  </si>
  <si>
    <t>0.44905962428823637</t>
  </si>
  <si>
    <t>-0.2745242509539223</t>
  </si>
  <si>
    <t>0.4539435270357864</t>
  </si>
  <si>
    <t>-0.609944989244849</t>
  </si>
  <si>
    <t>0.17412611792398142</t>
  </si>
  <si>
    <t>-0.7239844392564672</t>
  </si>
  <si>
    <t>0.4916888946700835</t>
  </si>
  <si>
    <t>-0.5082848536618622</t>
  </si>
  <si>
    <t>-0.19949250682893</t>
  </si>
  <si>
    <t>-0.8268535502612869</t>
  </si>
  <si>
    <t>-0.1061964854563799</t>
  </si>
  <si>
    <t>-0.40284930811899616</t>
  </si>
  <si>
    <t>0.17438198534843286</t>
  </si>
  <si>
    <t>-1.324315667144312</t>
  </si>
  <si>
    <t>0.7011834172667004</t>
  </si>
  <si>
    <t>-0.7541353929247626</t>
  </si>
  <si>
    <t>0.4638764782263055</t>
  </si>
  <si>
    <t>0.05536929077736377</t>
  </si>
  <si>
    <t>0.3503648006669232</t>
  </si>
  <si>
    <t>0.36561200692435203</t>
  </si>
  <si>
    <t>-0.3861092250051617</t>
  </si>
  <si>
    <t>-0.22053611231312664</t>
  </si>
  <si>
    <t>0.14888979254664123</t>
  </si>
  <si>
    <t>-0.21053075271503996</t>
  </si>
  <si>
    <t>-0.2555435532598375</t>
  </si>
  <si>
    <t>-1.2915180797487549</t>
  </si>
  <si>
    <t>0.7044677078456996</t>
  </si>
  <si>
    <t>-0.534520841399665</t>
  </si>
  <si>
    <t>-0.051068937973998245</t>
  </si>
  <si>
    <t>-0.3593227584753844</t>
  </si>
  <si>
    <t>-0.34845082286719176</t>
  </si>
  <si>
    <t>-1.3268567728826979</t>
  </si>
  <si>
    <t>-1.0619695660099462</t>
  </si>
  <si>
    <t>0.31233262693415426</t>
  </si>
  <si>
    <t>-0.5428943247131082</t>
  </si>
  <si>
    <t>0.6112746234898695</t>
  </si>
  <si>
    <t>0.08831860874348854</t>
  </si>
  <si>
    <t>-0.03711296496668184</t>
  </si>
  <si>
    <t>-0.21541361501342507</t>
  </si>
  <si>
    <t>0.12665221098583518</t>
  </si>
  <si>
    <t>-1.1665123414717053</t>
  </si>
  <si>
    <t>0.43869960800334873</t>
  </si>
  <si>
    <t>0.22967383288539858</t>
  </si>
  <si>
    <t>-0.5398078278647955</t>
  </si>
  <si>
    <t>-0.41268431858769206</t>
  </si>
  <si>
    <t>-0.6766185322966017</t>
  </si>
  <si>
    <t>-0.34162347287651335</t>
  </si>
  <si>
    <t>0.28802710157501377</t>
  </si>
  <si>
    <t>0.7516398863869248</t>
  </si>
  <si>
    <t>-0.14129305073844156</t>
  </si>
  <si>
    <t>1.2468622287456947</t>
  </si>
  <si>
    <t>-0.33676001978824827</t>
  </si>
  <si>
    <t>1.3885211570429667</t>
  </si>
  <si>
    <t>0.6494281594944475</t>
  </si>
  <si>
    <t>0.5825802345515763</t>
  </si>
  <si>
    <t>0.8490723596711255</t>
  </si>
  <si>
    <t>-0.45541433869661163</t>
  </si>
  <si>
    <t>-1.0071871496402782</t>
  </si>
  <si>
    <t>0.2973053227151204</t>
  </si>
  <si>
    <t>1.1102405222939702</t>
  </si>
  <si>
    <t>1.58733012763148</t>
  </si>
  <si>
    <t>-0.21352745569699155</t>
  </si>
  <si>
    <t>0.7702215041179004</t>
  </si>
  <si>
    <t>0.5973515855405629</t>
  </si>
  <si>
    <t>0.14275283181619766</t>
  </si>
  <si>
    <t>0.5197872400755361</t>
  </si>
  <si>
    <t>-0.3519628104998511</t>
  </si>
  <si>
    <t>-0.012361736880318788</t>
  </si>
  <si>
    <t>0.32788597452243</t>
  </si>
  <si>
    <t>0.8325800719080202</t>
  </si>
  <si>
    <t>-0.49259199198619197</t>
  </si>
  <si>
    <t>-0.6217056202941676</t>
  </si>
  <si>
    <t>0.99929449118232</t>
  </si>
  <si>
    <t>0.4478529013765516</t>
  </si>
  <si>
    <t>0.643596952343656</t>
  </si>
  <si>
    <t>0.11474443768529043</t>
  </si>
  <si>
    <t>-1.1030616900008419</t>
  </si>
  <si>
    <t>-0.741860708641894</t>
  </si>
  <si>
    <t>-0.8259533091351078</t>
  </si>
  <si>
    <t>-0.8176485341428987</t>
  </si>
  <si>
    <t>-0.1853669959930309</t>
  </si>
  <si>
    <t>-0.6343458073096215</t>
  </si>
  <si>
    <t>-0.05717603337673473</t>
  </si>
  <si>
    <t>0.18662286060341024</t>
  </si>
  <si>
    <t>0.6416747128013754</t>
  </si>
  <si>
    <t>-0.7455418486780638</t>
  </si>
  <si>
    <t>-0.28655140770838433</t>
  </si>
  <si>
    <t>-0.3816057068024244</t>
  </si>
  <si>
    <t>-0.5204739138082896</t>
  </si>
  <si>
    <t>-0.762208423253685</t>
  </si>
  <si>
    <t>1.898676033421819</t>
  </si>
  <si>
    <t>0.7912354449506307</t>
  </si>
  <si>
    <t>-0.02397166845136661</t>
  </si>
  <si>
    <t>0.5137278214221661</t>
  </si>
  <si>
    <t>-0.2889082041192369</t>
  </si>
  <si>
    <t>-0.5325824206497679</t>
  </si>
  <si>
    <t>-0.24279320760794687</t>
  </si>
  <si>
    <t>-0.7223969620446214</t>
  </si>
  <si>
    <t>0.2673392783291257</t>
  </si>
  <si>
    <t>-0.5123276041373972</t>
  </si>
  <si>
    <t>-1.9845183690532124</t>
  </si>
  <si>
    <t>0.1006316864248235</t>
  </si>
  <si>
    <t>-0.6803862947329576</t>
  </si>
  <si>
    <t>-1.6642938998375774</t>
  </si>
  <si>
    <t>-0.6090267223253647</t>
  </si>
  <si>
    <t>0.4775370349323642</t>
  </si>
  <si>
    <t>1.611402866495949</t>
  </si>
  <si>
    <t>1.0531176144657706</t>
  </si>
  <si>
    <t>-0.9367672511280037</t>
  </si>
  <si>
    <t>0.39933165325110404</t>
  </si>
  <si>
    <t>-0.6272852005472155</t>
  </si>
  <si>
    <t>0.3989863162935712</t>
  </si>
  <si>
    <t>-0.23449774060195358</t>
  </si>
  <si>
    <t>1.316137225325689</t>
  </si>
  <si>
    <t>-1.2175459363737182</t>
  </si>
  <si>
    <t>-1.9191415803444627</t>
  </si>
  <si>
    <t>-1.7362033252872895</t>
  </si>
  <si>
    <t>0.05216919463735448</t>
  </si>
  <si>
    <t>-0.8237589750838249</t>
  </si>
  <si>
    <t>0.23102063933140674</t>
  </si>
  <si>
    <t>-0.7075328224371636</t>
  </si>
  <si>
    <t>-0.5604763670882572</t>
  </si>
  <si>
    <t>0.46643287238275566</t>
  </si>
  <si>
    <t>0.6683979115172217</t>
  </si>
  <si>
    <t>-1.0944661245557659</t>
  </si>
  <si>
    <t>-0.5707185267176205</t>
  </si>
  <si>
    <t>-0.823299199739918</t>
  </si>
  <si>
    <t>0.1857410487427525</t>
  </si>
  <si>
    <t>-0.6298820174073556</t>
  </si>
  <si>
    <t>-0.11168476981047068</t>
  </si>
  <si>
    <t>-0.11906074038694507</t>
  </si>
  <si>
    <t>-0.14557851262220592</t>
  </si>
  <si>
    <t>0.07157884061422749</t>
  </si>
  <si>
    <t>0.013498877298777955</t>
  </si>
  <si>
    <t>0.3874061724576971</t>
  </si>
  <si>
    <t>-0.5144944966851122</t>
  </si>
  <si>
    <t>-0.6745885100603051</t>
  </si>
  <si>
    <t>1.513711482684801</t>
  </si>
  <si>
    <t>0.38799136913863436</t>
  </si>
  <si>
    <t>-1.0772303374326642</t>
  </si>
  <si>
    <t>-0.23397174414303776</t>
  </si>
  <si>
    <t>0.792725217617124</t>
  </si>
  <si>
    <t>3.1509527548688956</t>
  </si>
  <si>
    <t>-1.0162999651457933</t>
  </si>
  <si>
    <t>-0.5336092220959</t>
  </si>
  <si>
    <t>-0.6299871827248671</t>
  </si>
  <si>
    <t>0.590598750377383</t>
  </si>
  <si>
    <t>-0.9319015141286082</t>
  </si>
  <si>
    <t>0.6012841999732418</t>
  </si>
  <si>
    <t>-0.038678064915230924</t>
  </si>
  <si>
    <t>-0.4307628745370021</t>
  </si>
  <si>
    <t>1.1898378368895361</t>
  </si>
  <si>
    <t>-1.225520355378522</t>
  </si>
  <si>
    <t>-0.36290920754730177</t>
  </si>
  <si>
    <t>1.2752837645434258</t>
  </si>
  <si>
    <t>0.032267911547980956</t>
  </si>
  <si>
    <t>-0.9777862302615029</t>
  </si>
  <si>
    <t>-1.0853018198695945</t>
  </si>
  <si>
    <t>-0.5290195787169066</t>
  </si>
  <si>
    <t>-0.22213342901572566</t>
  </si>
  <si>
    <t>1.112754039216836</t>
  </si>
  <si>
    <t>0.7578814775653382</t>
  </si>
  <si>
    <t>-0.8421106088033087</t>
  </si>
  <si>
    <t>1.9476904462207716</t>
  </si>
  <si>
    <t>0.6330377919875725</t>
  </si>
  <si>
    <t>-0.4783435685449947</t>
  </si>
  <si>
    <t>1.4045121413848158</t>
  </si>
  <si>
    <t>-0.695970402178953</t>
  </si>
  <si>
    <t>0.4871244058176096</t>
  </si>
  <si>
    <t>-0.9836765501557835</t>
  </si>
  <si>
    <t>-0.3390884761759595</t>
  </si>
  <si>
    <t>-0.05047811090651288</t>
  </si>
  <si>
    <t>-1.1277375361491566</t>
  </si>
  <si>
    <t>-0.19255930218616787</t>
  </si>
  <si>
    <t>-1.0001907474691547</t>
  </si>
  <si>
    <t>-1.020751649723608</t>
  </si>
  <si>
    <t>-2.4126086707496674</t>
  </si>
  <si>
    <t>1.2661596739202805</t>
  </si>
  <si>
    <t>0.17979396417036664</t>
  </si>
  <si>
    <t>-0.5479531521887562</t>
  </si>
  <si>
    <t>-1.2557471353014564</t>
  </si>
  <si>
    <t>0.6311756996507975</t>
  </si>
  <si>
    <t>-0.8286728010543871</t>
  </si>
  <si>
    <t>-0.5884838142870219</t>
  </si>
  <si>
    <t>0.02365670806641861</t>
  </si>
  <si>
    <t>3.1939067535163024</t>
  </si>
  <si>
    <t>0.28006055371316196</t>
  </si>
  <si>
    <t>0.3404344049638942</t>
  </si>
  <si>
    <t>-0.8701208445019492</t>
  </si>
  <si>
    <t>0.7253793677144679</t>
  </si>
  <si>
    <t>-0.011674678118448243</t>
  </si>
  <si>
    <t>-1.0284458257598623</t>
  </si>
  <si>
    <t>-0.5731133810136593</t>
  </si>
  <si>
    <t>1.0932282624315388</t>
  </si>
  <si>
    <t>-0.9616341364168763</t>
  </si>
  <si>
    <t>-1.1097424538035336</t>
  </si>
  <si>
    <t>0.9338843969583567</t>
  </si>
  <si>
    <t>-0.11527468097535716</t>
  </si>
  <si>
    <t>-0.14387113640481722</t>
  </si>
  <si>
    <t>1.2613719663853096</t>
  </si>
  <si>
    <t>1.9987271971003746</t>
  </si>
  <si>
    <t>0.45465078314702434</t>
  </si>
  <si>
    <t>1.5350634220417438</t>
  </si>
  <si>
    <t>0.15914299919403074</t>
  </si>
  <si>
    <t>-0.017329699113015105</t>
  </si>
  <si>
    <t>0.49575877403356905</t>
  </si>
  <si>
    <t>-1.656070734776607</t>
  </si>
  <si>
    <t>-0.48040436138391185</t>
  </si>
  <si>
    <t>0.4062061961722053</t>
  </si>
  <si>
    <t>1.991078405730548</t>
  </si>
  <si>
    <t>-1.5279806045764879</t>
  </si>
  <si>
    <t>-0.804998597840166</t>
  </si>
  <si>
    <t>0.1543353859777524</t>
  </si>
  <si>
    <t>-0.4417658136457873</t>
  </si>
  <si>
    <t>-0.15880709903164095</t>
  </si>
  <si>
    <t>-1.070677104227471</t>
  </si>
  <si>
    <t>1.0278535597086775</t>
  </si>
  <si>
    <t>-1.0595238570523657</t>
  </si>
  <si>
    <t>0.00028836312711113767</t>
  </si>
  <si>
    <t>-2.9235713651327484</t>
  </si>
  <si>
    <t>-0.4856600291371902</t>
  </si>
  <si>
    <t>-0.779414530473594</t>
  </si>
  <si>
    <t>0.889010963312813</t>
  </si>
  <si>
    <t>-0.30828398270950436</t>
  </si>
  <si>
    <t>0.3809924731788359</t>
  </si>
  <si>
    <t>-1.1583775212544205</t>
  </si>
  <si>
    <t>0.2152512647259504</t>
  </si>
  <si>
    <t>-0.3642524754984401</t>
  </si>
  <si>
    <t>-2.8337268543175083</t>
  </si>
  <si>
    <t>-0.6233306145451541</t>
  </si>
  <si>
    <t>1.0362726277870513</t>
  </si>
  <si>
    <t>0.18771276892907424</t>
  </si>
  <si>
    <t>-0.17105734730132435</t>
  </si>
  <si>
    <t>0.041414918410749985</t>
  </si>
  <si>
    <t>0.4942126350103875</t>
  </si>
  <si>
    <t>0.8841267593089721</t>
  </si>
  <si>
    <t>-1.5983734640734022</t>
  </si>
  <si>
    <t>2.2373614903199512</t>
  </si>
  <si>
    <t>0.32519942463139334</t>
  </si>
  <si>
    <t>0.15698835683107745</t>
  </si>
  <si>
    <t>0.42164522988195685</t>
  </si>
  <si>
    <t>0.5913394479997299</t>
  </si>
  <si>
    <t>-0.31369957791849534</t>
  </si>
  <si>
    <t>-0.059034214029938276</t>
  </si>
  <si>
    <t>0.046982963812966086</t>
  </si>
  <si>
    <t>0.10253594283992754</t>
  </si>
  <si>
    <t>0.15015790640111534</t>
  </si>
  <si>
    <t>-1.2019119574856045</t>
  </si>
  <si>
    <t>0.8319596857869321</t>
  </si>
  <si>
    <t>0.5735823376721197</t>
  </si>
  <si>
    <t>-0.7919013651680223</t>
  </si>
  <si>
    <t>1.0774666476342731</t>
  </si>
  <si>
    <t>-0.6059090814677026</t>
  </si>
  <si>
    <t>0.7279656919479693</t>
  </si>
  <si>
    <t>-0.7565445280173079</t>
  </si>
  <si>
    <t>2.0740962240867513</t>
  </si>
  <si>
    <t>-1.6640728796157498</t>
  </si>
  <si>
    <t>1.4472994137150923</t>
  </si>
  <si>
    <t>2.9212839646765247</t>
  </si>
  <si>
    <t>0.863445752667089</t>
  </si>
  <si>
    <t>0.11166643330690465</t>
  </si>
  <si>
    <t>0.5159715673986881</t>
  </si>
  <si>
    <t>0.0324605077511283</t>
  </si>
  <si>
    <t>-0.8182962904010587</t>
  </si>
  <si>
    <t>-0.9684678186713974</t>
  </si>
  <si>
    <t>0.04810770584025921</t>
  </si>
  <si>
    <t>0.45693380627071883</t>
  </si>
  <si>
    <t>-0.03363719423221868</t>
  </si>
  <si>
    <t>-0.6142958042516012</t>
  </si>
  <si>
    <t>-0.8882358928873287</t>
  </si>
  <si>
    <t>0.08753735312575081</t>
  </si>
  <si>
    <t>-3.294050109330128</t>
  </si>
  <si>
    <t>-0.7027990306930535</t>
  </si>
  <si>
    <t>-0.8433980165282616</t>
  </si>
  <si>
    <t>0.40917804291919574</t>
  </si>
  <si>
    <t>-0.0659179293558234</t>
  </si>
  <si>
    <t>0.36527708744665327</t>
  </si>
  <si>
    <t>-0.15844134426820294</t>
  </si>
  <si>
    <t>-0.901599542038387</t>
  </si>
  <si>
    <t>0.38607549330490665</t>
  </si>
  <si>
    <t>0.3447048435208033</t>
  </si>
  <si>
    <t>0.2353572287121871</t>
  </si>
  <si>
    <t>-0.15159300998080363</t>
  </si>
  <si>
    <t>-0.5629878116418598</t>
  </si>
  <si>
    <t>0.15451721322988324</t>
  </si>
  <si>
    <t>0.5200121378842208</t>
  </si>
  <si>
    <t>-0.04334652880637895</t>
  </si>
  <si>
    <t>-0.6280913168896561</t>
  </si>
  <si>
    <t>0.057072280088557234</t>
  </si>
  <si>
    <t>-1.5488424572481574</t>
  </si>
  <si>
    <t>-0.6660354439213922</t>
  </si>
  <si>
    <t>-0.24718428725052105</t>
  </si>
  <si>
    <t>1.066745071361655</t>
  </si>
  <si>
    <t>-0.12524755448786817</t>
  </si>
  <si>
    <t>0.7392665954107899</t>
  </si>
  <si>
    <t>-0.7841034336784467</t>
  </si>
  <si>
    <t>0.0971985619683876</t>
  </si>
  <si>
    <t>-0.6518632669783208</t>
  </si>
  <si>
    <t>0.27730475903088686</t>
  </si>
  <si>
    <t>-0.6677301454407911</t>
  </si>
  <si>
    <t>-0.30736543912782693</t>
  </si>
  <si>
    <t>-0.37237084866066145</t>
  </si>
  <si>
    <t>1.4728008092240334</t>
  </si>
  <si>
    <t>0.08404496598412178</t>
  </si>
  <si>
    <t>-1.0488940092422174</t>
  </si>
  <si>
    <t>0.1679564381288219</t>
  </si>
  <si>
    <t>-0.2593232100921797</t>
  </si>
  <si>
    <t>-0.1693606537075665</t>
  </si>
  <si>
    <t>0.4826950640169211</t>
  </si>
  <si>
    <t>-0.19593486196971255</t>
  </si>
  <si>
    <t>0.6015481825385822</t>
  </si>
  <si>
    <t>1.078255871662057</t>
  </si>
  <si>
    <t>0.14383382651356777</t>
  </si>
  <si>
    <t>0.27757378604659466</t>
  </si>
  <si>
    <t>-0.42055752031039006</t>
  </si>
  <si>
    <t>0.7319603914978268</t>
  </si>
  <si>
    <t>0.37112854366067044</t>
  </si>
  <si>
    <t>-1.2546202554267112</t>
  </si>
  <si>
    <t>0.424596547701515</t>
  </si>
  <si>
    <t>-0.28731728722121574</t>
  </si>
  <si>
    <t>-1.0204737220762807</t>
  </si>
  <si>
    <t>1.8259039030348672</t>
  </si>
  <si>
    <t>-0.8705754911157845</t>
  </si>
  <si>
    <t>-0.5084816522584438</t>
  </si>
  <si>
    <t>0.28685622753846374</t>
  </si>
  <si>
    <t>-0.43719315642565987</t>
  </si>
  <si>
    <t>1.012223151461129</t>
  </si>
  <si>
    <t>-0.4984541869884746</t>
  </si>
  <si>
    <t>0.36925475529830726</t>
  </si>
  <si>
    <t>0.07554182338817464</t>
  </si>
  <si>
    <t>-0.4920561167256015</t>
  </si>
  <si>
    <t>-0.7367286419384301</t>
  </si>
  <si>
    <t>0.2697705453159056</t>
  </si>
  <si>
    <t>0.26677230686189696</t>
  </si>
  <si>
    <t>0.09056819170514908</t>
  </si>
  <si>
    <t>-0.8821669397042643</t>
  </si>
  <si>
    <t>-0.8860405638717243</t>
  </si>
  <si>
    <t>-0.830042049856139</t>
  </si>
  <si>
    <t>-0.4351899968130199</t>
  </si>
  <si>
    <t>-1.5646810542219176</t>
  </si>
  <si>
    <t>0.6422170623649003</t>
  </si>
  <si>
    <t>-1.5033448274577592</t>
  </si>
  <si>
    <t>0.3205282425125349</t>
  </si>
  <si>
    <t>-0.4619223344236263</t>
  </si>
  <si>
    <t>0.6409718251223808</t>
  </si>
  <si>
    <t>-0.04717510413980799</t>
  </si>
  <si>
    <t>-0.8637220787423697</t>
  </si>
  <si>
    <t>0.4339883024259892</t>
  </si>
  <si>
    <t>0.2583000069676285</t>
  </si>
  <si>
    <t>1.1551292234819275</t>
  </si>
  <si>
    <t>0.6729597676921342</t>
  </si>
  <si>
    <t>0.1403671617395129</t>
  </si>
  <si>
    <t>0.5833831638443697</t>
  </si>
  <si>
    <t>-0.22589755747186235</t>
  </si>
  <si>
    <t>-0.8095341392278336</t>
  </si>
  <si>
    <t>-0.4588095107185162</t>
  </si>
  <si>
    <t>0.6573027793160573</t>
  </si>
  <si>
    <t>0.7591837200506004</t>
  </si>
  <si>
    <t>-0.38490688998542294</t>
  </si>
  <si>
    <t>-1.4710945402062436</t>
  </si>
  <si>
    <t>-1.3147532512365685</t>
  </si>
  <si>
    <t>-0.0133019504623934</t>
  </si>
  <si>
    <t>0.2720995789936457</t>
  </si>
  <si>
    <t>-2.1298969337052682</t>
  </si>
  <si>
    <t>-0.8934058409226139</t>
  </si>
  <si>
    <t>0.24717664111863366</t>
  </si>
  <si>
    <t>0.029989328103088648</t>
  </si>
  <si>
    <t>-0.95821794586225</t>
  </si>
  <si>
    <t>-1.1032576836559673</t>
  </si>
  <si>
    <t>-0.4821343486899656</t>
  </si>
  <si>
    <t>0.42942369947492476</t>
  </si>
  <si>
    <t>-0.21374358556088785</t>
  </si>
  <si>
    <t>-0.5211675443873522</t>
  </si>
  <si>
    <t>-0.6297580963813016</t>
  </si>
  <si>
    <t>-0.6072918668271721</t>
  </si>
  <si>
    <t>0.5464913918958464</t>
  </si>
  <si>
    <t>3.2581840462795704</t>
  </si>
  <si>
    <t>-0.35429963547085136</t>
  </si>
  <si>
    <t>-0.1266049914879949</t>
  </si>
  <si>
    <t>0.11857861624452304</t>
  </si>
  <si>
    <t>1.1269576383388737</t>
  </si>
  <si>
    <t>-1.6119977853025236</t>
  </si>
  <si>
    <t>0.8815858356279817</t>
  </si>
  <si>
    <t>0.458283418000847</t>
  </si>
  <si>
    <t>-0.1505332712646842</t>
  </si>
  <si>
    <t>-0.21859287926188153</t>
  </si>
  <si>
    <t>0.1713160357491484</t>
  </si>
  <si>
    <t>1.3498285871559752</t>
  </si>
  <si>
    <t>-0.6955808556094172</t>
  </si>
  <si>
    <t>-0.23135882794823837</t>
  </si>
  <si>
    <t>-1.6224941949214335</t>
  </si>
  <si>
    <t>0.007486523889142155</t>
  </si>
  <si>
    <t>-0.22613290425482965</t>
  </si>
  <si>
    <t>1.0687173304242545</t>
  </si>
  <si>
    <t>-1.4743515641801537</t>
  </si>
  <si>
    <t>-0.09354596492361132</t>
  </si>
  <si>
    <t>0.6489091237006875</t>
  </si>
  <si>
    <t>-1.2386557753968455</t>
  </si>
  <si>
    <t>0.009931399263495958</t>
  </si>
  <si>
    <t>-0.6512866152524601</t>
  </si>
  <si>
    <t>0.6817811730714453</t>
  </si>
  <si>
    <t>1.7700205642463065</t>
  </si>
  <si>
    <t>-0.4078665190733972</t>
  </si>
  <si>
    <t>0.1077082395616168</t>
  </si>
  <si>
    <t>0.23358532707749144</t>
  </si>
  <si>
    <t>-0.7046647650425866</t>
  </si>
  <si>
    <t>-0.19673274002947413</t>
  </si>
  <si>
    <t>-0.5768516069589705</t>
  </si>
  <si>
    <t>-0.3042875637847916</t>
  </si>
  <si>
    <t>0.5361990630565916</t>
  </si>
  <si>
    <t>0.4884205158965126</t>
  </si>
  <si>
    <t>1.055951020374643</t>
  </si>
  <si>
    <t>0.3359813907871571</t>
  </si>
  <si>
    <t>0.2917769174264458</t>
  </si>
  <si>
    <t>-1.6781486195691517</t>
  </si>
  <si>
    <t>-1.0475777760004368</t>
  </si>
  <si>
    <t>-0.12032320458762008</t>
  </si>
  <si>
    <t>-1.1637795866653449</t>
  </si>
  <si>
    <t>0.55992600912146</t>
  </si>
  <si>
    <t>-1.25877775901201</t>
  </si>
  <si>
    <t>0.4938926899077115</t>
  </si>
  <si>
    <t>0.09285296248650954</t>
  </si>
  <si>
    <t>0.6583372364906781</t>
  </si>
  <si>
    <t>-0.18148880499693465</t>
  </si>
  <si>
    <t>-0.4428117696882393</t>
  </si>
  <si>
    <t>-0.546891479582643</t>
  </si>
  <si>
    <t>0.5155440166390999</t>
  </si>
  <si>
    <t>-0.5915625044786369</t>
  </si>
  <si>
    <t>1.2356377938785648</t>
  </si>
  <si>
    <t>0.43414018815715427</t>
  </si>
  <si>
    <t>-0.5630370195551193</t>
  </si>
  <si>
    <t>0.7219604328298168</t>
  </si>
  <si>
    <t>-0.07924750184723786</t>
  </si>
  <si>
    <t>2.0612321335656194</t>
  </si>
  <si>
    <t>-0.5816837486135098</t>
  </si>
  <si>
    <t>0.7637912831779199</t>
  </si>
  <si>
    <t>-0.7066797449353128</t>
  </si>
  <si>
    <t>0.11000905311375542</t>
  </si>
  <si>
    <t>-0.2466581780667229</t>
  </si>
  <si>
    <t>-0.9885468329935959</t>
  </si>
  <si>
    <t>0.17589259954152436</t>
  </si>
  <si>
    <t>-0.8569502100794685</t>
  </si>
  <si>
    <t>0.46005185484890565</t>
  </si>
  <si>
    <t>0.9037937412394617</t>
  </si>
  <si>
    <t>0.6309946459910736</t>
  </si>
  <si>
    <t>1.5799928819228157</t>
  </si>
  <si>
    <t>-0.16630640050726866</t>
  </si>
  <si>
    <t>0.8425764856615179</t>
  </si>
  <si>
    <t>0.41580039214416925</t>
  </si>
  <si>
    <t>0.167557117422574</t>
  </si>
  <si>
    <t>0.9892216090454051</t>
  </si>
  <si>
    <t>-0.10996020451426917</t>
  </si>
  <si>
    <t>-1.141629373052585</t>
  </si>
  <si>
    <t>0.6193976564625087</t>
  </si>
  <si>
    <t>0.10559932753497901</t>
  </si>
  <si>
    <t>0.2473418156851163</t>
  </si>
  <si>
    <t>0.5986046699346267</t>
  </si>
  <si>
    <t>-0.07578180637036541</t>
  </si>
  <si>
    <t>-0.4147610128194417</t>
  </si>
  <si>
    <t>-1.1838021062626751</t>
  </si>
  <si>
    <t>-0.8702094228242981</t>
  </si>
  <si>
    <t>0.08857556663515971</t>
  </si>
  <si>
    <t>1.2758023178606475</t>
  </si>
  <si>
    <t>-0.8294865288142689</t>
  </si>
  <si>
    <t>-0.015171096825052577</t>
  </si>
  <si>
    <t>-0.7113156114461343</t>
  </si>
  <si>
    <t>0.14576956814450662</t>
  </si>
  <si>
    <t>-0.788654629554214</t>
  </si>
  <si>
    <t>0.719795582233016</t>
  </si>
  <si>
    <t>0.39894831424433436</t>
  </si>
  <si>
    <t>0.876972479773903</t>
  </si>
  <si>
    <t>-0.6116379070392931</t>
  </si>
  <si>
    <t>-0.047358872196156504</t>
  </si>
  <si>
    <t>0.8898173462296637</t>
  </si>
  <si>
    <t>-0.03720981687117476</t>
  </si>
  <si>
    <t>-0.5518781552631747</t>
  </si>
  <si>
    <t>-0.20682854926314748</t>
  </si>
  <si>
    <t>-0.3720542959422623</t>
  </si>
  <si>
    <t>-0.4099431296683809</t>
  </si>
  <si>
    <t>0.49561243021806023</t>
  </si>
  <si>
    <t>0.2404319827620058</t>
  </si>
  <si>
    <t>0.7509837659846458</t>
  </si>
  <si>
    <t>0.9012519786224671</t>
  </si>
  <si>
    <t>-0.20283981361734701</t>
  </si>
  <si>
    <t>0.9580784840385111</t>
  </si>
  <si>
    <t>-0.15185815318813134</t>
  </si>
  <si>
    <t>0.2398036708655773</t>
  </si>
  <si>
    <t>-1.5496350846609834</t>
  </si>
  <si>
    <t>-0.09350925480558625</t>
  </si>
  <si>
    <t>-0.026715771690538008</t>
  </si>
  <si>
    <t>0.8920058460331255</t>
  </si>
  <si>
    <t>0.2266859124887735</t>
  </si>
  <si>
    <t>0.2860060035982262</t>
  </si>
  <si>
    <t>-1.0735404580100159</t>
  </si>
  <si>
    <t>0.46804400833012083</t>
  </si>
  <si>
    <t>1.494176162247784</t>
  </si>
  <si>
    <t>-1.112895867952282</t>
  </si>
  <si>
    <t>1.063226228024364</t>
  </si>
  <si>
    <t>-1.4376554498151313</t>
  </si>
  <si>
    <t>-0.0882591125984821</t>
  </si>
  <si>
    <t>-0.14093453570248657</t>
  </si>
  <si>
    <t>-0.37222168597589783</t>
  </si>
  <si>
    <t>0.33066001997288114</t>
  </si>
  <si>
    <t>-0.7448849668377451</t>
  </si>
  <si>
    <t>-0.4166470955238232</t>
  </si>
  <si>
    <t>0.7826001436201366</t>
  </si>
  <si>
    <t>0.03485037825888238</t>
  </si>
  <si>
    <t>-0.6799832851809134</t>
  </si>
  <si>
    <t>1.2961990013994937</t>
  </si>
  <si>
    <t>0.7026932633919692</t>
  </si>
  <si>
    <t>-0.5899216218849591</t>
  </si>
  <si>
    <t>0.2054346661139803</t>
  </si>
  <si>
    <t>0.2699139326303426</t>
  </si>
  <si>
    <t>-1.5128823775972458</t>
  </si>
  <si>
    <t>-1.3893516793324325</t>
  </si>
  <si>
    <t>0.20512530782405977</t>
  </si>
  <si>
    <t>-0.22557317711754626</t>
  </si>
  <si>
    <t>0.6635275815500131</t>
  </si>
  <si>
    <t>0.4084542202404448</t>
  </si>
  <si>
    <t>-0.08800232663507063</t>
  </si>
  <si>
    <t>1.0907601831260878</t>
  </si>
  <si>
    <t>-0.8629567549674414</t>
  </si>
  <si>
    <t>-1.804242666942992</t>
  </si>
  <si>
    <t>-0.2384835609699002</t>
  </si>
  <si>
    <t>-0.09158750222911774</t>
  </si>
  <si>
    <t>1.2988162828478433</t>
  </si>
  <si>
    <t>0.2829257219554244</t>
  </si>
  <si>
    <t>-1.4170159164281917</t>
  </si>
  <si>
    <t>-0.07326459219960611</t>
  </si>
  <si>
    <t>0.41002220653168464</t>
  </si>
  <si>
    <t>-0.7850245235901959</t>
  </si>
  <si>
    <t>0.27184332189332694</t>
  </si>
  <si>
    <t>-0.3066135132281506</t>
  </si>
  <si>
    <t>-2.4612767553478507</t>
  </si>
  <si>
    <t>-1.0800288305401895</t>
  </si>
  <si>
    <t>0.9868516304597527</t>
  </si>
  <si>
    <t>-1.427144489365978</t>
  </si>
  <si>
    <t>-0.6061743449598644</t>
  </si>
  <si>
    <t>-0.6786882074257509</t>
  </si>
  <si>
    <t>-0.11247952609257557</t>
  </si>
  <si>
    <t>-0.6398635356289587</t>
  </si>
  <si>
    <t>1.2740021279161853</t>
  </si>
  <si>
    <t>-1.798635764972089</t>
  </si>
  <si>
    <t>-0.01080725633961123</t>
  </si>
  <si>
    <t>-0.732262391112061</t>
  </si>
  <si>
    <t>-0.04753100282221487</t>
  </si>
  <si>
    <t>0.5749765531992072</t>
  </si>
  <si>
    <t>0.3474931488416017</t>
  </si>
  <si>
    <t>1.176323546707612</t>
  </si>
  <si>
    <t>0.1578883870138345</t>
  </si>
  <si>
    <t>3.0998417478058493</t>
  </si>
  <si>
    <t>0.027607441185305028</t>
  </si>
  <si>
    <t>-0.10614740062161956</t>
  </si>
  <si>
    <t>-0.3467078028848383</t>
  </si>
  <si>
    <t>-0.01459725516567371</t>
  </si>
  <si>
    <t>2.1310729342110024</t>
  </si>
  <si>
    <t>-0.8256798718793397</t>
  </si>
  <si>
    <t>-0.012732009772977459</t>
  </si>
  <si>
    <t>-0.40154350233443814</t>
  </si>
  <si>
    <t>-0.7269693008181363</t>
  </si>
  <si>
    <t>1.0353554330680266</t>
  </si>
  <si>
    <t>-0.37865363657902057</t>
  </si>
  <si>
    <t>-0.11018640785789625</t>
  </si>
  <si>
    <t>0.383448641146287</t>
  </si>
  <si>
    <t>-0.390675381663794</t>
  </si>
  <si>
    <t>2.120126267969836</t>
  </si>
  <si>
    <t>1.1661579260091162</t>
  </si>
  <si>
    <t>1.0988425162094033</t>
  </si>
  <si>
    <t>-0.7844108250663524</t>
  </si>
  <si>
    <t>-0.7596660490605889</t>
  </si>
  <si>
    <t>0.7331001459481185</t>
  </si>
  <si>
    <t>-0.8449261983064021</t>
  </si>
  <si>
    <t>0.3520187378249017</t>
  </si>
  <si>
    <t>-0.41093612680492153</t>
  </si>
  <si>
    <t>-0.9377847936787294</t>
  </si>
  <si>
    <t>-0.7263739607176659</t>
  </si>
  <si>
    <t>-0.8870938441577105</t>
  </si>
  <si>
    <t>1.0441354442339679</t>
  </si>
  <si>
    <t>0.29671538795288804</t>
  </si>
  <si>
    <t>0.6639049144739656</t>
  </si>
  <si>
    <t>-1.1844688214927428</t>
  </si>
  <si>
    <t>-0.06453026173633937</t>
  </si>
  <si>
    <t>0.9468372728468428</t>
  </si>
  <si>
    <t>-1.0460374408969264</t>
  </si>
  <si>
    <t>-0.26329143193646387</t>
  </si>
  <si>
    <t>-1.1791263167592443</t>
  </si>
  <si>
    <t>-0.23514117038182025</t>
  </si>
  <si>
    <t>-2.5821964961212465</t>
  </si>
  <si>
    <t>-0.4491702515101122</t>
  </si>
  <si>
    <t>2.208434997140132</t>
  </si>
  <si>
    <t>-0.25670056652745776</t>
  </si>
  <si>
    <t>1.2300013219585149</t>
  </si>
  <si>
    <t>-0.030065178324426605</t>
  </si>
  <si>
    <t>1.1343020343436454</t>
  </si>
  <si>
    <t>0.545744962749956</t>
  </si>
  <si>
    <t>-0.9147140499058983</t>
  </si>
  <si>
    <t>-0.2040531072132465</t>
  </si>
  <si>
    <t>-0.34172176975742624</t>
  </si>
  <si>
    <t>0.016681616598748967</t>
  </si>
  <si>
    <t>-0.016648310825778636</t>
  </si>
  <si>
    <t>0.5643874072376053</t>
  </si>
  <si>
    <t>0.27061179330397306</t>
  </si>
  <si>
    <t>0.018077601387822443</t>
  </si>
  <si>
    <t>-1.3244785294332022</t>
  </si>
  <si>
    <t>-1.963317168269942</t>
  </si>
  <si>
    <t>0.020168873835245286</t>
  </si>
  <si>
    <t>-0.0008956754299193447</t>
  </si>
  <si>
    <t>-0.030172387811583663</t>
  </si>
  <si>
    <t>-0.9018749689074834</t>
  </si>
  <si>
    <t>-1.2883460330161123</t>
  </si>
  <si>
    <t>0.1108604570278721</t>
  </si>
  <si>
    <t>-1.322892026562664</t>
  </si>
  <si>
    <t>-1.4879471753304414</t>
  </si>
  <si>
    <t>0.3962136379137274</t>
  </si>
  <si>
    <t>2.5071610198842293</t>
  </si>
  <si>
    <t>-0.21388148094961526</t>
  </si>
  <si>
    <t>-2.7141331962433393</t>
  </si>
  <si>
    <t>2.7755391407126337</t>
  </si>
  <si>
    <t>2.0487552017068675</t>
  </si>
  <si>
    <t>0.8941836370401872</t>
  </si>
  <si>
    <t>-1.3606846513817108</t>
  </si>
  <si>
    <t>-0.8345870375993729</t>
  </si>
  <si>
    <t>2.4799044365021783</t>
  </si>
  <si>
    <t>-0.10461336230304849</t>
  </si>
  <si>
    <t>1.1717540949791634</t>
  </si>
  <si>
    <t>-1.5097530045226477</t>
  </si>
  <si>
    <t>-1.6636700621238056</t>
  </si>
  <si>
    <t>-0.5976247310551541</t>
  </si>
  <si>
    <t>-0.05744382831719705</t>
  </si>
  <si>
    <t>2.034842895640258</t>
  </si>
  <si>
    <t>1.1811432609502293</t>
  </si>
  <si>
    <t>0.5811518234833242</t>
  </si>
  <si>
    <t>-0.5527755448910925</t>
  </si>
  <si>
    <t>0.37325875230276906</t>
  </si>
  <si>
    <t>-0.08406738938256099</t>
  </si>
  <si>
    <t>-1.8062641524057017</t>
  </si>
  <si>
    <t>-1.0347276025425856</t>
  </si>
  <si>
    <t>-0.5859810245571078</t>
  </si>
  <si>
    <t>-1.6855469712813334</t>
  </si>
  <si>
    <t>1.5783569952419156</t>
  </si>
  <si>
    <t>-1.2538427212478005</t>
  </si>
  <si>
    <t>-1.2043508053943335</t>
  </si>
  <si>
    <t>1.3940860122062164</t>
  </si>
  <si>
    <t>-1.7882630032822189</t>
  </si>
  <si>
    <t>0.2719448793545889</t>
  </si>
  <si>
    <t>-2.210299532534578</t>
  </si>
  <si>
    <t>-0.5316111000855144</t>
  </si>
  <si>
    <t>-2.3152636536330355</t>
  </si>
  <si>
    <t>-1.1134462191379049</t>
  </si>
  <si>
    <t>-1.4349212987187234</t>
  </si>
  <si>
    <t>0.4251491181660604</t>
  </si>
  <si>
    <t>-1.5825132389177647</t>
  </si>
  <si>
    <t>-2.357357369234378</t>
  </si>
  <si>
    <t>-0.3811081775519137</t>
  </si>
  <si>
    <t>-1.8598418431650254</t>
  </si>
  <si>
    <t>2.6107547943493445</t>
  </si>
  <si>
    <t>-1.6376609573277923</t>
  </si>
  <si>
    <t>2.3728303435280282</t>
  </si>
  <si>
    <t>2.176530147544855</t>
  </si>
  <si>
    <t>1.5338550312444883</t>
  </si>
  <si>
    <t>1.2634858371249547</t>
  </si>
  <si>
    <t>-1.751800653359255</t>
  </si>
  <si>
    <t>-0.30179251825240816</t>
  </si>
  <si>
    <t>-1.744926636169945</t>
  </si>
  <si>
    <t>-0.7584054390261311</t>
  </si>
  <si>
    <t>-0.8488156449414137</t>
  </si>
  <si>
    <t>-0.6498292312315784</t>
  </si>
  <si>
    <t>-1.8581471322977228</t>
  </si>
  <si>
    <t>2.8970331507661027</t>
  </si>
  <si>
    <t>-1.825973784665371</t>
  </si>
  <si>
    <t>0.06347664181608724</t>
  </si>
  <si>
    <t>1.189727368536771</t>
  </si>
  <si>
    <t>-0.9150960780523293</t>
  </si>
  <si>
    <t>-1.3220302286332404</t>
  </si>
  <si>
    <t>1.3320306442327787</t>
  </si>
  <si>
    <t>0.8247486110411023</t>
  </si>
  <si>
    <t>0.7501049186312874</t>
  </si>
  <si>
    <t>-0.7363857525209062</t>
  </si>
  <si>
    <t>0.03147024429422713</t>
  </si>
  <si>
    <t>0.5409490452882079</t>
  </si>
  <si>
    <t>-3.1395416568567405</t>
  </si>
  <si>
    <t>-0.2318204662913372</t>
  </si>
  <si>
    <t>0.6900738732845472</t>
  </si>
  <si>
    <t>0.6039790026866391</t>
  </si>
  <si>
    <t>-1.8566942523103573</t>
  </si>
  <si>
    <t>-0.13575797102594322</t>
  </si>
  <si>
    <t>0.598452401642591</t>
  </si>
  <si>
    <t>-2.15013691481756</t>
  </si>
  <si>
    <t>-0.7266393179013624</t>
  </si>
  <si>
    <t>-0.9243079343836683</t>
  </si>
  <si>
    <t>1.3469829593554057</t>
  </si>
  <si>
    <t>-1.587657912090513</t>
  </si>
  <si>
    <t>-0.8779489045368598</t>
  </si>
  <si>
    <t>1.0775236336035026</t>
  </si>
  <si>
    <t>-1.395882761650671</t>
  </si>
  <si>
    <t>0.49883701257229573</t>
  </si>
  <si>
    <t>-0.08449403952289103</t>
  </si>
  <si>
    <t>-2.042822817872024</t>
  </si>
  <si>
    <t>-1.3726350404969876</t>
  </si>
  <si>
    <t>-1.1783999738724893</t>
  </si>
  <si>
    <t>0.39819775943217567</t>
  </si>
  <si>
    <t>0.722009449129299</t>
  </si>
  <si>
    <t>-0.3944078119438751</t>
  </si>
  <si>
    <t>-1.3683276853936686</t>
  </si>
  <si>
    <t>-1.3301049372742122</t>
  </si>
  <si>
    <t>-1.8053222278714114</t>
  </si>
  <si>
    <t>-2.1412682086079013</t>
  </si>
  <si>
    <t>-0.3163338602462809</t>
  </si>
  <si>
    <t>-0.5808545735166397</t>
  </si>
  <si>
    <t>-0.547341707118902</t>
  </si>
  <si>
    <t>-1.0109695769592442</t>
  </si>
  <si>
    <t>-0.25793452852417176</t>
  </si>
  <si>
    <t>2.3287944943149483</t>
  </si>
  <si>
    <t>-1.45050135431944</t>
  </si>
  <si>
    <t>-1.0857434906687435</t>
  </si>
  <si>
    <t>-1.9218930847607378</t>
  </si>
  <si>
    <t>-1.330462736013286</t>
  </si>
  <si>
    <t>-2.7060543165394852</t>
  </si>
  <si>
    <t>-1.0242433411578111</t>
  </si>
  <si>
    <t>0.18801396366795273</t>
  </si>
  <si>
    <t>0.8843698250022243</t>
  </si>
  <si>
    <t>-1.7174905232490343</t>
  </si>
  <si>
    <t>-2.231550816282739</t>
  </si>
  <si>
    <t>3.2658808862579347</t>
  </si>
  <si>
    <t>0.16630727353173283</t>
  </si>
  <si>
    <t>-0.6423098710360275</t>
  </si>
  <si>
    <t>-1.0113906217114357</t>
  </si>
  <si>
    <t>-2.81728788089712</t>
  </si>
  <si>
    <t>0.8284787267047659</t>
  </si>
  <si>
    <t>0.11342106155724292</t>
  </si>
  <si>
    <t>-1.6825390634220252</t>
  </si>
  <si>
    <t>0.23508919793940605</t>
  </si>
  <si>
    <t>3.6557299017510063</t>
  </si>
  <si>
    <t>2.161460805066725</t>
  </si>
  <si>
    <t>-0.3617297496773684</t>
  </si>
  <si>
    <t>0.6401251691025002</t>
  </si>
  <si>
    <t>1.582780915081534</t>
  </si>
  <si>
    <t>-3.4928414262245253</t>
  </si>
  <si>
    <t>-1.3367248672912564</t>
  </si>
  <si>
    <t>-1.6692796948436963</t>
  </si>
  <si>
    <t>-1.1084763383508172</t>
  </si>
  <si>
    <t>-1.5663308966728047</t>
  </si>
  <si>
    <t>1.005383003581092</t>
  </si>
  <si>
    <t>2.8915577680575604</t>
  </si>
  <si>
    <t>-1.402658587335856</t>
  </si>
  <si>
    <t>3.008650507774515</t>
  </si>
  <si>
    <t>2.7177449562730267</t>
  </si>
  <si>
    <t>1.1489737309947015</t>
  </si>
  <si>
    <t>0.22256251282542666</t>
  </si>
  <si>
    <t>2.8326711086938388</t>
  </si>
  <si>
    <t>0.292217116945526</t>
  </si>
  <si>
    <t>-0.8711249385995767</t>
  </si>
  <si>
    <t>0.5484573696557246</t>
  </si>
  <si>
    <t>1.6139593650938648</t>
  </si>
  <si>
    <t>-2.2811269948976416</t>
  </si>
  <si>
    <t>-1.9466223339103175</t>
  </si>
  <si>
    <t>-0.5799645988544015</t>
  </si>
  <si>
    <t>0.9056608067105149</t>
  </si>
  <si>
    <t>-1.7922003563025624</t>
  </si>
  <si>
    <t>1.2764775998687052</t>
  </si>
  <si>
    <t>-1.4545002787328138</t>
  </si>
  <si>
    <t>-2.1784648302181737</t>
  </si>
  <si>
    <t>-1.3084408358262662</t>
  </si>
  <si>
    <t>-0.5154028810763781</t>
  </si>
  <si>
    <t>-1.545342610038741</t>
  </si>
  <si>
    <t>-0.013138307763169535</t>
  </si>
  <si>
    <t>0.42849333641932175</t>
  </si>
  <si>
    <t>2.3805432558508035</t>
  </si>
  <si>
    <t>-0.9405659920253177</t>
  </si>
  <si>
    <t>0.5726986727420187</t>
  </si>
  <si>
    <t>1.8719707457620933</t>
  </si>
  <si>
    <t>-1.0930770421047766</t>
  </si>
  <si>
    <t>-0.2763695609436042</t>
  </si>
  <si>
    <t>-1.0881573447065092</t>
  </si>
  <si>
    <t>1.6637355344281224</t>
  </si>
  <si>
    <t>-1.4866033625208972</t>
  </si>
  <si>
    <t>-0.49939074338111217</t>
  </si>
  <si>
    <t>-0.1590049922330455</t>
  </si>
  <si>
    <t>-2.560441516899533</t>
  </si>
  <si>
    <t>-4.4286103077674195</t>
  </si>
  <si>
    <t>-0.2396712551317426</t>
  </si>
  <si>
    <t>-0.052056096996224974</t>
  </si>
  <si>
    <t>-2.1604874418726654</t>
  </si>
  <si>
    <t>-1.295331872309328</t>
  </si>
  <si>
    <t>-1.8750275054483412</t>
  </si>
  <si>
    <t>-2.4315548966635614</t>
  </si>
  <si>
    <t>-2.9103277280575384</t>
  </si>
  <si>
    <t>3.5179508076538513</t>
  </si>
  <si>
    <t>-2.3254248246139317</t>
  </si>
  <si>
    <t>3.086505972839435</t>
  </si>
  <si>
    <t>-1.9962535678628728</t>
  </si>
  <si>
    <t>-0.08530213902699454</t>
  </si>
  <si>
    <t>0.029616756232670505</t>
  </si>
  <si>
    <t>0.9430760158250499</t>
  </si>
  <si>
    <t>-2.070715370770826</t>
  </si>
  <si>
    <t>1.7145215010445773</t>
  </si>
  <si>
    <t>2.4943276093334426</t>
  </si>
  <si>
    <t>2.6411931616228137</t>
  </si>
  <si>
    <t>-1.0915912457938852</t>
  </si>
  <si>
    <t>1.2635791673986034</t>
  </si>
  <si>
    <t>0.5971791889267892</t>
  </si>
  <si>
    <t>0.019595772457217546</t>
  </si>
  <si>
    <t>-1.2005783097827727</t>
  </si>
  <si>
    <t>-1.362536535351763</t>
  </si>
  <si>
    <t>-1.9280131611181877</t>
  </si>
  <si>
    <t>-2.012271592760675</t>
  </si>
  <si>
    <t>2.880687461885886</t>
  </si>
  <si>
    <t>-0.13180961822302073</t>
  </si>
  <si>
    <t>-0.5630997493681223</t>
  </si>
  <si>
    <t>0.7819943354227076</t>
  </si>
  <si>
    <t>4.006744458349329</t>
  </si>
  <si>
    <t>-1.7198914109139098</t>
  </si>
  <si>
    <t>1.5057247461172951</t>
  </si>
  <si>
    <t>0.17655586031169776</t>
  </si>
  <si>
    <t>-0.6030618607731775</t>
  </si>
  <si>
    <t>-2.4589575903249417</t>
  </si>
  <si>
    <t>0.252713357490817</t>
  </si>
  <si>
    <t>-1.250396604839539</t>
  </si>
  <si>
    <t>0.8064141007634364</t>
  </si>
  <si>
    <t>1.6799388944999187</t>
  </si>
  <si>
    <t>-2.1249903084611925</t>
  </si>
  <si>
    <t>-0.4207030729387137</t>
  </si>
  <si>
    <t>-1.2817268010623946</t>
  </si>
  <si>
    <t>-2.933511445921174</t>
  </si>
  <si>
    <t>-2.7346066735189347</t>
  </si>
  <si>
    <t>-1.4980805127397874</t>
  </si>
  <si>
    <t>-0.3211115777704429</t>
  </si>
  <si>
    <t>2.3595337680498836</t>
  </si>
  <si>
    <t>4.245751858703943</t>
  </si>
  <si>
    <t>-0.7215626531651634</t>
  </si>
  <si>
    <t>-0.31646298313376714</t>
  </si>
  <si>
    <t>-1.171553967470311</t>
  </si>
  <si>
    <t>2.6177192182347193</t>
  </si>
  <si>
    <t>0.23821538297438172</t>
  </si>
  <si>
    <t>0.8210037578260851</t>
  </si>
  <si>
    <t>0.291216957842602</t>
  </si>
  <si>
    <t>0.07010856292618876</t>
  </si>
  <si>
    <t>-1.5101769785696242</t>
  </si>
  <si>
    <t>-0.30365058811852375</t>
  </si>
  <si>
    <t>-4.049967221059783</t>
  </si>
  <si>
    <t>0.5587957712805075</t>
  </si>
  <si>
    <t>-0.5834639707551706</t>
  </si>
  <si>
    <t>-1.3216994905154429</t>
  </si>
  <si>
    <t>1.678967433259185</t>
  </si>
  <si>
    <t>2.329114589634192</t>
  </si>
  <si>
    <t>-1.6280527439378554</t>
  </si>
  <si>
    <t>0.22002369819096348</t>
  </si>
  <si>
    <t>-1.1975743489715618</t>
  </si>
  <si>
    <t>2.512433884594335</t>
  </si>
  <si>
    <t>0.9094816254475458</t>
  </si>
  <si>
    <t>-0.2326120474769321</t>
  </si>
  <si>
    <t>-0.43399219398452404</t>
  </si>
  <si>
    <t>1.2156325856115633</t>
  </si>
  <si>
    <t>2.737925458192092</t>
  </si>
  <si>
    <t>-1.3374831946430237</t>
  </si>
  <si>
    <t>2.6377948328645937</t>
  </si>
  <si>
    <t>0.5669843034312786</t>
  </si>
  <si>
    <t>-1.014228965667172</t>
  </si>
  <si>
    <t>-0.9037967782701646</t>
  </si>
  <si>
    <t>-0.11366767404639073</t>
  </si>
  <si>
    <t>-0.4389897889177716</t>
  </si>
  <si>
    <t>1.9077245612970246</t>
  </si>
  <si>
    <t>-0.3558849074814253</t>
  </si>
  <si>
    <t>-0.3480437362062533</t>
  </si>
  <si>
    <t>0.6697969907035703</t>
  </si>
  <si>
    <t>2.5497076634462776</t>
  </si>
  <si>
    <t>-0.3150328628616974</t>
  </si>
  <si>
    <t>-2.0992703970985245</t>
  </si>
  <si>
    <t>-1.2441067794670668</t>
  </si>
  <si>
    <t>1.8652487402645588</t>
  </si>
  <si>
    <t>2.0186103743944144</t>
  </si>
  <si>
    <t>-1.6275811034818986</t>
  </si>
  <si>
    <t>1.439238635049971</t>
  </si>
  <si>
    <t>0.8814721032810758</t>
  </si>
  <si>
    <t>1.6843534411882888</t>
  </si>
  <si>
    <t>-0.5418665833554657</t>
  </si>
  <si>
    <t>-0.17317356038654994</t>
  </si>
  <si>
    <t>-0.15551230198336144</t>
  </si>
  <si>
    <t>-0.5329785624985865</t>
  </si>
  <si>
    <t>-0.6269408535527922</t>
  </si>
  <si>
    <t>-3.0261892927024046</t>
  </si>
  <si>
    <t>-0.3209394975129788</t>
  </si>
  <si>
    <t>-0.9305166429957479</t>
  </si>
  <si>
    <t>-0.5785373633166963</t>
  </si>
  <si>
    <t>-1.9979026306994876</t>
  </si>
  <si>
    <t>1.0212104132726982</t>
  </si>
  <si>
    <t>-0.5707393981980934</t>
  </si>
  <si>
    <t>-2.6982391166241992</t>
  </si>
  <si>
    <t>0.5201228957325695</t>
  </si>
  <si>
    <t>0.6394204820347041</t>
  </si>
  <si>
    <t>-1.6350000487260592</t>
  </si>
  <si>
    <t>2.1030369565521667</t>
  </si>
  <si>
    <t>-1.7835728039309842</t>
  </si>
  <si>
    <t>-0.7906628558528175</t>
  </si>
  <si>
    <t>-1.403612151340237</t>
  </si>
  <si>
    <t>1.2253850869649705</t>
  </si>
  <si>
    <t>-1.884734548323139</t>
  </si>
  <si>
    <t>-2.189840034462515</t>
  </si>
  <si>
    <t>0.36229052696034614</t>
  </si>
  <si>
    <t>2.9519726553264243</t>
  </si>
  <si>
    <t>1.349346411620647</t>
  </si>
  <si>
    <t>-0.5509976937882015</t>
  </si>
  <si>
    <t>1.0182031323161589</t>
  </si>
  <si>
    <t>-1.0753014176005449</t>
  </si>
  <si>
    <t>3.162363772535401</t>
  </si>
  <si>
    <t>0.23647443237306692</t>
  </si>
  <si>
    <t>-0.8269472611319736</t>
  </si>
  <si>
    <t>-2.8535784165016658</t>
  </si>
  <si>
    <t>-2.4115098821370684</t>
  </si>
  <si>
    <t>-1.4190972216351767</t>
  </si>
  <si>
    <t>1.0780173228086625</t>
  </si>
  <si>
    <t>0.8069186782884505</t>
  </si>
  <si>
    <t>0.7428358301508561</t>
  </si>
  <si>
    <t>3.00121534335525</t>
  </si>
  <si>
    <t>0.8246673493987797</t>
  </si>
  <si>
    <t>-1.103452718995966</t>
  </si>
  <si>
    <t>-2.7428044465474435</t>
  </si>
  <si>
    <t>0.4096970187708509</t>
  </si>
  <si>
    <t>0.3568982112400795</t>
  </si>
  <si>
    <t>0.8812236431479353</t>
  </si>
  <si>
    <t>-1.044852516180246</t>
  </si>
  <si>
    <t>-0.6580295723623868</t>
  </si>
  <si>
    <t>2.133715329730499</t>
  </si>
  <si>
    <t>-3.1470075304975476</t>
  </si>
  <si>
    <t>-0.4075944870440257</t>
  </si>
  <si>
    <t>-1.9398917970743237</t>
  </si>
  <si>
    <t>-0.6553642714728835</t>
  </si>
  <si>
    <t>-0.4717543430562509</t>
  </si>
  <si>
    <t>-1.4892321593187678</t>
  </si>
  <si>
    <t>1.2834261284126314</t>
  </si>
  <si>
    <t>-2.905888996379559</t>
  </si>
  <si>
    <t>2.241475068296171</t>
  </si>
  <si>
    <t>1.4524172763823342</t>
  </si>
  <si>
    <t>-3.869634600643433</t>
  </si>
  <si>
    <t>3.130400795335453</t>
  </si>
  <si>
    <t>1.6860731709483414</t>
  </si>
  <si>
    <t>-1.0095926591659545</t>
  </si>
  <si>
    <t>-1.4674401135436002</t>
  </si>
  <si>
    <t>1.0013661781567458</t>
  </si>
  <si>
    <t>0.342916824620836</t>
  </si>
  <si>
    <t>-1.7365347887827318</t>
  </si>
  <si>
    <t>1.4490938877576984</t>
  </si>
  <si>
    <t>0.44757488463206796</t>
  </si>
  <si>
    <t>-1.3449799521926689</t>
  </si>
  <si>
    <t>2.6710882852329405</t>
  </si>
  <si>
    <t>-0.12775797732983055</t>
  </si>
  <si>
    <t>0.482776347907128</t>
  </si>
  <si>
    <t>-0.6810075438665888</t>
  </si>
  <si>
    <t>-1.4803990310425192</t>
  </si>
  <si>
    <t>-0.7453004154586206</t>
  </si>
  <si>
    <t>-0.6355175061807027</t>
  </si>
  <si>
    <t>1.4267630090727266</t>
  </si>
  <si>
    <t>0.6001009089454684</t>
  </si>
  <si>
    <t>0.6311200465416559</t>
  </si>
  <si>
    <t>-0.25985470231945107</t>
  </si>
  <si>
    <t>0.4635777412063098</t>
  </si>
  <si>
    <t>-0.361493696065411</t>
  </si>
  <si>
    <t>-1.0488676604581433</t>
  </si>
  <si>
    <t>0.06482425926750118</t>
  </si>
  <si>
    <t>-1.6115033273769326</t>
  </si>
  <si>
    <t>-0.03716234950323477</t>
  </si>
  <si>
    <t>0.5266084009395378</t>
  </si>
  <si>
    <t>-1.2402943664728778</t>
  </si>
  <si>
    <t>1.956915399505465</t>
  </si>
  <si>
    <t>-0.3031914766972592</t>
  </si>
  <si>
    <t>-0.4027364005189852</t>
  </si>
  <si>
    <t>0.22510964500240963</t>
  </si>
  <si>
    <t>-1.2827285738967484</t>
  </si>
  <si>
    <t>0.7301484741876906</t>
  </si>
  <si>
    <t>-0.3321396502306774</t>
  </si>
  <si>
    <t>0.08696006419441966</t>
  </si>
  <si>
    <t>-1.0625997320081775</t>
  </si>
  <si>
    <t>0.17797805310221781</t>
  </si>
  <si>
    <t>1.4006494284637703</t>
  </si>
  <si>
    <t>0.43764734249764214</t>
  </si>
  <si>
    <t>-0.3884063624217147</t>
  </si>
  <si>
    <t>1.1231143416461853</t>
  </si>
  <si>
    <t>0.5381335251314313</t>
  </si>
  <si>
    <t>1.0429591129030409</t>
  </si>
  <si>
    <t>-0.7252600743312042</t>
  </si>
  <si>
    <t>-1.5145813083081676</t>
  </si>
  <si>
    <t>1.1512453538968086</t>
  </si>
  <si>
    <t>1.2138983077553875</t>
  </si>
  <si>
    <t>0.6727149227355029</t>
  </si>
  <si>
    <t>-1.893395687302272</t>
  </si>
  <si>
    <t>0.1578944428454352</t>
  </si>
  <si>
    <t>1.434172601243813</t>
  </si>
  <si>
    <t>0.163170918814862</t>
  </si>
  <si>
    <t>0.5088597110955985</t>
  </si>
  <si>
    <t>0.5170030330843464</t>
  </si>
  <si>
    <t>-0.24889284078951462</t>
  </si>
  <si>
    <t>0.36028736201912026</t>
  </si>
  <si>
    <t>2.1200031550109295</t>
  </si>
  <si>
    <t>1.3006723502463133</t>
  </si>
  <si>
    <t>1.2788021164673953</t>
  </si>
  <si>
    <t>-1.3529469776554761</t>
  </si>
  <si>
    <t>-0.5325388840534364</t>
  </si>
  <si>
    <t>0.4284622779745578</t>
  </si>
  <si>
    <t>1.4975838457552046</t>
  </si>
  <si>
    <t>-0.535590310751432</t>
  </si>
  <si>
    <t>2.079532727530114</t>
  </si>
  <si>
    <t>2.7138125133186315</t>
  </si>
  <si>
    <t>1.3347179502359279</t>
  </si>
  <si>
    <t>0.40598669602586407</t>
  </si>
  <si>
    <t>0.11832191534265787</t>
  </si>
  <si>
    <t>-1.8431494711188632</t>
  </si>
  <si>
    <t>-0.9104347017728205</t>
  </si>
  <si>
    <t>1.4724539518653355</t>
  </si>
  <si>
    <t>0.9761783448500009</t>
  </si>
  <si>
    <t>-0.5266759791839968</t>
  </si>
  <si>
    <t>0.8586682965496931</t>
  </si>
  <si>
    <t>1.149015528300123</t>
  </si>
  <si>
    <t>-0.8814982459534418</t>
  </si>
  <si>
    <t>-0.5281493571822039</t>
  </si>
  <si>
    <t>0.6337181554704516</t>
  </si>
  <si>
    <t>1.356233472524595</t>
  </si>
  <si>
    <t>-1.6228686128844387</t>
  </si>
  <si>
    <t>-1.0670809689522456</t>
  </si>
  <si>
    <t>-1.1159996771810228</t>
  </si>
  <si>
    <t>-0.22632551025810607</t>
  </si>
  <si>
    <t>-0.38810691538473946</t>
  </si>
  <si>
    <t>-2.3626797299769504</t>
  </si>
  <si>
    <t>0.25551055751437673</t>
  </si>
  <si>
    <t>0.5159024502491959</t>
  </si>
  <si>
    <t>1.0377423444461584</t>
  </si>
  <si>
    <t>2.7624857818778374</t>
  </si>
  <si>
    <t>2.2026475181563696</t>
  </si>
  <si>
    <t>1.952286743984384</t>
  </si>
  <si>
    <t>0.137674093443291</t>
  </si>
  <si>
    <t>1.7442653502360823</t>
  </si>
  <si>
    <t>-0.5609687426582378</t>
  </si>
  <si>
    <t>0.44013483161709077</t>
  </si>
  <si>
    <t>1.7555432264969855</t>
  </si>
  <si>
    <t>0.22610577068227056</t>
  </si>
  <si>
    <t>1.584722263706564</t>
  </si>
  <si>
    <t>1.5634623653493702</t>
  </si>
  <si>
    <t>1.5738765007226518</t>
  </si>
  <si>
    <t>1.2454289243558263</t>
  </si>
  <si>
    <t>-0.11887731160081116</t>
  </si>
  <si>
    <t>-1.4263472983499415</t>
  </si>
  <si>
    <t>-1.864932058636208</t>
  </si>
  <si>
    <t>0.8990529721259373</t>
  </si>
  <si>
    <t>-0.6345722691551456</t>
  </si>
  <si>
    <t>0.7172836888738148</t>
  </si>
  <si>
    <t>-0.6629794865420349</t>
  </si>
  <si>
    <t>1.1089733532261534</t>
  </si>
  <si>
    <t>1.438885382106377</t>
  </si>
  <si>
    <t>-0.3586006222512031</t>
  </si>
  <si>
    <t>-2.5645669307958188</t>
  </si>
  <si>
    <t>1.0419529985092209</t>
  </si>
  <si>
    <t>-0.5996087139021758</t>
  </si>
  <si>
    <t>-0.3988957150855489</t>
  </si>
  <si>
    <t>0.2744046534852117</t>
  </si>
  <si>
    <t>0.2863269790563349</t>
  </si>
  <si>
    <t>0.10572991520019878</t>
  </si>
  <si>
    <t>2.8723033527977124</t>
  </si>
  <si>
    <t>2.723625241772605</t>
  </si>
  <si>
    <t>-2.24862449681004</t>
  </si>
  <si>
    <t>-1.00218392886398</t>
  </si>
  <si>
    <t>0.14720546810074658</t>
  </si>
  <si>
    <t>1.5029610348963</t>
  </si>
  <si>
    <t>-0.5285097181595187</t>
  </si>
  <si>
    <t>0.05586243227029106</t>
  </si>
  <si>
    <t>2.3894754297183423</t>
  </si>
  <si>
    <t>-1.3759220414927305</t>
  </si>
  <si>
    <t>2.4403591949434813</t>
  </si>
  <si>
    <t>-0.5955646019589687</t>
  </si>
  <si>
    <t>0.7092807902750957</t>
  </si>
  <si>
    <t>2.0654891191157185</t>
  </si>
  <si>
    <t>0.3466910283949259</t>
  </si>
  <si>
    <t>-0.2988460883086942</t>
  </si>
  <si>
    <t>1.055901883886741</t>
  </si>
  <si>
    <t>2.870786413405364</t>
  </si>
  <si>
    <t>-1.8288530198654365</t>
  </si>
  <si>
    <t>0.9213211140808361</t>
  </si>
  <si>
    <t>1.368707371043056</t>
  </si>
  <si>
    <t>-1.3962475248042623</t>
  </si>
  <si>
    <t>-1.3445158853148156</t>
  </si>
  <si>
    <t>-1.4159319391776473</t>
  </si>
  <si>
    <t>2.0905775185361097</t>
  </si>
  <si>
    <t>0.6921630204216664</t>
  </si>
  <si>
    <t>1.7926584643191685</t>
  </si>
  <si>
    <t>-0.006875622144628386</t>
  </si>
  <si>
    <t>0.9641283941628929</t>
  </si>
  <si>
    <t>0.02007978251715395</t>
  </si>
  <si>
    <t>1.7130993889799018</t>
  </si>
  <si>
    <t>-0.5256075249830733</t>
  </si>
  <si>
    <t>-0.6146651401916854</t>
  </si>
  <si>
    <t>-1.93822413410675</t>
  </si>
  <si>
    <t>-0.12789575203519796</t>
  </si>
  <si>
    <t>0.7592837870536397</t>
  </si>
  <si>
    <t>-0.7111031778084377</t>
  </si>
  <si>
    <t>0.0625117007583162</t>
  </si>
  <si>
    <t>-1.3184280556681192</t>
  </si>
  <si>
    <t>0.47136600060735473</t>
  </si>
  <si>
    <t>-0.8689086837178244</t>
  </si>
  <si>
    <t>0.8602440438846334</t>
  </si>
  <si>
    <t>-0.32734898261477513</t>
  </si>
  <si>
    <t>-1.7250003227989452</t>
  </si>
  <si>
    <t>0.11416376039053341</t>
  </si>
  <si>
    <t>1.3783312017449492</t>
  </si>
  <si>
    <t>-1.9183611068656106</t>
  </si>
  <si>
    <t>-1.5234171744263094</t>
  </si>
  <si>
    <t>-1.6762338714935041</t>
  </si>
  <si>
    <t>0.5692672864316097</t>
  </si>
  <si>
    <t>-1.0634083754750503</t>
  </si>
  <si>
    <t>0.709416389657819</t>
  </si>
  <si>
    <t>0.2853612910451349</t>
  </si>
  <si>
    <t>0.25861323702026223</t>
  </si>
  <si>
    <t>0.10179529132517762</t>
  </si>
  <si>
    <t>-0.3290900826802113</t>
  </si>
  <si>
    <t>-0.45821443092602465</t>
  </si>
  <si>
    <t>1.3946186495815267</t>
  </si>
  <si>
    <t>-2.0162347898348743</t>
  </si>
  <si>
    <t>0.3962713808588821</t>
  </si>
  <si>
    <t>-2.197555215684252</t>
  </si>
  <si>
    <t>-0.1321262106063363</t>
  </si>
  <si>
    <t>-0.08585215203468657</t>
  </si>
  <si>
    <t>1.9015207084472776</t>
  </si>
  <si>
    <t>-0.46253131391196506</t>
  </si>
  <si>
    <t>-1.9243710858542304</t>
  </si>
  <si>
    <t>2.8170680919202304</t>
  </si>
  <si>
    <t>-1.3634106979327605</t>
  </si>
  <si>
    <t>-1.0886923850020387</t>
  </si>
  <si>
    <t>-1.0227411843453107</t>
  </si>
  <si>
    <t>-0.9573575058963754</t>
  </si>
  <si>
    <t>1.3022243421960433</t>
  </si>
  <si>
    <t>0.5865485782155204</t>
  </si>
  <si>
    <t>1.5610126092269476</t>
  </si>
  <si>
    <t>-1.9773275219352278</t>
  </si>
  <si>
    <t>-2.3176738094324887</t>
  </si>
  <si>
    <t>-1.045259562553249</t>
  </si>
  <si>
    <t>-1.2213127686307959</t>
  </si>
  <si>
    <t>-1.1295294228075794</t>
  </si>
  <si>
    <t>0.682186170154467</t>
  </si>
  <si>
    <t>0.665248045409043</t>
  </si>
  <si>
    <t>1.2751027435185724</t>
  </si>
  <si>
    <t>-1.3286489354737732</t>
  </si>
  <si>
    <t>0.5237083026614191</t>
  </si>
  <si>
    <t>-3.770559916188595</t>
  </si>
  <si>
    <t>-1.5141214255067685</t>
  </si>
  <si>
    <t>0.8072954594925384</t>
  </si>
  <si>
    <t>-0.16729154267845778</t>
  </si>
  <si>
    <t>0.14157089580999746</t>
  </si>
  <si>
    <t>-1.9088865810731666</t>
  </si>
  <si>
    <t>-0.38946266215356473</t>
  </si>
  <si>
    <t>0.0062714279599157844</t>
  </si>
  <si>
    <t>1.0917024479960793</t>
  </si>
  <si>
    <t>1.4893299999839795</t>
  </si>
  <si>
    <t>0.4188276802789784</t>
  </si>
  <si>
    <t>1.7021360136674315</t>
  </si>
  <si>
    <t>-0.8182176384606691</t>
  </si>
  <si>
    <t>-0.36124403213774814</t>
  </si>
  <si>
    <t>2.536005180482305</t>
  </si>
  <si>
    <t>0.6555624632554591</t>
  </si>
  <si>
    <t>0.8958702107526835</t>
  </si>
  <si>
    <t>-0.832443680119143</t>
  </si>
  <si>
    <t>-1.4451280143326144</t>
  </si>
  <si>
    <t>1.043285062776581</t>
  </si>
  <si>
    <t>-1.590213934595308</t>
  </si>
  <si>
    <t>1.446633120977912</t>
  </si>
  <si>
    <t>-2.691084051438153</t>
  </si>
  <si>
    <t>1.0126064005579847</t>
  </si>
  <si>
    <t>0.5979301031607015</t>
  </si>
  <si>
    <t>-2.33666805413262</t>
  </si>
  <si>
    <t>0.46736488291141287</t>
  </si>
  <si>
    <t>0.00598974523938094</t>
  </si>
  <si>
    <t>2.6083882471911917</t>
  </si>
  <si>
    <t>0.3330718026737588</t>
  </si>
  <si>
    <t>1.5615613538980517</t>
  </si>
  <si>
    <t>0.10894741817229558</t>
  </si>
  <si>
    <t>-1.5006260861887288</t>
  </si>
  <si>
    <t>-0.5245642566701622</t>
  </si>
  <si>
    <t>-0.8063400149637939</t>
  </si>
  <si>
    <t>-0.160351635304392</t>
  </si>
  <si>
    <t>0.36968430033303223</t>
  </si>
  <si>
    <t>-0.715020358824528</t>
  </si>
  <si>
    <t>-0.11651252959401497</t>
  </si>
  <si>
    <t>-0.19467122778282203</t>
  </si>
  <si>
    <t>-2.1377698612331453</t>
  </si>
  <si>
    <t>0.22224485906668612</t>
  </si>
  <si>
    <t>-0.6726598667981001</t>
  </si>
  <si>
    <t>-0.311457259232559</t>
  </si>
  <si>
    <t>0.14119389007905894</t>
  </si>
  <si>
    <t>-0.5311431537043341</t>
  </si>
  <si>
    <t>-1.1922484800714312</t>
  </si>
  <si>
    <t>0.17425121105450686</t>
  </si>
  <si>
    <t>0.5872287708068531</t>
  </si>
  <si>
    <t>-1.358248317652013</t>
  </si>
  <si>
    <t>1.1490543786425322</t>
  </si>
  <si>
    <t>-0.5991075562305299</t>
  </si>
  <si>
    <t>-0.13722520000142702</t>
  </si>
  <si>
    <t>-0.068780811835494</t>
  </si>
  <si>
    <t>0.04178576230662355</t>
  </si>
  <si>
    <t>0.18022567595449557</t>
  </si>
  <si>
    <t>-0.8477472727808952</t>
  </si>
  <si>
    <t>0.3397425602540212</t>
  </si>
  <si>
    <t>-0.9016962777488419</t>
  </si>
  <si>
    <t>-0.9895629548358854</t>
  </si>
  <si>
    <t>2.5931139627967617</t>
  </si>
  <si>
    <t>0.7201369471048195</t>
  </si>
  <si>
    <t>-2.9453115136456134</t>
  </si>
  <si>
    <t>0.5977325262631652</t>
  </si>
  <si>
    <t>-0.3602241113701457</t>
  </si>
  <si>
    <t>1.2182740722496768</t>
  </si>
  <si>
    <t>2.8801260171425844</t>
  </si>
  <si>
    <t>-0.8127795014033493</t>
  </si>
  <si>
    <t>1.548820298937967</t>
  </si>
  <si>
    <t>0.5219660665082757</t>
  </si>
  <si>
    <t>0.3017885256329739</t>
  </si>
  <si>
    <t>0.7708424868293834</t>
  </si>
  <si>
    <t>0.38161044600240585</t>
  </si>
  <si>
    <t>-0.9075495371043092</t>
  </si>
  <si>
    <t>1.4843750613033142</t>
  </si>
  <si>
    <t>0.9753902351629792</t>
  </si>
  <si>
    <t>-0.43400669553324717</t>
  </si>
  <si>
    <t>-1.1256830088896135</t>
  </si>
  <si>
    <t>-0.6099358568621593</t>
  </si>
  <si>
    <t>-0.029790021216403215</t>
  </si>
  <si>
    <t>-2.438156457606254</t>
  </si>
  <si>
    <t>-1.0167331457938114</t>
  </si>
  <si>
    <t>0.839822759916974</t>
  </si>
  <si>
    <t>1.0921217535988272</t>
  </si>
  <si>
    <t>3.205069289982887</t>
  </si>
  <si>
    <t>1.639121272218911</t>
  </si>
  <si>
    <t>1.284723121480356</t>
  </si>
  <si>
    <t>2.965902334750222</t>
  </si>
  <si>
    <t>-0.027494691286834964</t>
  </si>
  <si>
    <t>-0.6015503105605824</t>
  </si>
  <si>
    <t>0.6165620092488412</t>
  </si>
  <si>
    <t>1.3519059913702332</t>
  </si>
  <si>
    <t>-0.692468056981119</t>
  </si>
  <si>
    <t>-0.5955732541634281</t>
  </si>
  <si>
    <t>-0.10702118079129341</t>
  </si>
  <si>
    <t>0.7496796258592665</t>
  </si>
  <si>
    <t>-1.4090325728159256</t>
  </si>
  <si>
    <t>-0.8817244052367302</t>
  </si>
  <si>
    <t>-0.07449424255563124</t>
  </si>
  <si>
    <t>-2.7201224006326075</t>
  </si>
  <si>
    <t>-1.0364894694757802</t>
  </si>
  <si>
    <t>1.1453525447734174</t>
  </si>
  <si>
    <t>0.13207602796096546</t>
  </si>
  <si>
    <t>-1.5275515058037301</t>
  </si>
  <si>
    <t>-2.2157694832842973</t>
  </si>
  <si>
    <t>-1.771388145792765</t>
  </si>
  <si>
    <t>-1.5020309773117082</t>
  </si>
  <si>
    <t>0.6967851543818377</t>
  </si>
  <si>
    <t>-0.04195823096656211</t>
  </si>
  <si>
    <t>0.34184963553627273</t>
  </si>
  <si>
    <t>0.663064921061221</t>
  </si>
  <si>
    <t>0.3007961726601464</t>
  </si>
  <si>
    <t>-2.5311401853559574</t>
  </si>
  <si>
    <t>0.5540657469838384</t>
  </si>
  <si>
    <t>2.5633390378013723</t>
  </si>
  <si>
    <t>1.2242735021790123</t>
  </si>
  <si>
    <t>-1.042428071933425</t>
  </si>
  <si>
    <t>-2.0619167122945323</t>
  </si>
  <si>
    <t>-2.3707781421212886</t>
  </si>
  <si>
    <t>0.5446370183850946</t>
  </si>
  <si>
    <t>0.010214212398271923</t>
  </si>
  <si>
    <t>2.7656078017259764</t>
  </si>
  <si>
    <t>-2.0246556773778117</t>
  </si>
  <si>
    <t>0.12321769240220226</t>
  </si>
  <si>
    <t>0.5544408785439828</t>
  </si>
  <si>
    <t>-0.378265814298454</t>
  </si>
  <si>
    <t>-1.5428480847720771</t>
  </si>
  <si>
    <t>-0.1067620092372177</t>
  </si>
  <si>
    <t>-0.8636310178662743</t>
  </si>
  <si>
    <t>1.12801829431177</t>
  </si>
  <si>
    <t>1.069273168919891</t>
  </si>
  <si>
    <t>-0.3818526129164787</t>
  </si>
  <si>
    <t>-0.8252537857275394</t>
  </si>
  <si>
    <t>1.92580923710383</t>
  </si>
  <si>
    <t>1.4754626873600392</t>
  </si>
  <si>
    <t>2.922445716625489</t>
  </si>
  <si>
    <t>0.7311411713413456</t>
  </si>
  <si>
    <t>-1.2668051629281734</t>
  </si>
  <si>
    <t>1.6314257142904196</t>
  </si>
  <si>
    <t>1.2849372601781655</t>
  </si>
  <si>
    <t>0.9463592494446815</t>
  </si>
  <si>
    <t>-1.1870939741161814</t>
  </si>
  <si>
    <t>-0.33693887164649194</t>
  </si>
  <si>
    <t>-1.77604502089762</t>
  </si>
  <si>
    <t>1.6393901179689456</t>
  </si>
  <si>
    <t>-0.12349615850309681</t>
  </si>
  <si>
    <t>-0.8286029442666349</t>
  </si>
  <si>
    <t>0.7864220397440527</t>
  </si>
  <si>
    <t>-0.787341928663833</t>
  </si>
  <si>
    <t>-0.7083747481978204</t>
  </si>
  <si>
    <t>-0.5083564889285064</t>
  </si>
  <si>
    <t>2.588941166765834</t>
  </si>
  <si>
    <t>2.0351456074345475</t>
  </si>
  <si>
    <t>1.0304916204726478</t>
  </si>
  <si>
    <t>0.09507673461256912</t>
  </si>
  <si>
    <t>-1.1422844901165565</t>
  </si>
  <si>
    <t>0.44896865097865096</t>
  </si>
  <si>
    <t>2.0658647751793966</t>
  </si>
  <si>
    <t>0.5119057148626776</t>
  </si>
  <si>
    <t>-1.0320255963301472</t>
  </si>
  <si>
    <t>-0.5919067328391923</t>
  </si>
  <si>
    <t>-0.21170208164672247</t>
  </si>
  <si>
    <t>-0.9203616159258157</t>
  </si>
  <si>
    <t>-1.021274388776286</t>
  </si>
  <si>
    <t>-1.3439562498278397</t>
  </si>
  <si>
    <t>-0.5738430781682231</t>
  </si>
  <si>
    <t>0.5605107489352801</t>
  </si>
  <si>
    <t>2.4642021294278242</t>
  </si>
  <si>
    <t>-0.10581988768616654</t>
  </si>
  <si>
    <t>-2.1028251499249806</t>
  </si>
  <si>
    <t>-0.4045712962874712</t>
  </si>
  <si>
    <t>-2.007931863935301</t>
  </si>
  <si>
    <t>1.018495778133529</t>
  </si>
  <si>
    <t>-0.8787045017881446</t>
  </si>
  <si>
    <t>-0.676407137875595</t>
  </si>
  <si>
    <t>-0.1353609872420964</t>
  </si>
  <si>
    <t>-0.6353725060316961</t>
  </si>
  <si>
    <t>0.06642471993801893</t>
  </si>
  <si>
    <t>1.9206529256449034</t>
  </si>
  <si>
    <t>2.019381328158659</t>
  </si>
  <si>
    <t>0.7368018749926092</t>
  </si>
  <si>
    <t>0.9465961065495295</t>
  </si>
  <si>
    <t>1.9459502050908413</t>
  </si>
  <si>
    <t>0.832675624236499</t>
  </si>
  <si>
    <t>0.9306250311787323</t>
  </si>
  <si>
    <t>-1.1704898363968887</t>
  </si>
  <si>
    <t>-1.319880161963964</t>
  </si>
  <si>
    <t>1.3211790195525432</t>
  </si>
  <si>
    <t>1.2904273521936267</t>
  </si>
  <si>
    <t>2.237064013781972</t>
  </si>
  <si>
    <t>0.923067229089455</t>
  </si>
  <si>
    <t>0.5068188474985883</t>
  </si>
  <si>
    <t>2.6168117489666027</t>
  </si>
  <si>
    <t>-0.9066276573990202</t>
  </si>
  <si>
    <t>-1.7156264782275354</t>
  </si>
  <si>
    <t>-1.0367968215385237</t>
  </si>
  <si>
    <t>3.0267687917920205</t>
  </si>
  <si>
    <t>-2.410303316463071</t>
  </si>
  <si>
    <t>1.1696538336407833</t>
  </si>
  <si>
    <t>-0.901290482817208</t>
  </si>
  <si>
    <t>0.7745937252656454</t>
  </si>
  <si>
    <t>-0.1842070487745709</t>
  </si>
  <si>
    <t>-2.1675094511703668</t>
  </si>
  <si>
    <t>0.1852418203707024</t>
  </si>
  <si>
    <t>-1.0937050942376685</t>
  </si>
  <si>
    <t>0.9205297972144189</t>
  </si>
  <si>
    <t>-0.4893810742941131</t>
  </si>
  <si>
    <t>-0.041431116498485854</t>
  </si>
  <si>
    <t>-0.9368816505699031</t>
  </si>
  <si>
    <t>-0.7940979705215461</t>
  </si>
  <si>
    <t>2.6178210598337492</t>
  </si>
  <si>
    <t>0.7520839724693127</t>
  </si>
  <si>
    <t>0.2563321625920229</t>
  </si>
  <si>
    <t>0.5734279144524543</t>
  </si>
  <si>
    <t>0.2947698884914396</t>
  </si>
  <si>
    <t>-0.002577623646689725</t>
  </si>
  <si>
    <t>-1.1850212127288968</t>
  </si>
  <si>
    <t>0.42752085710753085</t>
  </si>
  <si>
    <t>0.20408460852759205</t>
  </si>
  <si>
    <t>-0.10209040122110911</t>
  </si>
  <si>
    <t>0.5568852830074766</t>
  </si>
  <si>
    <t>0.9433316234694606</t>
  </si>
  <si>
    <t>-0.23538514769982083</t>
  </si>
  <si>
    <t>0.18799471190311584</t>
  </si>
  <si>
    <t>1.3950102472330945</t>
  </si>
  <si>
    <t>-0.2845895370155639</t>
  </si>
  <si>
    <t>-0.25761843669303236</t>
  </si>
  <si>
    <t>2.8073344189043303</t>
  </si>
  <si>
    <t>0.35210648658079424</t>
  </si>
  <si>
    <t>-1.9149001464338995</t>
  </si>
  <si>
    <t>0.13777545746696448</t>
  </si>
  <si>
    <t>-0.16783160241217673</t>
  </si>
  <si>
    <t>-1.6166588440289524</t>
  </si>
  <si>
    <t>0.1360923898377093</t>
  </si>
  <si>
    <t>0.01380185659060687</t>
  </si>
  <si>
    <t>-1.0944770737458123</t>
  </si>
  <si>
    <t>1.0008836240735586</t>
  </si>
  <si>
    <t>-1.0626834646838133</t>
  </si>
  <si>
    <t>0.01829723727929573</t>
  </si>
  <si>
    <t>-1.8555091545008835</t>
  </si>
  <si>
    <t>-0.2466458639641031</t>
  </si>
  <si>
    <t>0.019081978413616026</t>
  </si>
  <si>
    <t>-0.47632190061032204</t>
  </si>
  <si>
    <t>1.3649564631235844</t>
  </si>
  <si>
    <t>-1.901590917252667</t>
  </si>
  <si>
    <t>-0.23512425032782264</t>
  </si>
  <si>
    <t>-0.32132623873323496</t>
  </si>
  <si>
    <t>0.6330838515198075</t>
  </si>
  <si>
    <t>1.5725664181788692</t>
  </si>
  <si>
    <t>-0.2660697702424915</t>
  </si>
  <si>
    <t>-0.9027216143318209</t>
  </si>
  <si>
    <t>0.9957723904231757</t>
  </si>
  <si>
    <t>-1.7052875927493774</t>
  </si>
  <si>
    <t>-1.6291021821207936</t>
  </si>
  <si>
    <t>-1.0218614698356017</t>
  </si>
  <si>
    <t>-0.7899226327790569</t>
  </si>
  <si>
    <t>-0.2176230516665063</t>
  </si>
  <si>
    <t>-0.058127402216435455</t>
  </si>
  <si>
    <t>0.07081095294294942</t>
  </si>
  <si>
    <t>1.7708168240502467</t>
  </si>
  <si>
    <t>-0.14280393281100404</t>
  </si>
  <si>
    <t>-1.1872939816597516</t>
  </si>
  <si>
    <t>1.3686768477851239</t>
  </si>
  <si>
    <t>0.16571767050632727</t>
  </si>
  <si>
    <t>-0.9819461090158325</t>
  </si>
  <si>
    <t>1.3744575841101592</t>
  </si>
  <si>
    <t>-0.8286695786918024</t>
  </si>
  <si>
    <t>0.9038042359308835</t>
  </si>
  <si>
    <t>-0.08514566074476011</t>
  </si>
  <si>
    <t>-1.0533842689780206</t>
  </si>
  <si>
    <t>0.7048600706983746</t>
  </si>
  <si>
    <t>-0.648532086284224</t>
  </si>
  <si>
    <t>-0.14812668634644557</t>
  </si>
  <si>
    <t>-0.5892705740281922</t>
  </si>
  <si>
    <t>-0.44425385075280627</t>
  </si>
  <si>
    <t>1.102785344434721</t>
  </si>
  <si>
    <t>0.8498181403191531</t>
  </si>
  <si>
    <t>0.5128492793352254</t>
  </si>
  <si>
    <t>0.6463240632501327</t>
  </si>
  <si>
    <t>0.6314742518455004</t>
  </si>
  <si>
    <t>-1.518847308019354</t>
  </si>
  <si>
    <t>-1.0041340801310703</t>
  </si>
  <si>
    <t>-1.0101471749557425</t>
  </si>
  <si>
    <t>-1.4867134993024715</t>
  </si>
  <si>
    <t>-1.1141122464829274</t>
  </si>
  <si>
    <t>0.6020752702053668</t>
  </si>
  <si>
    <t>-1.903178808625389</t>
  </si>
  <si>
    <t>-1.5845520319115334</t>
  </si>
  <si>
    <t>0.3113860945564401</t>
  </si>
  <si>
    <t>0.08071876087204075</t>
  </si>
  <si>
    <t>0.7175621339437317</t>
  </si>
  <si>
    <t>0.01177658959871469</t>
  </si>
  <si>
    <t>-1.2306146053065248</t>
  </si>
  <si>
    <t>-0.04159848614145728</t>
  </si>
  <si>
    <t>-1.1993546909863213</t>
  </si>
  <si>
    <t>-0.5735187455802999</t>
  </si>
  <si>
    <t>-0.5474610126197966</t>
  </si>
  <si>
    <t>1.1371992979580623</t>
  </si>
  <si>
    <t>0.40242775237575185</t>
  </si>
  <si>
    <t>-0.7496726416625342</t>
  </si>
  <si>
    <t>0.2565822828225792</t>
  </si>
  <si>
    <t>-0.8517279578816982</t>
  </si>
  <si>
    <t>-0.6495155426095649</t>
  </si>
  <si>
    <t>-0.37375415086665437</t>
  </si>
  <si>
    <t>-2.1942566658943377</t>
  </si>
  <si>
    <t>-0.6493575468572327</t>
  </si>
  <si>
    <t>2.3724085976269453</t>
  </si>
  <si>
    <t>-0.6409561888684252</t>
  </si>
  <si>
    <t>-0.6043659474645791</t>
  </si>
  <si>
    <t>-1.093702453503614</t>
  </si>
  <si>
    <t>1.8026018060153242</t>
  </si>
  <si>
    <t>1.333681016375062</t>
  </si>
  <si>
    <t>-1.882042702756537</t>
  </si>
  <si>
    <t>-1.80240900921109</t>
  </si>
  <si>
    <t>0.9278536592805077</t>
  </si>
  <si>
    <t>0.5385807344113387</t>
  </si>
  <si>
    <t>0.940180107762705</t>
  </si>
  <si>
    <t>0.4524655534448997</t>
  </si>
  <si>
    <t>0.30990061291335846</t>
  </si>
  <si>
    <t>-1.8486665408676861</t>
  </si>
  <si>
    <t>-1.8584590395955736</t>
  </si>
  <si>
    <t>0.5794343995540999</t>
  </si>
  <si>
    <t>0.6001975388751877</t>
  </si>
  <si>
    <t>-0.018472680793788228</t>
  </si>
  <si>
    <t>-0.06905581604279196</t>
  </si>
  <si>
    <t>0.253733115853879</t>
  </si>
  <si>
    <t>0.05196689210670726</t>
  </si>
  <si>
    <t>1.406566530191548</t>
  </si>
  <si>
    <t>0.8097990529491003</t>
  </si>
  <si>
    <t>-1.2963364697346618</t>
  </si>
  <si>
    <t>-0.7090377348938932</t>
  </si>
  <si>
    <t>0.8508572596044296</t>
  </si>
  <si>
    <t>0.5520888196437022</t>
  </si>
  <si>
    <t>0.7361814748541329</t>
  </si>
  <si>
    <t>-1.0901377658171518</t>
  </si>
  <si>
    <t>-0.8522330065811339</t>
  </si>
  <si>
    <t>-1.225950026236174</t>
  </si>
  <si>
    <t>1.6534472484761107</t>
  </si>
  <si>
    <t>-1.2307271838331246</t>
  </si>
  <si>
    <t>-1.0733272205287145</t>
  </si>
  <si>
    <t>-0.5924180341319834</t>
  </si>
  <si>
    <t>-0.5599365460936288</t>
  </si>
  <si>
    <t>0.32235837687115587</t>
  </si>
  <si>
    <t>-0.31789216759595196</t>
  </si>
  <si>
    <t>-0.0853723282599272</t>
  </si>
  <si>
    <t>-0.8182628521049983</t>
  </si>
  <si>
    <t>0.005179576212137327</t>
  </si>
  <si>
    <t>0.8825794501246197</t>
  </si>
  <si>
    <t>0.4463371835552723</t>
  </si>
  <si>
    <t>-0.5823936080849332</t>
  </si>
  <si>
    <t>-0.07776668210225479</t>
  </si>
  <si>
    <t>-0.6264227257878868</t>
  </si>
  <si>
    <t>-2.3423926563504187</t>
  </si>
  <si>
    <t>-0.5977857466386574</t>
  </si>
  <si>
    <t>0.6451767053393921</t>
  </si>
  <si>
    <t>1.9328081607049552</t>
  </si>
  <si>
    <t>0.5424706944081341</t>
  </si>
  <si>
    <t>1.0240135533610395</t>
  </si>
  <si>
    <t>0.6350453137914861</t>
  </si>
  <si>
    <t>1.0960519653217626</t>
  </si>
  <si>
    <t>0.513669686543013</t>
  </si>
  <si>
    <t>-0.6417096925994653</t>
  </si>
  <si>
    <t>1.1729248555495597</t>
  </si>
  <si>
    <t>-0.5872061235774937</t>
  </si>
  <si>
    <t>-0.162786143798283</t>
  </si>
  <si>
    <t>-0.20657530409055017</t>
  </si>
  <si>
    <t>-1.3318881786358157</t>
  </si>
  <si>
    <t>-0.36334832142583956</t>
  </si>
  <si>
    <t>0.03090383603489388</t>
  </si>
  <si>
    <t>-0.360290561951749</t>
  </si>
  <si>
    <t>-0.3634389231253914</t>
  </si>
  <si>
    <t>1.2598809802511992</t>
  </si>
  <si>
    <t>-1.3256872906909019</t>
  </si>
  <si>
    <t>-0.7205406643197665</t>
  </si>
  <si>
    <t>-0.13190096999437048</t>
  </si>
  <si>
    <t>0.18923739209590237</t>
  </si>
  <si>
    <t>-1.1091805624902198</t>
  </si>
  <si>
    <t>-0.4782912983343526</t>
  </si>
  <si>
    <t>1.53546726465636</t>
  </si>
  <si>
    <t>-0.5756083127017646</t>
  </si>
  <si>
    <t>-0.2717274073586135</t>
  </si>
  <si>
    <t>2.21385403925399</t>
  </si>
  <si>
    <t>0.21815086101174427</t>
  </si>
  <si>
    <t>1.1477856107918836</t>
  </si>
  <si>
    <t>0.5848164278200211</t>
  </si>
  <si>
    <t>0.5739748323303941</t>
  </si>
  <si>
    <t>0.2948135299332736</t>
  </si>
  <si>
    <t>-1.1696598400681566</t>
  </si>
  <si>
    <t>-1.0513903009030363</t>
  </si>
  <si>
    <t>-0.8591882503316453</t>
  </si>
  <si>
    <t>0.17968814266365934</t>
  </si>
  <si>
    <t>0.7899796744221486</t>
  </si>
  <si>
    <t>-0.007426859859144188</t>
  </si>
  <si>
    <t>-0.4821322809030071</t>
  </si>
  <si>
    <t>0.2580938135585628</t>
  </si>
  <si>
    <t>-0.5085814490320963</t>
  </si>
  <si>
    <t>0.3116269694068587</t>
  </si>
  <si>
    <t>0.5084727710420277</t>
  </si>
  <si>
    <t>-1.3060744445839227</t>
  </si>
  <si>
    <t>0.18606840062422958</t>
  </si>
  <si>
    <t>-0.8996082071069961</t>
  </si>
  <si>
    <t>-0.42979015053717723</t>
  </si>
  <si>
    <t>-0.6551346550914735</t>
  </si>
  <si>
    <t>0.9778036757709815</t>
  </si>
  <si>
    <t>-0.938329951367155</t>
  </si>
  <si>
    <t>2.5531846872691326</t>
  </si>
  <si>
    <t>-1.540972679597831</t>
  </si>
  <si>
    <t>1.0036064532729048</t>
  </si>
  <si>
    <t>1.1254906132189102</t>
  </si>
  <si>
    <t>-1.08712908373685</t>
  </si>
  <si>
    <t>-0.3755054758686196</t>
  </si>
  <si>
    <t>-0.011219692061135439</t>
  </si>
  <si>
    <t>-0.85424900312712</t>
  </si>
  <si>
    <t>-0.8954596991735111</t>
  </si>
  <si>
    <t>-0.1558422439517508</t>
  </si>
  <si>
    <t>-0.8765069678969816</t>
  </si>
  <si>
    <t>0.22040954502305907</t>
  </si>
  <si>
    <t>-0.37097167861373137</t>
  </si>
  <si>
    <t>-1.8990168493209303</t>
  </si>
  <si>
    <t>0.3380781096176647</t>
  </si>
  <si>
    <t>1.002566318352273</t>
  </si>
  <si>
    <t>-1.8509615804758062</t>
  </si>
  <si>
    <t>-0.4684282614756898</t>
  </si>
  <si>
    <t>1.3470453167299954</t>
  </si>
  <si>
    <t>-1.0021490697464588</t>
  </si>
  <si>
    <t>-0.5268038064864266</t>
  </si>
  <si>
    <t>-0.4076180917331005</t>
  </si>
  <si>
    <t>-0.3796831968746003</t>
  </si>
  <si>
    <t>-1.043328018776136</t>
  </si>
  <si>
    <t>0.00980589102371857</t>
  </si>
  <si>
    <t>-0.13563572942184696</t>
  </si>
  <si>
    <t>-0.5437167399720588</t>
  </si>
  <si>
    <t>-0.9888559357614549</t>
  </si>
  <si>
    <t>-1.2310384426511303</t>
  </si>
  <si>
    <t>-0.8232042908463177</t>
  </si>
  <si>
    <t>0.21459363413369018</t>
  </si>
  <si>
    <t>0.32712869726892063</t>
  </si>
  <si>
    <t>1.5250250418502818</t>
  </si>
  <si>
    <t>0.8994256364970794</t>
  </si>
  <si>
    <t>-0.4898901477635965</t>
  </si>
  <si>
    <t>-1.1075821248460689</t>
  </si>
  <si>
    <t>-0.6902751827219938</t>
  </si>
  <si>
    <t>0.5760221094437701</t>
  </si>
  <si>
    <t>-1.3524307646614815</t>
  </si>
  <si>
    <t>-1.3077131559061177</t>
  </si>
  <si>
    <t>-0.4477917715952521</t>
  </si>
  <si>
    <t>0.7867761915230633</t>
  </si>
  <si>
    <t>1.6398318155547833</t>
  </si>
  <si>
    <t>0.10069058951373255</t>
  </si>
  <si>
    <t>0.8809046518048614</t>
  </si>
  <si>
    <t>-0.0529068367569278</t>
  </si>
  <si>
    <t>-0.7982319552355199</t>
  </si>
  <si>
    <t>-0.05390966766700716</t>
  </si>
  <si>
    <t>1.6237034923474525</t>
  </si>
  <si>
    <t>-0.884569801625876</t>
  </si>
  <si>
    <t>-0.062376968986687514</t>
  </si>
  <si>
    <t>-1.2652480674636075</t>
  </si>
  <si>
    <t>-1.4449301943048307</t>
  </si>
  <si>
    <t>-0.9864467074189609</t>
  </si>
  <si>
    <t>0.06052173593957799</t>
  </si>
  <si>
    <t>-1.1328488112654718</t>
  </si>
  <si>
    <t>0.8728909933974133</t>
  </si>
  <si>
    <t>-0.04778724210145437</t>
  </si>
  <si>
    <t>-0.37696692375487606</t>
  </si>
  <si>
    <t>-0.2594982551923137</t>
  </si>
  <si>
    <t>0.021598113505778532</t>
  </si>
  <si>
    <t>-0.9677628781183746</t>
  </si>
  <si>
    <t>1.839998143728124</t>
  </si>
  <si>
    <t>-0.5152743258768594</t>
  </si>
  <si>
    <t>-1.9828692877035692</t>
  </si>
  <si>
    <t>-2.235394614395094</t>
  </si>
  <si>
    <t>2.7319677330532315</t>
  </si>
  <si>
    <t>-1.7545125063609284</t>
  </si>
  <si>
    <t>-2.2217914868032236</t>
  </si>
  <si>
    <t>-1.2271241061957003</t>
  </si>
  <si>
    <t>-0.703482495698349</t>
  </si>
  <si>
    <t>-1.0948022736512235</t>
  </si>
  <si>
    <t>-1.0185790575591889</t>
  </si>
  <si>
    <t>-2.522560125336791</t>
  </si>
  <si>
    <t>-0.2454385644316192</t>
  </si>
  <si>
    <t>-0.7530300563533534</t>
  </si>
  <si>
    <t>-2.1297339246308975</t>
  </si>
  <si>
    <t>2.2563556890343097</t>
  </si>
  <si>
    <t>-1.8558209021849146</t>
  </si>
  <si>
    <t>-1.8662970484738828</t>
  </si>
  <si>
    <t>0.7495375600638526</t>
  </si>
  <si>
    <t>-0.4181094894099987</t>
  </si>
  <si>
    <t>0.823611981097697</t>
  </si>
  <si>
    <t>3.074233337832668</t>
  </si>
  <si>
    <t>-0.0276607893165769</t>
  </si>
  <si>
    <t>2.506295712315364</t>
  </si>
  <si>
    <t>0.5310155685884301</t>
  </si>
  <si>
    <t>2.1135297549974643</t>
  </si>
  <si>
    <t>-2.1703954923731272</t>
  </si>
  <si>
    <t>1.139101142393514</t>
  </si>
  <si>
    <t>-2.720268906728393</t>
  </si>
  <si>
    <t>0.11532164075147251</t>
  </si>
  <si>
    <t>0.7975366978774886</t>
  </si>
  <si>
    <t>4.197056211986263</t>
  </si>
  <si>
    <t>1.0965808547490077</t>
  </si>
  <si>
    <t>1.2456195732379447</t>
  </si>
  <si>
    <t>-2.1369200526932457</t>
  </si>
  <si>
    <t>-1.8888370400764678</t>
  </si>
  <si>
    <t>3.0107442024078965</t>
  </si>
  <si>
    <t>0.2657760711559175</t>
  </si>
  <si>
    <t>-0.9514298304259438</t>
  </si>
  <si>
    <t>0.5246256074293455</t>
  </si>
  <si>
    <t>0.4670877634207935</t>
  </si>
  <si>
    <t>-0.7131256630593613</t>
  </si>
  <si>
    <t>0.8815969928313561</t>
  </si>
  <si>
    <t>-0.720745592064468</t>
  </si>
  <si>
    <t>2.1334224591089996</t>
  </si>
  <si>
    <t>-2.997458455880581</t>
  </si>
  <si>
    <t>1.3573876111577476</t>
  </si>
  <si>
    <t>0.22926958206475906</t>
  </si>
  <si>
    <t>-1.724315896162075</t>
  </si>
  <si>
    <t>1.0580255430059207</t>
  </si>
  <si>
    <t>1.3290945193627393</t>
  </si>
  <si>
    <t>-0.2667596806586424</t>
  </si>
  <si>
    <t>1.1218349487046007</t>
  </si>
  <si>
    <t>-0.6916432567485018</t>
  </si>
  <si>
    <t>2.637076155440755</t>
  </si>
  <si>
    <t>0.7324668530891727</t>
  </si>
  <si>
    <t>0.7555800634284832</t>
  </si>
  <si>
    <t>-0.024855533160633655</t>
  </si>
  <si>
    <t>1.5529629100685367</t>
  </si>
  <si>
    <t>0.14469383118414805</t>
  </si>
  <si>
    <t>-0.3496162897618159</t>
  </si>
  <si>
    <t>2.1865389700658096</t>
  </si>
  <si>
    <t>-1.5288521539163575</t>
  </si>
  <si>
    <t>2.7917990614625197</t>
  </si>
  <si>
    <t>-0.24270671884830572</t>
  </si>
  <si>
    <t>-0.5580937315655635</t>
  </si>
  <si>
    <t>-1.2248936157638484</t>
  </si>
  <si>
    <t>-0.5378852563799008</t>
  </si>
  <si>
    <t>-1.0828802048529844</t>
  </si>
  <si>
    <t>-0.6020550116231592</t>
  </si>
  <si>
    <t>3.5097054587958723</t>
  </si>
  <si>
    <t>-0.2602728382625611</t>
  </si>
  <si>
    <t>0.9253344873376572</t>
  </si>
  <si>
    <t>-0.792940276770937</t>
  </si>
  <si>
    <t>-0.1126259064221672</t>
  </si>
  <si>
    <t>-1.4729196006555396</t>
  </si>
  <si>
    <t>-1.507145434666178</t>
  </si>
  <si>
    <t>0.24026273411517957</t>
  </si>
  <si>
    <t>-2.3177141530586285</t>
  </si>
  <si>
    <t>1.3105008807912144</t>
  </si>
  <si>
    <t>-0.679350840628131</t>
  </si>
  <si>
    <t>0.9331193158464648</t>
  </si>
  <si>
    <t>0.19783957365535423</t>
  </si>
  <si>
    <t>-1.8449948523435045</t>
  </si>
  <si>
    <t>-0.5372115803237465</t>
  </si>
  <si>
    <t>0.03479330120855795</t>
  </si>
  <si>
    <t>-1.5256480886958728</t>
  </si>
  <si>
    <t>-0.33166058967969997</t>
  </si>
  <si>
    <t>1.9554126883107608</t>
  </si>
  <si>
    <t>-1.8196386860937925</t>
  </si>
  <si>
    <t>-0.34484531288202447</t>
  </si>
  <si>
    <t>1.3671723465835635</t>
  </si>
  <si>
    <t>-2.1186549906306054</t>
  </si>
  <si>
    <t>-0.4067232900260068</t>
  </si>
  <si>
    <t>2.06333219982789</t>
  </si>
  <si>
    <t>1.1940189678823074</t>
  </si>
  <si>
    <t>1.3942188954005954</t>
  </si>
  <si>
    <t>-1.8492606477132785</t>
  </si>
  <si>
    <t>3.609449945061551</t>
  </si>
  <si>
    <t>1.3492722352300903</t>
  </si>
  <si>
    <t>-0.28011702326021626</t>
  </si>
  <si>
    <t>0.4392267285015583</t>
  </si>
  <si>
    <t>0.5951461496639979</t>
  </si>
  <si>
    <t>1.3041810910717637</t>
  </si>
  <si>
    <t>-0.08474189826828872</t>
  </si>
  <si>
    <t>-0.11793957157161697</t>
  </si>
  <si>
    <t>0.7127614274213968</t>
  </si>
  <si>
    <t>1.0033481897902503</t>
  </si>
  <si>
    <t>2.1729230909718673</t>
  </si>
  <si>
    <t>-0.7275020132347961</t>
  </si>
  <si>
    <t>-0.5549579262971912</t>
  </si>
  <si>
    <t>0.44963542787238664</t>
  </si>
  <si>
    <t>1.3266459492889846</t>
  </si>
  <si>
    <t>1.0084278580765238</t>
  </si>
  <si>
    <t>-1.07320777498191</t>
  </si>
  <si>
    <t>0.2040398604809557</t>
  </si>
  <si>
    <t>-1.602003355097342</t>
  </si>
  <si>
    <t>0.19434819561996924</t>
  </si>
  <si>
    <t>-0.22327972157129383</t>
  </si>
  <si>
    <t>0.32409077488126864</t>
  </si>
  <si>
    <t>-0.8720139384476718</t>
  </si>
  <si>
    <t>1.9153276299709747</t>
  </si>
  <si>
    <t>2.3534162245266432</t>
  </si>
  <si>
    <t>-0.26374660692121543</t>
  </si>
  <si>
    <t>-0.5941299024329579</t>
  </si>
  <si>
    <t>0.2373968626959844</t>
  </si>
  <si>
    <t>-0.40680899502045514</t>
  </si>
  <si>
    <t>0.1912592394246662</t>
  </si>
  <si>
    <t>0.4292480094774378</t>
  </si>
  <si>
    <t>-0.6920014699295239</t>
  </si>
  <si>
    <t>0.29500490827629916</t>
  </si>
  <si>
    <t>1.4934766329134435</t>
  </si>
  <si>
    <t>-0.8706257242726491</t>
  </si>
  <si>
    <t>0.20669643807426255</t>
  </si>
  <si>
    <t>-0.4041163315203402</t>
  </si>
  <si>
    <t>1.5427127451541902</t>
  </si>
  <si>
    <t>0.12315562840411456</t>
  </si>
  <si>
    <t>-1.1237583866797543</t>
  </si>
  <si>
    <t>0.913063598061546</t>
  </si>
  <si>
    <t>1.058956670149566</t>
  </si>
  <si>
    <t>1.1226774069438792</t>
  </si>
  <si>
    <t>-1.5695584154838866</t>
  </si>
  <si>
    <t>0.8786388329893283</t>
  </si>
  <si>
    <t>1.2442526790761181</t>
  </si>
  <si>
    <t>-1.4630429137580065</t>
  </si>
  <si>
    <t>0.13811145374955933</t>
  </si>
  <si>
    <t>0.5404952566501078</t>
  </si>
  <si>
    <t>-0.4136711006963428</t>
  </si>
  <si>
    <t>-1.079815285963092</t>
  </si>
  <si>
    <t>-0.943754413133078</t>
  </si>
  <si>
    <t>1.1476707947751246</t>
  </si>
  <si>
    <t>-0.5097548201874194</t>
  </si>
  <si>
    <t>0.4025355212576331</t>
  </si>
  <si>
    <t>0.15075624966001</t>
  </si>
  <si>
    <t>-0.559934603022089</t>
  </si>
  <si>
    <t>0.42612953678910803</t>
  </si>
  <si>
    <t>-0.2777937058136763</t>
  </si>
  <si>
    <t>0.9779097804009174</t>
  </si>
  <si>
    <t>1.0683037078818998</t>
  </si>
  <si>
    <t>-0.24724985454271875</t>
  </si>
  <si>
    <t>0.3630720175644206</t>
  </si>
  <si>
    <t>-0.2143084821159267</t>
  </si>
  <si>
    <t>-0.7091707448431368</t>
  </si>
  <si>
    <t>-0.8303648675112028</t>
  </si>
  <si>
    <t>0.45937475306246905</t>
  </si>
  <si>
    <t>-0.5308696999139556</t>
  </si>
  <si>
    <t>0.21899737977741304</t>
  </si>
  <si>
    <t>-1.4784809813909285</t>
  </si>
  <si>
    <t>-0.533216419974246</t>
  </si>
  <si>
    <t>1.0017395126214792</t>
  </si>
  <si>
    <t>1.457968517879427</t>
  </si>
  <si>
    <t>0.9916424942984436</t>
  </si>
  <si>
    <t>0.4077315484637496</t>
  </si>
  <si>
    <t>-1.766825886486524</t>
  </si>
  <si>
    <t>0.3013729688106258</t>
  </si>
  <si>
    <t>0.20401511457743846</t>
  </si>
  <si>
    <t>0.09594719949153534</t>
  </si>
  <si>
    <t>0.788275651328756</t>
  </si>
  <si>
    <t>0.08892980060017941</t>
  </si>
  <si>
    <t>0.6616491634572745</t>
  </si>
  <si>
    <t>0.8998730845075347</t>
  </si>
  <si>
    <t>0.1613644070446094</t>
  </si>
  <si>
    <t>0.10501168800536695</t>
  </si>
  <si>
    <t>0.1818822197249776</t>
  </si>
  <si>
    <t>0.4444008204931723</t>
  </si>
  <si>
    <t>0.8302963888661344</t>
  </si>
  <si>
    <t>0.5695375945318187</t>
  </si>
  <si>
    <t>-0.033948560321590396</t>
  </si>
  <si>
    <t>-0.8356567978546919</t>
  </si>
  <si>
    <t>-1.3540885845521866</t>
  </si>
  <si>
    <t>-0.1955572261265008</t>
  </si>
  <si>
    <t>-1.1742505117199011</t>
  </si>
  <si>
    <t>1.4682258980736111</t>
  </si>
  <si>
    <t>0.019659743827393997</t>
  </si>
  <si>
    <t>-0.6150288262126862</t>
  </si>
  <si>
    <t>0.8745191116417308</t>
  </si>
  <si>
    <t>1.096065389927101</t>
  </si>
  <si>
    <t>-0.44519918785963586</t>
  </si>
  <si>
    <t>1.1848608924644013</t>
  </si>
  <si>
    <t>-1.5683684979878776</t>
  </si>
  <si>
    <t>-0.08813511719970463</t>
  </si>
  <si>
    <t>0.7112847870078944</t>
  </si>
  <si>
    <t>-0.7448438550180073</t>
  </si>
  <si>
    <t>-1.283459045853052</t>
  </si>
  <si>
    <t>0.3132379463969442</t>
  </si>
  <si>
    <t>-0.32850132870243304</t>
  </si>
  <si>
    <t>-0.15551948636995336</t>
  </si>
  <si>
    <t>0.2244977047928217</t>
  </si>
  <si>
    <t>0.12730159268653385</t>
  </si>
  <si>
    <t>0.7390213764181666</t>
  </si>
  <si>
    <t>-0.32323123965138695</t>
  </si>
  <si>
    <t>-0.03641643465314279</t>
  </si>
  <si>
    <t>-0.9142951871508699</t>
  </si>
  <si>
    <t>1.9935102863450782</t>
  </si>
  <si>
    <t>-0.5969715406142345</t>
  </si>
  <si>
    <t>0.912976571845221</t>
  </si>
  <si>
    <t>1.251658973278333</t>
  </si>
  <si>
    <t>-0.2749888656923439</t>
  </si>
  <si>
    <t>-0.5948274298978873</t>
  </si>
  <si>
    <t>-0.05748510657263366</t>
  </si>
  <si>
    <t>0.11021975684437516</t>
  </si>
  <si>
    <t>0.708146117098194</t>
  </si>
  <si>
    <t>0.7681005150558345</t>
  </si>
  <si>
    <t>-1.5851940309751487</t>
  </si>
  <si>
    <t>-0.09247200177741777</t>
  </si>
  <si>
    <t>0.22755294571374376</t>
  </si>
  <si>
    <t>-0.1340865886011991</t>
  </si>
  <si>
    <t>1.2545347921819736</t>
  </si>
  <si>
    <t>-0.5746514350166337</t>
  </si>
  <si>
    <t>-0.2169693643816176</t>
  </si>
  <si>
    <t>0.19867592344043114</t>
  </si>
  <si>
    <t>0.7337850955422733</t>
  </si>
  <si>
    <t>0.5338683255052497</t>
  </si>
  <si>
    <t>-0.8635515528888245</t>
  </si>
  <si>
    <t>-0.6715921091222724</t>
  </si>
  <si>
    <t>-0.4054892541874159</t>
  </si>
  <si>
    <t>-0.2301938744241685</t>
  </si>
  <si>
    <t>1.8129391728237125</t>
  </si>
  <si>
    <t>-0.07931044515445583</t>
  </si>
  <si>
    <t>0.10762196116233258</t>
  </si>
  <si>
    <t>0.07770784615174275</t>
  </si>
  <si>
    <t>0.1796851016385853</t>
  </si>
  <si>
    <t>-0.516547374924532</t>
  </si>
  <si>
    <t>0.919197731664808</t>
  </si>
  <si>
    <t>-0.15380074479058264</t>
  </si>
  <si>
    <t>0.44095285819728536</t>
  </si>
  <si>
    <t>0.6602957604724772</t>
  </si>
  <si>
    <t>-0.4379602847705096</t>
  </si>
  <si>
    <t>0.20070369993652046</t>
  </si>
  <si>
    <t>-0.1728529513300256</t>
  </si>
  <si>
    <t>0.5206073254779051</t>
  </si>
  <si>
    <t>-0.6639836052467593</t>
  </si>
  <si>
    <t>0.8026882415538543</t>
  </si>
  <si>
    <t>-0.4201882417559031</t>
  </si>
  <si>
    <t>0.41560212607091046</t>
  </si>
  <si>
    <t>0.4892852081792715</t>
  </si>
  <si>
    <t>0.5211318218202888</t>
  </si>
  <si>
    <t>-0.5330574748209921</t>
  </si>
  <si>
    <t>0.15606799242750144</t>
  </si>
  <si>
    <t>-0.5391916435204825</t>
  </si>
  <si>
    <t>0.5750758677398703</t>
  </si>
  <si>
    <t>-0.44112368915769806</t>
  </si>
  <si>
    <t>0.4149748981225507</t>
  </si>
  <si>
    <t>0.10161404259854111</t>
  </si>
  <si>
    <t>-0.8690600099679242</t>
  </si>
  <si>
    <t>0.6717977717468613</t>
  </si>
  <si>
    <t>0.19829099803642936</t>
  </si>
  <si>
    <t>-0.5334050558507588</t>
  </si>
  <si>
    <t>-0.3036373561883841</t>
  </si>
  <si>
    <t>-0.7644229443659731</t>
  </si>
  <si>
    <t>0.6011874858667763</t>
  </si>
  <si>
    <t>0.11351572139368173</t>
  </si>
  <si>
    <t>0.7128436657138179</t>
  </si>
  <si>
    <t>1.5687777525880395</t>
  </si>
  <si>
    <t>-1.0633780025705877</t>
  </si>
  <si>
    <t>-0.9445807167251375</t>
  </si>
  <si>
    <t>1.0666192420546985</t>
  </si>
  <si>
    <t>-0.17223896033824548</t>
  </si>
  <si>
    <t>2.5960964418245456</t>
  </si>
  <si>
    <t>-1.1650495216106718</t>
  </si>
  <si>
    <t>-0.6657466482327247</t>
  </si>
  <si>
    <t>-1.474670539768762</t>
  </si>
  <si>
    <t>-0.5948099222559682</t>
  </si>
  <si>
    <t>0.8397342503648022</t>
  </si>
  <si>
    <t>2.2295228907239686</t>
  </si>
  <si>
    <t>-0.13317532790639441</t>
  </si>
  <si>
    <t>0.7046447635735432</t>
  </si>
  <si>
    <t>-0.208372336134778</t>
  </si>
  <si>
    <t>-1.126047289164757</t>
  </si>
  <si>
    <t>0.9687701889493472</t>
  </si>
  <si>
    <t>-0.5579954592116432</t>
  </si>
  <si>
    <t>1.3225513404241585</t>
  </si>
  <si>
    <t>0.23997374464430246</t>
  </si>
  <si>
    <t>-0.40053605033154543</t>
  </si>
  <si>
    <t>-0.14163878323928272</t>
  </si>
  <si>
    <t>1.3033768167174045</t>
  </si>
  <si>
    <t>-0.5759315564122506</t>
  </si>
  <si>
    <t>-1.028796702846927</t>
  </si>
  <si>
    <t>-0.8235416149901095</t>
  </si>
  <si>
    <t>0.20578970043881517</t>
  </si>
  <si>
    <t>-0.3155701356073736</t>
  </si>
  <si>
    <t>-1.96434199894861</t>
  </si>
  <si>
    <t>1.6266278879871925</t>
  </si>
  <si>
    <t>-0.034591064681258665</t>
  </si>
  <si>
    <t>0.005571582773320956</t>
  </si>
  <si>
    <t>-0.5013023968178955</t>
  </si>
  <si>
    <t>1.8537543460669916</t>
  </si>
  <si>
    <t>1.7334803372471603</t>
  </si>
  <si>
    <t>0.446248367529634</t>
  </si>
  <si>
    <t>0.8416993251035593</t>
  </si>
  <si>
    <t>-1.488682920811429</t>
  </si>
  <si>
    <t>0.6377424618426446</t>
  </si>
  <si>
    <t>-0.5905786284268346</t>
  </si>
  <si>
    <t>0.24007795699022</t>
  </si>
  <si>
    <t>-2.8700279275349794</t>
  </si>
  <si>
    <t>-0.8611921179020486</t>
  </si>
  <si>
    <t>0.279395051754832</t>
  </si>
  <si>
    <t>0.33906065802322055</t>
  </si>
  <si>
    <t>1.2043293203650551</t>
  </si>
  <si>
    <t>-1.4057711200253915</t>
  </si>
  <si>
    <t>0.3459115238231838</t>
  </si>
  <si>
    <t>-1.0043008930343402</t>
  </si>
  <si>
    <t>1.2962082749773722</t>
  </si>
  <si>
    <t>0.404351654859318</t>
  </si>
  <si>
    <t>-0.007369849904699146</t>
  </si>
  <si>
    <t>-1.0301329282400438</t>
  </si>
  <si>
    <t>2.0464501533777626</t>
  </si>
  <si>
    <t>-0.3107619174077336</t>
  </si>
  <si>
    <t>0.7089028642711196</t>
  </si>
  <si>
    <t>0.33971114171888006</t>
  </si>
  <si>
    <t>1.219691015965395</t>
  </si>
  <si>
    <t>0.12234204679908564</t>
  </si>
  <si>
    <t>0.3372728626863418</t>
  </si>
  <si>
    <t>0.00046998125145327185</t>
  </si>
  <si>
    <t>-0.4366388152523592</t>
  </si>
  <si>
    <t>0.5410502861205183</t>
  </si>
  <si>
    <t>-0.4750560755393687</t>
  </si>
  <si>
    <t>0.8713816129695506</t>
  </si>
  <si>
    <t>0.5784066601063228</t>
  </si>
  <si>
    <t>-0.47361902024676616</t>
  </si>
  <si>
    <t>-1.1436433880368784</t>
  </si>
  <si>
    <t>1.5935638367682374</t>
  </si>
  <si>
    <t>-0.2619059012492851</t>
  </si>
  <si>
    <t>0.3413816763807385</t>
  </si>
  <si>
    <t>0.9994527749487017</t>
  </si>
  <si>
    <t>-2.2536126861023114</t>
  </si>
  <si>
    <t>0.17739325544185275</t>
  </si>
  <si>
    <t>0.36894921329566566</t>
  </si>
  <si>
    <t>-1.2249487871250349</t>
  </si>
  <si>
    <t>2.1558893496894913</t>
  </si>
  <si>
    <t>0.9520213403006994</t>
  </si>
  <si>
    <t>-0.021719526582017014</t>
  </si>
  <si>
    <t>-0.34020660857213486</t>
  </si>
  <si>
    <t>-1.3835067630873223</t>
  </si>
  <si>
    <t>-1.9301326201610458</t>
  </si>
  <si>
    <t>-0.8519448918004953</t>
  </si>
  <si>
    <t>0.05016507107069552</t>
  </si>
  <si>
    <t>-1.357947244967307</t>
  </si>
  <si>
    <t>0.5275615474436479</t>
  </si>
  <si>
    <t>1.88018619468938</t>
  </si>
  <si>
    <t>-0.4939218579047284</t>
  </si>
  <si>
    <t>-1.4241001726880438</t>
  </si>
  <si>
    <t>0.7805905755525394</t>
  </si>
  <si>
    <t>0.6659499809389299</t>
  </si>
  <si>
    <t>-0.6235318220945324</t>
  </si>
  <si>
    <t>1.3288824795032546</t>
  </si>
  <si>
    <t>-0.38407909724256667</t>
  </si>
  <si>
    <t>-1.260796728703578</t>
  </si>
  <si>
    <t>0.6607445844955419</t>
  </si>
  <si>
    <t>-0.12383831752144199</t>
  </si>
  <si>
    <t>-0.8570175000961135</t>
  </si>
  <si>
    <t>0.5989527767702669</t>
  </si>
  <si>
    <t>-0.364000769840627</t>
  </si>
  <si>
    <t>1.4164279705583755</t>
  </si>
  <si>
    <t>1.4096787107420718</t>
  </si>
  <si>
    <t>-0.8097260676858652</t>
  </si>
  <si>
    <t>0.18276366415175097</t>
  </si>
  <si>
    <t>1.408648378136436</t>
  </si>
  <si>
    <t>-1.2070380836978873</t>
  </si>
  <si>
    <t>-0.052582141775037734</t>
  </si>
  <si>
    <t>-0.4545839343987569</t>
  </si>
  <si>
    <t>0.09158476306179839</t>
  </si>
  <si>
    <t>0.6140191018138285</t>
  </si>
  <si>
    <t>0.15383143247446796</t>
  </si>
  <si>
    <t>1.108614882069957</t>
  </si>
  <si>
    <t>-0.26598408697933185</t>
  </si>
  <si>
    <t>-1.70692854940706</t>
  </si>
  <si>
    <t>-0.026144853090649855</t>
  </si>
  <si>
    <t>-0.05099403288183802</t>
  </si>
  <si>
    <t>-1.7408035075530013</t>
  </si>
  <si>
    <t>1.1043699714908621</t>
  </si>
  <si>
    <t>-1.0803531576219119</t>
  </si>
  <si>
    <t>-0.75575465438278</t>
  </si>
  <si>
    <t>-0.08445998570339636</t>
  </si>
  <si>
    <t>0.40077114207448433</t>
  </si>
  <si>
    <t>-0.3983245864140394</t>
  </si>
  <si>
    <t>0.25111383169677565</t>
  </si>
  <si>
    <t>-1.1913894370090503</t>
  </si>
  <si>
    <t>-1.2909701781825733</t>
  </si>
  <si>
    <t>0.2654385567663909</t>
  </si>
  <si>
    <t>0.33098659610736414</t>
  </si>
  <si>
    <t>0.9134630795167137</t>
  </si>
  <si>
    <t>-0.11069892316092629</t>
  </si>
  <si>
    <t>0.7479485016003843</t>
  </si>
  <si>
    <t>-0.7056613083293993</t>
  </si>
  <si>
    <t>0.3303398851237632</t>
  </si>
  <si>
    <t>-1.4221915981249467</t>
  </si>
  <si>
    <t>-0.4939245316281909</t>
  </si>
  <si>
    <t>-0.00965216154744662</t>
  </si>
  <si>
    <t>0.3423459022365621</t>
  </si>
  <si>
    <t>-0.19645376695574615</t>
  </si>
  <si>
    <t>-1.0333421357128585</t>
  </si>
  <si>
    <t>-0.4461318346408902</t>
  </si>
  <si>
    <t>-1.0389674335803714</t>
  </si>
  <si>
    <t>-0.44045542299082496</t>
  </si>
  <si>
    <t>-0.6420702142489928</t>
  </si>
  <si>
    <t>1.4831157402684274</t>
  </si>
  <si>
    <t>-1.043398614359392</t>
  </si>
  <si>
    <t>1.9152181199162266</t>
  </si>
  <si>
    <t>-1.4196796152006603</t>
  </si>
  <si>
    <t>0.4869787109048091</t>
  </si>
  <si>
    <t>-0.36072650259160666</t>
  </si>
  <si>
    <t>-0.11530265293079268</t>
  </si>
  <si>
    <t>-1.2279662974436265</t>
  </si>
  <si>
    <t>0.23833761177568435</t>
  </si>
  <si>
    <t>-0.10361532099789192</t>
  </si>
  <si>
    <t>-1.6146292892447056</t>
  </si>
  <si>
    <t>1.9831936760955706</t>
  </si>
  <si>
    <t>0.24353457568842882</t>
  </si>
  <si>
    <t>0.6192308274317663</t>
  </si>
  <si>
    <t>-3.2711046474907235</t>
  </si>
  <si>
    <t>-2.9449052261311732</t>
  </si>
  <si>
    <t>1.4313434601565607</t>
  </si>
  <si>
    <t>0.6443175298636156</t>
  </si>
  <si>
    <t>-1.1946985580130312</t>
  </si>
  <si>
    <t>-0.44952704817963446</t>
  </si>
  <si>
    <t>-0.2858937442100632</t>
  </si>
  <si>
    <t>0.2460034255267876</t>
  </si>
  <si>
    <t>-0.7459905018614275</t>
  </si>
  <si>
    <t>-1.3291908410270685</t>
  </si>
  <si>
    <t>1.5198035855042291</t>
  </si>
  <si>
    <t>0.7791632643770328</t>
  </si>
  <si>
    <t>-1.448274739914075</t>
  </si>
  <si>
    <t>1.1085084447894533</t>
  </si>
  <si>
    <t>0.5149505272787236</t>
  </si>
  <si>
    <t>0.7136666220879777</t>
  </si>
  <si>
    <t>-0.3116984107946767</t>
  </si>
  <si>
    <t>1.7972537679978304</t>
  </si>
  <si>
    <t>0.4885373575451167</t>
  </si>
  <si>
    <t>0.508982936065698</t>
  </si>
  <si>
    <t>3.3457275841881295</t>
  </si>
  <si>
    <t>-0.4039606529283218</t>
  </si>
  <si>
    <t>-0.01817415206717275</t>
  </si>
  <si>
    <t>-1.2014483433947625</t>
  </si>
  <si>
    <t>-0.28888787081868095</t>
  </si>
  <si>
    <t>-0.336189375748231</t>
  </si>
  <si>
    <t>-1.0429220719915253</t>
  </si>
  <si>
    <t>-0.5477083583884578</t>
  </si>
  <si>
    <t>-0.9422943534559367</t>
  </si>
  <si>
    <t>1.2226195902958912</t>
  </si>
  <si>
    <t>-1.3450722479664032</t>
  </si>
  <si>
    <t>-0.3676614269206138</t>
  </si>
  <si>
    <t>-1.5378275035886917</t>
  </si>
  <si>
    <t>0.9484703697909801</t>
  </si>
  <si>
    <t>-1.736788362213226</t>
  </si>
  <si>
    <t>-0.21065346736919124</t>
  </si>
  <si>
    <t>-1.4679394237808183</t>
  </si>
  <si>
    <t>0.5466038930524022</t>
  </si>
  <si>
    <t>-0.3346325397442567</t>
  </si>
  <si>
    <t>-1.4633522814323146</t>
  </si>
  <si>
    <t>0.02010904935700568</t>
  </si>
  <si>
    <t>-0.23344323463121477</t>
  </si>
  <si>
    <t>2.0751579168313863</t>
  </si>
  <si>
    <t>-0.07948082886660914</t>
  </si>
  <si>
    <t>-1.4214109586908172</t>
  </si>
  <si>
    <t>0.47448180452971134</t>
  </si>
  <si>
    <t>0.6558463476278974</t>
  </si>
  <si>
    <t>-0.4259698842500003</t>
  </si>
  <si>
    <t>-0.4041535950264715</t>
  </si>
  <si>
    <t>-0.20921067081283864</t>
  </si>
  <si>
    <t>-0.4510052314830209</t>
  </si>
  <si>
    <t>1.8519794564788221</t>
  </si>
  <si>
    <t>-0.6765721304231525</t>
  </si>
  <si>
    <t>-0.4316271089124519</t>
  </si>
  <si>
    <t>-1.219145879865455</t>
  </si>
  <si>
    <t>1.6684803097771352</t>
  </si>
  <si>
    <t>-0.2054449375209544</t>
  </si>
  <si>
    <t>0.7849944330991104</t>
  </si>
  <si>
    <t>0.7352277302241663</t>
  </si>
  <si>
    <t>0.2039591146863699</t>
  </si>
  <si>
    <t>-1.9679292681385085</t>
  </si>
  <si>
    <t>0.8333703974266488</t>
  </si>
  <si>
    <t>0.4214518860727871</t>
  </si>
  <si>
    <t>-0.36914602425724236</t>
  </si>
  <si>
    <t>-0.3133999166508216</t>
  </si>
  <si>
    <t>0.161275234189196</t>
  </si>
  <si>
    <t>-0.427812142523313</t>
  </si>
  <si>
    <t>-0.12865149759614622</t>
  </si>
  <si>
    <t>-1.2804635465102117</t>
  </si>
  <si>
    <t>-1.0845894408868333</t>
  </si>
  <si>
    <t>0.21987663421414577</t>
  </si>
  <si>
    <t>-0.6002833594056661</t>
  </si>
  <si>
    <t>0.9450176018278089</t>
  </si>
  <si>
    <t>-1.38371576866449</t>
  </si>
  <si>
    <t>-0.966711019567968</t>
  </si>
  <si>
    <t>-0.3670283189685894</t>
  </si>
  <si>
    <t>0.7366429851138665</t>
  </si>
  <si>
    <t>-0.1183556382541549</t>
  </si>
  <si>
    <t>5.816218312627053</t>
  </si>
  <si>
    <t>0.20585712806961443</t>
  </si>
  <si>
    <t>-3.231101641747175</t>
  </si>
  <si>
    <t>4.043047678178139</t>
  </si>
  <si>
    <t>-2.79429068140718</t>
  </si>
  <si>
    <t>-1.030823029418725</t>
  </si>
  <si>
    <t>4.432768485582134</t>
  </si>
  <si>
    <t>-0.4702216767116434</t>
  </si>
  <si>
    <t>5.285780593083512</t>
  </si>
  <si>
    <t>1.6709608993497895</t>
  </si>
  <si>
    <t>4.195544082228372</t>
  </si>
  <si>
    <t>-1.648690734869522</t>
  </si>
  <si>
    <t>1.105300356544734</t>
  </si>
  <si>
    <t>1.5259530285526308</t>
  </si>
  <si>
    <t>0.9800029826376685</t>
  </si>
  <si>
    <t>1.7784746801123184</t>
  </si>
  <si>
    <t>-0.16856553502585941</t>
  </si>
  <si>
    <t>-3.3041810986528644</t>
  </si>
  <si>
    <t>-0.17591722942170807</t>
  </si>
  <si>
    <t>1.5434854985577935</t>
  </si>
  <si>
    <t>-0.3369181168750745</t>
  </si>
  <si>
    <t>0.9663896857026585</t>
  </si>
  <si>
    <t>2.705079161614469</t>
  </si>
  <si>
    <t>0.5984443056622495</t>
  </si>
  <si>
    <t>1.4200676973989539</t>
  </si>
  <si>
    <t>-0.5007483777096178</t>
  </si>
  <si>
    <t>0.2944526700738991</t>
  </si>
  <si>
    <t>-0.3330819522990259</t>
  </si>
  <si>
    <t>-0.7641686307483198</t>
  </si>
  <si>
    <t>2.313979648517221</t>
  </si>
  <si>
    <t>-0.4683821330632723</t>
  </si>
  <si>
    <t>0.7555743172995294</t>
  </si>
  <si>
    <t>-1.0809794925505627</t>
  </si>
  <si>
    <t>-1.360188378285372</t>
  </si>
  <si>
    <t>-1.4811688740895512</t>
  </si>
  <si>
    <t>-0.9151018792797578</t>
  </si>
  <si>
    <t>-0.32594632019749853</t>
  </si>
  <si>
    <t>0.6953952765796071</t>
  </si>
  <si>
    <t>-3.1191054495909234</t>
  </si>
  <si>
    <t>4.530857156054043</t>
  </si>
  <si>
    <t>1.6765501711373767</t>
  </si>
  <si>
    <t>-0.4311609511180983</t>
  </si>
  <si>
    <t>-0.24735316008936234</t>
  </si>
  <si>
    <t>-0.49141980535248325</t>
  </si>
  <si>
    <t>-3.664219126465593</t>
  </si>
  <si>
    <t>3.802627365941994</t>
  </si>
  <si>
    <t>2.6636723376348015</t>
  </si>
  <si>
    <t>-4.50416048113565</t>
  </si>
  <si>
    <t>-1.9225092826392944</t>
  </si>
  <si>
    <t>-0.2608645348652349</t>
  </si>
  <si>
    <t>-0.05716843515241094</t>
  </si>
  <si>
    <t>1.5746427819438906</t>
  </si>
  <si>
    <t>0.0637544378842776</t>
  </si>
  <si>
    <t>1.2815000724360788</t>
  </si>
  <si>
    <t>-0.664756209590001</t>
  </si>
  <si>
    <t>0.19735631464594025</t>
  </si>
  <si>
    <t>-0.02611841404269621</t>
  </si>
  <si>
    <t>-0.8119999537020073</t>
  </si>
  <si>
    <t>0.07114854908336327</t>
  </si>
  <si>
    <t>-0.5707048218285642</t>
  </si>
  <si>
    <t>-0.1427725814738248</t>
  </si>
  <si>
    <t>-0.22770167838746805</t>
  </si>
  <si>
    <t>-0.5241560149494464</t>
  </si>
  <si>
    <t>-0.963436590650121</t>
  </si>
  <si>
    <t>-0.08117044179669448</t>
  </si>
  <si>
    <t>-1.5977523622273861</t>
  </si>
  <si>
    <t>0.4925768582014576</t>
  </si>
  <si>
    <t>0.26117741527745497</t>
  </si>
  <si>
    <t>0.3647334804601971</t>
  </si>
  <si>
    <t>0.11652382664761593</t>
  </si>
  <si>
    <t>-2.0325155391361545</t>
  </si>
  <si>
    <t>3.9883865577292146</t>
  </si>
  <si>
    <t>2.8258334936096756</t>
  </si>
  <si>
    <t>0.5089325191823514</t>
  </si>
  <si>
    <t>-0.6669515784994886</t>
  </si>
  <si>
    <t>-1.4301481605165673</t>
  </si>
  <si>
    <t>-0.8309449687260485</t>
  </si>
  <si>
    <t>0.24755283684851248</t>
  </si>
  <si>
    <t>-0.4804195008504081</t>
  </si>
  <si>
    <t>0.12716087702594103</t>
  </si>
  <si>
    <t>2.974770285726938</t>
  </si>
  <si>
    <t>0.7100248304177408</t>
  </si>
  <si>
    <t>1.0935541391112238</t>
  </si>
  <si>
    <t>0.8573816547190718</t>
  </si>
  <si>
    <t>0.3566510394572284</t>
  </si>
  <si>
    <t>1.1471617258548719</t>
  </si>
  <si>
    <t>-0.18748904032162708</t>
  </si>
  <si>
    <t>0.6898024810736564</t>
  </si>
  <si>
    <t>-1.3504382405171185</t>
  </si>
  <si>
    <t>-0.07604423735454874</t>
  </si>
  <si>
    <t>0.22305697154677925</t>
  </si>
  <si>
    <t>0.011431834505529833</t>
  </si>
  <si>
    <t>1.0716320805778963</t>
  </si>
  <si>
    <t>0.6525247151820753</t>
  </si>
  <si>
    <t>0.5889330142815454</t>
  </si>
  <si>
    <t>-0.5039624805783512</t>
  </si>
  <si>
    <t>0.05112852321744365</t>
  </si>
  <si>
    <t>-1.0147637386388069</t>
  </si>
  <si>
    <t>-0.32071978239023746</t>
  </si>
  <si>
    <t>0.22985729626416976</t>
  </si>
  <si>
    <t>0.11004685883132231</t>
  </si>
  <si>
    <t>0.43463366481600796</t>
  </si>
  <si>
    <t>1.4930741531541531</t>
  </si>
  <si>
    <t>1.2396856938519456</t>
  </si>
  <si>
    <t>-0.035574350743199964</t>
  </si>
  <si>
    <t>-0.6409026802662258</t>
  </si>
  <si>
    <t>0.058494243970704116</t>
  </si>
  <si>
    <t>-0.15572747099755427</t>
  </si>
  <si>
    <t>-0.2949408373384953</t>
  </si>
  <si>
    <t>0.27599692822054867</t>
  </si>
  <si>
    <t>-1.0944493279064644</t>
  </si>
  <si>
    <t>0.6562517193375299</t>
  </si>
  <si>
    <t>0.07474868652573004</t>
  </si>
  <si>
    <t>0.7757545340237175</t>
  </si>
  <si>
    <t>0.9243220578665524</t>
  </si>
  <si>
    <t>-0.21440519017981416</t>
  </si>
  <si>
    <t>-0.41406142943468593</t>
  </si>
  <si>
    <t>-0.5762246778085097</t>
  </si>
  <si>
    <t>0.5593014692552659</t>
  </si>
  <si>
    <t>-1.8654484183457314</t>
  </si>
  <si>
    <t>0.5063289923588303</t>
  </si>
  <si>
    <t>0.07266157254341242</t>
  </si>
  <si>
    <t>0.6153363518082823</t>
  </si>
  <si>
    <t>-0.5405446639734058</t>
  </si>
  <si>
    <t>-0.5333074128843421</t>
  </si>
  <si>
    <t>1.3071683004974137</t>
  </si>
  <si>
    <t>-2.1052079879201258</t>
  </si>
  <si>
    <t>-0.9542849693419401</t>
  </si>
  <si>
    <t>0.9033092509553337</t>
  </si>
  <si>
    <t>0.3455001506700202</t>
  </si>
  <si>
    <t>0.18542341116717892</t>
  </si>
  <si>
    <t>1.2142851364408167</t>
  </si>
  <si>
    <t>-2.1134829786769664</t>
  </si>
  <si>
    <t>0.050651735841322154</t>
  </si>
  <si>
    <t>0.5076412087076795</t>
  </si>
  <si>
    <t>0.7736746041562215</t>
  </si>
  <si>
    <t>-0.3404334422270337</t>
  </si>
  <si>
    <t>-0.09367841211653047</t>
  </si>
  <si>
    <t>1.3861073921438922</t>
  </si>
  <si>
    <t>0.18979584021623075</t>
  </si>
  <si>
    <t>0.988757606790165</t>
  </si>
  <si>
    <t>-0.3826193225642392</t>
  </si>
  <si>
    <t>-0.6022626132345632</t>
  </si>
  <si>
    <t>-0.21387977622286897</t>
  </si>
  <si>
    <t>0.6384095607110607</t>
  </si>
  <si>
    <t>-1.0135256498973395</t>
  </si>
  <si>
    <t>-0.13694070092329413</t>
  </si>
  <si>
    <t>-0.29940843966817976</t>
  </si>
  <si>
    <t>-1.0360723781922412</t>
  </si>
  <si>
    <t>-0.18712977349311471</t>
  </si>
  <si>
    <t>1.3578419674188655</t>
  </si>
  <si>
    <t>0.4836261739590876</t>
  </si>
  <si>
    <t>-0.05533112797175618</t>
  </si>
  <si>
    <t>1.8305543222467355</t>
  </si>
  <si>
    <t>-1.1281670546260245</t>
  </si>
  <si>
    <t>0.7788891252427246</t>
  </si>
  <si>
    <t>0.20933151157323746</t>
  </si>
  <si>
    <t>-1.1550505921474463</t>
  </si>
  <si>
    <t>0.027223674044896975</t>
  </si>
  <si>
    <t>-0.6809159013829761</t>
  </si>
  <si>
    <t>-0.05499759959130762</t>
  </si>
  <si>
    <t>0.3438372912960344</t>
  </si>
  <si>
    <t>-0.38702757007157074</t>
  </si>
  <si>
    <t>-0.02944637493800478</t>
  </si>
  <si>
    <t>-0.7275753923949987</t>
  </si>
  <si>
    <t>-0.11301750993910625</t>
  </si>
  <si>
    <t>0.053698790814634134</t>
  </si>
  <si>
    <t>1.0173133533234529</t>
  </si>
  <si>
    <t>-1.4332549964799064</t>
  </si>
  <si>
    <t>-0.37878500802762194</t>
  </si>
  <si>
    <t>0.7883114530023217</t>
  </si>
  <si>
    <t>1.0359790719387254</t>
  </si>
  <si>
    <t>-0.7094124046564222</t>
  </si>
  <si>
    <t>0.8123477553903473</t>
  </si>
  <si>
    <t>-0.14299432765775888</t>
  </si>
  <si>
    <t>-0.9300820262089609</t>
  </si>
  <si>
    <t>2.2896378541976854</t>
  </si>
  <si>
    <t>-1.378813565781991</t>
  </si>
  <si>
    <t>1.5531048876910025</t>
  </si>
  <si>
    <t>-0.8857368308537756</t>
  </si>
  <si>
    <t>0.19820909895112515</t>
  </si>
  <si>
    <t>-0.6257219966718766</t>
  </si>
  <si>
    <t>-0.10301726471737042</t>
  </si>
  <si>
    <t>-0.8159805149917186</t>
  </si>
  <si>
    <t>2.0314458042246124</t>
  </si>
  <si>
    <t>-0.3181445923544993</t>
  </si>
  <si>
    <t>-1.0902963971389834</t>
  </si>
  <si>
    <t>0.8866111181778521</t>
  </si>
  <si>
    <t>-2.6720767245471597</t>
  </si>
  <si>
    <t>-0.19201497356322683</t>
  </si>
  <si>
    <t>0.7704690652035442</t>
  </si>
  <si>
    <t>-0.42722278766702554</t>
  </si>
  <si>
    <t>-0.1398907776610245</t>
  </si>
  <si>
    <t>-1.5080776323889897</t>
  </si>
  <si>
    <t>1.346618401437505</t>
  </si>
  <si>
    <t>-0.4348782331557083</t>
  </si>
  <si>
    <t>1.6731561765926952</t>
  </si>
  <si>
    <t>0.7689256200257376</t>
  </si>
  <si>
    <t>-0.5258636656353758</t>
  </si>
  <si>
    <t>-2.560024203622759</t>
  </si>
  <si>
    <t>1.4539124052552852</t>
  </si>
  <si>
    <t>-0.2664756202703689</t>
  </si>
  <si>
    <t>-0.7709233919235748</t>
  </si>
  <si>
    <t>0.530114857750179</t>
  </si>
  <si>
    <t>-0.22361250703207525</t>
  </si>
  <si>
    <t>-1.1213714659203686</t>
  </si>
  <si>
    <t>-0.28766914120905823</t>
  </si>
  <si>
    <t>-0.41379191030526696</t>
  </si>
  <si>
    <t>1.1323706384407983</t>
  </si>
  <si>
    <t>0.7827824401271828</t>
  </si>
  <si>
    <t>-0.34649774590296595</t>
  </si>
  <si>
    <t>-0.3286862920495732</t>
  </si>
  <si>
    <t>0.20089556961946187</t>
  </si>
  <si>
    <t>1.3132961439081603</t>
  </si>
  <si>
    <t>-1.4979786479249668</t>
  </si>
  <si>
    <t>-0.8777823211832846</t>
  </si>
  <si>
    <t>0.6679455612065389</t>
  </si>
  <si>
    <t>-1.0035381605813827</t>
  </si>
  <si>
    <t>-0.069567250128291</t>
  </si>
  <si>
    <t>-0.06559487251476513</t>
  </si>
  <si>
    <t>-0.15315325081582098</t>
  </si>
  <si>
    <t>-0.10745748159030886</t>
  </si>
  <si>
    <t>0.9545894758534705</t>
  </si>
  <si>
    <t>1.6207323335693895</t>
  </si>
  <si>
    <t>-0.1372154733664034</t>
  </si>
  <si>
    <t>0.5216075869999638</t>
  </si>
  <si>
    <t>0.7002595889391112</t>
  </si>
  <si>
    <t>0.4742578790711551</t>
  </si>
  <si>
    <t>-0.75846738742996</t>
  </si>
  <si>
    <t>-0.5944397717924065</t>
  </si>
  <si>
    <t>0.6286618912749998</t>
  </si>
  <si>
    <t>-0.08721014050624447</t>
  </si>
  <si>
    <t>-0.28294417800922694</t>
  </si>
  <si>
    <t>-0.4399898210841317</t>
  </si>
  <si>
    <t>-0.8344180611231322</t>
  </si>
  <si>
    <t>-0.2738473193310113</t>
  </si>
  <si>
    <t>-0.7519389042877735</t>
  </si>
  <si>
    <t>0.031014172654427432</t>
  </si>
  <si>
    <t>3.242935710018199</t>
  </si>
  <si>
    <t>-0.16466163624186678</t>
  </si>
  <si>
    <t>-0.28960166597571224</t>
  </si>
  <si>
    <t>-0.9622415446117086</t>
  </si>
  <si>
    <t>-1.0254890754516783</t>
  </si>
  <si>
    <t>2.9060610720645075</t>
  </si>
  <si>
    <t>0.15693211921049996</t>
  </si>
  <si>
    <t>-1.980724230972722</t>
  </si>
  <si>
    <t>-1.120418751096964</t>
  </si>
  <si>
    <t>0.3071104189662032</t>
  </si>
  <si>
    <t>-0.539592143549285</t>
  </si>
  <si>
    <t>-0.058689585023967164</t>
  </si>
  <si>
    <t>-1.1564863147512099</t>
  </si>
  <si>
    <t>0.5085018244929185</t>
  </si>
  <si>
    <t>0.24041005742414556</t>
  </si>
  <si>
    <t>-0.618956012887106</t>
  </si>
  <si>
    <t>0.13469538583095658</t>
  </si>
  <si>
    <t>0.2847898528758936</t>
  </si>
  <si>
    <t>-1.5403687135067292</t>
  </si>
  <si>
    <t>2.134373983088115</t>
  </si>
  <si>
    <t>-0.6957517255249764</t>
  </si>
  <si>
    <t>0.07826468736815582</t>
  </si>
  <si>
    <t>0.06227086897724273</t>
  </si>
  <si>
    <t>1.2353227610681223</t>
  </si>
  <si>
    <t>-1.155430885012427</t>
  </si>
  <si>
    <t>-0.08221137768357314</t>
  </si>
  <si>
    <t>-0.7692074060627799</t>
  </si>
  <si>
    <t>2.4912492518287084</t>
  </si>
  <si>
    <t>0.5573473703763344</t>
  </si>
  <si>
    <t>-0.23033829046336363</t>
  </si>
  <si>
    <t>-1.9899239816824699</t>
  </si>
  <si>
    <t>0.23639477801223505</t>
  </si>
  <si>
    <t>-1.2052286244141261</t>
  </si>
  <si>
    <t>-0.7703376325043889</t>
  </si>
  <si>
    <t>0.5747028417288088</t>
  </si>
  <si>
    <t>2.037065057507492</t>
  </si>
  <si>
    <t>0.3731531368349103</t>
  </si>
  <si>
    <t>-0.9691470380618122</t>
  </si>
  <si>
    <t>-0.16125112563008798</t>
  </si>
  <si>
    <t>-1.2281795499879322</t>
  </si>
  <si>
    <t>0.7862478912377718</t>
  </si>
  <si>
    <t>-2.168013716479644</t>
  </si>
  <si>
    <t>-0.7426215495067088</t>
  </si>
  <si>
    <t>-0.6198403422037345</t>
  </si>
  <si>
    <t>-0.4540156130548379</t>
  </si>
  <si>
    <t>2.095979268337358</t>
  </si>
  <si>
    <t>-0.8228517756891752</t>
  </si>
  <si>
    <t>-0.20997530536463496</t>
  </si>
  <si>
    <t>-1.71909333178096</t>
  </si>
  <si>
    <t>1.4294351080743213</t>
  </si>
  <si>
    <t>-0.3984051196648562</t>
  </si>
  <si>
    <t>2.098585357740487</t>
  </si>
  <si>
    <t>0.23204971437350994</t>
  </si>
  <si>
    <t>-0.8825576178259584</t>
  </si>
  <si>
    <t>0.9163214545961108</t>
  </si>
  <si>
    <t>0.397053965220014</t>
  </si>
  <si>
    <t>-1.6647264060238747</t>
  </si>
  <si>
    <t>-0.4788795224123117</t>
  </si>
  <si>
    <t>0.653883810297008</t>
  </si>
  <si>
    <t>-0.8519093747504312</t>
  </si>
  <si>
    <t>1.2202963665389082</t>
  </si>
  <si>
    <t>-0.5228980427900868</t>
  </si>
  <si>
    <t>0.6742719647758065</t>
  </si>
  <si>
    <t>1.2233570352328642</t>
  </si>
  <si>
    <t>0.12237818133641762</t>
  </si>
  <si>
    <t>-0.374158124361934</t>
  </si>
  <si>
    <t>-2.7571059069173383</t>
  </si>
  <si>
    <t>1.4410428523042202</t>
  </si>
  <si>
    <t>-0.5359833515842402</t>
  </si>
  <si>
    <t>0.8086613245784869</t>
  </si>
  <si>
    <t>0.5101127279321156</t>
  </si>
  <si>
    <t>-1.7860439307272844</t>
  </si>
  <si>
    <t>0.03558323004075051</t>
  </si>
  <si>
    <t>0.44171933016830245</t>
  </si>
  <si>
    <t>0.11254543056810946</t>
  </si>
  <si>
    <t>-2.1887082849456876</t>
  </si>
  <si>
    <t>0.9975557732235638</t>
  </si>
  <si>
    <t>1.2167133391864848</t>
  </si>
  <si>
    <t>0.4765862500710552</t>
  </si>
  <si>
    <t>0.5093704260736455</t>
  </si>
  <si>
    <t>-0.9373417069689494</t>
  </si>
  <si>
    <t>1.110605540533031</t>
  </si>
  <si>
    <t>-0.3979957219018731</t>
  </si>
  <si>
    <t>-0.2945369214277221</t>
  </si>
  <si>
    <t>0.40142382029590645</t>
  </si>
  <si>
    <t>0.5432571255400432</t>
  </si>
  <si>
    <t>0.2347901351151586</t>
  </si>
  <si>
    <t>-1.5148525702905857</t>
  </si>
  <si>
    <t>-0.7369735370249729</t>
  </si>
  <si>
    <t>0.3620586091077513</t>
  </si>
  <si>
    <t>-1.1703763581451083</t>
  </si>
  <si>
    <t>1.884093197930286</t>
  </si>
  <si>
    <t>-1.1683258836521462</t>
  </si>
  <si>
    <t>4.674520207617679</t>
  </si>
  <si>
    <t>0.10370798187205034</t>
  </si>
  <si>
    <t>0.22425587209174755</t>
  </si>
  <si>
    <t>1.8674287791353843</t>
  </si>
  <si>
    <t>0.9262579799041105</t>
  </si>
  <si>
    <t>-1.2321410143774643</t>
  </si>
  <si>
    <t>-1.1185590802975172</t>
  </si>
  <si>
    <t>-1.100506483082271</t>
  </si>
  <si>
    <t>-0.4078503014366569</t>
  </si>
  <si>
    <t>-0.4484751499312659</t>
  </si>
  <si>
    <t>0.23162026570531447</t>
  </si>
  <si>
    <t>-1.1280278246393274</t>
  </si>
  <si>
    <t>0.6246329344220187</t>
  </si>
  <si>
    <t>-1.0897337264658666</t>
  </si>
  <si>
    <t>0.38497509073687647</t>
  </si>
  <si>
    <t>-1.4446806370828051</t>
  </si>
  <si>
    <t>1.1821713897060409</t>
  </si>
  <si>
    <t>-0.5726155587753924</t>
  </si>
  <si>
    <t>-0.280220605069543</t>
  </si>
  <si>
    <t>-1.0667527729998347</t>
  </si>
  <si>
    <t>0.32386205064219903</t>
  </si>
  <si>
    <t>1.0450971725528655</t>
  </si>
  <si>
    <t>-0.4339953000991835</t>
  </si>
  <si>
    <t>1.393440255673634</t>
  </si>
  <si>
    <t>0.17698134432504584</t>
  </si>
  <si>
    <t>-0.0890249971756624</t>
  </si>
  <si>
    <t>0.2787319313433362</t>
  </si>
  <si>
    <t>0.6010629614639798</t>
  </si>
  <si>
    <t>2.3279942909011537</t>
  </si>
  <si>
    <t>2.455809194990969</t>
  </si>
  <si>
    <t>-1.433865562998874</t>
  </si>
  <si>
    <t>1.6536182177627483</t>
  </si>
  <si>
    <t>-0.8500697313801293</t>
  </si>
  <si>
    <t>-0.011538407801119907</t>
  </si>
  <si>
    <t>-0.4672314226388476</t>
  </si>
  <si>
    <t>0.03470891992344988</t>
  </si>
  <si>
    <t>-1.3458150151648216</t>
  </si>
  <si>
    <t>0.4355939321371488</t>
  </si>
  <si>
    <t>-0.2474026277441222</t>
  </si>
  <si>
    <t>-0.22058816681801133</t>
  </si>
  <si>
    <t>0.2215032642017476</t>
  </si>
  <si>
    <t>0.4657742253841423</t>
  </si>
  <si>
    <t>-0.21998706829422812</t>
  </si>
  <si>
    <t>0.5610806610388775</t>
  </si>
  <si>
    <t>0.6375593876153945</t>
  </si>
  <si>
    <t>-0.4773205063867155</t>
  </si>
  <si>
    <t>0.417482263612581</t>
  </si>
  <si>
    <t>0.17450211944549646</t>
  </si>
  <si>
    <t>0.5112463145829083</t>
  </si>
  <si>
    <t>-1.9825346962770927</t>
  </si>
  <si>
    <t>0.12690526097185711</t>
  </si>
  <si>
    <t>-1.1821163719056056</t>
  </si>
  <si>
    <t>-1.1320258338272438</t>
  </si>
  <si>
    <t>0.7431727831579681</t>
  </si>
  <si>
    <t>0.302019805360976</t>
  </si>
  <si>
    <t>-0.06063980188417612</t>
  </si>
  <si>
    <t>-0.11173894366851929</t>
  </si>
  <si>
    <t>-0.05106375299280294</t>
  </si>
  <si>
    <t>0.4013845126579394</t>
  </si>
  <si>
    <t>-0.06321656968611387</t>
  </si>
  <si>
    <t>0.02001640267951423</t>
  </si>
  <si>
    <t>0.6330468612952678</t>
  </si>
  <si>
    <t>0.8803634351406414</t>
  </si>
  <si>
    <t>-0.3287094091275497</t>
  </si>
  <si>
    <t>-0.1812141792425989</t>
  </si>
  <si>
    <t>0.5932219457203243</t>
  </si>
  <si>
    <t>-0.17597978940992015</t>
  </si>
  <si>
    <t>1.2564220206618266</t>
  </si>
  <si>
    <t>-0.3047681323319924</t>
  </si>
  <si>
    <t>0.7222924983158374</t>
  </si>
  <si>
    <t>-0.8262266996863983</t>
  </si>
  <si>
    <t>-0.25840660043016694</t>
  </si>
  <si>
    <t>-1.5121141305056418</t>
  </si>
  <si>
    <t>-0.7805910611086467</t>
  </si>
  <si>
    <t>0.597468436406324</t>
  </si>
  <si>
    <t>0.3413958880721535</t>
  </si>
  <si>
    <t>0.3349369833500795</t>
  </si>
  <si>
    <t>0.1765637553748092</t>
  </si>
  <si>
    <t>-0.15211857359449008</t>
  </si>
  <si>
    <t>-1.9652501791136403</t>
  </si>
  <si>
    <t>-2.2842035752258103</t>
  </si>
  <si>
    <t>2.098548631562844</t>
  </si>
  <si>
    <t>-0.08186924928236508</t>
  </si>
  <si>
    <t>-2.1671877286391776</t>
  </si>
  <si>
    <t>0.3374604316137604</t>
  </si>
  <si>
    <t>0.4907559036296656</t>
  </si>
  <si>
    <t>-1.6412347662812063</t>
  </si>
  <si>
    <t>1.2360390528914815</t>
  </si>
  <si>
    <t>-1.488240935401708</t>
  </si>
  <si>
    <t>1.377643806752487</t>
  </si>
  <si>
    <t>0.14868375679655874</t>
  </si>
  <si>
    <t>-0.057463702820159376</t>
  </si>
  <si>
    <t>1.4779644842689212</t>
  </si>
  <si>
    <t>-0.9083223807721422</t>
  </si>
  <si>
    <t>-1.4009122332185893</t>
  </si>
  <si>
    <t>0.6115018354725786</t>
  </si>
  <si>
    <t>2.484120273896309</t>
  </si>
  <si>
    <t>-1.909677640751669</t>
  </si>
  <si>
    <t>1.3297230500972648</t>
  </si>
  <si>
    <t>0.9903578002781004</t>
  </si>
  <si>
    <t>-1.1996475680098353</t>
  </si>
  <si>
    <t>0.29346802644041925</t>
  </si>
  <si>
    <t>0.02971656555104995</t>
  </si>
  <si>
    <t>-1.2766609361469103</t>
  </si>
  <si>
    <t>2.580547446718335</t>
  </si>
  <si>
    <t>-0.7256906025172102</t>
  </si>
  <si>
    <t>0.21064404806167836</t>
  </si>
  <si>
    <t>-2.0966410768614976</t>
  </si>
  <si>
    <t>0.8891302677687553</t>
  </si>
  <si>
    <t>-1.381594886037222</t>
  </si>
  <si>
    <t>-0.7561558089237692</t>
  </si>
  <si>
    <t>-0.1789185514862746</t>
  </si>
  <si>
    <t>0.9279462921630104</t>
  </si>
  <si>
    <t>-1.0914645174588604</t>
  </si>
  <si>
    <t>0.08527608903304773</t>
  </si>
  <si>
    <t>-1.1121217694293613</t>
  </si>
  <si>
    <t>-0.1079848764121609</t>
  </si>
  <si>
    <t>0.9885777345009221</t>
  </si>
  <si>
    <t>0.3221646487581676</t>
  </si>
  <si>
    <t>-0.05990312831696652</t>
  </si>
  <si>
    <t>0.20149464602392508</t>
  </si>
  <si>
    <t>2.5514357147395055</t>
  </si>
  <si>
    <t>0.2536872375506455</t>
  </si>
  <si>
    <t>-0.5929196990416447</t>
  </si>
  <si>
    <t>0.35963917975656845</t>
  </si>
  <si>
    <t>1.0668347705927852</t>
  </si>
  <si>
    <t>0.4475172973756103</t>
  </si>
  <si>
    <t>0.234643932399776</t>
  </si>
  <si>
    <t>-0.12004061186169182</t>
  </si>
  <si>
    <t>0.30424046008646294</t>
  </si>
  <si>
    <t>-0.044654745503430536</t>
  </si>
  <si>
    <t>0.8833590341376336</t>
  </si>
  <si>
    <t>-0.6099226203833413</t>
  </si>
  <si>
    <t>-1.0242321046799672</t>
  </si>
  <si>
    <t>1.4808069651598854</t>
  </si>
  <si>
    <t>1.4174905363533605</t>
  </si>
  <si>
    <t>0.7134575435853071</t>
  </si>
  <si>
    <t>-0.6593799633769526</t>
  </si>
  <si>
    <t>0.7269679648103805</t>
  </si>
  <si>
    <t>-0.03146988716539302</t>
  </si>
  <si>
    <t>-0.09902311217008293</t>
  </si>
  <si>
    <t>1.1503933234397803</t>
  </si>
  <si>
    <t>-0.8478749201403039</t>
  </si>
  <si>
    <t>-1.1591492253068398</t>
  </si>
  <si>
    <t>0.43288378924365084</t>
  </si>
  <si>
    <t>0.32404931077762084</t>
  </si>
  <si>
    <t>-0.46569523753323827</t>
  </si>
  <si>
    <t>0.5634025412446143</t>
  </si>
  <si>
    <t>1.5550562552002472</t>
  </si>
  <si>
    <t>-1.9617105451560153</t>
  </si>
  <si>
    <t>0.08686861094780456</t>
  </si>
  <si>
    <t>-1.9793614729104887</t>
  </si>
  <si>
    <t>-0.3738776043332452</t>
  </si>
  <si>
    <t>0.8722918737159105</t>
  </si>
  <si>
    <t>0.07471325410024761</t>
  </si>
  <si>
    <t>-0.33457951756306376</t>
  </si>
  <si>
    <t>0.3651088533205546</t>
  </si>
  <si>
    <t>-1.4597352226974236</t>
  </si>
  <si>
    <t>2.6999216399879087</t>
  </si>
  <si>
    <t>-0.17709312814696604</t>
  </si>
  <si>
    <t>-0.9307285198713023</t>
  </si>
  <si>
    <t>0.5449167598545709</t>
  </si>
  <si>
    <t>-0.44819954321959216</t>
  </si>
  <si>
    <t>-0.7952357591931651</t>
  </si>
  <si>
    <t>1.115503211658925</t>
  </si>
  <si>
    <t>-0.21705545017084216</t>
  </si>
  <si>
    <t>-1.7401645012528877</t>
  </si>
  <si>
    <t>1.6346953702506017</t>
  </si>
  <si>
    <t>-0.2477689645920359</t>
  </si>
  <si>
    <t>0.6727060955748019</t>
  </si>
  <si>
    <t>-0.38488960319699184</t>
  </si>
  <si>
    <t>0.535014444118074</t>
  </si>
  <si>
    <t>-0.16830100103636547</t>
  </si>
  <si>
    <t>0.8850096925931425</t>
  </si>
  <si>
    <t>-0.5226160674425266</t>
  </si>
  <si>
    <t>-0.05345272279259305</t>
  </si>
  <si>
    <t>-0.3289862120386524</t>
  </si>
  <si>
    <t>-0.23672471903480727</t>
  </si>
  <si>
    <t>-0.9054902178047041</t>
  </si>
  <si>
    <t>-0.9708561658348028</t>
  </si>
  <si>
    <t>0.6065060116772361</t>
  </si>
  <si>
    <t>0.5553352615974535</t>
  </si>
  <si>
    <t>-0.26749881226407907</t>
  </si>
  <si>
    <t>-0.8375096543151651</t>
  </si>
  <si>
    <t>3.0441491142202732</t>
  </si>
  <si>
    <t>-0.3491864183516794</t>
  </si>
  <si>
    <t>0.37218388039033484</t>
  </si>
  <si>
    <t>-0.6628385076418202</t>
  </si>
  <si>
    <t>-0.6503598487237952</t>
  </si>
  <si>
    <t>-1.5189494132383519</t>
  </si>
  <si>
    <t>-1.252272859674446</t>
  </si>
  <si>
    <t>0.06850807419264746</t>
  </si>
  <si>
    <t>0.14342347347623546</t>
  </si>
  <si>
    <t>-0.9289185201613974</t>
  </si>
  <si>
    <t>1.0046297778424313</t>
  </si>
  <si>
    <t>0.30799667064163594</t>
  </si>
  <si>
    <t>0.3678010776098783</t>
  </si>
  <si>
    <t>-0.42099200160536415</t>
  </si>
  <si>
    <t>1.4610745012696773</t>
  </si>
  <si>
    <t>0.08754434133889806</t>
  </si>
  <si>
    <t>-0.27248110604048353</t>
  </si>
  <si>
    <t>0.11352144146828123</t>
  </si>
  <si>
    <t>-1.3924782642311317</t>
  </si>
  <si>
    <t>-0.040686409461875475</t>
  </si>
  <si>
    <t>1.3355305951886602</t>
  </si>
  <si>
    <t>-0.2907830259022697</t>
  </si>
  <si>
    <t>0.5058468808343424</t>
  </si>
  <si>
    <t>0.11475115648159441</t>
  </si>
  <si>
    <t>-1.5072828814011052</t>
  </si>
  <si>
    <t>-0.0927200928316475</t>
  </si>
  <si>
    <t>0.6496825117391486</t>
  </si>
  <si>
    <t>-1.1506025200777243</t>
  </si>
  <si>
    <t>0.6656438034719449</t>
  </si>
  <si>
    <t>0.695765258829682</t>
  </si>
  <si>
    <t>-0.21795051932343917</t>
  </si>
  <si>
    <t>-0.04722011092310322</t>
  </si>
  <si>
    <t>-0.6751084398946752</t>
  </si>
  <si>
    <t>-0.3832513791898006</t>
  </si>
  <si>
    <t>-0.11989690590386794</t>
  </si>
  <si>
    <t>0.6353411305414461</t>
  </si>
  <si>
    <t>0.4339705560419065</t>
  </si>
  <si>
    <t>0.8268053510859609</t>
  </si>
  <si>
    <t>-0.47260054273970703</t>
  </si>
  <si>
    <t>-1.520598870596108</t>
  </si>
  <si>
    <t>0.641603238171871</t>
  </si>
  <si>
    <t>-0.3528063002956479</t>
  </si>
  <si>
    <t>-0.5572479345342579</t>
  </si>
  <si>
    <t>-0.7616758227924315</t>
  </si>
  <si>
    <t>-0.41124922084605287</t>
  </si>
  <si>
    <t>-1.3336935335123665</t>
  </si>
  <si>
    <t>-0.6863361574905056</t>
  </si>
  <si>
    <t>-0.09997420127294636</t>
  </si>
  <si>
    <t>0.5843334399052582</t>
  </si>
  <si>
    <t>-0.7524627639475916</t>
  </si>
  <si>
    <t>0.3386265868492797</t>
  </si>
  <si>
    <t>-0.47666050468796684</t>
  </si>
  <si>
    <t>-0.5588362541939831</t>
  </si>
  <si>
    <t>0.7594139404019975</t>
  </si>
  <si>
    <t>1.1208967624862864</t>
  </si>
  <si>
    <t>-1.1117114782799973</t>
  </si>
  <si>
    <t>-0.9845872791967152</t>
  </si>
  <si>
    <t>1.0071217342496852</t>
  </si>
  <si>
    <t>-0.9240065523662152</t>
  </si>
  <si>
    <t>-2.373797122484578</t>
  </si>
  <si>
    <t>0.6629165868481426</t>
  </si>
  <si>
    <t>-0.634648549817816</t>
  </si>
  <si>
    <t>0.41618972466980664</t>
  </si>
  <si>
    <t>1.182052313183402</t>
  </si>
  <si>
    <t>1.095516557560021</t>
  </si>
  <si>
    <t>-0.002629142761465383</t>
  </si>
  <si>
    <t>0.22509276721976038</t>
  </si>
  <si>
    <t>0.8712586746352795</t>
  </si>
  <si>
    <t>-0.5252897277560151</t>
  </si>
  <si>
    <t>0.5160029811818025</t>
  </si>
  <si>
    <t>-1.3972028460261534</t>
  </si>
  <si>
    <t>0.5543523751573677</t>
  </si>
  <si>
    <t>0.3475495064641563</t>
  </si>
  <si>
    <t>0.5016944924876533</t>
  </si>
  <si>
    <t>-1.3637996543647384</t>
  </si>
  <si>
    <t>-0.11757882103448597</t>
  </si>
  <si>
    <t>0.447690216174137</t>
  </si>
  <si>
    <t>-0.42375340279793006</t>
  </si>
  <si>
    <t>1.5802337132577524</t>
  </si>
  <si>
    <t>0.20153213327178912</t>
  </si>
  <si>
    <t>-0.16942888954476348</t>
  </si>
  <si>
    <t>-1.3234910755302176</t>
  </si>
  <si>
    <t>0.4338065243286678</t>
  </si>
  <si>
    <t>-1.3414014528540799</t>
  </si>
  <si>
    <t>0.6086463611577317</t>
  </si>
  <si>
    <t>-0.23196411756866972</t>
  </si>
  <si>
    <t>-1.0257312657993796</t>
  </si>
  <si>
    <t>-0.34959766925655517</t>
  </si>
  <si>
    <t>-0.8965763650171791</t>
  </si>
  <si>
    <t>-1.8005734043492752</t>
  </si>
  <si>
    <t>-0.49789828814698217</t>
  </si>
  <si>
    <t>1.654861465095911</t>
  </si>
  <si>
    <t>4.204922498603943</t>
  </si>
  <si>
    <t>-0.29465343914188746</t>
  </si>
  <si>
    <t>-0.5344056459751463</t>
  </si>
  <si>
    <t>-0.904812146024807</t>
  </si>
  <si>
    <t>0.0526717014995723</t>
  </si>
  <si>
    <t>0.2364857707827615</t>
  </si>
  <si>
    <t>1.6475547132998352</t>
  </si>
  <si>
    <t>0.1013015277250073</t>
  </si>
  <si>
    <t>0.2343172651112345</t>
  </si>
  <si>
    <t>-0.7162285576703119</t>
  </si>
  <si>
    <t>-1.8241439033308409</t>
  </si>
  <si>
    <t>-0.5836666912914418</t>
  </si>
  <si>
    <t>1.8629936919836754</t>
  </si>
  <si>
    <t>1.6012903868966044</t>
  </si>
  <si>
    <t>0.49896717903454324</t>
  </si>
  <si>
    <t>0.7621166885272296</t>
  </si>
  <si>
    <t>-2.0920258894932267</t>
  </si>
  <si>
    <t>0.29052733539043274</t>
  </si>
  <si>
    <t>1.4265382211359445</t>
  </si>
  <si>
    <t>0.5293650322483102</t>
  </si>
  <si>
    <t>-1.199154882930051</t>
  </si>
  <si>
    <t>1.0068349934594678</t>
  </si>
  <si>
    <t>-1.4131072337550046</t>
  </si>
  <si>
    <t>1.1599622942026497</t>
  </si>
  <si>
    <t>0.49583005735055535</t>
  </si>
  <si>
    <t>-0.8963754540387665</t>
  </si>
  <si>
    <t>-0.6368006847273697</t>
  </si>
  <si>
    <t>2.5288925619997635</t>
  </si>
  <si>
    <t>-0.612024836875648</t>
  </si>
  <si>
    <t>-0.9684770787215984</t>
  </si>
  <si>
    <t>0.7544584892601534</t>
  </si>
  <si>
    <t>0.8507713425014365</t>
  </si>
  <si>
    <t>-0.39676273550663227</t>
  </si>
  <si>
    <t>-0.9515812062241925</t>
  </si>
  <si>
    <t>-1.3749892926459928</t>
  </si>
  <si>
    <t>0.9580415825522085</t>
  </si>
  <si>
    <t>0.1904593121636464</t>
  </si>
  <si>
    <t>-0.15377500725337873</t>
  </si>
  <si>
    <t>0.01565812311884139</t>
  </si>
  <si>
    <t>1.588822702524728</t>
  </si>
  <si>
    <t>0.4022394071356712</t>
  </si>
  <si>
    <t>2.5982910605806393</t>
  </si>
  <si>
    <t>-0.2500551956215598</t>
  </si>
  <si>
    <t>-0.6990937746370764</t>
  </si>
  <si>
    <t>-1.6736821066638083</t>
  </si>
  <si>
    <t>2.305611721368679</t>
  </si>
  <si>
    <t>-3.0916941485954816</t>
  </si>
  <si>
    <t>1.1830608021071212</t>
  </si>
  <si>
    <t>-0.39205783034355635</t>
  </si>
  <si>
    <t>2.074297524455819</t>
  </si>
  <si>
    <t>-0.44005461652229205</t>
  </si>
  <si>
    <t>0.12108577159998818</t>
  </si>
  <si>
    <t>-0.41479265034397167</t>
  </si>
  <si>
    <t>1.150862410594203</t>
  </si>
  <si>
    <t>0.4002240735859017</t>
  </si>
  <si>
    <t>2.971907335275788</t>
  </si>
  <si>
    <t>-5.041983252311087</t>
  </si>
  <si>
    <t>0.6085740187862002</t>
  </si>
  <si>
    <t>0.11601864538634316</t>
  </si>
  <si>
    <t>0.9042320093001284</t>
  </si>
  <si>
    <t>2.3841350426505463</t>
  </si>
  <si>
    <t>-2.342632531113073</t>
  </si>
  <si>
    <t>3.4539129586788566</t>
  </si>
  <si>
    <t>0.16006671717870924</t>
  </si>
  <si>
    <t>-2.278809539907646</t>
  </si>
  <si>
    <t>0.8155776129670399</t>
  </si>
  <si>
    <t>1.2750746540503504</t>
  </si>
  <si>
    <t>1.403675042453104</t>
  </si>
  <si>
    <t>-0.6982301793696726</t>
  </si>
  <si>
    <t>-1.2537851607081425</t>
  </si>
  <si>
    <t>0.14165868662964717</t>
  </si>
  <si>
    <t>0.9425785335277899</t>
  </si>
  <si>
    <t>-0.455999898730683</t>
  </si>
  <si>
    <t>0.041817659081210774</t>
  </si>
  <si>
    <t>2.2083935136412927</t>
  </si>
  <si>
    <t>1.2562332821041498</t>
  </si>
  <si>
    <t>0.46275063422012247</t>
  </si>
  <si>
    <t>1.7224966551237044</t>
  </si>
  <si>
    <t>-1.113970495669482</t>
  </si>
  <si>
    <t>0.3062877165900154</t>
  </si>
  <si>
    <t>0.7209077192917823</t>
  </si>
  <si>
    <t>3.515724823395792</t>
  </si>
  <si>
    <t>-1.2049467273261967</t>
  </si>
  <si>
    <t>-1.7140212943949715</t>
  </si>
  <si>
    <t>2.5448385070663515</t>
  </si>
  <si>
    <t>-1.6387689813924307</t>
  </si>
  <si>
    <t>-1.6188469306263813</t>
  </si>
  <si>
    <t>0.52559262431685</t>
  </si>
  <si>
    <t>-3.452968501651337</t>
  </si>
  <si>
    <t>0.8209764029429906</t>
  </si>
  <si>
    <t>0.8678531890071572</t>
  </si>
  <si>
    <t>0.681554636614555</t>
  </si>
  <si>
    <t>1.2180738072245507</t>
  </si>
  <si>
    <t>-1.0517950293140168</t>
  </si>
  <si>
    <t>3.3326348266349584</t>
  </si>
  <si>
    <t>-1.4813885908641518</t>
  </si>
  <si>
    <t>-0.8684069874626578</t>
  </si>
  <si>
    <t>0.4692482995796076</t>
  </si>
  <si>
    <t>-1.6512843101454873</t>
  </si>
  <si>
    <t>1.4990668126323845</t>
  </si>
  <si>
    <t>-1.9937781911916674</t>
  </si>
  <si>
    <t>1.6372746865875893</t>
  </si>
  <si>
    <t>0.3136472614183121</t>
  </si>
  <si>
    <t>-0.6975233620137901</t>
  </si>
  <si>
    <t>2.2320642987677286</t>
  </si>
  <si>
    <t>-1.6962784952191752</t>
  </si>
  <si>
    <t>-0.31522515558669983</t>
  </si>
  <si>
    <t>-1.5162508179740262</t>
  </si>
  <si>
    <t>0.8027776763688672</t>
  </si>
  <si>
    <t>0.7855714289032346</t>
  </si>
  <si>
    <t>-0.7026967941706715</t>
  </si>
  <si>
    <t>-0.130588560213747</t>
  </si>
  <si>
    <t>0.9684149125082105</t>
  </si>
  <si>
    <t>-1.730482840080548</t>
  </si>
  <si>
    <t>1.0459529500974503</t>
  </si>
  <si>
    <t>-0.06871867708753873</t>
  </si>
  <si>
    <t>1.0343996607095105</t>
  </si>
  <si>
    <t>0.255394087924459</t>
  </si>
  <si>
    <t>-0.0862617479473044</t>
  </si>
  <si>
    <t>1.2278257440300633</t>
  </si>
  <si>
    <t>-0.2232895013894765</t>
  </si>
  <si>
    <t>-1.0772315181736978</t>
  </si>
  <si>
    <t>1.7179316978991277</t>
  </si>
  <si>
    <t>-1.3970800137345776</t>
  </si>
  <si>
    <t>0.7732488205672992</t>
  </si>
  <si>
    <t>0.43844439996930373</t>
  </si>
  <si>
    <t>0.17717762417279861</t>
  </si>
  <si>
    <t>-1.028956362533384</t>
  </si>
  <si>
    <t>-0.6035483111725055</t>
  </si>
  <si>
    <t>1.5469014879784342</t>
  </si>
  <si>
    <t>0.03921675198674403</t>
  </si>
  <si>
    <t>0.5534096560351739</t>
  </si>
  <si>
    <t>-1.565959063778721</t>
  </si>
  <si>
    <t>0.4117276907092008</t>
  </si>
  <si>
    <t>0.5426779361572738</t>
  </si>
  <si>
    <t>-1.946588759728625</t>
  </si>
  <si>
    <t>1.4462934464278354</t>
  </si>
  <si>
    <t>1.2382553453233291</t>
  </si>
  <si>
    <t>0.621318464924818</t>
  </si>
  <si>
    <t>-0.5112410074802598</t>
  </si>
  <si>
    <t>0.04144235529514293</t>
  </si>
  <si>
    <t>0.4862776841825602</t>
  </si>
  <si>
    <t>-0.6780034168951681</t>
  </si>
  <si>
    <t>-0.7151910070866476</t>
  </si>
  <si>
    <t>4.9042457536109225</t>
  </si>
  <si>
    <t>-1.9311017184038088</t>
  </si>
  <si>
    <t>0.8586544765482622</t>
  </si>
  <si>
    <t>1.010448852355986</t>
  </si>
  <si>
    <t>-1.8835700171475651</t>
  </si>
  <si>
    <t>1.6858624113831244</t>
  </si>
  <si>
    <t>-0.27241028168546333</t>
  </si>
  <si>
    <t>-1.3871481636739553</t>
  </si>
  <si>
    <t>1.6874513630426613</t>
  </si>
  <si>
    <t>-1.1762148782365138</t>
  </si>
  <si>
    <t>1.4918521992249902</t>
  </si>
  <si>
    <t>0.029170962887915035</t>
  </si>
  <si>
    <t>-1.4723840068472376</t>
  </si>
  <si>
    <t>-0.3527466671478636</t>
  </si>
  <si>
    <t>-1.2761212690408255</t>
  </si>
  <si>
    <t>0.17411510686672865</t>
  </si>
  <si>
    <t>-1.2320550212355332</t>
  </si>
  <si>
    <t>-0.9290934996082789</t>
  </si>
  <si>
    <t>0.6017130151491997</t>
  </si>
  <si>
    <t>2.7275851242515463</t>
  </si>
  <si>
    <t>2.460081922552217</t>
  </si>
  <si>
    <t>-0.37489152990479957</t>
  </si>
  <si>
    <t>-0.11754476833218196</t>
  </si>
  <si>
    <t>-0.39426452427192493</t>
  </si>
  <si>
    <t>0.7543731358374188</t>
  </si>
  <si>
    <t>0.20753777145463834</t>
  </si>
  <si>
    <t>0.7180764312365175</t>
  </si>
  <si>
    <t>0.6195147911994803</t>
  </si>
  <si>
    <t>-0.4729097107044159</t>
  </si>
  <si>
    <t>-1.868239709370109</t>
  </si>
  <si>
    <t>0.7639850247465251</t>
  </si>
  <si>
    <t>1.0009671552105674</t>
  </si>
  <si>
    <t>-0.5132173186578665</t>
  </si>
  <si>
    <t>-0.43134404228590273</t>
  </si>
  <si>
    <t>0.8713324999986892</t>
  </si>
  <si>
    <t>-1.0939187713613385</t>
  </si>
  <si>
    <t>-0.328022963891712</t>
  </si>
  <si>
    <t>-0.3584663238223724</t>
  </si>
  <si>
    <t>-1.1311383370182146</t>
  </si>
  <si>
    <t>-0.3840724820949471</t>
  </si>
  <si>
    <t>0.8513159823246803</t>
  </si>
  <si>
    <t>1.3882549067503784</t>
  </si>
  <si>
    <t>-1.6619216535933157</t>
  </si>
  <si>
    <t>-0.5847136142728461</t>
  </si>
  <si>
    <t>1.299835582790619</t>
  </si>
  <si>
    <t>-1.146836849422151</t>
  </si>
  <si>
    <t>-0.7731196630975695</t>
  </si>
  <si>
    <t>-0.18828321833044318</t>
  </si>
  <si>
    <t>-0.7823393284883885</t>
  </si>
  <si>
    <t>0.9505252953451643</t>
  </si>
  <si>
    <t>-0.2678507385015221</t>
  </si>
  <si>
    <t>-0.32978072800718966</t>
  </si>
  <si>
    <t>-0.7577630857294394</t>
  </si>
  <si>
    <t>0.1107128097274717</t>
  </si>
  <si>
    <t>-0.26199543565557853</t>
  </si>
  <si>
    <t>-0.5572697719458863</t>
  </si>
  <si>
    <t>1.923831871777766</t>
  </si>
  <si>
    <t>-0.40710602177226873</t>
  </si>
  <si>
    <t>-0.7532959624977468</t>
  </si>
  <si>
    <t>-1.81334127668873</t>
  </si>
  <si>
    <t>1.86028822451712</t>
  </si>
  <si>
    <t>-0.6407918420707365</t>
  </si>
  <si>
    <t>0.020745710727742513</t>
  </si>
  <si>
    <t>0.27886987314625217</t>
  </si>
  <si>
    <t>0.17088889672376617</t>
  </si>
  <si>
    <t>2.2110367494240792</t>
  </si>
  <si>
    <t>-0.9614198635367115</t>
  </si>
  <si>
    <t>0.9042676775770462</t>
  </si>
  <si>
    <t>0.5718309115649468</t>
  </si>
  <si>
    <t>1.5210315502764642</t>
  </si>
  <si>
    <t>-2.498069136224968</t>
  </si>
  <si>
    <t>0.6303139610871012</t>
  </si>
  <si>
    <t>1.1384025269968476</t>
  </si>
  <si>
    <t>-1.9165892444662895</t>
  </si>
  <si>
    <t>-0.9113621124129316</t>
  </si>
  <si>
    <t>1.56679052748129</t>
  </si>
  <si>
    <t>0.31710938541623734</t>
  </si>
  <si>
    <t>1.2746632357863465</t>
  </si>
  <si>
    <t>-0.6602735614200838</t>
  </si>
  <si>
    <t>0.05827466666834593</t>
  </si>
  <si>
    <t>0.1646614012008319</t>
  </si>
  <si>
    <t>-1.967413926612356</t>
  </si>
  <si>
    <t>0.47276685737458285</t>
  </si>
  <si>
    <t>-0.10122771296658911</t>
  </si>
  <si>
    <t>0.2954235700819587</t>
  </si>
  <si>
    <t>0.09273665641538988</t>
  </si>
  <si>
    <t>-0.14451075201192662</t>
  </si>
  <si>
    <t>-0.19779822314049925</t>
  </si>
  <si>
    <t>0.5274646457934125</t>
  </si>
  <si>
    <t>-1.2678987097133243</t>
  </si>
  <si>
    <t>1.156918064379586</t>
  </si>
  <si>
    <t>-1.3502098882112126</t>
  </si>
  <si>
    <t>1.768841956230849</t>
  </si>
  <si>
    <t>-0.1258493051668366</t>
  </si>
  <si>
    <t>1.1202004434182058</t>
  </si>
  <si>
    <t>-1.0197307056660456</t>
  </si>
  <si>
    <t>2.540084507382197</t>
  </si>
  <si>
    <t>-1.10883039959698</t>
  </si>
  <si>
    <t>0.15734599973713204</t>
  </si>
  <si>
    <t>-0.79212426246207</t>
  </si>
  <si>
    <t>-0.8303797334525131</t>
  </si>
  <si>
    <t>-1.2544644486182144</t>
  </si>
  <si>
    <t>0.6383989829506155</t>
  </si>
  <si>
    <t>0.5768862365036763</t>
  </si>
  <si>
    <t>-0.6061098573292559</t>
  </si>
  <si>
    <t>-0.6440783619652982</t>
  </si>
  <si>
    <t>1.9006756898743742</t>
  </si>
  <si>
    <t>-0.24960878720290872</t>
  </si>
  <si>
    <t>2.100006913289453</t>
  </si>
  <si>
    <t>-0.6174856473122327</t>
  </si>
  <si>
    <t>1.367482517537661</t>
  </si>
  <si>
    <t>-1.225273450024413</t>
  </si>
  <si>
    <t>-0.17108590714698937</t>
  </si>
  <si>
    <t>0.07722808703935835</t>
  </si>
  <si>
    <t>-0.39170271460371564</t>
  </si>
  <si>
    <t>-3.6271802959680444</t>
  </si>
  <si>
    <t>2.429697115466128</t>
  </si>
  <si>
    <t>-0.7262392535235723</t>
  </si>
  <si>
    <t>1.0998496843365144</t>
  </si>
  <si>
    <t>-2.7167197945149555</t>
  </si>
  <si>
    <t>-0.5537221731920337</t>
  </si>
  <si>
    <t>-1.010883746880197</t>
  </si>
  <si>
    <t>-0.32555783886133344</t>
  </si>
  <si>
    <t>-0.10764362289035753</t>
  </si>
  <si>
    <t>0.21374792520710967</t>
  </si>
  <si>
    <t>-0.5562876793044249</t>
  </si>
  <si>
    <t>0.4239156650985319</t>
  </si>
  <si>
    <t>-0.7368237629853165</t>
  </si>
  <si>
    <t>0.05601761234389463</t>
  </si>
  <si>
    <t>-0.24661184239737519</t>
  </si>
  <si>
    <t>-0.32768714547732863</t>
  </si>
  <si>
    <t>0.08750273930382908</t>
  </si>
  <si>
    <t>0.3264389923105217</t>
  </si>
  <si>
    <t>1.1894606031963075</t>
  </si>
  <si>
    <t>-1.2503979345352274</t>
  </si>
  <si>
    <t>-0.9547210843021231</t>
  </si>
  <si>
    <t>0.4666597728977513</t>
  </si>
  <si>
    <t>0.2969181815738378</t>
  </si>
  <si>
    <t>-0.2724054248450028</t>
  </si>
  <si>
    <t>-0.36675030361821337</t>
  </si>
  <si>
    <t>-0.4125060189339388</t>
  </si>
  <si>
    <t>-0.2345201405447091</t>
  </si>
  <si>
    <t>0.3050698777753502</t>
  </si>
  <si>
    <t>0.8868172956957328</t>
  </si>
  <si>
    <t>-1.0847668987804753</t>
  </si>
  <si>
    <t>-0.5339424994392067</t>
  </si>
  <si>
    <t>0.6196521104811652</t>
  </si>
  <si>
    <t>-0.9509188704580915</t>
  </si>
  <si>
    <t>-0.43009544700121505</t>
  </si>
  <si>
    <t>0.6551467868842011</t>
  </si>
  <si>
    <t>1.3490374204377689</t>
  </si>
  <si>
    <t>-1.9495209211218674</t>
  </si>
  <si>
    <t>0.8094710855574219</t>
  </si>
  <si>
    <t>0.2501359133193893</t>
  </si>
  <si>
    <t>3.0521989108285825</t>
  </si>
  <si>
    <t>-0.18417458728094485</t>
  </si>
  <si>
    <t>0.5406790384504035</t>
  </si>
  <si>
    <t>0.7063360099317432</t>
  </si>
  <si>
    <t>0.3161379360541862</t>
  </si>
  <si>
    <t>-1.5221955394658409</t>
  </si>
  <si>
    <t>-1.202579155074009</t>
  </si>
  <si>
    <t>1.046196833972499</t>
  </si>
  <si>
    <t>0.7377874121906055</t>
  </si>
  <si>
    <t>0.6786378961810786</t>
  </si>
  <si>
    <t>-0.25162667027490426</t>
  </si>
  <si>
    <t>1.8983136422781832</t>
  </si>
  <si>
    <t>-1.062065300078535</t>
  </si>
  <si>
    <t>-1.3930383220254117</t>
  </si>
  <si>
    <t>0.631708497404686</t>
  </si>
  <si>
    <t>-1.3768385748649812</t>
  </si>
  <si>
    <t>0.2001642185238793</t>
  </si>
  <si>
    <t>1.216391288329483</t>
  </si>
  <si>
    <t>-0.06604179741166483</t>
  </si>
  <si>
    <t>0.5863381480482295</t>
  </si>
  <si>
    <t>-0.10915449536722321</t>
  </si>
  <si>
    <t>2.98732495035662</t>
  </si>
  <si>
    <t>-1.1355773145805912</t>
  </si>
  <si>
    <t>-0.9963416365654404</t>
  </si>
  <si>
    <t>-0.013853573721917136</t>
  </si>
  <si>
    <t>-0.1486821608928115</t>
  </si>
  <si>
    <t>-0.4739268531222174</t>
  </si>
  <si>
    <t>-0.01464853973261861</t>
  </si>
  <si>
    <t>-0.4536963871546795</t>
  </si>
  <si>
    <t>-0.2346619064817091</t>
  </si>
  <si>
    <t>-0.5143674299958352</t>
  </si>
  <si>
    <t>-0.6350189784525389</t>
  </si>
  <si>
    <t>-0.26114673516254</t>
  </si>
  <si>
    <t>-0.8656461354967164</t>
  </si>
  <si>
    <t>0.6004374875083642</t>
  </si>
  <si>
    <t>0.4142861794319907</t>
  </si>
  <si>
    <t>1.1075696645135287</t>
  </si>
  <si>
    <t>-0.3792399859989764</t>
  </si>
  <si>
    <t>-2.1621286099391543</t>
  </si>
  <si>
    <t>-0.06910496161346277</t>
  </si>
  <si>
    <t>-0.8824542357164961</t>
  </si>
  <si>
    <t>-0.31574415600750977</t>
  </si>
  <si>
    <t>0.5058142367549897</t>
  </si>
  <si>
    <t>0.501997753911966</t>
  </si>
  <si>
    <t>0.6579116495171178</t>
  </si>
  <si>
    <t>-0.5594101631767079</t>
  </si>
  <si>
    <t>1.8622803616634662</t>
  </si>
  <si>
    <t>-1.2865910382248067</t>
  </si>
  <si>
    <t>0.5020308612908136</t>
  </si>
  <si>
    <t>-1.0451641242858254</t>
  </si>
  <si>
    <t>3.9681135474878646</t>
  </si>
  <si>
    <t>0.6394334884430131</t>
  </si>
  <si>
    <t>0.5191044123838214</t>
  </si>
  <si>
    <t>0.45834312633967056</t>
  </si>
  <si>
    <t>1.3046547178162107</t>
  </si>
  <si>
    <t>-0.7611132496495029</t>
  </si>
  <si>
    <t>-0.7319670582979922</t>
  </si>
  <si>
    <t>-1.4898653333175924</t>
  </si>
  <si>
    <t>-2.0399384740567883</t>
  </si>
  <si>
    <t>-0.8683102083268658</t>
  </si>
  <si>
    <t>2.646364071956938</t>
  </si>
  <si>
    <t>-0.3514567493249783</t>
  </si>
  <si>
    <t>1.964414969174342</t>
  </si>
  <si>
    <t>-0.4611732402797251</t>
  </si>
  <si>
    <t>0.25129455784453014</t>
  </si>
  <si>
    <t>-0.5663524838725027</t>
  </si>
  <si>
    <t>3.829835648986247</t>
  </si>
  <si>
    <t>0.010317155417655103</t>
  </si>
  <si>
    <t>0.23967114380293308</t>
  </si>
  <si>
    <t>-0.8064732768027104</t>
  </si>
  <si>
    <t>1.6631023106688518</t>
  </si>
  <si>
    <t>-1.6576483027148212</t>
  </si>
  <si>
    <t>-0.6491278833070555</t>
  </si>
  <si>
    <t>1.3556677367185985</t>
  </si>
  <si>
    <t>-1.4348929361921747</t>
  </si>
  <si>
    <t>-2.566929481331849</t>
  </si>
  <si>
    <t>-0.4169694385450861</t>
  </si>
  <si>
    <t>1.8197183222023672</t>
  </si>
  <si>
    <t>-2.368335696511594</t>
  </si>
  <si>
    <t>-1.5409140362419687</t>
  </si>
  <si>
    <t>0.47880570935383215</t>
  </si>
  <si>
    <t>-0.0393440295191039</t>
  </si>
  <si>
    <t>1.969150637770079</t>
  </si>
  <si>
    <t>-2.000644428560935</t>
  </si>
  <si>
    <t>2.7763939057607536</t>
  </si>
  <si>
    <t>1.0953265229085085</t>
  </si>
  <si>
    <t>-1.6446733170811738</t>
  </si>
  <si>
    <t>-0.04247466235500251</t>
  </si>
  <si>
    <t>0.19116056971695192</t>
  </si>
  <si>
    <t>-1.6971838678463467</t>
  </si>
  <si>
    <t>1.8602476621314645</t>
  </si>
  <si>
    <t>-0.977140361985168</t>
  </si>
  <si>
    <t>0.1401292387030917</t>
  </si>
  <si>
    <t>1.078593006948827</t>
  </si>
  <si>
    <t>0.2992673997629392</t>
  </si>
  <si>
    <t>-0.7650733028559176</t>
  </si>
  <si>
    <t>0.919344672504387</t>
  </si>
  <si>
    <t>1.0518317141974727</t>
  </si>
  <si>
    <t>0.052244752137828865</t>
  </si>
  <si>
    <t>-1.8362475990135847</t>
  </si>
  <si>
    <t>1.4002551236298695</t>
  </si>
  <si>
    <t>-1.4411276136103743</t>
  </si>
  <si>
    <t>0.24227465311651164</t>
  </si>
  <si>
    <t>-1.0164788603445987</t>
  </si>
  <si>
    <t>-0.29825561200190864</t>
  </si>
  <si>
    <t>0.7904545285827626</t>
  </si>
  <si>
    <t>0.3298337564049458</t>
  </si>
  <si>
    <t>-0.46748348656729644</t>
  </si>
  <si>
    <t>0.3457492117124521</t>
  </si>
  <si>
    <t>-0.15447892869115412</t>
  </si>
  <si>
    <t>0.9407342037503431</t>
  </si>
  <si>
    <t>-0.9643501465748353</t>
  </si>
  <si>
    <t>-1.0218439607302723</t>
  </si>
  <si>
    <t>-0.14546147335459228</t>
  </si>
  <si>
    <t>-0.09619951530762202</t>
  </si>
  <si>
    <t>0.17384725764759365</t>
  </si>
  <si>
    <t>-0.46822018141510996</t>
  </si>
  <si>
    <t>0.3101538197139221</t>
  </si>
  <si>
    <t>2.3045288152226107</t>
  </si>
  <si>
    <t>0.6455911328674275</t>
  </si>
  <si>
    <t>-0.6067824382644975</t>
  </si>
  <si>
    <t>0.5016410776433212</t>
  </si>
  <si>
    <t>4.817535381087338</t>
  </si>
  <si>
    <t>-0.30142267898517094</t>
  </si>
  <si>
    <t>-0.5406533019284702</t>
  </si>
  <si>
    <t>0.6328625773743988</t>
  </si>
  <si>
    <t>1.896657645849887</t>
  </si>
  <si>
    <t>0.08570641285723907</t>
  </si>
  <si>
    <t>0.7821584111955387</t>
  </si>
  <si>
    <t>0.08332283141477584</t>
  </si>
  <si>
    <t>1.0619240364804332</t>
  </si>
  <si>
    <t>-0.11105360659152504</t>
  </si>
  <si>
    <t>0.2140510089290649</t>
  </si>
  <si>
    <t>0.7454085583426647</t>
  </si>
  <si>
    <t>-0.7677119710739457</t>
  </si>
  <si>
    <t>1.2467956160468927</t>
  </si>
  <si>
    <t>0.1240352577641891</t>
  </si>
  <si>
    <t>0.0050501805672158165</t>
  </si>
  <si>
    <t>-0.14709844939866437</t>
  </si>
  <si>
    <t>0.6060788228255031</t>
  </si>
  <si>
    <t>0.02095590073084029</t>
  </si>
  <si>
    <t>-1.035601649604053</t>
  </si>
  <si>
    <t>0.5705500879634945</t>
  </si>
  <si>
    <t>0.37652811206205755</t>
  </si>
  <si>
    <t>-0.09157421523836569</t>
  </si>
  <si>
    <t>2.1184560111106068</t>
  </si>
  <si>
    <t>0.9462108356159493</t>
  </si>
  <si>
    <t>-1.6618608630965677</t>
  </si>
  <si>
    <t>1.08799827350552</t>
  </si>
  <si>
    <t>1.8957147172535633</t>
  </si>
  <si>
    <t>-0.22576355310112414</t>
  </si>
  <si>
    <t>0.5109043802943027</t>
  </si>
  <si>
    <t>0.5650844379721576</t>
  </si>
  <si>
    <t>0.7795609707062248</t>
  </si>
  <si>
    <t>0.6771496920563128</t>
  </si>
  <si>
    <t>-1.0098387822452684</t>
  </si>
  <si>
    <t>-0.43476118674559544</t>
  </si>
  <si>
    <t>-0.6256909301445067</t>
  </si>
  <si>
    <t>-0.6277164811483542</t>
  </si>
  <si>
    <t>-0.014214131922230996</t>
  </si>
  <si>
    <t>-0.46765642090499954</t>
  </si>
  <si>
    <t>-0.3589413181750542</t>
  </si>
  <si>
    <t>-0.5139768047358552</t>
  </si>
  <si>
    <t>-0.06085992894365421</t>
  </si>
  <si>
    <t>-0.5538858336453714</t>
  </si>
  <si>
    <t>0.6404147596069591</t>
  </si>
  <si>
    <t>-0.18573620715628542</t>
  </si>
  <si>
    <t>-0.012154905851037666</t>
  </si>
  <si>
    <t>-0.15074494176199557</t>
  </si>
  <si>
    <t>-0.34094856927315903</t>
  </si>
  <si>
    <t>-0.4753042652654688</t>
  </si>
  <si>
    <t>0.5569871207132147</t>
  </si>
  <si>
    <t>0.5686444405247693</t>
  </si>
  <si>
    <t>0.3126307102269835</t>
  </si>
  <si>
    <t>0.5142175034383087</t>
  </si>
  <si>
    <t>-0.29051660207377616</t>
  </si>
  <si>
    <t>-0.10687001052942778</t>
  </si>
  <si>
    <t>0.4572111896874252</t>
  </si>
  <si>
    <t>0.20094765796690606</t>
  </si>
  <si>
    <t>-0.3487296720818375</t>
  </si>
  <si>
    <t>-0.3302239900434651</t>
  </si>
  <si>
    <t>-0.28473388873903155</t>
  </si>
  <si>
    <t>0.10544667178894866</t>
  </si>
  <si>
    <t>0.07922768107814847</t>
  </si>
  <si>
    <t>-0.14269074588271471</t>
  </si>
  <si>
    <t>1.2199177568721224</t>
  </si>
  <si>
    <t>0.4771527715860497</t>
  </si>
  <si>
    <t>0.7857066157942083</t>
  </si>
  <si>
    <t>0.3898385290559193</t>
  </si>
  <si>
    <t>0.08640419738975309</t>
  </si>
  <si>
    <t>1.434869085819094</t>
  </si>
  <si>
    <t>-0.6235932800875719</t>
  </si>
  <si>
    <t>-0.25192532729976197</t>
  </si>
  <si>
    <t>0.15344815277369905</t>
  </si>
  <si>
    <t>0.7749068101267018</t>
  </si>
  <si>
    <t>-0.2989479734947618</t>
  </si>
  <si>
    <t>1.0440335701315975</t>
  </si>
  <si>
    <t>-0.33603462647275323</t>
  </si>
  <si>
    <t>0.20443146802600062</t>
  </si>
  <si>
    <t>0.40658224822063316</t>
  </si>
  <si>
    <t>0.46370128083535533</t>
  </si>
  <si>
    <t>0.02420029813239758</t>
  </si>
  <si>
    <t>-0.5601647433066085</t>
  </si>
  <si>
    <t>0.4660284474863372</t>
  </si>
  <si>
    <t>-1.1335247051244086</t>
  </si>
  <si>
    <t>-1.092950807556052</t>
  </si>
  <si>
    <t>0.4021053686002739</t>
  </si>
  <si>
    <t>-1.4053595669072927</t>
  </si>
  <si>
    <t>-0.243451652332428</t>
  </si>
  <si>
    <t>-0.6299848151787126</t>
  </si>
  <si>
    <t>2.1937200449264327</t>
  </si>
  <si>
    <t>-0.4668177401102669</t>
  </si>
  <si>
    <t>1.4713163188975797</t>
  </si>
  <si>
    <t>0.6167630125575632</t>
  </si>
  <si>
    <t>-1.0908415900221424</t>
  </si>
  <si>
    <t>1.585360538953153</t>
  </si>
  <si>
    <t>1.0983596049494597</t>
  </si>
  <si>
    <t>1.1830896799417119</t>
  </si>
  <si>
    <t>-0.19157959146402606</t>
  </si>
  <si>
    <t>-1.100473176012951</t>
  </si>
  <si>
    <t>-0.27285446434090643</t>
  </si>
  <si>
    <t>-0.2367098811921773</t>
  </si>
  <si>
    <t>0.5401651113546453</t>
  </si>
  <si>
    <t>-0.9903240903662405</t>
  </si>
  <si>
    <t>0.01647943354275492</t>
  </si>
  <si>
    <t>-0.5355367846698963</t>
  </si>
  <si>
    <t>0.9173222632920557</t>
  </si>
  <si>
    <t>0.5913002070502639</t>
  </si>
  <si>
    <t>-0.16539680207912916</t>
  </si>
  <si>
    <t>-0.08206198148204102</t>
  </si>
  <si>
    <t>-0.39701129462909357</t>
  </si>
  <si>
    <t>0.31874350922914</t>
  </si>
  <si>
    <t>-0.6593245610876955</t>
  </si>
  <si>
    <t>-0.10475542855867072</t>
  </si>
  <si>
    <t>-1.818625231188891</t>
  </si>
  <si>
    <t>0.6946184814297494</t>
  </si>
  <si>
    <t>-1.603572224414068</t>
  </si>
  <si>
    <t>-1.3413212879554275</t>
  </si>
  <si>
    <t>-0.0718275894340681</t>
  </si>
  <si>
    <t>-0.2489101512098916</t>
  </si>
  <si>
    <t>1.9086463838705978</t>
  </si>
  <si>
    <t>-0.9567704439291254</t>
  </si>
  <si>
    <t>0.16479930288938088</t>
  </si>
  <si>
    <t>1.3376134163215618</t>
  </si>
  <si>
    <t>-0.8124013637338171</t>
  </si>
  <si>
    <t>0.3296825965643884</t>
  </si>
  <si>
    <t>-0.22561027634571468</t>
  </si>
  <si>
    <t>0.07603644174137998</t>
  </si>
  <si>
    <t>-1.5784514536107221</t>
  </si>
  <si>
    <t>-1.033091091191849</t>
  </si>
  <si>
    <t>-0.3189517073082358</t>
  </si>
  <si>
    <t>-1.289475250427501</t>
  </si>
  <si>
    <t>-1.1770515595974367</t>
  </si>
  <si>
    <t>-0.207441639949435</t>
  </si>
  <si>
    <t>0.5541701337635111</t>
  </si>
  <si>
    <t>-1.0009073679708733</t>
  </si>
  <si>
    <t>1.4746480911693007</t>
  </si>
  <si>
    <t>-0.496400506302692</t>
  </si>
  <si>
    <t>1.2650965498355913</t>
  </si>
  <si>
    <t>-0.46414687668198384</t>
  </si>
  <si>
    <t>-0.7757165654867635</t>
  </si>
  <si>
    <t>0.01455613510397825</t>
  </si>
  <si>
    <t>0.8317124014806068</t>
  </si>
  <si>
    <t>-0.18783959498153888</t>
  </si>
  <si>
    <t>-0.0763704582640753</t>
  </si>
  <si>
    <t>-0.5888393015185666</t>
  </si>
  <si>
    <t>0.26128243188984396</t>
  </si>
  <si>
    <t>-0.17886141526060043</t>
  </si>
  <si>
    <t>-0.5694045176736929</t>
  </si>
  <si>
    <t>-0.11616541356040026</t>
  </si>
  <si>
    <t>0.9787038818334177</t>
  </si>
  <si>
    <t>0.6058495363525552</t>
  </si>
  <si>
    <t>0.014933829954128784</t>
  </si>
  <si>
    <t>-0.8081839726047936</t>
  </si>
  <si>
    <t>-0.4614011017127386</t>
  </si>
  <si>
    <t>-0.02656370793374441</t>
  </si>
  <si>
    <t>0.10170100840059491</t>
  </si>
  <si>
    <t>-0.2589498183992831</t>
  </si>
  <si>
    <t>1.0498973852404536</t>
  </si>
  <si>
    <t>-0.14720436975968962</t>
  </si>
  <si>
    <t>-0.6198316257087902</t>
  </si>
  <si>
    <t>1.465580632729039</t>
  </si>
  <si>
    <t>0.7841898694282478</t>
  </si>
  <si>
    <t>-1.3617330109474095</t>
  </si>
  <si>
    <t>1.9074543923132048</t>
  </si>
  <si>
    <t>-1.0806465522067452</t>
  </si>
  <si>
    <t>-0.07588466524756257</t>
  </si>
  <si>
    <t>-0.42434281990870604</t>
  </si>
  <si>
    <t>0.20613355039949002</t>
  </si>
  <si>
    <t>-0.13520510469958621</t>
  </si>
  <si>
    <t>0.15130349921243513</t>
  </si>
  <si>
    <t>-1.287424660591001</t>
  </si>
  <si>
    <t>-0.5565548208155909</t>
  </si>
  <si>
    <t>-0.06475537431350825</t>
  </si>
  <si>
    <t>0.029403372635763512</t>
  </si>
  <si>
    <t>-0.29789307449007435</t>
  </si>
  <si>
    <t>0.19331546169976505</t>
  </si>
  <si>
    <t>0.1844258320609163</t>
  </si>
  <si>
    <t>-0.21106545275080607</t>
  </si>
  <si>
    <t>-0.340222707681339</t>
  </si>
  <si>
    <t>0.0891884664102589</t>
  </si>
  <si>
    <t>-0.11771869726958233</t>
  </si>
  <si>
    <t>-0.5122618438906388</t>
  </si>
  <si>
    <t>1.0966943334678907</t>
  </si>
  <si>
    <t>0.19569358098259337</t>
  </si>
  <si>
    <t>0.5979512417071554</t>
  </si>
  <si>
    <t>-0.295775733897748</t>
  </si>
  <si>
    <t>-0.289392380462563</t>
  </si>
  <si>
    <t>-1.0572399668444887</t>
  </si>
  <si>
    <t>0.8934453221387202</t>
  </si>
  <si>
    <t>1.2611911752958855</t>
  </si>
  <si>
    <t>-1.8236431290333257</t>
  </si>
  <si>
    <t>0.0038914574259325614</t>
  </si>
  <si>
    <t>-0.1721596722262324</t>
  </si>
  <si>
    <t>-0.33636976545621605</t>
  </si>
  <si>
    <t>0.08423449234685114</t>
  </si>
  <si>
    <t>-1.7041495723018172</t>
  </si>
  <si>
    <t>-1.100867513313911</t>
  </si>
  <si>
    <t>0.15134628961388125</t>
  </si>
  <si>
    <t>-0.519266891939327</t>
  </si>
  <si>
    <t>-0.5145981926991283</t>
  </si>
  <si>
    <t>-0.030407765537871473</t>
  </si>
  <si>
    <t>0.09997952395051851</t>
  </si>
  <si>
    <t>-0.8526900260505964</t>
  </si>
  <si>
    <t>0.48625026147844175</t>
  </si>
  <si>
    <t>2.175652941228625</t>
  </si>
  <si>
    <t>-0.13998902533239305</t>
  </si>
  <si>
    <t>0.14537975477866258</t>
  </si>
  <si>
    <t>2.0138154996949456</t>
  </si>
  <si>
    <t>-0.12029427753565566</t>
  </si>
  <si>
    <t>1.3340206397795988</t>
  </si>
  <si>
    <t>-0.4179426363954015</t>
  </si>
  <si>
    <t>-0.633146528719354</t>
  </si>
  <si>
    <t>-1.1789900825714916</t>
  </si>
  <si>
    <t>-0.14793415259208748</t>
  </si>
  <si>
    <t>0.3628355186691263</t>
  </si>
  <si>
    <t>0.07074336979662264</t>
  </si>
  <si>
    <t>-0.3426552245893426</t>
  </si>
  <si>
    <t>-0.6520770281120882</t>
  </si>
  <si>
    <t>-0.9711004612649188</t>
  </si>
  <si>
    <t>-0.21148253648456591</t>
  </si>
  <si>
    <t>-0.30615505588091924</t>
  </si>
  <si>
    <t>-0.5407319566208393</t>
  </si>
  <si>
    <t>-0.6701761728895789</t>
  </si>
  <si>
    <t>-0.644865652300431</t>
  </si>
  <si>
    <t>0.5868073189353634</t>
  </si>
  <si>
    <t>-0.22531245887555792</t>
  </si>
  <si>
    <t>0.45490880464347766</t>
  </si>
  <si>
    <t>2.9556949825602343</t>
  </si>
  <si>
    <t>-2.251659325044817</t>
  </si>
  <si>
    <t>-1.954537148163657</t>
  </si>
  <si>
    <t>0.0872670784110635</t>
  </si>
  <si>
    <t>0.12460082176979158</t>
  </si>
  <si>
    <t>-1.0225180550828605</t>
  </si>
  <si>
    <t>-0.2715909784569387</t>
  </si>
  <si>
    <t>0.7341200026124046</t>
  </si>
  <si>
    <t>-0.33620556571546684</t>
  </si>
  <si>
    <t>-0.14386584283677792</t>
  </si>
  <si>
    <t>-1.459585849234148</t>
  </si>
  <si>
    <t>1.019753884114339</t>
  </si>
  <si>
    <t>-0.4591569294356562</t>
  </si>
  <si>
    <t>1.6140095504139091</t>
  </si>
  <si>
    <t>-1.0140038915318497</t>
  </si>
  <si>
    <t>1.0597840184403635</t>
  </si>
  <si>
    <t>-1.0578166317142077</t>
  </si>
  <si>
    <t>0.8760158544191221</t>
  </si>
  <si>
    <t>0.5200287838634113</t>
  </si>
  <si>
    <t>-1.2553229025778383</t>
  </si>
  <si>
    <t>-0.6274089271572902</t>
  </si>
  <si>
    <t>0.05879224230090773</t>
  </si>
  <si>
    <t>0.8431743292993041</t>
  </si>
  <si>
    <t>-0.949706248697136</t>
  </si>
  <si>
    <t>0.9138943026186679</t>
  </si>
  <si>
    <t>-0.4023616814419165</t>
  </si>
  <si>
    <t>-0.04055083200314488</t>
  </si>
  <si>
    <t>-0.10444505407326077</t>
  </si>
  <si>
    <t>1.4909046930392837</t>
  </si>
  <si>
    <t>0.3745675939629469</t>
  </si>
  <si>
    <t>-0.8583781264873664</t>
  </si>
  <si>
    <t>-0.11711576299227479</t>
  </si>
  <si>
    <t>-1.2880463093366252</t>
  </si>
  <si>
    <t>-1.3728756528841037</t>
  </si>
  <si>
    <t>-1.5514024940113187</t>
  </si>
  <si>
    <t>-0.9333796931601718</t>
  </si>
  <si>
    <t>0.6585382782192765</t>
  </si>
  <si>
    <t>0.21016411988833228</t>
  </si>
  <si>
    <t>0.16861559323857653</t>
  </si>
  <si>
    <t>-0.42056061640528114</t>
  </si>
  <si>
    <t>-1.4840620455697249</t>
  </si>
  <si>
    <t>-0.16457972479011135</t>
  </si>
  <si>
    <t>-0.6370305794247552</t>
  </si>
  <si>
    <t>0.9721984439730682</t>
  </si>
  <si>
    <t>2.0975210576181063</t>
  </si>
  <si>
    <t>0.9008000421473461</t>
  </si>
  <si>
    <t>-0.5260716563707958</t>
  </si>
  <si>
    <t>0.4340779601038763</t>
  </si>
  <si>
    <t>-0.12905720895514047</t>
  </si>
  <si>
    <t>3.3689975058932515</t>
  </si>
  <si>
    <t>-0.4152528788922601</t>
  </si>
  <si>
    <t>1.4629297834122277</t>
  </si>
  <si>
    <t>0.4516634273958114</t>
  </si>
  <si>
    <t>-0.4223282481426574</t>
  </si>
  <si>
    <t>-1.0215455984145347</t>
  </si>
  <si>
    <t>-0.3417594234333561</t>
  </si>
  <si>
    <t>-0.9876021586497582</t>
  </si>
  <si>
    <t>1.3292798783710298</t>
  </si>
  <si>
    <t>-0.7462656833824034</t>
  </si>
  <si>
    <t>-0.19790780819676546</t>
  </si>
  <si>
    <t>1.3426962132974476</t>
  </si>
  <si>
    <t>0.028229197055816318</t>
  </si>
  <si>
    <t>-0.2581940793512032</t>
  </si>
  <si>
    <t>-0.11148550158638229</t>
  </si>
  <si>
    <t>-0.5301111580127096</t>
  </si>
  <si>
    <t>1.054047809277454</t>
  </si>
  <si>
    <t>-0.5971023335910969</t>
  </si>
  <si>
    <t>-0.5318479365206051</t>
  </si>
  <si>
    <t>1.0686159098082921</t>
  </si>
  <si>
    <t>-0.4713242604957447</t>
  </si>
  <si>
    <t>0.9370991240966405</t>
  </si>
  <si>
    <t>0.8279589006727863</t>
  </si>
  <si>
    <t>-0.02234510259559004</t>
  </si>
  <si>
    <t>2.0474222175198196</t>
  </si>
  <si>
    <t>-0.33868708030313405</t>
  </si>
  <si>
    <t>-0.6679499628972981</t>
  </si>
  <si>
    <t>0.0644060286322564</t>
  </si>
  <si>
    <t>0.64122701312671</t>
  </si>
  <si>
    <t>0.2812937527834315</t>
  </si>
  <si>
    <t>1.283955926864232</t>
  </si>
  <si>
    <t>-0.7604057976720958</t>
  </si>
  <si>
    <t>1.2513310338056614</t>
  </si>
  <si>
    <t>0.22181890319407294</t>
  </si>
  <si>
    <t>-0.14269478575693115</t>
  </si>
  <si>
    <t>-1.2749145821946974</t>
  </si>
  <si>
    <t>-0.11358348424625098</t>
  </si>
  <si>
    <t>0.029963907167545923</t>
  </si>
  <si>
    <t>0.34132756025624883</t>
  </si>
  <si>
    <t>1.6932580968402435</t>
  </si>
  <si>
    <t>0.41407838796239815</t>
  </si>
  <si>
    <t>0.016303003164949592</t>
  </si>
  <si>
    <t>0.11718071134259504</t>
  </si>
  <si>
    <t>-1.1123851739061341</t>
  </si>
  <si>
    <t>-0.65501596952373</t>
  </si>
  <si>
    <t>0.24275769450611137</t>
  </si>
  <si>
    <t>-0.12681305441571802</t>
  </si>
  <si>
    <t>0.28783582916023775</t>
  </si>
  <si>
    <t>0.4394358780556768</t>
  </si>
  <si>
    <t>1.4260141654877276</t>
  </si>
  <si>
    <t>-0.15977877156620368</t>
  </si>
  <si>
    <t>0.9163781434263344</t>
  </si>
  <si>
    <t>0.6037652254126114</t>
  </si>
  <si>
    <t>-0.0037362531534279354</t>
  </si>
  <si>
    <t>-1.016300316400947</t>
  </si>
  <si>
    <t>3.2555718159510776</t>
  </si>
  <si>
    <t>-1.8241144842572097</t>
  </si>
  <si>
    <t>-1.2902729523125767</t>
  </si>
  <si>
    <t>2.788135945809386</t>
  </si>
  <si>
    <t>1.1143980963271347</t>
  </si>
  <si>
    <t>2.093926975064521</t>
  </si>
  <si>
    <t>-0.5696619138996802</t>
  </si>
  <si>
    <t>-0.12575748280429172</t>
  </si>
  <si>
    <t>-0.12480681174743731</t>
  </si>
  <si>
    <t>-1.3586125503522941</t>
  </si>
  <si>
    <t>-1.4150809304397483</t>
  </si>
  <si>
    <t>-0.5149478749472938</t>
  </si>
  <si>
    <t>2.8951718527133745</t>
  </si>
  <si>
    <t>-2.4527341207842293</t>
  </si>
  <si>
    <t>0.8885952791291027</t>
  </si>
  <si>
    <t>0.6935136410577675</t>
  </si>
  <si>
    <t>-0.4412107033379658</t>
  </si>
  <si>
    <t>-1.744498348498288</t>
  </si>
  <si>
    <t>-0.46530267783690615</t>
  </si>
  <si>
    <t>-0.41773926688075785</t>
  </si>
  <si>
    <t>1.2555269004769194</t>
  </si>
  <si>
    <t>-1.1114822085722935</t>
  </si>
  <si>
    <t>-0.1863990579375032</t>
  </si>
  <si>
    <t>-0.1642105462975773</t>
  </si>
  <si>
    <t>-0.09251348313507894</t>
  </si>
  <si>
    <t>1.1812813902902806</t>
  </si>
  <si>
    <t>-0.29605928871590476</t>
  </si>
  <si>
    <t>-0.262249380128043</t>
  </si>
  <si>
    <t>0.0989990118326053</t>
  </si>
  <si>
    <t>0.36714322540722844</t>
  </si>
  <si>
    <t>0.4262586529861536</t>
  </si>
  <si>
    <t>0.4730457385180072</t>
  </si>
  <si>
    <t>1.2292725747913225</t>
  </si>
  <si>
    <t>-0.31391731314902993</t>
  </si>
  <si>
    <t>0.2560908465077382</t>
  </si>
  <si>
    <t>0.26576077438687934</t>
  </si>
  <si>
    <t>1.4370640557098053</t>
  </si>
  <si>
    <t>-0.06688482833096869</t>
  </si>
  <si>
    <t>-1.5952330498561396</t>
  </si>
  <si>
    <t>-0.24266005043868266</t>
  </si>
  <si>
    <t>1.0557107432991442</t>
  </si>
  <si>
    <t>-1.819637682667666</t>
  </si>
  <si>
    <t>-0.4402226918943939</t>
  </si>
  <si>
    <t>0.8002299480908706</t>
  </si>
  <si>
    <t>-1.0478544641495975</t>
  </si>
  <si>
    <t>0.23554528693960522</t>
  </si>
  <si>
    <t>-0.3496993172023666</t>
  </si>
  <si>
    <t>-0.180196897630272</t>
  </si>
  <si>
    <t>-0.04897814835512503</t>
  </si>
  <si>
    <t>0.9440401593866884</t>
  </si>
  <si>
    <t>0.8346397146389914</t>
  </si>
  <si>
    <t>1.1741781030857457</t>
  </si>
  <si>
    <t>0.6317701811442048</t>
  </si>
  <si>
    <t>0.03752191902681867</t>
  </si>
  <si>
    <t>-0.5467464660241128</t>
  </si>
  <si>
    <t>-1.3394439706446726</t>
  </si>
  <si>
    <t>0.6125559768076168</t>
  </si>
  <si>
    <t>-0.20009307391228726</t>
  </si>
  <si>
    <t>0.4333420337224499</t>
  </si>
  <si>
    <t>-0.39800217588263015</t>
  </si>
  <si>
    <t>0.7168385620526694</t>
  </si>
  <si>
    <t>-0.9009018244657429</t>
  </si>
  <si>
    <t>-0.6001760174203807</t>
  </si>
  <si>
    <t>-0.28235637850651396</t>
  </si>
  <si>
    <t>0.4903419324231567</t>
  </si>
  <si>
    <t>-0.9896985681341876</t>
  </si>
  <si>
    <t>2.10299483016804</t>
  </si>
  <si>
    <t>-0.5965008687409885</t>
  </si>
  <si>
    <t>0.6532523917863825</t>
  </si>
  <si>
    <t>-0.13184495261160645</t>
  </si>
  <si>
    <t>-0.5677261211820129</t>
  </si>
  <si>
    <t>0.46310734468706594</t>
  </si>
  <si>
    <t>0.603283199898162</t>
  </si>
  <si>
    <t>0.2899785070657618</t>
  </si>
  <si>
    <t>-0.3364079419438828</t>
  </si>
  <si>
    <t>-0.9560853521110378</t>
  </si>
  <si>
    <t>-1.0869855182832364</t>
  </si>
  <si>
    <t>0.7438863542537912</t>
  </si>
  <si>
    <t>-0.3257713481992854</t>
  </si>
  <si>
    <t>1.283957031515181</t>
  </si>
  <si>
    <t>-0.3914053103221243</t>
  </si>
  <si>
    <t>-0.58447409635143</t>
  </si>
  <si>
    <t>0.3187997619278938</t>
  </si>
  <si>
    <t>1.5385766626009127</t>
  </si>
  <si>
    <t>-0.18431388580125604</t>
  </si>
  <si>
    <t>0.08577678802869784</t>
  </si>
  <si>
    <t>0.173430849896472</t>
  </si>
  <si>
    <t>0.10519604806391865</t>
  </si>
  <si>
    <t>-0.22612407513983074</t>
  </si>
  <si>
    <t>0.006475898152218928</t>
  </si>
  <si>
    <t>-0.8811195527743914</t>
  </si>
  <si>
    <t>1.7247991223922534</t>
  </si>
  <si>
    <t>0.12744569324129978</t>
  </si>
  <si>
    <t>-0.014449277870578986</t>
  </si>
  <si>
    <t>-0.4456366611216858</t>
  </si>
  <si>
    <t>0.1441081396221511</t>
  </si>
  <si>
    <t>-0.04671743470196178</t>
  </si>
  <si>
    <t>0.4265745210725239</t>
  </si>
  <si>
    <t>1.5054825444845994</t>
  </si>
  <si>
    <t>1.6751550686947125</t>
  </si>
  <si>
    <t>-0.615618134214897</t>
  </si>
  <si>
    <t>0.9702727883122023</t>
  </si>
  <si>
    <t>0.8905403692019307</t>
  </si>
  <si>
    <t>0.318469935048726</t>
  </si>
  <si>
    <t>0.3076914271026779</t>
  </si>
  <si>
    <t>-0.6714674742189204</t>
  </si>
  <si>
    <t>0.5433362715278192</t>
  </si>
  <si>
    <t>-0.5703103482875383</t>
  </si>
  <si>
    <t>0.2494671234361136</t>
  </si>
  <si>
    <t>0.496278537683843</t>
  </si>
  <si>
    <t>0.31765769935635835</t>
  </si>
  <si>
    <t>1.9109142487850181</t>
  </si>
  <si>
    <t>0.04054959457607833</t>
  </si>
  <si>
    <t>0.028244243499428043</t>
  </si>
  <si>
    <t>-0.3483188688550527</t>
  </si>
  <si>
    <t>0.864584425734788</t>
  </si>
  <si>
    <t>-0.15509534559436483</t>
  </si>
  <si>
    <t>-0.751805099371034</t>
  </si>
  <si>
    <t>-1.3904328261689705</t>
  </si>
  <si>
    <t>0.5440739515062042</t>
  </si>
  <si>
    <t>1.2541498351004734</t>
  </si>
  <si>
    <t>-0.0022814058457468873</t>
  </si>
  <si>
    <t>0.2494273548624086</t>
  </si>
  <si>
    <t>0.7701558764628368</t>
  </si>
  <si>
    <t>1.0230727967917599</t>
  </si>
  <si>
    <t>0.05877590390811132</t>
  </si>
  <si>
    <t>0.2037241627367468</t>
  </si>
  <si>
    <t>0.9006079970002501</t>
  </si>
  <si>
    <t>0.5150021783997636</t>
  </si>
  <si>
    <t>0.5066529726113959</t>
  </si>
  <si>
    <t>-0.5939566392914134</t>
  </si>
  <si>
    <t>-0.3162305567030545</t>
  </si>
  <si>
    <t>-0.23548897855696516</t>
  </si>
  <si>
    <t>-0.5711971646793611</t>
  </si>
  <si>
    <t>1.632197403870641</t>
  </si>
  <si>
    <t>0.03441986899049194</t>
  </si>
  <si>
    <t>-1.5031010823411382</t>
  </si>
  <si>
    <t>-1.3530947528833757</t>
  </si>
  <si>
    <t>0.16106917736630572</t>
  </si>
  <si>
    <t>-0.8570244494460406</t>
  </si>
  <si>
    <t>-0.07237136700683265</t>
  </si>
  <si>
    <t>0.781706447718209</t>
  </si>
  <si>
    <t>0.09451080045658529</t>
  </si>
  <si>
    <t>-0.08900541767550353</t>
  </si>
  <si>
    <t>0.20411861987356278</t>
  </si>
  <si>
    <t>0.6202666865607295</t>
  </si>
  <si>
    <t>-0.032753928127773904</t>
  </si>
  <si>
    <t>0.7364259002156186</t>
  </si>
  <si>
    <t>-0.3503840971744191</t>
  </si>
  <si>
    <t>-0.7858512973099482</t>
  </si>
  <si>
    <t>0.11288010816680723</t>
  </si>
  <si>
    <t>0.5058320244763505</t>
  </si>
  <si>
    <t>1.3392965505560095</t>
  </si>
  <si>
    <t>-0.34804657597804384</t>
  </si>
  <si>
    <t>0.04564464204575504</t>
  </si>
  <si>
    <t>-0.8936040534858316</t>
  </si>
  <si>
    <t>-1.4168021075348152</t>
  </si>
  <si>
    <t>0.5694105093404057</t>
  </si>
  <si>
    <t>-0.08406168196090011</t>
  </si>
  <si>
    <t>1.1981458008705723</t>
  </si>
  <si>
    <t>-0.6155545171868021</t>
  </si>
  <si>
    <t>-0.5655425861127541</t>
  </si>
  <si>
    <t>-0.10861507384564352</t>
  </si>
  <si>
    <t>1.303583822994006</t>
  </si>
  <si>
    <t>-0.2120393620623796</t>
  </si>
  <si>
    <t>-0.2028052424256267</t>
  </si>
  <si>
    <t>1.3053976564096643</t>
  </si>
  <si>
    <t>-0.042473202805222106</t>
  </si>
  <si>
    <t>-1.009019216357995</t>
  </si>
  <si>
    <t>0.5275784224878649</t>
  </si>
  <si>
    <t>-0.32836616438811833</t>
  </si>
  <si>
    <t>0.858937626936436</t>
  </si>
  <si>
    <t>0.3976567284588876</t>
  </si>
  <si>
    <t>-0.7296218995099935</t>
  </si>
  <si>
    <t>1.4376411211334676</t>
  </si>
  <si>
    <t>-1.6660076832024333</t>
  </si>
  <si>
    <t>-0.3958541457088898</t>
  </si>
  <si>
    <t>0.16025889017429373</t>
  </si>
  <si>
    <t>-1.4449901260653326</t>
  </si>
  <si>
    <t>0.8850977803759031</t>
  </si>
  <si>
    <t>-0.3582696796785569</t>
  </si>
  <si>
    <t>1.269925031279007</t>
  </si>
  <si>
    <t>-1.2960166360445118</t>
  </si>
  <si>
    <t>1.2440095772760735</t>
  </si>
  <si>
    <t>0.5337327691647933</t>
  </si>
  <si>
    <t>-0.5618520689738926</t>
  </si>
  <si>
    <t>-0.6261696793520931</t>
  </si>
  <si>
    <t>-0.2331328755046371</t>
  </si>
  <si>
    <t>-0.7227725758820046</t>
  </si>
  <si>
    <t>-0.10642352413383838</t>
  </si>
  <si>
    <t>0.44053940710501815</t>
  </si>
  <si>
    <t>-0.2580882382543938</t>
  </si>
  <si>
    <t>-0.13683266163265148</t>
  </si>
  <si>
    <t>-0.7915304011952913</t>
  </si>
  <si>
    <t>-1.3329617620027623</t>
  </si>
  <si>
    <t>-0.9327684013472017</t>
  </si>
  <si>
    <t>0.17456483198615655</t>
  </si>
  <si>
    <t>0.14506999353383526</t>
  </si>
  <si>
    <t>-0.4739030754459258</t>
  </si>
  <si>
    <t>-0.06700428208966341</t>
  </si>
  <si>
    <t>-0.5953315088277015</t>
  </si>
  <si>
    <t>0.34862865860788433</t>
  </si>
  <si>
    <t>-0.040408541856737534</t>
  </si>
  <si>
    <t>-0.4761400594185857</t>
  </si>
  <si>
    <t>1.1225783145190094</t>
  </si>
  <si>
    <t>-0.8941710146177738</t>
  </si>
  <si>
    <t>0.10742526429071636</t>
  </si>
  <si>
    <t>-0.41808042061820383</t>
  </si>
  <si>
    <t>-0.6895463426965819</t>
  </si>
  <si>
    <t>-0.5072390058469001</t>
  </si>
  <si>
    <t>0.4134185664804247</t>
  </si>
  <si>
    <t>-0.5434378409629285</t>
  </si>
  <si>
    <t>-0.10713788856443614</t>
  </si>
  <si>
    <t>0.928766476115147</t>
  </si>
  <si>
    <t>0.42805554202961865</t>
  </si>
  <si>
    <t>0.8332973291287511</t>
  </si>
  <si>
    <t>-0.1979838987808288</t>
  </si>
  <si>
    <t>-0.062077056343311524</t>
  </si>
  <si>
    <t>-0.2899914210253641</t>
  </si>
  <si>
    <t>-0.26268561391680084</t>
  </si>
  <si>
    <t>-0.5999589466292147</t>
  </si>
  <si>
    <t>-0.013175753496651442</t>
  </si>
  <si>
    <t>-0.902061204299264</t>
  </si>
  <si>
    <t>0.1422356137490212</t>
  </si>
  <si>
    <t>-0.5495413660743899</t>
  </si>
  <si>
    <t>0.8601831456309137</t>
  </si>
  <si>
    <t>0.3479768850336968</t>
  </si>
  <si>
    <t>-0.00209609376279748</t>
  </si>
  <si>
    <t>0.7016904605447507</t>
  </si>
  <si>
    <t>-0.3212611070867353</t>
  </si>
  <si>
    <t>-0.6297442311655465</t>
  </si>
  <si>
    <t>0.7171337543682396</t>
  </si>
  <si>
    <t>-1.320063486078857</t>
  </si>
  <si>
    <t>0.6063305089364512</t>
  </si>
  <si>
    <t>-0.42773258558946897</t>
  </si>
  <si>
    <t>-0.007110312131994345</t>
  </si>
  <si>
    <t>0.43721703145527435</t>
  </si>
  <si>
    <t>-0.4153237331897293</t>
  </si>
  <si>
    <t>0.11637979347372912</t>
  </si>
  <si>
    <t>0.09409261333050897</t>
  </si>
  <si>
    <t>-0.3464000095431272</t>
  </si>
  <si>
    <t>0.26252602927402535</t>
  </si>
  <si>
    <t>-0.2627572161813333</t>
  </si>
  <si>
    <t>-0.22517899757146703</t>
  </si>
  <si>
    <t>-0.840999947474763</t>
  </si>
  <si>
    <t>0.31421464160169443</t>
  </si>
  <si>
    <t>0.4098449329819528</t>
  </si>
  <si>
    <t>1.3778124820620308</t>
  </si>
  <si>
    <t>0.3360786064030728</t>
  </si>
  <si>
    <t>-0.2169778489558886</t>
  </si>
  <si>
    <t>-0.43230146613331966</t>
  </si>
  <si>
    <t>0.8740699287790107</t>
  </si>
  <si>
    <t>-0.10279605654583326</t>
  </si>
  <si>
    <t>-0.580971195113569</t>
  </si>
  <si>
    <t>0.10045617614782563</t>
  </si>
  <si>
    <t>0.991080691308439</t>
  </si>
  <si>
    <t>-1.3492449540133464</t>
  </si>
  <si>
    <t>-0.07343490175615659</t>
  </si>
  <si>
    <t>0.05328552117554376</t>
  </si>
  <si>
    <t>-0.8396786792320995</t>
  </si>
  <si>
    <t>0.2603861016862164</t>
  </si>
  <si>
    <t>-0.5678566330805531</t>
  </si>
  <si>
    <t>-0.11462744039447936</t>
  </si>
  <si>
    <t>0.3222005300706093</t>
  </si>
  <si>
    <t>0.5149926725213877</t>
  </si>
  <si>
    <t>-0.5704357367563119</t>
  </si>
  <si>
    <t>0.35834587838852483</t>
  </si>
  <si>
    <t>0.7889529419503116</t>
  </si>
  <si>
    <t>0.6318791801979622</t>
  </si>
  <si>
    <t>0.43039346855434585</t>
  </si>
  <si>
    <t>0.14581013981462554</t>
  </si>
  <si>
    <t>-0.4781771119036518</t>
  </si>
  <si>
    <t>-0.7810636158293864</t>
  </si>
  <si>
    <t>0.2816527218161015</t>
  </si>
  <si>
    <t>0.5878248948371922</t>
  </si>
  <si>
    <t>1.887678340872901</t>
  </si>
  <si>
    <t>-0.24627219335179126</t>
  </si>
  <si>
    <t>0.090289876148709</t>
  </si>
  <si>
    <t>0.1959600448491886</t>
  </si>
  <si>
    <t>-0.5008154036515102</t>
  </si>
  <si>
    <t>0.3142266007875947</t>
  </si>
  <si>
    <t>-0.5976906670233569</t>
  </si>
  <si>
    <t>1.0032702570030643</t>
  </si>
  <si>
    <t>0.34708025851958707</t>
  </si>
  <si>
    <t>-1.5478058864387072</t>
  </si>
  <si>
    <t>1.2123566609487346</t>
  </si>
  <si>
    <t>-0.38394439319246887</t>
  </si>
  <si>
    <t>-1.1766385981095913</t>
  </si>
  <si>
    <t>0.00808880563629249</t>
  </si>
  <si>
    <t>-0.188484585111319</t>
  </si>
  <si>
    <t>0.42400294193035953</t>
  </si>
  <si>
    <t>-0.31454896455639303</t>
  </si>
  <si>
    <t>0.9011882086216306</t>
  </si>
  <si>
    <t>-3.1607302181540717</t>
  </si>
  <si>
    <t>-1.8515247563403026</t>
  </si>
  <si>
    <t>1.1354399446892187</t>
  </si>
  <si>
    <t>-0.36986546759266914</t>
  </si>
  <si>
    <t>0.3448852399006323</t>
  </si>
  <si>
    <t>-0.25209643114845487</t>
  </si>
  <si>
    <t>-1.094604824905167</t>
  </si>
  <si>
    <t>1.1875734895757553</t>
  </si>
  <si>
    <t>0.01649567947388367</t>
  </si>
  <si>
    <t>0.047884406106501784</t>
  </si>
  <si>
    <t>-0.5468483750027368</t>
  </si>
  <si>
    <t>-0.9553661435962892</t>
  </si>
  <si>
    <t>0.4624448531228449</t>
  </si>
  <si>
    <t>0.6654336229284001</t>
  </si>
  <si>
    <t>-0.27011450976316354</t>
  </si>
  <si>
    <t>0.08604157847546283</t>
  </si>
  <si>
    <t>0.03718721882068488</t>
  </si>
  <si>
    <t>0.10898456393396032</t>
  </si>
  <si>
    <t>0.3075083661321832</t>
  </si>
  <si>
    <t>0.5913646593473728</t>
  </si>
  <si>
    <t>-0.8103806669572747</t>
  </si>
  <si>
    <t>-0.8750846686389249</t>
  </si>
  <si>
    <t>0.6098317115164003</t>
  </si>
  <si>
    <t>2.1058205855246226</t>
  </si>
  <si>
    <t>0.5760121688950132</t>
  </si>
  <si>
    <t>1.0430136120875975</t>
  </si>
  <si>
    <t>-0.5946920555879566</t>
  </si>
  <si>
    <t>-0.4586069729614431</t>
  </si>
  <si>
    <t>0.2470441798959558</t>
  </si>
  <si>
    <t>-0.5229372419955495</t>
  </si>
  <si>
    <t>0.9992979431748402</t>
  </si>
  <si>
    <t>0.8590628543506973</t>
  </si>
  <si>
    <t>-1.685183697122406</t>
  </si>
  <si>
    <t>0.3240185130991614</t>
  </si>
  <si>
    <t>0.03831521945275489</t>
  </si>
  <si>
    <t>-0.2046194485316736</t>
  </si>
  <si>
    <t>0.0866189340396909</t>
  </si>
  <si>
    <t>-0.8208874227444583</t>
  </si>
  <si>
    <t>-1.2237235824763102</t>
  </si>
  <si>
    <t>0.9968597769959308</t>
  </si>
  <si>
    <t>-0.23680142816836613</t>
  </si>
  <si>
    <t>0.6693782306958601</t>
  </si>
  <si>
    <t>-0.5067245641485705</t>
  </si>
  <si>
    <t>-1.7368607159297995</t>
  </si>
  <si>
    <t>0.39786063947542405</t>
  </si>
  <si>
    <t>-0.02108539552864681</t>
  </si>
  <si>
    <t>0.20440230973924117</t>
  </si>
  <si>
    <t>-1.049087285177616</t>
  </si>
  <si>
    <t>0.10457219799702823</t>
  </si>
  <si>
    <t>-0.576062917276849</t>
  </si>
  <si>
    <t>-0.09331036088117659</t>
  </si>
  <si>
    <t>-0.11655800079379426</t>
  </si>
  <si>
    <t>1.0927503767020113</t>
  </si>
  <si>
    <t>-2.0290968504012974</t>
  </si>
  <si>
    <t>0.31562119397158955</t>
  </si>
  <si>
    <t>-0.5030308629166634</t>
  </si>
  <si>
    <t>1.5778933315168793</t>
  </si>
  <si>
    <t>-1.7234877717475188</t>
  </si>
  <si>
    <t>-0.4469725938139057</t>
  </si>
  <si>
    <t>-0.5709876610978903</t>
  </si>
  <si>
    <t>-0.5199558423777741</t>
  </si>
  <si>
    <t>0.24391011201975454</t>
  </si>
  <si>
    <t>0.8195293497647916</t>
  </si>
  <si>
    <t>-0.029535972564464406</t>
  </si>
  <si>
    <t>0.34285285763531326</t>
  </si>
  <si>
    <t>0.1039330747559004</t>
  </si>
  <si>
    <t>-0.28911049362579566</t>
  </si>
  <si>
    <t>1.1213118724137459</t>
  </si>
  <si>
    <t>0.021411334212409962</t>
  </si>
  <si>
    <t>-1.0019650740146362</t>
  </si>
  <si>
    <t>0.12708710600136924</t>
  </si>
  <si>
    <t>-0.6157657536653313</t>
  </si>
  <si>
    <t>-0.22814661614226053</t>
  </si>
  <si>
    <t>-0.725489674082042</t>
  </si>
  <si>
    <t>0.6651078014607853</t>
  </si>
  <si>
    <t>-0.18506217132418323</t>
  </si>
  <si>
    <t>-0.6874523569776155</t>
  </si>
  <si>
    <t>0.0689903345748046</t>
  </si>
  <si>
    <t>-1.6216147782483816</t>
  </si>
  <si>
    <t>-0.06704545469681938</t>
  </si>
  <si>
    <t>0.010185384348775365</t>
  </si>
  <si>
    <t>-0.7636960849439121</t>
  </si>
  <si>
    <t>0.8371647336567726</t>
  </si>
  <si>
    <t>0.014230714448405969</t>
  </si>
  <si>
    <t>-1.2318233863934238</t>
  </si>
  <si>
    <t>0.18864904489843387</t>
  </si>
  <si>
    <t>0.309147239915855</t>
  </si>
  <si>
    <t>0.004148746692874937</t>
  </si>
  <si>
    <t>0.5307526981342746</t>
  </si>
  <si>
    <t>0.709594923362526</t>
  </si>
  <si>
    <t>0.8858015211163615</t>
  </si>
  <si>
    <t>0.3332962878495054</t>
  </si>
  <si>
    <t>0.8345357921883797</t>
  </si>
  <si>
    <t>0.22308351584309</t>
  </si>
  <si>
    <t>0.25472672819130576</t>
  </si>
  <si>
    <t>-0.5371904636424705</t>
  </si>
  <si>
    <t>-0.28607032290957735</t>
  </si>
  <si>
    <t>0.03535014147007769</t>
  </si>
  <si>
    <t>0.2263547663442056</t>
  </si>
  <si>
    <t>0.5604881969901788</t>
  </si>
  <si>
    <t>-0.5909482740086366</t>
  </si>
  <si>
    <t>1.2626374345850262</t>
  </si>
  <si>
    <t>0.07061786003975791</t>
  </si>
  <si>
    <t>-0.41415620718038854</t>
  </si>
  <si>
    <t>0.11699446657809358</t>
  </si>
  <si>
    <t>-0.2048220992577665</t>
  </si>
  <si>
    <t>1.1060537387768723</t>
  </si>
  <si>
    <t>0.15250479581302745</t>
  </si>
  <si>
    <t>0.07906867912361097</t>
  </si>
  <si>
    <t>-0.15095673067995033</t>
  </si>
  <si>
    <t>0.05147170107256735</t>
  </si>
  <si>
    <t>-0.320728555210688</t>
  </si>
  <si>
    <t>0.20344339146564241</t>
  </si>
  <si>
    <t>-0.5275460271777778</t>
  </si>
  <si>
    <t>0.9094325870687746</t>
  </si>
  <si>
    <t>-1.66670755682995</t>
  </si>
  <si>
    <t>-0.2503293438671867</t>
  </si>
  <si>
    <t>-0.3666174114779455</t>
  </si>
  <si>
    <t>-0.06797670221493804</t>
  </si>
  <si>
    <t>0.7491940961115994</t>
  </si>
  <si>
    <t>-0.15152584921237985</t>
  </si>
  <si>
    <t>0.7620184183361445</t>
  </si>
  <si>
    <t>1.1586507209534094</t>
  </si>
  <si>
    <t>-0.8226663971209804</t>
  </si>
  <si>
    <t>0.5322939840609607</t>
  </si>
  <si>
    <t>0.25774083396168335</t>
  </si>
  <si>
    <t>-0.19881662461089672</t>
  </si>
  <si>
    <t>0.774027381251866</t>
  </si>
  <si>
    <t>-0.4956410197899505</t>
  </si>
  <si>
    <t>-0.28966725478866634</t>
  </si>
  <si>
    <t>0.6323724628864086</t>
  </si>
  <si>
    <t>-0.540694241407336</t>
  </si>
  <si>
    <t>0.06218217668191324</t>
  </si>
  <si>
    <t>-0.25218544359062617</t>
  </si>
  <si>
    <t>0.24837791071312915</t>
  </si>
  <si>
    <t>0.7656376825475594</t>
  </si>
  <si>
    <t>-1.2932905847061864</t>
  </si>
  <si>
    <t>-1.226249424828035</t>
  </si>
  <si>
    <t>0.6227216596916613</t>
  </si>
  <si>
    <t>0.11186020214090109</t>
  </si>
  <si>
    <t>-0.9041572598391594</t>
  </si>
  <si>
    <t>-0.43041245543601825</t>
  </si>
  <si>
    <t>0.35354525680112947</t>
  </si>
  <si>
    <t>0.7754855180488852</t>
  </si>
  <si>
    <t>0.9065062822892956</t>
  </si>
  <si>
    <t>-0.4445944750674173</t>
  </si>
  <si>
    <t>-0.48549333170305015</t>
  </si>
  <si>
    <t>0.30322863880886974</t>
  </si>
  <si>
    <t>0.14271821871514562</t>
  </si>
  <si>
    <t>-0.05854381455569099</t>
  </si>
  <si>
    <t>-0.054597647048207076</t>
  </si>
  <si>
    <t>-0.48084739188001246</t>
  </si>
  <si>
    <t>-0.3662814168447605</t>
  </si>
  <si>
    <t>0.9806109758251657</t>
  </si>
  <si>
    <t>0.13310552346348054</t>
  </si>
  <si>
    <t>-0.7600512781657083</t>
  </si>
  <si>
    <t>0.7448719376282743</t>
  </si>
  <si>
    <t>0.6001323354834237</t>
  </si>
  <si>
    <t>1.0813977821197591</t>
  </si>
  <si>
    <t>-0.9255161301455376</t>
  </si>
  <si>
    <t>0.6656906182107488</t>
  </si>
  <si>
    <t>-0.803325252752262</t>
  </si>
  <si>
    <t>-0.3284920346265018</t>
  </si>
  <si>
    <t>-0.3636886980235013</t>
  </si>
  <si>
    <t>-0.3848986684061008</t>
  </si>
  <si>
    <t>-0.23439793971268644</t>
  </si>
  <si>
    <t>0.33853325645219345</t>
  </si>
  <si>
    <t>-0.003711265968469627</t>
  </si>
  <si>
    <t>0.4059819165835333</t>
  </si>
  <si>
    <t>-0.13316106908937686</t>
  </si>
  <si>
    <t>0.2176993934790635</t>
  </si>
  <si>
    <t>-0.6421068423593822</t>
  </si>
  <si>
    <t>-0.4616814810814149</t>
  </si>
  <si>
    <t>0.14372240601336442</t>
  </si>
  <si>
    <t>0.37793420864472305</t>
  </si>
  <si>
    <t>0.06380113449740993</t>
  </si>
  <si>
    <t>-0.35025021584238725</t>
  </si>
  <si>
    <t>0.7311482125775983</t>
  </si>
  <si>
    <t>-1.3180232222847084</t>
  </si>
  <si>
    <t>-0.6718204118914616</t>
  </si>
  <si>
    <t>-0.832054656203632</t>
  </si>
  <si>
    <t>0.8851391105876849</t>
  </si>
  <si>
    <t>-0.28585400971753766</t>
  </si>
  <si>
    <t>-0.8673407564256983</t>
  </si>
  <si>
    <t>-0.47936326726679385</t>
  </si>
  <si>
    <t>-0.37015470463549094</t>
  </si>
  <si>
    <t>-0.05834817703231571</t>
  </si>
  <si>
    <t>0.8080940025549325</t>
  </si>
  <si>
    <t>-0.4020641131507286</t>
  </si>
  <si>
    <t>0.1417506785930619</t>
  </si>
  <si>
    <t>0.2330444620683584</t>
  </si>
  <si>
    <t>-0.8789915462264093</t>
  </si>
  <si>
    <t>-1.2236329411077913</t>
  </si>
  <si>
    <t>-0.5365635378834821</t>
  </si>
  <si>
    <t>1.315052014119271</t>
  </si>
  <si>
    <t>-1.226206604990393</t>
  </si>
  <si>
    <t>0.9385383121863614</t>
  </si>
  <si>
    <t>-1.1369699600269123</t>
  </si>
  <si>
    <t>-0.14027583063879778</t>
  </si>
  <si>
    <t>0.19727991385698276</t>
  </si>
  <si>
    <t>-0.19022707100821923</t>
  </si>
  <si>
    <t>-0.7900385560879422</t>
  </si>
  <si>
    <t>0.8002171478919894</t>
  </si>
  <si>
    <t>0.6400263481585827</t>
  </si>
  <si>
    <t>0.7675560576493626</t>
  </si>
  <si>
    <t>0.7877943365853792</t>
  </si>
  <si>
    <t>-0.7521114682639123</t>
  </si>
  <si>
    <t>0.4621967476545199</t>
  </si>
  <si>
    <t>-0.10236176021417252</t>
  </si>
  <si>
    <t>-1.3758648938713607</t>
  </si>
  <si>
    <t>-0.3404344115201357</t>
  </si>
  <si>
    <t>0.43807645697804837</t>
  </si>
  <si>
    <t>1.0620711877433435</t>
  </si>
  <si>
    <t>0.08740475196550365</t>
  </si>
  <si>
    <t>1.756535621952489</t>
  </si>
  <si>
    <t>0.4801789902860487</t>
  </si>
  <si>
    <t>0.47586366630443966</t>
  </si>
  <si>
    <t>-1.6917254185152064</t>
  </si>
  <si>
    <t>-0.270654139239713</t>
  </si>
  <si>
    <t>1.114688677893166</t>
  </si>
  <si>
    <t>-0.14956576601703672</t>
  </si>
  <si>
    <t>1.0068588716363782</t>
  </si>
  <si>
    <t>-0.5745688645619663</t>
  </si>
  <si>
    <t>0.9346613978025173</t>
  </si>
  <si>
    <t>-1.6633192904532828</t>
  </si>
  <si>
    <t>0.32196466752361047</t>
  </si>
  <si>
    <t>0.7425496628325619</t>
  </si>
  <si>
    <t>0.35821569894319244</t>
  </si>
  <si>
    <t>-0.5604273039070485</t>
  </si>
  <si>
    <t>1.4011138821657088</t>
  </si>
  <si>
    <t>-0.23678727002944583</t>
  </si>
  <si>
    <t>0.9931840557920292</t>
  </si>
  <si>
    <t>0.7677072679352935</t>
  </si>
  <si>
    <t>-0.0176809538371491</t>
  </si>
  <si>
    <t>0.06487522416954185</t>
  </si>
  <si>
    <t>-0.07937993271067378</t>
  </si>
  <si>
    <t>-0.26292558417656375</t>
  </si>
  <si>
    <t>-0.2527106880537907</t>
  </si>
  <si>
    <t>-1.9585892675268617</t>
  </si>
  <si>
    <t>-1.2971878825643284</t>
  </si>
  <si>
    <t>-0.12407569433627634</t>
  </si>
  <si>
    <t>1.278998685806061</t>
  </si>
  <si>
    <t>-0.4871989634267971</t>
  </si>
  <si>
    <t>-0.4450214162712173</t>
  </si>
  <si>
    <t>-0.42526552562567294</t>
  </si>
  <si>
    <t>-0.21634094757247188</t>
  </si>
  <si>
    <t>0.1657003813188116</t>
  </si>
  <si>
    <t>0.8093399232972247</t>
  </si>
  <si>
    <t>-2.0900789380132165</t>
  </si>
  <si>
    <t>0.5386970000677531</t>
  </si>
  <si>
    <t>1.0749202364089347</t>
  </si>
  <si>
    <t>0.3187131510621238</t>
  </si>
  <si>
    <t>0.03497153252603832</t>
  </si>
  <si>
    <t>-0.15287351999419593</t>
  </si>
  <si>
    <t>-0.3298308238695351</t>
  </si>
  <si>
    <t>-0.1843232918579229</t>
  </si>
  <si>
    <t>1.2127206140760438</t>
  </si>
  <si>
    <t>0.9072558518917672</t>
  </si>
  <si>
    <t>-0.4212478808908604</t>
  </si>
  <si>
    <t>0.6173439709861099</t>
  </si>
  <si>
    <t>-0.7587856478466148</t>
  </si>
  <si>
    <t>-0.1848994017866526</t>
  </si>
  <si>
    <t>-1.5823446483931267</t>
  </si>
  <si>
    <t>0.6447594017880698</t>
  </si>
  <si>
    <t>-0.02020665049359402</t>
  </si>
  <si>
    <t>-1.0470269132116332</t>
  </si>
  <si>
    <t>0.03656405361148368</t>
  </si>
  <si>
    <t>0.4508884879565283</t>
  </si>
  <si>
    <t>-0.06947103018375463</t>
  </si>
  <si>
    <t>0.3126939723559848</t>
  </si>
  <si>
    <t>-1.1323374836249018</t>
  </si>
  <si>
    <t>-0.07780532155174888</t>
  </si>
  <si>
    <t>-1.0183226027138748</t>
  </si>
  <si>
    <t>1.0251779058846582</t>
  </si>
  <si>
    <t>0.09536766124753973</t>
  </si>
  <si>
    <t>0.3358131241341124</t>
  </si>
  <si>
    <t>0.28041646027704425</t>
  </si>
  <si>
    <t>-1.239702269373883</t>
  </si>
  <si>
    <t>-0.41801384334974123</t>
  </si>
  <si>
    <t>0.14708752760335966</t>
  </si>
  <si>
    <t>0.3447239021251688</t>
  </si>
  <si>
    <t>1.068382717953942</t>
  </si>
  <si>
    <t>0.21534616369916693</t>
  </si>
  <si>
    <t>1.1697876877053732</t>
  </si>
  <si>
    <t>0.18811088589856456</t>
  </si>
  <si>
    <t>0.5614689824084719</t>
  </si>
  <si>
    <t>0.7074334391533474</t>
  </si>
  <si>
    <t>1.4224314966617795</t>
  </si>
  <si>
    <t>-2.0249522928609687</t>
  </si>
  <si>
    <t>0.19056372930196444</t>
  </si>
  <si>
    <t>0.6519348014662896</t>
  </si>
  <si>
    <t>0.026980834933246652</t>
  </si>
  <si>
    <t>0.6344689190961744</t>
  </si>
  <si>
    <t>0.8789197155984672</t>
  </si>
  <si>
    <t>1.0779648879855788</t>
  </si>
  <si>
    <t>0.22627710295267459</t>
  </si>
  <si>
    <t>-0.3783743470703614</t>
  </si>
  <si>
    <t>0.5190104521243494</t>
  </si>
  <si>
    <t>-0.3355652480634452</t>
  </si>
  <si>
    <t>-0.1163869373531393</t>
  </si>
  <si>
    <t>-0.5529139021998529</t>
  </si>
  <si>
    <t>-0.6168041865485248</t>
  </si>
  <si>
    <t>-0.5346901573752598</t>
  </si>
  <si>
    <t>-0.10831032211401995</t>
  </si>
  <si>
    <t>-0.4831571879619186</t>
  </si>
  <si>
    <t>0.5989861700917883</t>
  </si>
  <si>
    <t>0.09487252059803711</t>
  </si>
  <si>
    <t>-1.454801917224437</t>
  </si>
  <si>
    <t>0.17702485601646062</t>
  </si>
  <si>
    <t>0.36561120690598986</t>
  </si>
  <si>
    <t>-0.8957664870614785</t>
  </si>
  <si>
    <t>0.1354611650849605</t>
  </si>
  <si>
    <t>0.46119848800104235</t>
  </si>
  <si>
    <t>-0.08931879664946202</t>
  </si>
  <si>
    <t>0.7469313359382406</t>
  </si>
  <si>
    <t>-0.37126565170393316</t>
  </si>
  <si>
    <t>0.48695378909518916</t>
  </si>
  <si>
    <t>0.8215041738293418</t>
  </si>
  <si>
    <t>0.19325558354458622</t>
  </si>
  <si>
    <t>-1.4891437075356917</t>
  </si>
  <si>
    <t>-0.2577933141866787</t>
  </si>
  <si>
    <t>-0.0872723093459848</t>
  </si>
  <si>
    <t>-0.06534597373482984</t>
  </si>
  <si>
    <t>-0.7216473658688086</t>
  </si>
  <si>
    <t>0.03385725803186015</t>
  </si>
  <si>
    <t>0.2475538400404679</t>
  </si>
  <si>
    <t>-0.23817961476265537</t>
  </si>
  <si>
    <t>-0.6700009502763538</t>
  </si>
  <si>
    <t>0.42400729643717444</t>
  </si>
  <si>
    <t>-0.021645488654519728</t>
  </si>
  <si>
    <t>0.08159335885488064</t>
  </si>
  <si>
    <t>0.98784124854658</t>
  </si>
  <si>
    <t>0.018250364480594066</t>
  </si>
  <si>
    <t>0.021421148791320222</t>
  </si>
  <si>
    <t>-0.02219745184413515</t>
  </si>
  <si>
    <t>0.14271113248741743</t>
  </si>
  <si>
    <t>0.13752928094422992</t>
  </si>
  <si>
    <t>0.45853343552924697</t>
  </si>
  <si>
    <t>-0.37783245733868387</t>
  </si>
  <si>
    <t>0.41736414887249573</t>
  </si>
  <si>
    <t>0.1243477217710401</t>
  </si>
  <si>
    <t>1.3816959431432898</t>
  </si>
  <si>
    <t>0.5689048261382469</t>
  </si>
  <si>
    <t>0.6504406554432249</t>
  </si>
  <si>
    <t>0.22592422521620903</t>
  </si>
  <si>
    <t>-0.5294223448531982</t>
  </si>
  <si>
    <t>-0.32248788117632315</t>
  </si>
  <si>
    <t>-0.10036837833395947</t>
  </si>
  <si>
    <t>-0.052348965144266395</t>
  </si>
  <si>
    <t>-0.3125715904808341</t>
  </si>
  <si>
    <t>-0.9535705635406841</t>
  </si>
  <si>
    <t>-1.613025558422867</t>
  </si>
  <si>
    <t>0.09721075747443245</t>
  </si>
  <si>
    <t>1.9105476310260987</t>
  </si>
  <si>
    <t>-0.5867500900030577</t>
  </si>
  <si>
    <t>0.3665436894506612</t>
  </si>
  <si>
    <t>-0.3846238689092959</t>
  </si>
  <si>
    <t>1.9844422608813987</t>
  </si>
  <si>
    <t>-0.1154540337739048</t>
  </si>
  <si>
    <t>0.5152336129653785</t>
  </si>
  <si>
    <t>-0.47247158846767134</t>
  </si>
  <si>
    <t>0.5157452705420347</t>
  </si>
  <si>
    <t>-0.44900269448172775</t>
  </si>
  <si>
    <t>0.24421551471834185</t>
  </si>
  <si>
    <t>1.3076842073582409</t>
  </si>
  <si>
    <t>-0.48888985621700304</t>
  </si>
  <si>
    <t>-0.9160276611444261</t>
  </si>
  <si>
    <t>-0.08315011699103599</t>
  </si>
  <si>
    <t>0.029446317488511977</t>
  </si>
  <si>
    <t>-0.7364951077467518</t>
  </si>
  <si>
    <t>-0.3889704577430397</t>
  </si>
  <si>
    <t>-0.7260981121545798</t>
  </si>
  <si>
    <t>0.5165376585670552</t>
  </si>
  <si>
    <t>0.20044860885506585</t>
  </si>
  <si>
    <t>-0.2961851515226005</t>
  </si>
  <si>
    <t>0.4347996781105342</t>
  </si>
  <si>
    <t>0.8737058275688099</t>
  </si>
  <si>
    <t>-0.3165667009162973</t>
  </si>
  <si>
    <t>-0.6331592588860122</t>
  </si>
  <si>
    <t>-0.9023677786327832</t>
  </si>
  <si>
    <t>0.6827290793722189</t>
  </si>
  <si>
    <t>-0.5960820320425287</t>
  </si>
  <si>
    <t>0.12431649902488971</t>
  </si>
  <si>
    <t>-1.336000061842626</t>
  </si>
  <si>
    <t>0.8713304468923286</t>
  </si>
  <si>
    <t>0.0695591018387624</t>
  </si>
  <si>
    <t>-0.46820081519657414</t>
  </si>
  <si>
    <t>-1.6713187536290868</t>
  </si>
  <si>
    <t>0.057957973545475314</t>
  </si>
  <si>
    <t>0.5333014595384263</t>
  </si>
  <si>
    <t>-0.7403667681291813</t>
  </si>
  <si>
    <t>-0.08666646991567364</t>
  </si>
  <si>
    <t>-0.08117283986425304</t>
  </si>
  <si>
    <t>-1.048437669575208</t>
  </si>
  <si>
    <t>-1.032045742989389</t>
  </si>
  <si>
    <t>0.6322445052817439</t>
  </si>
  <si>
    <t>0.02867877667384623</t>
  </si>
  <si>
    <t>1.6531469387976863</t>
  </si>
  <si>
    <t>0.053209789895327125</t>
  </si>
  <si>
    <t>-0.5536316370602489</t>
  </si>
  <si>
    <t>0.8440209906434287</t>
  </si>
  <si>
    <t>-1.0936163468980875</t>
  </si>
  <si>
    <t>0.6398698628290787</t>
  </si>
  <si>
    <t>-0.8743260592168907</t>
  </si>
  <si>
    <t>-1.4673531667384692</t>
  </si>
  <si>
    <t>0.12011595866306676</t>
  </si>
  <si>
    <t>1.1649256726959691</t>
  </si>
  <si>
    <t>-0.7536571127316521</t>
  </si>
  <si>
    <t>-0.3393315205098458</t>
  </si>
  <si>
    <t>1.4540384963453026</t>
  </si>
  <si>
    <t>-1.120127925276893</t>
  </si>
  <si>
    <t>-0.45885171664842606</t>
  </si>
  <si>
    <t>0.2987746575187311</t>
  </si>
  <si>
    <t>-0.13658739989747243</t>
  </si>
  <si>
    <t>0.5990833098109601</t>
  </si>
  <si>
    <t>-0.5824123896061826</t>
  </si>
  <si>
    <t>-0.6937961224093239</t>
  </si>
  <si>
    <t>-0.9050093874060947</t>
  </si>
  <si>
    <t>-0.8275648740886653</t>
  </si>
  <si>
    <t>0.4807468830388191</t>
  </si>
  <si>
    <t>0.6829612943257953</t>
  </si>
  <si>
    <t>-0.8816897104197219</t>
  </si>
  <si>
    <t>-1.1461717040996973</t>
  </si>
  <si>
    <t>-0.8033034660723312</t>
  </si>
  <si>
    <t>-0.3289494282877877</t>
  </si>
  <si>
    <t>1.8601317348071187</t>
  </si>
  <si>
    <t>0.09814738796946701</t>
  </si>
  <si>
    <t>0.7937313580114547</t>
  </si>
  <si>
    <t>1.0895561462845347</t>
  </si>
  <si>
    <t>-0.6204751573465616</t>
  </si>
  <si>
    <t>0.09266024076845411</t>
  </si>
  <si>
    <t>1.37219822078316</t>
  </si>
  <si>
    <t>-1.2182396873471546</t>
  </si>
  <si>
    <t>-0.15947529140280436</t>
  </si>
  <si>
    <t>1.499731440509227</t>
  </si>
  <si>
    <t>-1.3557748628335529</t>
  </si>
  <si>
    <t>-0.4490908020919392</t>
  </si>
  <si>
    <t>0.6046343996334459</t>
  </si>
  <si>
    <t>0.5234995586253999</t>
  </si>
  <si>
    <t>1.2238509645827325</t>
  </si>
  <si>
    <t>-0.26056270770306383</t>
  </si>
  <si>
    <t>-0.11165641882656908</t>
  </si>
  <si>
    <t>0.5032111965807371</t>
  </si>
  <si>
    <t>0.6692008705096504</t>
  </si>
  <si>
    <t>-1.0318656644456417</t>
  </si>
  <si>
    <t>-0.21538902889308914</t>
  </si>
  <si>
    <t>-0.8845148137591429</t>
  </si>
  <si>
    <t>-0.4652513583764257</t>
  </si>
  <si>
    <t>-0.15840845016109445</t>
  </si>
  <si>
    <t>1.1430564004744364</t>
  </si>
  <si>
    <t>0.6293802965771556</t>
  </si>
  <si>
    <t>-1.1806454140538674</t>
  </si>
  <si>
    <t>-0.3327833896047943</t>
  </si>
  <si>
    <t>0.5118412746396682</t>
  </si>
  <si>
    <t>0.5875662767685516</t>
  </si>
  <si>
    <t>-1.569129707718827</t>
  </si>
  <si>
    <t>-0.018550051617262836</t>
  </si>
  <si>
    <t>0.056143843122204565</t>
  </si>
  <si>
    <t>-0.46491254238491286</t>
  </si>
  <si>
    <t>0.24786219324108055</t>
  </si>
  <si>
    <t>-0.7115497316736926</t>
  </si>
  <si>
    <t>-0.41409954676127864</t>
  </si>
  <si>
    <t>-0.5747256104491518</t>
  </si>
  <si>
    <t>0.3526054017226007</t>
  </si>
  <si>
    <t>1.0555502239082024</t>
  </si>
  <si>
    <t>1.4878752947097746</t>
  </si>
  <si>
    <t>-0.49022702113683203</t>
  </si>
  <si>
    <t>0.6573322226396384</t>
  </si>
  <si>
    <t>-1.469332379182353</t>
  </si>
  <si>
    <t>0.37071789904361474</t>
  </si>
  <si>
    <t>-0.7525997883587068</t>
  </si>
  <si>
    <t>1.3242493002534153</t>
  </si>
  <si>
    <t>-1.0166500630751358</t>
  </si>
  <si>
    <t>0.2668661378681533</t>
  </si>
  <si>
    <t>0.2850641115137025</t>
  </si>
  <si>
    <t>1.9966608181234677</t>
  </si>
  <si>
    <t>-0.6333054508235678</t>
  </si>
  <si>
    <t>0.41899052056019953</t>
  </si>
  <si>
    <t>0.9110232654826673</t>
  </si>
  <si>
    <t>-0.8451147989626087</t>
  </si>
  <si>
    <t>0.47643010692935406</t>
  </si>
  <si>
    <t>-0.5997994333640605</t>
  </si>
  <si>
    <t>-0.4288569692003452</t>
  </si>
  <si>
    <t>0.9355185296841586</t>
  </si>
  <si>
    <t>-1.2983255993613143</t>
  </si>
  <si>
    <t>-0.617515517962323</t>
  </si>
  <si>
    <t>-0.2867678696666806</t>
  </si>
  <si>
    <t>-0.5260013392097991</t>
  </si>
  <si>
    <t>0.07107067288949205</t>
  </si>
  <si>
    <t>-0.831080969662489</t>
  </si>
  <si>
    <t>0.13992836657501675</t>
  </si>
  <si>
    <t>-0.9089149560226453</t>
  </si>
  <si>
    <t>2.157433013707544</t>
  </si>
  <si>
    <t>0.6493667294129194</t>
  </si>
  <si>
    <t>-0.32860127960689683</t>
  </si>
  <si>
    <t>-0.18378930648551636</t>
  </si>
  <si>
    <t>-0.21572260779655678</t>
  </si>
  <si>
    <t>1.999610162770681</t>
  </si>
  <si>
    <t>-1.0527093261971168</t>
  </si>
  <si>
    <t>0.08162279991369221</t>
  </si>
  <si>
    <t>1.4034704088010184</t>
  </si>
  <si>
    <t>-0.42727949778494145</t>
  </si>
  <si>
    <t>0.3633305397448388</t>
  </si>
  <si>
    <t>-0.46278050650217784</t>
  </si>
  <si>
    <t>0.8792917856103653</t>
  </si>
  <si>
    <t>-0.5046078751827837</t>
  </si>
  <si>
    <t>0.2989175081302965</t>
  </si>
  <si>
    <t>0.6417782928628658</t>
  </si>
  <si>
    <t>0.41337187563423783</t>
  </si>
  <si>
    <t>-0.26207599673550735</t>
  </si>
  <si>
    <t>-1.1576121016498853</t>
  </si>
  <si>
    <t>-0.2616573186928302</t>
  </si>
  <si>
    <t>-0.7214233276067291</t>
  </si>
  <si>
    <t>0.7658108039247284</t>
  </si>
  <si>
    <t>-0.746682711788216</t>
  </si>
  <si>
    <t>0.965271469269996</t>
  </si>
  <si>
    <t>-0.0009450132640715476</t>
  </si>
  <si>
    <t>0.2608845355910309</t>
  </si>
  <si>
    <t>1.139728225955979</t>
  </si>
  <si>
    <t>-1.53524828645025</t>
  </si>
  <si>
    <t>0.3221621716533648</t>
  </si>
  <si>
    <t>0.752096848723458</t>
  </si>
  <si>
    <t>-0.5579142962977033</t>
  </si>
  <si>
    <t>-0.4810349013232659</t>
  </si>
  <si>
    <t>0.2895776697709838</t>
  </si>
  <si>
    <t>1.436849842596162</t>
  </si>
  <si>
    <t>0.07809404586705763</t>
  </si>
  <si>
    <t>1.660342484245699</t>
  </si>
  <si>
    <t>0.46763882170002924</t>
  </si>
  <si>
    <t>0.05447334093291583</t>
  </si>
  <si>
    <t>0.4295894013142209</t>
  </si>
  <si>
    <t>-0.40142651932905093</t>
  </si>
  <si>
    <t>0.5872036839108815</t>
  </si>
  <si>
    <t>0.3950141043476593</t>
  </si>
  <si>
    <t>0.6336522140080294</t>
  </si>
  <si>
    <t>-0.45692903331114626</t>
  </si>
  <si>
    <t>-0.7572321860938921</t>
  </si>
  <si>
    <t>1.223976399316054</t>
  </si>
  <si>
    <t>0.8469223385479843</t>
  </si>
  <si>
    <t>0.4391875274365856</t>
  </si>
  <si>
    <t>-0.36004786552754753</t>
  </si>
  <si>
    <t>-0.7185993928178378</t>
  </si>
  <si>
    <t>0.6996559951129108</t>
  </si>
  <si>
    <t>0.4610498403885937</t>
  </si>
  <si>
    <t>-1.7040237635789297</t>
  </si>
  <si>
    <t>0.6146438060826381</t>
  </si>
  <si>
    <t>-0.32970262966340097</t>
  </si>
  <si>
    <t>0.6749559900088731</t>
  </si>
  <si>
    <t>-0.39933346311804574</t>
  </si>
  <si>
    <t>-0.6011066564957848</t>
  </si>
  <si>
    <t>0.13126933958055356</t>
  </si>
  <si>
    <t>-0.12884826390922802</t>
  </si>
  <si>
    <t>0.5877395828952402</t>
  </si>
  <si>
    <t>0.19956494586408788</t>
  </si>
  <si>
    <t>-1.4780018412562945</t>
  </si>
  <si>
    <t>0.6310282745259561</t>
  </si>
  <si>
    <t>0.6433059230195003</t>
  </si>
  <si>
    <t>0.07398648134130509</t>
  </si>
  <si>
    <t>-0.8423175978890132</t>
  </si>
  <si>
    <t>-0.7488882134975448</t>
  </si>
  <si>
    <t>0.4105847307864465</t>
  </si>
  <si>
    <t>0.10579335518812112</t>
  </si>
  <si>
    <t>-0.3948980652974684</t>
  </si>
  <si>
    <t>-0.02738516551533468</t>
  </si>
  <si>
    <t>-0.2883222405871592</t>
  </si>
  <si>
    <t>0.12393718747192077</t>
  </si>
  <si>
    <t>-1.4784413585841891</t>
  </si>
  <si>
    <t>-0.43074313714678</t>
  </si>
  <si>
    <t>0.417731218629751</t>
  </si>
  <si>
    <t>0.3827857660552214</t>
  </si>
  <si>
    <t>-0.598292219292471</t>
  </si>
  <si>
    <t>0.5284955101278361</t>
  </si>
  <si>
    <t>-0.1541910404969829</t>
  </si>
  <si>
    <t>0.15129440767094735</t>
  </si>
  <si>
    <t>0.7714969770319984</t>
  </si>
  <si>
    <t>0.672817323232874</t>
  </si>
  <si>
    <t>0.6186815909917925</t>
  </si>
  <si>
    <t>0.4680547371188136</t>
  </si>
  <si>
    <t>0.6959943924157878</t>
  </si>
  <si>
    <t>-0.45241176117778414</t>
  </si>
  <si>
    <t>-0.31779073780459915</t>
  </si>
  <si>
    <t>0.08619387570787182</t>
  </si>
  <si>
    <t>0.9805030669152323</t>
  </si>
  <si>
    <t>-0.5529936003241076</t>
  </si>
  <si>
    <t>0.33903904023663606</t>
  </si>
  <si>
    <t>-0.4023986720214559</t>
  </si>
  <si>
    <t>1.1650190184703868</t>
  </si>
  <si>
    <t>-0.44047612895688687</t>
  </si>
  <si>
    <t>0.0913520103692928</t>
  </si>
  <si>
    <t>-0.421723560447262</t>
  </si>
  <si>
    <t>0.0012743863273354165</t>
  </si>
  <si>
    <t>-0.2730018300754399</t>
  </si>
  <si>
    <t>0.9780109129084741</t>
  </si>
  <si>
    <t>-0.10404326057655973</t>
  </si>
  <si>
    <t>-0.6686359535294117</t>
  </si>
  <si>
    <t>-0.4437801580393735</t>
  </si>
  <si>
    <t>-0.3525689157769474</t>
  </si>
  <si>
    <t>-1.6182319868301567</t>
  </si>
  <si>
    <t>-0.9921532854434144</t>
  </si>
  <si>
    <t>-0.09838404288002572</t>
  </si>
  <si>
    <t>0.30809414742601365</t>
  </si>
  <si>
    <t>-0.1510597635770986</t>
  </si>
  <si>
    <t>0.9155497922404521</t>
  </si>
  <si>
    <t>-0.5777344270529045</t>
  </si>
  <si>
    <t>0.2476990026383673</t>
  </si>
  <si>
    <t>-0.13922837866067983</t>
  </si>
  <si>
    <t>0.32008379006408055</t>
  </si>
  <si>
    <t>0.6427272576804864</t>
  </si>
  <si>
    <t>-0.0817693011331466</t>
  </si>
  <si>
    <t>0.018578992505951044</t>
  </si>
  <si>
    <t>-0.0957833070301796</t>
  </si>
  <si>
    <t>-1.4281754785066136</t>
  </si>
  <si>
    <t>-0.8199345806960494</t>
  </si>
  <si>
    <t>-0.3139427920640675</t>
  </si>
  <si>
    <t>-0.24162722362278727</t>
  </si>
  <si>
    <t>-0.4237048606879042</t>
  </si>
  <si>
    <t>0.7878295659423488</t>
  </si>
  <si>
    <t>0.03297562046409224</t>
  </si>
  <si>
    <t>0.6931248877358067</t>
  </si>
  <si>
    <t>0.30843557966807567</t>
  </si>
  <si>
    <t>-0.11556635607706278</t>
  </si>
  <si>
    <t>-0.030776626275891606</t>
  </si>
  <si>
    <t>-0.34434336394697024</t>
  </si>
  <si>
    <t>0.25559764070875174</t>
  </si>
  <si>
    <t>1.5414218151338355</t>
  </si>
  <si>
    <t>-0.08276226707309399</t>
  </si>
  <si>
    <t>-2.5331019997731232</t>
  </si>
  <si>
    <t>-0.7848318766598347</t>
  </si>
  <si>
    <t>-0.3747478639124487</t>
  </si>
  <si>
    <t>0.41533084796334785</t>
  </si>
  <si>
    <t>0.9521595438947439</t>
  </si>
  <si>
    <t>-1.417598222930701</t>
  </si>
  <si>
    <t>-0.5366721150695972</t>
  </si>
  <si>
    <t>0.508645556644946</t>
  </si>
  <si>
    <t>1.337511358103736</t>
  </si>
  <si>
    <t>0.9511120192084126</t>
  </si>
  <si>
    <t>-0.20799675909532983</t>
  </si>
  <si>
    <t>-0.202298023498783</t>
  </si>
  <si>
    <t>0.15983240181382508</t>
  </si>
  <si>
    <t>0.14671594598700363</t>
  </si>
  <si>
    <t>-1.0712956635284203</t>
  </si>
  <si>
    <t>-0.11153423287351197</t>
  </si>
  <si>
    <t>0.26124805204504253</t>
  </si>
  <si>
    <t>-0.586645050313169</t>
  </si>
  <si>
    <t>0.23634559647732303</t>
  </si>
  <si>
    <t>0.2793847335458923</t>
  </si>
  <si>
    <t>-0.21061147780045653</t>
  </si>
  <si>
    <t>0.28549227274155053</t>
  </si>
  <si>
    <t>0.21332906209869879</t>
  </si>
  <si>
    <t>3.4561156001078497</t>
  </si>
  <si>
    <t>0.17335202833079708</t>
  </si>
  <si>
    <t>-0.054042130420166194</t>
  </si>
  <si>
    <t>-0.7313622872333101</t>
  </si>
  <si>
    <t>-0.2048128540496908</t>
  </si>
  <si>
    <t>0.38510361540511734</t>
  </si>
  <si>
    <t>-0.7207637252841173</t>
  </si>
  <si>
    <t>-0.787545704601815</t>
  </si>
  <si>
    <t>0.0010087866892457724</t>
  </si>
  <si>
    <t>0.34241803446844943</t>
  </si>
  <si>
    <t>-0.09052603243277844</t>
  </si>
  <si>
    <t>0.162210906601942</t>
  </si>
  <si>
    <t>0.2858986979503783</t>
  </si>
  <si>
    <t>0.1591955598357844</t>
  </si>
  <si>
    <t>-1.1237500946584775</t>
  </si>
  <si>
    <t>-0.594053173901408</t>
  </si>
  <si>
    <t>-0.9628385500521021</t>
  </si>
  <si>
    <t>-0.5411505158467521</t>
  </si>
  <si>
    <t>-0.7040795241119265</t>
  </si>
  <si>
    <t>0.9302292953259357</t>
  </si>
  <si>
    <t>0.27282417520531166</t>
  </si>
  <si>
    <t>-0.019859547500517997</t>
  </si>
  <si>
    <t>-0.6792271550029578</t>
  </si>
  <si>
    <t>0.445640194655466</t>
  </si>
  <si>
    <t>-0.5579207862003077</t>
  </si>
  <si>
    <t>0.657086577088834</t>
  </si>
  <si>
    <t>1(Financials)</t>
  </si>
  <si>
    <t>5(Other)</t>
  </si>
  <si>
    <t>9(Rest of Mining)</t>
  </si>
  <si>
    <t>6(Gold)</t>
  </si>
  <si>
    <t>4(Rand Hedge)</t>
  </si>
  <si>
    <t>2(Retail)</t>
  </si>
  <si>
    <t>3(REIT)</t>
  </si>
  <si>
    <t>8(Platinum)</t>
  </si>
  <si>
    <t>7(Sibanye)</t>
  </si>
  <si>
    <t>2(Consumer Services)</t>
  </si>
  <si>
    <t>5(Industrials)</t>
  </si>
  <si>
    <t>6(Technology)</t>
  </si>
  <si>
    <t>7(Telecommunications)</t>
  </si>
  <si>
    <t>3(Financials)</t>
  </si>
  <si>
    <t>0(Basic Materials)</t>
  </si>
  <si>
    <t>1(Consumer Goods)</t>
  </si>
  <si>
    <t>4(Health Care)</t>
  </si>
  <si>
    <t>Return(Consumer Services)</t>
  </si>
  <si>
    <t>Return(Industrials)</t>
  </si>
  <si>
    <t>Return(Technology)</t>
  </si>
  <si>
    <t>Return(Telecommunications)</t>
  </si>
  <si>
    <t>Return(Financials)</t>
  </si>
  <si>
    <t>Return(Basic Materials)</t>
  </si>
  <si>
    <t>Return(Consumer Goods)</t>
  </si>
  <si>
    <t>Return(Health Care)</t>
  </si>
  <si>
    <t>Returns(Financials)</t>
  </si>
  <si>
    <t>Returns(Other)</t>
  </si>
  <si>
    <t>Returns(Rest of Mining)</t>
  </si>
  <si>
    <t>Returns(Gold)</t>
  </si>
  <si>
    <t>Returns(Rand Hedge)</t>
  </si>
  <si>
    <t>Returns(Retail)</t>
  </si>
  <si>
    <t>Returns(REIT)</t>
  </si>
  <si>
    <t>Returns(Platinum)</t>
  </si>
  <si>
    <t>Returns(Sibanye)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</si>
</sst>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0" fillId="0" borderId="1" xfId="0" applyNumberFormat="1" applyFont="1" applyBorder="1"/>
    <xf numFmtId="0" fontId="0" fillId="2" borderId="1" xfId="0" applyNumberFormat="1" applyFont="1" applyFill="1" applyBorder="1"/>
    <xf numFmtId="14" fontId="0" fillId="0" borderId="0" xfId="0" applyNumberFormat="1"/>
  </cellXfs>
  <cellStyles count="1">
    <cellStyle name="Normal" xfId="0" builtinId="0"/>
  </cellStyles>
  <dxfs count="23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Sheet20!$A$2</c:f>
              <c:strCache>
                <c:ptCount val="1"/>
                <c:pt idx="0">
                  <c:v>Returns(Rest of Mining)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Sheet20!$B$1:$ACV$1</c:f>
              <c:strCache>
                <c:ptCount val="775"/>
                <c:pt idx="0">
                  <c:v>01-Aug-10</c:v>
                </c:pt>
                <c:pt idx="1">
                  <c:v>08-Aug-10</c:v>
                </c:pt>
                <c:pt idx="2">
                  <c:v>15-Aug-10</c:v>
                </c:pt>
                <c:pt idx="3">
                  <c:v>22-Aug-10</c:v>
                </c:pt>
                <c:pt idx="4">
                  <c:v>29-Aug-10</c:v>
                </c:pt>
                <c:pt idx="5">
                  <c:v>05-Sep-10</c:v>
                </c:pt>
                <c:pt idx="6">
                  <c:v>12-Sep-10</c:v>
                </c:pt>
                <c:pt idx="7">
                  <c:v>19-Sep-10</c:v>
                </c:pt>
                <c:pt idx="8">
                  <c:v>26-Sep-10</c:v>
                </c:pt>
                <c:pt idx="9">
                  <c:v>03-Oct-10</c:v>
                </c:pt>
                <c:pt idx="10">
                  <c:v>10-Oct-10</c:v>
                </c:pt>
                <c:pt idx="11">
                  <c:v>17-Oct-10</c:v>
                </c:pt>
                <c:pt idx="12">
                  <c:v>24-Oct-10</c:v>
                </c:pt>
                <c:pt idx="13">
                  <c:v>31-Oct-10</c:v>
                </c:pt>
                <c:pt idx="14">
                  <c:v>07-Nov-10</c:v>
                </c:pt>
                <c:pt idx="15">
                  <c:v>14-Nov-10</c:v>
                </c:pt>
                <c:pt idx="16">
                  <c:v>21-Nov-10</c:v>
                </c:pt>
                <c:pt idx="17">
                  <c:v>28-Nov-10</c:v>
                </c:pt>
                <c:pt idx="18">
                  <c:v>05-Dec-10</c:v>
                </c:pt>
                <c:pt idx="19">
                  <c:v>12-Dec-10</c:v>
                </c:pt>
                <c:pt idx="20">
                  <c:v>19-Dec-10</c:v>
                </c:pt>
                <c:pt idx="21">
                  <c:v>26-Dec-10</c:v>
                </c:pt>
                <c:pt idx="22">
                  <c:v>02-Jan-11</c:v>
                </c:pt>
                <c:pt idx="23">
                  <c:v>09-Jan-11</c:v>
                </c:pt>
                <c:pt idx="24">
                  <c:v>16-Jan-11</c:v>
                </c:pt>
                <c:pt idx="25">
                  <c:v>23-Jan-11</c:v>
                </c:pt>
                <c:pt idx="26">
                  <c:v>30-Jan-11</c:v>
                </c:pt>
                <c:pt idx="27">
                  <c:v>06-Feb-11</c:v>
                </c:pt>
                <c:pt idx="28">
                  <c:v>13-Feb-11</c:v>
                </c:pt>
                <c:pt idx="29">
                  <c:v>20-Feb-11</c:v>
                </c:pt>
                <c:pt idx="30">
                  <c:v>27-Feb-11</c:v>
                </c:pt>
                <c:pt idx="31">
                  <c:v>06-Mar-11</c:v>
                </c:pt>
                <c:pt idx="32">
                  <c:v>13-Mar-11</c:v>
                </c:pt>
                <c:pt idx="33">
                  <c:v>20-Mar-11</c:v>
                </c:pt>
                <c:pt idx="34">
                  <c:v>27-Mar-11</c:v>
                </c:pt>
                <c:pt idx="35">
                  <c:v>03-Apr-11</c:v>
                </c:pt>
                <c:pt idx="36">
                  <c:v>10-Apr-11</c:v>
                </c:pt>
                <c:pt idx="37">
                  <c:v>17-Apr-11</c:v>
                </c:pt>
                <c:pt idx="38">
                  <c:v>24-Apr-11</c:v>
                </c:pt>
                <c:pt idx="39">
                  <c:v>01-May-11</c:v>
                </c:pt>
                <c:pt idx="40">
                  <c:v>08-May-11</c:v>
                </c:pt>
                <c:pt idx="41">
                  <c:v>15-May-11</c:v>
                </c:pt>
                <c:pt idx="42">
                  <c:v>22-May-11</c:v>
                </c:pt>
                <c:pt idx="43">
                  <c:v>29-May-11</c:v>
                </c:pt>
                <c:pt idx="44">
                  <c:v>05-Jun-11</c:v>
                </c:pt>
                <c:pt idx="45">
                  <c:v>12-Jun-11</c:v>
                </c:pt>
                <c:pt idx="46">
                  <c:v>19-Jun-11</c:v>
                </c:pt>
                <c:pt idx="47">
                  <c:v>26-Jun-11</c:v>
                </c:pt>
                <c:pt idx="48">
                  <c:v>03-Jul-11</c:v>
                </c:pt>
                <c:pt idx="49">
                  <c:v>10-Jul-11</c:v>
                </c:pt>
                <c:pt idx="50">
                  <c:v>17-Jul-11</c:v>
                </c:pt>
                <c:pt idx="51">
                  <c:v>24-Jul-11</c:v>
                </c:pt>
                <c:pt idx="52">
                  <c:v>31-Jul-11</c:v>
                </c:pt>
                <c:pt idx="53">
                  <c:v>07-Aug-11</c:v>
                </c:pt>
                <c:pt idx="54">
                  <c:v>14-Aug-11</c:v>
                </c:pt>
                <c:pt idx="55">
                  <c:v>21-Aug-11</c:v>
                </c:pt>
                <c:pt idx="56">
                  <c:v>28-Aug-11</c:v>
                </c:pt>
                <c:pt idx="57">
                  <c:v>04-Sep-11</c:v>
                </c:pt>
                <c:pt idx="58">
                  <c:v>11-Sep-11</c:v>
                </c:pt>
                <c:pt idx="59">
                  <c:v>18-Sep-11</c:v>
                </c:pt>
                <c:pt idx="60">
                  <c:v>25-Sep-11</c:v>
                </c:pt>
                <c:pt idx="61">
                  <c:v>02-Oct-11</c:v>
                </c:pt>
                <c:pt idx="62">
                  <c:v>09-Oct-11</c:v>
                </c:pt>
                <c:pt idx="63">
                  <c:v>16-Oct-11</c:v>
                </c:pt>
                <c:pt idx="64">
                  <c:v>23-Oct-11</c:v>
                </c:pt>
                <c:pt idx="65">
                  <c:v>30-Oct-11</c:v>
                </c:pt>
                <c:pt idx="66">
                  <c:v>06-Nov-11</c:v>
                </c:pt>
                <c:pt idx="67">
                  <c:v>13-Nov-11</c:v>
                </c:pt>
                <c:pt idx="68">
                  <c:v>20-Nov-11</c:v>
                </c:pt>
                <c:pt idx="69">
                  <c:v>27-Nov-11</c:v>
                </c:pt>
                <c:pt idx="70">
                  <c:v>04-Dec-11</c:v>
                </c:pt>
                <c:pt idx="71">
                  <c:v>11-Dec-11</c:v>
                </c:pt>
                <c:pt idx="72">
                  <c:v>18-Dec-11</c:v>
                </c:pt>
                <c:pt idx="73">
                  <c:v>25-Dec-11</c:v>
                </c:pt>
                <c:pt idx="74">
                  <c:v>01-Jan-12</c:v>
                </c:pt>
                <c:pt idx="75">
                  <c:v>08-Jan-12</c:v>
                </c:pt>
                <c:pt idx="76">
                  <c:v>15-Jan-12</c:v>
                </c:pt>
                <c:pt idx="77">
                  <c:v>22-Jan-12</c:v>
                </c:pt>
                <c:pt idx="78">
                  <c:v>29-Jan-12</c:v>
                </c:pt>
                <c:pt idx="79">
                  <c:v>05-Feb-12</c:v>
                </c:pt>
                <c:pt idx="80">
                  <c:v>12-Feb-12</c:v>
                </c:pt>
                <c:pt idx="81">
                  <c:v>19-Feb-12</c:v>
                </c:pt>
                <c:pt idx="82">
                  <c:v>26-Feb-12</c:v>
                </c:pt>
                <c:pt idx="83">
                  <c:v>04-Mar-12</c:v>
                </c:pt>
                <c:pt idx="84">
                  <c:v>11-Mar-12</c:v>
                </c:pt>
                <c:pt idx="85">
                  <c:v>18-Mar-12</c:v>
                </c:pt>
                <c:pt idx="86">
                  <c:v>25-Mar-12</c:v>
                </c:pt>
                <c:pt idx="87">
                  <c:v>01-Apr-12</c:v>
                </c:pt>
                <c:pt idx="88">
                  <c:v>08-Apr-12</c:v>
                </c:pt>
                <c:pt idx="89">
                  <c:v>15-Apr-12</c:v>
                </c:pt>
                <c:pt idx="90">
                  <c:v>22-Apr-12</c:v>
                </c:pt>
                <c:pt idx="91">
                  <c:v>29-Apr-12</c:v>
                </c:pt>
                <c:pt idx="92">
                  <c:v>06-May-12</c:v>
                </c:pt>
                <c:pt idx="93">
                  <c:v>13-May-12</c:v>
                </c:pt>
                <c:pt idx="94">
                  <c:v>20-May-12</c:v>
                </c:pt>
                <c:pt idx="95">
                  <c:v>27-May-12</c:v>
                </c:pt>
                <c:pt idx="96">
                  <c:v>03-Jun-12</c:v>
                </c:pt>
                <c:pt idx="97">
                  <c:v>10-Jun-12</c:v>
                </c:pt>
                <c:pt idx="98">
                  <c:v>17-Jun-12</c:v>
                </c:pt>
                <c:pt idx="99">
                  <c:v>24-Jun-12</c:v>
                </c:pt>
                <c:pt idx="100">
                  <c:v>01-Jul-12</c:v>
                </c:pt>
                <c:pt idx="101">
                  <c:v>08-Jul-12</c:v>
                </c:pt>
                <c:pt idx="102">
                  <c:v>15-Jul-12</c:v>
                </c:pt>
                <c:pt idx="103">
                  <c:v>22-Jul-12</c:v>
                </c:pt>
                <c:pt idx="104">
                  <c:v>29-Jul-12</c:v>
                </c:pt>
                <c:pt idx="105">
                  <c:v>05-Aug-12</c:v>
                </c:pt>
                <c:pt idx="106">
                  <c:v>12-Aug-12</c:v>
                </c:pt>
                <c:pt idx="107">
                  <c:v>19-Aug-12</c:v>
                </c:pt>
                <c:pt idx="108">
                  <c:v>26-Aug-12</c:v>
                </c:pt>
                <c:pt idx="109">
                  <c:v>02-Sep-12</c:v>
                </c:pt>
                <c:pt idx="110">
                  <c:v>09-Sep-12</c:v>
                </c:pt>
                <c:pt idx="111">
                  <c:v>16-Sep-12</c:v>
                </c:pt>
                <c:pt idx="112">
                  <c:v>23-Sep-12</c:v>
                </c:pt>
                <c:pt idx="113">
                  <c:v>30-Sep-12</c:v>
                </c:pt>
                <c:pt idx="114">
                  <c:v>07-Oct-12</c:v>
                </c:pt>
                <c:pt idx="115">
                  <c:v>14-Oct-12</c:v>
                </c:pt>
                <c:pt idx="116">
                  <c:v>21-Oct-12</c:v>
                </c:pt>
                <c:pt idx="117">
                  <c:v>28-Oct-12</c:v>
                </c:pt>
                <c:pt idx="118">
                  <c:v>04-Nov-12</c:v>
                </c:pt>
                <c:pt idx="119">
                  <c:v>11-Nov-12</c:v>
                </c:pt>
                <c:pt idx="120">
                  <c:v>18-Nov-12</c:v>
                </c:pt>
                <c:pt idx="121">
                  <c:v>25-Nov-12</c:v>
                </c:pt>
                <c:pt idx="122">
                  <c:v>02-Dec-12</c:v>
                </c:pt>
                <c:pt idx="123">
                  <c:v>09-Dec-12</c:v>
                </c:pt>
                <c:pt idx="124">
                  <c:v>16-Dec-12</c:v>
                </c:pt>
                <c:pt idx="125">
                  <c:v>23-Dec-12</c:v>
                </c:pt>
                <c:pt idx="126">
                  <c:v>30-Dec-12</c:v>
                </c:pt>
                <c:pt idx="127">
                  <c:v>06-Jan-13</c:v>
                </c:pt>
                <c:pt idx="128">
                  <c:v>13-Jan-13</c:v>
                </c:pt>
                <c:pt idx="129">
                  <c:v>20-Jan-13</c:v>
                </c:pt>
                <c:pt idx="130">
                  <c:v>27-Jan-13</c:v>
                </c:pt>
                <c:pt idx="131">
                  <c:v>03-Feb-13</c:v>
                </c:pt>
                <c:pt idx="132">
                  <c:v>10-Feb-13</c:v>
                </c:pt>
                <c:pt idx="133">
                  <c:v>17-Feb-13</c:v>
                </c:pt>
                <c:pt idx="134">
                  <c:v>24-Feb-13</c:v>
                </c:pt>
                <c:pt idx="135">
                  <c:v>03-Mar-13</c:v>
                </c:pt>
                <c:pt idx="136">
                  <c:v>10-Mar-13</c:v>
                </c:pt>
                <c:pt idx="137">
                  <c:v>17-Mar-13</c:v>
                </c:pt>
                <c:pt idx="138">
                  <c:v>24-Mar-13</c:v>
                </c:pt>
                <c:pt idx="139">
                  <c:v>31-Mar-13</c:v>
                </c:pt>
                <c:pt idx="140">
                  <c:v>07-Apr-13</c:v>
                </c:pt>
                <c:pt idx="141">
                  <c:v>14-Apr-13</c:v>
                </c:pt>
                <c:pt idx="142">
                  <c:v>21-Apr-13</c:v>
                </c:pt>
                <c:pt idx="143">
                  <c:v>28-Apr-13</c:v>
                </c:pt>
                <c:pt idx="144">
                  <c:v>05-May-13</c:v>
                </c:pt>
                <c:pt idx="145">
                  <c:v>12-May-13</c:v>
                </c:pt>
                <c:pt idx="146">
                  <c:v>19-May-13</c:v>
                </c:pt>
                <c:pt idx="147">
                  <c:v>26-May-13</c:v>
                </c:pt>
                <c:pt idx="148">
                  <c:v>02-Jun-13</c:v>
                </c:pt>
                <c:pt idx="149">
                  <c:v>09-Jun-13</c:v>
                </c:pt>
                <c:pt idx="150">
                  <c:v>16-Jun-13</c:v>
                </c:pt>
                <c:pt idx="151">
                  <c:v>23-Jun-13</c:v>
                </c:pt>
                <c:pt idx="152">
                  <c:v>30-Jun-13</c:v>
                </c:pt>
                <c:pt idx="153">
                  <c:v>07-Jul-13</c:v>
                </c:pt>
                <c:pt idx="154">
                  <c:v>14-Jul-13</c:v>
                </c:pt>
                <c:pt idx="155">
                  <c:v>21-Jul-13</c:v>
                </c:pt>
                <c:pt idx="156">
                  <c:v>28-Jul-13</c:v>
                </c:pt>
                <c:pt idx="157">
                  <c:v>04-Aug-13</c:v>
                </c:pt>
                <c:pt idx="158">
                  <c:v>11-Aug-13</c:v>
                </c:pt>
                <c:pt idx="159">
                  <c:v>18-Aug-13</c:v>
                </c:pt>
                <c:pt idx="160">
                  <c:v>25-Aug-13</c:v>
                </c:pt>
                <c:pt idx="161">
                  <c:v>01-Sep-13</c:v>
                </c:pt>
                <c:pt idx="162">
                  <c:v>08-Sep-13</c:v>
                </c:pt>
                <c:pt idx="163">
                  <c:v>15-Sep-13</c:v>
                </c:pt>
                <c:pt idx="164">
                  <c:v>22-Sep-13</c:v>
                </c:pt>
                <c:pt idx="165">
                  <c:v>29-Sep-13</c:v>
                </c:pt>
                <c:pt idx="166">
                  <c:v>06-Oct-13</c:v>
                </c:pt>
                <c:pt idx="167">
                  <c:v>13-Oct-13</c:v>
                </c:pt>
                <c:pt idx="168">
                  <c:v>20-Oct-13</c:v>
                </c:pt>
                <c:pt idx="169">
                  <c:v>27-Oct-13</c:v>
                </c:pt>
                <c:pt idx="170">
                  <c:v>03-Nov-13</c:v>
                </c:pt>
                <c:pt idx="171">
                  <c:v>10-Nov-13</c:v>
                </c:pt>
                <c:pt idx="172">
                  <c:v>17-Nov-13</c:v>
                </c:pt>
                <c:pt idx="173">
                  <c:v>24-Nov-13</c:v>
                </c:pt>
                <c:pt idx="174">
                  <c:v>01-Dec-13</c:v>
                </c:pt>
                <c:pt idx="175">
                  <c:v>08-Dec-13</c:v>
                </c:pt>
                <c:pt idx="176">
                  <c:v>15-Dec-13</c:v>
                </c:pt>
                <c:pt idx="177">
                  <c:v>22-Dec-13</c:v>
                </c:pt>
                <c:pt idx="178">
                  <c:v>29-Dec-13</c:v>
                </c:pt>
                <c:pt idx="179">
                  <c:v>05-Jan-14</c:v>
                </c:pt>
                <c:pt idx="180">
                  <c:v>12-Jan-14</c:v>
                </c:pt>
                <c:pt idx="181">
                  <c:v>19-Jan-14</c:v>
                </c:pt>
                <c:pt idx="182">
                  <c:v>26-Jan-14</c:v>
                </c:pt>
                <c:pt idx="183">
                  <c:v>02-Feb-14</c:v>
                </c:pt>
                <c:pt idx="184">
                  <c:v>09-Feb-14</c:v>
                </c:pt>
                <c:pt idx="185">
                  <c:v>16-Feb-14</c:v>
                </c:pt>
                <c:pt idx="186">
                  <c:v>23-Feb-14</c:v>
                </c:pt>
                <c:pt idx="187">
                  <c:v>02-Mar-14</c:v>
                </c:pt>
                <c:pt idx="188">
                  <c:v>09-Mar-14</c:v>
                </c:pt>
                <c:pt idx="189">
                  <c:v>16-Mar-14</c:v>
                </c:pt>
                <c:pt idx="190">
                  <c:v>23-Mar-14</c:v>
                </c:pt>
                <c:pt idx="191">
                  <c:v>30-Mar-14</c:v>
                </c:pt>
                <c:pt idx="192">
                  <c:v>06-Apr-14</c:v>
                </c:pt>
                <c:pt idx="193">
                  <c:v>13-Apr-14</c:v>
                </c:pt>
                <c:pt idx="194">
                  <c:v>20-Apr-14</c:v>
                </c:pt>
                <c:pt idx="195">
                  <c:v>27-Apr-14</c:v>
                </c:pt>
                <c:pt idx="196">
                  <c:v>04-May-14</c:v>
                </c:pt>
                <c:pt idx="197">
                  <c:v>11-May-14</c:v>
                </c:pt>
                <c:pt idx="198">
                  <c:v>18-May-14</c:v>
                </c:pt>
                <c:pt idx="199">
                  <c:v>25-May-14</c:v>
                </c:pt>
                <c:pt idx="200">
                  <c:v>01-Jun-14</c:v>
                </c:pt>
                <c:pt idx="201">
                  <c:v>08-Jun-14</c:v>
                </c:pt>
                <c:pt idx="202">
                  <c:v>15-Jun-14</c:v>
                </c:pt>
                <c:pt idx="203">
                  <c:v>22-Jun-14</c:v>
                </c:pt>
                <c:pt idx="204">
                  <c:v>29-Jun-14</c:v>
                </c:pt>
                <c:pt idx="205">
                  <c:v>06-Jul-14</c:v>
                </c:pt>
                <c:pt idx="206">
                  <c:v>13-Jul-14</c:v>
                </c:pt>
                <c:pt idx="207">
                  <c:v>20-Jul-14</c:v>
                </c:pt>
                <c:pt idx="208">
                  <c:v>27-Jul-14</c:v>
                </c:pt>
                <c:pt idx="209">
                  <c:v>03-Aug-14</c:v>
                </c:pt>
                <c:pt idx="210">
                  <c:v>10-Aug-14</c:v>
                </c:pt>
                <c:pt idx="211">
                  <c:v>17-Aug-14</c:v>
                </c:pt>
                <c:pt idx="212">
                  <c:v>24-Aug-14</c:v>
                </c:pt>
                <c:pt idx="213">
                  <c:v>31-Aug-14</c:v>
                </c:pt>
                <c:pt idx="214">
                  <c:v>07-Sep-14</c:v>
                </c:pt>
                <c:pt idx="215">
                  <c:v>14-Sep-14</c:v>
                </c:pt>
                <c:pt idx="216">
                  <c:v>21-Sep-14</c:v>
                </c:pt>
                <c:pt idx="217">
                  <c:v>28-Sep-14</c:v>
                </c:pt>
                <c:pt idx="218">
                  <c:v>05-Oct-14</c:v>
                </c:pt>
                <c:pt idx="219">
                  <c:v>12-Oct-14</c:v>
                </c:pt>
                <c:pt idx="220">
                  <c:v>19-Oct-14</c:v>
                </c:pt>
                <c:pt idx="221">
                  <c:v>26-Oct-14</c:v>
                </c:pt>
                <c:pt idx="222">
                  <c:v>02-Nov-14</c:v>
                </c:pt>
                <c:pt idx="223">
                  <c:v>09-Nov-14</c:v>
                </c:pt>
                <c:pt idx="224">
                  <c:v>16-Nov-14</c:v>
                </c:pt>
                <c:pt idx="225">
                  <c:v>23-Nov-14</c:v>
                </c:pt>
                <c:pt idx="226">
                  <c:v>30-Nov-14</c:v>
                </c:pt>
                <c:pt idx="227">
                  <c:v>07-Dec-14</c:v>
                </c:pt>
                <c:pt idx="228">
                  <c:v>14-Dec-14</c:v>
                </c:pt>
                <c:pt idx="229">
                  <c:v>21-Dec-14</c:v>
                </c:pt>
                <c:pt idx="230">
                  <c:v>28-Dec-14</c:v>
                </c:pt>
                <c:pt idx="231">
                  <c:v>04-Jan-15</c:v>
                </c:pt>
                <c:pt idx="232">
                  <c:v>11-Jan-15</c:v>
                </c:pt>
                <c:pt idx="233">
                  <c:v>18-Jan-15</c:v>
                </c:pt>
                <c:pt idx="234">
                  <c:v>25-Jan-15</c:v>
                </c:pt>
                <c:pt idx="235">
                  <c:v>01-Feb-15</c:v>
                </c:pt>
                <c:pt idx="236">
                  <c:v>08-Feb-15</c:v>
                </c:pt>
                <c:pt idx="237">
                  <c:v>15-Feb-15</c:v>
                </c:pt>
                <c:pt idx="238">
                  <c:v>22-Feb-15</c:v>
                </c:pt>
                <c:pt idx="239">
                  <c:v>01-Mar-15</c:v>
                </c:pt>
                <c:pt idx="240">
                  <c:v>08-Mar-15</c:v>
                </c:pt>
                <c:pt idx="241">
                  <c:v>15-Mar-15</c:v>
                </c:pt>
                <c:pt idx="242">
                  <c:v>22-Mar-15</c:v>
                </c:pt>
                <c:pt idx="243">
                  <c:v>29-Mar-15</c:v>
                </c:pt>
                <c:pt idx="244">
                  <c:v>05-Apr-15</c:v>
                </c:pt>
                <c:pt idx="245">
                  <c:v>12-Apr-15</c:v>
                </c:pt>
                <c:pt idx="246">
                  <c:v>19-Apr-15</c:v>
                </c:pt>
                <c:pt idx="247">
                  <c:v>26-Apr-15</c:v>
                </c:pt>
                <c:pt idx="248">
                  <c:v>03-May-15</c:v>
                </c:pt>
                <c:pt idx="249">
                  <c:v>10-May-15</c:v>
                </c:pt>
                <c:pt idx="250">
                  <c:v>17-May-15</c:v>
                </c:pt>
                <c:pt idx="251">
                  <c:v>24-May-15</c:v>
                </c:pt>
                <c:pt idx="252">
                  <c:v>31-May-15</c:v>
                </c:pt>
                <c:pt idx="253">
                  <c:v>07-Jun-15</c:v>
                </c:pt>
                <c:pt idx="254">
                  <c:v>14-Jun-15</c:v>
                </c:pt>
                <c:pt idx="255">
                  <c:v>21-Jun-15</c:v>
                </c:pt>
                <c:pt idx="256">
                  <c:v>28-Jun-15</c:v>
                </c:pt>
                <c:pt idx="257">
                  <c:v>05-Jul-15</c:v>
                </c:pt>
                <c:pt idx="258">
                  <c:v>12-Jul-15</c:v>
                </c:pt>
                <c:pt idx="259">
                  <c:v>19-Jul-15</c:v>
                </c:pt>
                <c:pt idx="260">
                  <c:v>26-Jul-15</c:v>
                </c:pt>
                <c:pt idx="261">
                  <c:v>02-Aug-15</c:v>
                </c:pt>
                <c:pt idx="262">
                  <c:v>09-Aug-15</c:v>
                </c:pt>
                <c:pt idx="263">
                  <c:v>16-Aug-15</c:v>
                </c:pt>
                <c:pt idx="264">
                  <c:v>23-Aug-15</c:v>
                </c:pt>
                <c:pt idx="265">
                  <c:v>30-Aug-15</c:v>
                </c:pt>
                <c:pt idx="266">
                  <c:v>06-Sep-15</c:v>
                </c:pt>
                <c:pt idx="267">
                  <c:v>13-Sep-15</c:v>
                </c:pt>
                <c:pt idx="268">
                  <c:v>20-Sep-15</c:v>
                </c:pt>
                <c:pt idx="269">
                  <c:v>27-Sep-15</c:v>
                </c:pt>
                <c:pt idx="270">
                  <c:v>04-Oct-15</c:v>
                </c:pt>
                <c:pt idx="271">
                  <c:v>11-Oct-15</c:v>
                </c:pt>
                <c:pt idx="272">
                  <c:v>18-Oct-15</c:v>
                </c:pt>
                <c:pt idx="273">
                  <c:v>25-Oct-15</c:v>
                </c:pt>
                <c:pt idx="274">
                  <c:v>01-Nov-15</c:v>
                </c:pt>
                <c:pt idx="275">
                  <c:v>08-Nov-15</c:v>
                </c:pt>
                <c:pt idx="276">
                  <c:v>15-Nov-15</c:v>
                </c:pt>
                <c:pt idx="277">
                  <c:v>22-Nov-15</c:v>
                </c:pt>
                <c:pt idx="278">
                  <c:v>29-Nov-15</c:v>
                </c:pt>
                <c:pt idx="279">
                  <c:v>06-Dec-15</c:v>
                </c:pt>
                <c:pt idx="280">
                  <c:v>13-Dec-15</c:v>
                </c:pt>
                <c:pt idx="281">
                  <c:v>20-Dec-15</c:v>
                </c:pt>
                <c:pt idx="282">
                  <c:v>27-Dec-15</c:v>
                </c:pt>
                <c:pt idx="283">
                  <c:v>03-Jan-16</c:v>
                </c:pt>
                <c:pt idx="284">
                  <c:v>10-Jan-16</c:v>
                </c:pt>
                <c:pt idx="285">
                  <c:v>17-Jan-16</c:v>
                </c:pt>
                <c:pt idx="286">
                  <c:v>24-Jan-16</c:v>
                </c:pt>
                <c:pt idx="287">
                  <c:v>31-Jan-16</c:v>
                </c:pt>
                <c:pt idx="288">
                  <c:v>07-Feb-16</c:v>
                </c:pt>
                <c:pt idx="289">
                  <c:v>14-Feb-16</c:v>
                </c:pt>
                <c:pt idx="290">
                  <c:v>21-Feb-16</c:v>
                </c:pt>
                <c:pt idx="291">
                  <c:v>28-Feb-16</c:v>
                </c:pt>
                <c:pt idx="292">
                  <c:v>06-Mar-16</c:v>
                </c:pt>
                <c:pt idx="293">
                  <c:v>13-Mar-16</c:v>
                </c:pt>
                <c:pt idx="294">
                  <c:v>20-Mar-16</c:v>
                </c:pt>
                <c:pt idx="295">
                  <c:v>27-Mar-16</c:v>
                </c:pt>
                <c:pt idx="296">
                  <c:v>03-Apr-16</c:v>
                </c:pt>
                <c:pt idx="297">
                  <c:v>10-Apr-16</c:v>
                </c:pt>
                <c:pt idx="298">
                  <c:v>17-Apr-16</c:v>
                </c:pt>
                <c:pt idx="299">
                  <c:v>24-Apr-16</c:v>
                </c:pt>
                <c:pt idx="300">
                  <c:v>01-May-16</c:v>
                </c:pt>
                <c:pt idx="301">
                  <c:v>08-May-16</c:v>
                </c:pt>
                <c:pt idx="302">
                  <c:v>15-May-16</c:v>
                </c:pt>
                <c:pt idx="303">
                  <c:v>22-May-16</c:v>
                </c:pt>
                <c:pt idx="304">
                  <c:v>29-May-16</c:v>
                </c:pt>
                <c:pt idx="305">
                  <c:v>05-Jun-16</c:v>
                </c:pt>
                <c:pt idx="306">
                  <c:v>12-Jun-16</c:v>
                </c:pt>
                <c:pt idx="307">
                  <c:v>19-Jun-16</c:v>
                </c:pt>
                <c:pt idx="308">
                  <c:v>26-Jun-16</c:v>
                </c:pt>
                <c:pt idx="309">
                  <c:v>03-Jul-16</c:v>
                </c:pt>
                <c:pt idx="310">
                  <c:v>10-Jul-16</c:v>
                </c:pt>
                <c:pt idx="311">
                  <c:v>17-Jul-16</c:v>
                </c:pt>
                <c:pt idx="312">
                  <c:v>24-Jul-16</c:v>
                </c:pt>
                <c:pt idx="313">
                  <c:v>31-Jul-16</c:v>
                </c:pt>
                <c:pt idx="314">
                  <c:v>07-Aug-16</c:v>
                </c:pt>
                <c:pt idx="315">
                  <c:v>14-Aug-16</c:v>
                </c:pt>
                <c:pt idx="316">
                  <c:v>21-Aug-16</c:v>
                </c:pt>
                <c:pt idx="317">
                  <c:v>28-Aug-16</c:v>
                </c:pt>
                <c:pt idx="318">
                  <c:v>04-Sep-16</c:v>
                </c:pt>
                <c:pt idx="319">
                  <c:v>11-Sep-16</c:v>
                </c:pt>
                <c:pt idx="320">
                  <c:v>18-Sep-16</c:v>
                </c:pt>
                <c:pt idx="321">
                  <c:v>25-Sep-16</c:v>
                </c:pt>
                <c:pt idx="322">
                  <c:v>02-Oct-16</c:v>
                </c:pt>
                <c:pt idx="323">
                  <c:v>09-Oct-16</c:v>
                </c:pt>
                <c:pt idx="324">
                  <c:v>16-Oct-16</c:v>
                </c:pt>
                <c:pt idx="325">
                  <c:v>23-Oct-16</c:v>
                </c:pt>
                <c:pt idx="326">
                  <c:v>30-Oct-16</c:v>
                </c:pt>
                <c:pt idx="327">
                  <c:v>06-Nov-16</c:v>
                </c:pt>
                <c:pt idx="328">
                  <c:v>13-Nov-16</c:v>
                </c:pt>
                <c:pt idx="329">
                  <c:v>20-Nov-16</c:v>
                </c:pt>
                <c:pt idx="330">
                  <c:v>27-Nov-16</c:v>
                </c:pt>
                <c:pt idx="331">
                  <c:v>04-Dec-16</c:v>
                </c:pt>
                <c:pt idx="332">
                  <c:v>11-Dec-16</c:v>
                </c:pt>
                <c:pt idx="333">
                  <c:v>18-Dec-16</c:v>
                </c:pt>
                <c:pt idx="334">
                  <c:v>25-Dec-16</c:v>
                </c:pt>
                <c:pt idx="335">
                  <c:v>01-Jan-17</c:v>
                </c:pt>
                <c:pt idx="336">
                  <c:v>08-Jan-17</c:v>
                </c:pt>
                <c:pt idx="337">
                  <c:v>15-Jan-17</c:v>
                </c:pt>
                <c:pt idx="338">
                  <c:v>22-Jan-17</c:v>
                </c:pt>
                <c:pt idx="339">
                  <c:v>29-Jan-17</c:v>
                </c:pt>
                <c:pt idx="340">
                  <c:v>05-Feb-17</c:v>
                </c:pt>
                <c:pt idx="341">
                  <c:v>12-Feb-17</c:v>
                </c:pt>
                <c:pt idx="342">
                  <c:v>19-Feb-17</c:v>
                </c:pt>
                <c:pt idx="343">
                  <c:v>26-Feb-17</c:v>
                </c:pt>
                <c:pt idx="344">
                  <c:v>05-Mar-17</c:v>
                </c:pt>
                <c:pt idx="345">
                  <c:v>12-Mar-17</c:v>
                </c:pt>
                <c:pt idx="346">
                  <c:v>19-Mar-17</c:v>
                </c:pt>
                <c:pt idx="347">
                  <c:v>26-Mar-17</c:v>
                </c:pt>
                <c:pt idx="348">
                  <c:v>02-Apr-17</c:v>
                </c:pt>
                <c:pt idx="349">
                  <c:v>09-Apr-17</c:v>
                </c:pt>
                <c:pt idx="350">
                  <c:v>16-Apr-17</c:v>
                </c:pt>
                <c:pt idx="351">
                  <c:v>23-Apr-17</c:v>
                </c:pt>
                <c:pt idx="352">
                  <c:v>30-Apr-17</c:v>
                </c:pt>
                <c:pt idx="353">
                  <c:v>07-May-17</c:v>
                </c:pt>
                <c:pt idx="354">
                  <c:v>14-May-17</c:v>
                </c:pt>
                <c:pt idx="355">
                  <c:v>21-May-17</c:v>
                </c:pt>
                <c:pt idx="356">
                  <c:v>28-May-17</c:v>
                </c:pt>
                <c:pt idx="357">
                  <c:v>04-Jun-17</c:v>
                </c:pt>
                <c:pt idx="358">
                  <c:v>11-Jun-17</c:v>
                </c:pt>
                <c:pt idx="359">
                  <c:v>18-Jun-17</c:v>
                </c:pt>
                <c:pt idx="360">
                  <c:v>25-Jun-17</c:v>
                </c:pt>
                <c:pt idx="361">
                  <c:v>02-Jul-17</c:v>
                </c:pt>
                <c:pt idx="362">
                  <c:v>09-Jul-17</c:v>
                </c:pt>
                <c:pt idx="363">
                  <c:v>16-Jul-17</c:v>
                </c:pt>
                <c:pt idx="364">
                  <c:v>23-Jul-17</c:v>
                </c:pt>
                <c:pt idx="365">
                  <c:v>30-Jul-17</c:v>
                </c:pt>
                <c:pt idx="366">
                  <c:v>06-Aug-17</c:v>
                </c:pt>
                <c:pt idx="367">
                  <c:v>13-Aug-17</c:v>
                </c:pt>
                <c:pt idx="368">
                  <c:v>20-Aug-17</c:v>
                </c:pt>
                <c:pt idx="369">
                  <c:v>27-Aug-17</c:v>
                </c:pt>
                <c:pt idx="370">
                  <c:v>03-Sep-17</c:v>
                </c:pt>
                <c:pt idx="371">
                  <c:v>10-Sep-17</c:v>
                </c:pt>
                <c:pt idx="372">
                  <c:v>17-Sep-17</c:v>
                </c:pt>
                <c:pt idx="373">
                  <c:v>24-Sep-17</c:v>
                </c:pt>
                <c:pt idx="374">
                  <c:v>01-Oct-17</c:v>
                </c:pt>
                <c:pt idx="375">
                  <c:v>08-Oct-17</c:v>
                </c:pt>
                <c:pt idx="376">
                  <c:v>15-Oct-17</c:v>
                </c:pt>
                <c:pt idx="377">
                  <c:v>22-Oct-17</c:v>
                </c:pt>
                <c:pt idx="378">
                  <c:v>29-Oct-17</c:v>
                </c:pt>
                <c:pt idx="379">
                  <c:v>05-Nov-17</c:v>
                </c:pt>
                <c:pt idx="380">
                  <c:v>12-Nov-17</c:v>
                </c:pt>
                <c:pt idx="381">
                  <c:v>19-Nov-17</c:v>
                </c:pt>
                <c:pt idx="382">
                  <c:v>26-Nov-17</c:v>
                </c:pt>
                <c:pt idx="383">
                  <c:v>03-Dec-17</c:v>
                </c:pt>
                <c:pt idx="384">
                  <c:v>10-Dec-17</c:v>
                </c:pt>
                <c:pt idx="385">
                  <c:v>17-Dec-17</c:v>
                </c:pt>
                <c:pt idx="386">
                  <c:v>24-Dec-17</c:v>
                </c:pt>
                <c:pt idx="387">
                  <c:v>31-Dec-17</c:v>
                </c:pt>
                <c:pt idx="388">
                  <c:v>07-Jan-18</c:v>
                </c:pt>
                <c:pt idx="389">
                  <c:v>14-Jan-18</c:v>
                </c:pt>
                <c:pt idx="390">
                  <c:v>21-Jan-18</c:v>
                </c:pt>
                <c:pt idx="391">
                  <c:v>28-Jan-18</c:v>
                </c:pt>
                <c:pt idx="392">
                  <c:v>04-Feb-18</c:v>
                </c:pt>
                <c:pt idx="393">
                  <c:v>11-Feb-18</c:v>
                </c:pt>
                <c:pt idx="394">
                  <c:v>18-Feb-18</c:v>
                </c:pt>
                <c:pt idx="395">
                  <c:v>25-Feb-18</c:v>
                </c:pt>
                <c:pt idx="396">
                  <c:v>04-Mar-18</c:v>
                </c:pt>
                <c:pt idx="397">
                  <c:v>11-Mar-18</c:v>
                </c:pt>
                <c:pt idx="398">
                  <c:v>18-Mar-18</c:v>
                </c:pt>
                <c:pt idx="399">
                  <c:v>25-Mar-18</c:v>
                </c:pt>
                <c:pt idx="400">
                  <c:v>01-Apr-18</c:v>
                </c:pt>
                <c:pt idx="401">
                  <c:v>08-Apr-18</c:v>
                </c:pt>
                <c:pt idx="402">
                  <c:v>15-Apr-18</c:v>
                </c:pt>
                <c:pt idx="403">
                  <c:v>22-Apr-18</c:v>
                </c:pt>
                <c:pt idx="404">
                  <c:v>29-Apr-18</c:v>
                </c:pt>
                <c:pt idx="405">
                  <c:v>06-May-18</c:v>
                </c:pt>
                <c:pt idx="406">
                  <c:v>13-May-18</c:v>
                </c:pt>
                <c:pt idx="407">
                  <c:v>20-May-18</c:v>
                </c:pt>
                <c:pt idx="408">
                  <c:v>27-May-18</c:v>
                </c:pt>
                <c:pt idx="409">
                  <c:v>03-Jun-18</c:v>
                </c:pt>
                <c:pt idx="410">
                  <c:v>10-Jun-18</c:v>
                </c:pt>
                <c:pt idx="411">
                  <c:v>17-Jun-18</c:v>
                </c:pt>
                <c:pt idx="412">
                  <c:v>24-Jun-18</c:v>
                </c:pt>
                <c:pt idx="413">
                  <c:v>01-Jul-18</c:v>
                </c:pt>
                <c:pt idx="414">
                  <c:v>08-Jul-18</c:v>
                </c:pt>
                <c:pt idx="415">
                  <c:v>15-Jul-18</c:v>
                </c:pt>
                <c:pt idx="416">
                  <c:v>22-Jul-18</c:v>
                </c:pt>
                <c:pt idx="417">
                  <c:v>29-Jul-18</c:v>
                </c:pt>
                <c:pt idx="418">
                  <c:v>05-Aug-18</c:v>
                </c:pt>
                <c:pt idx="419">
                  <c:v>12-Aug-18</c:v>
                </c:pt>
                <c:pt idx="420">
                  <c:v>19-Aug-18</c:v>
                </c:pt>
                <c:pt idx="421">
                  <c:v>26-Aug-18</c:v>
                </c:pt>
                <c:pt idx="422">
                  <c:v>02-Sep-18</c:v>
                </c:pt>
                <c:pt idx="423">
                  <c:v>09-Sep-18</c:v>
                </c:pt>
                <c:pt idx="424">
                  <c:v>16-Sep-18</c:v>
                </c:pt>
                <c:pt idx="425">
                  <c:v>23-Sep-18</c:v>
                </c:pt>
                <c:pt idx="426">
                  <c:v>30-Sep-18</c:v>
                </c:pt>
                <c:pt idx="427">
                  <c:v>07-Oct-18</c:v>
                </c:pt>
                <c:pt idx="428">
                  <c:v>14-Oct-18</c:v>
                </c:pt>
                <c:pt idx="429">
                  <c:v>21-Oct-18</c:v>
                </c:pt>
                <c:pt idx="430">
                  <c:v>28-Oct-18</c:v>
                </c:pt>
                <c:pt idx="431">
                  <c:v>04-Nov-18</c:v>
                </c:pt>
                <c:pt idx="432">
                  <c:v>11-Nov-18</c:v>
                </c:pt>
                <c:pt idx="433">
                  <c:v>18-Nov-18</c:v>
                </c:pt>
                <c:pt idx="434">
                  <c:v>25-Nov-18</c:v>
                </c:pt>
                <c:pt idx="435">
                  <c:v>02-Dec-18</c:v>
                </c:pt>
                <c:pt idx="436">
                  <c:v>09-Dec-18</c:v>
                </c:pt>
                <c:pt idx="437">
                  <c:v>16-Dec-18</c:v>
                </c:pt>
                <c:pt idx="438">
                  <c:v>23-Dec-18</c:v>
                </c:pt>
                <c:pt idx="439">
                  <c:v>30-Dec-18</c:v>
                </c:pt>
                <c:pt idx="440">
                  <c:v>06-Jan-19</c:v>
                </c:pt>
                <c:pt idx="441">
                  <c:v>13-Jan-19</c:v>
                </c:pt>
                <c:pt idx="442">
                  <c:v>20-Jan-19</c:v>
                </c:pt>
                <c:pt idx="443">
                  <c:v>27-Jan-19</c:v>
                </c:pt>
                <c:pt idx="444">
                  <c:v>03-Feb-19</c:v>
                </c:pt>
                <c:pt idx="445">
                  <c:v>10-Feb-19</c:v>
                </c:pt>
                <c:pt idx="446">
                  <c:v>17-Feb-19</c:v>
                </c:pt>
                <c:pt idx="447">
                  <c:v>24-Feb-19</c:v>
                </c:pt>
                <c:pt idx="448">
                  <c:v>03-Mar-19</c:v>
                </c:pt>
                <c:pt idx="449">
                  <c:v>10-Mar-19</c:v>
                </c:pt>
                <c:pt idx="450">
                  <c:v>17-Mar-19</c:v>
                </c:pt>
                <c:pt idx="451">
                  <c:v>24-Mar-19</c:v>
                </c:pt>
                <c:pt idx="452">
                  <c:v>31-Mar-19</c:v>
                </c:pt>
                <c:pt idx="453">
                  <c:v>07-Apr-19</c:v>
                </c:pt>
                <c:pt idx="454">
                  <c:v>14-Apr-19</c:v>
                </c:pt>
                <c:pt idx="455">
                  <c:v>21-Apr-19</c:v>
                </c:pt>
                <c:pt idx="456">
                  <c:v>28-Apr-19</c:v>
                </c:pt>
                <c:pt idx="457">
                  <c:v>05-May-19</c:v>
                </c:pt>
                <c:pt idx="458">
                  <c:v>12-May-19</c:v>
                </c:pt>
                <c:pt idx="459">
                  <c:v>19-May-19</c:v>
                </c:pt>
                <c:pt idx="460">
                  <c:v>26-May-19</c:v>
                </c:pt>
                <c:pt idx="461">
                  <c:v>02-Jun-19</c:v>
                </c:pt>
                <c:pt idx="462">
                  <c:v>09-Jun-19</c:v>
                </c:pt>
                <c:pt idx="463">
                  <c:v>16-Jun-19</c:v>
                </c:pt>
                <c:pt idx="464">
                  <c:v>23-Jun-19</c:v>
                </c:pt>
                <c:pt idx="465">
                  <c:v>30-Jun-19</c:v>
                </c:pt>
                <c:pt idx="466">
                  <c:v>07-Jul-19</c:v>
                </c:pt>
                <c:pt idx="467">
                  <c:v>14-Jul-19</c:v>
                </c:pt>
                <c:pt idx="468">
                  <c:v>21-Jul-19</c:v>
                </c:pt>
                <c:pt idx="469">
                  <c:v>28-Jul-19</c:v>
                </c:pt>
                <c:pt idx="470">
                  <c:v>04-Aug-19</c:v>
                </c:pt>
                <c:pt idx="471">
                  <c:v>11-Aug-19</c:v>
                </c:pt>
                <c:pt idx="472">
                  <c:v>18-Aug-19</c:v>
                </c:pt>
                <c:pt idx="473">
                  <c:v>25-Aug-19</c:v>
                </c:pt>
                <c:pt idx="474">
                  <c:v>01-Sep-19</c:v>
                </c:pt>
                <c:pt idx="475">
                  <c:v>08-Sep-19</c:v>
                </c:pt>
                <c:pt idx="476">
                  <c:v>15-Sep-19</c:v>
                </c:pt>
                <c:pt idx="477">
                  <c:v>22-Sep-19</c:v>
                </c:pt>
                <c:pt idx="478">
                  <c:v>29-Sep-19</c:v>
                </c:pt>
                <c:pt idx="479">
                  <c:v>06-Oct-19</c:v>
                </c:pt>
                <c:pt idx="480">
                  <c:v>13-Oct-19</c:v>
                </c:pt>
                <c:pt idx="481">
                  <c:v>20-Oct-19</c:v>
                </c:pt>
                <c:pt idx="482">
                  <c:v>27-Oct-19</c:v>
                </c:pt>
                <c:pt idx="483">
                  <c:v>03-Nov-19</c:v>
                </c:pt>
                <c:pt idx="484">
                  <c:v>10-Nov-19</c:v>
                </c:pt>
                <c:pt idx="485">
                  <c:v>17-Nov-19</c:v>
                </c:pt>
                <c:pt idx="486">
                  <c:v>24-Nov-19</c:v>
                </c:pt>
                <c:pt idx="487">
                  <c:v>01-Dec-19</c:v>
                </c:pt>
                <c:pt idx="488">
                  <c:v>08-Dec-19</c:v>
                </c:pt>
                <c:pt idx="489">
                  <c:v>15-Dec-19</c:v>
                </c:pt>
                <c:pt idx="490">
                  <c:v>22-Dec-19</c:v>
                </c:pt>
                <c:pt idx="491">
                  <c:v>29-Dec-19</c:v>
                </c:pt>
                <c:pt idx="492">
                  <c:v>05-Jan-20</c:v>
                </c:pt>
                <c:pt idx="493">
                  <c:v>12-Jan-20</c:v>
                </c:pt>
                <c:pt idx="494">
                  <c:v>19-Jan-20</c:v>
                </c:pt>
                <c:pt idx="495">
                  <c:v>26-Jan-20</c:v>
                </c:pt>
                <c:pt idx="496">
                  <c:v>02-Feb-20</c:v>
                </c:pt>
                <c:pt idx="497">
                  <c:v>09-Feb-20</c:v>
                </c:pt>
                <c:pt idx="498">
                  <c:v>16-Feb-20</c:v>
                </c:pt>
                <c:pt idx="499">
                  <c:v>23-Feb-20</c:v>
                </c:pt>
                <c:pt idx="500">
                  <c:v>01-Mar-20</c:v>
                </c:pt>
                <c:pt idx="501">
                  <c:v>08-Mar-20</c:v>
                </c:pt>
                <c:pt idx="502">
                  <c:v>15-Mar-20</c:v>
                </c:pt>
                <c:pt idx="503">
                  <c:v>22-Mar-20</c:v>
                </c:pt>
                <c:pt idx="504">
                  <c:v>29-Mar-20</c:v>
                </c:pt>
                <c:pt idx="505">
                  <c:v>05-Apr-20</c:v>
                </c:pt>
                <c:pt idx="506">
                  <c:v>12-Apr-20</c:v>
                </c:pt>
                <c:pt idx="507">
                  <c:v>19-Apr-20</c:v>
                </c:pt>
                <c:pt idx="508">
                  <c:v>26-Apr-20</c:v>
                </c:pt>
                <c:pt idx="509">
                  <c:v>03-May-20</c:v>
                </c:pt>
                <c:pt idx="510">
                  <c:v>10-May-20</c:v>
                </c:pt>
                <c:pt idx="511">
                  <c:v>17-May-20</c:v>
                </c:pt>
                <c:pt idx="512">
                  <c:v>24-May-20</c:v>
                </c:pt>
                <c:pt idx="513">
                  <c:v>31-May-20</c:v>
                </c:pt>
                <c:pt idx="514">
                  <c:v>07-Jun-20</c:v>
                </c:pt>
                <c:pt idx="515">
                  <c:v>14-Jun-20</c:v>
                </c:pt>
                <c:pt idx="516">
                  <c:v>21-Jun-20</c:v>
                </c:pt>
                <c:pt idx="517">
                  <c:v>28-Jun-20</c:v>
                </c:pt>
                <c:pt idx="518">
                  <c:v>05-Jul-20</c:v>
                </c:pt>
                <c:pt idx="519">
                  <c:v>12-Jul-20</c:v>
                </c:pt>
                <c:pt idx="520">
                  <c:v>19-Jul-20</c:v>
                </c:pt>
                <c:pt idx="521">
                  <c:v>26-Jul-20</c:v>
                </c:pt>
                <c:pt idx="522">
                  <c:v>02-Aug-20</c:v>
                </c:pt>
                <c:pt idx="523">
                  <c:v>09-Aug-20</c:v>
                </c:pt>
                <c:pt idx="524">
                  <c:v>16-Aug-20</c:v>
                </c:pt>
                <c:pt idx="525">
                  <c:v>23-Aug-20</c:v>
                </c:pt>
                <c:pt idx="526">
                  <c:v>30-Aug-20</c:v>
                </c:pt>
                <c:pt idx="527">
                  <c:v>06-Sep-20</c:v>
                </c:pt>
                <c:pt idx="528">
                  <c:v>13-Sep-20</c:v>
                </c:pt>
                <c:pt idx="529">
                  <c:v>20-Sep-20</c:v>
                </c:pt>
                <c:pt idx="530">
                  <c:v>27-Sep-20</c:v>
                </c:pt>
                <c:pt idx="531">
                  <c:v>04-Oct-20</c:v>
                </c:pt>
                <c:pt idx="532">
                  <c:v>11-Oct-20</c:v>
                </c:pt>
                <c:pt idx="533">
                  <c:v>18-Oct-20</c:v>
                </c:pt>
                <c:pt idx="534">
                  <c:v>25-Oct-20</c:v>
                </c:pt>
                <c:pt idx="535">
                  <c:v>01-Nov-20</c:v>
                </c:pt>
                <c:pt idx="536">
                  <c:v>08-Nov-20</c:v>
                </c:pt>
                <c:pt idx="537">
                  <c:v>15-Nov-20</c:v>
                </c:pt>
                <c:pt idx="538">
                  <c:v>22-Nov-20</c:v>
                </c:pt>
                <c:pt idx="539">
                  <c:v>29-Nov-20</c:v>
                </c:pt>
                <c:pt idx="540">
                  <c:v>06-Dec-20</c:v>
                </c:pt>
                <c:pt idx="541">
                  <c:v>13-Dec-20</c:v>
                </c:pt>
                <c:pt idx="542">
                  <c:v>20-Dec-20</c:v>
                </c:pt>
                <c:pt idx="543">
                  <c:v>27-Dec-20</c:v>
                </c:pt>
                <c:pt idx="544">
                  <c:v>03-Jan-21</c:v>
                </c:pt>
                <c:pt idx="545">
                  <c:v>10-Jan-21</c:v>
                </c:pt>
                <c:pt idx="546">
                  <c:v>17-Jan-21</c:v>
                </c:pt>
                <c:pt idx="547">
                  <c:v>24-Jan-21</c:v>
                </c:pt>
                <c:pt idx="548">
                  <c:v>31-Jan-21</c:v>
                </c:pt>
                <c:pt idx="549">
                  <c:v>07-Feb-21</c:v>
                </c:pt>
                <c:pt idx="550">
                  <c:v>14-Feb-21</c:v>
                </c:pt>
                <c:pt idx="551">
                  <c:v>21-Feb-21</c:v>
                </c:pt>
                <c:pt idx="552">
                  <c:v>28-Feb-21</c:v>
                </c:pt>
                <c:pt idx="553">
                  <c:v>07-Mar-21</c:v>
                </c:pt>
                <c:pt idx="554">
                  <c:v>14-Mar-21</c:v>
                </c:pt>
                <c:pt idx="555">
                  <c:v>21-Mar-21</c:v>
                </c:pt>
                <c:pt idx="556">
                  <c:v>28-Mar-21</c:v>
                </c:pt>
                <c:pt idx="557">
                  <c:v>04-Apr-21</c:v>
                </c:pt>
                <c:pt idx="558">
                  <c:v>11-Apr-21</c:v>
                </c:pt>
                <c:pt idx="559">
                  <c:v>18-Apr-21</c:v>
                </c:pt>
                <c:pt idx="560">
                  <c:v>25-Apr-21</c:v>
                </c:pt>
                <c:pt idx="561">
                  <c:v>02-May-21</c:v>
                </c:pt>
                <c:pt idx="562">
                  <c:v>09-May-21</c:v>
                </c:pt>
                <c:pt idx="563">
                  <c:v>16-May-21</c:v>
                </c:pt>
                <c:pt idx="564">
                  <c:v>23-May-21</c:v>
                </c:pt>
                <c:pt idx="565">
                  <c:v>30-May-21</c:v>
                </c:pt>
                <c:pt idx="566">
                  <c:v>06-Jun-21</c:v>
                </c:pt>
                <c:pt idx="567">
                  <c:v>13-Jun-21</c:v>
                </c:pt>
                <c:pt idx="568">
                  <c:v>20-Jun-21</c:v>
                </c:pt>
                <c:pt idx="569">
                  <c:v>27-Jun-21</c:v>
                </c:pt>
                <c:pt idx="570">
                  <c:v>04-Jul-21</c:v>
                </c:pt>
                <c:pt idx="571">
                  <c:v>11-Jul-21</c:v>
                </c:pt>
                <c:pt idx="572">
                  <c:v>18-Jul-21</c:v>
                </c:pt>
                <c:pt idx="573">
                  <c:v>25-Jul-21</c:v>
                </c:pt>
                <c:pt idx="574">
                  <c:v>01-Aug-21</c:v>
                </c:pt>
                <c:pt idx="575">
                  <c:v>08-Aug-21</c:v>
                </c:pt>
                <c:pt idx="576">
                  <c:v>15-Aug-21</c:v>
                </c:pt>
                <c:pt idx="577">
                  <c:v>22-Aug-21</c:v>
                </c:pt>
                <c:pt idx="578">
                  <c:v>29-Aug-21</c:v>
                </c:pt>
                <c:pt idx="579">
                  <c:v>05-Sep-21</c:v>
                </c:pt>
                <c:pt idx="580">
                  <c:v>12-Sep-21</c:v>
                </c:pt>
                <c:pt idx="581">
                  <c:v>19-Sep-21</c:v>
                </c:pt>
                <c:pt idx="582">
                  <c:v>26-Sep-21</c:v>
                </c:pt>
                <c:pt idx="583">
                  <c:v>03-Oct-21</c:v>
                </c:pt>
                <c:pt idx="584">
                  <c:v>10-Oct-21</c:v>
                </c:pt>
                <c:pt idx="585">
                  <c:v>17-Oct-21</c:v>
                </c:pt>
                <c:pt idx="586">
                  <c:v>24-Oct-21</c:v>
                </c:pt>
                <c:pt idx="587">
                  <c:v>31-Oct-21</c:v>
                </c:pt>
                <c:pt idx="588">
                  <c:v>07-Nov-21</c:v>
                </c:pt>
                <c:pt idx="589">
                  <c:v>14-Nov-21</c:v>
                </c:pt>
                <c:pt idx="590">
                  <c:v>21-Nov-21</c:v>
                </c:pt>
                <c:pt idx="591">
                  <c:v>28-Nov-21</c:v>
                </c:pt>
                <c:pt idx="592">
                  <c:v>05-Dec-21</c:v>
                </c:pt>
                <c:pt idx="593">
                  <c:v>12-Dec-21</c:v>
                </c:pt>
                <c:pt idx="594">
                  <c:v>19-Dec-21</c:v>
                </c:pt>
                <c:pt idx="595">
                  <c:v>26-Dec-21</c:v>
                </c:pt>
                <c:pt idx="596">
                  <c:v>02-Jan-22</c:v>
                </c:pt>
                <c:pt idx="597">
                  <c:v>09-Jan-22</c:v>
                </c:pt>
                <c:pt idx="598">
                  <c:v>16-Jan-22</c:v>
                </c:pt>
                <c:pt idx="599">
                  <c:v>23-Jan-22</c:v>
                </c:pt>
                <c:pt idx="600">
                  <c:v>30-Jan-22</c:v>
                </c:pt>
                <c:pt idx="601">
                  <c:v>06-Feb-22</c:v>
                </c:pt>
                <c:pt idx="602">
                  <c:v>13-Feb-22</c:v>
                </c:pt>
                <c:pt idx="603">
                  <c:v>20-Feb-22</c:v>
                </c:pt>
                <c:pt idx="604">
                  <c:v>27-Feb-22</c:v>
                </c:pt>
                <c:pt idx="605">
                  <c:v>06-Mar-22</c:v>
                </c:pt>
                <c:pt idx="606">
                  <c:v>13-Mar-22</c:v>
                </c:pt>
                <c:pt idx="607">
                  <c:v>20-Mar-22</c:v>
                </c:pt>
                <c:pt idx="608">
                  <c:v>27-Mar-22</c:v>
                </c:pt>
                <c:pt idx="609">
                  <c:v>03-Apr-22</c:v>
                </c:pt>
                <c:pt idx="610">
                  <c:v>10-Apr-22</c:v>
                </c:pt>
                <c:pt idx="611">
                  <c:v>17-Apr-22</c:v>
                </c:pt>
                <c:pt idx="612">
                  <c:v>24-Apr-22</c:v>
                </c:pt>
                <c:pt idx="613">
                  <c:v>01-May-22</c:v>
                </c:pt>
                <c:pt idx="614">
                  <c:v>08-May-22</c:v>
                </c:pt>
                <c:pt idx="615">
                  <c:v>15-May-22</c:v>
                </c:pt>
                <c:pt idx="616">
                  <c:v>22-May-22</c:v>
                </c:pt>
                <c:pt idx="617">
                  <c:v>29-May-22</c:v>
                </c:pt>
                <c:pt idx="618">
                  <c:v>05-Jun-22</c:v>
                </c:pt>
                <c:pt idx="619">
                  <c:v>12-Jun-22</c:v>
                </c:pt>
                <c:pt idx="620">
                  <c:v>19-Jun-22</c:v>
                </c:pt>
                <c:pt idx="621">
                  <c:v>26-Jun-22</c:v>
                </c:pt>
                <c:pt idx="622">
                  <c:v>03-Jul-22</c:v>
                </c:pt>
                <c:pt idx="623">
                  <c:v>10-Jul-22</c:v>
                </c:pt>
                <c:pt idx="624">
                  <c:v>17-Jul-22</c:v>
                </c:pt>
                <c:pt idx="625">
                  <c:v>24-Jul-22</c:v>
                </c:pt>
                <c:pt idx="626">
                  <c:v>31-Jul-22</c:v>
                </c:pt>
                <c:pt idx="627">
                  <c:v>07-Aug-22</c:v>
                </c:pt>
                <c:pt idx="628">
                  <c:v>14-Aug-22</c:v>
                </c:pt>
                <c:pt idx="629">
                  <c:v>21-Aug-22</c:v>
                </c:pt>
                <c:pt idx="630">
                  <c:v>28-Aug-22</c:v>
                </c:pt>
                <c:pt idx="631">
                  <c:v>04-Sep-22</c:v>
                </c:pt>
                <c:pt idx="632">
                  <c:v>11-Sep-22</c:v>
                </c:pt>
                <c:pt idx="633">
                  <c:v>18-Sep-22</c:v>
                </c:pt>
                <c:pt idx="634">
                  <c:v>25-Sep-22</c:v>
                </c:pt>
                <c:pt idx="635">
                  <c:v>02-Oct-22</c:v>
                </c:pt>
                <c:pt idx="636">
                  <c:v>09-Oct-22</c:v>
                </c:pt>
                <c:pt idx="637">
                  <c:v>16-Oct-22</c:v>
                </c:pt>
                <c:pt idx="638">
                  <c:v>23-Oct-22</c:v>
                </c:pt>
                <c:pt idx="639">
                  <c:v>30-Oct-22</c:v>
                </c:pt>
                <c:pt idx="640">
                  <c:v>06-Nov-22</c:v>
                </c:pt>
                <c:pt idx="641">
                  <c:v>13-Nov-22</c:v>
                </c:pt>
                <c:pt idx="642">
                  <c:v>20-Nov-22</c:v>
                </c:pt>
                <c:pt idx="643">
                  <c:v>27-Nov-22</c:v>
                </c:pt>
                <c:pt idx="644">
                  <c:v>04-Dec-22</c:v>
                </c:pt>
                <c:pt idx="645">
                  <c:v>11-Dec-22</c:v>
                </c:pt>
                <c:pt idx="646">
                  <c:v>18-Dec-22</c:v>
                </c:pt>
                <c:pt idx="647">
                  <c:v>25-Dec-22</c:v>
                </c:pt>
                <c:pt idx="648">
                  <c:v>01-Jan-23</c:v>
                </c:pt>
                <c:pt idx="649">
                  <c:v>08-Jan-23</c:v>
                </c:pt>
                <c:pt idx="650">
                  <c:v>15-Jan-23</c:v>
                </c:pt>
                <c:pt idx="651">
                  <c:v>22-Jan-23</c:v>
                </c:pt>
                <c:pt idx="652">
                  <c:v>29-Jan-23</c:v>
                </c:pt>
                <c:pt idx="653">
                  <c:v>05-Feb-23</c:v>
                </c:pt>
                <c:pt idx="654">
                  <c:v>12-Feb-23</c:v>
                </c:pt>
                <c:pt idx="655">
                  <c:v>19-Feb-23</c:v>
                </c:pt>
                <c:pt idx="656">
                  <c:v>26-Feb-23</c:v>
                </c:pt>
                <c:pt idx="657">
                  <c:v>05-Mar-23</c:v>
                </c:pt>
                <c:pt idx="658">
                  <c:v>12-Mar-23</c:v>
                </c:pt>
                <c:pt idx="659">
                  <c:v>19-Mar-23</c:v>
                </c:pt>
                <c:pt idx="660">
                  <c:v>26-Mar-23</c:v>
                </c:pt>
                <c:pt idx="661">
                  <c:v>02-Apr-23</c:v>
                </c:pt>
                <c:pt idx="662">
                  <c:v>09-Apr-23</c:v>
                </c:pt>
                <c:pt idx="663">
                  <c:v>16-Apr-23</c:v>
                </c:pt>
                <c:pt idx="664">
                  <c:v>23-Apr-23</c:v>
                </c:pt>
                <c:pt idx="665">
                  <c:v>30-Apr-23</c:v>
                </c:pt>
                <c:pt idx="666">
                  <c:v>07-May-23</c:v>
                </c:pt>
                <c:pt idx="667">
                  <c:v>14-May-23</c:v>
                </c:pt>
                <c:pt idx="668">
                  <c:v>21-May-23</c:v>
                </c:pt>
                <c:pt idx="669">
                  <c:v>28-May-23</c:v>
                </c:pt>
                <c:pt idx="670">
                  <c:v>04-Jun-23</c:v>
                </c:pt>
                <c:pt idx="671">
                  <c:v>11-Jun-23</c:v>
                </c:pt>
                <c:pt idx="672">
                  <c:v>18-Jun-23</c:v>
                </c:pt>
                <c:pt idx="673">
                  <c:v>25-Jun-23</c:v>
                </c:pt>
                <c:pt idx="674">
                  <c:v>02-Jul-23</c:v>
                </c:pt>
                <c:pt idx="675">
                  <c:v>09-Jul-23</c:v>
                </c:pt>
                <c:pt idx="676">
                  <c:v>16-Jul-23</c:v>
                </c:pt>
                <c:pt idx="677">
                  <c:v>23-Jul-23</c:v>
                </c:pt>
                <c:pt idx="678">
                  <c:v>30-Jul-23</c:v>
                </c:pt>
                <c:pt idx="679">
                  <c:v>06-Aug-23</c:v>
                </c:pt>
                <c:pt idx="680">
                  <c:v>13-Aug-23</c:v>
                </c:pt>
                <c:pt idx="681">
                  <c:v>20-Aug-23</c:v>
                </c:pt>
                <c:pt idx="682">
                  <c:v>27-Aug-23</c:v>
                </c:pt>
                <c:pt idx="683">
                  <c:v>03-Sep-23</c:v>
                </c:pt>
                <c:pt idx="684">
                  <c:v>10-Sep-23</c:v>
                </c:pt>
                <c:pt idx="685">
                  <c:v>17-Sep-23</c:v>
                </c:pt>
                <c:pt idx="686">
                  <c:v>24-Sep-23</c:v>
                </c:pt>
                <c:pt idx="687">
                  <c:v>01-Oct-23</c:v>
                </c:pt>
                <c:pt idx="688">
                  <c:v>08-Oct-23</c:v>
                </c:pt>
                <c:pt idx="689">
                  <c:v>15-Oct-23</c:v>
                </c:pt>
                <c:pt idx="690">
                  <c:v>22-Oct-23</c:v>
                </c:pt>
                <c:pt idx="691">
                  <c:v>29-Oct-23</c:v>
                </c:pt>
                <c:pt idx="692">
                  <c:v>05-Nov-23</c:v>
                </c:pt>
                <c:pt idx="693">
                  <c:v>12-Nov-23</c:v>
                </c:pt>
                <c:pt idx="694">
                  <c:v>19-Nov-23</c:v>
                </c:pt>
                <c:pt idx="695">
                  <c:v>26-Nov-23</c:v>
                </c:pt>
                <c:pt idx="696">
                  <c:v>03-Dec-23</c:v>
                </c:pt>
                <c:pt idx="697">
                  <c:v>10-Dec-23</c:v>
                </c:pt>
                <c:pt idx="698">
                  <c:v>17-Dec-23</c:v>
                </c:pt>
                <c:pt idx="699">
                  <c:v>24-Dec-23</c:v>
                </c:pt>
                <c:pt idx="700">
                  <c:v>31-Dec-23</c:v>
                </c:pt>
                <c:pt idx="701">
                  <c:v>07-Jan-24</c:v>
                </c:pt>
                <c:pt idx="702">
                  <c:v>14-Jan-24</c:v>
                </c:pt>
                <c:pt idx="703">
                  <c:v>21-Jan-24</c:v>
                </c:pt>
                <c:pt idx="704">
                  <c:v>28-Jan-24</c:v>
                </c:pt>
                <c:pt idx="705">
                  <c:v>04-Feb-24</c:v>
                </c:pt>
                <c:pt idx="706">
                  <c:v>11-Feb-24</c:v>
                </c:pt>
                <c:pt idx="707">
                  <c:v>18-Feb-24</c:v>
                </c:pt>
                <c:pt idx="708">
                  <c:v>25-Feb-24</c:v>
                </c:pt>
                <c:pt idx="709">
                  <c:v>03-Mar-24</c:v>
                </c:pt>
                <c:pt idx="710">
                  <c:v>10-Mar-24</c:v>
                </c:pt>
                <c:pt idx="711">
                  <c:v>17-Mar-24</c:v>
                </c:pt>
                <c:pt idx="712">
                  <c:v>24-Mar-24</c:v>
                </c:pt>
                <c:pt idx="713">
                  <c:v>31-Mar-24</c:v>
                </c:pt>
                <c:pt idx="714">
                  <c:v>07-Apr-24</c:v>
                </c:pt>
                <c:pt idx="715">
                  <c:v>14-Apr-24</c:v>
                </c:pt>
                <c:pt idx="716">
                  <c:v>21-Apr-24</c:v>
                </c:pt>
                <c:pt idx="717">
                  <c:v>28-Apr-24</c:v>
                </c:pt>
                <c:pt idx="718">
                  <c:v>05-May-24</c:v>
                </c:pt>
                <c:pt idx="719">
                  <c:v>12-May-24</c:v>
                </c:pt>
                <c:pt idx="720">
                  <c:v>19-May-24</c:v>
                </c:pt>
                <c:pt idx="721">
                  <c:v>26-May-24</c:v>
                </c:pt>
                <c:pt idx="722">
                  <c:v>02-Jun-24</c:v>
                </c:pt>
                <c:pt idx="723">
                  <c:v>09-Jun-24</c:v>
                </c:pt>
                <c:pt idx="724">
                  <c:v>16-Jun-24</c:v>
                </c:pt>
                <c:pt idx="725">
                  <c:v>23-Jun-24</c:v>
                </c:pt>
                <c:pt idx="726">
                  <c:v>30-Jun-24</c:v>
                </c:pt>
                <c:pt idx="727">
                  <c:v>07-Jul-24</c:v>
                </c:pt>
                <c:pt idx="728">
                  <c:v>14-Jul-24</c:v>
                </c:pt>
                <c:pt idx="729">
                  <c:v>21-Jul-24</c:v>
                </c:pt>
                <c:pt idx="730">
                  <c:v>28-Jul-24</c:v>
                </c:pt>
                <c:pt idx="731">
                  <c:v>04-Aug-24</c:v>
                </c:pt>
                <c:pt idx="732">
                  <c:v>11-Aug-24</c:v>
                </c:pt>
                <c:pt idx="733">
                  <c:v>18-Aug-24</c:v>
                </c:pt>
                <c:pt idx="734">
                  <c:v>25-Aug-24</c:v>
                </c:pt>
                <c:pt idx="735">
                  <c:v>01-Sep-24</c:v>
                </c:pt>
                <c:pt idx="736">
                  <c:v>08-Sep-24</c:v>
                </c:pt>
                <c:pt idx="737">
                  <c:v>15-Sep-24</c:v>
                </c:pt>
                <c:pt idx="738">
                  <c:v>22-Sep-24</c:v>
                </c:pt>
                <c:pt idx="739">
                  <c:v>29-Sep-24</c:v>
                </c:pt>
                <c:pt idx="740">
                  <c:v>06-Oct-24</c:v>
                </c:pt>
                <c:pt idx="741">
                  <c:v>13-Oct-24</c:v>
                </c:pt>
                <c:pt idx="742">
                  <c:v>20-Oct-24</c:v>
                </c:pt>
                <c:pt idx="743">
                  <c:v>27-Oct-24</c:v>
                </c:pt>
                <c:pt idx="744">
                  <c:v>03-Nov-24</c:v>
                </c:pt>
                <c:pt idx="745">
                  <c:v>10-Nov-24</c:v>
                </c:pt>
                <c:pt idx="746">
                  <c:v>17-Nov-24</c:v>
                </c:pt>
                <c:pt idx="747">
                  <c:v>24-Nov-24</c:v>
                </c:pt>
                <c:pt idx="748">
                  <c:v>01-Dec-24</c:v>
                </c:pt>
                <c:pt idx="749">
                  <c:v>08-Dec-24</c:v>
                </c:pt>
                <c:pt idx="750">
                  <c:v>15-Dec-24</c:v>
                </c:pt>
                <c:pt idx="751">
                  <c:v>22-Dec-24</c:v>
                </c:pt>
                <c:pt idx="752">
                  <c:v>29-Dec-24</c:v>
                </c:pt>
                <c:pt idx="753">
                  <c:v>05-Jan-25</c:v>
                </c:pt>
                <c:pt idx="754">
                  <c:v>12-Jan-25</c:v>
                </c:pt>
                <c:pt idx="755">
                  <c:v>19-Jan-25</c:v>
                </c:pt>
                <c:pt idx="756">
                  <c:v>26-Jan-25</c:v>
                </c:pt>
                <c:pt idx="757">
                  <c:v>02-Feb-25</c:v>
                </c:pt>
                <c:pt idx="758">
                  <c:v>09-Feb-25</c:v>
                </c:pt>
                <c:pt idx="759">
                  <c:v>16-Feb-25</c:v>
                </c:pt>
                <c:pt idx="760">
                  <c:v>23-Feb-25</c:v>
                </c:pt>
                <c:pt idx="761">
                  <c:v>02-Mar-25</c:v>
                </c:pt>
                <c:pt idx="762">
                  <c:v>09-Mar-25</c:v>
                </c:pt>
                <c:pt idx="763">
                  <c:v>16-Mar-25</c:v>
                </c:pt>
                <c:pt idx="764">
                  <c:v>23-Mar-25</c:v>
                </c:pt>
                <c:pt idx="765">
                  <c:v>30-Mar-25</c:v>
                </c:pt>
                <c:pt idx="766">
                  <c:v>06-Apr-25</c:v>
                </c:pt>
                <c:pt idx="767">
                  <c:v>13-Apr-25</c:v>
                </c:pt>
                <c:pt idx="768">
                  <c:v>20-Apr-25</c:v>
                </c:pt>
                <c:pt idx="769">
                  <c:v>27-Apr-25</c:v>
                </c:pt>
                <c:pt idx="770">
                  <c:v>04-May-25</c:v>
                </c:pt>
                <c:pt idx="771">
                  <c:v>11-May-25</c:v>
                </c:pt>
                <c:pt idx="772">
                  <c:v>18-May-25</c:v>
                </c:pt>
                <c:pt idx="773">
                  <c:v>25-May-25</c:v>
                </c:pt>
                <c:pt idx="774">
                  <c:v>01-Jun-25</c:v>
                </c:pt>
              </c:strCache>
            </c:strRef>
          </c:cat>
          <c:val>
            <c:numRef>
              <c:f>Sheet20!$B$2:$ACV$2</c:f>
              <c:numCache>
                <c:formatCode>General</c:formatCode>
                <c:ptCount val="775"/>
                <c:pt idx="0">
                  <c:v>100.61760799510719</c:v>
                </c:pt>
                <c:pt idx="1">
                  <c:v>98.968586402762895</c:v>
                </c:pt>
                <c:pt idx="2">
                  <c:v>97.018603314674152</c:v>
                </c:pt>
                <c:pt idx="3">
                  <c:v>96.070316314250533</c:v>
                </c:pt>
                <c:pt idx="4">
                  <c:v>94.624645652036918</c:v>
                </c:pt>
                <c:pt idx="5">
                  <c:v>98.68410731672742</c:v>
                </c:pt>
                <c:pt idx="6">
                  <c:v>96.676305420294383</c:v>
                </c:pt>
                <c:pt idx="7">
                  <c:v>97.530365683439143</c:v>
                </c:pt>
                <c:pt idx="8">
                  <c:v>96.2777174128002</c:v>
                </c:pt>
                <c:pt idx="9">
                  <c:v>96.69666550606911</c:v>
                </c:pt>
                <c:pt idx="10">
                  <c:v>98.378477000097632</c:v>
                </c:pt>
                <c:pt idx="11">
                  <c:v>100.55057639123103</c:v>
                </c:pt>
                <c:pt idx="12">
                  <c:v>101.92772797513089</c:v>
                </c:pt>
                <c:pt idx="13">
                  <c:v>101.40632106111676</c:v>
                </c:pt>
                <c:pt idx="14">
                  <c:v>103.13063891190055</c:v>
                </c:pt>
                <c:pt idx="15">
                  <c:v>102.54684928977186</c:v>
                </c:pt>
                <c:pt idx="16">
                  <c:v>101.87402366239584</c:v>
                </c:pt>
                <c:pt idx="17">
                  <c:v>101.33376727708969</c:v>
                </c:pt>
                <c:pt idx="18">
                  <c:v>102.13363216725135</c:v>
                </c:pt>
                <c:pt idx="19">
                  <c:v>102.44487837131931</c:v>
                </c:pt>
                <c:pt idx="20">
                  <c:v>102.33622776208561</c:v>
                </c:pt>
                <c:pt idx="21">
                  <c:v>104.04077311738196</c:v>
                </c:pt>
                <c:pt idx="22">
                  <c:v>103.53185517278955</c:v>
                </c:pt>
                <c:pt idx="23">
                  <c:v>106.42530654331672</c:v>
                </c:pt>
                <c:pt idx="24">
                  <c:v>107.8634022783254</c:v>
                </c:pt>
                <c:pt idx="25">
                  <c:v>109.06936641740111</c:v>
                </c:pt>
                <c:pt idx="26">
                  <c:v>108.78232597408515</c:v>
                </c:pt>
                <c:pt idx="27">
                  <c:v>111.93017328984064</c:v>
                </c:pt>
                <c:pt idx="28">
                  <c:v>114.20655364912092</c:v>
                </c:pt>
                <c:pt idx="29">
                  <c:v>111.16912044655211</c:v>
                </c:pt>
                <c:pt idx="30">
                  <c:v>109.9267404211248</c:v>
                </c:pt>
                <c:pt idx="31">
                  <c:v>111.27522419841709</c:v>
                </c:pt>
                <c:pt idx="32">
                  <c:v>108.62435139354125</c:v>
                </c:pt>
                <c:pt idx="33">
                  <c:v>108.67058889285545</c:v>
                </c:pt>
                <c:pt idx="34">
                  <c:v>108.80292679152109</c:v>
                </c:pt>
                <c:pt idx="35">
                  <c:v>110.72611678800075</c:v>
                </c:pt>
                <c:pt idx="36">
                  <c:v>111.59391074492869</c:v>
                </c:pt>
                <c:pt idx="37">
                  <c:v>110.81541250903801</c:v>
                </c:pt>
                <c:pt idx="38">
                  <c:v>109.88938209342331</c:v>
                </c:pt>
                <c:pt idx="39">
                  <c:v>109.70626483354616</c:v>
                </c:pt>
                <c:pt idx="40">
                  <c:v>108.94442801450411</c:v>
                </c:pt>
                <c:pt idx="41">
                  <c:v>107.85454617457407</c:v>
                </c:pt>
                <c:pt idx="42">
                  <c:v>107.38567169996627</c:v>
                </c:pt>
                <c:pt idx="43">
                  <c:v>107.94695806887805</c:v>
                </c:pt>
                <c:pt idx="44">
                  <c:v>105.40781963153454</c:v>
                </c:pt>
                <c:pt idx="45">
                  <c:v>107.35209380162077</c:v>
                </c:pt>
                <c:pt idx="46">
                  <c:v>108.37522197105757</c:v>
                </c:pt>
                <c:pt idx="47">
                  <c:v>109.77385987781253</c:v>
                </c:pt>
                <c:pt idx="48">
                  <c:v>112.36424310401702</c:v>
                </c:pt>
                <c:pt idx="49">
                  <c:v>113.3681580229442</c:v>
                </c:pt>
                <c:pt idx="50">
                  <c:v>112.08481806408969</c:v>
                </c:pt>
                <c:pt idx="51">
                  <c:v>113.09381144161738</c:v>
                </c:pt>
                <c:pt idx="52">
                  <c:v>113.63616742310786</c:v>
                </c:pt>
                <c:pt idx="53">
                  <c:v>108.56043755870468</c:v>
                </c:pt>
                <c:pt idx="54">
                  <c:v>109.17964031727358</c:v>
                </c:pt>
                <c:pt idx="55">
                  <c:v>105.51166854956328</c:v>
                </c:pt>
                <c:pt idx="56">
                  <c:v>107.9577237752909</c:v>
                </c:pt>
                <c:pt idx="57">
                  <c:v>109.32493404045822</c:v>
                </c:pt>
                <c:pt idx="58">
                  <c:v>108.10004343874627</c:v>
                </c:pt>
                <c:pt idx="59">
                  <c:v>109.19905869061252</c:v>
                </c:pt>
                <c:pt idx="60">
                  <c:v>106.675201998525</c:v>
                </c:pt>
                <c:pt idx="61">
                  <c:v>104.37638808203899</c:v>
                </c:pt>
                <c:pt idx="62">
                  <c:v>106.64931583334972</c:v>
                </c:pt>
                <c:pt idx="63">
                  <c:v>109.41305127862088</c:v>
                </c:pt>
                <c:pt idx="64">
                  <c:v>106.11787858060455</c:v>
                </c:pt>
                <c:pt idx="65">
                  <c:v>106.54855956031506</c:v>
                </c:pt>
                <c:pt idx="66">
                  <c:v>106.70488804287136</c:v>
                </c:pt>
                <c:pt idx="67">
                  <c:v>107.01747629563745</c:v>
                </c:pt>
                <c:pt idx="68">
                  <c:v>107.07001410503281</c:v>
                </c:pt>
                <c:pt idx="69">
                  <c:v>105.59488971397823</c:v>
                </c:pt>
                <c:pt idx="70">
                  <c:v>105.21049598006726</c:v>
                </c:pt>
                <c:pt idx="71">
                  <c:v>103.99550291328407</c:v>
                </c:pt>
                <c:pt idx="72">
                  <c:v>103.99692200058549</c:v>
                </c:pt>
                <c:pt idx="73">
                  <c:v>104.46874418868397</c:v>
                </c:pt>
                <c:pt idx="74">
                  <c:v>104.72745088826305</c:v>
                </c:pt>
                <c:pt idx="75">
                  <c:v>106.23298579490795</c:v>
                </c:pt>
                <c:pt idx="76">
                  <c:v>106.33421311411232</c:v>
                </c:pt>
                <c:pt idx="77">
                  <c:v>108.38867884848842</c:v>
                </c:pt>
                <c:pt idx="78">
                  <c:v>108.87910653026678</c:v>
                </c:pt>
                <c:pt idx="79">
                  <c:v>111.23971818839037</c:v>
                </c:pt>
                <c:pt idx="80">
                  <c:v>110.54030429525538</c:v>
                </c:pt>
                <c:pt idx="81">
                  <c:v>108.42712991257159</c:v>
                </c:pt>
                <c:pt idx="82">
                  <c:v>108.35129710077558</c:v>
                </c:pt>
                <c:pt idx="83">
                  <c:v>110.49226073781594</c:v>
                </c:pt>
                <c:pt idx="84">
                  <c:v>108.04437912512441</c:v>
                </c:pt>
                <c:pt idx="85">
                  <c:v>109.74579407678489</c:v>
                </c:pt>
                <c:pt idx="86">
                  <c:v>106.17019002930684</c:v>
                </c:pt>
                <c:pt idx="87">
                  <c:v>106.11295536825065</c:v>
                </c:pt>
                <c:pt idx="88">
                  <c:v>107.35597908432209</c:v>
                </c:pt>
                <c:pt idx="89">
                  <c:v>107.43188590192527</c:v>
                </c:pt>
                <c:pt idx="90">
                  <c:v>109.84629715383926</c:v>
                </c:pt>
                <c:pt idx="91">
                  <c:v>108.74455222784938</c:v>
                </c:pt>
                <c:pt idx="92">
                  <c:v>107.84403774310638</c:v>
                </c:pt>
                <c:pt idx="93">
                  <c:v>105.92834094402414</c:v>
                </c:pt>
                <c:pt idx="94">
                  <c:v>104.09344491905695</c:v>
                </c:pt>
                <c:pt idx="95">
                  <c:v>103.82186099317248</c:v>
                </c:pt>
                <c:pt idx="96">
                  <c:v>104.20545690894305</c:v>
                </c:pt>
                <c:pt idx="97">
                  <c:v>105.71283490831443</c:v>
                </c:pt>
                <c:pt idx="98">
                  <c:v>107.2641547870289</c:v>
                </c:pt>
                <c:pt idx="99">
                  <c:v>106.22425467714288</c:v>
                </c:pt>
                <c:pt idx="100">
                  <c:v>106.23397239138097</c:v>
                </c:pt>
                <c:pt idx="101">
                  <c:v>107.53491636155891</c:v>
                </c:pt>
                <c:pt idx="102">
                  <c:v>104.3150445106116</c:v>
                </c:pt>
                <c:pt idx="103">
                  <c:v>105.12030892209395</c:v>
                </c:pt>
                <c:pt idx="104">
                  <c:v>98.209830384726374</c:v>
                </c:pt>
                <c:pt idx="105">
                  <c:v>96.777644983602883</c:v>
                </c:pt>
                <c:pt idx="106">
                  <c:v>100.30456633710781</c:v>
                </c:pt>
                <c:pt idx="107">
                  <c:v>100.63109455389565</c:v>
                </c:pt>
                <c:pt idx="108">
                  <c:v>97.832092950310397</c:v>
                </c:pt>
                <c:pt idx="109">
                  <c:v>94.023665673810484</c:v>
                </c:pt>
                <c:pt idx="110">
                  <c:v>96.694844340328956</c:v>
                </c:pt>
                <c:pt idx="111">
                  <c:v>100.42002052273352</c:v>
                </c:pt>
                <c:pt idx="112">
                  <c:v>98.638902344224277</c:v>
                </c:pt>
                <c:pt idx="113">
                  <c:v>96.62865177630124</c:v>
                </c:pt>
                <c:pt idx="114">
                  <c:v>96.864700312681421</c:v>
                </c:pt>
                <c:pt idx="115">
                  <c:v>98.539671347328806</c:v>
                </c:pt>
                <c:pt idx="116">
                  <c:v>100.10370212874739</c:v>
                </c:pt>
                <c:pt idx="117">
                  <c:v>100.98353982935583</c:v>
                </c:pt>
                <c:pt idx="118">
                  <c:v>102.06617759415651</c:v>
                </c:pt>
                <c:pt idx="119">
                  <c:v>100.42423979562574</c:v>
                </c:pt>
                <c:pt idx="120">
                  <c:v>97.763324650665282</c:v>
                </c:pt>
                <c:pt idx="121">
                  <c:v>97.224910831250043</c:v>
                </c:pt>
                <c:pt idx="122">
                  <c:v>97.065494494504804</c:v>
                </c:pt>
                <c:pt idx="123">
                  <c:v>97.088544310739366</c:v>
                </c:pt>
                <c:pt idx="124">
                  <c:v>97.314333413959346</c:v>
                </c:pt>
                <c:pt idx="125">
                  <c:v>97.88730005039703</c:v>
                </c:pt>
                <c:pt idx="126">
                  <c:v>97.457642430734609</c:v>
                </c:pt>
                <c:pt idx="127">
                  <c:v>100.23305010717218</c:v>
                </c:pt>
                <c:pt idx="128">
                  <c:v>100.23005102798744</c:v>
                </c:pt>
                <c:pt idx="129">
                  <c:v>98.864560253917332</c:v>
                </c:pt>
                <c:pt idx="130">
                  <c:v>99.171969369446629</c:v>
                </c:pt>
                <c:pt idx="131">
                  <c:v>102.79157117152738</c:v>
                </c:pt>
                <c:pt idx="132">
                  <c:v>102.27127143992377</c:v>
                </c:pt>
                <c:pt idx="133">
                  <c:v>103.75988009026462</c:v>
                </c:pt>
                <c:pt idx="134">
                  <c:v>104.24138927818079</c:v>
                </c:pt>
                <c:pt idx="135">
                  <c:v>103.40571900364799</c:v>
                </c:pt>
                <c:pt idx="136">
                  <c:v>101.72675273383051</c:v>
                </c:pt>
                <c:pt idx="137">
                  <c:v>100.95897664704697</c:v>
                </c:pt>
                <c:pt idx="138">
                  <c:v>97.996920460129118</c:v>
                </c:pt>
                <c:pt idx="139">
                  <c:v>98.958094773498146</c:v>
                </c:pt>
                <c:pt idx="140">
                  <c:v>98.275742102824424</c:v>
                </c:pt>
                <c:pt idx="141">
                  <c:v>99.936623131789887</c:v>
                </c:pt>
                <c:pt idx="142">
                  <c:v>102.44338805543784</c:v>
                </c:pt>
                <c:pt idx="143">
                  <c:v>102.86372285355627</c:v>
                </c:pt>
                <c:pt idx="144">
                  <c:v>103.48311755979263</c:v>
                </c:pt>
                <c:pt idx="145">
                  <c:v>103.52888370523745</c:v>
                </c:pt>
                <c:pt idx="146">
                  <c:v>105.5542486295399</c:v>
                </c:pt>
                <c:pt idx="147">
                  <c:v>105.50168805877914</c:v>
                </c:pt>
                <c:pt idx="148">
                  <c:v>105.0969175732764</c:v>
                </c:pt>
                <c:pt idx="149">
                  <c:v>102.36380240748557</c:v>
                </c:pt>
                <c:pt idx="150">
                  <c:v>101.24176858846063</c:v>
                </c:pt>
                <c:pt idx="151">
                  <c:v>101.04112576858364</c:v>
                </c:pt>
                <c:pt idx="152">
                  <c:v>99.619968850671526</c:v>
                </c:pt>
                <c:pt idx="153">
                  <c:v>98.050445823904056</c:v>
                </c:pt>
                <c:pt idx="154">
                  <c:v>99.119744800186979</c:v>
                </c:pt>
                <c:pt idx="155">
                  <c:v>98.995107487729925</c:v>
                </c:pt>
                <c:pt idx="156">
                  <c:v>98.169980416273518</c:v>
                </c:pt>
                <c:pt idx="157">
                  <c:v>99.310096646762986</c:v>
                </c:pt>
                <c:pt idx="158">
                  <c:v>100.25422650342709</c:v>
                </c:pt>
                <c:pt idx="159">
                  <c:v>99.914807918121852</c:v>
                </c:pt>
                <c:pt idx="160">
                  <c:v>102.13397029034309</c:v>
                </c:pt>
                <c:pt idx="161">
                  <c:v>101.65592859866105</c:v>
                </c:pt>
                <c:pt idx="162">
                  <c:v>103.25769393763888</c:v>
                </c:pt>
                <c:pt idx="163">
                  <c:v>103.89969695774529</c:v>
                </c:pt>
                <c:pt idx="164">
                  <c:v>103.73167711517203</c:v>
                </c:pt>
                <c:pt idx="165">
                  <c:v>101.83576079988531</c:v>
                </c:pt>
                <c:pt idx="166">
                  <c:v>102.12707525637856</c:v>
                </c:pt>
                <c:pt idx="167">
                  <c:v>100.36907521254332</c:v>
                </c:pt>
                <c:pt idx="168">
                  <c:v>97.557043546907906</c:v>
                </c:pt>
                <c:pt idx="169">
                  <c:v>94.734612384515074</c:v>
                </c:pt>
                <c:pt idx="170">
                  <c:v>95.668018128788944</c:v>
                </c:pt>
                <c:pt idx="171">
                  <c:v>96.862859624052959</c:v>
                </c:pt>
                <c:pt idx="172">
                  <c:v>93.717577248981428</c:v>
                </c:pt>
                <c:pt idx="173">
                  <c:v>93.657175364763106</c:v>
                </c:pt>
                <c:pt idx="174">
                  <c:v>94.764014444310348</c:v>
                </c:pt>
                <c:pt idx="175">
                  <c:v>97.011320016529723</c:v>
                </c:pt>
                <c:pt idx="176">
                  <c:v>97.784376615568334</c:v>
                </c:pt>
                <c:pt idx="177">
                  <c:v>98.246440068585116</c:v>
                </c:pt>
                <c:pt idx="178">
                  <c:v>98.370437841853516</c:v>
                </c:pt>
                <c:pt idx="179">
                  <c:v>97.9582720436198</c:v>
                </c:pt>
                <c:pt idx="180">
                  <c:v>98.790955171989694</c:v>
                </c:pt>
                <c:pt idx="181">
                  <c:v>102.86988590329891</c:v>
                </c:pt>
                <c:pt idx="182">
                  <c:v>100.76690549710831</c:v>
                </c:pt>
                <c:pt idx="183">
                  <c:v>101.69639939614777</c:v>
                </c:pt>
                <c:pt idx="184">
                  <c:v>102.55728661368701</c:v>
                </c:pt>
                <c:pt idx="185">
                  <c:v>99.677798828028145</c:v>
                </c:pt>
                <c:pt idx="186">
                  <c:v>99.576835660384575</c:v>
                </c:pt>
                <c:pt idx="187">
                  <c:v>97.016350797613285</c:v>
                </c:pt>
                <c:pt idx="188">
                  <c:v>95.640537240107108</c:v>
                </c:pt>
                <c:pt idx="189">
                  <c:v>87.281921129848001</c:v>
                </c:pt>
                <c:pt idx="190">
                  <c:v>88.259392026517887</c:v>
                </c:pt>
                <c:pt idx="191">
                  <c:v>91.117903646532142</c:v>
                </c:pt>
                <c:pt idx="192">
                  <c:v>91.617966649738349</c:v>
                </c:pt>
                <c:pt idx="193">
                  <c:v>89.911233405969156</c:v>
                </c:pt>
                <c:pt idx="194">
                  <c:v>89.657327503480943</c:v>
                </c:pt>
                <c:pt idx="195">
                  <c:v>88.552634938389389</c:v>
                </c:pt>
                <c:pt idx="196">
                  <c:v>88.635111479000528</c:v>
                </c:pt>
                <c:pt idx="197">
                  <c:v>88.688425084577517</c:v>
                </c:pt>
                <c:pt idx="198">
                  <c:v>88.711951334335922</c:v>
                </c:pt>
                <c:pt idx="199">
                  <c:v>87.456950688844046</c:v>
                </c:pt>
                <c:pt idx="200">
                  <c:v>87.440469559754831</c:v>
                </c:pt>
                <c:pt idx="201">
                  <c:v>87.735280444826685</c:v>
                </c:pt>
                <c:pt idx="202">
                  <c:v>86.655629369599708</c:v>
                </c:pt>
                <c:pt idx="203">
                  <c:v>86.616817982862955</c:v>
                </c:pt>
                <c:pt idx="204">
                  <c:v>86.400456032207174</c:v>
                </c:pt>
                <c:pt idx="205">
                  <c:v>87.492547297791774</c:v>
                </c:pt>
                <c:pt idx="206">
                  <c:v>85.786882583107001</c:v>
                </c:pt>
                <c:pt idx="207">
                  <c:v>86.667118767519355</c:v>
                </c:pt>
                <c:pt idx="208">
                  <c:v>90.195482717873446</c:v>
                </c:pt>
                <c:pt idx="209">
                  <c:v>90.310313496600997</c:v>
                </c:pt>
                <c:pt idx="210">
                  <c:v>88.951525073198823</c:v>
                </c:pt>
                <c:pt idx="211">
                  <c:v>88.608722745271493</c:v>
                </c:pt>
                <c:pt idx="212">
                  <c:v>87.953792548823245</c:v>
                </c:pt>
                <c:pt idx="213">
                  <c:v>86.589972551388044</c:v>
                </c:pt>
                <c:pt idx="214">
                  <c:v>85.272551774012257</c:v>
                </c:pt>
                <c:pt idx="215">
                  <c:v>85.130947974284467</c:v>
                </c:pt>
                <c:pt idx="216">
                  <c:v>85.765510824361925</c:v>
                </c:pt>
                <c:pt idx="217">
                  <c:v>84.232418248527608</c:v>
                </c:pt>
                <c:pt idx="218">
                  <c:v>83.047218472343289</c:v>
                </c:pt>
                <c:pt idx="219">
                  <c:v>82.683353156277192</c:v>
                </c:pt>
                <c:pt idx="220">
                  <c:v>86.025292020607466</c:v>
                </c:pt>
                <c:pt idx="221">
                  <c:v>83.460172176609021</c:v>
                </c:pt>
                <c:pt idx="222">
                  <c:v>82.652941287808517</c:v>
                </c:pt>
                <c:pt idx="223">
                  <c:v>83.942549801476659</c:v>
                </c:pt>
                <c:pt idx="224">
                  <c:v>81.493208975658419</c:v>
                </c:pt>
                <c:pt idx="225">
                  <c:v>79.0938198791535</c:v>
                </c:pt>
                <c:pt idx="226">
                  <c:v>79.026611990796837</c:v>
                </c:pt>
                <c:pt idx="227">
                  <c:v>77.684150788563883</c:v>
                </c:pt>
                <c:pt idx="228">
                  <c:v>75.494118095593052</c:v>
                </c:pt>
                <c:pt idx="229">
                  <c:v>75.314175434035604</c:v>
                </c:pt>
                <c:pt idx="230">
                  <c:v>75.20354549756054</c:v>
                </c:pt>
                <c:pt idx="231">
                  <c:v>74.589664239631176</c:v>
                </c:pt>
                <c:pt idx="232">
                  <c:v>70.803052351746189</c:v>
                </c:pt>
                <c:pt idx="233">
                  <c:v>66.090758372748255</c:v>
                </c:pt>
                <c:pt idx="234">
                  <c:v>63.868414799386919</c:v>
                </c:pt>
                <c:pt idx="235">
                  <c:v>63.242032063076827</c:v>
                </c:pt>
                <c:pt idx="236">
                  <c:v>64.761816322660948</c:v>
                </c:pt>
                <c:pt idx="237">
                  <c:v>66.642735865899326</c:v>
                </c:pt>
                <c:pt idx="238">
                  <c:v>67.919363314735861</c:v>
                </c:pt>
                <c:pt idx="239">
                  <c:v>68.62370524460033</c:v>
                </c:pt>
                <c:pt idx="240">
                  <c:v>67.418021543184466</c:v>
                </c:pt>
                <c:pt idx="241">
                  <c:v>65.829841821392719</c:v>
                </c:pt>
                <c:pt idx="242">
                  <c:v>66.203367574732582</c:v>
                </c:pt>
                <c:pt idx="243">
                  <c:v>64.066551697025602</c:v>
                </c:pt>
                <c:pt idx="244">
                  <c:v>60.869553038415695</c:v>
                </c:pt>
                <c:pt idx="245">
                  <c:v>59.392816537194037</c:v>
                </c:pt>
                <c:pt idx="246">
                  <c:v>59.400512162967601</c:v>
                </c:pt>
                <c:pt idx="247">
                  <c:v>64.497012597456177</c:v>
                </c:pt>
                <c:pt idx="248">
                  <c:v>63.925606413127312</c:v>
                </c:pt>
                <c:pt idx="249">
                  <c:v>66.165776857221843</c:v>
                </c:pt>
                <c:pt idx="250">
                  <c:v>64.894109668097173</c:v>
                </c:pt>
                <c:pt idx="251">
                  <c:v>63.860825587701555</c:v>
                </c:pt>
                <c:pt idx="252">
                  <c:v>64.222011074756239</c:v>
                </c:pt>
                <c:pt idx="253">
                  <c:v>66.851127292529569</c:v>
                </c:pt>
                <c:pt idx="254">
                  <c:v>67.400788833047912</c:v>
                </c:pt>
                <c:pt idx="255">
                  <c:v>64.65641001813789</c:v>
                </c:pt>
                <c:pt idx="256">
                  <c:v>63.617250280335405</c:v>
                </c:pt>
                <c:pt idx="257">
                  <c:v>60.063003637577005</c:v>
                </c:pt>
                <c:pt idx="258">
                  <c:v>58.985595337846931</c:v>
                </c:pt>
                <c:pt idx="259">
                  <c:v>59.411745929445381</c:v>
                </c:pt>
                <c:pt idx="260">
                  <c:v>56.29645553627023</c:v>
                </c:pt>
                <c:pt idx="261">
                  <c:v>57.45205642353087</c:v>
                </c:pt>
                <c:pt idx="262">
                  <c:v>55.571491942146174</c:v>
                </c:pt>
                <c:pt idx="263">
                  <c:v>53.782920783671486</c:v>
                </c:pt>
                <c:pt idx="264">
                  <c:v>49.154557757682731</c:v>
                </c:pt>
                <c:pt idx="265">
                  <c:v>49.701598506630148</c:v>
                </c:pt>
                <c:pt idx="266">
                  <c:v>48.566518410686555</c:v>
                </c:pt>
                <c:pt idx="267">
                  <c:v>52.381958710354859</c:v>
                </c:pt>
                <c:pt idx="268">
                  <c:v>49.176568990651944</c:v>
                </c:pt>
                <c:pt idx="269">
                  <c:v>45.733174454583882</c:v>
                </c:pt>
                <c:pt idx="270">
                  <c:v>43.842877187477562</c:v>
                </c:pt>
                <c:pt idx="271">
                  <c:v>48.665413094570006</c:v>
                </c:pt>
                <c:pt idx="272">
                  <c:v>45.532921053249616</c:v>
                </c:pt>
                <c:pt idx="273">
                  <c:v>45.352662101981849</c:v>
                </c:pt>
                <c:pt idx="274">
                  <c:v>42.93695111778753</c:v>
                </c:pt>
                <c:pt idx="275">
                  <c:v>44.067013532405156</c:v>
                </c:pt>
                <c:pt idx="276">
                  <c:v>40.270713732665769</c:v>
                </c:pt>
                <c:pt idx="277">
                  <c:v>39.540872153135879</c:v>
                </c:pt>
                <c:pt idx="278">
                  <c:v>39.741819487114526</c:v>
                </c:pt>
                <c:pt idx="279">
                  <c:v>38.158805635008029</c:v>
                </c:pt>
                <c:pt idx="280">
                  <c:v>35.651040620069168</c:v>
                </c:pt>
                <c:pt idx="281">
                  <c:v>34.512649640818495</c:v>
                </c:pt>
                <c:pt idx="282">
                  <c:v>35.168950111945342</c:v>
                </c:pt>
                <c:pt idx="283">
                  <c:v>36.141765318378596</c:v>
                </c:pt>
                <c:pt idx="284">
                  <c:v>31.684898789643377</c:v>
                </c:pt>
                <c:pt idx="285">
                  <c:v>30.180177579962866</c:v>
                </c:pt>
                <c:pt idx="286">
                  <c:v>32.516657994213141</c:v>
                </c:pt>
                <c:pt idx="287">
                  <c:v>34.031981925908674</c:v>
                </c:pt>
                <c:pt idx="288">
                  <c:v>38.134090114125726</c:v>
                </c:pt>
                <c:pt idx="289">
                  <c:v>36.432311765376035</c:v>
                </c:pt>
                <c:pt idx="290">
                  <c:v>40.242697345061792</c:v>
                </c:pt>
                <c:pt idx="291">
                  <c:v>41.219538751938387</c:v>
                </c:pt>
                <c:pt idx="292">
                  <c:v>43.258764275534226</c:v>
                </c:pt>
                <c:pt idx="293">
                  <c:v>45.128125518908597</c:v>
                </c:pt>
                <c:pt idx="294">
                  <c:v>43.688477017862752</c:v>
                </c:pt>
                <c:pt idx="295">
                  <c:v>42.54352657669709</c:v>
                </c:pt>
                <c:pt idx="296">
                  <c:v>42.999051667969624</c:v>
                </c:pt>
                <c:pt idx="297">
                  <c:v>42.274729934981075</c:v>
                </c:pt>
                <c:pt idx="298">
                  <c:v>45.184488278118224</c:v>
                </c:pt>
                <c:pt idx="299">
                  <c:v>49.504425389316403</c:v>
                </c:pt>
                <c:pt idx="300">
                  <c:v>48.63141113333878</c:v>
                </c:pt>
                <c:pt idx="301">
                  <c:v>45.63143974445866</c:v>
                </c:pt>
                <c:pt idx="302">
                  <c:v>43.114097622025966</c:v>
                </c:pt>
                <c:pt idx="303">
                  <c:v>44.067257099434023</c:v>
                </c:pt>
                <c:pt idx="304">
                  <c:v>43.803488982572176</c:v>
                </c:pt>
                <c:pt idx="305">
                  <c:v>40.997450479722154</c:v>
                </c:pt>
                <c:pt idx="306">
                  <c:v>42.456042122395374</c:v>
                </c:pt>
                <c:pt idx="307">
                  <c:v>43.902081898678802</c:v>
                </c:pt>
                <c:pt idx="308">
                  <c:v>42.952694778920019</c:v>
                </c:pt>
                <c:pt idx="309">
                  <c:v>44.134620916329567</c:v>
                </c:pt>
                <c:pt idx="310">
                  <c:v>44.80239640148347</c:v>
                </c:pt>
                <c:pt idx="311">
                  <c:v>47.867588841970935</c:v>
                </c:pt>
                <c:pt idx="312">
                  <c:v>46.391863609583737</c:v>
                </c:pt>
                <c:pt idx="313">
                  <c:v>46.03981457085893</c:v>
                </c:pt>
                <c:pt idx="314">
                  <c:v>46.352159679143924</c:v>
                </c:pt>
                <c:pt idx="315">
                  <c:v>45.715536260977508</c:v>
                </c:pt>
                <c:pt idx="316">
                  <c:v>46.532199640998243</c:v>
                </c:pt>
                <c:pt idx="317">
                  <c:v>47.305988570454147</c:v>
                </c:pt>
                <c:pt idx="318">
                  <c:v>47.383738527352598</c:v>
                </c:pt>
                <c:pt idx="319">
                  <c:v>48.669265240485366</c:v>
                </c:pt>
                <c:pt idx="320">
                  <c:v>48.620560628639019</c:v>
                </c:pt>
                <c:pt idx="321">
                  <c:v>49.135686174788233</c:v>
                </c:pt>
                <c:pt idx="322">
                  <c:v>51.020538357811148</c:v>
                </c:pt>
                <c:pt idx="323">
                  <c:v>54.403920080037992</c:v>
                </c:pt>
                <c:pt idx="324">
                  <c:v>55.536088024186796</c:v>
                </c:pt>
                <c:pt idx="325">
                  <c:v>55.640986223916613</c:v>
                </c:pt>
                <c:pt idx="326">
                  <c:v>57.792194909408259</c:v>
                </c:pt>
                <c:pt idx="327">
                  <c:v>57.82660160772825</c:v>
                </c:pt>
                <c:pt idx="328">
                  <c:v>66.57754866833902</c:v>
                </c:pt>
                <c:pt idx="329">
                  <c:v>63.874752178565032</c:v>
                </c:pt>
                <c:pt idx="330">
                  <c:v>68.833246518231235</c:v>
                </c:pt>
                <c:pt idx="331">
                  <c:v>65.775552375366942</c:v>
                </c:pt>
                <c:pt idx="332">
                  <c:v>68.208935786099062</c:v>
                </c:pt>
                <c:pt idx="333">
                  <c:v>67.472502063782613</c:v>
                </c:pt>
                <c:pt idx="334">
                  <c:v>65.75655926507163</c:v>
                </c:pt>
                <c:pt idx="335">
                  <c:v>63.603974363684905</c:v>
                </c:pt>
                <c:pt idx="336">
                  <c:v>63.217017971901697</c:v>
                </c:pt>
                <c:pt idx="337">
                  <c:v>65.810689296064353</c:v>
                </c:pt>
                <c:pt idx="338">
                  <c:v>64.856562134194164</c:v>
                </c:pt>
                <c:pt idx="339">
                  <c:v>69.521827920653706</c:v>
                </c:pt>
                <c:pt idx="340">
                  <c:v>67.081321804231067</c:v>
                </c:pt>
                <c:pt idx="341">
                  <c:v>67.508464792588427</c:v>
                </c:pt>
                <c:pt idx="342">
                  <c:v>66.810017429734231</c:v>
                </c:pt>
                <c:pt idx="343">
                  <c:v>65.471373142762019</c:v>
                </c:pt>
                <c:pt idx="344">
                  <c:v>69.082316230632003</c:v>
                </c:pt>
                <c:pt idx="345">
                  <c:v>68.279293193788718</c:v>
                </c:pt>
                <c:pt idx="346">
                  <c:v>70.394243086350627</c:v>
                </c:pt>
                <c:pt idx="347">
                  <c:v>67.446933365656861</c:v>
                </c:pt>
                <c:pt idx="348">
                  <c:v>68.636659752522434</c:v>
                </c:pt>
                <c:pt idx="349">
                  <c:v>68.793164329041034</c:v>
                </c:pt>
                <c:pt idx="350">
                  <c:v>64.426458079698705</c:v>
                </c:pt>
                <c:pt idx="351">
                  <c:v>65.19038315296838</c:v>
                </c:pt>
                <c:pt idx="352">
                  <c:v>65.728181367785922</c:v>
                </c:pt>
                <c:pt idx="353">
                  <c:v>62.330283370713289</c:v>
                </c:pt>
                <c:pt idx="354">
                  <c:v>62.090874473409933</c:v>
                </c:pt>
                <c:pt idx="355">
                  <c:v>63.319615635637845</c:v>
                </c:pt>
                <c:pt idx="356">
                  <c:v>62.124515932545791</c:v>
                </c:pt>
                <c:pt idx="357">
                  <c:v>61.416074197577643</c:v>
                </c:pt>
                <c:pt idx="358">
                  <c:v>63.106326224701654</c:v>
                </c:pt>
                <c:pt idx="359">
                  <c:v>61.274129585519411</c:v>
                </c:pt>
                <c:pt idx="360">
                  <c:v>60.716185481818123</c:v>
                </c:pt>
                <c:pt idx="361">
                  <c:v>65.874831371567225</c:v>
                </c:pt>
                <c:pt idx="362">
                  <c:v>67.270250761019383</c:v>
                </c:pt>
                <c:pt idx="363">
                  <c:v>67.245582902424587</c:v>
                </c:pt>
                <c:pt idx="364">
                  <c:v>66.970608685100061</c:v>
                </c:pt>
                <c:pt idx="365">
                  <c:v>70.369843618530211</c:v>
                </c:pt>
                <c:pt idx="366">
                  <c:v>72.045799023313634</c:v>
                </c:pt>
                <c:pt idx="367">
                  <c:v>70.39548101631253</c:v>
                </c:pt>
                <c:pt idx="368">
                  <c:v>70.717389591754397</c:v>
                </c:pt>
                <c:pt idx="369">
                  <c:v>73.461325096525059</c:v>
                </c:pt>
                <c:pt idx="370">
                  <c:v>74.231499716462778</c:v>
                </c:pt>
                <c:pt idx="371">
                  <c:v>75.093154847999898</c:v>
                </c:pt>
                <c:pt idx="372">
                  <c:v>76.546358585080881</c:v>
                </c:pt>
                <c:pt idx="373">
                  <c:v>77.916903105274841</c:v>
                </c:pt>
                <c:pt idx="374">
                  <c:v>79.30004292633582</c:v>
                </c:pt>
                <c:pt idx="375">
                  <c:v>82.433934841360369</c:v>
                </c:pt>
                <c:pt idx="376">
                  <c:v>83.331908360897401</c:v>
                </c:pt>
                <c:pt idx="377">
                  <c:v>83.894379361467955</c:v>
                </c:pt>
                <c:pt idx="378">
                  <c:v>83.849701630292742</c:v>
                </c:pt>
                <c:pt idx="379">
                  <c:v>85.942579762070167</c:v>
                </c:pt>
                <c:pt idx="380">
                  <c:v>84.958760986872335</c:v>
                </c:pt>
                <c:pt idx="381">
                  <c:v>83.666451320240313</c:v>
                </c:pt>
                <c:pt idx="382">
                  <c:v>84.599306290875987</c:v>
                </c:pt>
                <c:pt idx="383">
                  <c:v>82.547468676073507</c:v>
                </c:pt>
                <c:pt idx="384">
                  <c:v>85.498140068834317</c:v>
                </c:pt>
                <c:pt idx="385">
                  <c:v>86.775202175323969</c:v>
                </c:pt>
                <c:pt idx="386">
                  <c:v>87.8073611507278</c:v>
                </c:pt>
                <c:pt idx="387">
                  <c:v>87.227127940052313</c:v>
                </c:pt>
                <c:pt idx="388">
                  <c:v>89.031350549611147</c:v>
                </c:pt>
                <c:pt idx="389">
                  <c:v>91.88176451351157</c:v>
                </c:pt>
                <c:pt idx="390">
                  <c:v>89.494888940811975</c:v>
                </c:pt>
                <c:pt idx="391">
                  <c:v>85.974389552564347</c:v>
                </c:pt>
                <c:pt idx="392">
                  <c:v>87.356135501100013</c:v>
                </c:pt>
                <c:pt idx="393">
                  <c:v>86.8211225002552</c:v>
                </c:pt>
                <c:pt idx="394">
                  <c:v>84.877670361357204</c:v>
                </c:pt>
                <c:pt idx="395">
                  <c:v>85.656902488823178</c:v>
                </c:pt>
                <c:pt idx="396">
                  <c:v>83.986797263418552</c:v>
                </c:pt>
                <c:pt idx="397">
                  <c:v>81.523200521158813</c:v>
                </c:pt>
                <c:pt idx="398">
                  <c:v>85.921599349204357</c:v>
                </c:pt>
                <c:pt idx="399">
                  <c:v>81.512543865585187</c:v>
                </c:pt>
                <c:pt idx="400">
                  <c:v>81.953050955271834</c:v>
                </c:pt>
                <c:pt idx="401">
                  <c:v>81.628293751487746</c:v>
                </c:pt>
                <c:pt idx="402">
                  <c:v>84.55535510141938</c:v>
                </c:pt>
                <c:pt idx="403">
                  <c:v>87.309260875141675</c:v>
                </c:pt>
                <c:pt idx="404">
                  <c:v>85.46351844742334</c:v>
                </c:pt>
                <c:pt idx="405">
                  <c:v>85.574252739078176</c:v>
                </c:pt>
                <c:pt idx="406">
                  <c:v>90.302261874638276</c:v>
                </c:pt>
                <c:pt idx="407">
                  <c:v>94.039630542803408</c:v>
                </c:pt>
                <c:pt idx="408">
                  <c:v>93.047994712099467</c:v>
                </c:pt>
                <c:pt idx="409">
                  <c:v>95.197235937421866</c:v>
                </c:pt>
                <c:pt idx="410">
                  <c:v>97.341021330947498</c:v>
                </c:pt>
                <c:pt idx="411">
                  <c:v>96.041780030314541</c:v>
                </c:pt>
                <c:pt idx="412">
                  <c:v>95.003294358166571</c:v>
                </c:pt>
                <c:pt idx="413">
                  <c:v>94.80396648623379</c:v>
                </c:pt>
                <c:pt idx="414">
                  <c:v>93.990318870512667</c:v>
                </c:pt>
                <c:pt idx="415">
                  <c:v>93.845527701803832</c:v>
                </c:pt>
                <c:pt idx="416">
                  <c:v>91.804626793386589</c:v>
                </c:pt>
                <c:pt idx="417">
                  <c:v>92.138022533045017</c:v>
                </c:pt>
                <c:pt idx="418">
                  <c:v>90.560903121136406</c:v>
                </c:pt>
                <c:pt idx="419">
                  <c:v>93.475147465735446</c:v>
                </c:pt>
                <c:pt idx="420">
                  <c:v>95.878175970733722</c:v>
                </c:pt>
                <c:pt idx="421">
                  <c:v>95.466102525513165</c:v>
                </c:pt>
                <c:pt idx="422">
                  <c:v>93.993492740383488</c:v>
                </c:pt>
                <c:pt idx="423">
                  <c:v>94.709052073567605</c:v>
                </c:pt>
                <c:pt idx="424">
                  <c:v>98.916635617723159</c:v>
                </c:pt>
                <c:pt idx="425">
                  <c:v>97.043717388626817</c:v>
                </c:pt>
                <c:pt idx="426">
                  <c:v>100.08610859339719</c:v>
                </c:pt>
                <c:pt idx="427">
                  <c:v>101.36588175181868</c:v>
                </c:pt>
                <c:pt idx="428">
                  <c:v>96.993949256107996</c:v>
                </c:pt>
                <c:pt idx="429">
                  <c:v>95.034537065602919</c:v>
                </c:pt>
                <c:pt idx="430">
                  <c:v>94.40484957804334</c:v>
                </c:pt>
                <c:pt idx="431">
                  <c:v>97.235145729977816</c:v>
                </c:pt>
                <c:pt idx="432">
                  <c:v>94.010569006703321</c:v>
                </c:pt>
                <c:pt idx="433">
                  <c:v>95.000296011642064</c:v>
                </c:pt>
                <c:pt idx="434">
                  <c:v>90.129995952080733</c:v>
                </c:pt>
                <c:pt idx="435">
                  <c:v>87.690397828502157</c:v>
                </c:pt>
                <c:pt idx="436">
                  <c:v>87.761730717676429</c:v>
                </c:pt>
                <c:pt idx="437">
                  <c:v>90.144610148232189</c:v>
                </c:pt>
                <c:pt idx="438">
                  <c:v>89.534138449787221</c:v>
                </c:pt>
                <c:pt idx="439">
                  <c:v>89.810624289945409</c:v>
                </c:pt>
                <c:pt idx="440">
                  <c:v>86.237018692294811</c:v>
                </c:pt>
                <c:pt idx="441">
                  <c:v>87.961418602780853</c:v>
                </c:pt>
                <c:pt idx="442">
                  <c:v>88.962577003778094</c:v>
                </c:pt>
                <c:pt idx="443">
                  <c:v>88.414602519733265</c:v>
                </c:pt>
                <c:pt idx="444">
                  <c:v>90.971370829304334</c:v>
                </c:pt>
                <c:pt idx="445">
                  <c:v>91.134560600757339</c:v>
                </c:pt>
                <c:pt idx="446">
                  <c:v>93.92227554501622</c:v>
                </c:pt>
                <c:pt idx="447">
                  <c:v>92.748978039492954</c:v>
                </c:pt>
                <c:pt idx="448">
                  <c:v>90.735141145817394</c:v>
                </c:pt>
                <c:pt idx="449">
                  <c:v>90.655196706583723</c:v>
                </c:pt>
                <c:pt idx="450">
                  <c:v>93.174593446057642</c:v>
                </c:pt>
                <c:pt idx="451">
                  <c:v>93.697306117646704</c:v>
                </c:pt>
                <c:pt idx="452">
                  <c:v>97.365837145453213</c:v>
                </c:pt>
                <c:pt idx="453">
                  <c:v>98.387139658498953</c:v>
                </c:pt>
                <c:pt idx="454">
                  <c:v>98.53826836910217</c:v>
                </c:pt>
                <c:pt idx="455">
                  <c:v>96.286201035887515</c:v>
                </c:pt>
                <c:pt idx="456">
                  <c:v>94.275317114125187</c:v>
                </c:pt>
                <c:pt idx="457">
                  <c:v>94.626731463716752</c:v>
                </c:pt>
                <c:pt idx="458">
                  <c:v>94.152363368214168</c:v>
                </c:pt>
                <c:pt idx="459">
                  <c:v>95.711853464611522</c:v>
                </c:pt>
                <c:pt idx="460">
                  <c:v>97.278658986831147</c:v>
                </c:pt>
                <c:pt idx="461">
                  <c:v>92.699408182677743</c:v>
                </c:pt>
                <c:pt idx="462">
                  <c:v>91.441893653067766</c:v>
                </c:pt>
                <c:pt idx="463">
                  <c:v>92.185790430721724</c:v>
                </c:pt>
                <c:pt idx="464">
                  <c:v>91.409880911996851</c:v>
                </c:pt>
                <c:pt idx="465">
                  <c:v>90.997954773214801</c:v>
                </c:pt>
                <c:pt idx="466">
                  <c:v>89.375599002046656</c:v>
                </c:pt>
                <c:pt idx="467">
                  <c:v>87.976240392861499</c:v>
                </c:pt>
                <c:pt idx="468">
                  <c:v>87.668275206696379</c:v>
                </c:pt>
                <c:pt idx="469">
                  <c:v>88.519525618575813</c:v>
                </c:pt>
                <c:pt idx="470">
                  <c:v>82.835550632892634</c:v>
                </c:pt>
                <c:pt idx="471">
                  <c:v>80.872393015183874</c:v>
                </c:pt>
                <c:pt idx="472">
                  <c:v>81.057126479146348</c:v>
                </c:pt>
                <c:pt idx="473">
                  <c:v>76.32921678714952</c:v>
                </c:pt>
                <c:pt idx="474">
                  <c:v>75.860933899045349</c:v>
                </c:pt>
                <c:pt idx="475">
                  <c:v>78.133809009325162</c:v>
                </c:pt>
                <c:pt idx="476">
                  <c:v>80.542777278096523</c:v>
                </c:pt>
                <c:pt idx="477">
                  <c:v>77.804416938765343</c:v>
                </c:pt>
                <c:pt idx="478">
                  <c:v>76.552665020649442</c:v>
                </c:pt>
                <c:pt idx="479">
                  <c:v>73.787920291849787</c:v>
                </c:pt>
                <c:pt idx="480">
                  <c:v>75.122325842818256</c:v>
                </c:pt>
                <c:pt idx="481">
                  <c:v>72.97691629920179</c:v>
                </c:pt>
                <c:pt idx="482">
                  <c:v>72.953050455269008</c:v>
                </c:pt>
                <c:pt idx="483">
                  <c:v>73.923222134772885</c:v>
                </c:pt>
                <c:pt idx="484">
                  <c:v>75.923513990971216</c:v>
                </c:pt>
                <c:pt idx="485">
                  <c:v>74.706321831011337</c:v>
                </c:pt>
                <c:pt idx="486">
                  <c:v>75.467827788616518</c:v>
                </c:pt>
                <c:pt idx="487">
                  <c:v>75.710028875852345</c:v>
                </c:pt>
                <c:pt idx="488">
                  <c:v>74.208576099334138</c:v>
                </c:pt>
                <c:pt idx="489">
                  <c:v>76.05105017479049</c:v>
                </c:pt>
                <c:pt idx="490">
                  <c:v>73.463426640666754</c:v>
                </c:pt>
                <c:pt idx="491">
                  <c:v>72.735434078098592</c:v>
                </c:pt>
                <c:pt idx="492">
                  <c:v>72.178134029600699</c:v>
                </c:pt>
                <c:pt idx="493">
                  <c:v>72.85557839540931</c:v>
                </c:pt>
                <c:pt idx="494">
                  <c:v>75.654227824877765</c:v>
                </c:pt>
                <c:pt idx="495">
                  <c:v>72.818796051344648</c:v>
                </c:pt>
                <c:pt idx="496">
                  <c:v>71.076690273850289</c:v>
                </c:pt>
                <c:pt idx="497">
                  <c:v>70.336172452327745</c:v>
                </c:pt>
                <c:pt idx="498">
                  <c:v>71.345445311689602</c:v>
                </c:pt>
                <c:pt idx="499">
                  <c:v>68.943284791762821</c:v>
                </c:pt>
                <c:pt idx="500">
                  <c:v>68.003081512730887</c:v>
                </c:pt>
                <c:pt idx="501">
                  <c:v>63.89669827926199</c:v>
                </c:pt>
                <c:pt idx="502">
                  <c:v>64.779143194395033</c:v>
                </c:pt>
                <c:pt idx="503">
                  <c:v>69.384128043493746</c:v>
                </c:pt>
                <c:pt idx="504">
                  <c:v>67.655522815299705</c:v>
                </c:pt>
                <c:pt idx="505">
                  <c:v>69.844345018371655</c:v>
                </c:pt>
                <c:pt idx="506">
                  <c:v>68.812645935128401</c:v>
                </c:pt>
                <c:pt idx="507">
                  <c:v>69.290053932421671</c:v>
                </c:pt>
                <c:pt idx="508">
                  <c:v>65.150326962655399</c:v>
                </c:pt>
                <c:pt idx="509">
                  <c:v>65.779394036635352</c:v>
                </c:pt>
                <c:pt idx="510">
                  <c:v>66.349484651559891</c:v>
                </c:pt>
                <c:pt idx="511">
                  <c:v>66.602523334811906</c:v>
                </c:pt>
                <c:pt idx="512">
                  <c:v>69.594398661870528</c:v>
                </c:pt>
                <c:pt idx="513">
                  <c:v>72.628995421930028</c:v>
                </c:pt>
                <c:pt idx="514">
                  <c:v>73.315627250467443</c:v>
                </c:pt>
                <c:pt idx="515">
                  <c:v>74.162807184437852</c:v>
                </c:pt>
                <c:pt idx="516">
                  <c:v>72.64904970157653</c:v>
                </c:pt>
                <c:pt idx="517">
                  <c:v>70.71005623082732</c:v>
                </c:pt>
                <c:pt idx="518">
                  <c:v>68.118414910923761</c:v>
                </c:pt>
                <c:pt idx="519">
                  <c:v>67.168047205962523</c:v>
                </c:pt>
                <c:pt idx="520">
                  <c:v>68.701363344738212</c:v>
                </c:pt>
                <c:pt idx="521">
                  <c:v>68.722749609078349</c:v>
                </c:pt>
                <c:pt idx="522">
                  <c:v>69.624643777885936</c:v>
                </c:pt>
                <c:pt idx="523">
                  <c:v>70.83634981387209</c:v>
                </c:pt>
                <c:pt idx="524">
                  <c:v>70.361176579724315</c:v>
                </c:pt>
                <c:pt idx="525">
                  <c:v>70.63585398392101</c:v>
                </c:pt>
                <c:pt idx="526">
                  <c:v>69.427699302491234</c:v>
                </c:pt>
                <c:pt idx="527">
                  <c:v>70.16611509953718</c:v>
                </c:pt>
                <c:pt idx="528">
                  <c:v>68.749373774807594</c:v>
                </c:pt>
                <c:pt idx="529">
                  <c:v>68.99075572816308</c:v>
                </c:pt>
                <c:pt idx="530">
                  <c:v>68.752853003109337</c:v>
                </c:pt>
                <c:pt idx="531">
                  <c:v>66.801127330541632</c:v>
                </c:pt>
                <c:pt idx="532">
                  <c:v>67.765183669247321</c:v>
                </c:pt>
                <c:pt idx="533">
                  <c:v>68.685253518936165</c:v>
                </c:pt>
                <c:pt idx="534">
                  <c:v>67.903230646277876</c:v>
                </c:pt>
                <c:pt idx="535">
                  <c:v>67.840231522248857</c:v>
                </c:pt>
                <c:pt idx="536">
                  <c:v>65.874914761001406</c:v>
                </c:pt>
                <c:pt idx="537">
                  <c:v>68.732308300755335</c:v>
                </c:pt>
                <c:pt idx="538">
                  <c:v>69.231324766811213</c:v>
                </c:pt>
                <c:pt idx="539">
                  <c:v>73.617228077135351</c:v>
                </c:pt>
                <c:pt idx="540">
                  <c:v>77.084098122144567</c:v>
                </c:pt>
                <c:pt idx="541">
                  <c:v>77.047683403391233</c:v>
                </c:pt>
                <c:pt idx="542">
                  <c:v>74.319905583585353</c:v>
                </c:pt>
                <c:pt idx="543">
                  <c:v>75.109576039133628</c:v>
                </c:pt>
                <c:pt idx="544">
                  <c:v>74.578897230053386</c:v>
                </c:pt>
                <c:pt idx="545">
                  <c:v>80.564069957742419</c:v>
                </c:pt>
                <c:pt idx="546">
                  <c:v>79.954168263452985</c:v>
                </c:pt>
                <c:pt idx="547">
                  <c:v>80.78956959171245</c:v>
                </c:pt>
                <c:pt idx="548">
                  <c:v>75.672352719279317</c:v>
                </c:pt>
                <c:pt idx="549">
                  <c:v>74.828767268571937</c:v>
                </c:pt>
                <c:pt idx="550">
                  <c:v>76.17450853836732</c:v>
                </c:pt>
                <c:pt idx="551">
                  <c:v>81.214459931321102</c:v>
                </c:pt>
                <c:pt idx="552">
                  <c:v>81.470948824284235</c:v>
                </c:pt>
                <c:pt idx="553">
                  <c:v>79.15509134950301</c:v>
                </c:pt>
                <c:pt idx="554">
                  <c:v>77.993032657541377</c:v>
                </c:pt>
                <c:pt idx="555">
                  <c:v>75.269602064478647</c:v>
                </c:pt>
                <c:pt idx="556">
                  <c:v>77.00113183333751</c:v>
                </c:pt>
                <c:pt idx="557">
                  <c:v>75.574384643478211</c:v>
                </c:pt>
                <c:pt idx="558">
                  <c:v>75.777643789014519</c:v>
                </c:pt>
                <c:pt idx="559">
                  <c:v>76.191867393057223</c:v>
                </c:pt>
                <c:pt idx="560">
                  <c:v>76.607224587538184</c:v>
                </c:pt>
                <c:pt idx="561">
                  <c:v>76.864714208814775</c:v>
                </c:pt>
                <c:pt idx="562">
                  <c:v>79.309555351487802</c:v>
                </c:pt>
                <c:pt idx="563">
                  <c:v>78.732311368102728</c:v>
                </c:pt>
                <c:pt idx="564">
                  <c:v>75.175426946313877</c:v>
                </c:pt>
                <c:pt idx="565">
                  <c:v>74.553107007941762</c:v>
                </c:pt>
                <c:pt idx="566">
                  <c:v>75.564349140187176</c:v>
                </c:pt>
                <c:pt idx="567">
                  <c:v>75.778827900051951</c:v>
                </c:pt>
                <c:pt idx="568">
                  <c:v>75.918502926699517</c:v>
                </c:pt>
                <c:pt idx="569">
                  <c:v>81.188783092489373</c:v>
                </c:pt>
                <c:pt idx="570">
                  <c:v>82.323482123965434</c:v>
                </c:pt>
                <c:pt idx="571">
                  <c:v>84.235048862739319</c:v>
                </c:pt>
                <c:pt idx="572">
                  <c:v>82.571400010639223</c:v>
                </c:pt>
                <c:pt idx="573">
                  <c:v>84.127165784895539</c:v>
                </c:pt>
                <c:pt idx="574">
                  <c:v>86.507250994830258</c:v>
                </c:pt>
                <c:pt idx="575">
                  <c:v>88.389998831391338</c:v>
                </c:pt>
                <c:pt idx="576">
                  <c:v>89.124257520457547</c:v>
                </c:pt>
                <c:pt idx="577">
                  <c:v>85.625720119073833</c:v>
                </c:pt>
                <c:pt idx="578">
                  <c:v>87.996518485094811</c:v>
                </c:pt>
                <c:pt idx="579">
                  <c:v>90.550221678478749</c:v>
                </c:pt>
                <c:pt idx="580">
                  <c:v>94.780087348663542</c:v>
                </c:pt>
                <c:pt idx="581">
                  <c:v>90.831732698548876</c:v>
                </c:pt>
                <c:pt idx="582">
                  <c:v>88.804142635026636</c:v>
                </c:pt>
                <c:pt idx="583">
                  <c:v>92.772415455763152</c:v>
                </c:pt>
                <c:pt idx="584">
                  <c:v>90.053095779210736</c:v>
                </c:pt>
                <c:pt idx="585">
                  <c:v>91.078001945960239</c:v>
                </c:pt>
                <c:pt idx="586">
                  <c:v>86.842037895727202</c:v>
                </c:pt>
                <c:pt idx="587">
                  <c:v>86.098574837573551</c:v>
                </c:pt>
                <c:pt idx="588">
                  <c:v>81.290870516805327</c:v>
                </c:pt>
                <c:pt idx="589">
                  <c:v>81.332241299117484</c:v>
                </c:pt>
                <c:pt idx="590">
                  <c:v>80.418965991601041</c:v>
                </c:pt>
                <c:pt idx="591">
                  <c:v>83.107501424553973</c:v>
                </c:pt>
                <c:pt idx="592">
                  <c:v>81.59195957104059</c:v>
                </c:pt>
                <c:pt idx="593">
                  <c:v>85.96255166099624</c:v>
                </c:pt>
                <c:pt idx="594">
                  <c:v>86.058148083830588</c:v>
                </c:pt>
                <c:pt idx="595">
                  <c:v>85.92935569911414</c:v>
                </c:pt>
                <c:pt idx="596">
                  <c:v>85.832944692178344</c:v>
                </c:pt>
                <c:pt idx="597">
                  <c:v>88.430269624318456</c:v>
                </c:pt>
                <c:pt idx="598">
                  <c:v>89.689267983641017</c:v>
                </c:pt>
                <c:pt idx="599">
                  <c:v>90.184504671525005</c:v>
                </c:pt>
                <c:pt idx="600">
                  <c:v>90.435977368402718</c:v>
                </c:pt>
                <c:pt idx="601">
                  <c:v>93.449160932449502</c:v>
                </c:pt>
                <c:pt idx="602">
                  <c:v>98.740214998286703</c:v>
                </c:pt>
                <c:pt idx="603">
                  <c:v>95.734014279648576</c:v>
                </c:pt>
                <c:pt idx="604">
                  <c:v>98.056884179503427</c:v>
                </c:pt>
                <c:pt idx="605">
                  <c:v>105.49507156146768</c:v>
                </c:pt>
                <c:pt idx="606">
                  <c:v>105.18155431861625</c:v>
                </c:pt>
                <c:pt idx="607">
                  <c:v>101.71207839297023</c:v>
                </c:pt>
                <c:pt idx="608">
                  <c:v>107.32668630791491</c:v>
                </c:pt>
                <c:pt idx="609">
                  <c:v>110.63406884837482</c:v>
                </c:pt>
                <c:pt idx="610">
                  <c:v>113.05323460719947</c:v>
                </c:pt>
                <c:pt idx="611">
                  <c:v>115.71026047088473</c:v>
                </c:pt>
                <c:pt idx="612">
                  <c:v>108.96838470500188</c:v>
                </c:pt>
                <c:pt idx="613">
                  <c:v>112.67178337503231</c:v>
                </c:pt>
                <c:pt idx="614">
                  <c:v>113.53493865958933</c:v>
                </c:pt>
                <c:pt idx="615">
                  <c:v>111.99654584092406</c:v>
                </c:pt>
                <c:pt idx="616">
                  <c:v>118.92652108064874</c:v>
                </c:pt>
                <c:pt idx="617">
                  <c:v>118.58127167698915</c:v>
                </c:pt>
                <c:pt idx="618">
                  <c:v>123.39414940938586</c:v>
                </c:pt>
                <c:pt idx="619">
                  <c:v>122.5287643891303</c:v>
                </c:pt>
                <c:pt idx="620">
                  <c:v>116.52536277357734</c:v>
                </c:pt>
                <c:pt idx="621">
                  <c:v>113.89772145884814</c:v>
                </c:pt>
                <c:pt idx="622">
                  <c:v>111.41381268510608</c:v>
                </c:pt>
                <c:pt idx="623">
                  <c:v>111.07454322282021</c:v>
                </c:pt>
                <c:pt idx="624">
                  <c:v>110.25949313129571</c:v>
                </c:pt>
                <c:pt idx="625">
                  <c:v>110.52742167159384</c:v>
                </c:pt>
                <c:pt idx="626">
                  <c:v>116.22866718263629</c:v>
                </c:pt>
                <c:pt idx="627">
                  <c:v>113.38065601548703</c:v>
                </c:pt>
                <c:pt idx="628">
                  <c:v>111.43517026761722</c:v>
                </c:pt>
                <c:pt idx="629">
                  <c:v>118.28709593456328</c:v>
                </c:pt>
                <c:pt idx="630">
                  <c:v>122.37196313780767</c:v>
                </c:pt>
                <c:pt idx="631">
                  <c:v>121.70250568434174</c:v>
                </c:pt>
                <c:pt idx="632">
                  <c:v>126.28235768094291</c:v>
                </c:pt>
                <c:pt idx="633">
                  <c:v>129.69523807418068</c:v>
                </c:pt>
                <c:pt idx="634">
                  <c:v>127.92423244349821</c:v>
                </c:pt>
                <c:pt idx="635">
                  <c:v>127.27092454642157</c:v>
                </c:pt>
                <c:pt idx="636">
                  <c:v>123.49072171476475</c:v>
                </c:pt>
                <c:pt idx="637">
                  <c:v>122.81994535630638</c:v>
                </c:pt>
                <c:pt idx="638">
                  <c:v>125.60714785790407</c:v>
                </c:pt>
                <c:pt idx="639">
                  <c:v>117.89619833173651</c:v>
                </c:pt>
                <c:pt idx="640">
                  <c:v>123.80456255925222</c:v>
                </c:pt>
                <c:pt idx="641">
                  <c:v>118.22612613953272</c:v>
                </c:pt>
                <c:pt idx="642">
                  <c:v>119.68387657626143</c:v>
                </c:pt>
                <c:pt idx="643">
                  <c:v>121.96156628026051</c:v>
                </c:pt>
                <c:pt idx="644">
                  <c:v>126.06907268678351</c:v>
                </c:pt>
                <c:pt idx="645">
                  <c:v>125.67855417787787</c:v>
                </c:pt>
                <c:pt idx="646">
                  <c:v>126.06818749496605</c:v>
                </c:pt>
                <c:pt idx="647">
                  <c:v>124.76544278201749</c:v>
                </c:pt>
                <c:pt idx="648">
                  <c:v>125.4109001562498</c:v>
                </c:pt>
                <c:pt idx="649">
                  <c:v>121.1892863302883</c:v>
                </c:pt>
                <c:pt idx="650">
                  <c:v>120.47853170724612</c:v>
                </c:pt>
                <c:pt idx="651">
                  <c:v>123.71570940083633</c:v>
                </c:pt>
                <c:pt idx="652">
                  <c:v>124.62561848094238</c:v>
                </c:pt>
                <c:pt idx="653">
                  <c:v>122.51969807568771</c:v>
                </c:pt>
                <c:pt idx="654">
                  <c:v>122.24120457490662</c:v>
                </c:pt>
                <c:pt idx="655">
                  <c:v>122.19887830271226</c:v>
                </c:pt>
                <c:pt idx="656">
                  <c:v>120.94307605500067</c:v>
                </c:pt>
                <c:pt idx="657">
                  <c:v>124.49300876463977</c:v>
                </c:pt>
                <c:pt idx="658">
                  <c:v>120.09429931774584</c:v>
                </c:pt>
                <c:pt idx="659">
                  <c:v>114.27008466152358</c:v>
                </c:pt>
                <c:pt idx="660">
                  <c:v>112.41705479977762</c:v>
                </c:pt>
                <c:pt idx="661">
                  <c:v>114.35995423301532</c:v>
                </c:pt>
                <c:pt idx="662">
                  <c:v>110.44008243543483</c:v>
                </c:pt>
                <c:pt idx="663">
                  <c:v>112.53804214683605</c:v>
                </c:pt>
                <c:pt idx="664">
                  <c:v>111.10290371921636</c:v>
                </c:pt>
                <c:pt idx="665">
                  <c:v>108.67122190888539</c:v>
                </c:pt>
                <c:pt idx="666">
                  <c:v>108.0941963693235</c:v>
                </c:pt>
                <c:pt idx="667">
                  <c:v>110.36299585058195</c:v>
                </c:pt>
                <c:pt idx="668">
                  <c:v>111.58454671147071</c:v>
                </c:pt>
                <c:pt idx="669">
                  <c:v>109.62910526083287</c:v>
                </c:pt>
                <c:pt idx="670">
                  <c:v>109.63427263163894</c:v>
                </c:pt>
                <c:pt idx="671">
                  <c:v>109.86804251016946</c:v>
                </c:pt>
                <c:pt idx="672">
                  <c:v>113.9028100083177</c:v>
                </c:pt>
                <c:pt idx="673">
                  <c:v>110.87897907931868</c:v>
                </c:pt>
                <c:pt idx="674">
                  <c:v>112.4638816380817</c:v>
                </c:pt>
                <c:pt idx="675">
                  <c:v>111.95871327369346</c:v>
                </c:pt>
                <c:pt idx="676">
                  <c:v>109.58942813380257</c:v>
                </c:pt>
                <c:pt idx="677">
                  <c:v>108.2460176099264</c:v>
                </c:pt>
                <c:pt idx="678">
                  <c:v>108.04963768091559</c:v>
                </c:pt>
                <c:pt idx="679">
                  <c:v>109.06023556464646</c:v>
                </c:pt>
                <c:pt idx="680">
                  <c:v>109.14672431114158</c:v>
                </c:pt>
                <c:pt idx="681">
                  <c:v>109.42531095447413</c:v>
                </c:pt>
                <c:pt idx="682">
                  <c:v>109.10839262571211</c:v>
                </c:pt>
                <c:pt idx="683">
                  <c:v>113.2339353269229</c:v>
                </c:pt>
                <c:pt idx="684">
                  <c:v>112.6041022410552</c:v>
                </c:pt>
                <c:pt idx="685">
                  <c:v>115.67585839598945</c:v>
                </c:pt>
                <c:pt idx="686">
                  <c:v>114.40948495256242</c:v>
                </c:pt>
                <c:pt idx="687">
                  <c:v>119.29248391814386</c:v>
                </c:pt>
                <c:pt idx="688">
                  <c:v>120.48651933980192</c:v>
                </c:pt>
                <c:pt idx="689">
                  <c:v>116.97033408806881</c:v>
                </c:pt>
                <c:pt idx="690">
                  <c:v>116.88634290315247</c:v>
                </c:pt>
                <c:pt idx="691">
                  <c:v>121.40726023633486</c:v>
                </c:pt>
                <c:pt idx="692">
                  <c:v>119.12792728319214</c:v>
                </c:pt>
                <c:pt idx="693">
                  <c:v>118.38730091371987</c:v>
                </c:pt>
                <c:pt idx="694">
                  <c:v>117.88921760145207</c:v>
                </c:pt>
                <c:pt idx="695">
                  <c:v>119.86849689479115</c:v>
                </c:pt>
                <c:pt idx="696">
                  <c:v>118.58246752507615</c:v>
                </c:pt>
                <c:pt idx="697">
                  <c:v>116.77625176007199</c:v>
                </c:pt>
                <c:pt idx="698">
                  <c:v>112.79687580718463</c:v>
                </c:pt>
                <c:pt idx="699">
                  <c:v>114.21322689945941</c:v>
                </c:pt>
                <c:pt idx="700">
                  <c:v>115.18917600424746</c:v>
                </c:pt>
                <c:pt idx="701">
                  <c:v>115.18437248405482</c:v>
                </c:pt>
                <c:pt idx="702">
                  <c:v>113.99947642414813</c:v>
                </c:pt>
                <c:pt idx="703">
                  <c:v>112.19294027265511</c:v>
                </c:pt>
                <c:pt idx="704">
                  <c:v>109.18894951476437</c:v>
                </c:pt>
                <c:pt idx="705">
                  <c:v>108.54183247128194</c:v>
                </c:pt>
                <c:pt idx="706">
                  <c:v>107.78515180283314</c:v>
                </c:pt>
                <c:pt idx="707">
                  <c:v>108.17178594064117</c:v>
                </c:pt>
                <c:pt idx="708">
                  <c:v>107.23311818526706</c:v>
                </c:pt>
                <c:pt idx="709">
                  <c:v>106.76574458807514</c:v>
                </c:pt>
                <c:pt idx="710">
                  <c:v>106.57846187136158</c:v>
                </c:pt>
                <c:pt idx="711">
                  <c:v>100.86906223662994</c:v>
                </c:pt>
                <c:pt idx="712">
                  <c:v>104.73620327840226</c:v>
                </c:pt>
                <c:pt idx="713">
                  <c:v>103.44861598187056</c:v>
                </c:pt>
                <c:pt idx="714">
                  <c:v>105.12388012267658</c:v>
                </c:pt>
                <c:pt idx="715">
                  <c:v>108.08916060072022</c:v>
                </c:pt>
                <c:pt idx="716">
                  <c:v>110.4624200650432</c:v>
                </c:pt>
                <c:pt idx="717">
                  <c:v>112.84239540473172</c:v>
                </c:pt>
                <c:pt idx="718">
                  <c:v>113.35093843480122</c:v>
                </c:pt>
                <c:pt idx="719">
                  <c:v>113.41880214344332</c:v>
                </c:pt>
                <c:pt idx="720">
                  <c:v>112.99866682296764</c:v>
                </c:pt>
                <c:pt idx="721">
                  <c:v>114.67602352640178</c:v>
                </c:pt>
                <c:pt idx="722">
                  <c:v>116.17973045651418</c:v>
                </c:pt>
                <c:pt idx="723">
                  <c:v>115.37327079509505</c:v>
                </c:pt>
                <c:pt idx="724">
                  <c:v>111.68360931917969</c:v>
                </c:pt>
                <c:pt idx="725">
                  <c:v>106.8294650216386</c:v>
                </c:pt>
                <c:pt idx="726">
                  <c:v>107.24624766062973</c:v>
                </c:pt>
                <c:pt idx="727">
                  <c:v>108.14442998386106</c:v>
                </c:pt>
                <c:pt idx="728">
                  <c:v>106.35926856329998</c:v>
                </c:pt>
                <c:pt idx="729">
                  <c:v>103.08801691449339</c:v>
                </c:pt>
                <c:pt idx="730">
                  <c:v>101.64942294459951</c:v>
                </c:pt>
                <c:pt idx="731">
                  <c:v>98.614008785097411</c:v>
                </c:pt>
                <c:pt idx="732">
                  <c:v>98.615199799903309</c:v>
                </c:pt>
                <c:pt idx="733">
                  <c:v>94.385802737706911</c:v>
                </c:pt>
                <c:pt idx="734">
                  <c:v>94.246901155530608</c:v>
                </c:pt>
                <c:pt idx="735">
                  <c:v>94.338618151890401</c:v>
                </c:pt>
                <c:pt idx="736">
                  <c:v>91.281773575203971</c:v>
                </c:pt>
                <c:pt idx="737">
                  <c:v>93.104368830865909</c:v>
                </c:pt>
                <c:pt idx="738">
                  <c:v>90.665828114793669</c:v>
                </c:pt>
                <c:pt idx="739">
                  <c:v>96.341860033339742</c:v>
                </c:pt>
                <c:pt idx="740">
                  <c:v>98.080241581345263</c:v>
                </c:pt>
                <c:pt idx="741">
                  <c:v>96.645798265514742</c:v>
                </c:pt>
                <c:pt idx="742">
                  <c:v>93.863103953380374</c:v>
                </c:pt>
                <c:pt idx="743">
                  <c:v>92.834595940536914</c:v>
                </c:pt>
                <c:pt idx="744">
                  <c:v>93.43820553946334</c:v>
                </c:pt>
                <c:pt idx="745">
                  <c:v>94.649135999449086</c:v>
                </c:pt>
                <c:pt idx="746">
                  <c:v>95.209167100126137</c:v>
                </c:pt>
                <c:pt idx="747">
                  <c:v>94.12490977592509</c:v>
                </c:pt>
                <c:pt idx="748">
                  <c:v>94.828539450101147</c:v>
                </c:pt>
                <c:pt idx="749">
                  <c:v>93.505164911516061</c:v>
                </c:pt>
                <c:pt idx="750">
                  <c:v>92.203797809606584</c:v>
                </c:pt>
                <c:pt idx="751">
                  <c:v>91.832509000757327</c:v>
                </c:pt>
                <c:pt idx="752">
                  <c:v>92.855219914036084</c:v>
                </c:pt>
                <c:pt idx="753">
                  <c:v>93.252413705188957</c:v>
                </c:pt>
                <c:pt idx="754">
                  <c:v>90.994986062511842</c:v>
                </c:pt>
                <c:pt idx="755">
                  <c:v>92.684131878622949</c:v>
                </c:pt>
                <c:pt idx="756">
                  <c:v>92.30870517532523</c:v>
                </c:pt>
                <c:pt idx="757">
                  <c:v>90.700932323323443</c:v>
                </c:pt>
                <c:pt idx="758">
                  <c:v>89.710081448388038</c:v>
                </c:pt>
                <c:pt idx="759">
                  <c:v>89.304353014501586</c:v>
                </c:pt>
                <c:pt idx="760">
                  <c:v>89.915709585757924</c:v>
                </c:pt>
                <c:pt idx="761">
                  <c:v>89.015329921778033</c:v>
                </c:pt>
                <c:pt idx="762">
                  <c:v>84.95603527687723</c:v>
                </c:pt>
                <c:pt idx="763">
                  <c:v>85.065050845264182</c:v>
                </c:pt>
                <c:pt idx="764">
                  <c:v>82.090668771094343</c:v>
                </c:pt>
                <c:pt idx="765">
                  <c:v>79.135285268825641</c:v>
                </c:pt>
                <c:pt idx="766">
                  <c:v>77.163190844099603</c:v>
                </c:pt>
                <c:pt idx="767">
                  <c:v>75.14676999824519</c:v>
                </c:pt>
                <c:pt idx="768">
                  <c:v>73.823238782525408</c:v>
                </c:pt>
                <c:pt idx="769">
                  <c:v>76.705485448315969</c:v>
                </c:pt>
                <c:pt idx="770">
                  <c:v>75.124252218386061</c:v>
                </c:pt>
                <c:pt idx="771">
                  <c:v>73.067247246778379</c:v>
                </c:pt>
                <c:pt idx="772">
                  <c:v>74.563824147150484</c:v>
                </c:pt>
                <c:pt idx="773">
                  <c:v>71.870638288326717</c:v>
                </c:pt>
                <c:pt idx="774">
                  <c:v>72.378379882094663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1-5945-B4F1-BD2FDCA64D7A}"/>
            </c:ext>
          </c:extLst>
        </c:ser>
        <c:ser>
          <c:idx val="2"/>
          <c:order val="1"/>
          <c:tx>
            <c:strRef>
              <c:f>Sheet20!$A$3</c:f>
              <c:strCache>
                <c:ptCount val="1"/>
                <c:pt idx="0">
                  <c:v>Returns(Gold)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Sheet20!$B$1:$ACV$1</c:f>
              <c:strCache>
                <c:ptCount val="775"/>
                <c:pt idx="0">
                  <c:v>01-Aug-10</c:v>
                </c:pt>
                <c:pt idx="1">
                  <c:v>08-Aug-10</c:v>
                </c:pt>
                <c:pt idx="2">
                  <c:v>15-Aug-10</c:v>
                </c:pt>
                <c:pt idx="3">
                  <c:v>22-Aug-10</c:v>
                </c:pt>
                <c:pt idx="4">
                  <c:v>29-Aug-10</c:v>
                </c:pt>
                <c:pt idx="5">
                  <c:v>05-Sep-10</c:v>
                </c:pt>
                <c:pt idx="6">
                  <c:v>12-Sep-10</c:v>
                </c:pt>
                <c:pt idx="7">
                  <c:v>19-Sep-10</c:v>
                </c:pt>
                <c:pt idx="8">
                  <c:v>26-Sep-10</c:v>
                </c:pt>
                <c:pt idx="9">
                  <c:v>03-Oct-10</c:v>
                </c:pt>
                <c:pt idx="10">
                  <c:v>10-Oct-10</c:v>
                </c:pt>
                <c:pt idx="11">
                  <c:v>17-Oct-10</c:v>
                </c:pt>
                <c:pt idx="12">
                  <c:v>24-Oct-10</c:v>
                </c:pt>
                <c:pt idx="13">
                  <c:v>31-Oct-10</c:v>
                </c:pt>
                <c:pt idx="14">
                  <c:v>07-Nov-10</c:v>
                </c:pt>
                <c:pt idx="15">
                  <c:v>14-Nov-10</c:v>
                </c:pt>
                <c:pt idx="16">
                  <c:v>21-Nov-10</c:v>
                </c:pt>
                <c:pt idx="17">
                  <c:v>28-Nov-10</c:v>
                </c:pt>
                <c:pt idx="18">
                  <c:v>05-Dec-10</c:v>
                </c:pt>
                <c:pt idx="19">
                  <c:v>12-Dec-10</c:v>
                </c:pt>
                <c:pt idx="20">
                  <c:v>19-Dec-10</c:v>
                </c:pt>
                <c:pt idx="21">
                  <c:v>26-Dec-10</c:v>
                </c:pt>
                <c:pt idx="22">
                  <c:v>02-Jan-11</c:v>
                </c:pt>
                <c:pt idx="23">
                  <c:v>09-Jan-11</c:v>
                </c:pt>
                <c:pt idx="24">
                  <c:v>16-Jan-11</c:v>
                </c:pt>
                <c:pt idx="25">
                  <c:v>23-Jan-11</c:v>
                </c:pt>
                <c:pt idx="26">
                  <c:v>30-Jan-11</c:v>
                </c:pt>
                <c:pt idx="27">
                  <c:v>06-Feb-11</c:v>
                </c:pt>
                <c:pt idx="28">
                  <c:v>13-Feb-11</c:v>
                </c:pt>
                <c:pt idx="29">
                  <c:v>20-Feb-11</c:v>
                </c:pt>
                <c:pt idx="30">
                  <c:v>27-Feb-11</c:v>
                </c:pt>
                <c:pt idx="31">
                  <c:v>06-Mar-11</c:v>
                </c:pt>
                <c:pt idx="32">
                  <c:v>13-Mar-11</c:v>
                </c:pt>
                <c:pt idx="33">
                  <c:v>20-Mar-11</c:v>
                </c:pt>
                <c:pt idx="34">
                  <c:v>27-Mar-11</c:v>
                </c:pt>
                <c:pt idx="35">
                  <c:v>03-Apr-11</c:v>
                </c:pt>
                <c:pt idx="36">
                  <c:v>10-Apr-11</c:v>
                </c:pt>
                <c:pt idx="37">
                  <c:v>17-Apr-11</c:v>
                </c:pt>
                <c:pt idx="38">
                  <c:v>24-Apr-11</c:v>
                </c:pt>
                <c:pt idx="39">
                  <c:v>01-May-11</c:v>
                </c:pt>
                <c:pt idx="40">
                  <c:v>08-May-11</c:v>
                </c:pt>
                <c:pt idx="41">
                  <c:v>15-May-11</c:v>
                </c:pt>
                <c:pt idx="42">
                  <c:v>22-May-11</c:v>
                </c:pt>
                <c:pt idx="43">
                  <c:v>29-May-11</c:v>
                </c:pt>
                <c:pt idx="44">
                  <c:v>05-Jun-11</c:v>
                </c:pt>
                <c:pt idx="45">
                  <c:v>12-Jun-11</c:v>
                </c:pt>
                <c:pt idx="46">
                  <c:v>19-Jun-11</c:v>
                </c:pt>
                <c:pt idx="47">
                  <c:v>26-Jun-11</c:v>
                </c:pt>
                <c:pt idx="48">
                  <c:v>03-Jul-11</c:v>
                </c:pt>
                <c:pt idx="49">
                  <c:v>10-Jul-11</c:v>
                </c:pt>
                <c:pt idx="50">
                  <c:v>17-Jul-11</c:v>
                </c:pt>
                <c:pt idx="51">
                  <c:v>24-Jul-11</c:v>
                </c:pt>
                <c:pt idx="52">
                  <c:v>31-Jul-11</c:v>
                </c:pt>
                <c:pt idx="53">
                  <c:v>07-Aug-11</c:v>
                </c:pt>
                <c:pt idx="54">
                  <c:v>14-Aug-11</c:v>
                </c:pt>
                <c:pt idx="55">
                  <c:v>21-Aug-11</c:v>
                </c:pt>
                <c:pt idx="56">
                  <c:v>28-Aug-11</c:v>
                </c:pt>
                <c:pt idx="57">
                  <c:v>04-Sep-11</c:v>
                </c:pt>
                <c:pt idx="58">
                  <c:v>11-Sep-11</c:v>
                </c:pt>
                <c:pt idx="59">
                  <c:v>18-Sep-11</c:v>
                </c:pt>
                <c:pt idx="60">
                  <c:v>25-Sep-11</c:v>
                </c:pt>
                <c:pt idx="61">
                  <c:v>02-Oct-11</c:v>
                </c:pt>
                <c:pt idx="62">
                  <c:v>09-Oct-11</c:v>
                </c:pt>
                <c:pt idx="63">
                  <c:v>16-Oct-11</c:v>
                </c:pt>
                <c:pt idx="64">
                  <c:v>23-Oct-11</c:v>
                </c:pt>
                <c:pt idx="65">
                  <c:v>30-Oct-11</c:v>
                </c:pt>
                <c:pt idx="66">
                  <c:v>06-Nov-11</c:v>
                </c:pt>
                <c:pt idx="67">
                  <c:v>13-Nov-11</c:v>
                </c:pt>
                <c:pt idx="68">
                  <c:v>20-Nov-11</c:v>
                </c:pt>
                <c:pt idx="69">
                  <c:v>27-Nov-11</c:v>
                </c:pt>
                <c:pt idx="70">
                  <c:v>04-Dec-11</c:v>
                </c:pt>
                <c:pt idx="71">
                  <c:v>11-Dec-11</c:v>
                </c:pt>
                <c:pt idx="72">
                  <c:v>18-Dec-11</c:v>
                </c:pt>
                <c:pt idx="73">
                  <c:v>25-Dec-11</c:v>
                </c:pt>
                <c:pt idx="74">
                  <c:v>01-Jan-12</c:v>
                </c:pt>
                <c:pt idx="75">
                  <c:v>08-Jan-12</c:v>
                </c:pt>
                <c:pt idx="76">
                  <c:v>15-Jan-12</c:v>
                </c:pt>
                <c:pt idx="77">
                  <c:v>22-Jan-12</c:v>
                </c:pt>
                <c:pt idx="78">
                  <c:v>29-Jan-12</c:v>
                </c:pt>
                <c:pt idx="79">
                  <c:v>05-Feb-12</c:v>
                </c:pt>
                <c:pt idx="80">
                  <c:v>12-Feb-12</c:v>
                </c:pt>
                <c:pt idx="81">
                  <c:v>19-Feb-12</c:v>
                </c:pt>
                <c:pt idx="82">
                  <c:v>26-Feb-12</c:v>
                </c:pt>
                <c:pt idx="83">
                  <c:v>04-Mar-12</c:v>
                </c:pt>
                <c:pt idx="84">
                  <c:v>11-Mar-12</c:v>
                </c:pt>
                <c:pt idx="85">
                  <c:v>18-Mar-12</c:v>
                </c:pt>
                <c:pt idx="86">
                  <c:v>25-Mar-12</c:v>
                </c:pt>
                <c:pt idx="87">
                  <c:v>01-Apr-12</c:v>
                </c:pt>
                <c:pt idx="88">
                  <c:v>08-Apr-12</c:v>
                </c:pt>
                <c:pt idx="89">
                  <c:v>15-Apr-12</c:v>
                </c:pt>
                <c:pt idx="90">
                  <c:v>22-Apr-12</c:v>
                </c:pt>
                <c:pt idx="91">
                  <c:v>29-Apr-12</c:v>
                </c:pt>
                <c:pt idx="92">
                  <c:v>06-May-12</c:v>
                </c:pt>
                <c:pt idx="93">
                  <c:v>13-May-12</c:v>
                </c:pt>
                <c:pt idx="94">
                  <c:v>20-May-12</c:v>
                </c:pt>
                <c:pt idx="95">
                  <c:v>27-May-12</c:v>
                </c:pt>
                <c:pt idx="96">
                  <c:v>03-Jun-12</c:v>
                </c:pt>
                <c:pt idx="97">
                  <c:v>10-Jun-12</c:v>
                </c:pt>
                <c:pt idx="98">
                  <c:v>17-Jun-12</c:v>
                </c:pt>
                <c:pt idx="99">
                  <c:v>24-Jun-12</c:v>
                </c:pt>
                <c:pt idx="100">
                  <c:v>01-Jul-12</c:v>
                </c:pt>
                <c:pt idx="101">
                  <c:v>08-Jul-12</c:v>
                </c:pt>
                <c:pt idx="102">
                  <c:v>15-Jul-12</c:v>
                </c:pt>
                <c:pt idx="103">
                  <c:v>22-Jul-12</c:v>
                </c:pt>
                <c:pt idx="104">
                  <c:v>29-Jul-12</c:v>
                </c:pt>
                <c:pt idx="105">
                  <c:v>05-Aug-12</c:v>
                </c:pt>
                <c:pt idx="106">
                  <c:v>12-Aug-12</c:v>
                </c:pt>
                <c:pt idx="107">
                  <c:v>19-Aug-12</c:v>
                </c:pt>
                <c:pt idx="108">
                  <c:v>26-Aug-12</c:v>
                </c:pt>
                <c:pt idx="109">
                  <c:v>02-Sep-12</c:v>
                </c:pt>
                <c:pt idx="110">
                  <c:v>09-Sep-12</c:v>
                </c:pt>
                <c:pt idx="111">
                  <c:v>16-Sep-12</c:v>
                </c:pt>
                <c:pt idx="112">
                  <c:v>23-Sep-12</c:v>
                </c:pt>
                <c:pt idx="113">
                  <c:v>30-Sep-12</c:v>
                </c:pt>
                <c:pt idx="114">
                  <c:v>07-Oct-12</c:v>
                </c:pt>
                <c:pt idx="115">
                  <c:v>14-Oct-12</c:v>
                </c:pt>
                <c:pt idx="116">
                  <c:v>21-Oct-12</c:v>
                </c:pt>
                <c:pt idx="117">
                  <c:v>28-Oct-12</c:v>
                </c:pt>
                <c:pt idx="118">
                  <c:v>04-Nov-12</c:v>
                </c:pt>
                <c:pt idx="119">
                  <c:v>11-Nov-12</c:v>
                </c:pt>
                <c:pt idx="120">
                  <c:v>18-Nov-12</c:v>
                </c:pt>
                <c:pt idx="121">
                  <c:v>25-Nov-12</c:v>
                </c:pt>
                <c:pt idx="122">
                  <c:v>02-Dec-12</c:v>
                </c:pt>
                <c:pt idx="123">
                  <c:v>09-Dec-12</c:v>
                </c:pt>
                <c:pt idx="124">
                  <c:v>16-Dec-12</c:v>
                </c:pt>
                <c:pt idx="125">
                  <c:v>23-Dec-12</c:v>
                </c:pt>
                <c:pt idx="126">
                  <c:v>30-Dec-12</c:v>
                </c:pt>
                <c:pt idx="127">
                  <c:v>06-Jan-13</c:v>
                </c:pt>
                <c:pt idx="128">
                  <c:v>13-Jan-13</c:v>
                </c:pt>
                <c:pt idx="129">
                  <c:v>20-Jan-13</c:v>
                </c:pt>
                <c:pt idx="130">
                  <c:v>27-Jan-13</c:v>
                </c:pt>
                <c:pt idx="131">
                  <c:v>03-Feb-13</c:v>
                </c:pt>
                <c:pt idx="132">
                  <c:v>10-Feb-13</c:v>
                </c:pt>
                <c:pt idx="133">
                  <c:v>17-Feb-13</c:v>
                </c:pt>
                <c:pt idx="134">
                  <c:v>24-Feb-13</c:v>
                </c:pt>
                <c:pt idx="135">
                  <c:v>03-Mar-13</c:v>
                </c:pt>
                <c:pt idx="136">
                  <c:v>10-Mar-13</c:v>
                </c:pt>
                <c:pt idx="137">
                  <c:v>17-Mar-13</c:v>
                </c:pt>
                <c:pt idx="138">
                  <c:v>24-Mar-13</c:v>
                </c:pt>
                <c:pt idx="139">
                  <c:v>31-Mar-13</c:v>
                </c:pt>
                <c:pt idx="140">
                  <c:v>07-Apr-13</c:v>
                </c:pt>
                <c:pt idx="141">
                  <c:v>14-Apr-13</c:v>
                </c:pt>
                <c:pt idx="142">
                  <c:v>21-Apr-13</c:v>
                </c:pt>
                <c:pt idx="143">
                  <c:v>28-Apr-13</c:v>
                </c:pt>
                <c:pt idx="144">
                  <c:v>05-May-13</c:v>
                </c:pt>
                <c:pt idx="145">
                  <c:v>12-May-13</c:v>
                </c:pt>
                <c:pt idx="146">
                  <c:v>19-May-13</c:v>
                </c:pt>
                <c:pt idx="147">
                  <c:v>26-May-13</c:v>
                </c:pt>
                <c:pt idx="148">
                  <c:v>02-Jun-13</c:v>
                </c:pt>
                <c:pt idx="149">
                  <c:v>09-Jun-13</c:v>
                </c:pt>
                <c:pt idx="150">
                  <c:v>16-Jun-13</c:v>
                </c:pt>
                <c:pt idx="151">
                  <c:v>23-Jun-13</c:v>
                </c:pt>
                <c:pt idx="152">
                  <c:v>30-Jun-13</c:v>
                </c:pt>
                <c:pt idx="153">
                  <c:v>07-Jul-13</c:v>
                </c:pt>
                <c:pt idx="154">
                  <c:v>14-Jul-13</c:v>
                </c:pt>
                <c:pt idx="155">
                  <c:v>21-Jul-13</c:v>
                </c:pt>
                <c:pt idx="156">
                  <c:v>28-Jul-13</c:v>
                </c:pt>
                <c:pt idx="157">
                  <c:v>04-Aug-13</c:v>
                </c:pt>
                <c:pt idx="158">
                  <c:v>11-Aug-13</c:v>
                </c:pt>
                <c:pt idx="159">
                  <c:v>18-Aug-13</c:v>
                </c:pt>
                <c:pt idx="160">
                  <c:v>25-Aug-13</c:v>
                </c:pt>
                <c:pt idx="161">
                  <c:v>01-Sep-13</c:v>
                </c:pt>
                <c:pt idx="162">
                  <c:v>08-Sep-13</c:v>
                </c:pt>
                <c:pt idx="163">
                  <c:v>15-Sep-13</c:v>
                </c:pt>
                <c:pt idx="164">
                  <c:v>22-Sep-13</c:v>
                </c:pt>
                <c:pt idx="165">
                  <c:v>29-Sep-13</c:v>
                </c:pt>
                <c:pt idx="166">
                  <c:v>06-Oct-13</c:v>
                </c:pt>
                <c:pt idx="167">
                  <c:v>13-Oct-13</c:v>
                </c:pt>
                <c:pt idx="168">
                  <c:v>20-Oct-13</c:v>
                </c:pt>
                <c:pt idx="169">
                  <c:v>27-Oct-13</c:v>
                </c:pt>
                <c:pt idx="170">
                  <c:v>03-Nov-13</c:v>
                </c:pt>
                <c:pt idx="171">
                  <c:v>10-Nov-13</c:v>
                </c:pt>
                <c:pt idx="172">
                  <c:v>17-Nov-13</c:v>
                </c:pt>
                <c:pt idx="173">
                  <c:v>24-Nov-13</c:v>
                </c:pt>
                <c:pt idx="174">
                  <c:v>01-Dec-13</c:v>
                </c:pt>
                <c:pt idx="175">
                  <c:v>08-Dec-13</c:v>
                </c:pt>
                <c:pt idx="176">
                  <c:v>15-Dec-13</c:v>
                </c:pt>
                <c:pt idx="177">
                  <c:v>22-Dec-13</c:v>
                </c:pt>
                <c:pt idx="178">
                  <c:v>29-Dec-13</c:v>
                </c:pt>
                <c:pt idx="179">
                  <c:v>05-Jan-14</c:v>
                </c:pt>
                <c:pt idx="180">
                  <c:v>12-Jan-14</c:v>
                </c:pt>
                <c:pt idx="181">
                  <c:v>19-Jan-14</c:v>
                </c:pt>
                <c:pt idx="182">
                  <c:v>26-Jan-14</c:v>
                </c:pt>
                <c:pt idx="183">
                  <c:v>02-Feb-14</c:v>
                </c:pt>
                <c:pt idx="184">
                  <c:v>09-Feb-14</c:v>
                </c:pt>
                <c:pt idx="185">
                  <c:v>16-Feb-14</c:v>
                </c:pt>
                <c:pt idx="186">
                  <c:v>23-Feb-14</c:v>
                </c:pt>
                <c:pt idx="187">
                  <c:v>02-Mar-14</c:v>
                </c:pt>
                <c:pt idx="188">
                  <c:v>09-Mar-14</c:v>
                </c:pt>
                <c:pt idx="189">
                  <c:v>16-Mar-14</c:v>
                </c:pt>
                <c:pt idx="190">
                  <c:v>23-Mar-14</c:v>
                </c:pt>
                <c:pt idx="191">
                  <c:v>30-Mar-14</c:v>
                </c:pt>
                <c:pt idx="192">
                  <c:v>06-Apr-14</c:v>
                </c:pt>
                <c:pt idx="193">
                  <c:v>13-Apr-14</c:v>
                </c:pt>
                <c:pt idx="194">
                  <c:v>20-Apr-14</c:v>
                </c:pt>
                <c:pt idx="195">
                  <c:v>27-Apr-14</c:v>
                </c:pt>
                <c:pt idx="196">
                  <c:v>04-May-14</c:v>
                </c:pt>
                <c:pt idx="197">
                  <c:v>11-May-14</c:v>
                </c:pt>
                <c:pt idx="198">
                  <c:v>18-May-14</c:v>
                </c:pt>
                <c:pt idx="199">
                  <c:v>25-May-14</c:v>
                </c:pt>
                <c:pt idx="200">
                  <c:v>01-Jun-14</c:v>
                </c:pt>
                <c:pt idx="201">
                  <c:v>08-Jun-14</c:v>
                </c:pt>
                <c:pt idx="202">
                  <c:v>15-Jun-14</c:v>
                </c:pt>
                <c:pt idx="203">
                  <c:v>22-Jun-14</c:v>
                </c:pt>
                <c:pt idx="204">
                  <c:v>29-Jun-14</c:v>
                </c:pt>
                <c:pt idx="205">
                  <c:v>06-Jul-14</c:v>
                </c:pt>
                <c:pt idx="206">
                  <c:v>13-Jul-14</c:v>
                </c:pt>
                <c:pt idx="207">
                  <c:v>20-Jul-14</c:v>
                </c:pt>
                <c:pt idx="208">
                  <c:v>27-Jul-14</c:v>
                </c:pt>
                <c:pt idx="209">
                  <c:v>03-Aug-14</c:v>
                </c:pt>
                <c:pt idx="210">
                  <c:v>10-Aug-14</c:v>
                </c:pt>
                <c:pt idx="211">
                  <c:v>17-Aug-14</c:v>
                </c:pt>
                <c:pt idx="212">
                  <c:v>24-Aug-14</c:v>
                </c:pt>
                <c:pt idx="213">
                  <c:v>31-Aug-14</c:v>
                </c:pt>
                <c:pt idx="214">
                  <c:v>07-Sep-14</c:v>
                </c:pt>
                <c:pt idx="215">
                  <c:v>14-Sep-14</c:v>
                </c:pt>
                <c:pt idx="216">
                  <c:v>21-Sep-14</c:v>
                </c:pt>
                <c:pt idx="217">
                  <c:v>28-Sep-14</c:v>
                </c:pt>
                <c:pt idx="218">
                  <c:v>05-Oct-14</c:v>
                </c:pt>
                <c:pt idx="219">
                  <c:v>12-Oct-14</c:v>
                </c:pt>
                <c:pt idx="220">
                  <c:v>19-Oct-14</c:v>
                </c:pt>
                <c:pt idx="221">
                  <c:v>26-Oct-14</c:v>
                </c:pt>
                <c:pt idx="222">
                  <c:v>02-Nov-14</c:v>
                </c:pt>
                <c:pt idx="223">
                  <c:v>09-Nov-14</c:v>
                </c:pt>
                <c:pt idx="224">
                  <c:v>16-Nov-14</c:v>
                </c:pt>
                <c:pt idx="225">
                  <c:v>23-Nov-14</c:v>
                </c:pt>
                <c:pt idx="226">
                  <c:v>30-Nov-14</c:v>
                </c:pt>
                <c:pt idx="227">
                  <c:v>07-Dec-14</c:v>
                </c:pt>
                <c:pt idx="228">
                  <c:v>14-Dec-14</c:v>
                </c:pt>
                <c:pt idx="229">
                  <c:v>21-Dec-14</c:v>
                </c:pt>
                <c:pt idx="230">
                  <c:v>28-Dec-14</c:v>
                </c:pt>
                <c:pt idx="231">
                  <c:v>04-Jan-15</c:v>
                </c:pt>
                <c:pt idx="232">
                  <c:v>11-Jan-15</c:v>
                </c:pt>
                <c:pt idx="233">
                  <c:v>18-Jan-15</c:v>
                </c:pt>
                <c:pt idx="234">
                  <c:v>25-Jan-15</c:v>
                </c:pt>
                <c:pt idx="235">
                  <c:v>01-Feb-15</c:v>
                </c:pt>
                <c:pt idx="236">
                  <c:v>08-Feb-15</c:v>
                </c:pt>
                <c:pt idx="237">
                  <c:v>15-Feb-15</c:v>
                </c:pt>
                <c:pt idx="238">
                  <c:v>22-Feb-15</c:v>
                </c:pt>
                <c:pt idx="239">
                  <c:v>01-Mar-15</c:v>
                </c:pt>
                <c:pt idx="240">
                  <c:v>08-Mar-15</c:v>
                </c:pt>
                <c:pt idx="241">
                  <c:v>15-Mar-15</c:v>
                </c:pt>
                <c:pt idx="242">
                  <c:v>22-Mar-15</c:v>
                </c:pt>
                <c:pt idx="243">
                  <c:v>29-Mar-15</c:v>
                </c:pt>
                <c:pt idx="244">
                  <c:v>05-Apr-15</c:v>
                </c:pt>
                <c:pt idx="245">
                  <c:v>12-Apr-15</c:v>
                </c:pt>
                <c:pt idx="246">
                  <c:v>19-Apr-15</c:v>
                </c:pt>
                <c:pt idx="247">
                  <c:v>26-Apr-15</c:v>
                </c:pt>
                <c:pt idx="248">
                  <c:v>03-May-15</c:v>
                </c:pt>
                <c:pt idx="249">
                  <c:v>10-May-15</c:v>
                </c:pt>
                <c:pt idx="250">
                  <c:v>17-May-15</c:v>
                </c:pt>
                <c:pt idx="251">
                  <c:v>24-May-15</c:v>
                </c:pt>
                <c:pt idx="252">
                  <c:v>31-May-15</c:v>
                </c:pt>
                <c:pt idx="253">
                  <c:v>07-Jun-15</c:v>
                </c:pt>
                <c:pt idx="254">
                  <c:v>14-Jun-15</c:v>
                </c:pt>
                <c:pt idx="255">
                  <c:v>21-Jun-15</c:v>
                </c:pt>
                <c:pt idx="256">
                  <c:v>28-Jun-15</c:v>
                </c:pt>
                <c:pt idx="257">
                  <c:v>05-Jul-15</c:v>
                </c:pt>
                <c:pt idx="258">
                  <c:v>12-Jul-15</c:v>
                </c:pt>
                <c:pt idx="259">
                  <c:v>19-Jul-15</c:v>
                </c:pt>
                <c:pt idx="260">
                  <c:v>26-Jul-15</c:v>
                </c:pt>
                <c:pt idx="261">
                  <c:v>02-Aug-15</c:v>
                </c:pt>
                <c:pt idx="262">
                  <c:v>09-Aug-15</c:v>
                </c:pt>
                <c:pt idx="263">
                  <c:v>16-Aug-15</c:v>
                </c:pt>
                <c:pt idx="264">
                  <c:v>23-Aug-15</c:v>
                </c:pt>
                <c:pt idx="265">
                  <c:v>30-Aug-15</c:v>
                </c:pt>
                <c:pt idx="266">
                  <c:v>06-Sep-15</c:v>
                </c:pt>
                <c:pt idx="267">
                  <c:v>13-Sep-15</c:v>
                </c:pt>
                <c:pt idx="268">
                  <c:v>20-Sep-15</c:v>
                </c:pt>
                <c:pt idx="269">
                  <c:v>27-Sep-15</c:v>
                </c:pt>
                <c:pt idx="270">
                  <c:v>04-Oct-15</c:v>
                </c:pt>
                <c:pt idx="271">
                  <c:v>11-Oct-15</c:v>
                </c:pt>
                <c:pt idx="272">
                  <c:v>18-Oct-15</c:v>
                </c:pt>
                <c:pt idx="273">
                  <c:v>25-Oct-15</c:v>
                </c:pt>
                <c:pt idx="274">
                  <c:v>01-Nov-15</c:v>
                </c:pt>
                <c:pt idx="275">
                  <c:v>08-Nov-15</c:v>
                </c:pt>
                <c:pt idx="276">
                  <c:v>15-Nov-15</c:v>
                </c:pt>
                <c:pt idx="277">
                  <c:v>22-Nov-15</c:v>
                </c:pt>
                <c:pt idx="278">
                  <c:v>29-Nov-15</c:v>
                </c:pt>
                <c:pt idx="279">
                  <c:v>06-Dec-15</c:v>
                </c:pt>
                <c:pt idx="280">
                  <c:v>13-Dec-15</c:v>
                </c:pt>
                <c:pt idx="281">
                  <c:v>20-Dec-15</c:v>
                </c:pt>
                <c:pt idx="282">
                  <c:v>27-Dec-15</c:v>
                </c:pt>
                <c:pt idx="283">
                  <c:v>03-Jan-16</c:v>
                </c:pt>
                <c:pt idx="284">
                  <c:v>10-Jan-16</c:v>
                </c:pt>
                <c:pt idx="285">
                  <c:v>17-Jan-16</c:v>
                </c:pt>
                <c:pt idx="286">
                  <c:v>24-Jan-16</c:v>
                </c:pt>
                <c:pt idx="287">
                  <c:v>31-Jan-16</c:v>
                </c:pt>
                <c:pt idx="288">
                  <c:v>07-Feb-16</c:v>
                </c:pt>
                <c:pt idx="289">
                  <c:v>14-Feb-16</c:v>
                </c:pt>
                <c:pt idx="290">
                  <c:v>21-Feb-16</c:v>
                </c:pt>
                <c:pt idx="291">
                  <c:v>28-Feb-16</c:v>
                </c:pt>
                <c:pt idx="292">
                  <c:v>06-Mar-16</c:v>
                </c:pt>
                <c:pt idx="293">
                  <c:v>13-Mar-16</c:v>
                </c:pt>
                <c:pt idx="294">
                  <c:v>20-Mar-16</c:v>
                </c:pt>
                <c:pt idx="295">
                  <c:v>27-Mar-16</c:v>
                </c:pt>
                <c:pt idx="296">
                  <c:v>03-Apr-16</c:v>
                </c:pt>
                <c:pt idx="297">
                  <c:v>10-Apr-16</c:v>
                </c:pt>
                <c:pt idx="298">
                  <c:v>17-Apr-16</c:v>
                </c:pt>
                <c:pt idx="299">
                  <c:v>24-Apr-16</c:v>
                </c:pt>
                <c:pt idx="300">
                  <c:v>01-May-16</c:v>
                </c:pt>
                <c:pt idx="301">
                  <c:v>08-May-16</c:v>
                </c:pt>
                <c:pt idx="302">
                  <c:v>15-May-16</c:v>
                </c:pt>
                <c:pt idx="303">
                  <c:v>22-May-16</c:v>
                </c:pt>
                <c:pt idx="304">
                  <c:v>29-May-16</c:v>
                </c:pt>
                <c:pt idx="305">
                  <c:v>05-Jun-16</c:v>
                </c:pt>
                <c:pt idx="306">
                  <c:v>12-Jun-16</c:v>
                </c:pt>
                <c:pt idx="307">
                  <c:v>19-Jun-16</c:v>
                </c:pt>
                <c:pt idx="308">
                  <c:v>26-Jun-16</c:v>
                </c:pt>
                <c:pt idx="309">
                  <c:v>03-Jul-16</c:v>
                </c:pt>
                <c:pt idx="310">
                  <c:v>10-Jul-16</c:v>
                </c:pt>
                <c:pt idx="311">
                  <c:v>17-Jul-16</c:v>
                </c:pt>
                <c:pt idx="312">
                  <c:v>24-Jul-16</c:v>
                </c:pt>
                <c:pt idx="313">
                  <c:v>31-Jul-16</c:v>
                </c:pt>
                <c:pt idx="314">
                  <c:v>07-Aug-16</c:v>
                </c:pt>
                <c:pt idx="315">
                  <c:v>14-Aug-16</c:v>
                </c:pt>
                <c:pt idx="316">
                  <c:v>21-Aug-16</c:v>
                </c:pt>
                <c:pt idx="317">
                  <c:v>28-Aug-16</c:v>
                </c:pt>
                <c:pt idx="318">
                  <c:v>04-Sep-16</c:v>
                </c:pt>
                <c:pt idx="319">
                  <c:v>11-Sep-16</c:v>
                </c:pt>
                <c:pt idx="320">
                  <c:v>18-Sep-16</c:v>
                </c:pt>
                <c:pt idx="321">
                  <c:v>25-Sep-16</c:v>
                </c:pt>
                <c:pt idx="322">
                  <c:v>02-Oct-16</c:v>
                </c:pt>
                <c:pt idx="323">
                  <c:v>09-Oct-16</c:v>
                </c:pt>
                <c:pt idx="324">
                  <c:v>16-Oct-16</c:v>
                </c:pt>
                <c:pt idx="325">
                  <c:v>23-Oct-16</c:v>
                </c:pt>
                <c:pt idx="326">
                  <c:v>30-Oct-16</c:v>
                </c:pt>
                <c:pt idx="327">
                  <c:v>06-Nov-16</c:v>
                </c:pt>
                <c:pt idx="328">
                  <c:v>13-Nov-16</c:v>
                </c:pt>
                <c:pt idx="329">
                  <c:v>20-Nov-16</c:v>
                </c:pt>
                <c:pt idx="330">
                  <c:v>27-Nov-16</c:v>
                </c:pt>
                <c:pt idx="331">
                  <c:v>04-Dec-16</c:v>
                </c:pt>
                <c:pt idx="332">
                  <c:v>11-Dec-16</c:v>
                </c:pt>
                <c:pt idx="333">
                  <c:v>18-Dec-16</c:v>
                </c:pt>
                <c:pt idx="334">
                  <c:v>25-Dec-16</c:v>
                </c:pt>
                <c:pt idx="335">
                  <c:v>01-Jan-17</c:v>
                </c:pt>
                <c:pt idx="336">
                  <c:v>08-Jan-17</c:v>
                </c:pt>
                <c:pt idx="337">
                  <c:v>15-Jan-17</c:v>
                </c:pt>
                <c:pt idx="338">
                  <c:v>22-Jan-17</c:v>
                </c:pt>
                <c:pt idx="339">
                  <c:v>29-Jan-17</c:v>
                </c:pt>
                <c:pt idx="340">
                  <c:v>05-Feb-17</c:v>
                </c:pt>
                <c:pt idx="341">
                  <c:v>12-Feb-17</c:v>
                </c:pt>
                <c:pt idx="342">
                  <c:v>19-Feb-17</c:v>
                </c:pt>
                <c:pt idx="343">
                  <c:v>26-Feb-17</c:v>
                </c:pt>
                <c:pt idx="344">
                  <c:v>05-Mar-17</c:v>
                </c:pt>
                <c:pt idx="345">
                  <c:v>12-Mar-17</c:v>
                </c:pt>
                <c:pt idx="346">
                  <c:v>19-Mar-17</c:v>
                </c:pt>
                <c:pt idx="347">
                  <c:v>26-Mar-17</c:v>
                </c:pt>
                <c:pt idx="348">
                  <c:v>02-Apr-17</c:v>
                </c:pt>
                <c:pt idx="349">
                  <c:v>09-Apr-17</c:v>
                </c:pt>
                <c:pt idx="350">
                  <c:v>16-Apr-17</c:v>
                </c:pt>
                <c:pt idx="351">
                  <c:v>23-Apr-17</c:v>
                </c:pt>
                <c:pt idx="352">
                  <c:v>30-Apr-17</c:v>
                </c:pt>
                <c:pt idx="353">
                  <c:v>07-May-17</c:v>
                </c:pt>
                <c:pt idx="354">
                  <c:v>14-May-17</c:v>
                </c:pt>
                <c:pt idx="355">
                  <c:v>21-May-17</c:v>
                </c:pt>
                <c:pt idx="356">
                  <c:v>28-May-17</c:v>
                </c:pt>
                <c:pt idx="357">
                  <c:v>04-Jun-17</c:v>
                </c:pt>
                <c:pt idx="358">
                  <c:v>11-Jun-17</c:v>
                </c:pt>
                <c:pt idx="359">
                  <c:v>18-Jun-17</c:v>
                </c:pt>
                <c:pt idx="360">
                  <c:v>25-Jun-17</c:v>
                </c:pt>
                <c:pt idx="361">
                  <c:v>02-Jul-17</c:v>
                </c:pt>
                <c:pt idx="362">
                  <c:v>09-Jul-17</c:v>
                </c:pt>
                <c:pt idx="363">
                  <c:v>16-Jul-17</c:v>
                </c:pt>
                <c:pt idx="364">
                  <c:v>23-Jul-17</c:v>
                </c:pt>
                <c:pt idx="365">
                  <c:v>30-Jul-17</c:v>
                </c:pt>
                <c:pt idx="366">
                  <c:v>06-Aug-17</c:v>
                </c:pt>
                <c:pt idx="367">
                  <c:v>13-Aug-17</c:v>
                </c:pt>
                <c:pt idx="368">
                  <c:v>20-Aug-17</c:v>
                </c:pt>
                <c:pt idx="369">
                  <c:v>27-Aug-17</c:v>
                </c:pt>
                <c:pt idx="370">
                  <c:v>03-Sep-17</c:v>
                </c:pt>
                <c:pt idx="371">
                  <c:v>10-Sep-17</c:v>
                </c:pt>
                <c:pt idx="372">
                  <c:v>17-Sep-17</c:v>
                </c:pt>
                <c:pt idx="373">
                  <c:v>24-Sep-17</c:v>
                </c:pt>
                <c:pt idx="374">
                  <c:v>01-Oct-17</c:v>
                </c:pt>
                <c:pt idx="375">
                  <c:v>08-Oct-17</c:v>
                </c:pt>
                <c:pt idx="376">
                  <c:v>15-Oct-17</c:v>
                </c:pt>
                <c:pt idx="377">
                  <c:v>22-Oct-17</c:v>
                </c:pt>
                <c:pt idx="378">
                  <c:v>29-Oct-17</c:v>
                </c:pt>
                <c:pt idx="379">
                  <c:v>05-Nov-17</c:v>
                </c:pt>
                <c:pt idx="380">
                  <c:v>12-Nov-17</c:v>
                </c:pt>
                <c:pt idx="381">
                  <c:v>19-Nov-17</c:v>
                </c:pt>
                <c:pt idx="382">
                  <c:v>26-Nov-17</c:v>
                </c:pt>
                <c:pt idx="383">
                  <c:v>03-Dec-17</c:v>
                </c:pt>
                <c:pt idx="384">
                  <c:v>10-Dec-17</c:v>
                </c:pt>
                <c:pt idx="385">
                  <c:v>17-Dec-17</c:v>
                </c:pt>
                <c:pt idx="386">
                  <c:v>24-Dec-17</c:v>
                </c:pt>
                <c:pt idx="387">
                  <c:v>31-Dec-17</c:v>
                </c:pt>
                <c:pt idx="388">
                  <c:v>07-Jan-18</c:v>
                </c:pt>
                <c:pt idx="389">
                  <c:v>14-Jan-18</c:v>
                </c:pt>
                <c:pt idx="390">
                  <c:v>21-Jan-18</c:v>
                </c:pt>
                <c:pt idx="391">
                  <c:v>28-Jan-18</c:v>
                </c:pt>
                <c:pt idx="392">
                  <c:v>04-Feb-18</c:v>
                </c:pt>
                <c:pt idx="393">
                  <c:v>11-Feb-18</c:v>
                </c:pt>
                <c:pt idx="394">
                  <c:v>18-Feb-18</c:v>
                </c:pt>
                <c:pt idx="395">
                  <c:v>25-Feb-18</c:v>
                </c:pt>
                <c:pt idx="396">
                  <c:v>04-Mar-18</c:v>
                </c:pt>
                <c:pt idx="397">
                  <c:v>11-Mar-18</c:v>
                </c:pt>
                <c:pt idx="398">
                  <c:v>18-Mar-18</c:v>
                </c:pt>
                <c:pt idx="399">
                  <c:v>25-Mar-18</c:v>
                </c:pt>
                <c:pt idx="400">
                  <c:v>01-Apr-18</c:v>
                </c:pt>
                <c:pt idx="401">
                  <c:v>08-Apr-18</c:v>
                </c:pt>
                <c:pt idx="402">
                  <c:v>15-Apr-18</c:v>
                </c:pt>
                <c:pt idx="403">
                  <c:v>22-Apr-18</c:v>
                </c:pt>
                <c:pt idx="404">
                  <c:v>29-Apr-18</c:v>
                </c:pt>
                <c:pt idx="405">
                  <c:v>06-May-18</c:v>
                </c:pt>
                <c:pt idx="406">
                  <c:v>13-May-18</c:v>
                </c:pt>
                <c:pt idx="407">
                  <c:v>20-May-18</c:v>
                </c:pt>
                <c:pt idx="408">
                  <c:v>27-May-18</c:v>
                </c:pt>
                <c:pt idx="409">
                  <c:v>03-Jun-18</c:v>
                </c:pt>
                <c:pt idx="410">
                  <c:v>10-Jun-18</c:v>
                </c:pt>
                <c:pt idx="411">
                  <c:v>17-Jun-18</c:v>
                </c:pt>
                <c:pt idx="412">
                  <c:v>24-Jun-18</c:v>
                </c:pt>
                <c:pt idx="413">
                  <c:v>01-Jul-18</c:v>
                </c:pt>
                <c:pt idx="414">
                  <c:v>08-Jul-18</c:v>
                </c:pt>
                <c:pt idx="415">
                  <c:v>15-Jul-18</c:v>
                </c:pt>
                <c:pt idx="416">
                  <c:v>22-Jul-18</c:v>
                </c:pt>
                <c:pt idx="417">
                  <c:v>29-Jul-18</c:v>
                </c:pt>
                <c:pt idx="418">
                  <c:v>05-Aug-18</c:v>
                </c:pt>
                <c:pt idx="419">
                  <c:v>12-Aug-18</c:v>
                </c:pt>
                <c:pt idx="420">
                  <c:v>19-Aug-18</c:v>
                </c:pt>
                <c:pt idx="421">
                  <c:v>26-Aug-18</c:v>
                </c:pt>
                <c:pt idx="422">
                  <c:v>02-Sep-18</c:v>
                </c:pt>
                <c:pt idx="423">
                  <c:v>09-Sep-18</c:v>
                </c:pt>
                <c:pt idx="424">
                  <c:v>16-Sep-18</c:v>
                </c:pt>
                <c:pt idx="425">
                  <c:v>23-Sep-18</c:v>
                </c:pt>
                <c:pt idx="426">
                  <c:v>30-Sep-18</c:v>
                </c:pt>
                <c:pt idx="427">
                  <c:v>07-Oct-18</c:v>
                </c:pt>
                <c:pt idx="428">
                  <c:v>14-Oct-18</c:v>
                </c:pt>
                <c:pt idx="429">
                  <c:v>21-Oct-18</c:v>
                </c:pt>
                <c:pt idx="430">
                  <c:v>28-Oct-18</c:v>
                </c:pt>
                <c:pt idx="431">
                  <c:v>04-Nov-18</c:v>
                </c:pt>
                <c:pt idx="432">
                  <c:v>11-Nov-18</c:v>
                </c:pt>
                <c:pt idx="433">
                  <c:v>18-Nov-18</c:v>
                </c:pt>
                <c:pt idx="434">
                  <c:v>25-Nov-18</c:v>
                </c:pt>
                <c:pt idx="435">
                  <c:v>02-Dec-18</c:v>
                </c:pt>
                <c:pt idx="436">
                  <c:v>09-Dec-18</c:v>
                </c:pt>
                <c:pt idx="437">
                  <c:v>16-Dec-18</c:v>
                </c:pt>
                <c:pt idx="438">
                  <c:v>23-Dec-18</c:v>
                </c:pt>
                <c:pt idx="439">
                  <c:v>30-Dec-18</c:v>
                </c:pt>
                <c:pt idx="440">
                  <c:v>06-Jan-19</c:v>
                </c:pt>
                <c:pt idx="441">
                  <c:v>13-Jan-19</c:v>
                </c:pt>
                <c:pt idx="442">
                  <c:v>20-Jan-19</c:v>
                </c:pt>
                <c:pt idx="443">
                  <c:v>27-Jan-19</c:v>
                </c:pt>
                <c:pt idx="444">
                  <c:v>03-Feb-19</c:v>
                </c:pt>
                <c:pt idx="445">
                  <c:v>10-Feb-19</c:v>
                </c:pt>
                <c:pt idx="446">
                  <c:v>17-Feb-19</c:v>
                </c:pt>
                <c:pt idx="447">
                  <c:v>24-Feb-19</c:v>
                </c:pt>
                <c:pt idx="448">
                  <c:v>03-Mar-19</c:v>
                </c:pt>
                <c:pt idx="449">
                  <c:v>10-Mar-19</c:v>
                </c:pt>
                <c:pt idx="450">
                  <c:v>17-Mar-19</c:v>
                </c:pt>
                <c:pt idx="451">
                  <c:v>24-Mar-19</c:v>
                </c:pt>
                <c:pt idx="452">
                  <c:v>31-Mar-19</c:v>
                </c:pt>
                <c:pt idx="453">
                  <c:v>07-Apr-19</c:v>
                </c:pt>
                <c:pt idx="454">
                  <c:v>14-Apr-19</c:v>
                </c:pt>
                <c:pt idx="455">
                  <c:v>21-Apr-19</c:v>
                </c:pt>
                <c:pt idx="456">
                  <c:v>28-Apr-19</c:v>
                </c:pt>
                <c:pt idx="457">
                  <c:v>05-May-19</c:v>
                </c:pt>
                <c:pt idx="458">
                  <c:v>12-May-19</c:v>
                </c:pt>
                <c:pt idx="459">
                  <c:v>19-May-19</c:v>
                </c:pt>
                <c:pt idx="460">
                  <c:v>26-May-19</c:v>
                </c:pt>
                <c:pt idx="461">
                  <c:v>02-Jun-19</c:v>
                </c:pt>
                <c:pt idx="462">
                  <c:v>09-Jun-19</c:v>
                </c:pt>
                <c:pt idx="463">
                  <c:v>16-Jun-19</c:v>
                </c:pt>
                <c:pt idx="464">
                  <c:v>23-Jun-19</c:v>
                </c:pt>
                <c:pt idx="465">
                  <c:v>30-Jun-19</c:v>
                </c:pt>
                <c:pt idx="466">
                  <c:v>07-Jul-19</c:v>
                </c:pt>
                <c:pt idx="467">
                  <c:v>14-Jul-19</c:v>
                </c:pt>
                <c:pt idx="468">
                  <c:v>21-Jul-19</c:v>
                </c:pt>
                <c:pt idx="469">
                  <c:v>28-Jul-19</c:v>
                </c:pt>
                <c:pt idx="470">
                  <c:v>04-Aug-19</c:v>
                </c:pt>
                <c:pt idx="471">
                  <c:v>11-Aug-19</c:v>
                </c:pt>
                <c:pt idx="472">
                  <c:v>18-Aug-19</c:v>
                </c:pt>
                <c:pt idx="473">
                  <c:v>25-Aug-19</c:v>
                </c:pt>
                <c:pt idx="474">
                  <c:v>01-Sep-19</c:v>
                </c:pt>
                <c:pt idx="475">
                  <c:v>08-Sep-19</c:v>
                </c:pt>
                <c:pt idx="476">
                  <c:v>15-Sep-19</c:v>
                </c:pt>
                <c:pt idx="477">
                  <c:v>22-Sep-19</c:v>
                </c:pt>
                <c:pt idx="478">
                  <c:v>29-Sep-19</c:v>
                </c:pt>
                <c:pt idx="479">
                  <c:v>06-Oct-19</c:v>
                </c:pt>
                <c:pt idx="480">
                  <c:v>13-Oct-19</c:v>
                </c:pt>
                <c:pt idx="481">
                  <c:v>20-Oct-19</c:v>
                </c:pt>
                <c:pt idx="482">
                  <c:v>27-Oct-19</c:v>
                </c:pt>
                <c:pt idx="483">
                  <c:v>03-Nov-19</c:v>
                </c:pt>
                <c:pt idx="484">
                  <c:v>10-Nov-19</c:v>
                </c:pt>
                <c:pt idx="485">
                  <c:v>17-Nov-19</c:v>
                </c:pt>
                <c:pt idx="486">
                  <c:v>24-Nov-19</c:v>
                </c:pt>
                <c:pt idx="487">
                  <c:v>01-Dec-19</c:v>
                </c:pt>
                <c:pt idx="488">
                  <c:v>08-Dec-19</c:v>
                </c:pt>
                <c:pt idx="489">
                  <c:v>15-Dec-19</c:v>
                </c:pt>
                <c:pt idx="490">
                  <c:v>22-Dec-19</c:v>
                </c:pt>
                <c:pt idx="491">
                  <c:v>29-Dec-19</c:v>
                </c:pt>
                <c:pt idx="492">
                  <c:v>05-Jan-20</c:v>
                </c:pt>
                <c:pt idx="493">
                  <c:v>12-Jan-20</c:v>
                </c:pt>
                <c:pt idx="494">
                  <c:v>19-Jan-20</c:v>
                </c:pt>
                <c:pt idx="495">
                  <c:v>26-Jan-20</c:v>
                </c:pt>
                <c:pt idx="496">
                  <c:v>02-Feb-20</c:v>
                </c:pt>
                <c:pt idx="497">
                  <c:v>09-Feb-20</c:v>
                </c:pt>
                <c:pt idx="498">
                  <c:v>16-Feb-20</c:v>
                </c:pt>
                <c:pt idx="499">
                  <c:v>23-Feb-20</c:v>
                </c:pt>
                <c:pt idx="500">
                  <c:v>01-Mar-20</c:v>
                </c:pt>
                <c:pt idx="501">
                  <c:v>08-Mar-20</c:v>
                </c:pt>
                <c:pt idx="502">
                  <c:v>15-Mar-20</c:v>
                </c:pt>
                <c:pt idx="503">
                  <c:v>22-Mar-20</c:v>
                </c:pt>
                <c:pt idx="504">
                  <c:v>29-Mar-20</c:v>
                </c:pt>
                <c:pt idx="505">
                  <c:v>05-Apr-20</c:v>
                </c:pt>
                <c:pt idx="506">
                  <c:v>12-Apr-20</c:v>
                </c:pt>
                <c:pt idx="507">
                  <c:v>19-Apr-20</c:v>
                </c:pt>
                <c:pt idx="508">
                  <c:v>26-Apr-20</c:v>
                </c:pt>
                <c:pt idx="509">
                  <c:v>03-May-20</c:v>
                </c:pt>
                <c:pt idx="510">
                  <c:v>10-May-20</c:v>
                </c:pt>
                <c:pt idx="511">
                  <c:v>17-May-20</c:v>
                </c:pt>
                <c:pt idx="512">
                  <c:v>24-May-20</c:v>
                </c:pt>
                <c:pt idx="513">
                  <c:v>31-May-20</c:v>
                </c:pt>
                <c:pt idx="514">
                  <c:v>07-Jun-20</c:v>
                </c:pt>
                <c:pt idx="515">
                  <c:v>14-Jun-20</c:v>
                </c:pt>
                <c:pt idx="516">
                  <c:v>21-Jun-20</c:v>
                </c:pt>
                <c:pt idx="517">
                  <c:v>28-Jun-20</c:v>
                </c:pt>
                <c:pt idx="518">
                  <c:v>05-Jul-20</c:v>
                </c:pt>
                <c:pt idx="519">
                  <c:v>12-Jul-20</c:v>
                </c:pt>
                <c:pt idx="520">
                  <c:v>19-Jul-20</c:v>
                </c:pt>
                <c:pt idx="521">
                  <c:v>26-Jul-20</c:v>
                </c:pt>
                <c:pt idx="522">
                  <c:v>02-Aug-20</c:v>
                </c:pt>
                <c:pt idx="523">
                  <c:v>09-Aug-20</c:v>
                </c:pt>
                <c:pt idx="524">
                  <c:v>16-Aug-20</c:v>
                </c:pt>
                <c:pt idx="525">
                  <c:v>23-Aug-20</c:v>
                </c:pt>
                <c:pt idx="526">
                  <c:v>30-Aug-20</c:v>
                </c:pt>
                <c:pt idx="527">
                  <c:v>06-Sep-20</c:v>
                </c:pt>
                <c:pt idx="528">
                  <c:v>13-Sep-20</c:v>
                </c:pt>
                <c:pt idx="529">
                  <c:v>20-Sep-20</c:v>
                </c:pt>
                <c:pt idx="530">
                  <c:v>27-Sep-20</c:v>
                </c:pt>
                <c:pt idx="531">
                  <c:v>04-Oct-20</c:v>
                </c:pt>
                <c:pt idx="532">
                  <c:v>11-Oct-20</c:v>
                </c:pt>
                <c:pt idx="533">
                  <c:v>18-Oct-20</c:v>
                </c:pt>
                <c:pt idx="534">
                  <c:v>25-Oct-20</c:v>
                </c:pt>
                <c:pt idx="535">
                  <c:v>01-Nov-20</c:v>
                </c:pt>
                <c:pt idx="536">
                  <c:v>08-Nov-20</c:v>
                </c:pt>
                <c:pt idx="537">
                  <c:v>15-Nov-20</c:v>
                </c:pt>
                <c:pt idx="538">
                  <c:v>22-Nov-20</c:v>
                </c:pt>
                <c:pt idx="539">
                  <c:v>29-Nov-20</c:v>
                </c:pt>
                <c:pt idx="540">
                  <c:v>06-Dec-20</c:v>
                </c:pt>
                <c:pt idx="541">
                  <c:v>13-Dec-20</c:v>
                </c:pt>
                <c:pt idx="542">
                  <c:v>20-Dec-20</c:v>
                </c:pt>
                <c:pt idx="543">
                  <c:v>27-Dec-20</c:v>
                </c:pt>
                <c:pt idx="544">
                  <c:v>03-Jan-21</c:v>
                </c:pt>
                <c:pt idx="545">
                  <c:v>10-Jan-21</c:v>
                </c:pt>
                <c:pt idx="546">
                  <c:v>17-Jan-21</c:v>
                </c:pt>
                <c:pt idx="547">
                  <c:v>24-Jan-21</c:v>
                </c:pt>
                <c:pt idx="548">
                  <c:v>31-Jan-21</c:v>
                </c:pt>
                <c:pt idx="549">
                  <c:v>07-Feb-21</c:v>
                </c:pt>
                <c:pt idx="550">
                  <c:v>14-Feb-21</c:v>
                </c:pt>
                <c:pt idx="551">
                  <c:v>21-Feb-21</c:v>
                </c:pt>
                <c:pt idx="552">
                  <c:v>28-Feb-21</c:v>
                </c:pt>
                <c:pt idx="553">
                  <c:v>07-Mar-21</c:v>
                </c:pt>
                <c:pt idx="554">
                  <c:v>14-Mar-21</c:v>
                </c:pt>
                <c:pt idx="555">
                  <c:v>21-Mar-21</c:v>
                </c:pt>
                <c:pt idx="556">
                  <c:v>28-Mar-21</c:v>
                </c:pt>
                <c:pt idx="557">
                  <c:v>04-Apr-21</c:v>
                </c:pt>
                <c:pt idx="558">
                  <c:v>11-Apr-21</c:v>
                </c:pt>
                <c:pt idx="559">
                  <c:v>18-Apr-21</c:v>
                </c:pt>
                <c:pt idx="560">
                  <c:v>25-Apr-21</c:v>
                </c:pt>
                <c:pt idx="561">
                  <c:v>02-May-21</c:v>
                </c:pt>
                <c:pt idx="562">
                  <c:v>09-May-21</c:v>
                </c:pt>
                <c:pt idx="563">
                  <c:v>16-May-21</c:v>
                </c:pt>
                <c:pt idx="564">
                  <c:v>23-May-21</c:v>
                </c:pt>
                <c:pt idx="565">
                  <c:v>30-May-21</c:v>
                </c:pt>
                <c:pt idx="566">
                  <c:v>06-Jun-21</c:v>
                </c:pt>
                <c:pt idx="567">
                  <c:v>13-Jun-21</c:v>
                </c:pt>
                <c:pt idx="568">
                  <c:v>20-Jun-21</c:v>
                </c:pt>
                <c:pt idx="569">
                  <c:v>27-Jun-21</c:v>
                </c:pt>
                <c:pt idx="570">
                  <c:v>04-Jul-21</c:v>
                </c:pt>
                <c:pt idx="571">
                  <c:v>11-Jul-21</c:v>
                </c:pt>
                <c:pt idx="572">
                  <c:v>18-Jul-21</c:v>
                </c:pt>
                <c:pt idx="573">
                  <c:v>25-Jul-21</c:v>
                </c:pt>
                <c:pt idx="574">
                  <c:v>01-Aug-21</c:v>
                </c:pt>
                <c:pt idx="575">
                  <c:v>08-Aug-21</c:v>
                </c:pt>
                <c:pt idx="576">
                  <c:v>15-Aug-21</c:v>
                </c:pt>
                <c:pt idx="577">
                  <c:v>22-Aug-21</c:v>
                </c:pt>
                <c:pt idx="578">
                  <c:v>29-Aug-21</c:v>
                </c:pt>
                <c:pt idx="579">
                  <c:v>05-Sep-21</c:v>
                </c:pt>
                <c:pt idx="580">
                  <c:v>12-Sep-21</c:v>
                </c:pt>
                <c:pt idx="581">
                  <c:v>19-Sep-21</c:v>
                </c:pt>
                <c:pt idx="582">
                  <c:v>26-Sep-21</c:v>
                </c:pt>
                <c:pt idx="583">
                  <c:v>03-Oct-21</c:v>
                </c:pt>
                <c:pt idx="584">
                  <c:v>10-Oct-21</c:v>
                </c:pt>
                <c:pt idx="585">
                  <c:v>17-Oct-21</c:v>
                </c:pt>
                <c:pt idx="586">
                  <c:v>24-Oct-21</c:v>
                </c:pt>
                <c:pt idx="587">
                  <c:v>31-Oct-21</c:v>
                </c:pt>
                <c:pt idx="588">
                  <c:v>07-Nov-21</c:v>
                </c:pt>
                <c:pt idx="589">
                  <c:v>14-Nov-21</c:v>
                </c:pt>
                <c:pt idx="590">
                  <c:v>21-Nov-21</c:v>
                </c:pt>
                <c:pt idx="591">
                  <c:v>28-Nov-21</c:v>
                </c:pt>
                <c:pt idx="592">
                  <c:v>05-Dec-21</c:v>
                </c:pt>
                <c:pt idx="593">
                  <c:v>12-Dec-21</c:v>
                </c:pt>
                <c:pt idx="594">
                  <c:v>19-Dec-21</c:v>
                </c:pt>
                <c:pt idx="595">
                  <c:v>26-Dec-21</c:v>
                </c:pt>
                <c:pt idx="596">
                  <c:v>02-Jan-22</c:v>
                </c:pt>
                <c:pt idx="597">
                  <c:v>09-Jan-22</c:v>
                </c:pt>
                <c:pt idx="598">
                  <c:v>16-Jan-22</c:v>
                </c:pt>
                <c:pt idx="599">
                  <c:v>23-Jan-22</c:v>
                </c:pt>
                <c:pt idx="600">
                  <c:v>30-Jan-22</c:v>
                </c:pt>
                <c:pt idx="601">
                  <c:v>06-Feb-22</c:v>
                </c:pt>
                <c:pt idx="602">
                  <c:v>13-Feb-22</c:v>
                </c:pt>
                <c:pt idx="603">
                  <c:v>20-Feb-22</c:v>
                </c:pt>
                <c:pt idx="604">
                  <c:v>27-Feb-22</c:v>
                </c:pt>
                <c:pt idx="605">
                  <c:v>06-Mar-22</c:v>
                </c:pt>
                <c:pt idx="606">
                  <c:v>13-Mar-22</c:v>
                </c:pt>
                <c:pt idx="607">
                  <c:v>20-Mar-22</c:v>
                </c:pt>
                <c:pt idx="608">
                  <c:v>27-Mar-22</c:v>
                </c:pt>
                <c:pt idx="609">
                  <c:v>03-Apr-22</c:v>
                </c:pt>
                <c:pt idx="610">
                  <c:v>10-Apr-22</c:v>
                </c:pt>
                <c:pt idx="611">
                  <c:v>17-Apr-22</c:v>
                </c:pt>
                <c:pt idx="612">
                  <c:v>24-Apr-22</c:v>
                </c:pt>
                <c:pt idx="613">
                  <c:v>01-May-22</c:v>
                </c:pt>
                <c:pt idx="614">
                  <c:v>08-May-22</c:v>
                </c:pt>
                <c:pt idx="615">
                  <c:v>15-May-22</c:v>
                </c:pt>
                <c:pt idx="616">
                  <c:v>22-May-22</c:v>
                </c:pt>
                <c:pt idx="617">
                  <c:v>29-May-22</c:v>
                </c:pt>
                <c:pt idx="618">
                  <c:v>05-Jun-22</c:v>
                </c:pt>
                <c:pt idx="619">
                  <c:v>12-Jun-22</c:v>
                </c:pt>
                <c:pt idx="620">
                  <c:v>19-Jun-22</c:v>
                </c:pt>
                <c:pt idx="621">
                  <c:v>26-Jun-22</c:v>
                </c:pt>
                <c:pt idx="622">
                  <c:v>03-Jul-22</c:v>
                </c:pt>
                <c:pt idx="623">
                  <c:v>10-Jul-22</c:v>
                </c:pt>
                <c:pt idx="624">
                  <c:v>17-Jul-22</c:v>
                </c:pt>
                <c:pt idx="625">
                  <c:v>24-Jul-22</c:v>
                </c:pt>
                <c:pt idx="626">
                  <c:v>31-Jul-22</c:v>
                </c:pt>
                <c:pt idx="627">
                  <c:v>07-Aug-22</c:v>
                </c:pt>
                <c:pt idx="628">
                  <c:v>14-Aug-22</c:v>
                </c:pt>
                <c:pt idx="629">
                  <c:v>21-Aug-22</c:v>
                </c:pt>
                <c:pt idx="630">
                  <c:v>28-Aug-22</c:v>
                </c:pt>
                <c:pt idx="631">
                  <c:v>04-Sep-22</c:v>
                </c:pt>
                <c:pt idx="632">
                  <c:v>11-Sep-22</c:v>
                </c:pt>
                <c:pt idx="633">
                  <c:v>18-Sep-22</c:v>
                </c:pt>
                <c:pt idx="634">
                  <c:v>25-Sep-22</c:v>
                </c:pt>
                <c:pt idx="635">
                  <c:v>02-Oct-22</c:v>
                </c:pt>
                <c:pt idx="636">
                  <c:v>09-Oct-22</c:v>
                </c:pt>
                <c:pt idx="637">
                  <c:v>16-Oct-22</c:v>
                </c:pt>
                <c:pt idx="638">
                  <c:v>23-Oct-22</c:v>
                </c:pt>
                <c:pt idx="639">
                  <c:v>30-Oct-22</c:v>
                </c:pt>
                <c:pt idx="640">
                  <c:v>06-Nov-22</c:v>
                </c:pt>
                <c:pt idx="641">
                  <c:v>13-Nov-22</c:v>
                </c:pt>
                <c:pt idx="642">
                  <c:v>20-Nov-22</c:v>
                </c:pt>
                <c:pt idx="643">
                  <c:v>27-Nov-22</c:v>
                </c:pt>
                <c:pt idx="644">
                  <c:v>04-Dec-22</c:v>
                </c:pt>
                <c:pt idx="645">
                  <c:v>11-Dec-22</c:v>
                </c:pt>
                <c:pt idx="646">
                  <c:v>18-Dec-22</c:v>
                </c:pt>
                <c:pt idx="647">
                  <c:v>25-Dec-22</c:v>
                </c:pt>
                <c:pt idx="648">
                  <c:v>01-Jan-23</c:v>
                </c:pt>
                <c:pt idx="649">
                  <c:v>08-Jan-23</c:v>
                </c:pt>
                <c:pt idx="650">
                  <c:v>15-Jan-23</c:v>
                </c:pt>
                <c:pt idx="651">
                  <c:v>22-Jan-23</c:v>
                </c:pt>
                <c:pt idx="652">
                  <c:v>29-Jan-23</c:v>
                </c:pt>
                <c:pt idx="653">
                  <c:v>05-Feb-23</c:v>
                </c:pt>
                <c:pt idx="654">
                  <c:v>12-Feb-23</c:v>
                </c:pt>
                <c:pt idx="655">
                  <c:v>19-Feb-23</c:v>
                </c:pt>
                <c:pt idx="656">
                  <c:v>26-Feb-23</c:v>
                </c:pt>
                <c:pt idx="657">
                  <c:v>05-Mar-23</c:v>
                </c:pt>
                <c:pt idx="658">
                  <c:v>12-Mar-23</c:v>
                </c:pt>
                <c:pt idx="659">
                  <c:v>19-Mar-23</c:v>
                </c:pt>
                <c:pt idx="660">
                  <c:v>26-Mar-23</c:v>
                </c:pt>
                <c:pt idx="661">
                  <c:v>02-Apr-23</c:v>
                </c:pt>
                <c:pt idx="662">
                  <c:v>09-Apr-23</c:v>
                </c:pt>
                <c:pt idx="663">
                  <c:v>16-Apr-23</c:v>
                </c:pt>
                <c:pt idx="664">
                  <c:v>23-Apr-23</c:v>
                </c:pt>
                <c:pt idx="665">
                  <c:v>30-Apr-23</c:v>
                </c:pt>
                <c:pt idx="666">
                  <c:v>07-May-23</c:v>
                </c:pt>
                <c:pt idx="667">
                  <c:v>14-May-23</c:v>
                </c:pt>
                <c:pt idx="668">
                  <c:v>21-May-23</c:v>
                </c:pt>
                <c:pt idx="669">
                  <c:v>28-May-23</c:v>
                </c:pt>
                <c:pt idx="670">
                  <c:v>04-Jun-23</c:v>
                </c:pt>
                <c:pt idx="671">
                  <c:v>11-Jun-23</c:v>
                </c:pt>
                <c:pt idx="672">
                  <c:v>18-Jun-23</c:v>
                </c:pt>
                <c:pt idx="673">
                  <c:v>25-Jun-23</c:v>
                </c:pt>
                <c:pt idx="674">
                  <c:v>02-Jul-23</c:v>
                </c:pt>
                <c:pt idx="675">
                  <c:v>09-Jul-23</c:v>
                </c:pt>
                <c:pt idx="676">
                  <c:v>16-Jul-23</c:v>
                </c:pt>
                <c:pt idx="677">
                  <c:v>23-Jul-23</c:v>
                </c:pt>
                <c:pt idx="678">
                  <c:v>30-Jul-23</c:v>
                </c:pt>
                <c:pt idx="679">
                  <c:v>06-Aug-23</c:v>
                </c:pt>
                <c:pt idx="680">
                  <c:v>13-Aug-23</c:v>
                </c:pt>
                <c:pt idx="681">
                  <c:v>20-Aug-23</c:v>
                </c:pt>
                <c:pt idx="682">
                  <c:v>27-Aug-23</c:v>
                </c:pt>
                <c:pt idx="683">
                  <c:v>03-Sep-23</c:v>
                </c:pt>
                <c:pt idx="684">
                  <c:v>10-Sep-23</c:v>
                </c:pt>
                <c:pt idx="685">
                  <c:v>17-Sep-23</c:v>
                </c:pt>
                <c:pt idx="686">
                  <c:v>24-Sep-23</c:v>
                </c:pt>
                <c:pt idx="687">
                  <c:v>01-Oct-23</c:v>
                </c:pt>
                <c:pt idx="688">
                  <c:v>08-Oct-23</c:v>
                </c:pt>
                <c:pt idx="689">
                  <c:v>15-Oct-23</c:v>
                </c:pt>
                <c:pt idx="690">
                  <c:v>22-Oct-23</c:v>
                </c:pt>
                <c:pt idx="691">
                  <c:v>29-Oct-23</c:v>
                </c:pt>
                <c:pt idx="692">
                  <c:v>05-Nov-23</c:v>
                </c:pt>
                <c:pt idx="693">
                  <c:v>12-Nov-23</c:v>
                </c:pt>
                <c:pt idx="694">
                  <c:v>19-Nov-23</c:v>
                </c:pt>
                <c:pt idx="695">
                  <c:v>26-Nov-23</c:v>
                </c:pt>
                <c:pt idx="696">
                  <c:v>03-Dec-23</c:v>
                </c:pt>
                <c:pt idx="697">
                  <c:v>10-Dec-23</c:v>
                </c:pt>
                <c:pt idx="698">
                  <c:v>17-Dec-23</c:v>
                </c:pt>
                <c:pt idx="699">
                  <c:v>24-Dec-23</c:v>
                </c:pt>
                <c:pt idx="700">
                  <c:v>31-Dec-23</c:v>
                </c:pt>
                <c:pt idx="701">
                  <c:v>07-Jan-24</c:v>
                </c:pt>
                <c:pt idx="702">
                  <c:v>14-Jan-24</c:v>
                </c:pt>
                <c:pt idx="703">
                  <c:v>21-Jan-24</c:v>
                </c:pt>
                <c:pt idx="704">
                  <c:v>28-Jan-24</c:v>
                </c:pt>
                <c:pt idx="705">
                  <c:v>04-Feb-24</c:v>
                </c:pt>
                <c:pt idx="706">
                  <c:v>11-Feb-24</c:v>
                </c:pt>
                <c:pt idx="707">
                  <c:v>18-Feb-24</c:v>
                </c:pt>
                <c:pt idx="708">
                  <c:v>25-Feb-24</c:v>
                </c:pt>
                <c:pt idx="709">
                  <c:v>03-Mar-24</c:v>
                </c:pt>
                <c:pt idx="710">
                  <c:v>10-Mar-24</c:v>
                </c:pt>
                <c:pt idx="711">
                  <c:v>17-Mar-24</c:v>
                </c:pt>
                <c:pt idx="712">
                  <c:v>24-Mar-24</c:v>
                </c:pt>
                <c:pt idx="713">
                  <c:v>31-Mar-24</c:v>
                </c:pt>
                <c:pt idx="714">
                  <c:v>07-Apr-24</c:v>
                </c:pt>
                <c:pt idx="715">
                  <c:v>14-Apr-24</c:v>
                </c:pt>
                <c:pt idx="716">
                  <c:v>21-Apr-24</c:v>
                </c:pt>
                <c:pt idx="717">
                  <c:v>28-Apr-24</c:v>
                </c:pt>
                <c:pt idx="718">
                  <c:v>05-May-24</c:v>
                </c:pt>
                <c:pt idx="719">
                  <c:v>12-May-24</c:v>
                </c:pt>
                <c:pt idx="720">
                  <c:v>19-May-24</c:v>
                </c:pt>
                <c:pt idx="721">
                  <c:v>26-May-24</c:v>
                </c:pt>
                <c:pt idx="722">
                  <c:v>02-Jun-24</c:v>
                </c:pt>
                <c:pt idx="723">
                  <c:v>09-Jun-24</c:v>
                </c:pt>
                <c:pt idx="724">
                  <c:v>16-Jun-24</c:v>
                </c:pt>
                <c:pt idx="725">
                  <c:v>23-Jun-24</c:v>
                </c:pt>
                <c:pt idx="726">
                  <c:v>30-Jun-24</c:v>
                </c:pt>
                <c:pt idx="727">
                  <c:v>07-Jul-24</c:v>
                </c:pt>
                <c:pt idx="728">
                  <c:v>14-Jul-24</c:v>
                </c:pt>
                <c:pt idx="729">
                  <c:v>21-Jul-24</c:v>
                </c:pt>
                <c:pt idx="730">
                  <c:v>28-Jul-24</c:v>
                </c:pt>
                <c:pt idx="731">
                  <c:v>04-Aug-24</c:v>
                </c:pt>
                <c:pt idx="732">
                  <c:v>11-Aug-24</c:v>
                </c:pt>
                <c:pt idx="733">
                  <c:v>18-Aug-24</c:v>
                </c:pt>
                <c:pt idx="734">
                  <c:v>25-Aug-24</c:v>
                </c:pt>
                <c:pt idx="735">
                  <c:v>01-Sep-24</c:v>
                </c:pt>
                <c:pt idx="736">
                  <c:v>08-Sep-24</c:v>
                </c:pt>
                <c:pt idx="737">
                  <c:v>15-Sep-24</c:v>
                </c:pt>
                <c:pt idx="738">
                  <c:v>22-Sep-24</c:v>
                </c:pt>
                <c:pt idx="739">
                  <c:v>29-Sep-24</c:v>
                </c:pt>
                <c:pt idx="740">
                  <c:v>06-Oct-24</c:v>
                </c:pt>
                <c:pt idx="741">
                  <c:v>13-Oct-24</c:v>
                </c:pt>
                <c:pt idx="742">
                  <c:v>20-Oct-24</c:v>
                </c:pt>
                <c:pt idx="743">
                  <c:v>27-Oct-24</c:v>
                </c:pt>
                <c:pt idx="744">
                  <c:v>03-Nov-24</c:v>
                </c:pt>
                <c:pt idx="745">
                  <c:v>10-Nov-24</c:v>
                </c:pt>
                <c:pt idx="746">
                  <c:v>17-Nov-24</c:v>
                </c:pt>
                <c:pt idx="747">
                  <c:v>24-Nov-24</c:v>
                </c:pt>
                <c:pt idx="748">
                  <c:v>01-Dec-24</c:v>
                </c:pt>
                <c:pt idx="749">
                  <c:v>08-Dec-24</c:v>
                </c:pt>
                <c:pt idx="750">
                  <c:v>15-Dec-24</c:v>
                </c:pt>
                <c:pt idx="751">
                  <c:v>22-Dec-24</c:v>
                </c:pt>
                <c:pt idx="752">
                  <c:v>29-Dec-24</c:v>
                </c:pt>
                <c:pt idx="753">
                  <c:v>05-Jan-25</c:v>
                </c:pt>
                <c:pt idx="754">
                  <c:v>12-Jan-25</c:v>
                </c:pt>
                <c:pt idx="755">
                  <c:v>19-Jan-25</c:v>
                </c:pt>
                <c:pt idx="756">
                  <c:v>26-Jan-25</c:v>
                </c:pt>
                <c:pt idx="757">
                  <c:v>02-Feb-25</c:v>
                </c:pt>
                <c:pt idx="758">
                  <c:v>09-Feb-25</c:v>
                </c:pt>
                <c:pt idx="759">
                  <c:v>16-Feb-25</c:v>
                </c:pt>
                <c:pt idx="760">
                  <c:v>23-Feb-25</c:v>
                </c:pt>
                <c:pt idx="761">
                  <c:v>02-Mar-25</c:v>
                </c:pt>
                <c:pt idx="762">
                  <c:v>09-Mar-25</c:v>
                </c:pt>
                <c:pt idx="763">
                  <c:v>16-Mar-25</c:v>
                </c:pt>
                <c:pt idx="764">
                  <c:v>23-Mar-25</c:v>
                </c:pt>
                <c:pt idx="765">
                  <c:v>30-Mar-25</c:v>
                </c:pt>
                <c:pt idx="766">
                  <c:v>06-Apr-25</c:v>
                </c:pt>
                <c:pt idx="767">
                  <c:v>13-Apr-25</c:v>
                </c:pt>
                <c:pt idx="768">
                  <c:v>20-Apr-25</c:v>
                </c:pt>
                <c:pt idx="769">
                  <c:v>27-Apr-25</c:v>
                </c:pt>
                <c:pt idx="770">
                  <c:v>04-May-25</c:v>
                </c:pt>
                <c:pt idx="771">
                  <c:v>11-May-25</c:v>
                </c:pt>
                <c:pt idx="772">
                  <c:v>18-May-25</c:v>
                </c:pt>
                <c:pt idx="773">
                  <c:v>25-May-25</c:v>
                </c:pt>
                <c:pt idx="774">
                  <c:v>01-Jun-25</c:v>
                </c:pt>
              </c:strCache>
            </c:strRef>
          </c:cat>
          <c:val>
            <c:numRef>
              <c:f>Sheet20!$B$3:$ACV$3</c:f>
              <c:numCache>
                <c:formatCode>General</c:formatCode>
                <c:ptCount val="775"/>
                <c:pt idx="0">
                  <c:v>101.03431343858469</c:v>
                </c:pt>
                <c:pt idx="1">
                  <c:v>102.94688892692385</c:v>
                </c:pt>
                <c:pt idx="2">
                  <c:v>106.43297097499088</c:v>
                </c:pt>
                <c:pt idx="3">
                  <c:v>108.04093181540335</c:v>
                </c:pt>
                <c:pt idx="4">
                  <c:v>111.49706188900029</c:v>
                </c:pt>
                <c:pt idx="5">
                  <c:v>107.18267391653409</c:v>
                </c:pt>
                <c:pt idx="6">
                  <c:v>109.45706960837587</c:v>
                </c:pt>
                <c:pt idx="7">
                  <c:v>106.94580197565665</c:v>
                </c:pt>
                <c:pt idx="8">
                  <c:v>108.35164885679598</c:v>
                </c:pt>
                <c:pt idx="9">
                  <c:v>107.89311179028098</c:v>
                </c:pt>
                <c:pt idx="10">
                  <c:v>105.07379099011963</c:v>
                </c:pt>
                <c:pt idx="11">
                  <c:v>103.15608716473915</c:v>
                </c:pt>
                <c:pt idx="12">
                  <c:v>101.6862417830506</c:v>
                </c:pt>
                <c:pt idx="13">
                  <c:v>103.12652090551541</c:v>
                </c:pt>
                <c:pt idx="14">
                  <c:v>102.88548408461205</c:v>
                </c:pt>
                <c:pt idx="15">
                  <c:v>103.91998672928776</c:v>
                </c:pt>
                <c:pt idx="16">
                  <c:v>102.85250724795544</c:v>
                </c:pt>
                <c:pt idx="17">
                  <c:v>103.81019104312269</c:v>
                </c:pt>
                <c:pt idx="18">
                  <c:v>102.44259506530386</c:v>
                </c:pt>
                <c:pt idx="19">
                  <c:v>103.5274582014498</c:v>
                </c:pt>
                <c:pt idx="20">
                  <c:v>103.16983626471666</c:v>
                </c:pt>
                <c:pt idx="21">
                  <c:v>100.93095241953311</c:v>
                </c:pt>
                <c:pt idx="22">
                  <c:v>101.54003420084868</c:v>
                </c:pt>
                <c:pt idx="23">
                  <c:v>99.568223741744632</c:v>
                </c:pt>
                <c:pt idx="24">
                  <c:v>94.918800105450003</c:v>
                </c:pt>
                <c:pt idx="25">
                  <c:v>96.23894983145604</c:v>
                </c:pt>
                <c:pt idx="26">
                  <c:v>97.348242256497073</c:v>
                </c:pt>
                <c:pt idx="27">
                  <c:v>95.730023980981301</c:v>
                </c:pt>
                <c:pt idx="28">
                  <c:v>93.666293271177409</c:v>
                </c:pt>
                <c:pt idx="29">
                  <c:v>97.142383655217884</c:v>
                </c:pt>
                <c:pt idx="30">
                  <c:v>98.60747599578427</c:v>
                </c:pt>
                <c:pt idx="31">
                  <c:v>97.882618490514687</c:v>
                </c:pt>
                <c:pt idx="32">
                  <c:v>101.43647960585186</c:v>
                </c:pt>
                <c:pt idx="33">
                  <c:v>101.33993248213791</c:v>
                </c:pt>
                <c:pt idx="34">
                  <c:v>100.84217021645095</c:v>
                </c:pt>
                <c:pt idx="35">
                  <c:v>100.91417854789896</c:v>
                </c:pt>
                <c:pt idx="36">
                  <c:v>102.72625528399372</c:v>
                </c:pt>
                <c:pt idx="37">
                  <c:v>103.82795671613484</c:v>
                </c:pt>
                <c:pt idx="38">
                  <c:v>103.81727623459052</c:v>
                </c:pt>
                <c:pt idx="39">
                  <c:v>102.53374375864045</c:v>
                </c:pt>
                <c:pt idx="40">
                  <c:v>101.30568615174231</c:v>
                </c:pt>
                <c:pt idx="41">
                  <c:v>101.89706917958749</c:v>
                </c:pt>
                <c:pt idx="42">
                  <c:v>101.29888928576952</c:v>
                </c:pt>
                <c:pt idx="43">
                  <c:v>101.31585983022606</c:v>
                </c:pt>
                <c:pt idx="44">
                  <c:v>101.89754188590861</c:v>
                </c:pt>
                <c:pt idx="45">
                  <c:v>99.287587221556834</c:v>
                </c:pt>
                <c:pt idx="46">
                  <c:v>99.061744208458265</c:v>
                </c:pt>
                <c:pt idx="47">
                  <c:v>98.284134520265724</c:v>
                </c:pt>
                <c:pt idx="48">
                  <c:v>96.636741398506786</c:v>
                </c:pt>
                <c:pt idx="49">
                  <c:v>98.811984170131197</c:v>
                </c:pt>
                <c:pt idx="50">
                  <c:v>103.06665485166448</c:v>
                </c:pt>
                <c:pt idx="51">
                  <c:v>103.16278610526373</c:v>
                </c:pt>
                <c:pt idx="52">
                  <c:v>103.1153260048725</c:v>
                </c:pt>
                <c:pt idx="53">
                  <c:v>109.92594867250924</c:v>
                </c:pt>
                <c:pt idx="54">
                  <c:v>113.50405882004497</c:v>
                </c:pt>
                <c:pt idx="55">
                  <c:v>115.13172689191565</c:v>
                </c:pt>
                <c:pt idx="56">
                  <c:v>113.00869275412684</c:v>
                </c:pt>
                <c:pt idx="57">
                  <c:v>113.64742198462882</c:v>
                </c:pt>
                <c:pt idx="58">
                  <c:v>117.67535052510044</c:v>
                </c:pt>
                <c:pt idx="59">
                  <c:v>114.96016822191437</c:v>
                </c:pt>
                <c:pt idx="60">
                  <c:v>116.99642256143908</c:v>
                </c:pt>
                <c:pt idx="61">
                  <c:v>118.07053962360013</c:v>
                </c:pt>
                <c:pt idx="62">
                  <c:v>115.91897726876115</c:v>
                </c:pt>
                <c:pt idx="63">
                  <c:v>115.11887579924868</c:v>
                </c:pt>
                <c:pt idx="64">
                  <c:v>117.82854448475528</c:v>
                </c:pt>
                <c:pt idx="65">
                  <c:v>119.19125225920504</c:v>
                </c:pt>
                <c:pt idx="66">
                  <c:v>121.36819828845378</c:v>
                </c:pt>
                <c:pt idx="67">
                  <c:v>122.78674658608944</c:v>
                </c:pt>
                <c:pt idx="68">
                  <c:v>121.25520530441841</c:v>
                </c:pt>
                <c:pt idx="69">
                  <c:v>123.60606222445232</c:v>
                </c:pt>
                <c:pt idx="70">
                  <c:v>123.2085388278314</c:v>
                </c:pt>
                <c:pt idx="71">
                  <c:v>122.49844000951684</c:v>
                </c:pt>
                <c:pt idx="72">
                  <c:v>121.57291482408021</c:v>
                </c:pt>
                <c:pt idx="73">
                  <c:v>122.21098391578033</c:v>
                </c:pt>
                <c:pt idx="74">
                  <c:v>119.66780255861195</c:v>
                </c:pt>
                <c:pt idx="75">
                  <c:v>119.99280461112419</c:v>
                </c:pt>
                <c:pt idx="76">
                  <c:v>119.72385117090332</c:v>
                </c:pt>
                <c:pt idx="77">
                  <c:v>115.16028157518281</c:v>
                </c:pt>
                <c:pt idx="78">
                  <c:v>115.95470536443307</c:v>
                </c:pt>
                <c:pt idx="79">
                  <c:v>113.78768703109026</c:v>
                </c:pt>
                <c:pt idx="80">
                  <c:v>116.91759405951177</c:v>
                </c:pt>
                <c:pt idx="81">
                  <c:v>116.37644300005746</c:v>
                </c:pt>
                <c:pt idx="82">
                  <c:v>113.72290359314295</c:v>
                </c:pt>
                <c:pt idx="83">
                  <c:v>110.47601015074602</c:v>
                </c:pt>
                <c:pt idx="84">
                  <c:v>111.15558486156026</c:v>
                </c:pt>
                <c:pt idx="85">
                  <c:v>108.21860631353711</c:v>
                </c:pt>
                <c:pt idx="86">
                  <c:v>110.26827816798439</c:v>
                </c:pt>
                <c:pt idx="87">
                  <c:v>110.57056186613265</c:v>
                </c:pt>
                <c:pt idx="88">
                  <c:v>108.65174804216234</c:v>
                </c:pt>
                <c:pt idx="89">
                  <c:v>108.72565388432032</c:v>
                </c:pt>
                <c:pt idx="90">
                  <c:v>107.45988828220479</c:v>
                </c:pt>
                <c:pt idx="91">
                  <c:v>108.89224365686461</c:v>
                </c:pt>
                <c:pt idx="92">
                  <c:v>109.65247966588065</c:v>
                </c:pt>
                <c:pt idx="93">
                  <c:v>114.42807932850582</c:v>
                </c:pt>
                <c:pt idx="94">
                  <c:v>116.82602177914788</c:v>
                </c:pt>
                <c:pt idx="95">
                  <c:v>122.80720825920844</c:v>
                </c:pt>
                <c:pt idx="96">
                  <c:v>126.62048447522508</c:v>
                </c:pt>
                <c:pt idx="97">
                  <c:v>120.39820026943228</c:v>
                </c:pt>
                <c:pt idx="98">
                  <c:v>119.48267241124076</c:v>
                </c:pt>
                <c:pt idx="99">
                  <c:v>120.41074802175305</c:v>
                </c:pt>
                <c:pt idx="100">
                  <c:v>120.41041142789915</c:v>
                </c:pt>
                <c:pt idx="101">
                  <c:v>122.19581626582877</c:v>
                </c:pt>
                <c:pt idx="102">
                  <c:v>123.85356032976198</c:v>
                </c:pt>
                <c:pt idx="103">
                  <c:v>122.27851798349263</c:v>
                </c:pt>
                <c:pt idx="104">
                  <c:v>130.53185296009863</c:v>
                </c:pt>
                <c:pt idx="105">
                  <c:v>130.58503966042005</c:v>
                </c:pt>
                <c:pt idx="106">
                  <c:v>128.46499225755153</c:v>
                </c:pt>
                <c:pt idx="107">
                  <c:v>129.6111350112088</c:v>
                </c:pt>
                <c:pt idx="108">
                  <c:v>126.56191653093009</c:v>
                </c:pt>
                <c:pt idx="109">
                  <c:v>125.75950294090987</c:v>
                </c:pt>
                <c:pt idx="110">
                  <c:v>123.44427575667608</c:v>
                </c:pt>
                <c:pt idx="111">
                  <c:v>118.2899334195011</c:v>
                </c:pt>
                <c:pt idx="112">
                  <c:v>123.32762802229068</c:v>
                </c:pt>
                <c:pt idx="113">
                  <c:v>123.51828247545815</c:v>
                </c:pt>
                <c:pt idx="114">
                  <c:v>122.74121737450029</c:v>
                </c:pt>
                <c:pt idx="115">
                  <c:v>122.00497670162399</c:v>
                </c:pt>
                <c:pt idx="116">
                  <c:v>117.67149440626157</c:v>
                </c:pt>
                <c:pt idx="117">
                  <c:v>117.03591990200236</c:v>
                </c:pt>
                <c:pt idx="118">
                  <c:v>116.89813429819996</c:v>
                </c:pt>
                <c:pt idx="119">
                  <c:v>121.98244811099082</c:v>
                </c:pt>
                <c:pt idx="120">
                  <c:v>121.33252344307739</c:v>
                </c:pt>
                <c:pt idx="121">
                  <c:v>118.58629658590672</c:v>
                </c:pt>
                <c:pt idx="122">
                  <c:v>119.91454502266519</c:v>
                </c:pt>
                <c:pt idx="123">
                  <c:v>114.8666806631518</c:v>
                </c:pt>
                <c:pt idx="124">
                  <c:v>114.54968665056067</c:v>
                </c:pt>
                <c:pt idx="125">
                  <c:v>112.33566209859816</c:v>
                </c:pt>
                <c:pt idx="126">
                  <c:v>113.62432654818301</c:v>
                </c:pt>
                <c:pt idx="127">
                  <c:v>109.59978691016779</c:v>
                </c:pt>
                <c:pt idx="128">
                  <c:v>107.54913731648733</c:v>
                </c:pt>
                <c:pt idx="129">
                  <c:v>110.42520730429959</c:v>
                </c:pt>
                <c:pt idx="130">
                  <c:v>109.7616521158161</c:v>
                </c:pt>
                <c:pt idx="131">
                  <c:v>104.85477303663569</c:v>
                </c:pt>
                <c:pt idx="132">
                  <c:v>104.92985839672424</c:v>
                </c:pt>
                <c:pt idx="133">
                  <c:v>102.87257580581523</c:v>
                </c:pt>
                <c:pt idx="134">
                  <c:v>104.50161664503581</c:v>
                </c:pt>
                <c:pt idx="135">
                  <c:v>102.59214964067745</c:v>
                </c:pt>
                <c:pt idx="136">
                  <c:v>102.99993053067796</c:v>
                </c:pt>
                <c:pt idx="137">
                  <c:v>105.37425163936902</c:v>
                </c:pt>
                <c:pt idx="138">
                  <c:v>109.62753558815633</c:v>
                </c:pt>
                <c:pt idx="139">
                  <c:v>105.90153438211485</c:v>
                </c:pt>
                <c:pt idx="140">
                  <c:v>107.8235826825284</c:v>
                </c:pt>
                <c:pt idx="141">
                  <c:v>104.80688779571392</c:v>
                </c:pt>
                <c:pt idx="142">
                  <c:v>105.66571413185659</c:v>
                </c:pt>
                <c:pt idx="143">
                  <c:v>105.83491248357791</c:v>
                </c:pt>
                <c:pt idx="144">
                  <c:v>105.45671131762874</c:v>
                </c:pt>
                <c:pt idx="145">
                  <c:v>104.86119606477558</c:v>
                </c:pt>
                <c:pt idx="146">
                  <c:v>105.14759820069075</c:v>
                </c:pt>
                <c:pt idx="147">
                  <c:v>101.4372159855341</c:v>
                </c:pt>
                <c:pt idx="148">
                  <c:v>101.5183465528536</c:v>
                </c:pt>
                <c:pt idx="149">
                  <c:v>100.84532514536912</c:v>
                </c:pt>
                <c:pt idx="150">
                  <c:v>99.089164677380396</c:v>
                </c:pt>
                <c:pt idx="151">
                  <c:v>98.677045308284463</c:v>
                </c:pt>
                <c:pt idx="152">
                  <c:v>101.34588023180942</c:v>
                </c:pt>
                <c:pt idx="153">
                  <c:v>97.912210503773238</c:v>
                </c:pt>
                <c:pt idx="154">
                  <c:v>94.725091070040676</c:v>
                </c:pt>
                <c:pt idx="155">
                  <c:v>95.2320913977739</c:v>
                </c:pt>
                <c:pt idx="156">
                  <c:v>95.13888031525839</c:v>
                </c:pt>
                <c:pt idx="157">
                  <c:v>92.065574722245458</c:v>
                </c:pt>
                <c:pt idx="158">
                  <c:v>87.874470704518956</c:v>
                </c:pt>
                <c:pt idx="159">
                  <c:v>91.384174900448613</c:v>
                </c:pt>
                <c:pt idx="160">
                  <c:v>85.092316872898294</c:v>
                </c:pt>
                <c:pt idx="161">
                  <c:v>84.083387832369667</c:v>
                </c:pt>
                <c:pt idx="162">
                  <c:v>82.421919690494846</c:v>
                </c:pt>
                <c:pt idx="163">
                  <c:v>78.197739607930217</c:v>
                </c:pt>
                <c:pt idx="164">
                  <c:v>76.965327257094074</c:v>
                </c:pt>
                <c:pt idx="165">
                  <c:v>75.765557978180809</c:v>
                </c:pt>
                <c:pt idx="166">
                  <c:v>75.4789027243432</c:v>
                </c:pt>
                <c:pt idx="167">
                  <c:v>75.445932324552857</c:v>
                </c:pt>
                <c:pt idx="168">
                  <c:v>77.640568146945597</c:v>
                </c:pt>
                <c:pt idx="169">
                  <c:v>80.614551442499632</c:v>
                </c:pt>
                <c:pt idx="170">
                  <c:v>79.912058466270722</c:v>
                </c:pt>
                <c:pt idx="171">
                  <c:v>76.696598532100325</c:v>
                </c:pt>
                <c:pt idx="172">
                  <c:v>79.433533349749609</c:v>
                </c:pt>
                <c:pt idx="173">
                  <c:v>76.941016030792099</c:v>
                </c:pt>
                <c:pt idx="174">
                  <c:v>76.43188111205319</c:v>
                </c:pt>
                <c:pt idx="175">
                  <c:v>74.045792900170923</c:v>
                </c:pt>
                <c:pt idx="176">
                  <c:v>73.393754848116814</c:v>
                </c:pt>
                <c:pt idx="177">
                  <c:v>69.600599052012754</c:v>
                </c:pt>
                <c:pt idx="178">
                  <c:v>69.666497295670766</c:v>
                </c:pt>
                <c:pt idx="179">
                  <c:v>70.894103240125972</c:v>
                </c:pt>
                <c:pt idx="180">
                  <c:v>71.508389408713569</c:v>
                </c:pt>
                <c:pt idx="181">
                  <c:v>70.08790586590051</c:v>
                </c:pt>
                <c:pt idx="182">
                  <c:v>71.746564378794204</c:v>
                </c:pt>
                <c:pt idx="183">
                  <c:v>72.077890257049845</c:v>
                </c:pt>
                <c:pt idx="184">
                  <c:v>70.546194873185755</c:v>
                </c:pt>
                <c:pt idx="185">
                  <c:v>73.039745741770332</c:v>
                </c:pt>
                <c:pt idx="186">
                  <c:v>72.949458868474196</c:v>
                </c:pt>
                <c:pt idx="187">
                  <c:v>73.25427831914844</c:v>
                </c:pt>
                <c:pt idx="188">
                  <c:v>73.059028405933645</c:v>
                </c:pt>
                <c:pt idx="189">
                  <c:v>79.509144603478134</c:v>
                </c:pt>
                <c:pt idx="190">
                  <c:v>78.207140388557946</c:v>
                </c:pt>
                <c:pt idx="191">
                  <c:v>75.789505439366138</c:v>
                </c:pt>
                <c:pt idx="192">
                  <c:v>72.799619862302336</c:v>
                </c:pt>
                <c:pt idx="193">
                  <c:v>75.029172904872127</c:v>
                </c:pt>
                <c:pt idx="194">
                  <c:v>72.317915721096085</c:v>
                </c:pt>
                <c:pt idx="195">
                  <c:v>74.90993222967036</c:v>
                </c:pt>
                <c:pt idx="196">
                  <c:v>74.348082087139687</c:v>
                </c:pt>
                <c:pt idx="197">
                  <c:v>72.050343389128727</c:v>
                </c:pt>
                <c:pt idx="198">
                  <c:v>71.54953498529575</c:v>
                </c:pt>
                <c:pt idx="199">
                  <c:v>70.708445107900474</c:v>
                </c:pt>
                <c:pt idx="200">
                  <c:v>69.351327713824418</c:v>
                </c:pt>
                <c:pt idx="201">
                  <c:v>69.14095695071569</c:v>
                </c:pt>
                <c:pt idx="202">
                  <c:v>71.057677846078036</c:v>
                </c:pt>
                <c:pt idx="203">
                  <c:v>70.829222476696728</c:v>
                </c:pt>
                <c:pt idx="204">
                  <c:v>71.477164029120175</c:v>
                </c:pt>
                <c:pt idx="205">
                  <c:v>71.976565021193892</c:v>
                </c:pt>
                <c:pt idx="206">
                  <c:v>75.628838599462043</c:v>
                </c:pt>
                <c:pt idx="207">
                  <c:v>75.267564533360684</c:v>
                </c:pt>
                <c:pt idx="208">
                  <c:v>73.187098475457688</c:v>
                </c:pt>
                <c:pt idx="209">
                  <c:v>74.606890350899747</c:v>
                </c:pt>
                <c:pt idx="210">
                  <c:v>74.560491381913309</c:v>
                </c:pt>
                <c:pt idx="211">
                  <c:v>75.051647117000655</c:v>
                </c:pt>
                <c:pt idx="212">
                  <c:v>76.276879107761786</c:v>
                </c:pt>
                <c:pt idx="213">
                  <c:v>79.793985048892878</c:v>
                </c:pt>
                <c:pt idx="214">
                  <c:v>79.137580452018298</c:v>
                </c:pt>
                <c:pt idx="215">
                  <c:v>77.309183269840034</c:v>
                </c:pt>
                <c:pt idx="216">
                  <c:v>76.074856165425984</c:v>
                </c:pt>
                <c:pt idx="217">
                  <c:v>78.45029983007602</c:v>
                </c:pt>
                <c:pt idx="218">
                  <c:v>76.778119275454458</c:v>
                </c:pt>
                <c:pt idx="219">
                  <c:v>76.678910691486777</c:v>
                </c:pt>
                <c:pt idx="220">
                  <c:v>73.62678751750353</c:v>
                </c:pt>
                <c:pt idx="221">
                  <c:v>72.922417328009971</c:v>
                </c:pt>
                <c:pt idx="222">
                  <c:v>72.183686785725953</c:v>
                </c:pt>
                <c:pt idx="223">
                  <c:v>74.174058412407476</c:v>
                </c:pt>
                <c:pt idx="224">
                  <c:v>76.082161237608787</c:v>
                </c:pt>
                <c:pt idx="225">
                  <c:v>78.640551551620547</c:v>
                </c:pt>
                <c:pt idx="226">
                  <c:v>80.121755385657067</c:v>
                </c:pt>
                <c:pt idx="227">
                  <c:v>82.221828555375069</c:v>
                </c:pt>
                <c:pt idx="228">
                  <c:v>85.476775737320025</c:v>
                </c:pt>
                <c:pt idx="229">
                  <c:v>82.352116345223891</c:v>
                </c:pt>
                <c:pt idx="230">
                  <c:v>83.909091477238476</c:v>
                </c:pt>
                <c:pt idx="231">
                  <c:v>84.779953559203165</c:v>
                </c:pt>
                <c:pt idx="232">
                  <c:v>93.60239950424895</c:v>
                </c:pt>
                <c:pt idx="233">
                  <c:v>100.77335961358826</c:v>
                </c:pt>
                <c:pt idx="234">
                  <c:v>98.610020396239975</c:v>
                </c:pt>
                <c:pt idx="235">
                  <c:v>103.65505735955773</c:v>
                </c:pt>
                <c:pt idx="236">
                  <c:v>99.209229663512559</c:v>
                </c:pt>
                <c:pt idx="237">
                  <c:v>93.84464975349178</c:v>
                </c:pt>
                <c:pt idx="238">
                  <c:v>89.959885222161304</c:v>
                </c:pt>
                <c:pt idx="239">
                  <c:v>90.972452298266475</c:v>
                </c:pt>
                <c:pt idx="240">
                  <c:v>91.395819771474095</c:v>
                </c:pt>
                <c:pt idx="241">
                  <c:v>90.482370890221688</c:v>
                </c:pt>
                <c:pt idx="242">
                  <c:v>94.815790366169423</c:v>
                </c:pt>
                <c:pt idx="243">
                  <c:v>96.739147092546659</c:v>
                </c:pt>
                <c:pt idx="244">
                  <c:v>100.83538532034281</c:v>
                </c:pt>
                <c:pt idx="245">
                  <c:v>102.46631601634317</c:v>
                </c:pt>
                <c:pt idx="246">
                  <c:v>102.16429494278482</c:v>
                </c:pt>
                <c:pt idx="247">
                  <c:v>98.769619988854501</c:v>
                </c:pt>
                <c:pt idx="248">
                  <c:v>97.379044796835743</c:v>
                </c:pt>
                <c:pt idx="249">
                  <c:v>93.910603525636603</c:v>
                </c:pt>
                <c:pt idx="250">
                  <c:v>94.529687206458817</c:v>
                </c:pt>
                <c:pt idx="251">
                  <c:v>92.275361726019099</c:v>
                </c:pt>
                <c:pt idx="252">
                  <c:v>92.691573533338413</c:v>
                </c:pt>
                <c:pt idx="253">
                  <c:v>89.750299181919203</c:v>
                </c:pt>
                <c:pt idx="254">
                  <c:v>90.504163330751311</c:v>
                </c:pt>
                <c:pt idx="255">
                  <c:v>93.272506773043062</c:v>
                </c:pt>
                <c:pt idx="256">
                  <c:v>93.975954416020002</c:v>
                </c:pt>
                <c:pt idx="257">
                  <c:v>96.107880502520345</c:v>
                </c:pt>
                <c:pt idx="258">
                  <c:v>98.474598326701738</c:v>
                </c:pt>
                <c:pt idx="259">
                  <c:v>95.424768435424028</c:v>
                </c:pt>
                <c:pt idx="260">
                  <c:v>95.765437877191061</c:v>
                </c:pt>
                <c:pt idx="261">
                  <c:v>93.792677438784963</c:v>
                </c:pt>
                <c:pt idx="262">
                  <c:v>96.550190548409375</c:v>
                </c:pt>
                <c:pt idx="263">
                  <c:v>99.839330286410046</c:v>
                </c:pt>
                <c:pt idx="264">
                  <c:v>108.46796978164188</c:v>
                </c:pt>
                <c:pt idx="265">
                  <c:v>105.76081030163832</c:v>
                </c:pt>
                <c:pt idx="266">
                  <c:v>103.76107151020858</c:v>
                </c:pt>
                <c:pt idx="267">
                  <c:v>95.061259284654284</c:v>
                </c:pt>
                <c:pt idx="268">
                  <c:v>107.76816820319391</c:v>
                </c:pt>
                <c:pt idx="269">
                  <c:v>112.39700602427091</c:v>
                </c:pt>
                <c:pt idx="270">
                  <c:v>116.60835523698624</c:v>
                </c:pt>
                <c:pt idx="271">
                  <c:v>100.74894169824384</c:v>
                </c:pt>
                <c:pt idx="272">
                  <c:v>104.24728467379998</c:v>
                </c:pt>
                <c:pt idx="273">
                  <c:v>104.71598195474941</c:v>
                </c:pt>
                <c:pt idx="274">
                  <c:v>108.46166814032966</c:v>
                </c:pt>
                <c:pt idx="275">
                  <c:v>107.39380796811578</c:v>
                </c:pt>
                <c:pt idx="276">
                  <c:v>114.14909371048881</c:v>
                </c:pt>
                <c:pt idx="277">
                  <c:v>117.62233383832606</c:v>
                </c:pt>
                <c:pt idx="278">
                  <c:v>115.81353527942058</c:v>
                </c:pt>
                <c:pt idx="279">
                  <c:v>123.26415373250455</c:v>
                </c:pt>
                <c:pt idx="280">
                  <c:v>142.92324113004085</c:v>
                </c:pt>
                <c:pt idx="281">
                  <c:v>147.68652421866923</c:v>
                </c:pt>
                <c:pt idx="282">
                  <c:v>137.96224134358107</c:v>
                </c:pt>
                <c:pt idx="283">
                  <c:v>137.49569705685391</c:v>
                </c:pt>
                <c:pt idx="284">
                  <c:v>157.52863491193665</c:v>
                </c:pt>
                <c:pt idx="285">
                  <c:v>164.78661135166672</c:v>
                </c:pt>
                <c:pt idx="286">
                  <c:v>153.85901913526993</c:v>
                </c:pt>
                <c:pt idx="287">
                  <c:v>143.47139114584888</c:v>
                </c:pt>
                <c:pt idx="288">
                  <c:v>132.54337615051739</c:v>
                </c:pt>
                <c:pt idx="289">
                  <c:v>142.48297538487478</c:v>
                </c:pt>
                <c:pt idx="290">
                  <c:v>133.34697409725356</c:v>
                </c:pt>
                <c:pt idx="291">
                  <c:v>139.25071129685938</c:v>
                </c:pt>
                <c:pt idx="292">
                  <c:v>119.81406419807993</c:v>
                </c:pt>
                <c:pt idx="293">
                  <c:v>114.18845645245906</c:v>
                </c:pt>
                <c:pt idx="294">
                  <c:v>118.96779045544491</c:v>
                </c:pt>
                <c:pt idx="295">
                  <c:v>119.69780378986808</c:v>
                </c:pt>
                <c:pt idx="296">
                  <c:v>119.18848824663468</c:v>
                </c:pt>
                <c:pt idx="297">
                  <c:v>123.71227216678201</c:v>
                </c:pt>
                <c:pt idx="298">
                  <c:v>116.23152488441895</c:v>
                </c:pt>
                <c:pt idx="299">
                  <c:v>105.64378185623264</c:v>
                </c:pt>
                <c:pt idx="300">
                  <c:v>108.30308257249629</c:v>
                </c:pt>
                <c:pt idx="301">
                  <c:v>114.57175205657136</c:v>
                </c:pt>
                <c:pt idx="302">
                  <c:v>117.90468897290928</c:v>
                </c:pt>
                <c:pt idx="303">
                  <c:v>115.53959529282959</c:v>
                </c:pt>
                <c:pt idx="304">
                  <c:v>115.20113402169284</c:v>
                </c:pt>
                <c:pt idx="305">
                  <c:v>125.1547655034514</c:v>
                </c:pt>
                <c:pt idx="306">
                  <c:v>129.54136879947299</c:v>
                </c:pt>
                <c:pt idx="307">
                  <c:v>124.45276019732458</c:v>
                </c:pt>
                <c:pt idx="308">
                  <c:v>130.37401197256497</c:v>
                </c:pt>
                <c:pt idx="309">
                  <c:v>123.68910211389112</c:v>
                </c:pt>
                <c:pt idx="310">
                  <c:v>128.6637610497373</c:v>
                </c:pt>
                <c:pt idx="311">
                  <c:v>124.16012347345473</c:v>
                </c:pt>
                <c:pt idx="312">
                  <c:v>126.09382282912163</c:v>
                </c:pt>
                <c:pt idx="313">
                  <c:v>120.94146392021376</c:v>
                </c:pt>
                <c:pt idx="314">
                  <c:v>118.46544787238082</c:v>
                </c:pt>
                <c:pt idx="315">
                  <c:v>117.86308066790545</c:v>
                </c:pt>
                <c:pt idx="316">
                  <c:v>115.0699401879052</c:v>
                </c:pt>
                <c:pt idx="317">
                  <c:v>115.10476333231811</c:v>
                </c:pt>
                <c:pt idx="318">
                  <c:v>109.23257451304187</c:v>
                </c:pt>
                <c:pt idx="319">
                  <c:v>107.83487990221398</c:v>
                </c:pt>
                <c:pt idx="320">
                  <c:v>107.36005757413675</c:v>
                </c:pt>
                <c:pt idx="321">
                  <c:v>107.12903579862112</c:v>
                </c:pt>
                <c:pt idx="322">
                  <c:v>102.82913854108136</c:v>
                </c:pt>
                <c:pt idx="323">
                  <c:v>100.15538082490053</c:v>
                </c:pt>
                <c:pt idx="324">
                  <c:v>96.492789009016931</c:v>
                </c:pt>
                <c:pt idx="325">
                  <c:v>99.455691186413446</c:v>
                </c:pt>
                <c:pt idx="326">
                  <c:v>96.909354478404126</c:v>
                </c:pt>
                <c:pt idx="327">
                  <c:v>99.254123707384039</c:v>
                </c:pt>
                <c:pt idx="328">
                  <c:v>87.335681922440287</c:v>
                </c:pt>
                <c:pt idx="329">
                  <c:v>89.417399880181037</c:v>
                </c:pt>
                <c:pt idx="330">
                  <c:v>85.86039403377552</c:v>
                </c:pt>
                <c:pt idx="331">
                  <c:v>90.34775272529258</c:v>
                </c:pt>
                <c:pt idx="332">
                  <c:v>89.615934031846635</c:v>
                </c:pt>
                <c:pt idx="333">
                  <c:v>86.864732861847827</c:v>
                </c:pt>
                <c:pt idx="334">
                  <c:v>90.471781332035206</c:v>
                </c:pt>
                <c:pt idx="335">
                  <c:v>94.630394386030417</c:v>
                </c:pt>
                <c:pt idx="336">
                  <c:v>92.753162006179906</c:v>
                </c:pt>
                <c:pt idx="337">
                  <c:v>88.570741109807287</c:v>
                </c:pt>
                <c:pt idx="338">
                  <c:v>88.464487212913028</c:v>
                </c:pt>
                <c:pt idx="339">
                  <c:v>81.466830153386567</c:v>
                </c:pt>
                <c:pt idx="340">
                  <c:v>84.35765476767331</c:v>
                </c:pt>
                <c:pt idx="341">
                  <c:v>84.715506790205467</c:v>
                </c:pt>
                <c:pt idx="342">
                  <c:v>86.946458233981161</c:v>
                </c:pt>
                <c:pt idx="343">
                  <c:v>86.71761015310156</c:v>
                </c:pt>
                <c:pt idx="344">
                  <c:v>83.038456002389594</c:v>
                </c:pt>
                <c:pt idx="345">
                  <c:v>84.118585847640944</c:v>
                </c:pt>
                <c:pt idx="346">
                  <c:v>82.612039610117066</c:v>
                </c:pt>
                <c:pt idx="347">
                  <c:v>86.605698963249409</c:v>
                </c:pt>
                <c:pt idx="348">
                  <c:v>84.003716736949386</c:v>
                </c:pt>
                <c:pt idx="349">
                  <c:v>82.440106236272129</c:v>
                </c:pt>
                <c:pt idx="350">
                  <c:v>87.376454844326744</c:v>
                </c:pt>
                <c:pt idx="351">
                  <c:v>87.082194642364954</c:v>
                </c:pt>
                <c:pt idx="352">
                  <c:v>84.729434114532722</c:v>
                </c:pt>
                <c:pt idx="353">
                  <c:v>87.94544816969092</c:v>
                </c:pt>
                <c:pt idx="354">
                  <c:v>89.015403967937687</c:v>
                </c:pt>
                <c:pt idx="355">
                  <c:v>90.115674235804235</c:v>
                </c:pt>
                <c:pt idx="356">
                  <c:v>91.048585653735927</c:v>
                </c:pt>
                <c:pt idx="357">
                  <c:v>91.627058393949625</c:v>
                </c:pt>
                <c:pt idx="358">
                  <c:v>88.795765120712545</c:v>
                </c:pt>
                <c:pt idx="359">
                  <c:v>88.23598331348694</c:v>
                </c:pt>
                <c:pt idx="360">
                  <c:v>88.974143756415643</c:v>
                </c:pt>
                <c:pt idx="361">
                  <c:v>83.630919080018387</c:v>
                </c:pt>
                <c:pt idx="362">
                  <c:v>83.150607280274173</c:v>
                </c:pt>
                <c:pt idx="363">
                  <c:v>85.067709018665397</c:v>
                </c:pt>
                <c:pt idx="364">
                  <c:v>84.182381401469343</c:v>
                </c:pt>
                <c:pt idx="365">
                  <c:v>83.136748429661125</c:v>
                </c:pt>
                <c:pt idx="366">
                  <c:v>77.19515558855791</c:v>
                </c:pt>
                <c:pt idx="367">
                  <c:v>79.78582846585148</c:v>
                </c:pt>
                <c:pt idx="368">
                  <c:v>81.425447416666444</c:v>
                </c:pt>
                <c:pt idx="369">
                  <c:v>75.190445390446015</c:v>
                </c:pt>
                <c:pt idx="370">
                  <c:v>76.631226966492889</c:v>
                </c:pt>
                <c:pt idx="371">
                  <c:v>77.948610186196007</c:v>
                </c:pt>
                <c:pt idx="372">
                  <c:v>79.707342855911904</c:v>
                </c:pt>
                <c:pt idx="373">
                  <c:v>80.049481589611631</c:v>
                </c:pt>
                <c:pt idx="374">
                  <c:v>79.976364922065059</c:v>
                </c:pt>
                <c:pt idx="375">
                  <c:v>76.576018133637575</c:v>
                </c:pt>
                <c:pt idx="376">
                  <c:v>75.521799073424845</c:v>
                </c:pt>
                <c:pt idx="377">
                  <c:v>72.192889775214724</c:v>
                </c:pt>
                <c:pt idx="378">
                  <c:v>70.463431947085354</c:v>
                </c:pt>
                <c:pt idx="379">
                  <c:v>67.174079337381016</c:v>
                </c:pt>
                <c:pt idx="380">
                  <c:v>68.584732236596054</c:v>
                </c:pt>
                <c:pt idx="381">
                  <c:v>72.015298121421907</c:v>
                </c:pt>
                <c:pt idx="382">
                  <c:v>69.722937029564889</c:v>
                </c:pt>
                <c:pt idx="383">
                  <c:v>73.157900809204136</c:v>
                </c:pt>
                <c:pt idx="384">
                  <c:v>71.76639734022018</c:v>
                </c:pt>
                <c:pt idx="385">
                  <c:v>72.393159946974535</c:v>
                </c:pt>
                <c:pt idx="386">
                  <c:v>72.956057386519277</c:v>
                </c:pt>
                <c:pt idx="387">
                  <c:v>73.550667974332512</c:v>
                </c:pt>
                <c:pt idx="388">
                  <c:v>70.504904362556147</c:v>
                </c:pt>
                <c:pt idx="389">
                  <c:v>68.827421977681439</c:v>
                </c:pt>
                <c:pt idx="390">
                  <c:v>69.775331309956854</c:v>
                </c:pt>
                <c:pt idx="391">
                  <c:v>74.075799827671716</c:v>
                </c:pt>
                <c:pt idx="392">
                  <c:v>72.101822088802834</c:v>
                </c:pt>
                <c:pt idx="393">
                  <c:v>76.050124911521991</c:v>
                </c:pt>
                <c:pt idx="394">
                  <c:v>76.098230052541254</c:v>
                </c:pt>
                <c:pt idx="395">
                  <c:v>75.816942505566715</c:v>
                </c:pt>
                <c:pt idx="396">
                  <c:v>78.265323941251324</c:v>
                </c:pt>
                <c:pt idx="397">
                  <c:v>80.01116571770298</c:v>
                </c:pt>
                <c:pt idx="398">
                  <c:v>78.215318984853184</c:v>
                </c:pt>
                <c:pt idx="399">
                  <c:v>83.915954421978142</c:v>
                </c:pt>
                <c:pt idx="400">
                  <c:v>85.055471911511162</c:v>
                </c:pt>
                <c:pt idx="401">
                  <c:v>84.939188706686338</c:v>
                </c:pt>
                <c:pt idx="402">
                  <c:v>83.934271173039178</c:v>
                </c:pt>
                <c:pt idx="403">
                  <c:v>81.214743788969443</c:v>
                </c:pt>
                <c:pt idx="404">
                  <c:v>81.254620399448896</c:v>
                </c:pt>
                <c:pt idx="405">
                  <c:v>80.897511681844193</c:v>
                </c:pt>
                <c:pt idx="406">
                  <c:v>81.981932562272391</c:v>
                </c:pt>
                <c:pt idx="407">
                  <c:v>76.426558379515455</c:v>
                </c:pt>
                <c:pt idx="408">
                  <c:v>79.880066160707315</c:v>
                </c:pt>
                <c:pt idx="409">
                  <c:v>77.209453018912157</c:v>
                </c:pt>
                <c:pt idx="410">
                  <c:v>73.533356308457286</c:v>
                </c:pt>
                <c:pt idx="411">
                  <c:v>74.771459927871746</c:v>
                </c:pt>
                <c:pt idx="412">
                  <c:v>75.657320094056274</c:v>
                </c:pt>
                <c:pt idx="413">
                  <c:v>76.461056957617501</c:v>
                </c:pt>
                <c:pt idx="414">
                  <c:v>77.248966773863799</c:v>
                </c:pt>
                <c:pt idx="415">
                  <c:v>77.331195393188111</c:v>
                </c:pt>
                <c:pt idx="416">
                  <c:v>79.180203305734182</c:v>
                </c:pt>
                <c:pt idx="417">
                  <c:v>77.867885943951606</c:v>
                </c:pt>
                <c:pt idx="418">
                  <c:v>75.896757499255671</c:v>
                </c:pt>
                <c:pt idx="419">
                  <c:v>76.247698751172607</c:v>
                </c:pt>
                <c:pt idx="420">
                  <c:v>72.877175030808928</c:v>
                </c:pt>
                <c:pt idx="421">
                  <c:v>72.443914488978692</c:v>
                </c:pt>
                <c:pt idx="422">
                  <c:v>72.849695478178532</c:v>
                </c:pt>
                <c:pt idx="423">
                  <c:v>71.221063888307327</c:v>
                </c:pt>
                <c:pt idx="424">
                  <c:v>71.405795542859252</c:v>
                </c:pt>
                <c:pt idx="425">
                  <c:v>67.409498533250158</c:v>
                </c:pt>
                <c:pt idx="426">
                  <c:v>65.31038032595697</c:v>
                </c:pt>
                <c:pt idx="427">
                  <c:v>64.518079226864515</c:v>
                </c:pt>
                <c:pt idx="428">
                  <c:v>69.011701626699463</c:v>
                </c:pt>
                <c:pt idx="429">
                  <c:v>71.634936555897966</c:v>
                </c:pt>
                <c:pt idx="430">
                  <c:v>74.535539080963872</c:v>
                </c:pt>
                <c:pt idx="431">
                  <c:v>70.027936427489337</c:v>
                </c:pt>
                <c:pt idx="432">
                  <c:v>71.418545002433817</c:v>
                </c:pt>
                <c:pt idx="433">
                  <c:v>70.522098131130079</c:v>
                </c:pt>
                <c:pt idx="434">
                  <c:v>72.525524315831419</c:v>
                </c:pt>
                <c:pt idx="435">
                  <c:v>73.353544878122605</c:v>
                </c:pt>
                <c:pt idx="436">
                  <c:v>73.168981696867448</c:v>
                </c:pt>
                <c:pt idx="437">
                  <c:v>72.298173428848557</c:v>
                </c:pt>
                <c:pt idx="438">
                  <c:v>75.222400082361105</c:v>
                </c:pt>
                <c:pt idx="439">
                  <c:v>74.848858425583614</c:v>
                </c:pt>
                <c:pt idx="440">
                  <c:v>77.488751440014937</c:v>
                </c:pt>
                <c:pt idx="441">
                  <c:v>75.083207123383033</c:v>
                </c:pt>
                <c:pt idx="442">
                  <c:v>72.277517427597701</c:v>
                </c:pt>
                <c:pt idx="443">
                  <c:v>72.869768196671487</c:v>
                </c:pt>
                <c:pt idx="444">
                  <c:v>71.191002044923465</c:v>
                </c:pt>
                <c:pt idx="445">
                  <c:v>65.810309794038886</c:v>
                </c:pt>
                <c:pt idx="446">
                  <c:v>64.165488766347991</c:v>
                </c:pt>
                <c:pt idx="447">
                  <c:v>64.737716242950015</c:v>
                </c:pt>
                <c:pt idx="448">
                  <c:v>62.673876141389854</c:v>
                </c:pt>
                <c:pt idx="449">
                  <c:v>61.251523299420029</c:v>
                </c:pt>
                <c:pt idx="450">
                  <c:v>58.979624142354062</c:v>
                </c:pt>
                <c:pt idx="451">
                  <c:v>56.713226055565805</c:v>
                </c:pt>
                <c:pt idx="452">
                  <c:v>56.003556895363168</c:v>
                </c:pt>
                <c:pt idx="453">
                  <c:v>53.994923524157798</c:v>
                </c:pt>
                <c:pt idx="454">
                  <c:v>55.726680773374682</c:v>
                </c:pt>
                <c:pt idx="455">
                  <c:v>56.045625754869263</c:v>
                </c:pt>
                <c:pt idx="456">
                  <c:v>56.343309467397269</c:v>
                </c:pt>
                <c:pt idx="457">
                  <c:v>56.721388408460108</c:v>
                </c:pt>
                <c:pt idx="458">
                  <c:v>57.716017515834579</c:v>
                </c:pt>
                <c:pt idx="459">
                  <c:v>57.615834925390757</c:v>
                </c:pt>
                <c:pt idx="460">
                  <c:v>59.347071097687675</c:v>
                </c:pt>
                <c:pt idx="461">
                  <c:v>62.131601881992573</c:v>
                </c:pt>
                <c:pt idx="462">
                  <c:v>63.207246109858481</c:v>
                </c:pt>
                <c:pt idx="463">
                  <c:v>63.79779065249609</c:v>
                </c:pt>
                <c:pt idx="464">
                  <c:v>65.200198840067159</c:v>
                </c:pt>
                <c:pt idx="465">
                  <c:v>64.689224703337914</c:v>
                </c:pt>
                <c:pt idx="466">
                  <c:v>64.252807027826051</c:v>
                </c:pt>
                <c:pt idx="467">
                  <c:v>65.104678673494192</c:v>
                </c:pt>
                <c:pt idx="468">
                  <c:v>65.649428352479717</c:v>
                </c:pt>
                <c:pt idx="469">
                  <c:v>64.086260935507624</c:v>
                </c:pt>
                <c:pt idx="470">
                  <c:v>68.620014309362716</c:v>
                </c:pt>
                <c:pt idx="471">
                  <c:v>70.207701755707063</c:v>
                </c:pt>
                <c:pt idx="472">
                  <c:v>72.462768322889701</c:v>
                </c:pt>
                <c:pt idx="473">
                  <c:v>76.986355931278538</c:v>
                </c:pt>
                <c:pt idx="474">
                  <c:v>72.57856566007969</c:v>
                </c:pt>
                <c:pt idx="475">
                  <c:v>71.122234326951926</c:v>
                </c:pt>
                <c:pt idx="476">
                  <c:v>66.931310174179742</c:v>
                </c:pt>
                <c:pt idx="477">
                  <c:v>67.720054699650902</c:v>
                </c:pt>
                <c:pt idx="478">
                  <c:v>66.455820255165108</c:v>
                </c:pt>
                <c:pt idx="479">
                  <c:v>64.926494999971595</c:v>
                </c:pt>
                <c:pt idx="480">
                  <c:v>63.364879985174582</c:v>
                </c:pt>
                <c:pt idx="481">
                  <c:v>64.144330382909445</c:v>
                </c:pt>
                <c:pt idx="482">
                  <c:v>66.436535923799767</c:v>
                </c:pt>
                <c:pt idx="483">
                  <c:v>64.1900360569052</c:v>
                </c:pt>
                <c:pt idx="484">
                  <c:v>59.915096419970375</c:v>
                </c:pt>
                <c:pt idx="485">
                  <c:v>60.676806814863895</c:v>
                </c:pt>
                <c:pt idx="486">
                  <c:v>58.819168631913797</c:v>
                </c:pt>
                <c:pt idx="487">
                  <c:v>57.335859856926021</c:v>
                </c:pt>
                <c:pt idx="488">
                  <c:v>57.200099731558083</c:v>
                </c:pt>
                <c:pt idx="489">
                  <c:v>54.533598873792307</c:v>
                </c:pt>
                <c:pt idx="490">
                  <c:v>54.897007727487896</c:v>
                </c:pt>
                <c:pt idx="491">
                  <c:v>57.091506486084327</c:v>
                </c:pt>
                <c:pt idx="492">
                  <c:v>58.234205382859358</c:v>
                </c:pt>
                <c:pt idx="493">
                  <c:v>55.353714678236294</c:v>
                </c:pt>
                <c:pt idx="494">
                  <c:v>52.100744445300705</c:v>
                </c:pt>
                <c:pt idx="495">
                  <c:v>55.482570376886422</c:v>
                </c:pt>
                <c:pt idx="496">
                  <c:v>56.221524584380454</c:v>
                </c:pt>
                <c:pt idx="497">
                  <c:v>56.557202938964487</c:v>
                </c:pt>
                <c:pt idx="498">
                  <c:v>52.382501564673518</c:v>
                </c:pt>
                <c:pt idx="499">
                  <c:v>55.998756602345729</c:v>
                </c:pt>
                <c:pt idx="500">
                  <c:v>60.454081323452634</c:v>
                </c:pt>
                <c:pt idx="501">
                  <c:v>63.427296878824549</c:v>
                </c:pt>
                <c:pt idx="502">
                  <c:v>66.025604605919753</c:v>
                </c:pt>
                <c:pt idx="503">
                  <c:v>67.197351233162991</c:v>
                </c:pt>
                <c:pt idx="504">
                  <c:v>63.633056079074628</c:v>
                </c:pt>
                <c:pt idx="505">
                  <c:v>60.366435419149916</c:v>
                </c:pt>
                <c:pt idx="506">
                  <c:v>58.658920637101275</c:v>
                </c:pt>
                <c:pt idx="507">
                  <c:v>58.884032250103097</c:v>
                </c:pt>
                <c:pt idx="508">
                  <c:v>65.853331364129161</c:v>
                </c:pt>
                <c:pt idx="509">
                  <c:v>63.625803177687715</c:v>
                </c:pt>
                <c:pt idx="510">
                  <c:v>64.309619767675002</c:v>
                </c:pt>
                <c:pt idx="511">
                  <c:v>64.19368563663447</c:v>
                </c:pt>
                <c:pt idx="512">
                  <c:v>59.020343833368258</c:v>
                </c:pt>
                <c:pt idx="513">
                  <c:v>54.461135929782351</c:v>
                </c:pt>
                <c:pt idx="514">
                  <c:v>52.065682195164406</c:v>
                </c:pt>
                <c:pt idx="515">
                  <c:v>54.475671314592304</c:v>
                </c:pt>
                <c:pt idx="516">
                  <c:v>56.77165539836043</c:v>
                </c:pt>
                <c:pt idx="517">
                  <c:v>58.230539132728822</c:v>
                </c:pt>
                <c:pt idx="518">
                  <c:v>61.842647628667208</c:v>
                </c:pt>
                <c:pt idx="519">
                  <c:v>62.755660337138259</c:v>
                </c:pt>
                <c:pt idx="520">
                  <c:v>63.116364586789551</c:v>
                </c:pt>
                <c:pt idx="521">
                  <c:v>62.525664953724423</c:v>
                </c:pt>
                <c:pt idx="522">
                  <c:v>61.895402492087221</c:v>
                </c:pt>
                <c:pt idx="523">
                  <c:v>59.870943544994084</c:v>
                </c:pt>
                <c:pt idx="524">
                  <c:v>55.429577877460225</c:v>
                </c:pt>
                <c:pt idx="525">
                  <c:v>56.806301392707688</c:v>
                </c:pt>
                <c:pt idx="526">
                  <c:v>57.49400397097768</c:v>
                </c:pt>
                <c:pt idx="527">
                  <c:v>53.664405740982197</c:v>
                </c:pt>
                <c:pt idx="528">
                  <c:v>54.915416240301774</c:v>
                </c:pt>
                <c:pt idx="529">
                  <c:v>55.283738669813808</c:v>
                </c:pt>
                <c:pt idx="530">
                  <c:v>54.778529683446408</c:v>
                </c:pt>
                <c:pt idx="531">
                  <c:v>57.506702737498891</c:v>
                </c:pt>
                <c:pt idx="532">
                  <c:v>55.64298346461149</c:v>
                </c:pt>
                <c:pt idx="533">
                  <c:v>52.12254488409193</c:v>
                </c:pt>
                <c:pt idx="534">
                  <c:v>52.39857045031679</c:v>
                </c:pt>
                <c:pt idx="535">
                  <c:v>52.808436205115939</c:v>
                </c:pt>
                <c:pt idx="536">
                  <c:v>54.056617684079185</c:v>
                </c:pt>
                <c:pt idx="537">
                  <c:v>51.956391880192569</c:v>
                </c:pt>
                <c:pt idx="538">
                  <c:v>48.481238624109722</c:v>
                </c:pt>
                <c:pt idx="539">
                  <c:v>44.347442177683504</c:v>
                </c:pt>
                <c:pt idx="540">
                  <c:v>44.17295098833398</c:v>
                </c:pt>
                <c:pt idx="541">
                  <c:v>42.724391453899322</c:v>
                </c:pt>
                <c:pt idx="542">
                  <c:v>43.542346689614426</c:v>
                </c:pt>
                <c:pt idx="543">
                  <c:v>43.251015774856896</c:v>
                </c:pt>
                <c:pt idx="544">
                  <c:v>42.650916823408217</c:v>
                </c:pt>
                <c:pt idx="545">
                  <c:v>39.916131778011582</c:v>
                </c:pt>
                <c:pt idx="546">
                  <c:v>39.074838391071822</c:v>
                </c:pt>
                <c:pt idx="547">
                  <c:v>38.219809776146839</c:v>
                </c:pt>
                <c:pt idx="548">
                  <c:v>42.066631028100055</c:v>
                </c:pt>
                <c:pt idx="549">
                  <c:v>40.02033365235971</c:v>
                </c:pt>
                <c:pt idx="550">
                  <c:v>38.848785637267184</c:v>
                </c:pt>
                <c:pt idx="551">
                  <c:v>34.201787313104759</c:v>
                </c:pt>
                <c:pt idx="552">
                  <c:v>34.14859807012833</c:v>
                </c:pt>
                <c:pt idx="553">
                  <c:v>34.399399780834877</c:v>
                </c:pt>
                <c:pt idx="554">
                  <c:v>35.878574379965706</c:v>
                </c:pt>
                <c:pt idx="555">
                  <c:v>36.126751014619494</c:v>
                </c:pt>
                <c:pt idx="556">
                  <c:v>33.799111868585868</c:v>
                </c:pt>
                <c:pt idx="557">
                  <c:v>36.078477178247596</c:v>
                </c:pt>
                <c:pt idx="558">
                  <c:v>35.581566933628892</c:v>
                </c:pt>
                <c:pt idx="559">
                  <c:v>34.801144630990805</c:v>
                </c:pt>
                <c:pt idx="560">
                  <c:v>34.890464807053696</c:v>
                </c:pt>
                <c:pt idx="561">
                  <c:v>35.251332702813045</c:v>
                </c:pt>
                <c:pt idx="562">
                  <c:v>36.568123995895327</c:v>
                </c:pt>
                <c:pt idx="563">
                  <c:v>38.302875822672803</c:v>
                </c:pt>
                <c:pt idx="564">
                  <c:v>41.353727406711258</c:v>
                </c:pt>
                <c:pt idx="565">
                  <c:v>41.532399218696973</c:v>
                </c:pt>
                <c:pt idx="566">
                  <c:v>39.456705015546625</c:v>
                </c:pt>
                <c:pt idx="567">
                  <c:v>39.494237251947951</c:v>
                </c:pt>
                <c:pt idx="568">
                  <c:v>38.854172765425886</c:v>
                </c:pt>
                <c:pt idx="569">
                  <c:v>35.547282530548664</c:v>
                </c:pt>
                <c:pt idx="570">
                  <c:v>35.357678929039302</c:v>
                </c:pt>
                <c:pt idx="571">
                  <c:v>35.725171539894227</c:v>
                </c:pt>
                <c:pt idx="572">
                  <c:v>36.3410579701873</c:v>
                </c:pt>
                <c:pt idx="573">
                  <c:v>35.604891810272669</c:v>
                </c:pt>
                <c:pt idx="574">
                  <c:v>34.460985888753733</c:v>
                </c:pt>
                <c:pt idx="575">
                  <c:v>33.471997103966395</c:v>
                </c:pt>
                <c:pt idx="576">
                  <c:v>32.682348838457273</c:v>
                </c:pt>
                <c:pt idx="577">
                  <c:v>36.282808008675033</c:v>
                </c:pt>
                <c:pt idx="578">
                  <c:v>34.750355676803352</c:v>
                </c:pt>
                <c:pt idx="579">
                  <c:v>34.579162648623679</c:v>
                </c:pt>
                <c:pt idx="580">
                  <c:v>34.084390564453585</c:v>
                </c:pt>
                <c:pt idx="581">
                  <c:v>35.295110314111504</c:v>
                </c:pt>
                <c:pt idx="582">
                  <c:v>35.325325402591218</c:v>
                </c:pt>
                <c:pt idx="583">
                  <c:v>36.365339673043394</c:v>
                </c:pt>
                <c:pt idx="584">
                  <c:v>34.536826639650222</c:v>
                </c:pt>
                <c:pt idx="585">
                  <c:v>34.321403562988209</c:v>
                </c:pt>
                <c:pt idx="586">
                  <c:v>36.362154379175109</c:v>
                </c:pt>
                <c:pt idx="587">
                  <c:v>36.223912917432727</c:v>
                </c:pt>
                <c:pt idx="588">
                  <c:v>36.753599520207743</c:v>
                </c:pt>
                <c:pt idx="589">
                  <c:v>39.710664544870987</c:v>
                </c:pt>
                <c:pt idx="590">
                  <c:v>40.427665342277614</c:v>
                </c:pt>
                <c:pt idx="591">
                  <c:v>41.272790233130458</c:v>
                </c:pt>
                <c:pt idx="592">
                  <c:v>40.070740147267124</c:v>
                </c:pt>
                <c:pt idx="593">
                  <c:v>38.033989300699233</c:v>
                </c:pt>
                <c:pt idx="594">
                  <c:v>39.097354037697798</c:v>
                </c:pt>
                <c:pt idx="595">
                  <c:v>38.595676333575263</c:v>
                </c:pt>
                <c:pt idx="596">
                  <c:v>39.243809743306407</c:v>
                </c:pt>
                <c:pt idx="597">
                  <c:v>36.549702827563607</c:v>
                </c:pt>
                <c:pt idx="598">
                  <c:v>36.303236632238928</c:v>
                </c:pt>
                <c:pt idx="599">
                  <c:v>36.639977974947961</c:v>
                </c:pt>
                <c:pt idx="600">
                  <c:v>35.391238032608385</c:v>
                </c:pt>
                <c:pt idx="601">
                  <c:v>35.021637245535437</c:v>
                </c:pt>
                <c:pt idx="602">
                  <c:v>33.878509946956392</c:v>
                </c:pt>
                <c:pt idx="603">
                  <c:v>36.039165791227724</c:v>
                </c:pt>
                <c:pt idx="604">
                  <c:v>34.61646399741052</c:v>
                </c:pt>
                <c:pt idx="605">
                  <c:v>35.997142983320167</c:v>
                </c:pt>
                <c:pt idx="606">
                  <c:v>38.11216047643498</c:v>
                </c:pt>
                <c:pt idx="607">
                  <c:v>37.707656063722759</c:v>
                </c:pt>
                <c:pt idx="608">
                  <c:v>37.783047895760092</c:v>
                </c:pt>
                <c:pt idx="609">
                  <c:v>37.854625322805603</c:v>
                </c:pt>
                <c:pt idx="610">
                  <c:v>37.02204374937665</c:v>
                </c:pt>
                <c:pt idx="611">
                  <c:v>37.088664361031775</c:v>
                </c:pt>
                <c:pt idx="612">
                  <c:v>38.534693566205924</c:v>
                </c:pt>
                <c:pt idx="613">
                  <c:v>37.850767913551728</c:v>
                </c:pt>
                <c:pt idx="614">
                  <c:v>38.356912499915168</c:v>
                </c:pt>
                <c:pt idx="615">
                  <c:v>36.156237699781677</c:v>
                </c:pt>
                <c:pt idx="616">
                  <c:v>35.663195066456268</c:v>
                </c:pt>
                <c:pt idx="617">
                  <c:v>34.835055526323679</c:v>
                </c:pt>
                <c:pt idx="618">
                  <c:v>33.403726594937503</c:v>
                </c:pt>
                <c:pt idx="619">
                  <c:v>34.718218693352739</c:v>
                </c:pt>
                <c:pt idx="620">
                  <c:v>35.345923709104476</c:v>
                </c:pt>
                <c:pt idx="621">
                  <c:v>35.571207829926735</c:v>
                </c:pt>
                <c:pt idx="622">
                  <c:v>35.342760533442977</c:v>
                </c:pt>
                <c:pt idx="623">
                  <c:v>34.883613491425251</c:v>
                </c:pt>
                <c:pt idx="624">
                  <c:v>36.959066299693603</c:v>
                </c:pt>
                <c:pt idx="625">
                  <c:v>36.473032031053293</c:v>
                </c:pt>
                <c:pt idx="626">
                  <c:v>34.79920342877223</c:v>
                </c:pt>
                <c:pt idx="627">
                  <c:v>35.746250026334728</c:v>
                </c:pt>
                <c:pt idx="628">
                  <c:v>35.491563372443927</c:v>
                </c:pt>
                <c:pt idx="629">
                  <c:v>35.606178159427792</c:v>
                </c:pt>
                <c:pt idx="630">
                  <c:v>33.837642805153664</c:v>
                </c:pt>
                <c:pt idx="631">
                  <c:v>33.648621103476884</c:v>
                </c:pt>
                <c:pt idx="632">
                  <c:v>31.565133691888096</c:v>
                </c:pt>
                <c:pt idx="633">
                  <c:v>30.705005934078773</c:v>
                </c:pt>
                <c:pt idx="634">
                  <c:v>31.678274135808312</c:v>
                </c:pt>
                <c:pt idx="635">
                  <c:v>32.468025170769579</c:v>
                </c:pt>
                <c:pt idx="636">
                  <c:v>33.344864500590347</c:v>
                </c:pt>
                <c:pt idx="637">
                  <c:v>32.141372790162848</c:v>
                </c:pt>
                <c:pt idx="638">
                  <c:v>32.55220517756824</c:v>
                </c:pt>
                <c:pt idx="639">
                  <c:v>33.467424049543339</c:v>
                </c:pt>
                <c:pt idx="640">
                  <c:v>32.297958342760595</c:v>
                </c:pt>
                <c:pt idx="641">
                  <c:v>35.373136906018928</c:v>
                </c:pt>
                <c:pt idx="642">
                  <c:v>34.665784599177293</c:v>
                </c:pt>
                <c:pt idx="643">
                  <c:v>35.826970017248726</c:v>
                </c:pt>
                <c:pt idx="644">
                  <c:v>34.027121656892945</c:v>
                </c:pt>
                <c:pt idx="645">
                  <c:v>34.081326409411979</c:v>
                </c:pt>
                <c:pt idx="646">
                  <c:v>34.794127705205511</c:v>
                </c:pt>
                <c:pt idx="647">
                  <c:v>35.331988332947731</c:v>
                </c:pt>
                <c:pt idx="648">
                  <c:v>34.693447542441085</c:v>
                </c:pt>
                <c:pt idx="649">
                  <c:v>35.892782140319461</c:v>
                </c:pt>
                <c:pt idx="650">
                  <c:v>36.775210739702878</c:v>
                </c:pt>
                <c:pt idx="651">
                  <c:v>37.371298270620386</c:v>
                </c:pt>
                <c:pt idx="652">
                  <c:v>37.243011629865698</c:v>
                </c:pt>
                <c:pt idx="653">
                  <c:v>36.870090644588146</c:v>
                </c:pt>
                <c:pt idx="654">
                  <c:v>37.676225023403042</c:v>
                </c:pt>
                <c:pt idx="655">
                  <c:v>37.927684564271701</c:v>
                </c:pt>
                <c:pt idx="656">
                  <c:v>37.594449670638191</c:v>
                </c:pt>
                <c:pt idx="657">
                  <c:v>38.226309652772422</c:v>
                </c:pt>
                <c:pt idx="658">
                  <c:v>38.883474574923994</c:v>
                </c:pt>
                <c:pt idx="659">
                  <c:v>43.915909172286014</c:v>
                </c:pt>
                <c:pt idx="660">
                  <c:v>45.823159516381693</c:v>
                </c:pt>
                <c:pt idx="661">
                  <c:v>46.51976054044583</c:v>
                </c:pt>
                <c:pt idx="662">
                  <c:v>50.337198956489189</c:v>
                </c:pt>
                <c:pt idx="663">
                  <c:v>48.997582114599332</c:v>
                </c:pt>
                <c:pt idx="664">
                  <c:v>46.85533553501304</c:v>
                </c:pt>
                <c:pt idx="665">
                  <c:v>48.352206427104136</c:v>
                </c:pt>
                <c:pt idx="666">
                  <c:v>48.939051814917654</c:v>
                </c:pt>
                <c:pt idx="667">
                  <c:v>49.540756734513188</c:v>
                </c:pt>
                <c:pt idx="668">
                  <c:v>48.564338544448447</c:v>
                </c:pt>
                <c:pt idx="669">
                  <c:v>50.003508076914812</c:v>
                </c:pt>
                <c:pt idx="670">
                  <c:v>50.260669730734982</c:v>
                </c:pt>
                <c:pt idx="671">
                  <c:v>50.849857526954722</c:v>
                </c:pt>
                <c:pt idx="672">
                  <c:v>49.046976417438863</c:v>
                </c:pt>
                <c:pt idx="673">
                  <c:v>52.647630975676165</c:v>
                </c:pt>
                <c:pt idx="674">
                  <c:v>52.071031256208386</c:v>
                </c:pt>
                <c:pt idx="675">
                  <c:v>51.79529331033379</c:v>
                </c:pt>
                <c:pt idx="676">
                  <c:v>51.933889779569611</c:v>
                </c:pt>
                <c:pt idx="677">
                  <c:v>52.17502861080613</c:v>
                </c:pt>
                <c:pt idx="678">
                  <c:v>51.32941756906903</c:v>
                </c:pt>
                <c:pt idx="679">
                  <c:v>51.536898753649268</c:v>
                </c:pt>
                <c:pt idx="680">
                  <c:v>51.14169040987543</c:v>
                </c:pt>
                <c:pt idx="681">
                  <c:v>51.572700986976578</c:v>
                </c:pt>
                <c:pt idx="682">
                  <c:v>52.56369368163611</c:v>
                </c:pt>
                <c:pt idx="683">
                  <c:v>54.607432882862931</c:v>
                </c:pt>
                <c:pt idx="684">
                  <c:v>57.577066019632042</c:v>
                </c:pt>
                <c:pt idx="685">
                  <c:v>51.453266984445662</c:v>
                </c:pt>
                <c:pt idx="686">
                  <c:v>52.363315722677122</c:v>
                </c:pt>
                <c:pt idx="687">
                  <c:v>47.938511423511265</c:v>
                </c:pt>
                <c:pt idx="688">
                  <c:v>51.60865808368316</c:v>
                </c:pt>
                <c:pt idx="689">
                  <c:v>54.736359666625582</c:v>
                </c:pt>
                <c:pt idx="690">
                  <c:v>57.624799129132732</c:v>
                </c:pt>
                <c:pt idx="691">
                  <c:v>57.195220098322856</c:v>
                </c:pt>
                <c:pt idx="692">
                  <c:v>56.027488836824517</c:v>
                </c:pt>
                <c:pt idx="693">
                  <c:v>56.773846233963575</c:v>
                </c:pt>
                <c:pt idx="694">
                  <c:v>56.004562413750989</c:v>
                </c:pt>
                <c:pt idx="695">
                  <c:v>57.803106459279732</c:v>
                </c:pt>
                <c:pt idx="696">
                  <c:v>61.982589336150198</c:v>
                </c:pt>
                <c:pt idx="697">
                  <c:v>59.964851804806976</c:v>
                </c:pt>
                <c:pt idx="698">
                  <c:v>60.925845723592431</c:v>
                </c:pt>
                <c:pt idx="699">
                  <c:v>57.72269121789688</c:v>
                </c:pt>
                <c:pt idx="700">
                  <c:v>56.22816870002314</c:v>
                </c:pt>
                <c:pt idx="701">
                  <c:v>55.166880516703927</c:v>
                </c:pt>
                <c:pt idx="702">
                  <c:v>56.708594020985657</c:v>
                </c:pt>
                <c:pt idx="703">
                  <c:v>57.686009953085993</c:v>
                </c:pt>
                <c:pt idx="704">
                  <c:v>60.173100448504215</c:v>
                </c:pt>
                <c:pt idx="705">
                  <c:v>62.800173537285772</c:v>
                </c:pt>
                <c:pt idx="706">
                  <c:v>65.281400573477882</c:v>
                </c:pt>
                <c:pt idx="707">
                  <c:v>61.475237927956115</c:v>
                </c:pt>
                <c:pt idx="708">
                  <c:v>63.085296953562853</c:v>
                </c:pt>
                <c:pt idx="709">
                  <c:v>65.589742282899223</c:v>
                </c:pt>
                <c:pt idx="710">
                  <c:v>69.618484040305958</c:v>
                </c:pt>
                <c:pt idx="711">
                  <c:v>69.861662699887191</c:v>
                </c:pt>
                <c:pt idx="712">
                  <c:v>67.490189207054257</c:v>
                </c:pt>
                <c:pt idx="713">
                  <c:v>70.438611217183748</c:v>
                </c:pt>
                <c:pt idx="714">
                  <c:v>69.036559844205357</c:v>
                </c:pt>
                <c:pt idx="715">
                  <c:v>64.782955878569823</c:v>
                </c:pt>
                <c:pt idx="716">
                  <c:v>65.040812816358553</c:v>
                </c:pt>
                <c:pt idx="717">
                  <c:v>68.070892654724972</c:v>
                </c:pt>
                <c:pt idx="718">
                  <c:v>66.189741630075829</c:v>
                </c:pt>
                <c:pt idx="719">
                  <c:v>64.611322013394428</c:v>
                </c:pt>
                <c:pt idx="720">
                  <c:v>60.923875599572106</c:v>
                </c:pt>
                <c:pt idx="721">
                  <c:v>61.590878320348388</c:v>
                </c:pt>
                <c:pt idx="722">
                  <c:v>63.047462656668174</c:v>
                </c:pt>
                <c:pt idx="723">
                  <c:v>65.896202289751656</c:v>
                </c:pt>
                <c:pt idx="724">
                  <c:v>67.277859853489375</c:v>
                </c:pt>
                <c:pt idx="725">
                  <c:v>67.85844156941333</c:v>
                </c:pt>
                <c:pt idx="726">
                  <c:v>69.726763894288283</c:v>
                </c:pt>
                <c:pt idx="727">
                  <c:v>69.576955798550543</c:v>
                </c:pt>
                <c:pt idx="728">
                  <c:v>71.440013494536359</c:v>
                </c:pt>
                <c:pt idx="729">
                  <c:v>73.768591810958412</c:v>
                </c:pt>
                <c:pt idx="730">
                  <c:v>71.488804141751373</c:v>
                </c:pt>
                <c:pt idx="731">
                  <c:v>74.7327119386768</c:v>
                </c:pt>
                <c:pt idx="732">
                  <c:v>78.203528366793506</c:v>
                </c:pt>
                <c:pt idx="733">
                  <c:v>81.083827278378379</c:v>
                </c:pt>
                <c:pt idx="734">
                  <c:v>77.422461571270361</c:v>
                </c:pt>
                <c:pt idx="735">
                  <c:v>81.76766334038156</c:v>
                </c:pt>
                <c:pt idx="736">
                  <c:v>84.145385053582515</c:v>
                </c:pt>
                <c:pt idx="737">
                  <c:v>82.111686313212061</c:v>
                </c:pt>
                <c:pt idx="738">
                  <c:v>81.604115960823989</c:v>
                </c:pt>
                <c:pt idx="739">
                  <c:v>78.029071694093304</c:v>
                </c:pt>
                <c:pt idx="740">
                  <c:v>71.917630058492051</c:v>
                </c:pt>
                <c:pt idx="741">
                  <c:v>75.165831720063807</c:v>
                </c:pt>
                <c:pt idx="742">
                  <c:v>80.07177390717942</c:v>
                </c:pt>
                <c:pt idx="743">
                  <c:v>74.449933129056177</c:v>
                </c:pt>
                <c:pt idx="744">
                  <c:v>74.378069988802864</c:v>
                </c:pt>
                <c:pt idx="745">
                  <c:v>74.771518923220015</c:v>
                </c:pt>
                <c:pt idx="746">
                  <c:v>73.995722995754363</c:v>
                </c:pt>
                <c:pt idx="747">
                  <c:v>78.414212244621865</c:v>
                </c:pt>
                <c:pt idx="748">
                  <c:v>77.154799646220795</c:v>
                </c:pt>
                <c:pt idx="749">
                  <c:v>78.202178215243592</c:v>
                </c:pt>
                <c:pt idx="750">
                  <c:v>79.255677564608121</c:v>
                </c:pt>
                <c:pt idx="751">
                  <c:v>80.318620513548581</c:v>
                </c:pt>
                <c:pt idx="752">
                  <c:v>80.137260579187199</c:v>
                </c:pt>
                <c:pt idx="753">
                  <c:v>81.847439583285578</c:v>
                </c:pt>
                <c:pt idx="754">
                  <c:v>81.349155310762455</c:v>
                </c:pt>
                <c:pt idx="755">
                  <c:v>81.911550384692703</c:v>
                </c:pt>
                <c:pt idx="756">
                  <c:v>83.177234916273321</c:v>
                </c:pt>
                <c:pt idx="757">
                  <c:v>83.60822574931737</c:v>
                </c:pt>
                <c:pt idx="758">
                  <c:v>88.014994718928691</c:v>
                </c:pt>
                <c:pt idx="759">
                  <c:v>88.037275011498991</c:v>
                </c:pt>
                <c:pt idx="760">
                  <c:v>88.606572442567128</c:v>
                </c:pt>
                <c:pt idx="761">
                  <c:v>90.206305623216195</c:v>
                </c:pt>
                <c:pt idx="762">
                  <c:v>85.018888207570853</c:v>
                </c:pt>
                <c:pt idx="763">
                  <c:v>86.710013289247883</c:v>
                </c:pt>
                <c:pt idx="764">
                  <c:v>88.356326481972104</c:v>
                </c:pt>
                <c:pt idx="765">
                  <c:v>90.25161405655011</c:v>
                </c:pt>
                <c:pt idx="766">
                  <c:v>99.049030314524359</c:v>
                </c:pt>
                <c:pt idx="767">
                  <c:v>100.61453427094666</c:v>
                </c:pt>
                <c:pt idx="768">
                  <c:v>96.740265202550006</c:v>
                </c:pt>
                <c:pt idx="769">
                  <c:v>96.081622066334873</c:v>
                </c:pt>
                <c:pt idx="770">
                  <c:v>95.147955072663379</c:v>
                </c:pt>
                <c:pt idx="771">
                  <c:v>96.737884497516077</c:v>
                </c:pt>
                <c:pt idx="772">
                  <c:v>92.934537742166569</c:v>
                </c:pt>
                <c:pt idx="773">
                  <c:v>84.702206430129451</c:v>
                </c:pt>
                <c:pt idx="774">
                  <c:v>86.124087471717857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1-5945-B4F1-BD2FDCA64D7A}"/>
            </c:ext>
          </c:extLst>
        </c:ser>
        <c:ser>
          <c:idx val="3"/>
          <c:order val="2"/>
          <c:tx>
            <c:strRef>
              <c:f>Sheet20!$A$4</c:f>
              <c:strCache>
                <c:ptCount val="1"/>
                <c:pt idx="0">
                  <c:v>Returns(Platinum)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Sheet20!$B$1:$ACV$1</c:f>
              <c:strCache>
                <c:ptCount val="775"/>
                <c:pt idx="0">
                  <c:v>01-Aug-10</c:v>
                </c:pt>
                <c:pt idx="1">
                  <c:v>08-Aug-10</c:v>
                </c:pt>
                <c:pt idx="2">
                  <c:v>15-Aug-10</c:v>
                </c:pt>
                <c:pt idx="3">
                  <c:v>22-Aug-10</c:v>
                </c:pt>
                <c:pt idx="4">
                  <c:v>29-Aug-10</c:v>
                </c:pt>
                <c:pt idx="5">
                  <c:v>05-Sep-10</c:v>
                </c:pt>
                <c:pt idx="6">
                  <c:v>12-Sep-10</c:v>
                </c:pt>
                <c:pt idx="7">
                  <c:v>19-Sep-10</c:v>
                </c:pt>
                <c:pt idx="8">
                  <c:v>26-Sep-10</c:v>
                </c:pt>
                <c:pt idx="9">
                  <c:v>03-Oct-10</c:v>
                </c:pt>
                <c:pt idx="10">
                  <c:v>10-Oct-10</c:v>
                </c:pt>
                <c:pt idx="11">
                  <c:v>17-Oct-10</c:v>
                </c:pt>
                <c:pt idx="12">
                  <c:v>24-Oct-10</c:v>
                </c:pt>
                <c:pt idx="13">
                  <c:v>31-Oct-10</c:v>
                </c:pt>
                <c:pt idx="14">
                  <c:v>07-Nov-10</c:v>
                </c:pt>
                <c:pt idx="15">
                  <c:v>14-Nov-10</c:v>
                </c:pt>
                <c:pt idx="16">
                  <c:v>21-Nov-10</c:v>
                </c:pt>
                <c:pt idx="17">
                  <c:v>28-Nov-10</c:v>
                </c:pt>
                <c:pt idx="18">
                  <c:v>05-Dec-10</c:v>
                </c:pt>
                <c:pt idx="19">
                  <c:v>12-Dec-10</c:v>
                </c:pt>
                <c:pt idx="20">
                  <c:v>19-Dec-10</c:v>
                </c:pt>
                <c:pt idx="21">
                  <c:v>26-Dec-10</c:v>
                </c:pt>
                <c:pt idx="22">
                  <c:v>02-Jan-11</c:v>
                </c:pt>
                <c:pt idx="23">
                  <c:v>09-Jan-11</c:v>
                </c:pt>
                <c:pt idx="24">
                  <c:v>16-Jan-11</c:v>
                </c:pt>
                <c:pt idx="25">
                  <c:v>23-Jan-11</c:v>
                </c:pt>
                <c:pt idx="26">
                  <c:v>30-Jan-11</c:v>
                </c:pt>
                <c:pt idx="27">
                  <c:v>06-Feb-11</c:v>
                </c:pt>
                <c:pt idx="28">
                  <c:v>13-Feb-11</c:v>
                </c:pt>
                <c:pt idx="29">
                  <c:v>20-Feb-11</c:v>
                </c:pt>
                <c:pt idx="30">
                  <c:v>27-Feb-11</c:v>
                </c:pt>
                <c:pt idx="31">
                  <c:v>06-Mar-11</c:v>
                </c:pt>
                <c:pt idx="32">
                  <c:v>13-Mar-11</c:v>
                </c:pt>
                <c:pt idx="33">
                  <c:v>20-Mar-11</c:v>
                </c:pt>
                <c:pt idx="34">
                  <c:v>27-Mar-11</c:v>
                </c:pt>
                <c:pt idx="35">
                  <c:v>03-Apr-11</c:v>
                </c:pt>
                <c:pt idx="36">
                  <c:v>10-Apr-11</c:v>
                </c:pt>
                <c:pt idx="37">
                  <c:v>17-Apr-11</c:v>
                </c:pt>
                <c:pt idx="38">
                  <c:v>24-Apr-11</c:v>
                </c:pt>
                <c:pt idx="39">
                  <c:v>01-May-11</c:v>
                </c:pt>
                <c:pt idx="40">
                  <c:v>08-May-11</c:v>
                </c:pt>
                <c:pt idx="41">
                  <c:v>15-May-11</c:v>
                </c:pt>
                <c:pt idx="42">
                  <c:v>22-May-11</c:v>
                </c:pt>
                <c:pt idx="43">
                  <c:v>29-May-11</c:v>
                </c:pt>
                <c:pt idx="44">
                  <c:v>05-Jun-11</c:v>
                </c:pt>
                <c:pt idx="45">
                  <c:v>12-Jun-11</c:v>
                </c:pt>
                <c:pt idx="46">
                  <c:v>19-Jun-11</c:v>
                </c:pt>
                <c:pt idx="47">
                  <c:v>26-Jun-11</c:v>
                </c:pt>
                <c:pt idx="48">
                  <c:v>03-Jul-11</c:v>
                </c:pt>
                <c:pt idx="49">
                  <c:v>10-Jul-11</c:v>
                </c:pt>
                <c:pt idx="50">
                  <c:v>17-Jul-11</c:v>
                </c:pt>
                <c:pt idx="51">
                  <c:v>24-Jul-11</c:v>
                </c:pt>
                <c:pt idx="52">
                  <c:v>31-Jul-11</c:v>
                </c:pt>
                <c:pt idx="53">
                  <c:v>07-Aug-11</c:v>
                </c:pt>
                <c:pt idx="54">
                  <c:v>14-Aug-11</c:v>
                </c:pt>
                <c:pt idx="55">
                  <c:v>21-Aug-11</c:v>
                </c:pt>
                <c:pt idx="56">
                  <c:v>28-Aug-11</c:v>
                </c:pt>
                <c:pt idx="57">
                  <c:v>04-Sep-11</c:v>
                </c:pt>
                <c:pt idx="58">
                  <c:v>11-Sep-11</c:v>
                </c:pt>
                <c:pt idx="59">
                  <c:v>18-Sep-11</c:v>
                </c:pt>
                <c:pt idx="60">
                  <c:v>25-Sep-11</c:v>
                </c:pt>
                <c:pt idx="61">
                  <c:v>02-Oct-11</c:v>
                </c:pt>
                <c:pt idx="62">
                  <c:v>09-Oct-11</c:v>
                </c:pt>
                <c:pt idx="63">
                  <c:v>16-Oct-11</c:v>
                </c:pt>
                <c:pt idx="64">
                  <c:v>23-Oct-11</c:v>
                </c:pt>
                <c:pt idx="65">
                  <c:v>30-Oct-11</c:v>
                </c:pt>
                <c:pt idx="66">
                  <c:v>06-Nov-11</c:v>
                </c:pt>
                <c:pt idx="67">
                  <c:v>13-Nov-11</c:v>
                </c:pt>
                <c:pt idx="68">
                  <c:v>20-Nov-11</c:v>
                </c:pt>
                <c:pt idx="69">
                  <c:v>27-Nov-11</c:v>
                </c:pt>
                <c:pt idx="70">
                  <c:v>04-Dec-11</c:v>
                </c:pt>
                <c:pt idx="71">
                  <c:v>11-Dec-11</c:v>
                </c:pt>
                <c:pt idx="72">
                  <c:v>18-Dec-11</c:v>
                </c:pt>
                <c:pt idx="73">
                  <c:v>25-Dec-11</c:v>
                </c:pt>
                <c:pt idx="74">
                  <c:v>01-Jan-12</c:v>
                </c:pt>
                <c:pt idx="75">
                  <c:v>08-Jan-12</c:v>
                </c:pt>
                <c:pt idx="76">
                  <c:v>15-Jan-12</c:v>
                </c:pt>
                <c:pt idx="77">
                  <c:v>22-Jan-12</c:v>
                </c:pt>
                <c:pt idx="78">
                  <c:v>29-Jan-12</c:v>
                </c:pt>
                <c:pt idx="79">
                  <c:v>05-Feb-12</c:v>
                </c:pt>
                <c:pt idx="80">
                  <c:v>12-Feb-12</c:v>
                </c:pt>
                <c:pt idx="81">
                  <c:v>19-Feb-12</c:v>
                </c:pt>
                <c:pt idx="82">
                  <c:v>26-Feb-12</c:v>
                </c:pt>
                <c:pt idx="83">
                  <c:v>04-Mar-12</c:v>
                </c:pt>
                <c:pt idx="84">
                  <c:v>11-Mar-12</c:v>
                </c:pt>
                <c:pt idx="85">
                  <c:v>18-Mar-12</c:v>
                </c:pt>
                <c:pt idx="86">
                  <c:v>25-Mar-12</c:v>
                </c:pt>
                <c:pt idx="87">
                  <c:v>01-Apr-12</c:v>
                </c:pt>
                <c:pt idx="88">
                  <c:v>08-Apr-12</c:v>
                </c:pt>
                <c:pt idx="89">
                  <c:v>15-Apr-12</c:v>
                </c:pt>
                <c:pt idx="90">
                  <c:v>22-Apr-12</c:v>
                </c:pt>
                <c:pt idx="91">
                  <c:v>29-Apr-12</c:v>
                </c:pt>
                <c:pt idx="92">
                  <c:v>06-May-12</c:v>
                </c:pt>
                <c:pt idx="93">
                  <c:v>13-May-12</c:v>
                </c:pt>
                <c:pt idx="94">
                  <c:v>20-May-12</c:v>
                </c:pt>
                <c:pt idx="95">
                  <c:v>27-May-12</c:v>
                </c:pt>
                <c:pt idx="96">
                  <c:v>03-Jun-12</c:v>
                </c:pt>
                <c:pt idx="97">
                  <c:v>10-Jun-12</c:v>
                </c:pt>
                <c:pt idx="98">
                  <c:v>17-Jun-12</c:v>
                </c:pt>
                <c:pt idx="99">
                  <c:v>24-Jun-12</c:v>
                </c:pt>
                <c:pt idx="100">
                  <c:v>01-Jul-12</c:v>
                </c:pt>
                <c:pt idx="101">
                  <c:v>08-Jul-12</c:v>
                </c:pt>
                <c:pt idx="102">
                  <c:v>15-Jul-12</c:v>
                </c:pt>
                <c:pt idx="103">
                  <c:v>22-Jul-12</c:v>
                </c:pt>
                <c:pt idx="104">
                  <c:v>29-Jul-12</c:v>
                </c:pt>
                <c:pt idx="105">
                  <c:v>05-Aug-12</c:v>
                </c:pt>
                <c:pt idx="106">
                  <c:v>12-Aug-12</c:v>
                </c:pt>
                <c:pt idx="107">
                  <c:v>19-Aug-12</c:v>
                </c:pt>
                <c:pt idx="108">
                  <c:v>26-Aug-12</c:v>
                </c:pt>
                <c:pt idx="109">
                  <c:v>02-Sep-12</c:v>
                </c:pt>
                <c:pt idx="110">
                  <c:v>09-Sep-12</c:v>
                </c:pt>
                <c:pt idx="111">
                  <c:v>16-Sep-12</c:v>
                </c:pt>
                <c:pt idx="112">
                  <c:v>23-Sep-12</c:v>
                </c:pt>
                <c:pt idx="113">
                  <c:v>30-Sep-12</c:v>
                </c:pt>
                <c:pt idx="114">
                  <c:v>07-Oct-12</c:v>
                </c:pt>
                <c:pt idx="115">
                  <c:v>14-Oct-12</c:v>
                </c:pt>
                <c:pt idx="116">
                  <c:v>21-Oct-12</c:v>
                </c:pt>
                <c:pt idx="117">
                  <c:v>28-Oct-12</c:v>
                </c:pt>
                <c:pt idx="118">
                  <c:v>04-Nov-12</c:v>
                </c:pt>
                <c:pt idx="119">
                  <c:v>11-Nov-12</c:v>
                </c:pt>
                <c:pt idx="120">
                  <c:v>18-Nov-12</c:v>
                </c:pt>
                <c:pt idx="121">
                  <c:v>25-Nov-12</c:v>
                </c:pt>
                <c:pt idx="122">
                  <c:v>02-Dec-12</c:v>
                </c:pt>
                <c:pt idx="123">
                  <c:v>09-Dec-12</c:v>
                </c:pt>
                <c:pt idx="124">
                  <c:v>16-Dec-12</c:v>
                </c:pt>
                <c:pt idx="125">
                  <c:v>23-Dec-12</c:v>
                </c:pt>
                <c:pt idx="126">
                  <c:v>30-Dec-12</c:v>
                </c:pt>
                <c:pt idx="127">
                  <c:v>06-Jan-13</c:v>
                </c:pt>
                <c:pt idx="128">
                  <c:v>13-Jan-13</c:v>
                </c:pt>
                <c:pt idx="129">
                  <c:v>20-Jan-13</c:v>
                </c:pt>
                <c:pt idx="130">
                  <c:v>27-Jan-13</c:v>
                </c:pt>
                <c:pt idx="131">
                  <c:v>03-Feb-13</c:v>
                </c:pt>
                <c:pt idx="132">
                  <c:v>10-Feb-13</c:v>
                </c:pt>
                <c:pt idx="133">
                  <c:v>17-Feb-13</c:v>
                </c:pt>
                <c:pt idx="134">
                  <c:v>24-Feb-13</c:v>
                </c:pt>
                <c:pt idx="135">
                  <c:v>03-Mar-13</c:v>
                </c:pt>
                <c:pt idx="136">
                  <c:v>10-Mar-13</c:v>
                </c:pt>
                <c:pt idx="137">
                  <c:v>17-Mar-13</c:v>
                </c:pt>
                <c:pt idx="138">
                  <c:v>24-Mar-13</c:v>
                </c:pt>
                <c:pt idx="139">
                  <c:v>31-Mar-13</c:v>
                </c:pt>
                <c:pt idx="140">
                  <c:v>07-Apr-13</c:v>
                </c:pt>
                <c:pt idx="141">
                  <c:v>14-Apr-13</c:v>
                </c:pt>
                <c:pt idx="142">
                  <c:v>21-Apr-13</c:v>
                </c:pt>
                <c:pt idx="143">
                  <c:v>28-Apr-13</c:v>
                </c:pt>
                <c:pt idx="144">
                  <c:v>05-May-13</c:v>
                </c:pt>
                <c:pt idx="145">
                  <c:v>12-May-13</c:v>
                </c:pt>
                <c:pt idx="146">
                  <c:v>19-May-13</c:v>
                </c:pt>
                <c:pt idx="147">
                  <c:v>26-May-13</c:v>
                </c:pt>
                <c:pt idx="148">
                  <c:v>02-Jun-13</c:v>
                </c:pt>
                <c:pt idx="149">
                  <c:v>09-Jun-13</c:v>
                </c:pt>
                <c:pt idx="150">
                  <c:v>16-Jun-13</c:v>
                </c:pt>
                <c:pt idx="151">
                  <c:v>23-Jun-13</c:v>
                </c:pt>
                <c:pt idx="152">
                  <c:v>30-Jun-13</c:v>
                </c:pt>
                <c:pt idx="153">
                  <c:v>07-Jul-13</c:v>
                </c:pt>
                <c:pt idx="154">
                  <c:v>14-Jul-13</c:v>
                </c:pt>
                <c:pt idx="155">
                  <c:v>21-Jul-13</c:v>
                </c:pt>
                <c:pt idx="156">
                  <c:v>28-Jul-13</c:v>
                </c:pt>
                <c:pt idx="157">
                  <c:v>04-Aug-13</c:v>
                </c:pt>
                <c:pt idx="158">
                  <c:v>11-Aug-13</c:v>
                </c:pt>
                <c:pt idx="159">
                  <c:v>18-Aug-13</c:v>
                </c:pt>
                <c:pt idx="160">
                  <c:v>25-Aug-13</c:v>
                </c:pt>
                <c:pt idx="161">
                  <c:v>01-Sep-13</c:v>
                </c:pt>
                <c:pt idx="162">
                  <c:v>08-Sep-13</c:v>
                </c:pt>
                <c:pt idx="163">
                  <c:v>15-Sep-13</c:v>
                </c:pt>
                <c:pt idx="164">
                  <c:v>22-Sep-13</c:v>
                </c:pt>
                <c:pt idx="165">
                  <c:v>29-Sep-13</c:v>
                </c:pt>
                <c:pt idx="166">
                  <c:v>06-Oct-13</c:v>
                </c:pt>
                <c:pt idx="167">
                  <c:v>13-Oct-13</c:v>
                </c:pt>
                <c:pt idx="168">
                  <c:v>20-Oct-13</c:v>
                </c:pt>
                <c:pt idx="169">
                  <c:v>27-Oct-13</c:v>
                </c:pt>
                <c:pt idx="170">
                  <c:v>03-Nov-13</c:v>
                </c:pt>
                <c:pt idx="171">
                  <c:v>10-Nov-13</c:v>
                </c:pt>
                <c:pt idx="172">
                  <c:v>17-Nov-13</c:v>
                </c:pt>
                <c:pt idx="173">
                  <c:v>24-Nov-13</c:v>
                </c:pt>
                <c:pt idx="174">
                  <c:v>01-Dec-13</c:v>
                </c:pt>
                <c:pt idx="175">
                  <c:v>08-Dec-13</c:v>
                </c:pt>
                <c:pt idx="176">
                  <c:v>15-Dec-13</c:v>
                </c:pt>
                <c:pt idx="177">
                  <c:v>22-Dec-13</c:v>
                </c:pt>
                <c:pt idx="178">
                  <c:v>29-Dec-13</c:v>
                </c:pt>
                <c:pt idx="179">
                  <c:v>05-Jan-14</c:v>
                </c:pt>
                <c:pt idx="180">
                  <c:v>12-Jan-14</c:v>
                </c:pt>
                <c:pt idx="181">
                  <c:v>19-Jan-14</c:v>
                </c:pt>
                <c:pt idx="182">
                  <c:v>26-Jan-14</c:v>
                </c:pt>
                <c:pt idx="183">
                  <c:v>02-Feb-14</c:v>
                </c:pt>
                <c:pt idx="184">
                  <c:v>09-Feb-14</c:v>
                </c:pt>
                <c:pt idx="185">
                  <c:v>16-Feb-14</c:v>
                </c:pt>
                <c:pt idx="186">
                  <c:v>23-Feb-14</c:v>
                </c:pt>
                <c:pt idx="187">
                  <c:v>02-Mar-14</c:v>
                </c:pt>
                <c:pt idx="188">
                  <c:v>09-Mar-14</c:v>
                </c:pt>
                <c:pt idx="189">
                  <c:v>16-Mar-14</c:v>
                </c:pt>
                <c:pt idx="190">
                  <c:v>23-Mar-14</c:v>
                </c:pt>
                <c:pt idx="191">
                  <c:v>30-Mar-14</c:v>
                </c:pt>
                <c:pt idx="192">
                  <c:v>06-Apr-14</c:v>
                </c:pt>
                <c:pt idx="193">
                  <c:v>13-Apr-14</c:v>
                </c:pt>
                <c:pt idx="194">
                  <c:v>20-Apr-14</c:v>
                </c:pt>
                <c:pt idx="195">
                  <c:v>27-Apr-14</c:v>
                </c:pt>
                <c:pt idx="196">
                  <c:v>04-May-14</c:v>
                </c:pt>
                <c:pt idx="197">
                  <c:v>11-May-14</c:v>
                </c:pt>
                <c:pt idx="198">
                  <c:v>18-May-14</c:v>
                </c:pt>
                <c:pt idx="199">
                  <c:v>25-May-14</c:v>
                </c:pt>
                <c:pt idx="200">
                  <c:v>01-Jun-14</c:v>
                </c:pt>
                <c:pt idx="201">
                  <c:v>08-Jun-14</c:v>
                </c:pt>
                <c:pt idx="202">
                  <c:v>15-Jun-14</c:v>
                </c:pt>
                <c:pt idx="203">
                  <c:v>22-Jun-14</c:v>
                </c:pt>
                <c:pt idx="204">
                  <c:v>29-Jun-14</c:v>
                </c:pt>
                <c:pt idx="205">
                  <c:v>06-Jul-14</c:v>
                </c:pt>
                <c:pt idx="206">
                  <c:v>13-Jul-14</c:v>
                </c:pt>
                <c:pt idx="207">
                  <c:v>20-Jul-14</c:v>
                </c:pt>
                <c:pt idx="208">
                  <c:v>27-Jul-14</c:v>
                </c:pt>
                <c:pt idx="209">
                  <c:v>03-Aug-14</c:v>
                </c:pt>
                <c:pt idx="210">
                  <c:v>10-Aug-14</c:v>
                </c:pt>
                <c:pt idx="211">
                  <c:v>17-Aug-14</c:v>
                </c:pt>
                <c:pt idx="212">
                  <c:v>24-Aug-14</c:v>
                </c:pt>
                <c:pt idx="213">
                  <c:v>31-Aug-14</c:v>
                </c:pt>
                <c:pt idx="214">
                  <c:v>07-Sep-14</c:v>
                </c:pt>
                <c:pt idx="215">
                  <c:v>14-Sep-14</c:v>
                </c:pt>
                <c:pt idx="216">
                  <c:v>21-Sep-14</c:v>
                </c:pt>
                <c:pt idx="217">
                  <c:v>28-Sep-14</c:v>
                </c:pt>
                <c:pt idx="218">
                  <c:v>05-Oct-14</c:v>
                </c:pt>
                <c:pt idx="219">
                  <c:v>12-Oct-14</c:v>
                </c:pt>
                <c:pt idx="220">
                  <c:v>19-Oct-14</c:v>
                </c:pt>
                <c:pt idx="221">
                  <c:v>26-Oct-14</c:v>
                </c:pt>
                <c:pt idx="222">
                  <c:v>02-Nov-14</c:v>
                </c:pt>
                <c:pt idx="223">
                  <c:v>09-Nov-14</c:v>
                </c:pt>
                <c:pt idx="224">
                  <c:v>16-Nov-14</c:v>
                </c:pt>
                <c:pt idx="225">
                  <c:v>23-Nov-14</c:v>
                </c:pt>
                <c:pt idx="226">
                  <c:v>30-Nov-14</c:v>
                </c:pt>
                <c:pt idx="227">
                  <c:v>07-Dec-14</c:v>
                </c:pt>
                <c:pt idx="228">
                  <c:v>14-Dec-14</c:v>
                </c:pt>
                <c:pt idx="229">
                  <c:v>21-Dec-14</c:v>
                </c:pt>
                <c:pt idx="230">
                  <c:v>28-Dec-14</c:v>
                </c:pt>
                <c:pt idx="231">
                  <c:v>04-Jan-15</c:v>
                </c:pt>
                <c:pt idx="232">
                  <c:v>11-Jan-15</c:v>
                </c:pt>
                <c:pt idx="233">
                  <c:v>18-Jan-15</c:v>
                </c:pt>
                <c:pt idx="234">
                  <c:v>25-Jan-15</c:v>
                </c:pt>
                <c:pt idx="235">
                  <c:v>01-Feb-15</c:v>
                </c:pt>
                <c:pt idx="236">
                  <c:v>08-Feb-15</c:v>
                </c:pt>
                <c:pt idx="237">
                  <c:v>15-Feb-15</c:v>
                </c:pt>
                <c:pt idx="238">
                  <c:v>22-Feb-15</c:v>
                </c:pt>
                <c:pt idx="239">
                  <c:v>01-Mar-15</c:v>
                </c:pt>
                <c:pt idx="240">
                  <c:v>08-Mar-15</c:v>
                </c:pt>
                <c:pt idx="241">
                  <c:v>15-Mar-15</c:v>
                </c:pt>
                <c:pt idx="242">
                  <c:v>22-Mar-15</c:v>
                </c:pt>
                <c:pt idx="243">
                  <c:v>29-Mar-15</c:v>
                </c:pt>
                <c:pt idx="244">
                  <c:v>05-Apr-15</c:v>
                </c:pt>
                <c:pt idx="245">
                  <c:v>12-Apr-15</c:v>
                </c:pt>
                <c:pt idx="246">
                  <c:v>19-Apr-15</c:v>
                </c:pt>
                <c:pt idx="247">
                  <c:v>26-Apr-15</c:v>
                </c:pt>
                <c:pt idx="248">
                  <c:v>03-May-15</c:v>
                </c:pt>
                <c:pt idx="249">
                  <c:v>10-May-15</c:v>
                </c:pt>
                <c:pt idx="250">
                  <c:v>17-May-15</c:v>
                </c:pt>
                <c:pt idx="251">
                  <c:v>24-May-15</c:v>
                </c:pt>
                <c:pt idx="252">
                  <c:v>31-May-15</c:v>
                </c:pt>
                <c:pt idx="253">
                  <c:v>07-Jun-15</c:v>
                </c:pt>
                <c:pt idx="254">
                  <c:v>14-Jun-15</c:v>
                </c:pt>
                <c:pt idx="255">
                  <c:v>21-Jun-15</c:v>
                </c:pt>
                <c:pt idx="256">
                  <c:v>28-Jun-15</c:v>
                </c:pt>
                <c:pt idx="257">
                  <c:v>05-Jul-15</c:v>
                </c:pt>
                <c:pt idx="258">
                  <c:v>12-Jul-15</c:v>
                </c:pt>
                <c:pt idx="259">
                  <c:v>19-Jul-15</c:v>
                </c:pt>
                <c:pt idx="260">
                  <c:v>26-Jul-15</c:v>
                </c:pt>
                <c:pt idx="261">
                  <c:v>02-Aug-15</c:v>
                </c:pt>
                <c:pt idx="262">
                  <c:v>09-Aug-15</c:v>
                </c:pt>
                <c:pt idx="263">
                  <c:v>16-Aug-15</c:v>
                </c:pt>
                <c:pt idx="264">
                  <c:v>23-Aug-15</c:v>
                </c:pt>
                <c:pt idx="265">
                  <c:v>30-Aug-15</c:v>
                </c:pt>
                <c:pt idx="266">
                  <c:v>06-Sep-15</c:v>
                </c:pt>
                <c:pt idx="267">
                  <c:v>13-Sep-15</c:v>
                </c:pt>
                <c:pt idx="268">
                  <c:v>20-Sep-15</c:v>
                </c:pt>
                <c:pt idx="269">
                  <c:v>27-Sep-15</c:v>
                </c:pt>
                <c:pt idx="270">
                  <c:v>04-Oct-15</c:v>
                </c:pt>
                <c:pt idx="271">
                  <c:v>11-Oct-15</c:v>
                </c:pt>
                <c:pt idx="272">
                  <c:v>18-Oct-15</c:v>
                </c:pt>
                <c:pt idx="273">
                  <c:v>25-Oct-15</c:v>
                </c:pt>
                <c:pt idx="274">
                  <c:v>01-Nov-15</c:v>
                </c:pt>
                <c:pt idx="275">
                  <c:v>08-Nov-15</c:v>
                </c:pt>
                <c:pt idx="276">
                  <c:v>15-Nov-15</c:v>
                </c:pt>
                <c:pt idx="277">
                  <c:v>22-Nov-15</c:v>
                </c:pt>
                <c:pt idx="278">
                  <c:v>29-Nov-15</c:v>
                </c:pt>
                <c:pt idx="279">
                  <c:v>06-Dec-15</c:v>
                </c:pt>
                <c:pt idx="280">
                  <c:v>13-Dec-15</c:v>
                </c:pt>
                <c:pt idx="281">
                  <c:v>20-Dec-15</c:v>
                </c:pt>
                <c:pt idx="282">
                  <c:v>27-Dec-15</c:v>
                </c:pt>
                <c:pt idx="283">
                  <c:v>03-Jan-16</c:v>
                </c:pt>
                <c:pt idx="284">
                  <c:v>10-Jan-16</c:v>
                </c:pt>
                <c:pt idx="285">
                  <c:v>17-Jan-16</c:v>
                </c:pt>
                <c:pt idx="286">
                  <c:v>24-Jan-16</c:v>
                </c:pt>
                <c:pt idx="287">
                  <c:v>31-Jan-16</c:v>
                </c:pt>
                <c:pt idx="288">
                  <c:v>07-Feb-16</c:v>
                </c:pt>
                <c:pt idx="289">
                  <c:v>14-Feb-16</c:v>
                </c:pt>
                <c:pt idx="290">
                  <c:v>21-Feb-16</c:v>
                </c:pt>
                <c:pt idx="291">
                  <c:v>28-Feb-16</c:v>
                </c:pt>
                <c:pt idx="292">
                  <c:v>06-Mar-16</c:v>
                </c:pt>
                <c:pt idx="293">
                  <c:v>13-Mar-16</c:v>
                </c:pt>
                <c:pt idx="294">
                  <c:v>20-Mar-16</c:v>
                </c:pt>
                <c:pt idx="295">
                  <c:v>27-Mar-16</c:v>
                </c:pt>
                <c:pt idx="296">
                  <c:v>03-Apr-16</c:v>
                </c:pt>
                <c:pt idx="297">
                  <c:v>10-Apr-16</c:v>
                </c:pt>
                <c:pt idx="298">
                  <c:v>17-Apr-16</c:v>
                </c:pt>
                <c:pt idx="299">
                  <c:v>24-Apr-16</c:v>
                </c:pt>
                <c:pt idx="300">
                  <c:v>01-May-16</c:v>
                </c:pt>
                <c:pt idx="301">
                  <c:v>08-May-16</c:v>
                </c:pt>
                <c:pt idx="302">
                  <c:v>15-May-16</c:v>
                </c:pt>
                <c:pt idx="303">
                  <c:v>22-May-16</c:v>
                </c:pt>
                <c:pt idx="304">
                  <c:v>29-May-16</c:v>
                </c:pt>
                <c:pt idx="305">
                  <c:v>05-Jun-16</c:v>
                </c:pt>
                <c:pt idx="306">
                  <c:v>12-Jun-16</c:v>
                </c:pt>
                <c:pt idx="307">
                  <c:v>19-Jun-16</c:v>
                </c:pt>
                <c:pt idx="308">
                  <c:v>26-Jun-16</c:v>
                </c:pt>
                <c:pt idx="309">
                  <c:v>03-Jul-16</c:v>
                </c:pt>
                <c:pt idx="310">
                  <c:v>10-Jul-16</c:v>
                </c:pt>
                <c:pt idx="311">
                  <c:v>17-Jul-16</c:v>
                </c:pt>
                <c:pt idx="312">
                  <c:v>24-Jul-16</c:v>
                </c:pt>
                <c:pt idx="313">
                  <c:v>31-Jul-16</c:v>
                </c:pt>
                <c:pt idx="314">
                  <c:v>07-Aug-16</c:v>
                </c:pt>
                <c:pt idx="315">
                  <c:v>14-Aug-16</c:v>
                </c:pt>
                <c:pt idx="316">
                  <c:v>21-Aug-16</c:v>
                </c:pt>
                <c:pt idx="317">
                  <c:v>28-Aug-16</c:v>
                </c:pt>
                <c:pt idx="318">
                  <c:v>04-Sep-16</c:v>
                </c:pt>
                <c:pt idx="319">
                  <c:v>11-Sep-16</c:v>
                </c:pt>
                <c:pt idx="320">
                  <c:v>18-Sep-16</c:v>
                </c:pt>
                <c:pt idx="321">
                  <c:v>25-Sep-16</c:v>
                </c:pt>
                <c:pt idx="322">
                  <c:v>02-Oct-16</c:v>
                </c:pt>
                <c:pt idx="323">
                  <c:v>09-Oct-16</c:v>
                </c:pt>
                <c:pt idx="324">
                  <c:v>16-Oct-16</c:v>
                </c:pt>
                <c:pt idx="325">
                  <c:v>23-Oct-16</c:v>
                </c:pt>
                <c:pt idx="326">
                  <c:v>30-Oct-16</c:v>
                </c:pt>
                <c:pt idx="327">
                  <c:v>06-Nov-16</c:v>
                </c:pt>
                <c:pt idx="328">
                  <c:v>13-Nov-16</c:v>
                </c:pt>
                <c:pt idx="329">
                  <c:v>20-Nov-16</c:v>
                </c:pt>
                <c:pt idx="330">
                  <c:v>27-Nov-16</c:v>
                </c:pt>
                <c:pt idx="331">
                  <c:v>04-Dec-16</c:v>
                </c:pt>
                <c:pt idx="332">
                  <c:v>11-Dec-16</c:v>
                </c:pt>
                <c:pt idx="333">
                  <c:v>18-Dec-16</c:v>
                </c:pt>
                <c:pt idx="334">
                  <c:v>25-Dec-16</c:v>
                </c:pt>
                <c:pt idx="335">
                  <c:v>01-Jan-17</c:v>
                </c:pt>
                <c:pt idx="336">
                  <c:v>08-Jan-17</c:v>
                </c:pt>
                <c:pt idx="337">
                  <c:v>15-Jan-17</c:v>
                </c:pt>
                <c:pt idx="338">
                  <c:v>22-Jan-17</c:v>
                </c:pt>
                <c:pt idx="339">
                  <c:v>29-Jan-17</c:v>
                </c:pt>
                <c:pt idx="340">
                  <c:v>05-Feb-17</c:v>
                </c:pt>
                <c:pt idx="341">
                  <c:v>12-Feb-17</c:v>
                </c:pt>
                <c:pt idx="342">
                  <c:v>19-Feb-17</c:v>
                </c:pt>
                <c:pt idx="343">
                  <c:v>26-Feb-17</c:v>
                </c:pt>
                <c:pt idx="344">
                  <c:v>05-Mar-17</c:v>
                </c:pt>
                <c:pt idx="345">
                  <c:v>12-Mar-17</c:v>
                </c:pt>
                <c:pt idx="346">
                  <c:v>19-Mar-17</c:v>
                </c:pt>
                <c:pt idx="347">
                  <c:v>26-Mar-17</c:v>
                </c:pt>
                <c:pt idx="348">
                  <c:v>02-Apr-17</c:v>
                </c:pt>
                <c:pt idx="349">
                  <c:v>09-Apr-17</c:v>
                </c:pt>
                <c:pt idx="350">
                  <c:v>16-Apr-17</c:v>
                </c:pt>
                <c:pt idx="351">
                  <c:v>23-Apr-17</c:v>
                </c:pt>
                <c:pt idx="352">
                  <c:v>30-Apr-17</c:v>
                </c:pt>
                <c:pt idx="353">
                  <c:v>07-May-17</c:v>
                </c:pt>
                <c:pt idx="354">
                  <c:v>14-May-17</c:v>
                </c:pt>
                <c:pt idx="355">
                  <c:v>21-May-17</c:v>
                </c:pt>
                <c:pt idx="356">
                  <c:v>28-May-17</c:v>
                </c:pt>
                <c:pt idx="357">
                  <c:v>04-Jun-17</c:v>
                </c:pt>
                <c:pt idx="358">
                  <c:v>11-Jun-17</c:v>
                </c:pt>
                <c:pt idx="359">
                  <c:v>18-Jun-17</c:v>
                </c:pt>
                <c:pt idx="360">
                  <c:v>25-Jun-17</c:v>
                </c:pt>
                <c:pt idx="361">
                  <c:v>02-Jul-17</c:v>
                </c:pt>
                <c:pt idx="362">
                  <c:v>09-Jul-17</c:v>
                </c:pt>
                <c:pt idx="363">
                  <c:v>16-Jul-17</c:v>
                </c:pt>
                <c:pt idx="364">
                  <c:v>23-Jul-17</c:v>
                </c:pt>
                <c:pt idx="365">
                  <c:v>30-Jul-17</c:v>
                </c:pt>
                <c:pt idx="366">
                  <c:v>06-Aug-17</c:v>
                </c:pt>
                <c:pt idx="367">
                  <c:v>13-Aug-17</c:v>
                </c:pt>
                <c:pt idx="368">
                  <c:v>20-Aug-17</c:v>
                </c:pt>
                <c:pt idx="369">
                  <c:v>27-Aug-17</c:v>
                </c:pt>
                <c:pt idx="370">
                  <c:v>03-Sep-17</c:v>
                </c:pt>
                <c:pt idx="371">
                  <c:v>10-Sep-17</c:v>
                </c:pt>
                <c:pt idx="372">
                  <c:v>17-Sep-17</c:v>
                </c:pt>
                <c:pt idx="373">
                  <c:v>24-Sep-17</c:v>
                </c:pt>
                <c:pt idx="374">
                  <c:v>01-Oct-17</c:v>
                </c:pt>
                <c:pt idx="375">
                  <c:v>08-Oct-17</c:v>
                </c:pt>
                <c:pt idx="376">
                  <c:v>15-Oct-17</c:v>
                </c:pt>
                <c:pt idx="377">
                  <c:v>22-Oct-17</c:v>
                </c:pt>
                <c:pt idx="378">
                  <c:v>29-Oct-17</c:v>
                </c:pt>
                <c:pt idx="379">
                  <c:v>05-Nov-17</c:v>
                </c:pt>
                <c:pt idx="380">
                  <c:v>12-Nov-17</c:v>
                </c:pt>
                <c:pt idx="381">
                  <c:v>19-Nov-17</c:v>
                </c:pt>
                <c:pt idx="382">
                  <c:v>26-Nov-17</c:v>
                </c:pt>
                <c:pt idx="383">
                  <c:v>03-Dec-17</c:v>
                </c:pt>
                <c:pt idx="384">
                  <c:v>10-Dec-17</c:v>
                </c:pt>
                <c:pt idx="385">
                  <c:v>17-Dec-17</c:v>
                </c:pt>
                <c:pt idx="386">
                  <c:v>24-Dec-17</c:v>
                </c:pt>
                <c:pt idx="387">
                  <c:v>31-Dec-17</c:v>
                </c:pt>
                <c:pt idx="388">
                  <c:v>07-Jan-18</c:v>
                </c:pt>
                <c:pt idx="389">
                  <c:v>14-Jan-18</c:v>
                </c:pt>
                <c:pt idx="390">
                  <c:v>21-Jan-18</c:v>
                </c:pt>
                <c:pt idx="391">
                  <c:v>28-Jan-18</c:v>
                </c:pt>
                <c:pt idx="392">
                  <c:v>04-Feb-18</c:v>
                </c:pt>
                <c:pt idx="393">
                  <c:v>11-Feb-18</c:v>
                </c:pt>
                <c:pt idx="394">
                  <c:v>18-Feb-18</c:v>
                </c:pt>
                <c:pt idx="395">
                  <c:v>25-Feb-18</c:v>
                </c:pt>
                <c:pt idx="396">
                  <c:v>04-Mar-18</c:v>
                </c:pt>
                <c:pt idx="397">
                  <c:v>11-Mar-18</c:v>
                </c:pt>
                <c:pt idx="398">
                  <c:v>18-Mar-18</c:v>
                </c:pt>
                <c:pt idx="399">
                  <c:v>25-Mar-18</c:v>
                </c:pt>
                <c:pt idx="400">
                  <c:v>01-Apr-18</c:v>
                </c:pt>
                <c:pt idx="401">
                  <c:v>08-Apr-18</c:v>
                </c:pt>
                <c:pt idx="402">
                  <c:v>15-Apr-18</c:v>
                </c:pt>
                <c:pt idx="403">
                  <c:v>22-Apr-18</c:v>
                </c:pt>
                <c:pt idx="404">
                  <c:v>29-Apr-18</c:v>
                </c:pt>
                <c:pt idx="405">
                  <c:v>06-May-18</c:v>
                </c:pt>
                <c:pt idx="406">
                  <c:v>13-May-18</c:v>
                </c:pt>
                <c:pt idx="407">
                  <c:v>20-May-18</c:v>
                </c:pt>
                <c:pt idx="408">
                  <c:v>27-May-18</c:v>
                </c:pt>
                <c:pt idx="409">
                  <c:v>03-Jun-18</c:v>
                </c:pt>
                <c:pt idx="410">
                  <c:v>10-Jun-18</c:v>
                </c:pt>
                <c:pt idx="411">
                  <c:v>17-Jun-18</c:v>
                </c:pt>
                <c:pt idx="412">
                  <c:v>24-Jun-18</c:v>
                </c:pt>
                <c:pt idx="413">
                  <c:v>01-Jul-18</c:v>
                </c:pt>
                <c:pt idx="414">
                  <c:v>08-Jul-18</c:v>
                </c:pt>
                <c:pt idx="415">
                  <c:v>15-Jul-18</c:v>
                </c:pt>
                <c:pt idx="416">
                  <c:v>22-Jul-18</c:v>
                </c:pt>
                <c:pt idx="417">
                  <c:v>29-Jul-18</c:v>
                </c:pt>
                <c:pt idx="418">
                  <c:v>05-Aug-18</c:v>
                </c:pt>
                <c:pt idx="419">
                  <c:v>12-Aug-18</c:v>
                </c:pt>
                <c:pt idx="420">
                  <c:v>19-Aug-18</c:v>
                </c:pt>
                <c:pt idx="421">
                  <c:v>26-Aug-18</c:v>
                </c:pt>
                <c:pt idx="422">
                  <c:v>02-Sep-18</c:v>
                </c:pt>
                <c:pt idx="423">
                  <c:v>09-Sep-18</c:v>
                </c:pt>
                <c:pt idx="424">
                  <c:v>16-Sep-18</c:v>
                </c:pt>
                <c:pt idx="425">
                  <c:v>23-Sep-18</c:v>
                </c:pt>
                <c:pt idx="426">
                  <c:v>30-Sep-18</c:v>
                </c:pt>
                <c:pt idx="427">
                  <c:v>07-Oct-18</c:v>
                </c:pt>
                <c:pt idx="428">
                  <c:v>14-Oct-18</c:v>
                </c:pt>
                <c:pt idx="429">
                  <c:v>21-Oct-18</c:v>
                </c:pt>
                <c:pt idx="430">
                  <c:v>28-Oct-18</c:v>
                </c:pt>
                <c:pt idx="431">
                  <c:v>04-Nov-18</c:v>
                </c:pt>
                <c:pt idx="432">
                  <c:v>11-Nov-18</c:v>
                </c:pt>
                <c:pt idx="433">
                  <c:v>18-Nov-18</c:v>
                </c:pt>
                <c:pt idx="434">
                  <c:v>25-Nov-18</c:v>
                </c:pt>
                <c:pt idx="435">
                  <c:v>02-Dec-18</c:v>
                </c:pt>
                <c:pt idx="436">
                  <c:v>09-Dec-18</c:v>
                </c:pt>
                <c:pt idx="437">
                  <c:v>16-Dec-18</c:v>
                </c:pt>
                <c:pt idx="438">
                  <c:v>23-Dec-18</c:v>
                </c:pt>
                <c:pt idx="439">
                  <c:v>30-Dec-18</c:v>
                </c:pt>
                <c:pt idx="440">
                  <c:v>06-Jan-19</c:v>
                </c:pt>
                <c:pt idx="441">
                  <c:v>13-Jan-19</c:v>
                </c:pt>
                <c:pt idx="442">
                  <c:v>20-Jan-19</c:v>
                </c:pt>
                <c:pt idx="443">
                  <c:v>27-Jan-19</c:v>
                </c:pt>
                <c:pt idx="444">
                  <c:v>03-Feb-19</c:v>
                </c:pt>
                <c:pt idx="445">
                  <c:v>10-Feb-19</c:v>
                </c:pt>
                <c:pt idx="446">
                  <c:v>17-Feb-19</c:v>
                </c:pt>
                <c:pt idx="447">
                  <c:v>24-Feb-19</c:v>
                </c:pt>
                <c:pt idx="448">
                  <c:v>03-Mar-19</c:v>
                </c:pt>
                <c:pt idx="449">
                  <c:v>10-Mar-19</c:v>
                </c:pt>
                <c:pt idx="450">
                  <c:v>17-Mar-19</c:v>
                </c:pt>
                <c:pt idx="451">
                  <c:v>24-Mar-19</c:v>
                </c:pt>
                <c:pt idx="452">
                  <c:v>31-Mar-19</c:v>
                </c:pt>
                <c:pt idx="453">
                  <c:v>07-Apr-19</c:v>
                </c:pt>
                <c:pt idx="454">
                  <c:v>14-Apr-19</c:v>
                </c:pt>
                <c:pt idx="455">
                  <c:v>21-Apr-19</c:v>
                </c:pt>
                <c:pt idx="456">
                  <c:v>28-Apr-19</c:v>
                </c:pt>
                <c:pt idx="457">
                  <c:v>05-May-19</c:v>
                </c:pt>
                <c:pt idx="458">
                  <c:v>12-May-19</c:v>
                </c:pt>
                <c:pt idx="459">
                  <c:v>19-May-19</c:v>
                </c:pt>
                <c:pt idx="460">
                  <c:v>26-May-19</c:v>
                </c:pt>
                <c:pt idx="461">
                  <c:v>02-Jun-19</c:v>
                </c:pt>
                <c:pt idx="462">
                  <c:v>09-Jun-19</c:v>
                </c:pt>
                <c:pt idx="463">
                  <c:v>16-Jun-19</c:v>
                </c:pt>
                <c:pt idx="464">
                  <c:v>23-Jun-19</c:v>
                </c:pt>
                <c:pt idx="465">
                  <c:v>30-Jun-19</c:v>
                </c:pt>
                <c:pt idx="466">
                  <c:v>07-Jul-19</c:v>
                </c:pt>
                <c:pt idx="467">
                  <c:v>14-Jul-19</c:v>
                </c:pt>
                <c:pt idx="468">
                  <c:v>21-Jul-19</c:v>
                </c:pt>
                <c:pt idx="469">
                  <c:v>28-Jul-19</c:v>
                </c:pt>
                <c:pt idx="470">
                  <c:v>04-Aug-19</c:v>
                </c:pt>
                <c:pt idx="471">
                  <c:v>11-Aug-19</c:v>
                </c:pt>
                <c:pt idx="472">
                  <c:v>18-Aug-19</c:v>
                </c:pt>
                <c:pt idx="473">
                  <c:v>25-Aug-19</c:v>
                </c:pt>
                <c:pt idx="474">
                  <c:v>01-Sep-19</c:v>
                </c:pt>
                <c:pt idx="475">
                  <c:v>08-Sep-19</c:v>
                </c:pt>
                <c:pt idx="476">
                  <c:v>15-Sep-19</c:v>
                </c:pt>
                <c:pt idx="477">
                  <c:v>22-Sep-19</c:v>
                </c:pt>
                <c:pt idx="478">
                  <c:v>29-Sep-19</c:v>
                </c:pt>
                <c:pt idx="479">
                  <c:v>06-Oct-19</c:v>
                </c:pt>
                <c:pt idx="480">
                  <c:v>13-Oct-19</c:v>
                </c:pt>
                <c:pt idx="481">
                  <c:v>20-Oct-19</c:v>
                </c:pt>
                <c:pt idx="482">
                  <c:v>27-Oct-19</c:v>
                </c:pt>
                <c:pt idx="483">
                  <c:v>03-Nov-19</c:v>
                </c:pt>
                <c:pt idx="484">
                  <c:v>10-Nov-19</c:v>
                </c:pt>
                <c:pt idx="485">
                  <c:v>17-Nov-19</c:v>
                </c:pt>
                <c:pt idx="486">
                  <c:v>24-Nov-19</c:v>
                </c:pt>
                <c:pt idx="487">
                  <c:v>01-Dec-19</c:v>
                </c:pt>
                <c:pt idx="488">
                  <c:v>08-Dec-19</c:v>
                </c:pt>
                <c:pt idx="489">
                  <c:v>15-Dec-19</c:v>
                </c:pt>
                <c:pt idx="490">
                  <c:v>22-Dec-19</c:v>
                </c:pt>
                <c:pt idx="491">
                  <c:v>29-Dec-19</c:v>
                </c:pt>
                <c:pt idx="492">
                  <c:v>05-Jan-20</c:v>
                </c:pt>
                <c:pt idx="493">
                  <c:v>12-Jan-20</c:v>
                </c:pt>
                <c:pt idx="494">
                  <c:v>19-Jan-20</c:v>
                </c:pt>
                <c:pt idx="495">
                  <c:v>26-Jan-20</c:v>
                </c:pt>
                <c:pt idx="496">
                  <c:v>02-Feb-20</c:v>
                </c:pt>
                <c:pt idx="497">
                  <c:v>09-Feb-20</c:v>
                </c:pt>
                <c:pt idx="498">
                  <c:v>16-Feb-20</c:v>
                </c:pt>
                <c:pt idx="499">
                  <c:v>23-Feb-20</c:v>
                </c:pt>
                <c:pt idx="500">
                  <c:v>01-Mar-20</c:v>
                </c:pt>
                <c:pt idx="501">
                  <c:v>08-Mar-20</c:v>
                </c:pt>
                <c:pt idx="502">
                  <c:v>15-Mar-20</c:v>
                </c:pt>
                <c:pt idx="503">
                  <c:v>22-Mar-20</c:v>
                </c:pt>
                <c:pt idx="504">
                  <c:v>29-Mar-20</c:v>
                </c:pt>
                <c:pt idx="505">
                  <c:v>05-Apr-20</c:v>
                </c:pt>
                <c:pt idx="506">
                  <c:v>12-Apr-20</c:v>
                </c:pt>
                <c:pt idx="507">
                  <c:v>19-Apr-20</c:v>
                </c:pt>
                <c:pt idx="508">
                  <c:v>26-Apr-20</c:v>
                </c:pt>
                <c:pt idx="509">
                  <c:v>03-May-20</c:v>
                </c:pt>
                <c:pt idx="510">
                  <c:v>10-May-20</c:v>
                </c:pt>
                <c:pt idx="511">
                  <c:v>17-May-20</c:v>
                </c:pt>
                <c:pt idx="512">
                  <c:v>24-May-20</c:v>
                </c:pt>
                <c:pt idx="513">
                  <c:v>31-May-20</c:v>
                </c:pt>
                <c:pt idx="514">
                  <c:v>07-Jun-20</c:v>
                </c:pt>
                <c:pt idx="515">
                  <c:v>14-Jun-20</c:v>
                </c:pt>
                <c:pt idx="516">
                  <c:v>21-Jun-20</c:v>
                </c:pt>
                <c:pt idx="517">
                  <c:v>28-Jun-20</c:v>
                </c:pt>
                <c:pt idx="518">
                  <c:v>05-Jul-20</c:v>
                </c:pt>
                <c:pt idx="519">
                  <c:v>12-Jul-20</c:v>
                </c:pt>
                <c:pt idx="520">
                  <c:v>19-Jul-20</c:v>
                </c:pt>
                <c:pt idx="521">
                  <c:v>26-Jul-20</c:v>
                </c:pt>
                <c:pt idx="522">
                  <c:v>02-Aug-20</c:v>
                </c:pt>
                <c:pt idx="523">
                  <c:v>09-Aug-20</c:v>
                </c:pt>
                <c:pt idx="524">
                  <c:v>16-Aug-20</c:v>
                </c:pt>
                <c:pt idx="525">
                  <c:v>23-Aug-20</c:v>
                </c:pt>
                <c:pt idx="526">
                  <c:v>30-Aug-20</c:v>
                </c:pt>
                <c:pt idx="527">
                  <c:v>06-Sep-20</c:v>
                </c:pt>
                <c:pt idx="528">
                  <c:v>13-Sep-20</c:v>
                </c:pt>
                <c:pt idx="529">
                  <c:v>20-Sep-20</c:v>
                </c:pt>
                <c:pt idx="530">
                  <c:v>27-Sep-20</c:v>
                </c:pt>
                <c:pt idx="531">
                  <c:v>04-Oct-20</c:v>
                </c:pt>
                <c:pt idx="532">
                  <c:v>11-Oct-20</c:v>
                </c:pt>
                <c:pt idx="533">
                  <c:v>18-Oct-20</c:v>
                </c:pt>
                <c:pt idx="534">
                  <c:v>25-Oct-20</c:v>
                </c:pt>
                <c:pt idx="535">
                  <c:v>01-Nov-20</c:v>
                </c:pt>
                <c:pt idx="536">
                  <c:v>08-Nov-20</c:v>
                </c:pt>
                <c:pt idx="537">
                  <c:v>15-Nov-20</c:v>
                </c:pt>
                <c:pt idx="538">
                  <c:v>22-Nov-20</c:v>
                </c:pt>
                <c:pt idx="539">
                  <c:v>29-Nov-20</c:v>
                </c:pt>
                <c:pt idx="540">
                  <c:v>06-Dec-20</c:v>
                </c:pt>
                <c:pt idx="541">
                  <c:v>13-Dec-20</c:v>
                </c:pt>
                <c:pt idx="542">
                  <c:v>20-Dec-20</c:v>
                </c:pt>
                <c:pt idx="543">
                  <c:v>27-Dec-20</c:v>
                </c:pt>
                <c:pt idx="544">
                  <c:v>03-Jan-21</c:v>
                </c:pt>
                <c:pt idx="545">
                  <c:v>10-Jan-21</c:v>
                </c:pt>
                <c:pt idx="546">
                  <c:v>17-Jan-21</c:v>
                </c:pt>
                <c:pt idx="547">
                  <c:v>24-Jan-21</c:v>
                </c:pt>
                <c:pt idx="548">
                  <c:v>31-Jan-21</c:v>
                </c:pt>
                <c:pt idx="549">
                  <c:v>07-Feb-21</c:v>
                </c:pt>
                <c:pt idx="550">
                  <c:v>14-Feb-21</c:v>
                </c:pt>
                <c:pt idx="551">
                  <c:v>21-Feb-21</c:v>
                </c:pt>
                <c:pt idx="552">
                  <c:v>28-Feb-21</c:v>
                </c:pt>
                <c:pt idx="553">
                  <c:v>07-Mar-21</c:v>
                </c:pt>
                <c:pt idx="554">
                  <c:v>14-Mar-21</c:v>
                </c:pt>
                <c:pt idx="555">
                  <c:v>21-Mar-21</c:v>
                </c:pt>
                <c:pt idx="556">
                  <c:v>28-Mar-21</c:v>
                </c:pt>
                <c:pt idx="557">
                  <c:v>04-Apr-21</c:v>
                </c:pt>
                <c:pt idx="558">
                  <c:v>11-Apr-21</c:v>
                </c:pt>
                <c:pt idx="559">
                  <c:v>18-Apr-21</c:v>
                </c:pt>
                <c:pt idx="560">
                  <c:v>25-Apr-21</c:v>
                </c:pt>
                <c:pt idx="561">
                  <c:v>02-May-21</c:v>
                </c:pt>
                <c:pt idx="562">
                  <c:v>09-May-21</c:v>
                </c:pt>
                <c:pt idx="563">
                  <c:v>16-May-21</c:v>
                </c:pt>
                <c:pt idx="564">
                  <c:v>23-May-21</c:v>
                </c:pt>
                <c:pt idx="565">
                  <c:v>30-May-21</c:v>
                </c:pt>
                <c:pt idx="566">
                  <c:v>06-Jun-21</c:v>
                </c:pt>
                <c:pt idx="567">
                  <c:v>13-Jun-21</c:v>
                </c:pt>
                <c:pt idx="568">
                  <c:v>20-Jun-21</c:v>
                </c:pt>
                <c:pt idx="569">
                  <c:v>27-Jun-21</c:v>
                </c:pt>
                <c:pt idx="570">
                  <c:v>04-Jul-21</c:v>
                </c:pt>
                <c:pt idx="571">
                  <c:v>11-Jul-21</c:v>
                </c:pt>
                <c:pt idx="572">
                  <c:v>18-Jul-21</c:v>
                </c:pt>
                <c:pt idx="573">
                  <c:v>25-Jul-21</c:v>
                </c:pt>
                <c:pt idx="574">
                  <c:v>01-Aug-21</c:v>
                </c:pt>
                <c:pt idx="575">
                  <c:v>08-Aug-21</c:v>
                </c:pt>
                <c:pt idx="576">
                  <c:v>15-Aug-21</c:v>
                </c:pt>
                <c:pt idx="577">
                  <c:v>22-Aug-21</c:v>
                </c:pt>
                <c:pt idx="578">
                  <c:v>29-Aug-21</c:v>
                </c:pt>
                <c:pt idx="579">
                  <c:v>05-Sep-21</c:v>
                </c:pt>
                <c:pt idx="580">
                  <c:v>12-Sep-21</c:v>
                </c:pt>
                <c:pt idx="581">
                  <c:v>19-Sep-21</c:v>
                </c:pt>
                <c:pt idx="582">
                  <c:v>26-Sep-21</c:v>
                </c:pt>
                <c:pt idx="583">
                  <c:v>03-Oct-21</c:v>
                </c:pt>
                <c:pt idx="584">
                  <c:v>10-Oct-21</c:v>
                </c:pt>
                <c:pt idx="585">
                  <c:v>17-Oct-21</c:v>
                </c:pt>
                <c:pt idx="586">
                  <c:v>24-Oct-21</c:v>
                </c:pt>
                <c:pt idx="587">
                  <c:v>31-Oct-21</c:v>
                </c:pt>
                <c:pt idx="588">
                  <c:v>07-Nov-21</c:v>
                </c:pt>
                <c:pt idx="589">
                  <c:v>14-Nov-21</c:v>
                </c:pt>
                <c:pt idx="590">
                  <c:v>21-Nov-21</c:v>
                </c:pt>
                <c:pt idx="591">
                  <c:v>28-Nov-21</c:v>
                </c:pt>
                <c:pt idx="592">
                  <c:v>05-Dec-21</c:v>
                </c:pt>
                <c:pt idx="593">
                  <c:v>12-Dec-21</c:v>
                </c:pt>
                <c:pt idx="594">
                  <c:v>19-Dec-21</c:v>
                </c:pt>
                <c:pt idx="595">
                  <c:v>26-Dec-21</c:v>
                </c:pt>
                <c:pt idx="596">
                  <c:v>02-Jan-22</c:v>
                </c:pt>
                <c:pt idx="597">
                  <c:v>09-Jan-22</c:v>
                </c:pt>
                <c:pt idx="598">
                  <c:v>16-Jan-22</c:v>
                </c:pt>
                <c:pt idx="599">
                  <c:v>23-Jan-22</c:v>
                </c:pt>
                <c:pt idx="600">
                  <c:v>30-Jan-22</c:v>
                </c:pt>
                <c:pt idx="601">
                  <c:v>06-Feb-22</c:v>
                </c:pt>
                <c:pt idx="602">
                  <c:v>13-Feb-22</c:v>
                </c:pt>
                <c:pt idx="603">
                  <c:v>20-Feb-22</c:v>
                </c:pt>
                <c:pt idx="604">
                  <c:v>27-Feb-22</c:v>
                </c:pt>
                <c:pt idx="605">
                  <c:v>06-Mar-22</c:v>
                </c:pt>
                <c:pt idx="606">
                  <c:v>13-Mar-22</c:v>
                </c:pt>
                <c:pt idx="607">
                  <c:v>20-Mar-22</c:v>
                </c:pt>
                <c:pt idx="608">
                  <c:v>27-Mar-22</c:v>
                </c:pt>
                <c:pt idx="609">
                  <c:v>03-Apr-22</c:v>
                </c:pt>
                <c:pt idx="610">
                  <c:v>10-Apr-22</c:v>
                </c:pt>
                <c:pt idx="611">
                  <c:v>17-Apr-22</c:v>
                </c:pt>
                <c:pt idx="612">
                  <c:v>24-Apr-22</c:v>
                </c:pt>
                <c:pt idx="613">
                  <c:v>01-May-22</c:v>
                </c:pt>
                <c:pt idx="614">
                  <c:v>08-May-22</c:v>
                </c:pt>
                <c:pt idx="615">
                  <c:v>15-May-22</c:v>
                </c:pt>
                <c:pt idx="616">
                  <c:v>22-May-22</c:v>
                </c:pt>
                <c:pt idx="617">
                  <c:v>29-May-22</c:v>
                </c:pt>
                <c:pt idx="618">
                  <c:v>05-Jun-22</c:v>
                </c:pt>
                <c:pt idx="619">
                  <c:v>12-Jun-22</c:v>
                </c:pt>
                <c:pt idx="620">
                  <c:v>19-Jun-22</c:v>
                </c:pt>
                <c:pt idx="621">
                  <c:v>26-Jun-22</c:v>
                </c:pt>
                <c:pt idx="622">
                  <c:v>03-Jul-22</c:v>
                </c:pt>
                <c:pt idx="623">
                  <c:v>10-Jul-22</c:v>
                </c:pt>
                <c:pt idx="624">
                  <c:v>17-Jul-22</c:v>
                </c:pt>
                <c:pt idx="625">
                  <c:v>24-Jul-22</c:v>
                </c:pt>
                <c:pt idx="626">
                  <c:v>31-Jul-22</c:v>
                </c:pt>
                <c:pt idx="627">
                  <c:v>07-Aug-22</c:v>
                </c:pt>
                <c:pt idx="628">
                  <c:v>14-Aug-22</c:v>
                </c:pt>
                <c:pt idx="629">
                  <c:v>21-Aug-22</c:v>
                </c:pt>
                <c:pt idx="630">
                  <c:v>28-Aug-22</c:v>
                </c:pt>
                <c:pt idx="631">
                  <c:v>04-Sep-22</c:v>
                </c:pt>
                <c:pt idx="632">
                  <c:v>11-Sep-22</c:v>
                </c:pt>
                <c:pt idx="633">
                  <c:v>18-Sep-22</c:v>
                </c:pt>
                <c:pt idx="634">
                  <c:v>25-Sep-22</c:v>
                </c:pt>
                <c:pt idx="635">
                  <c:v>02-Oct-22</c:v>
                </c:pt>
                <c:pt idx="636">
                  <c:v>09-Oct-22</c:v>
                </c:pt>
                <c:pt idx="637">
                  <c:v>16-Oct-22</c:v>
                </c:pt>
                <c:pt idx="638">
                  <c:v>23-Oct-22</c:v>
                </c:pt>
                <c:pt idx="639">
                  <c:v>30-Oct-22</c:v>
                </c:pt>
                <c:pt idx="640">
                  <c:v>06-Nov-22</c:v>
                </c:pt>
                <c:pt idx="641">
                  <c:v>13-Nov-22</c:v>
                </c:pt>
                <c:pt idx="642">
                  <c:v>20-Nov-22</c:v>
                </c:pt>
                <c:pt idx="643">
                  <c:v>27-Nov-22</c:v>
                </c:pt>
                <c:pt idx="644">
                  <c:v>04-Dec-22</c:v>
                </c:pt>
                <c:pt idx="645">
                  <c:v>11-Dec-22</c:v>
                </c:pt>
                <c:pt idx="646">
                  <c:v>18-Dec-22</c:v>
                </c:pt>
                <c:pt idx="647">
                  <c:v>25-Dec-22</c:v>
                </c:pt>
                <c:pt idx="648">
                  <c:v>01-Jan-23</c:v>
                </c:pt>
                <c:pt idx="649">
                  <c:v>08-Jan-23</c:v>
                </c:pt>
                <c:pt idx="650">
                  <c:v>15-Jan-23</c:v>
                </c:pt>
                <c:pt idx="651">
                  <c:v>22-Jan-23</c:v>
                </c:pt>
                <c:pt idx="652">
                  <c:v>29-Jan-23</c:v>
                </c:pt>
                <c:pt idx="653">
                  <c:v>05-Feb-23</c:v>
                </c:pt>
                <c:pt idx="654">
                  <c:v>12-Feb-23</c:v>
                </c:pt>
                <c:pt idx="655">
                  <c:v>19-Feb-23</c:v>
                </c:pt>
                <c:pt idx="656">
                  <c:v>26-Feb-23</c:v>
                </c:pt>
                <c:pt idx="657">
                  <c:v>05-Mar-23</c:v>
                </c:pt>
                <c:pt idx="658">
                  <c:v>12-Mar-23</c:v>
                </c:pt>
                <c:pt idx="659">
                  <c:v>19-Mar-23</c:v>
                </c:pt>
                <c:pt idx="660">
                  <c:v>26-Mar-23</c:v>
                </c:pt>
                <c:pt idx="661">
                  <c:v>02-Apr-23</c:v>
                </c:pt>
                <c:pt idx="662">
                  <c:v>09-Apr-23</c:v>
                </c:pt>
                <c:pt idx="663">
                  <c:v>16-Apr-23</c:v>
                </c:pt>
                <c:pt idx="664">
                  <c:v>23-Apr-23</c:v>
                </c:pt>
                <c:pt idx="665">
                  <c:v>30-Apr-23</c:v>
                </c:pt>
                <c:pt idx="666">
                  <c:v>07-May-23</c:v>
                </c:pt>
                <c:pt idx="667">
                  <c:v>14-May-23</c:v>
                </c:pt>
                <c:pt idx="668">
                  <c:v>21-May-23</c:v>
                </c:pt>
                <c:pt idx="669">
                  <c:v>28-May-23</c:v>
                </c:pt>
                <c:pt idx="670">
                  <c:v>04-Jun-23</c:v>
                </c:pt>
                <c:pt idx="671">
                  <c:v>11-Jun-23</c:v>
                </c:pt>
                <c:pt idx="672">
                  <c:v>18-Jun-23</c:v>
                </c:pt>
                <c:pt idx="673">
                  <c:v>25-Jun-23</c:v>
                </c:pt>
                <c:pt idx="674">
                  <c:v>02-Jul-23</c:v>
                </c:pt>
                <c:pt idx="675">
                  <c:v>09-Jul-23</c:v>
                </c:pt>
                <c:pt idx="676">
                  <c:v>16-Jul-23</c:v>
                </c:pt>
                <c:pt idx="677">
                  <c:v>23-Jul-23</c:v>
                </c:pt>
                <c:pt idx="678">
                  <c:v>30-Jul-23</c:v>
                </c:pt>
                <c:pt idx="679">
                  <c:v>06-Aug-23</c:v>
                </c:pt>
                <c:pt idx="680">
                  <c:v>13-Aug-23</c:v>
                </c:pt>
                <c:pt idx="681">
                  <c:v>20-Aug-23</c:v>
                </c:pt>
                <c:pt idx="682">
                  <c:v>27-Aug-23</c:v>
                </c:pt>
                <c:pt idx="683">
                  <c:v>03-Sep-23</c:v>
                </c:pt>
                <c:pt idx="684">
                  <c:v>10-Sep-23</c:v>
                </c:pt>
                <c:pt idx="685">
                  <c:v>17-Sep-23</c:v>
                </c:pt>
                <c:pt idx="686">
                  <c:v>24-Sep-23</c:v>
                </c:pt>
                <c:pt idx="687">
                  <c:v>01-Oct-23</c:v>
                </c:pt>
                <c:pt idx="688">
                  <c:v>08-Oct-23</c:v>
                </c:pt>
                <c:pt idx="689">
                  <c:v>15-Oct-23</c:v>
                </c:pt>
                <c:pt idx="690">
                  <c:v>22-Oct-23</c:v>
                </c:pt>
                <c:pt idx="691">
                  <c:v>29-Oct-23</c:v>
                </c:pt>
                <c:pt idx="692">
                  <c:v>05-Nov-23</c:v>
                </c:pt>
                <c:pt idx="693">
                  <c:v>12-Nov-23</c:v>
                </c:pt>
                <c:pt idx="694">
                  <c:v>19-Nov-23</c:v>
                </c:pt>
                <c:pt idx="695">
                  <c:v>26-Nov-23</c:v>
                </c:pt>
                <c:pt idx="696">
                  <c:v>03-Dec-23</c:v>
                </c:pt>
                <c:pt idx="697">
                  <c:v>10-Dec-23</c:v>
                </c:pt>
                <c:pt idx="698">
                  <c:v>17-Dec-23</c:v>
                </c:pt>
                <c:pt idx="699">
                  <c:v>24-Dec-23</c:v>
                </c:pt>
                <c:pt idx="700">
                  <c:v>31-Dec-23</c:v>
                </c:pt>
                <c:pt idx="701">
                  <c:v>07-Jan-24</c:v>
                </c:pt>
                <c:pt idx="702">
                  <c:v>14-Jan-24</c:v>
                </c:pt>
                <c:pt idx="703">
                  <c:v>21-Jan-24</c:v>
                </c:pt>
                <c:pt idx="704">
                  <c:v>28-Jan-24</c:v>
                </c:pt>
                <c:pt idx="705">
                  <c:v>04-Feb-24</c:v>
                </c:pt>
                <c:pt idx="706">
                  <c:v>11-Feb-24</c:v>
                </c:pt>
                <c:pt idx="707">
                  <c:v>18-Feb-24</c:v>
                </c:pt>
                <c:pt idx="708">
                  <c:v>25-Feb-24</c:v>
                </c:pt>
                <c:pt idx="709">
                  <c:v>03-Mar-24</c:v>
                </c:pt>
                <c:pt idx="710">
                  <c:v>10-Mar-24</c:v>
                </c:pt>
                <c:pt idx="711">
                  <c:v>17-Mar-24</c:v>
                </c:pt>
                <c:pt idx="712">
                  <c:v>24-Mar-24</c:v>
                </c:pt>
                <c:pt idx="713">
                  <c:v>31-Mar-24</c:v>
                </c:pt>
                <c:pt idx="714">
                  <c:v>07-Apr-24</c:v>
                </c:pt>
                <c:pt idx="715">
                  <c:v>14-Apr-24</c:v>
                </c:pt>
                <c:pt idx="716">
                  <c:v>21-Apr-24</c:v>
                </c:pt>
                <c:pt idx="717">
                  <c:v>28-Apr-24</c:v>
                </c:pt>
                <c:pt idx="718">
                  <c:v>05-May-24</c:v>
                </c:pt>
                <c:pt idx="719">
                  <c:v>12-May-24</c:v>
                </c:pt>
                <c:pt idx="720">
                  <c:v>19-May-24</c:v>
                </c:pt>
                <c:pt idx="721">
                  <c:v>26-May-24</c:v>
                </c:pt>
                <c:pt idx="722">
                  <c:v>02-Jun-24</c:v>
                </c:pt>
                <c:pt idx="723">
                  <c:v>09-Jun-24</c:v>
                </c:pt>
                <c:pt idx="724">
                  <c:v>16-Jun-24</c:v>
                </c:pt>
                <c:pt idx="725">
                  <c:v>23-Jun-24</c:v>
                </c:pt>
                <c:pt idx="726">
                  <c:v>30-Jun-24</c:v>
                </c:pt>
                <c:pt idx="727">
                  <c:v>07-Jul-24</c:v>
                </c:pt>
                <c:pt idx="728">
                  <c:v>14-Jul-24</c:v>
                </c:pt>
                <c:pt idx="729">
                  <c:v>21-Jul-24</c:v>
                </c:pt>
                <c:pt idx="730">
                  <c:v>28-Jul-24</c:v>
                </c:pt>
                <c:pt idx="731">
                  <c:v>04-Aug-24</c:v>
                </c:pt>
                <c:pt idx="732">
                  <c:v>11-Aug-24</c:v>
                </c:pt>
                <c:pt idx="733">
                  <c:v>18-Aug-24</c:v>
                </c:pt>
                <c:pt idx="734">
                  <c:v>25-Aug-24</c:v>
                </c:pt>
                <c:pt idx="735">
                  <c:v>01-Sep-24</c:v>
                </c:pt>
                <c:pt idx="736">
                  <c:v>08-Sep-24</c:v>
                </c:pt>
                <c:pt idx="737">
                  <c:v>15-Sep-24</c:v>
                </c:pt>
                <c:pt idx="738">
                  <c:v>22-Sep-24</c:v>
                </c:pt>
                <c:pt idx="739">
                  <c:v>29-Sep-24</c:v>
                </c:pt>
                <c:pt idx="740">
                  <c:v>06-Oct-24</c:v>
                </c:pt>
                <c:pt idx="741">
                  <c:v>13-Oct-24</c:v>
                </c:pt>
                <c:pt idx="742">
                  <c:v>20-Oct-24</c:v>
                </c:pt>
                <c:pt idx="743">
                  <c:v>27-Oct-24</c:v>
                </c:pt>
                <c:pt idx="744">
                  <c:v>03-Nov-24</c:v>
                </c:pt>
                <c:pt idx="745">
                  <c:v>10-Nov-24</c:v>
                </c:pt>
                <c:pt idx="746">
                  <c:v>17-Nov-24</c:v>
                </c:pt>
                <c:pt idx="747">
                  <c:v>24-Nov-24</c:v>
                </c:pt>
                <c:pt idx="748">
                  <c:v>01-Dec-24</c:v>
                </c:pt>
                <c:pt idx="749">
                  <c:v>08-Dec-24</c:v>
                </c:pt>
                <c:pt idx="750">
                  <c:v>15-Dec-24</c:v>
                </c:pt>
                <c:pt idx="751">
                  <c:v>22-Dec-24</c:v>
                </c:pt>
                <c:pt idx="752">
                  <c:v>29-Dec-24</c:v>
                </c:pt>
                <c:pt idx="753">
                  <c:v>05-Jan-25</c:v>
                </c:pt>
                <c:pt idx="754">
                  <c:v>12-Jan-25</c:v>
                </c:pt>
                <c:pt idx="755">
                  <c:v>19-Jan-25</c:v>
                </c:pt>
                <c:pt idx="756">
                  <c:v>26-Jan-25</c:v>
                </c:pt>
                <c:pt idx="757">
                  <c:v>02-Feb-25</c:v>
                </c:pt>
                <c:pt idx="758">
                  <c:v>09-Feb-25</c:v>
                </c:pt>
                <c:pt idx="759">
                  <c:v>16-Feb-25</c:v>
                </c:pt>
                <c:pt idx="760">
                  <c:v>23-Feb-25</c:v>
                </c:pt>
                <c:pt idx="761">
                  <c:v>02-Mar-25</c:v>
                </c:pt>
                <c:pt idx="762">
                  <c:v>09-Mar-25</c:v>
                </c:pt>
                <c:pt idx="763">
                  <c:v>16-Mar-25</c:v>
                </c:pt>
                <c:pt idx="764">
                  <c:v>23-Mar-25</c:v>
                </c:pt>
                <c:pt idx="765">
                  <c:v>30-Mar-25</c:v>
                </c:pt>
                <c:pt idx="766">
                  <c:v>06-Apr-25</c:v>
                </c:pt>
                <c:pt idx="767">
                  <c:v>13-Apr-25</c:v>
                </c:pt>
                <c:pt idx="768">
                  <c:v>20-Apr-25</c:v>
                </c:pt>
                <c:pt idx="769">
                  <c:v>27-Apr-25</c:v>
                </c:pt>
                <c:pt idx="770">
                  <c:v>04-May-25</c:v>
                </c:pt>
                <c:pt idx="771">
                  <c:v>11-May-25</c:v>
                </c:pt>
                <c:pt idx="772">
                  <c:v>18-May-25</c:v>
                </c:pt>
                <c:pt idx="773">
                  <c:v>25-May-25</c:v>
                </c:pt>
                <c:pt idx="774">
                  <c:v>01-Jun-25</c:v>
                </c:pt>
              </c:strCache>
            </c:strRef>
          </c:cat>
          <c:val>
            <c:numRef>
              <c:f>Sheet20!$B$4:$ACV$4</c:f>
              <c:numCache>
                <c:formatCode>General</c:formatCode>
                <c:ptCount val="775"/>
                <c:pt idx="0">
                  <c:v>97.834677146345271</c:v>
                </c:pt>
                <c:pt idx="1">
                  <c:v>95.373631268739274</c:v>
                </c:pt>
                <c:pt idx="2">
                  <c:v>93.655827468382981</c:v>
                </c:pt>
                <c:pt idx="3">
                  <c:v>92.764925595407846</c:v>
                </c:pt>
                <c:pt idx="4">
                  <c:v>91.29765737781608</c:v>
                </c:pt>
                <c:pt idx="5">
                  <c:v>91.756768445246735</c:v>
                </c:pt>
                <c:pt idx="6">
                  <c:v>91.308401843984058</c:v>
                </c:pt>
                <c:pt idx="7">
                  <c:v>91.780706451095966</c:v>
                </c:pt>
                <c:pt idx="8">
                  <c:v>91.581134590250514</c:v>
                </c:pt>
                <c:pt idx="9">
                  <c:v>92.453958085709544</c:v>
                </c:pt>
                <c:pt idx="10">
                  <c:v>93.805784762393827</c:v>
                </c:pt>
                <c:pt idx="11">
                  <c:v>93.061853270681866</c:v>
                </c:pt>
                <c:pt idx="12">
                  <c:v>92.87222627393291</c:v>
                </c:pt>
                <c:pt idx="13">
                  <c:v>92.616302590666692</c:v>
                </c:pt>
                <c:pt idx="14">
                  <c:v>91.501178763602582</c:v>
                </c:pt>
                <c:pt idx="15">
                  <c:v>90.986126884540738</c:v>
                </c:pt>
                <c:pt idx="16">
                  <c:v>92.68323852066456</c:v>
                </c:pt>
                <c:pt idx="17">
                  <c:v>91.691735200371383</c:v>
                </c:pt>
                <c:pt idx="18">
                  <c:v>92.114293607945086</c:v>
                </c:pt>
                <c:pt idx="19">
                  <c:v>89.894481431620832</c:v>
                </c:pt>
                <c:pt idx="20">
                  <c:v>89.695104812637609</c:v>
                </c:pt>
                <c:pt idx="21">
                  <c:v>91.346826376474169</c:v>
                </c:pt>
                <c:pt idx="22">
                  <c:v>91.167761598437735</c:v>
                </c:pt>
                <c:pt idx="23">
                  <c:v>91.323644706900069</c:v>
                </c:pt>
                <c:pt idx="24">
                  <c:v>94.228876859761016</c:v>
                </c:pt>
                <c:pt idx="25">
                  <c:v>90.431170857583268</c:v>
                </c:pt>
                <c:pt idx="26">
                  <c:v>88.21177847014836</c:v>
                </c:pt>
                <c:pt idx="27">
                  <c:v>86.586991132169985</c:v>
                </c:pt>
                <c:pt idx="28">
                  <c:v>87.138564471003164</c:v>
                </c:pt>
                <c:pt idx="29">
                  <c:v>87.300790889267546</c:v>
                </c:pt>
                <c:pt idx="30">
                  <c:v>86.345690724352707</c:v>
                </c:pt>
                <c:pt idx="31">
                  <c:v>85.224558427325064</c:v>
                </c:pt>
                <c:pt idx="32">
                  <c:v>83.71614794692789</c:v>
                </c:pt>
                <c:pt idx="33">
                  <c:v>82.713372232204463</c:v>
                </c:pt>
                <c:pt idx="34">
                  <c:v>82.774003745807207</c:v>
                </c:pt>
                <c:pt idx="35">
                  <c:v>82.103316442254624</c:v>
                </c:pt>
                <c:pt idx="36">
                  <c:v>79.414171325179822</c:v>
                </c:pt>
                <c:pt idx="37">
                  <c:v>78.995601003511311</c:v>
                </c:pt>
                <c:pt idx="38">
                  <c:v>78.904069599466411</c:v>
                </c:pt>
                <c:pt idx="39">
                  <c:v>80.887976211345858</c:v>
                </c:pt>
                <c:pt idx="40">
                  <c:v>82.528260229291831</c:v>
                </c:pt>
                <c:pt idx="41">
                  <c:v>81.13929323865456</c:v>
                </c:pt>
                <c:pt idx="42">
                  <c:v>82.072232322066469</c:v>
                </c:pt>
                <c:pt idx="43">
                  <c:v>81.757754233023107</c:v>
                </c:pt>
                <c:pt idx="44">
                  <c:v>82.529657438695736</c:v>
                </c:pt>
                <c:pt idx="45">
                  <c:v>83.461978283857036</c:v>
                </c:pt>
                <c:pt idx="46">
                  <c:v>83.791664865677546</c:v>
                </c:pt>
                <c:pt idx="47">
                  <c:v>83.095645445075988</c:v>
                </c:pt>
                <c:pt idx="48">
                  <c:v>82.876441575808087</c:v>
                </c:pt>
                <c:pt idx="49">
                  <c:v>79.449503993567902</c:v>
                </c:pt>
                <c:pt idx="50">
                  <c:v>76.401745333872938</c:v>
                </c:pt>
                <c:pt idx="51">
                  <c:v>75.777418458134207</c:v>
                </c:pt>
                <c:pt idx="52">
                  <c:v>75.830225314650264</c:v>
                </c:pt>
                <c:pt idx="53">
                  <c:v>73.419172600289798</c:v>
                </c:pt>
                <c:pt idx="54">
                  <c:v>71.304856166308241</c:v>
                </c:pt>
                <c:pt idx="55">
                  <c:v>74.296539378443441</c:v>
                </c:pt>
                <c:pt idx="56">
                  <c:v>73.961898894007462</c:v>
                </c:pt>
                <c:pt idx="57">
                  <c:v>72.915669172535445</c:v>
                </c:pt>
                <c:pt idx="58">
                  <c:v>70.790743460350356</c:v>
                </c:pt>
                <c:pt idx="59">
                  <c:v>71.234032060026195</c:v>
                </c:pt>
                <c:pt idx="60">
                  <c:v>70.863867263135091</c:v>
                </c:pt>
                <c:pt idx="61">
                  <c:v>71.932886994337949</c:v>
                </c:pt>
                <c:pt idx="62">
                  <c:v>71.397169388282236</c:v>
                </c:pt>
                <c:pt idx="63">
                  <c:v>69.951151130146471</c:v>
                </c:pt>
                <c:pt idx="64">
                  <c:v>69.916805359659094</c:v>
                </c:pt>
                <c:pt idx="65">
                  <c:v>68.726380727541752</c:v>
                </c:pt>
                <c:pt idx="66">
                  <c:v>67.006579755645518</c:v>
                </c:pt>
                <c:pt idx="67">
                  <c:v>65.945786346098913</c:v>
                </c:pt>
                <c:pt idx="68">
                  <c:v>66.447840728955853</c:v>
                </c:pt>
                <c:pt idx="69">
                  <c:v>65.714670854413924</c:v>
                </c:pt>
                <c:pt idx="70">
                  <c:v>66.36230211208094</c:v>
                </c:pt>
                <c:pt idx="71">
                  <c:v>67.676455931765148</c:v>
                </c:pt>
                <c:pt idx="72">
                  <c:v>68.00896955762434</c:v>
                </c:pt>
                <c:pt idx="73">
                  <c:v>67.293867516002223</c:v>
                </c:pt>
                <c:pt idx="74">
                  <c:v>68.437591083589055</c:v>
                </c:pt>
                <c:pt idx="75">
                  <c:v>67.894950779038794</c:v>
                </c:pt>
                <c:pt idx="76">
                  <c:v>67.716379136786216</c:v>
                </c:pt>
                <c:pt idx="77">
                  <c:v>69.506479338240169</c:v>
                </c:pt>
                <c:pt idx="78">
                  <c:v>69.533902653252412</c:v>
                </c:pt>
                <c:pt idx="79">
                  <c:v>68.374668271508426</c:v>
                </c:pt>
                <c:pt idx="80">
                  <c:v>66.795080317018076</c:v>
                </c:pt>
                <c:pt idx="81">
                  <c:v>67.371528658406248</c:v>
                </c:pt>
                <c:pt idx="82">
                  <c:v>69.546950825499295</c:v>
                </c:pt>
                <c:pt idx="83">
                  <c:v>70.79417951800697</c:v>
                </c:pt>
                <c:pt idx="84">
                  <c:v>71.207968071575792</c:v>
                </c:pt>
                <c:pt idx="85">
                  <c:v>72.043721535837591</c:v>
                </c:pt>
                <c:pt idx="86">
                  <c:v>73.114335478705542</c:v>
                </c:pt>
                <c:pt idx="87">
                  <c:v>72.039676574983019</c:v>
                </c:pt>
                <c:pt idx="88">
                  <c:v>72.341176773460205</c:v>
                </c:pt>
                <c:pt idx="89">
                  <c:v>72.377495010354636</c:v>
                </c:pt>
                <c:pt idx="90">
                  <c:v>71.718139630022137</c:v>
                </c:pt>
                <c:pt idx="91">
                  <c:v>71.360371748217304</c:v>
                </c:pt>
                <c:pt idx="92">
                  <c:v>71.835936457759757</c:v>
                </c:pt>
                <c:pt idx="93">
                  <c:v>69.515221124007766</c:v>
                </c:pt>
                <c:pt idx="94">
                  <c:v>68.126614870646847</c:v>
                </c:pt>
                <c:pt idx="95">
                  <c:v>63.966660105209478</c:v>
                </c:pt>
                <c:pt idx="96">
                  <c:v>62.201497333580193</c:v>
                </c:pt>
                <c:pt idx="97">
                  <c:v>65.961251442977883</c:v>
                </c:pt>
                <c:pt idx="98">
                  <c:v>65.18739147630221</c:v>
                </c:pt>
                <c:pt idx="99">
                  <c:v>65.00196112909083</c:v>
                </c:pt>
                <c:pt idx="100">
                  <c:v>64.498600226060887</c:v>
                </c:pt>
                <c:pt idx="101">
                  <c:v>62.772269227797054</c:v>
                </c:pt>
                <c:pt idx="102">
                  <c:v>63.370113056535722</c:v>
                </c:pt>
                <c:pt idx="103">
                  <c:v>64.686982713855272</c:v>
                </c:pt>
                <c:pt idx="104">
                  <c:v>64.287406556545633</c:v>
                </c:pt>
                <c:pt idx="105">
                  <c:v>65.317063132774848</c:v>
                </c:pt>
                <c:pt idx="106">
                  <c:v>63.845039448218273</c:v>
                </c:pt>
                <c:pt idx="107">
                  <c:v>62.2952404824984</c:v>
                </c:pt>
                <c:pt idx="108">
                  <c:v>66.606156673596885</c:v>
                </c:pt>
                <c:pt idx="109">
                  <c:v>68.898415929454302</c:v>
                </c:pt>
                <c:pt idx="110">
                  <c:v>69.250994477946861</c:v>
                </c:pt>
                <c:pt idx="111">
                  <c:v>67.863763034093253</c:v>
                </c:pt>
                <c:pt idx="112">
                  <c:v>66.172862981895435</c:v>
                </c:pt>
                <c:pt idx="113">
                  <c:v>68.301625102701621</c:v>
                </c:pt>
                <c:pt idx="114">
                  <c:v>67.323233624229957</c:v>
                </c:pt>
                <c:pt idx="115">
                  <c:v>66.375020490829073</c:v>
                </c:pt>
                <c:pt idx="116">
                  <c:v>68.880319164648157</c:v>
                </c:pt>
                <c:pt idx="117">
                  <c:v>68.663423449235694</c:v>
                </c:pt>
                <c:pt idx="118">
                  <c:v>67.710132787730288</c:v>
                </c:pt>
                <c:pt idx="119">
                  <c:v>65.573109109313535</c:v>
                </c:pt>
                <c:pt idx="120">
                  <c:v>67.490858731506052</c:v>
                </c:pt>
                <c:pt idx="121">
                  <c:v>68.756153425432004</c:v>
                </c:pt>
                <c:pt idx="122">
                  <c:v>67.762742967419229</c:v>
                </c:pt>
                <c:pt idx="123">
                  <c:v>71.580959244402081</c:v>
                </c:pt>
                <c:pt idx="124">
                  <c:v>71.320081958988823</c:v>
                </c:pt>
                <c:pt idx="125">
                  <c:v>73.671551722931724</c:v>
                </c:pt>
                <c:pt idx="126">
                  <c:v>73.178353128330187</c:v>
                </c:pt>
                <c:pt idx="127">
                  <c:v>73.435304097809151</c:v>
                </c:pt>
                <c:pt idx="128">
                  <c:v>75.617283495797196</c:v>
                </c:pt>
                <c:pt idx="129">
                  <c:v>72.717000419894475</c:v>
                </c:pt>
                <c:pt idx="130">
                  <c:v>72.664916984848844</c:v>
                </c:pt>
                <c:pt idx="131">
                  <c:v>74.284248740754023</c:v>
                </c:pt>
                <c:pt idx="132">
                  <c:v>74.439696379849366</c:v>
                </c:pt>
                <c:pt idx="133">
                  <c:v>74.235436376630474</c:v>
                </c:pt>
                <c:pt idx="134">
                  <c:v>74.096272240758722</c:v>
                </c:pt>
                <c:pt idx="135">
                  <c:v>74.319010372629549</c:v>
                </c:pt>
                <c:pt idx="136">
                  <c:v>73.510414437039842</c:v>
                </c:pt>
                <c:pt idx="137">
                  <c:v>72.948917535137923</c:v>
                </c:pt>
                <c:pt idx="138">
                  <c:v>73.928763463747586</c:v>
                </c:pt>
                <c:pt idx="139">
                  <c:v>73.872649569023181</c:v>
                </c:pt>
                <c:pt idx="140">
                  <c:v>71.559324005631197</c:v>
                </c:pt>
                <c:pt idx="141">
                  <c:v>73.709353916711407</c:v>
                </c:pt>
                <c:pt idx="142">
                  <c:v>75.013820618157524</c:v>
                </c:pt>
                <c:pt idx="143">
                  <c:v>74.909465113305785</c:v>
                </c:pt>
                <c:pt idx="144">
                  <c:v>76.483724052926476</c:v>
                </c:pt>
                <c:pt idx="145">
                  <c:v>73.173225913942048</c:v>
                </c:pt>
                <c:pt idx="146">
                  <c:v>70.865786862158856</c:v>
                </c:pt>
                <c:pt idx="147">
                  <c:v>71.913918620881702</c:v>
                </c:pt>
                <c:pt idx="148">
                  <c:v>70.535539002125006</c:v>
                </c:pt>
                <c:pt idx="149">
                  <c:v>70.400346863069146</c:v>
                </c:pt>
                <c:pt idx="150">
                  <c:v>70.978042581603262</c:v>
                </c:pt>
                <c:pt idx="151">
                  <c:v>71.941867995258249</c:v>
                </c:pt>
                <c:pt idx="152">
                  <c:v>73.439030437386464</c:v>
                </c:pt>
                <c:pt idx="153">
                  <c:v>74.098991212370251</c:v>
                </c:pt>
                <c:pt idx="154">
                  <c:v>74.264504716143165</c:v>
                </c:pt>
                <c:pt idx="155">
                  <c:v>73.886966707040543</c:v>
                </c:pt>
                <c:pt idx="156">
                  <c:v>76.140796040939833</c:v>
                </c:pt>
                <c:pt idx="157">
                  <c:v>78.314433539520522</c:v>
                </c:pt>
                <c:pt idx="158">
                  <c:v>80.759127841698145</c:v>
                </c:pt>
                <c:pt idx="159">
                  <c:v>76.964824927579187</c:v>
                </c:pt>
                <c:pt idx="160">
                  <c:v>78.183862616185209</c:v>
                </c:pt>
                <c:pt idx="161">
                  <c:v>79.477037725666861</c:v>
                </c:pt>
                <c:pt idx="162">
                  <c:v>80.12210076224666</c:v>
                </c:pt>
                <c:pt idx="163">
                  <c:v>82.919876918971241</c:v>
                </c:pt>
                <c:pt idx="164">
                  <c:v>83.185894068448718</c:v>
                </c:pt>
                <c:pt idx="165">
                  <c:v>82.628193374370895</c:v>
                </c:pt>
                <c:pt idx="166">
                  <c:v>79.583417705998798</c:v>
                </c:pt>
                <c:pt idx="167">
                  <c:v>82.541133870482568</c:v>
                </c:pt>
                <c:pt idx="168">
                  <c:v>82.788110870389247</c:v>
                </c:pt>
                <c:pt idx="169">
                  <c:v>80.042493782870579</c:v>
                </c:pt>
                <c:pt idx="170">
                  <c:v>78.598055085718443</c:v>
                </c:pt>
                <c:pt idx="171">
                  <c:v>81.62735671636095</c:v>
                </c:pt>
                <c:pt idx="172">
                  <c:v>80.976671718259468</c:v>
                </c:pt>
                <c:pt idx="173">
                  <c:v>81.935036184788231</c:v>
                </c:pt>
                <c:pt idx="174">
                  <c:v>82.008027083782437</c:v>
                </c:pt>
                <c:pt idx="175">
                  <c:v>82.567350958470414</c:v>
                </c:pt>
                <c:pt idx="176">
                  <c:v>82.380029655892358</c:v>
                </c:pt>
                <c:pt idx="177">
                  <c:v>86.748568431486746</c:v>
                </c:pt>
                <c:pt idx="178">
                  <c:v>85.98271011637884</c:v>
                </c:pt>
                <c:pt idx="179">
                  <c:v>83.810949681684747</c:v>
                </c:pt>
                <c:pt idx="180">
                  <c:v>81.282572068910881</c:v>
                </c:pt>
                <c:pt idx="181">
                  <c:v>79.364339265558229</c:v>
                </c:pt>
                <c:pt idx="182">
                  <c:v>80.283277621198167</c:v>
                </c:pt>
                <c:pt idx="183">
                  <c:v>76.150775527014929</c:v>
                </c:pt>
                <c:pt idx="184">
                  <c:v>74.994966055214263</c:v>
                </c:pt>
                <c:pt idx="185">
                  <c:v>72.633300653314237</c:v>
                </c:pt>
                <c:pt idx="186">
                  <c:v>70.475513715714598</c:v>
                </c:pt>
                <c:pt idx="187">
                  <c:v>71.478194148017877</c:v>
                </c:pt>
                <c:pt idx="188">
                  <c:v>69.374647584981915</c:v>
                </c:pt>
                <c:pt idx="189">
                  <c:v>67.623188607910933</c:v>
                </c:pt>
                <c:pt idx="190">
                  <c:v>70.136298728195612</c:v>
                </c:pt>
                <c:pt idx="191">
                  <c:v>72.067029977806143</c:v>
                </c:pt>
                <c:pt idx="192">
                  <c:v>71.717873473440022</c:v>
                </c:pt>
                <c:pt idx="193">
                  <c:v>71.267149219274927</c:v>
                </c:pt>
                <c:pt idx="194">
                  <c:v>73.409870173461215</c:v>
                </c:pt>
                <c:pt idx="195">
                  <c:v>71.868927487079489</c:v>
                </c:pt>
                <c:pt idx="196">
                  <c:v>72.42512233067157</c:v>
                </c:pt>
                <c:pt idx="197">
                  <c:v>73.060624862629894</c:v>
                </c:pt>
                <c:pt idx="198">
                  <c:v>71.870232977788163</c:v>
                </c:pt>
                <c:pt idx="199">
                  <c:v>74.222280702135564</c:v>
                </c:pt>
                <c:pt idx="200">
                  <c:v>73.95760418337639</c:v>
                </c:pt>
                <c:pt idx="201">
                  <c:v>74.589642697761761</c:v>
                </c:pt>
                <c:pt idx="202">
                  <c:v>75.403381169057511</c:v>
                </c:pt>
                <c:pt idx="203">
                  <c:v>73.686984496669353</c:v>
                </c:pt>
                <c:pt idx="204">
                  <c:v>72.495170453523272</c:v>
                </c:pt>
                <c:pt idx="205">
                  <c:v>72.74663459084104</c:v>
                </c:pt>
                <c:pt idx="206">
                  <c:v>71.570816129305626</c:v>
                </c:pt>
                <c:pt idx="207">
                  <c:v>69.292918080273282</c:v>
                </c:pt>
                <c:pt idx="208">
                  <c:v>71.525108826816336</c:v>
                </c:pt>
                <c:pt idx="209">
                  <c:v>70.445575801230973</c:v>
                </c:pt>
                <c:pt idx="210">
                  <c:v>70.008307453042548</c:v>
                </c:pt>
                <c:pt idx="211">
                  <c:v>71.366811175465784</c:v>
                </c:pt>
                <c:pt idx="212">
                  <c:v>69.940767993378401</c:v>
                </c:pt>
                <c:pt idx="213">
                  <c:v>67.349269953924562</c:v>
                </c:pt>
                <c:pt idx="214">
                  <c:v>67.912207076565366</c:v>
                </c:pt>
                <c:pt idx="215">
                  <c:v>68.83177338483047</c:v>
                </c:pt>
                <c:pt idx="216">
                  <c:v>68.853677516914246</c:v>
                </c:pt>
                <c:pt idx="217">
                  <c:v>67.910409594864149</c:v>
                </c:pt>
                <c:pt idx="218">
                  <c:v>67.296579040673322</c:v>
                </c:pt>
                <c:pt idx="219">
                  <c:v>68.152779738633626</c:v>
                </c:pt>
                <c:pt idx="220">
                  <c:v>69.565871410173173</c:v>
                </c:pt>
                <c:pt idx="221">
                  <c:v>69.91517813968963</c:v>
                </c:pt>
                <c:pt idx="222">
                  <c:v>72.967713885431735</c:v>
                </c:pt>
                <c:pt idx="223">
                  <c:v>72.404093136696915</c:v>
                </c:pt>
                <c:pt idx="224">
                  <c:v>72.113111032981365</c:v>
                </c:pt>
                <c:pt idx="225">
                  <c:v>73.225239572735077</c:v>
                </c:pt>
                <c:pt idx="226">
                  <c:v>73.692985630099344</c:v>
                </c:pt>
                <c:pt idx="227">
                  <c:v>72.624359279182869</c:v>
                </c:pt>
                <c:pt idx="228">
                  <c:v>70.13853272554293</c:v>
                </c:pt>
                <c:pt idx="229">
                  <c:v>71.572928658855886</c:v>
                </c:pt>
                <c:pt idx="230">
                  <c:v>71.599947447048621</c:v>
                </c:pt>
                <c:pt idx="231">
                  <c:v>71.224176532470565</c:v>
                </c:pt>
                <c:pt idx="232">
                  <c:v>65.640964882959949</c:v>
                </c:pt>
                <c:pt idx="233">
                  <c:v>63.896366372704961</c:v>
                </c:pt>
                <c:pt idx="234">
                  <c:v>66.934101237112358</c:v>
                </c:pt>
                <c:pt idx="235">
                  <c:v>64.065050709850638</c:v>
                </c:pt>
                <c:pt idx="236">
                  <c:v>67.130248791625746</c:v>
                </c:pt>
                <c:pt idx="237">
                  <c:v>68.721173049262887</c:v>
                </c:pt>
                <c:pt idx="238">
                  <c:v>70.463017209632241</c:v>
                </c:pt>
                <c:pt idx="239">
                  <c:v>69.295303052566524</c:v>
                </c:pt>
                <c:pt idx="240">
                  <c:v>71.540256987274873</c:v>
                </c:pt>
                <c:pt idx="241">
                  <c:v>72.56426578379363</c:v>
                </c:pt>
                <c:pt idx="242">
                  <c:v>68.27662094948623</c:v>
                </c:pt>
                <c:pt idx="243">
                  <c:v>68.797160127871408</c:v>
                </c:pt>
                <c:pt idx="244">
                  <c:v>68.751828567895473</c:v>
                </c:pt>
                <c:pt idx="245">
                  <c:v>69.053171611414953</c:v>
                </c:pt>
                <c:pt idx="246">
                  <c:v>68.879319643589099</c:v>
                </c:pt>
                <c:pt idx="247">
                  <c:v>66.316694163180529</c:v>
                </c:pt>
                <c:pt idx="248">
                  <c:v>68.934706174553128</c:v>
                </c:pt>
                <c:pt idx="249">
                  <c:v>71.297042318850572</c:v>
                </c:pt>
                <c:pt idx="250">
                  <c:v>71.30078130564651</c:v>
                </c:pt>
                <c:pt idx="251">
                  <c:v>74.311266505630101</c:v>
                </c:pt>
                <c:pt idx="252">
                  <c:v>72.394115332583496</c:v>
                </c:pt>
                <c:pt idx="253">
                  <c:v>70.632435304884325</c:v>
                </c:pt>
                <c:pt idx="254">
                  <c:v>71.706976768452989</c:v>
                </c:pt>
                <c:pt idx="255">
                  <c:v>71.225969432645499</c:v>
                </c:pt>
                <c:pt idx="256">
                  <c:v>70.623644941232683</c:v>
                </c:pt>
                <c:pt idx="257">
                  <c:v>69.924595606444427</c:v>
                </c:pt>
                <c:pt idx="258">
                  <c:v>67.916256738482247</c:v>
                </c:pt>
                <c:pt idx="259">
                  <c:v>72.254591899052912</c:v>
                </c:pt>
                <c:pt idx="260">
                  <c:v>74.665993977149157</c:v>
                </c:pt>
                <c:pt idx="261">
                  <c:v>74.295054402670701</c:v>
                </c:pt>
                <c:pt idx="262">
                  <c:v>77.554142224097049</c:v>
                </c:pt>
                <c:pt idx="263">
                  <c:v>78.208632665809034</c:v>
                </c:pt>
                <c:pt idx="264">
                  <c:v>82.140174132733691</c:v>
                </c:pt>
                <c:pt idx="265">
                  <c:v>81.47864367458061</c:v>
                </c:pt>
                <c:pt idx="266">
                  <c:v>80.650340748287476</c:v>
                </c:pt>
                <c:pt idx="267">
                  <c:v>76.556731227658858</c:v>
                </c:pt>
                <c:pt idx="268">
                  <c:v>72.930134971299381</c:v>
                </c:pt>
                <c:pt idx="269">
                  <c:v>70.626660433330983</c:v>
                </c:pt>
                <c:pt idx="270">
                  <c:v>69.672209736910162</c:v>
                </c:pt>
                <c:pt idx="271">
                  <c:v>71.076877356384529</c:v>
                </c:pt>
                <c:pt idx="272">
                  <c:v>70.59370130107763</c:v>
                </c:pt>
                <c:pt idx="273">
                  <c:v>68.483273448034865</c:v>
                </c:pt>
                <c:pt idx="274">
                  <c:v>67.112353970594626</c:v>
                </c:pt>
                <c:pt idx="275">
                  <c:v>67.777056678558608</c:v>
                </c:pt>
                <c:pt idx="276">
                  <c:v>67.072443564249198</c:v>
                </c:pt>
                <c:pt idx="277">
                  <c:v>66.472760139958339</c:v>
                </c:pt>
                <c:pt idx="278">
                  <c:v>64.948818767423404</c:v>
                </c:pt>
                <c:pt idx="279">
                  <c:v>59.545277332928741</c:v>
                </c:pt>
                <c:pt idx="280">
                  <c:v>49.051253377569807</c:v>
                </c:pt>
                <c:pt idx="281">
                  <c:v>50.004698505465115</c:v>
                </c:pt>
                <c:pt idx="282">
                  <c:v>55.77128202391409</c:v>
                </c:pt>
                <c:pt idx="283">
                  <c:v>54.055396063871967</c:v>
                </c:pt>
                <c:pt idx="284">
                  <c:v>51.969903421529352</c:v>
                </c:pt>
                <c:pt idx="285">
                  <c:v>49.373943354836172</c:v>
                </c:pt>
                <c:pt idx="286">
                  <c:v>48.180479885741931</c:v>
                </c:pt>
                <c:pt idx="287">
                  <c:v>52.938810028732682</c:v>
                </c:pt>
                <c:pt idx="288">
                  <c:v>52.19446974629664</c:v>
                </c:pt>
                <c:pt idx="289">
                  <c:v>49.337577933886806</c:v>
                </c:pt>
                <c:pt idx="290">
                  <c:v>47.789121645897112</c:v>
                </c:pt>
                <c:pt idx="291">
                  <c:v>41.831599876369673</c:v>
                </c:pt>
                <c:pt idx="292">
                  <c:v>50.366517342127132</c:v>
                </c:pt>
                <c:pt idx="293">
                  <c:v>51.675264484293891</c:v>
                </c:pt>
                <c:pt idx="294">
                  <c:v>50.435892857406728</c:v>
                </c:pt>
                <c:pt idx="295">
                  <c:v>50.571625279178214</c:v>
                </c:pt>
                <c:pt idx="296">
                  <c:v>50.633448033359123</c:v>
                </c:pt>
                <c:pt idx="297">
                  <c:v>49.661399547920126</c:v>
                </c:pt>
                <c:pt idx="298">
                  <c:v>50.027471481288302</c:v>
                </c:pt>
                <c:pt idx="299">
                  <c:v>52.364707717809175</c:v>
                </c:pt>
                <c:pt idx="300">
                  <c:v>52.960582466249008</c:v>
                </c:pt>
                <c:pt idx="301">
                  <c:v>51.286655914835023</c:v>
                </c:pt>
                <c:pt idx="302">
                  <c:v>50.962407469486294</c:v>
                </c:pt>
                <c:pt idx="303">
                  <c:v>51.472748821498783</c:v>
                </c:pt>
                <c:pt idx="304">
                  <c:v>51.984818736371693</c:v>
                </c:pt>
                <c:pt idx="305">
                  <c:v>51.876087199997265</c:v>
                </c:pt>
                <c:pt idx="306">
                  <c:v>48.202850941546608</c:v>
                </c:pt>
                <c:pt idx="307">
                  <c:v>49.558118234773787</c:v>
                </c:pt>
                <c:pt idx="308">
                  <c:v>46.753659840688094</c:v>
                </c:pt>
                <c:pt idx="309">
                  <c:v>49.285525945187032</c:v>
                </c:pt>
                <c:pt idx="310">
                  <c:v>46.241208965348847</c:v>
                </c:pt>
                <c:pt idx="311">
                  <c:v>45.413899867805057</c:v>
                </c:pt>
                <c:pt idx="312">
                  <c:v>45.589616964514683</c:v>
                </c:pt>
                <c:pt idx="313">
                  <c:v>49.631148833710753</c:v>
                </c:pt>
                <c:pt idx="314">
                  <c:v>50.246957352999772</c:v>
                </c:pt>
                <c:pt idx="315">
                  <c:v>52.23785911755418</c:v>
                </c:pt>
                <c:pt idx="316">
                  <c:v>50.528612181391779</c:v>
                </c:pt>
                <c:pt idx="317">
                  <c:v>49.255592156953675</c:v>
                </c:pt>
                <c:pt idx="318">
                  <c:v>51.74620198985874</c:v>
                </c:pt>
                <c:pt idx="319">
                  <c:v>52.261644408661425</c:v>
                </c:pt>
                <c:pt idx="320">
                  <c:v>52.633793178015104</c:v>
                </c:pt>
                <c:pt idx="321">
                  <c:v>53.439451594121401</c:v>
                </c:pt>
                <c:pt idx="322">
                  <c:v>54.1130006328858</c:v>
                </c:pt>
                <c:pt idx="323">
                  <c:v>52.612702683625358</c:v>
                </c:pt>
                <c:pt idx="324">
                  <c:v>51.550751002274836</c:v>
                </c:pt>
                <c:pt idx="325">
                  <c:v>49.465834575158091</c:v>
                </c:pt>
                <c:pt idx="326">
                  <c:v>50.402456395286379</c:v>
                </c:pt>
                <c:pt idx="327">
                  <c:v>49.030377770584039</c:v>
                </c:pt>
                <c:pt idx="328">
                  <c:v>48.39717709577117</c:v>
                </c:pt>
                <c:pt idx="329">
                  <c:v>48.290363096387502</c:v>
                </c:pt>
                <c:pt idx="330">
                  <c:v>47.064368092704719</c:v>
                </c:pt>
                <c:pt idx="331">
                  <c:v>46.933292820437309</c:v>
                </c:pt>
                <c:pt idx="332">
                  <c:v>48.288043016223909</c:v>
                </c:pt>
                <c:pt idx="333">
                  <c:v>48.735068580043695</c:v>
                </c:pt>
                <c:pt idx="334">
                  <c:v>48.331711279899942</c:v>
                </c:pt>
                <c:pt idx="335">
                  <c:v>47.024113200965786</c:v>
                </c:pt>
                <c:pt idx="336">
                  <c:v>49.543689634859469</c:v>
                </c:pt>
                <c:pt idx="337">
                  <c:v>50.273217619277133</c:v>
                </c:pt>
                <c:pt idx="338">
                  <c:v>50.717119378907498</c:v>
                </c:pt>
                <c:pt idx="339">
                  <c:v>52.064323276320174</c:v>
                </c:pt>
                <c:pt idx="340">
                  <c:v>51.185905173872854</c:v>
                </c:pt>
                <c:pt idx="341">
                  <c:v>51.783185072936689</c:v>
                </c:pt>
                <c:pt idx="342">
                  <c:v>51.441569794988418</c:v>
                </c:pt>
                <c:pt idx="343">
                  <c:v>50.711789627478289</c:v>
                </c:pt>
                <c:pt idx="344">
                  <c:v>52.269489034058083</c:v>
                </c:pt>
                <c:pt idx="345">
                  <c:v>50.912150286562856</c:v>
                </c:pt>
                <c:pt idx="346">
                  <c:v>50.922357374083127</c:v>
                </c:pt>
                <c:pt idx="347">
                  <c:v>50.180496119661406</c:v>
                </c:pt>
                <c:pt idx="348">
                  <c:v>49.770592618102292</c:v>
                </c:pt>
                <c:pt idx="349">
                  <c:v>50.265821969143076</c:v>
                </c:pt>
                <c:pt idx="350">
                  <c:v>50.382253065132467</c:v>
                </c:pt>
                <c:pt idx="351">
                  <c:v>51.020699826375278</c:v>
                </c:pt>
                <c:pt idx="352">
                  <c:v>51.125275043301038</c:v>
                </c:pt>
                <c:pt idx="353">
                  <c:v>49.728409165764845</c:v>
                </c:pt>
                <c:pt idx="354">
                  <c:v>48.418498228384657</c:v>
                </c:pt>
                <c:pt idx="355">
                  <c:v>48.04895991884004</c:v>
                </c:pt>
                <c:pt idx="356">
                  <c:v>46.633199077073918</c:v>
                </c:pt>
                <c:pt idx="357">
                  <c:v>48.119386140065451</c:v>
                </c:pt>
                <c:pt idx="358">
                  <c:v>48.099949959534293</c:v>
                </c:pt>
                <c:pt idx="359">
                  <c:v>49.170223301230308</c:v>
                </c:pt>
                <c:pt idx="360">
                  <c:v>48.891966545993192</c:v>
                </c:pt>
                <c:pt idx="361">
                  <c:v>48.80193616200765</c:v>
                </c:pt>
                <c:pt idx="362">
                  <c:v>47.956519953171941</c:v>
                </c:pt>
                <c:pt idx="363">
                  <c:v>46.611689072316707</c:v>
                </c:pt>
                <c:pt idx="364">
                  <c:v>48.620025387593707</c:v>
                </c:pt>
                <c:pt idx="365">
                  <c:v>46.671942331801695</c:v>
                </c:pt>
                <c:pt idx="366">
                  <c:v>48.123711768711395</c:v>
                </c:pt>
                <c:pt idx="367">
                  <c:v>47.090138776556081</c:v>
                </c:pt>
                <c:pt idx="368">
                  <c:v>46.097262556779135</c:v>
                </c:pt>
                <c:pt idx="369">
                  <c:v>46.903480673373849</c:v>
                </c:pt>
                <c:pt idx="370">
                  <c:v>46.289576209702368</c:v>
                </c:pt>
                <c:pt idx="371">
                  <c:v>46.7128072804556</c:v>
                </c:pt>
                <c:pt idx="372">
                  <c:v>43.740207058173759</c:v>
                </c:pt>
                <c:pt idx="373">
                  <c:v>44.701069003206086</c:v>
                </c:pt>
                <c:pt idx="374">
                  <c:v>43.630182443830023</c:v>
                </c:pt>
                <c:pt idx="375">
                  <c:v>43.458687293875009</c:v>
                </c:pt>
                <c:pt idx="376">
                  <c:v>43.438165161864944</c:v>
                </c:pt>
                <c:pt idx="377">
                  <c:v>44.128543000110923</c:v>
                </c:pt>
                <c:pt idx="378">
                  <c:v>45.015644896879749</c:v>
                </c:pt>
                <c:pt idx="379">
                  <c:v>45.288742127378868</c:v>
                </c:pt>
                <c:pt idx="380">
                  <c:v>45.0317924686399</c:v>
                </c:pt>
                <c:pt idx="381">
                  <c:v>44.431552751644489</c:v>
                </c:pt>
                <c:pt idx="382">
                  <c:v>45.908177966947427</c:v>
                </c:pt>
                <c:pt idx="383">
                  <c:v>45.189007133661057</c:v>
                </c:pt>
                <c:pt idx="384">
                  <c:v>43.436026855092912</c:v>
                </c:pt>
                <c:pt idx="385">
                  <c:v>44.225115950995679</c:v>
                </c:pt>
                <c:pt idx="386">
                  <c:v>44.645346559549203</c:v>
                </c:pt>
                <c:pt idx="387">
                  <c:v>44.979914384302184</c:v>
                </c:pt>
                <c:pt idx="388">
                  <c:v>45.689871981165147</c:v>
                </c:pt>
                <c:pt idx="389">
                  <c:v>45.085153652429803</c:v>
                </c:pt>
                <c:pt idx="390">
                  <c:v>45.880752076382393</c:v>
                </c:pt>
                <c:pt idx="391">
                  <c:v>46.112969546426434</c:v>
                </c:pt>
                <c:pt idx="392">
                  <c:v>46.359779465734967</c:v>
                </c:pt>
                <c:pt idx="393">
                  <c:v>44.306376789725775</c:v>
                </c:pt>
                <c:pt idx="394">
                  <c:v>44.527272377982726</c:v>
                </c:pt>
                <c:pt idx="395">
                  <c:v>45.954443307917792</c:v>
                </c:pt>
                <c:pt idx="396">
                  <c:v>44.29380827076168</c:v>
                </c:pt>
                <c:pt idx="397">
                  <c:v>43.586626743384798</c:v>
                </c:pt>
                <c:pt idx="398">
                  <c:v>42.381700583356491</c:v>
                </c:pt>
                <c:pt idx="399">
                  <c:v>42.052688926798055</c:v>
                </c:pt>
                <c:pt idx="400">
                  <c:v>39.784231929498176</c:v>
                </c:pt>
                <c:pt idx="401">
                  <c:v>40.11654339320058</c:v>
                </c:pt>
                <c:pt idx="402">
                  <c:v>39.04805822498372</c:v>
                </c:pt>
                <c:pt idx="403">
                  <c:v>39.606359366633725</c:v>
                </c:pt>
                <c:pt idx="404">
                  <c:v>40.797736816463065</c:v>
                </c:pt>
                <c:pt idx="405">
                  <c:v>41.322477944056281</c:v>
                </c:pt>
                <c:pt idx="406">
                  <c:v>40.183235245182217</c:v>
                </c:pt>
                <c:pt idx="407">
                  <c:v>40.124973724188074</c:v>
                </c:pt>
                <c:pt idx="408">
                  <c:v>39.796921179011733</c:v>
                </c:pt>
                <c:pt idx="409">
                  <c:v>40.26366963372066</c:v>
                </c:pt>
                <c:pt idx="410">
                  <c:v>39.861309928017121</c:v>
                </c:pt>
                <c:pt idx="411">
                  <c:v>40.610390669771128</c:v>
                </c:pt>
                <c:pt idx="412">
                  <c:v>38.902967363265589</c:v>
                </c:pt>
                <c:pt idx="413">
                  <c:v>40.294883729171744</c:v>
                </c:pt>
                <c:pt idx="414">
                  <c:v>41.228292962796949</c:v>
                </c:pt>
                <c:pt idx="415">
                  <c:v>41.412241076145285</c:v>
                </c:pt>
                <c:pt idx="416">
                  <c:v>40.611627317749729</c:v>
                </c:pt>
                <c:pt idx="417">
                  <c:v>42.180010601120799</c:v>
                </c:pt>
                <c:pt idx="418">
                  <c:v>41.670767230816992</c:v>
                </c:pt>
                <c:pt idx="419">
                  <c:v>39.933747239703884</c:v>
                </c:pt>
                <c:pt idx="420">
                  <c:v>40.852822230389322</c:v>
                </c:pt>
                <c:pt idx="421">
                  <c:v>41.278097054789072</c:v>
                </c:pt>
                <c:pt idx="422">
                  <c:v>41.551765470197033</c:v>
                </c:pt>
                <c:pt idx="423">
                  <c:v>41.176683729515695</c:v>
                </c:pt>
                <c:pt idx="424">
                  <c:v>39.878942802615022</c:v>
                </c:pt>
                <c:pt idx="425">
                  <c:v>47.335973038854839</c:v>
                </c:pt>
                <c:pt idx="426">
                  <c:v>47.227006556006053</c:v>
                </c:pt>
                <c:pt idx="427">
                  <c:v>44.6848216816865</c:v>
                </c:pt>
                <c:pt idx="428">
                  <c:v>43.780666662482396</c:v>
                </c:pt>
                <c:pt idx="429">
                  <c:v>43.013253036516367</c:v>
                </c:pt>
                <c:pt idx="430">
                  <c:v>41.64193869463638</c:v>
                </c:pt>
                <c:pt idx="431">
                  <c:v>45.853197901468775</c:v>
                </c:pt>
                <c:pt idx="432">
                  <c:v>48.412302559111126</c:v>
                </c:pt>
                <c:pt idx="433">
                  <c:v>48.283811288678145</c:v>
                </c:pt>
                <c:pt idx="434">
                  <c:v>50.096270476395901</c:v>
                </c:pt>
                <c:pt idx="435">
                  <c:v>51.50383970236755</c:v>
                </c:pt>
                <c:pt idx="436">
                  <c:v>50.740529508574049</c:v>
                </c:pt>
                <c:pt idx="437">
                  <c:v>50.515674406771403</c:v>
                </c:pt>
                <c:pt idx="438">
                  <c:v>50.198968851288086</c:v>
                </c:pt>
                <c:pt idx="439">
                  <c:v>50.44440417599386</c:v>
                </c:pt>
                <c:pt idx="440">
                  <c:v>50.438115668300924</c:v>
                </c:pt>
                <c:pt idx="441">
                  <c:v>50.483598186733573</c:v>
                </c:pt>
                <c:pt idx="442">
                  <c:v>51.499307208254521</c:v>
                </c:pt>
                <c:pt idx="443">
                  <c:v>52.641441618013232</c:v>
                </c:pt>
                <c:pt idx="444">
                  <c:v>51.032468568590289</c:v>
                </c:pt>
                <c:pt idx="445">
                  <c:v>52.8383490697151</c:v>
                </c:pt>
                <c:pt idx="446">
                  <c:v>52.964789452026814</c:v>
                </c:pt>
                <c:pt idx="447">
                  <c:v>53.235932575614051</c:v>
                </c:pt>
                <c:pt idx="448">
                  <c:v>56.350358032172359</c:v>
                </c:pt>
                <c:pt idx="449">
                  <c:v>58.267723745357308</c:v>
                </c:pt>
                <c:pt idx="450">
                  <c:v>59.184434719030747</c:v>
                </c:pt>
                <c:pt idx="451">
                  <c:v>59.703242268765123</c:v>
                </c:pt>
                <c:pt idx="452">
                  <c:v>57.530823880305171</c:v>
                </c:pt>
                <c:pt idx="453">
                  <c:v>59.278738632420584</c:v>
                </c:pt>
                <c:pt idx="454">
                  <c:v>58.766155786332206</c:v>
                </c:pt>
                <c:pt idx="455">
                  <c:v>59.246424670773912</c:v>
                </c:pt>
                <c:pt idx="456">
                  <c:v>59.455008892848795</c:v>
                </c:pt>
                <c:pt idx="457">
                  <c:v>59.324462056527842</c:v>
                </c:pt>
                <c:pt idx="458">
                  <c:v>59.39654150565547</c:v>
                </c:pt>
                <c:pt idx="459">
                  <c:v>58.712303529633253</c:v>
                </c:pt>
                <c:pt idx="460">
                  <c:v>55.818768054251613</c:v>
                </c:pt>
                <c:pt idx="461">
                  <c:v>56.282126740247492</c:v>
                </c:pt>
                <c:pt idx="462">
                  <c:v>56.120310750128745</c:v>
                </c:pt>
                <c:pt idx="463">
                  <c:v>56.550040083517381</c:v>
                </c:pt>
                <c:pt idx="464">
                  <c:v>55.542524483816358</c:v>
                </c:pt>
                <c:pt idx="465">
                  <c:v>54.86323907081713</c:v>
                </c:pt>
                <c:pt idx="466">
                  <c:v>56.730948425707794</c:v>
                </c:pt>
                <c:pt idx="467">
                  <c:v>56.548057693755162</c:v>
                </c:pt>
                <c:pt idx="468">
                  <c:v>55.216749432459167</c:v>
                </c:pt>
                <c:pt idx="469">
                  <c:v>55.812154597017859</c:v>
                </c:pt>
                <c:pt idx="470">
                  <c:v>53.923822083820255</c:v>
                </c:pt>
                <c:pt idx="471">
                  <c:v>54.251054059130681</c:v>
                </c:pt>
                <c:pt idx="472">
                  <c:v>51.380929874375255</c:v>
                </c:pt>
                <c:pt idx="473">
                  <c:v>51.655248762306002</c:v>
                </c:pt>
                <c:pt idx="474">
                  <c:v>58.083212000834649</c:v>
                </c:pt>
                <c:pt idx="475">
                  <c:v>59.182755440220717</c:v>
                </c:pt>
                <c:pt idx="476">
                  <c:v>62.156278121841517</c:v>
                </c:pt>
                <c:pt idx="477">
                  <c:v>63.026541445308098</c:v>
                </c:pt>
                <c:pt idx="478">
                  <c:v>64.174444935424802</c:v>
                </c:pt>
                <c:pt idx="479">
                  <c:v>68.409713368739475</c:v>
                </c:pt>
                <c:pt idx="480">
                  <c:v>69.937265458984115</c:v>
                </c:pt>
                <c:pt idx="481">
                  <c:v>68.631876505800648</c:v>
                </c:pt>
                <c:pt idx="482">
                  <c:v>66.795869191675905</c:v>
                </c:pt>
                <c:pt idx="483">
                  <c:v>66.794349613843096</c:v>
                </c:pt>
                <c:pt idx="484">
                  <c:v>69.891790908072323</c:v>
                </c:pt>
                <c:pt idx="485">
                  <c:v>70.736068717680695</c:v>
                </c:pt>
                <c:pt idx="486">
                  <c:v>72.009687114145308</c:v>
                </c:pt>
                <c:pt idx="487">
                  <c:v>72.134121611876125</c:v>
                </c:pt>
                <c:pt idx="488">
                  <c:v>74.494382069310063</c:v>
                </c:pt>
                <c:pt idx="489">
                  <c:v>76.05372724572895</c:v>
                </c:pt>
                <c:pt idx="490">
                  <c:v>77.047158129313345</c:v>
                </c:pt>
                <c:pt idx="491">
                  <c:v>75.983968941374286</c:v>
                </c:pt>
                <c:pt idx="492">
                  <c:v>74.65650166548744</c:v>
                </c:pt>
                <c:pt idx="493">
                  <c:v>77.118339750491984</c:v>
                </c:pt>
                <c:pt idx="494">
                  <c:v>77.055625675404116</c:v>
                </c:pt>
                <c:pt idx="495">
                  <c:v>71.794201619181592</c:v>
                </c:pt>
                <c:pt idx="496">
                  <c:v>72.919270287210111</c:v>
                </c:pt>
                <c:pt idx="497">
                  <c:v>74.293001367313806</c:v>
                </c:pt>
                <c:pt idx="498">
                  <c:v>78.248213918396701</c:v>
                </c:pt>
                <c:pt idx="499">
                  <c:v>76.018473868316846</c:v>
                </c:pt>
                <c:pt idx="500">
                  <c:v>72.095499241578736</c:v>
                </c:pt>
                <c:pt idx="501">
                  <c:v>71.369494591480702</c:v>
                </c:pt>
                <c:pt idx="502">
                  <c:v>69.279962329069718</c:v>
                </c:pt>
                <c:pt idx="503">
                  <c:v>51.935271807060644</c:v>
                </c:pt>
                <c:pt idx="504">
                  <c:v>56.74698414909895</c:v>
                </c:pt>
                <c:pt idx="505">
                  <c:v>54.631866114152523</c:v>
                </c:pt>
                <c:pt idx="506">
                  <c:v>58.501109073430854</c:v>
                </c:pt>
                <c:pt idx="507">
                  <c:v>56.844231423854161</c:v>
                </c:pt>
                <c:pt idx="508">
                  <c:v>51.53024167344924</c:v>
                </c:pt>
                <c:pt idx="509">
                  <c:v>53.937777605931828</c:v>
                </c:pt>
                <c:pt idx="510">
                  <c:v>52.20255099130901</c:v>
                </c:pt>
                <c:pt idx="511">
                  <c:v>51.905463772421783</c:v>
                </c:pt>
                <c:pt idx="512">
                  <c:v>55.747636459231778</c:v>
                </c:pt>
                <c:pt idx="513">
                  <c:v>58.231345266202304</c:v>
                </c:pt>
                <c:pt idx="514">
                  <c:v>62.258811158158537</c:v>
                </c:pt>
                <c:pt idx="515">
                  <c:v>58.106416681435697</c:v>
                </c:pt>
                <c:pt idx="516">
                  <c:v>57.187252459660499</c:v>
                </c:pt>
                <c:pt idx="517">
                  <c:v>56.546256659400377</c:v>
                </c:pt>
                <c:pt idx="518">
                  <c:v>54.348452437484887</c:v>
                </c:pt>
                <c:pt idx="519">
                  <c:v>56.901848276807144</c:v>
                </c:pt>
                <c:pt idx="520">
                  <c:v>56.369022598592437</c:v>
                </c:pt>
                <c:pt idx="521">
                  <c:v>55.783050375319867</c:v>
                </c:pt>
                <c:pt idx="522">
                  <c:v>53.143933244044341</c:v>
                </c:pt>
                <c:pt idx="523">
                  <c:v>53.364075070332539</c:v>
                </c:pt>
                <c:pt idx="524">
                  <c:v>56.893518595584545</c:v>
                </c:pt>
                <c:pt idx="525">
                  <c:v>56.259843293188894</c:v>
                </c:pt>
                <c:pt idx="526">
                  <c:v>55.147970714417561</c:v>
                </c:pt>
                <c:pt idx="527">
                  <c:v>57.320186258934157</c:v>
                </c:pt>
                <c:pt idx="528">
                  <c:v>59.573288706072738</c:v>
                </c:pt>
                <c:pt idx="529">
                  <c:v>59.425034549423955</c:v>
                </c:pt>
                <c:pt idx="530">
                  <c:v>58.397730813094405</c:v>
                </c:pt>
                <c:pt idx="531">
                  <c:v>58.64730842421649</c:v>
                </c:pt>
                <c:pt idx="532">
                  <c:v>58.912059703357933</c:v>
                </c:pt>
                <c:pt idx="533">
                  <c:v>62.497781182390966</c:v>
                </c:pt>
                <c:pt idx="534">
                  <c:v>64.075385100773445</c:v>
                </c:pt>
                <c:pt idx="535">
                  <c:v>59.810499234410372</c:v>
                </c:pt>
                <c:pt idx="536">
                  <c:v>60.922749979302864</c:v>
                </c:pt>
                <c:pt idx="537">
                  <c:v>61.133731148565111</c:v>
                </c:pt>
                <c:pt idx="538">
                  <c:v>65.323738508032108</c:v>
                </c:pt>
                <c:pt idx="539">
                  <c:v>67.08114433308819</c:v>
                </c:pt>
                <c:pt idx="540">
                  <c:v>65.610269298154535</c:v>
                </c:pt>
                <c:pt idx="541">
                  <c:v>70.208071177616247</c:v>
                </c:pt>
                <c:pt idx="542">
                  <c:v>72.179670268843694</c:v>
                </c:pt>
                <c:pt idx="543">
                  <c:v>71.763323164408106</c:v>
                </c:pt>
                <c:pt idx="544">
                  <c:v>72.893874942170385</c:v>
                </c:pt>
                <c:pt idx="545">
                  <c:v>69.18553458438852</c:v>
                </c:pt>
                <c:pt idx="546">
                  <c:v>70.525472067858189</c:v>
                </c:pt>
                <c:pt idx="547">
                  <c:v>71.681937435671443</c:v>
                </c:pt>
                <c:pt idx="548">
                  <c:v>69.29105211591002</c:v>
                </c:pt>
                <c:pt idx="549">
                  <c:v>73.74414853378434</c:v>
                </c:pt>
                <c:pt idx="550">
                  <c:v>75.19430315018279</c:v>
                </c:pt>
                <c:pt idx="551">
                  <c:v>77.635780744405523</c:v>
                </c:pt>
                <c:pt idx="552">
                  <c:v>79.954202863292309</c:v>
                </c:pt>
                <c:pt idx="553">
                  <c:v>84.222346615617539</c:v>
                </c:pt>
                <c:pt idx="554">
                  <c:v>84.519344858190522</c:v>
                </c:pt>
                <c:pt idx="555">
                  <c:v>84.678261770381098</c:v>
                </c:pt>
                <c:pt idx="556">
                  <c:v>87.913896291731419</c:v>
                </c:pt>
                <c:pt idx="557">
                  <c:v>85.448593992747533</c:v>
                </c:pt>
                <c:pt idx="558">
                  <c:v>86.542538096081827</c:v>
                </c:pt>
                <c:pt idx="559">
                  <c:v>85.688230547269768</c:v>
                </c:pt>
                <c:pt idx="560">
                  <c:v>85.355478485046604</c:v>
                </c:pt>
                <c:pt idx="561">
                  <c:v>83.449082915877199</c:v>
                </c:pt>
                <c:pt idx="562">
                  <c:v>79.33142423782779</c:v>
                </c:pt>
                <c:pt idx="563">
                  <c:v>76.814258062677496</c:v>
                </c:pt>
                <c:pt idx="564">
                  <c:v>74.092711010602969</c:v>
                </c:pt>
                <c:pt idx="565">
                  <c:v>74.974439004334116</c:v>
                </c:pt>
                <c:pt idx="566">
                  <c:v>76.855557029884082</c:v>
                </c:pt>
                <c:pt idx="567">
                  <c:v>76.888770275304481</c:v>
                </c:pt>
                <c:pt idx="568">
                  <c:v>77.43663454124939</c:v>
                </c:pt>
                <c:pt idx="569">
                  <c:v>80.267878981284085</c:v>
                </c:pt>
                <c:pt idx="570">
                  <c:v>79.566838676856634</c:v>
                </c:pt>
                <c:pt idx="571">
                  <c:v>78.436390704956835</c:v>
                </c:pt>
                <c:pt idx="572">
                  <c:v>76.82627325480685</c:v>
                </c:pt>
                <c:pt idx="573">
                  <c:v>76.7682301589671</c:v>
                </c:pt>
                <c:pt idx="574">
                  <c:v>79.496331376321081</c:v>
                </c:pt>
                <c:pt idx="575">
                  <c:v>80.423114860119213</c:v>
                </c:pt>
                <c:pt idx="576">
                  <c:v>79.030711894800035</c:v>
                </c:pt>
                <c:pt idx="577">
                  <c:v>74.239891355313873</c:v>
                </c:pt>
                <c:pt idx="578">
                  <c:v>76.729825999878813</c:v>
                </c:pt>
                <c:pt idx="579">
                  <c:v>74.051614580614626</c:v>
                </c:pt>
                <c:pt idx="580">
                  <c:v>70.993707604562445</c:v>
                </c:pt>
                <c:pt idx="581">
                  <c:v>71.809689719278794</c:v>
                </c:pt>
                <c:pt idx="582">
                  <c:v>72.809621645163759</c:v>
                </c:pt>
                <c:pt idx="583">
                  <c:v>70.061399372446687</c:v>
                </c:pt>
                <c:pt idx="584">
                  <c:v>77.275181206890565</c:v>
                </c:pt>
                <c:pt idx="585">
                  <c:v>76.801681487174378</c:v>
                </c:pt>
                <c:pt idx="586">
                  <c:v>75.046220170051711</c:v>
                </c:pt>
                <c:pt idx="587">
                  <c:v>74.638054995139072</c:v>
                </c:pt>
                <c:pt idx="588">
                  <c:v>78.064667963371775</c:v>
                </c:pt>
                <c:pt idx="589">
                  <c:v>72.609419740808477</c:v>
                </c:pt>
                <c:pt idx="590">
                  <c:v>73.248908689589712</c:v>
                </c:pt>
                <c:pt idx="591">
                  <c:v>68.966795521563895</c:v>
                </c:pt>
                <c:pt idx="592">
                  <c:v>74.461897023592257</c:v>
                </c:pt>
                <c:pt idx="593">
                  <c:v>73.760103172838839</c:v>
                </c:pt>
                <c:pt idx="594">
                  <c:v>74.007776117633369</c:v>
                </c:pt>
                <c:pt idx="595">
                  <c:v>74.192480754380384</c:v>
                </c:pt>
                <c:pt idx="596">
                  <c:v>73.753705328868705</c:v>
                </c:pt>
                <c:pt idx="597">
                  <c:v>77.148490521189203</c:v>
                </c:pt>
                <c:pt idx="598">
                  <c:v>73.550322368957026</c:v>
                </c:pt>
                <c:pt idx="599">
                  <c:v>71.93004761781917</c:v>
                </c:pt>
                <c:pt idx="600">
                  <c:v>74.381584664753674</c:v>
                </c:pt>
                <c:pt idx="601">
                  <c:v>72.593187821196281</c:v>
                </c:pt>
                <c:pt idx="602">
                  <c:v>73.352201383920374</c:v>
                </c:pt>
                <c:pt idx="603">
                  <c:v>72.455991682135434</c:v>
                </c:pt>
                <c:pt idx="604">
                  <c:v>77.186672462170748</c:v>
                </c:pt>
                <c:pt idx="605">
                  <c:v>73.760909734565971</c:v>
                </c:pt>
                <c:pt idx="606">
                  <c:v>69.194420308959408</c:v>
                </c:pt>
                <c:pt idx="607">
                  <c:v>71.077757085868825</c:v>
                </c:pt>
                <c:pt idx="608">
                  <c:v>67.401616699463574</c:v>
                </c:pt>
                <c:pt idx="609">
                  <c:v>66.080617096702326</c:v>
                </c:pt>
                <c:pt idx="610">
                  <c:v>65.860949458458265</c:v>
                </c:pt>
                <c:pt idx="611">
                  <c:v>64.195058010224585</c:v>
                </c:pt>
                <c:pt idx="612">
                  <c:v>63.438653612900254</c:v>
                </c:pt>
                <c:pt idx="613">
                  <c:v>62.863854762539283</c:v>
                </c:pt>
                <c:pt idx="614">
                  <c:v>62.047959597506292</c:v>
                </c:pt>
                <c:pt idx="615">
                  <c:v>66.984360493364832</c:v>
                </c:pt>
                <c:pt idx="616">
                  <c:v>64.389042773541291</c:v>
                </c:pt>
                <c:pt idx="617">
                  <c:v>66.43454441443609</c:v>
                </c:pt>
                <c:pt idx="618">
                  <c:v>66.027496532321877</c:v>
                </c:pt>
                <c:pt idx="619">
                  <c:v>63.089462280353743</c:v>
                </c:pt>
                <c:pt idx="620">
                  <c:v>65.768575085330369</c:v>
                </c:pt>
                <c:pt idx="621">
                  <c:v>66.139145038102598</c:v>
                </c:pt>
                <c:pt idx="622">
                  <c:v>64.31507983392116</c:v>
                </c:pt>
                <c:pt idx="623">
                  <c:v>65.606817930477405</c:v>
                </c:pt>
                <c:pt idx="624">
                  <c:v>60.618881018877865</c:v>
                </c:pt>
                <c:pt idx="625">
                  <c:v>61.472564593687856</c:v>
                </c:pt>
                <c:pt idx="626">
                  <c:v>63.244135308031353</c:v>
                </c:pt>
                <c:pt idx="627">
                  <c:v>62.568115588492866</c:v>
                </c:pt>
                <c:pt idx="628">
                  <c:v>65.930714125987961</c:v>
                </c:pt>
                <c:pt idx="629">
                  <c:v>62.064412440944075</c:v>
                </c:pt>
                <c:pt idx="630">
                  <c:v>63.190456161991882</c:v>
                </c:pt>
                <c:pt idx="631">
                  <c:v>63.867740639176695</c:v>
                </c:pt>
                <c:pt idx="632">
                  <c:v>65.662576636179892</c:v>
                </c:pt>
                <c:pt idx="633">
                  <c:v>66.134662239197212</c:v>
                </c:pt>
                <c:pt idx="634">
                  <c:v>63.838158721043364</c:v>
                </c:pt>
                <c:pt idx="635">
                  <c:v>62.579103790876026</c:v>
                </c:pt>
                <c:pt idx="636">
                  <c:v>63.278056227572883</c:v>
                </c:pt>
                <c:pt idx="637">
                  <c:v>66.228145056682408</c:v>
                </c:pt>
                <c:pt idx="638">
                  <c:v>64.805521433140981</c:v>
                </c:pt>
                <c:pt idx="639">
                  <c:v>67.785210583573829</c:v>
                </c:pt>
                <c:pt idx="640">
                  <c:v>68.750990717475815</c:v>
                </c:pt>
                <c:pt idx="641">
                  <c:v>64.078168086138504</c:v>
                </c:pt>
                <c:pt idx="642">
                  <c:v>65.431804115701894</c:v>
                </c:pt>
                <c:pt idx="643">
                  <c:v>63.563143555237914</c:v>
                </c:pt>
                <c:pt idx="644">
                  <c:v>61.7567910031905</c:v>
                </c:pt>
                <c:pt idx="645">
                  <c:v>61.169351721330266</c:v>
                </c:pt>
                <c:pt idx="646">
                  <c:v>59.714434206242871</c:v>
                </c:pt>
                <c:pt idx="647">
                  <c:v>60.801100243085351</c:v>
                </c:pt>
                <c:pt idx="648">
                  <c:v>61.578894593617001</c:v>
                </c:pt>
                <c:pt idx="649">
                  <c:v>60.693407598901388</c:v>
                </c:pt>
                <c:pt idx="650">
                  <c:v>59.287771523061714</c:v>
                </c:pt>
                <c:pt idx="651">
                  <c:v>55.938432535485148</c:v>
                </c:pt>
                <c:pt idx="652">
                  <c:v>55.056456160152408</c:v>
                </c:pt>
                <c:pt idx="653">
                  <c:v>56.851186568900999</c:v>
                </c:pt>
                <c:pt idx="654">
                  <c:v>54.68183591609948</c:v>
                </c:pt>
                <c:pt idx="655">
                  <c:v>53.561242143412052</c:v>
                </c:pt>
                <c:pt idx="656">
                  <c:v>54.210683745401695</c:v>
                </c:pt>
                <c:pt idx="657">
                  <c:v>51.978280821453808</c:v>
                </c:pt>
                <c:pt idx="658">
                  <c:v>52.4395456005117</c:v>
                </c:pt>
                <c:pt idx="659">
                  <c:v>49.992136477993817</c:v>
                </c:pt>
                <c:pt idx="660">
                  <c:v>47.892881412771658</c:v>
                </c:pt>
                <c:pt idx="661">
                  <c:v>46.63146403053581</c:v>
                </c:pt>
                <c:pt idx="662">
                  <c:v>45.123533710304137</c:v>
                </c:pt>
                <c:pt idx="663">
                  <c:v>46.627888325638985</c:v>
                </c:pt>
                <c:pt idx="664">
                  <c:v>49.666936061685355</c:v>
                </c:pt>
                <c:pt idx="665">
                  <c:v>49.001562336582175</c:v>
                </c:pt>
                <c:pt idx="666">
                  <c:v>47.760651252192169</c:v>
                </c:pt>
                <c:pt idx="667">
                  <c:v>47.645425932268097</c:v>
                </c:pt>
                <c:pt idx="668">
                  <c:v>47.607520629298421</c:v>
                </c:pt>
                <c:pt idx="669">
                  <c:v>46.742215333161361</c:v>
                </c:pt>
                <c:pt idx="670">
                  <c:v>46.812485244270512</c:v>
                </c:pt>
                <c:pt idx="671">
                  <c:v>47.149727925007447</c:v>
                </c:pt>
                <c:pt idx="672">
                  <c:v>46.485717987026867</c:v>
                </c:pt>
                <c:pt idx="673">
                  <c:v>43.225120344737768</c:v>
                </c:pt>
                <c:pt idx="674">
                  <c:v>42.222459661084081</c:v>
                </c:pt>
                <c:pt idx="675">
                  <c:v>42.393514445564101</c:v>
                </c:pt>
                <c:pt idx="676">
                  <c:v>43.788091665074617</c:v>
                </c:pt>
                <c:pt idx="677">
                  <c:v>45.127927242096767</c:v>
                </c:pt>
                <c:pt idx="678">
                  <c:v>45.846543253840728</c:v>
                </c:pt>
                <c:pt idx="679">
                  <c:v>43.893744379338173</c:v>
                </c:pt>
                <c:pt idx="680">
                  <c:v>43.46562936835867</c:v>
                </c:pt>
                <c:pt idx="681">
                  <c:v>41.71321837614444</c:v>
                </c:pt>
                <c:pt idx="682">
                  <c:v>41.378651586226447</c:v>
                </c:pt>
                <c:pt idx="683">
                  <c:v>38.807567293409925</c:v>
                </c:pt>
                <c:pt idx="684">
                  <c:v>36.818729154292598</c:v>
                </c:pt>
                <c:pt idx="685">
                  <c:v>39.250044771180498</c:v>
                </c:pt>
                <c:pt idx="686">
                  <c:v>39.860930174558639</c:v>
                </c:pt>
                <c:pt idx="687">
                  <c:v>41.73466435626019</c:v>
                </c:pt>
                <c:pt idx="688">
                  <c:v>38.182781298990648</c:v>
                </c:pt>
                <c:pt idx="689">
                  <c:v>39.350311891124278</c:v>
                </c:pt>
                <c:pt idx="690">
                  <c:v>37.281164934054352</c:v>
                </c:pt>
                <c:pt idx="691">
                  <c:v>36.502075521190292</c:v>
                </c:pt>
                <c:pt idx="692">
                  <c:v>38.159748834631081</c:v>
                </c:pt>
                <c:pt idx="693">
                  <c:v>37.543981949696366</c:v>
                </c:pt>
                <c:pt idx="694">
                  <c:v>38.360876930714646</c:v>
                </c:pt>
                <c:pt idx="695">
                  <c:v>38.210893343705514</c:v>
                </c:pt>
                <c:pt idx="696">
                  <c:v>35.868872985075818</c:v>
                </c:pt>
                <c:pt idx="697">
                  <c:v>36.778218141939497</c:v>
                </c:pt>
                <c:pt idx="698">
                  <c:v>38.024627456449387</c:v>
                </c:pt>
                <c:pt idx="699">
                  <c:v>40.500803909127605</c:v>
                </c:pt>
                <c:pt idx="700">
                  <c:v>41.517540874246308</c:v>
                </c:pt>
                <c:pt idx="701">
                  <c:v>40.745045050480044</c:v>
                </c:pt>
                <c:pt idx="702">
                  <c:v>40.019642270115604</c:v>
                </c:pt>
                <c:pt idx="703">
                  <c:v>40.316973605899122</c:v>
                </c:pt>
                <c:pt idx="704">
                  <c:v>39.255084810506865</c:v>
                </c:pt>
                <c:pt idx="705">
                  <c:v>37.524276017992378</c:v>
                </c:pt>
                <c:pt idx="706">
                  <c:v>35.326873037182978</c:v>
                </c:pt>
                <c:pt idx="707">
                  <c:v>37.01255484964593</c:v>
                </c:pt>
                <c:pt idx="708">
                  <c:v>36.934098955100751</c:v>
                </c:pt>
                <c:pt idx="709">
                  <c:v>36.085780160774206</c:v>
                </c:pt>
                <c:pt idx="710">
                  <c:v>34.814769305788545</c:v>
                </c:pt>
                <c:pt idx="711">
                  <c:v>37.016081785130865</c:v>
                </c:pt>
                <c:pt idx="712">
                  <c:v>36.970423723374822</c:v>
                </c:pt>
                <c:pt idx="713">
                  <c:v>35.234312857168675</c:v>
                </c:pt>
                <c:pt idx="714">
                  <c:v>35.778203246839702</c:v>
                </c:pt>
                <c:pt idx="715">
                  <c:v>37.574124770598061</c:v>
                </c:pt>
                <c:pt idx="716">
                  <c:v>36.418655125386572</c:v>
                </c:pt>
                <c:pt idx="717">
                  <c:v>33.431528202709025</c:v>
                </c:pt>
                <c:pt idx="718">
                  <c:v>34.820880755860593</c:v>
                </c:pt>
                <c:pt idx="719">
                  <c:v>35.732704979869609</c:v>
                </c:pt>
                <c:pt idx="720">
                  <c:v>37.734446492273818</c:v>
                </c:pt>
                <c:pt idx="721">
                  <c:v>36.547009236794807</c:v>
                </c:pt>
                <c:pt idx="722">
                  <c:v>33.622064597005618</c:v>
                </c:pt>
                <c:pt idx="723">
                  <c:v>32.442478835177695</c:v>
                </c:pt>
                <c:pt idx="724">
                  <c:v>33.825604763140859</c:v>
                </c:pt>
                <c:pt idx="725">
                  <c:v>35.85446030820173</c:v>
                </c:pt>
                <c:pt idx="726">
                  <c:v>35.507877612138138</c:v>
                </c:pt>
                <c:pt idx="727">
                  <c:v>35.74175937652587</c:v>
                </c:pt>
                <c:pt idx="728">
                  <c:v>35.020027155029275</c:v>
                </c:pt>
                <c:pt idx="729">
                  <c:v>35.152744273328132</c:v>
                </c:pt>
                <c:pt idx="730">
                  <c:v>37.600158516933675</c:v>
                </c:pt>
                <c:pt idx="731">
                  <c:v>37.029236200205887</c:v>
                </c:pt>
                <c:pt idx="732">
                  <c:v>35.737856232582487</c:v>
                </c:pt>
                <c:pt idx="733">
                  <c:v>36.46096175232698</c:v>
                </c:pt>
                <c:pt idx="734">
                  <c:v>37.420243568697181</c:v>
                </c:pt>
                <c:pt idx="735">
                  <c:v>35.136878695799744</c:v>
                </c:pt>
                <c:pt idx="736">
                  <c:v>35.572452835430489</c:v>
                </c:pt>
                <c:pt idx="737">
                  <c:v>36.046081744572525</c:v>
                </c:pt>
                <c:pt idx="738">
                  <c:v>37.96943070886001</c:v>
                </c:pt>
                <c:pt idx="739">
                  <c:v>37.276436850166988</c:v>
                </c:pt>
                <c:pt idx="740">
                  <c:v>38.579286815822186</c:v>
                </c:pt>
                <c:pt idx="741">
                  <c:v>38.767842248836821</c:v>
                </c:pt>
                <c:pt idx="742">
                  <c:v>39.059456452408121</c:v>
                </c:pt>
                <c:pt idx="743">
                  <c:v>41.885059478322049</c:v>
                </c:pt>
                <c:pt idx="744">
                  <c:v>41.434542052247842</c:v>
                </c:pt>
                <c:pt idx="745">
                  <c:v>40.549302883903813</c:v>
                </c:pt>
                <c:pt idx="746">
                  <c:v>40.654138760414114</c:v>
                </c:pt>
                <c:pt idx="747">
                  <c:v>39.167083412375661</c:v>
                </c:pt>
                <c:pt idx="748">
                  <c:v>39.244777684920365</c:v>
                </c:pt>
                <c:pt idx="749">
                  <c:v>38.727944960725651</c:v>
                </c:pt>
                <c:pt idx="750">
                  <c:v>38.224389747138886</c:v>
                </c:pt>
                <c:pt idx="751">
                  <c:v>38.395124643870616</c:v>
                </c:pt>
                <c:pt idx="752">
                  <c:v>37.866872703907326</c:v>
                </c:pt>
                <c:pt idx="753">
                  <c:v>37.528348802389168</c:v>
                </c:pt>
                <c:pt idx="754">
                  <c:v>39.372184384239567</c:v>
                </c:pt>
                <c:pt idx="755">
                  <c:v>38.15917655058923</c:v>
                </c:pt>
                <c:pt idx="756">
                  <c:v>36.798671488877702</c:v>
                </c:pt>
                <c:pt idx="757">
                  <c:v>37.743254559105154</c:v>
                </c:pt>
                <c:pt idx="758">
                  <c:v>36.045487646904085</c:v>
                </c:pt>
                <c:pt idx="759">
                  <c:v>36.090498126018765</c:v>
                </c:pt>
                <c:pt idx="760">
                  <c:v>35.440999138505198</c:v>
                </c:pt>
                <c:pt idx="761">
                  <c:v>35.178244570318007</c:v>
                </c:pt>
                <c:pt idx="762">
                  <c:v>39.786713395996955</c:v>
                </c:pt>
                <c:pt idx="763">
                  <c:v>38.37473325040812</c:v>
                </c:pt>
                <c:pt idx="764">
                  <c:v>39.492643766909325</c:v>
                </c:pt>
                <c:pt idx="765">
                  <c:v>39.563965526066603</c:v>
                </c:pt>
                <c:pt idx="766">
                  <c:v>34.847181328318314</c:v>
                </c:pt>
                <c:pt idx="767">
                  <c:v>36.422105972792629</c:v>
                </c:pt>
                <c:pt idx="768">
                  <c:v>38.374854827627587</c:v>
                </c:pt>
                <c:pt idx="769">
                  <c:v>36.480223342690806</c:v>
                </c:pt>
                <c:pt idx="770">
                  <c:v>37.499549768265943</c:v>
                </c:pt>
                <c:pt idx="771">
                  <c:v>37.379085535543091</c:v>
                </c:pt>
                <c:pt idx="772">
                  <c:v>37.981921935724074</c:v>
                </c:pt>
                <c:pt idx="773">
                  <c:v>42.935509217417199</c:v>
                </c:pt>
                <c:pt idx="774">
                  <c:v>40.833184781909111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E1-5945-B4F1-BD2FDCA64D7A}"/>
            </c:ext>
          </c:extLst>
        </c:ser>
        <c:ser>
          <c:idx val="4"/>
          <c:order val="3"/>
          <c:tx>
            <c:strRef>
              <c:f>Sheet20!$A$5</c:f>
              <c:strCache>
                <c:ptCount val="1"/>
                <c:pt idx="0">
                  <c:v>Return(Basic Materials)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Sheet20!$B$1:$ACV$1</c:f>
              <c:strCache>
                <c:ptCount val="775"/>
                <c:pt idx="0">
                  <c:v>01-Aug-10</c:v>
                </c:pt>
                <c:pt idx="1">
                  <c:v>08-Aug-10</c:v>
                </c:pt>
                <c:pt idx="2">
                  <c:v>15-Aug-10</c:v>
                </c:pt>
                <c:pt idx="3">
                  <c:v>22-Aug-10</c:v>
                </c:pt>
                <c:pt idx="4">
                  <c:v>29-Aug-10</c:v>
                </c:pt>
                <c:pt idx="5">
                  <c:v>05-Sep-10</c:v>
                </c:pt>
                <c:pt idx="6">
                  <c:v>12-Sep-10</c:v>
                </c:pt>
                <c:pt idx="7">
                  <c:v>19-Sep-10</c:v>
                </c:pt>
                <c:pt idx="8">
                  <c:v>26-Sep-10</c:v>
                </c:pt>
                <c:pt idx="9">
                  <c:v>03-Oct-10</c:v>
                </c:pt>
                <c:pt idx="10">
                  <c:v>10-Oct-10</c:v>
                </c:pt>
                <c:pt idx="11">
                  <c:v>17-Oct-10</c:v>
                </c:pt>
                <c:pt idx="12">
                  <c:v>24-Oct-10</c:v>
                </c:pt>
                <c:pt idx="13">
                  <c:v>31-Oct-10</c:v>
                </c:pt>
                <c:pt idx="14">
                  <c:v>07-Nov-10</c:v>
                </c:pt>
                <c:pt idx="15">
                  <c:v>14-Nov-10</c:v>
                </c:pt>
                <c:pt idx="16">
                  <c:v>21-Nov-10</c:v>
                </c:pt>
                <c:pt idx="17">
                  <c:v>28-Nov-10</c:v>
                </c:pt>
                <c:pt idx="18">
                  <c:v>05-Dec-10</c:v>
                </c:pt>
                <c:pt idx="19">
                  <c:v>12-Dec-10</c:v>
                </c:pt>
                <c:pt idx="20">
                  <c:v>19-Dec-10</c:v>
                </c:pt>
                <c:pt idx="21">
                  <c:v>26-Dec-10</c:v>
                </c:pt>
                <c:pt idx="22">
                  <c:v>02-Jan-11</c:v>
                </c:pt>
                <c:pt idx="23">
                  <c:v>09-Jan-11</c:v>
                </c:pt>
                <c:pt idx="24">
                  <c:v>16-Jan-11</c:v>
                </c:pt>
                <c:pt idx="25">
                  <c:v>23-Jan-11</c:v>
                </c:pt>
                <c:pt idx="26">
                  <c:v>30-Jan-11</c:v>
                </c:pt>
                <c:pt idx="27">
                  <c:v>06-Feb-11</c:v>
                </c:pt>
                <c:pt idx="28">
                  <c:v>13-Feb-11</c:v>
                </c:pt>
                <c:pt idx="29">
                  <c:v>20-Feb-11</c:v>
                </c:pt>
                <c:pt idx="30">
                  <c:v>27-Feb-11</c:v>
                </c:pt>
                <c:pt idx="31">
                  <c:v>06-Mar-11</c:v>
                </c:pt>
                <c:pt idx="32">
                  <c:v>13-Mar-11</c:v>
                </c:pt>
                <c:pt idx="33">
                  <c:v>20-Mar-11</c:v>
                </c:pt>
                <c:pt idx="34">
                  <c:v>27-Mar-11</c:v>
                </c:pt>
                <c:pt idx="35">
                  <c:v>03-Apr-11</c:v>
                </c:pt>
                <c:pt idx="36">
                  <c:v>10-Apr-11</c:v>
                </c:pt>
                <c:pt idx="37">
                  <c:v>17-Apr-11</c:v>
                </c:pt>
                <c:pt idx="38">
                  <c:v>24-Apr-11</c:v>
                </c:pt>
                <c:pt idx="39">
                  <c:v>01-May-11</c:v>
                </c:pt>
                <c:pt idx="40">
                  <c:v>08-May-11</c:v>
                </c:pt>
                <c:pt idx="41">
                  <c:v>15-May-11</c:v>
                </c:pt>
                <c:pt idx="42">
                  <c:v>22-May-11</c:v>
                </c:pt>
                <c:pt idx="43">
                  <c:v>29-May-11</c:v>
                </c:pt>
                <c:pt idx="44">
                  <c:v>05-Jun-11</c:v>
                </c:pt>
                <c:pt idx="45">
                  <c:v>12-Jun-11</c:v>
                </c:pt>
                <c:pt idx="46">
                  <c:v>19-Jun-11</c:v>
                </c:pt>
                <c:pt idx="47">
                  <c:v>26-Jun-11</c:v>
                </c:pt>
                <c:pt idx="48">
                  <c:v>03-Jul-11</c:v>
                </c:pt>
                <c:pt idx="49">
                  <c:v>10-Jul-11</c:v>
                </c:pt>
                <c:pt idx="50">
                  <c:v>17-Jul-11</c:v>
                </c:pt>
                <c:pt idx="51">
                  <c:v>24-Jul-11</c:v>
                </c:pt>
                <c:pt idx="52">
                  <c:v>31-Jul-11</c:v>
                </c:pt>
                <c:pt idx="53">
                  <c:v>07-Aug-11</c:v>
                </c:pt>
                <c:pt idx="54">
                  <c:v>14-Aug-11</c:v>
                </c:pt>
                <c:pt idx="55">
                  <c:v>21-Aug-11</c:v>
                </c:pt>
                <c:pt idx="56">
                  <c:v>28-Aug-11</c:v>
                </c:pt>
                <c:pt idx="57">
                  <c:v>04-Sep-11</c:v>
                </c:pt>
                <c:pt idx="58">
                  <c:v>11-Sep-11</c:v>
                </c:pt>
                <c:pt idx="59">
                  <c:v>18-Sep-11</c:v>
                </c:pt>
                <c:pt idx="60">
                  <c:v>25-Sep-11</c:v>
                </c:pt>
                <c:pt idx="61">
                  <c:v>02-Oct-11</c:v>
                </c:pt>
                <c:pt idx="62">
                  <c:v>09-Oct-11</c:v>
                </c:pt>
                <c:pt idx="63">
                  <c:v>16-Oct-11</c:v>
                </c:pt>
                <c:pt idx="64">
                  <c:v>23-Oct-11</c:v>
                </c:pt>
                <c:pt idx="65">
                  <c:v>30-Oct-11</c:v>
                </c:pt>
                <c:pt idx="66">
                  <c:v>06-Nov-11</c:v>
                </c:pt>
                <c:pt idx="67">
                  <c:v>13-Nov-11</c:v>
                </c:pt>
                <c:pt idx="68">
                  <c:v>20-Nov-11</c:v>
                </c:pt>
                <c:pt idx="69">
                  <c:v>27-Nov-11</c:v>
                </c:pt>
                <c:pt idx="70">
                  <c:v>04-Dec-11</c:v>
                </c:pt>
                <c:pt idx="71">
                  <c:v>11-Dec-11</c:v>
                </c:pt>
                <c:pt idx="72">
                  <c:v>18-Dec-11</c:v>
                </c:pt>
                <c:pt idx="73">
                  <c:v>25-Dec-11</c:v>
                </c:pt>
                <c:pt idx="74">
                  <c:v>01-Jan-12</c:v>
                </c:pt>
                <c:pt idx="75">
                  <c:v>08-Jan-12</c:v>
                </c:pt>
                <c:pt idx="76">
                  <c:v>15-Jan-12</c:v>
                </c:pt>
                <c:pt idx="77">
                  <c:v>22-Jan-12</c:v>
                </c:pt>
                <c:pt idx="78">
                  <c:v>29-Jan-12</c:v>
                </c:pt>
                <c:pt idx="79">
                  <c:v>05-Feb-12</c:v>
                </c:pt>
                <c:pt idx="80">
                  <c:v>12-Feb-12</c:v>
                </c:pt>
                <c:pt idx="81">
                  <c:v>19-Feb-12</c:v>
                </c:pt>
                <c:pt idx="82">
                  <c:v>26-Feb-12</c:v>
                </c:pt>
                <c:pt idx="83">
                  <c:v>04-Mar-12</c:v>
                </c:pt>
                <c:pt idx="84">
                  <c:v>11-Mar-12</c:v>
                </c:pt>
                <c:pt idx="85">
                  <c:v>18-Mar-12</c:v>
                </c:pt>
                <c:pt idx="86">
                  <c:v>25-Mar-12</c:v>
                </c:pt>
                <c:pt idx="87">
                  <c:v>01-Apr-12</c:v>
                </c:pt>
                <c:pt idx="88">
                  <c:v>08-Apr-12</c:v>
                </c:pt>
                <c:pt idx="89">
                  <c:v>15-Apr-12</c:v>
                </c:pt>
                <c:pt idx="90">
                  <c:v>22-Apr-12</c:v>
                </c:pt>
                <c:pt idx="91">
                  <c:v>29-Apr-12</c:v>
                </c:pt>
                <c:pt idx="92">
                  <c:v>06-May-12</c:v>
                </c:pt>
                <c:pt idx="93">
                  <c:v>13-May-12</c:v>
                </c:pt>
                <c:pt idx="94">
                  <c:v>20-May-12</c:v>
                </c:pt>
                <c:pt idx="95">
                  <c:v>27-May-12</c:v>
                </c:pt>
                <c:pt idx="96">
                  <c:v>03-Jun-12</c:v>
                </c:pt>
                <c:pt idx="97">
                  <c:v>10-Jun-12</c:v>
                </c:pt>
                <c:pt idx="98">
                  <c:v>17-Jun-12</c:v>
                </c:pt>
                <c:pt idx="99">
                  <c:v>24-Jun-12</c:v>
                </c:pt>
                <c:pt idx="100">
                  <c:v>01-Jul-12</c:v>
                </c:pt>
                <c:pt idx="101">
                  <c:v>08-Jul-12</c:v>
                </c:pt>
                <c:pt idx="102">
                  <c:v>15-Jul-12</c:v>
                </c:pt>
                <c:pt idx="103">
                  <c:v>22-Jul-12</c:v>
                </c:pt>
                <c:pt idx="104">
                  <c:v>29-Jul-12</c:v>
                </c:pt>
                <c:pt idx="105">
                  <c:v>05-Aug-12</c:v>
                </c:pt>
                <c:pt idx="106">
                  <c:v>12-Aug-12</c:v>
                </c:pt>
                <c:pt idx="107">
                  <c:v>19-Aug-12</c:v>
                </c:pt>
                <c:pt idx="108">
                  <c:v>26-Aug-12</c:v>
                </c:pt>
                <c:pt idx="109">
                  <c:v>02-Sep-12</c:v>
                </c:pt>
                <c:pt idx="110">
                  <c:v>09-Sep-12</c:v>
                </c:pt>
                <c:pt idx="111">
                  <c:v>16-Sep-12</c:v>
                </c:pt>
                <c:pt idx="112">
                  <c:v>23-Sep-12</c:v>
                </c:pt>
                <c:pt idx="113">
                  <c:v>30-Sep-12</c:v>
                </c:pt>
                <c:pt idx="114">
                  <c:v>07-Oct-12</c:v>
                </c:pt>
                <c:pt idx="115">
                  <c:v>14-Oct-12</c:v>
                </c:pt>
                <c:pt idx="116">
                  <c:v>21-Oct-12</c:v>
                </c:pt>
                <c:pt idx="117">
                  <c:v>28-Oct-12</c:v>
                </c:pt>
                <c:pt idx="118">
                  <c:v>04-Nov-12</c:v>
                </c:pt>
                <c:pt idx="119">
                  <c:v>11-Nov-12</c:v>
                </c:pt>
                <c:pt idx="120">
                  <c:v>18-Nov-12</c:v>
                </c:pt>
                <c:pt idx="121">
                  <c:v>25-Nov-12</c:v>
                </c:pt>
                <c:pt idx="122">
                  <c:v>02-Dec-12</c:v>
                </c:pt>
                <c:pt idx="123">
                  <c:v>09-Dec-12</c:v>
                </c:pt>
                <c:pt idx="124">
                  <c:v>16-Dec-12</c:v>
                </c:pt>
                <c:pt idx="125">
                  <c:v>23-Dec-12</c:v>
                </c:pt>
                <c:pt idx="126">
                  <c:v>30-Dec-12</c:v>
                </c:pt>
                <c:pt idx="127">
                  <c:v>06-Jan-13</c:v>
                </c:pt>
                <c:pt idx="128">
                  <c:v>13-Jan-13</c:v>
                </c:pt>
                <c:pt idx="129">
                  <c:v>20-Jan-13</c:v>
                </c:pt>
                <c:pt idx="130">
                  <c:v>27-Jan-13</c:v>
                </c:pt>
                <c:pt idx="131">
                  <c:v>03-Feb-13</c:v>
                </c:pt>
                <c:pt idx="132">
                  <c:v>10-Feb-13</c:v>
                </c:pt>
                <c:pt idx="133">
                  <c:v>17-Feb-13</c:v>
                </c:pt>
                <c:pt idx="134">
                  <c:v>24-Feb-13</c:v>
                </c:pt>
                <c:pt idx="135">
                  <c:v>03-Mar-13</c:v>
                </c:pt>
                <c:pt idx="136">
                  <c:v>10-Mar-13</c:v>
                </c:pt>
                <c:pt idx="137">
                  <c:v>17-Mar-13</c:v>
                </c:pt>
                <c:pt idx="138">
                  <c:v>24-Mar-13</c:v>
                </c:pt>
                <c:pt idx="139">
                  <c:v>31-Mar-13</c:v>
                </c:pt>
                <c:pt idx="140">
                  <c:v>07-Apr-13</c:v>
                </c:pt>
                <c:pt idx="141">
                  <c:v>14-Apr-13</c:v>
                </c:pt>
                <c:pt idx="142">
                  <c:v>21-Apr-13</c:v>
                </c:pt>
                <c:pt idx="143">
                  <c:v>28-Apr-13</c:v>
                </c:pt>
                <c:pt idx="144">
                  <c:v>05-May-13</c:v>
                </c:pt>
                <c:pt idx="145">
                  <c:v>12-May-13</c:v>
                </c:pt>
                <c:pt idx="146">
                  <c:v>19-May-13</c:v>
                </c:pt>
                <c:pt idx="147">
                  <c:v>26-May-13</c:v>
                </c:pt>
                <c:pt idx="148">
                  <c:v>02-Jun-13</c:v>
                </c:pt>
                <c:pt idx="149">
                  <c:v>09-Jun-13</c:v>
                </c:pt>
                <c:pt idx="150">
                  <c:v>16-Jun-13</c:v>
                </c:pt>
                <c:pt idx="151">
                  <c:v>23-Jun-13</c:v>
                </c:pt>
                <c:pt idx="152">
                  <c:v>30-Jun-13</c:v>
                </c:pt>
                <c:pt idx="153">
                  <c:v>07-Jul-13</c:v>
                </c:pt>
                <c:pt idx="154">
                  <c:v>14-Jul-13</c:v>
                </c:pt>
                <c:pt idx="155">
                  <c:v>21-Jul-13</c:v>
                </c:pt>
                <c:pt idx="156">
                  <c:v>28-Jul-13</c:v>
                </c:pt>
                <c:pt idx="157">
                  <c:v>04-Aug-13</c:v>
                </c:pt>
                <c:pt idx="158">
                  <c:v>11-Aug-13</c:v>
                </c:pt>
                <c:pt idx="159">
                  <c:v>18-Aug-13</c:v>
                </c:pt>
                <c:pt idx="160">
                  <c:v>25-Aug-13</c:v>
                </c:pt>
                <c:pt idx="161">
                  <c:v>01-Sep-13</c:v>
                </c:pt>
                <c:pt idx="162">
                  <c:v>08-Sep-13</c:v>
                </c:pt>
                <c:pt idx="163">
                  <c:v>15-Sep-13</c:v>
                </c:pt>
                <c:pt idx="164">
                  <c:v>22-Sep-13</c:v>
                </c:pt>
                <c:pt idx="165">
                  <c:v>29-Sep-13</c:v>
                </c:pt>
                <c:pt idx="166">
                  <c:v>06-Oct-13</c:v>
                </c:pt>
                <c:pt idx="167">
                  <c:v>13-Oct-13</c:v>
                </c:pt>
                <c:pt idx="168">
                  <c:v>20-Oct-13</c:v>
                </c:pt>
                <c:pt idx="169">
                  <c:v>27-Oct-13</c:v>
                </c:pt>
                <c:pt idx="170">
                  <c:v>03-Nov-13</c:v>
                </c:pt>
                <c:pt idx="171">
                  <c:v>10-Nov-13</c:v>
                </c:pt>
                <c:pt idx="172">
                  <c:v>17-Nov-13</c:v>
                </c:pt>
                <c:pt idx="173">
                  <c:v>24-Nov-13</c:v>
                </c:pt>
                <c:pt idx="174">
                  <c:v>01-Dec-13</c:v>
                </c:pt>
                <c:pt idx="175">
                  <c:v>08-Dec-13</c:v>
                </c:pt>
                <c:pt idx="176">
                  <c:v>15-Dec-13</c:v>
                </c:pt>
                <c:pt idx="177">
                  <c:v>22-Dec-13</c:v>
                </c:pt>
                <c:pt idx="178">
                  <c:v>29-Dec-13</c:v>
                </c:pt>
                <c:pt idx="179">
                  <c:v>05-Jan-14</c:v>
                </c:pt>
                <c:pt idx="180">
                  <c:v>12-Jan-14</c:v>
                </c:pt>
                <c:pt idx="181">
                  <c:v>19-Jan-14</c:v>
                </c:pt>
                <c:pt idx="182">
                  <c:v>26-Jan-14</c:v>
                </c:pt>
                <c:pt idx="183">
                  <c:v>02-Feb-14</c:v>
                </c:pt>
                <c:pt idx="184">
                  <c:v>09-Feb-14</c:v>
                </c:pt>
                <c:pt idx="185">
                  <c:v>16-Feb-14</c:v>
                </c:pt>
                <c:pt idx="186">
                  <c:v>23-Feb-14</c:v>
                </c:pt>
                <c:pt idx="187">
                  <c:v>02-Mar-14</c:v>
                </c:pt>
                <c:pt idx="188">
                  <c:v>09-Mar-14</c:v>
                </c:pt>
                <c:pt idx="189">
                  <c:v>16-Mar-14</c:v>
                </c:pt>
                <c:pt idx="190">
                  <c:v>23-Mar-14</c:v>
                </c:pt>
                <c:pt idx="191">
                  <c:v>30-Mar-14</c:v>
                </c:pt>
                <c:pt idx="192">
                  <c:v>06-Apr-14</c:v>
                </c:pt>
                <c:pt idx="193">
                  <c:v>13-Apr-14</c:v>
                </c:pt>
                <c:pt idx="194">
                  <c:v>20-Apr-14</c:v>
                </c:pt>
                <c:pt idx="195">
                  <c:v>27-Apr-14</c:v>
                </c:pt>
                <c:pt idx="196">
                  <c:v>04-May-14</c:v>
                </c:pt>
                <c:pt idx="197">
                  <c:v>11-May-14</c:v>
                </c:pt>
                <c:pt idx="198">
                  <c:v>18-May-14</c:v>
                </c:pt>
                <c:pt idx="199">
                  <c:v>25-May-14</c:v>
                </c:pt>
                <c:pt idx="200">
                  <c:v>01-Jun-14</c:v>
                </c:pt>
                <c:pt idx="201">
                  <c:v>08-Jun-14</c:v>
                </c:pt>
                <c:pt idx="202">
                  <c:v>15-Jun-14</c:v>
                </c:pt>
                <c:pt idx="203">
                  <c:v>22-Jun-14</c:v>
                </c:pt>
                <c:pt idx="204">
                  <c:v>29-Jun-14</c:v>
                </c:pt>
                <c:pt idx="205">
                  <c:v>06-Jul-14</c:v>
                </c:pt>
                <c:pt idx="206">
                  <c:v>13-Jul-14</c:v>
                </c:pt>
                <c:pt idx="207">
                  <c:v>20-Jul-14</c:v>
                </c:pt>
                <c:pt idx="208">
                  <c:v>27-Jul-14</c:v>
                </c:pt>
                <c:pt idx="209">
                  <c:v>03-Aug-14</c:v>
                </c:pt>
                <c:pt idx="210">
                  <c:v>10-Aug-14</c:v>
                </c:pt>
                <c:pt idx="211">
                  <c:v>17-Aug-14</c:v>
                </c:pt>
                <c:pt idx="212">
                  <c:v>24-Aug-14</c:v>
                </c:pt>
                <c:pt idx="213">
                  <c:v>31-Aug-14</c:v>
                </c:pt>
                <c:pt idx="214">
                  <c:v>07-Sep-14</c:v>
                </c:pt>
                <c:pt idx="215">
                  <c:v>14-Sep-14</c:v>
                </c:pt>
                <c:pt idx="216">
                  <c:v>21-Sep-14</c:v>
                </c:pt>
                <c:pt idx="217">
                  <c:v>28-Sep-14</c:v>
                </c:pt>
                <c:pt idx="218">
                  <c:v>05-Oct-14</c:v>
                </c:pt>
                <c:pt idx="219">
                  <c:v>12-Oct-14</c:v>
                </c:pt>
                <c:pt idx="220">
                  <c:v>19-Oct-14</c:v>
                </c:pt>
                <c:pt idx="221">
                  <c:v>26-Oct-14</c:v>
                </c:pt>
                <c:pt idx="222">
                  <c:v>02-Nov-14</c:v>
                </c:pt>
                <c:pt idx="223">
                  <c:v>09-Nov-14</c:v>
                </c:pt>
                <c:pt idx="224">
                  <c:v>16-Nov-14</c:v>
                </c:pt>
                <c:pt idx="225">
                  <c:v>23-Nov-14</c:v>
                </c:pt>
                <c:pt idx="226">
                  <c:v>30-Nov-14</c:v>
                </c:pt>
                <c:pt idx="227">
                  <c:v>07-Dec-14</c:v>
                </c:pt>
                <c:pt idx="228">
                  <c:v>14-Dec-14</c:v>
                </c:pt>
                <c:pt idx="229">
                  <c:v>21-Dec-14</c:v>
                </c:pt>
                <c:pt idx="230">
                  <c:v>28-Dec-14</c:v>
                </c:pt>
                <c:pt idx="231">
                  <c:v>04-Jan-15</c:v>
                </c:pt>
                <c:pt idx="232">
                  <c:v>11-Jan-15</c:v>
                </c:pt>
                <c:pt idx="233">
                  <c:v>18-Jan-15</c:v>
                </c:pt>
                <c:pt idx="234">
                  <c:v>25-Jan-15</c:v>
                </c:pt>
                <c:pt idx="235">
                  <c:v>01-Feb-15</c:v>
                </c:pt>
                <c:pt idx="236">
                  <c:v>08-Feb-15</c:v>
                </c:pt>
                <c:pt idx="237">
                  <c:v>15-Feb-15</c:v>
                </c:pt>
                <c:pt idx="238">
                  <c:v>22-Feb-15</c:v>
                </c:pt>
                <c:pt idx="239">
                  <c:v>01-Mar-15</c:v>
                </c:pt>
                <c:pt idx="240">
                  <c:v>08-Mar-15</c:v>
                </c:pt>
                <c:pt idx="241">
                  <c:v>15-Mar-15</c:v>
                </c:pt>
                <c:pt idx="242">
                  <c:v>22-Mar-15</c:v>
                </c:pt>
                <c:pt idx="243">
                  <c:v>29-Mar-15</c:v>
                </c:pt>
                <c:pt idx="244">
                  <c:v>05-Apr-15</c:v>
                </c:pt>
                <c:pt idx="245">
                  <c:v>12-Apr-15</c:v>
                </c:pt>
                <c:pt idx="246">
                  <c:v>19-Apr-15</c:v>
                </c:pt>
                <c:pt idx="247">
                  <c:v>26-Apr-15</c:v>
                </c:pt>
                <c:pt idx="248">
                  <c:v>03-May-15</c:v>
                </c:pt>
                <c:pt idx="249">
                  <c:v>10-May-15</c:v>
                </c:pt>
                <c:pt idx="250">
                  <c:v>17-May-15</c:v>
                </c:pt>
                <c:pt idx="251">
                  <c:v>24-May-15</c:v>
                </c:pt>
                <c:pt idx="252">
                  <c:v>31-May-15</c:v>
                </c:pt>
                <c:pt idx="253">
                  <c:v>07-Jun-15</c:v>
                </c:pt>
                <c:pt idx="254">
                  <c:v>14-Jun-15</c:v>
                </c:pt>
                <c:pt idx="255">
                  <c:v>21-Jun-15</c:v>
                </c:pt>
                <c:pt idx="256">
                  <c:v>28-Jun-15</c:v>
                </c:pt>
                <c:pt idx="257">
                  <c:v>05-Jul-15</c:v>
                </c:pt>
                <c:pt idx="258">
                  <c:v>12-Jul-15</c:v>
                </c:pt>
                <c:pt idx="259">
                  <c:v>19-Jul-15</c:v>
                </c:pt>
                <c:pt idx="260">
                  <c:v>26-Jul-15</c:v>
                </c:pt>
                <c:pt idx="261">
                  <c:v>02-Aug-15</c:v>
                </c:pt>
                <c:pt idx="262">
                  <c:v>09-Aug-15</c:v>
                </c:pt>
                <c:pt idx="263">
                  <c:v>16-Aug-15</c:v>
                </c:pt>
                <c:pt idx="264">
                  <c:v>23-Aug-15</c:v>
                </c:pt>
                <c:pt idx="265">
                  <c:v>30-Aug-15</c:v>
                </c:pt>
                <c:pt idx="266">
                  <c:v>06-Sep-15</c:v>
                </c:pt>
                <c:pt idx="267">
                  <c:v>13-Sep-15</c:v>
                </c:pt>
                <c:pt idx="268">
                  <c:v>20-Sep-15</c:v>
                </c:pt>
                <c:pt idx="269">
                  <c:v>27-Sep-15</c:v>
                </c:pt>
                <c:pt idx="270">
                  <c:v>04-Oct-15</c:v>
                </c:pt>
                <c:pt idx="271">
                  <c:v>11-Oct-15</c:v>
                </c:pt>
                <c:pt idx="272">
                  <c:v>18-Oct-15</c:v>
                </c:pt>
                <c:pt idx="273">
                  <c:v>25-Oct-15</c:v>
                </c:pt>
                <c:pt idx="274">
                  <c:v>01-Nov-15</c:v>
                </c:pt>
                <c:pt idx="275">
                  <c:v>08-Nov-15</c:v>
                </c:pt>
                <c:pt idx="276">
                  <c:v>15-Nov-15</c:v>
                </c:pt>
                <c:pt idx="277">
                  <c:v>22-Nov-15</c:v>
                </c:pt>
                <c:pt idx="278">
                  <c:v>29-Nov-15</c:v>
                </c:pt>
                <c:pt idx="279">
                  <c:v>06-Dec-15</c:v>
                </c:pt>
                <c:pt idx="280">
                  <c:v>13-Dec-15</c:v>
                </c:pt>
                <c:pt idx="281">
                  <c:v>20-Dec-15</c:v>
                </c:pt>
                <c:pt idx="282">
                  <c:v>27-Dec-15</c:v>
                </c:pt>
                <c:pt idx="283">
                  <c:v>03-Jan-16</c:v>
                </c:pt>
                <c:pt idx="284">
                  <c:v>10-Jan-16</c:v>
                </c:pt>
                <c:pt idx="285">
                  <c:v>17-Jan-16</c:v>
                </c:pt>
                <c:pt idx="286">
                  <c:v>24-Jan-16</c:v>
                </c:pt>
                <c:pt idx="287">
                  <c:v>31-Jan-16</c:v>
                </c:pt>
                <c:pt idx="288">
                  <c:v>07-Feb-16</c:v>
                </c:pt>
                <c:pt idx="289">
                  <c:v>14-Feb-16</c:v>
                </c:pt>
                <c:pt idx="290">
                  <c:v>21-Feb-16</c:v>
                </c:pt>
                <c:pt idx="291">
                  <c:v>28-Feb-16</c:v>
                </c:pt>
                <c:pt idx="292">
                  <c:v>06-Mar-16</c:v>
                </c:pt>
                <c:pt idx="293">
                  <c:v>13-Mar-16</c:v>
                </c:pt>
                <c:pt idx="294">
                  <c:v>20-Mar-16</c:v>
                </c:pt>
                <c:pt idx="295">
                  <c:v>27-Mar-16</c:v>
                </c:pt>
                <c:pt idx="296">
                  <c:v>03-Apr-16</c:v>
                </c:pt>
                <c:pt idx="297">
                  <c:v>10-Apr-16</c:v>
                </c:pt>
                <c:pt idx="298">
                  <c:v>17-Apr-16</c:v>
                </c:pt>
                <c:pt idx="299">
                  <c:v>24-Apr-16</c:v>
                </c:pt>
                <c:pt idx="300">
                  <c:v>01-May-16</c:v>
                </c:pt>
                <c:pt idx="301">
                  <c:v>08-May-16</c:v>
                </c:pt>
                <c:pt idx="302">
                  <c:v>15-May-16</c:v>
                </c:pt>
                <c:pt idx="303">
                  <c:v>22-May-16</c:v>
                </c:pt>
                <c:pt idx="304">
                  <c:v>29-May-16</c:v>
                </c:pt>
                <c:pt idx="305">
                  <c:v>05-Jun-16</c:v>
                </c:pt>
                <c:pt idx="306">
                  <c:v>12-Jun-16</c:v>
                </c:pt>
                <c:pt idx="307">
                  <c:v>19-Jun-16</c:v>
                </c:pt>
                <c:pt idx="308">
                  <c:v>26-Jun-16</c:v>
                </c:pt>
                <c:pt idx="309">
                  <c:v>03-Jul-16</c:v>
                </c:pt>
                <c:pt idx="310">
                  <c:v>10-Jul-16</c:v>
                </c:pt>
                <c:pt idx="311">
                  <c:v>17-Jul-16</c:v>
                </c:pt>
                <c:pt idx="312">
                  <c:v>24-Jul-16</c:v>
                </c:pt>
                <c:pt idx="313">
                  <c:v>31-Jul-16</c:v>
                </c:pt>
                <c:pt idx="314">
                  <c:v>07-Aug-16</c:v>
                </c:pt>
                <c:pt idx="315">
                  <c:v>14-Aug-16</c:v>
                </c:pt>
                <c:pt idx="316">
                  <c:v>21-Aug-16</c:v>
                </c:pt>
                <c:pt idx="317">
                  <c:v>28-Aug-16</c:v>
                </c:pt>
                <c:pt idx="318">
                  <c:v>04-Sep-16</c:v>
                </c:pt>
                <c:pt idx="319">
                  <c:v>11-Sep-16</c:v>
                </c:pt>
                <c:pt idx="320">
                  <c:v>18-Sep-16</c:v>
                </c:pt>
                <c:pt idx="321">
                  <c:v>25-Sep-16</c:v>
                </c:pt>
                <c:pt idx="322">
                  <c:v>02-Oct-16</c:v>
                </c:pt>
                <c:pt idx="323">
                  <c:v>09-Oct-16</c:v>
                </c:pt>
                <c:pt idx="324">
                  <c:v>16-Oct-16</c:v>
                </c:pt>
                <c:pt idx="325">
                  <c:v>23-Oct-16</c:v>
                </c:pt>
                <c:pt idx="326">
                  <c:v>30-Oct-16</c:v>
                </c:pt>
                <c:pt idx="327">
                  <c:v>06-Nov-16</c:v>
                </c:pt>
                <c:pt idx="328">
                  <c:v>13-Nov-16</c:v>
                </c:pt>
                <c:pt idx="329">
                  <c:v>20-Nov-16</c:v>
                </c:pt>
                <c:pt idx="330">
                  <c:v>27-Nov-16</c:v>
                </c:pt>
                <c:pt idx="331">
                  <c:v>04-Dec-16</c:v>
                </c:pt>
                <c:pt idx="332">
                  <c:v>11-Dec-16</c:v>
                </c:pt>
                <c:pt idx="333">
                  <c:v>18-Dec-16</c:v>
                </c:pt>
                <c:pt idx="334">
                  <c:v>25-Dec-16</c:v>
                </c:pt>
                <c:pt idx="335">
                  <c:v>01-Jan-17</c:v>
                </c:pt>
                <c:pt idx="336">
                  <c:v>08-Jan-17</c:v>
                </c:pt>
                <c:pt idx="337">
                  <c:v>15-Jan-17</c:v>
                </c:pt>
                <c:pt idx="338">
                  <c:v>22-Jan-17</c:v>
                </c:pt>
                <c:pt idx="339">
                  <c:v>29-Jan-17</c:v>
                </c:pt>
                <c:pt idx="340">
                  <c:v>05-Feb-17</c:v>
                </c:pt>
                <c:pt idx="341">
                  <c:v>12-Feb-17</c:v>
                </c:pt>
                <c:pt idx="342">
                  <c:v>19-Feb-17</c:v>
                </c:pt>
                <c:pt idx="343">
                  <c:v>26-Feb-17</c:v>
                </c:pt>
                <c:pt idx="344">
                  <c:v>05-Mar-17</c:v>
                </c:pt>
                <c:pt idx="345">
                  <c:v>12-Mar-17</c:v>
                </c:pt>
                <c:pt idx="346">
                  <c:v>19-Mar-17</c:v>
                </c:pt>
                <c:pt idx="347">
                  <c:v>26-Mar-17</c:v>
                </c:pt>
                <c:pt idx="348">
                  <c:v>02-Apr-17</c:v>
                </c:pt>
                <c:pt idx="349">
                  <c:v>09-Apr-17</c:v>
                </c:pt>
                <c:pt idx="350">
                  <c:v>16-Apr-17</c:v>
                </c:pt>
                <c:pt idx="351">
                  <c:v>23-Apr-17</c:v>
                </c:pt>
                <c:pt idx="352">
                  <c:v>30-Apr-17</c:v>
                </c:pt>
                <c:pt idx="353">
                  <c:v>07-May-17</c:v>
                </c:pt>
                <c:pt idx="354">
                  <c:v>14-May-17</c:v>
                </c:pt>
                <c:pt idx="355">
                  <c:v>21-May-17</c:v>
                </c:pt>
                <c:pt idx="356">
                  <c:v>28-May-17</c:v>
                </c:pt>
                <c:pt idx="357">
                  <c:v>04-Jun-17</c:v>
                </c:pt>
                <c:pt idx="358">
                  <c:v>11-Jun-17</c:v>
                </c:pt>
                <c:pt idx="359">
                  <c:v>18-Jun-17</c:v>
                </c:pt>
                <c:pt idx="360">
                  <c:v>25-Jun-17</c:v>
                </c:pt>
                <c:pt idx="361">
                  <c:v>02-Jul-17</c:v>
                </c:pt>
                <c:pt idx="362">
                  <c:v>09-Jul-17</c:v>
                </c:pt>
                <c:pt idx="363">
                  <c:v>16-Jul-17</c:v>
                </c:pt>
                <c:pt idx="364">
                  <c:v>23-Jul-17</c:v>
                </c:pt>
                <c:pt idx="365">
                  <c:v>30-Jul-17</c:v>
                </c:pt>
                <c:pt idx="366">
                  <c:v>06-Aug-17</c:v>
                </c:pt>
                <c:pt idx="367">
                  <c:v>13-Aug-17</c:v>
                </c:pt>
                <c:pt idx="368">
                  <c:v>20-Aug-17</c:v>
                </c:pt>
                <c:pt idx="369">
                  <c:v>27-Aug-17</c:v>
                </c:pt>
                <c:pt idx="370">
                  <c:v>03-Sep-17</c:v>
                </c:pt>
                <c:pt idx="371">
                  <c:v>10-Sep-17</c:v>
                </c:pt>
                <c:pt idx="372">
                  <c:v>17-Sep-17</c:v>
                </c:pt>
                <c:pt idx="373">
                  <c:v>24-Sep-17</c:v>
                </c:pt>
                <c:pt idx="374">
                  <c:v>01-Oct-17</c:v>
                </c:pt>
                <c:pt idx="375">
                  <c:v>08-Oct-17</c:v>
                </c:pt>
                <c:pt idx="376">
                  <c:v>15-Oct-17</c:v>
                </c:pt>
                <c:pt idx="377">
                  <c:v>22-Oct-17</c:v>
                </c:pt>
                <c:pt idx="378">
                  <c:v>29-Oct-17</c:v>
                </c:pt>
                <c:pt idx="379">
                  <c:v>05-Nov-17</c:v>
                </c:pt>
                <c:pt idx="380">
                  <c:v>12-Nov-17</c:v>
                </c:pt>
                <c:pt idx="381">
                  <c:v>19-Nov-17</c:v>
                </c:pt>
                <c:pt idx="382">
                  <c:v>26-Nov-17</c:v>
                </c:pt>
                <c:pt idx="383">
                  <c:v>03-Dec-17</c:v>
                </c:pt>
                <c:pt idx="384">
                  <c:v>10-Dec-17</c:v>
                </c:pt>
                <c:pt idx="385">
                  <c:v>17-Dec-17</c:v>
                </c:pt>
                <c:pt idx="386">
                  <c:v>24-Dec-17</c:v>
                </c:pt>
                <c:pt idx="387">
                  <c:v>31-Dec-17</c:v>
                </c:pt>
                <c:pt idx="388">
                  <c:v>07-Jan-18</c:v>
                </c:pt>
                <c:pt idx="389">
                  <c:v>14-Jan-18</c:v>
                </c:pt>
                <c:pt idx="390">
                  <c:v>21-Jan-18</c:v>
                </c:pt>
                <c:pt idx="391">
                  <c:v>28-Jan-18</c:v>
                </c:pt>
                <c:pt idx="392">
                  <c:v>04-Feb-18</c:v>
                </c:pt>
                <c:pt idx="393">
                  <c:v>11-Feb-18</c:v>
                </c:pt>
                <c:pt idx="394">
                  <c:v>18-Feb-18</c:v>
                </c:pt>
                <c:pt idx="395">
                  <c:v>25-Feb-18</c:v>
                </c:pt>
                <c:pt idx="396">
                  <c:v>04-Mar-18</c:v>
                </c:pt>
                <c:pt idx="397">
                  <c:v>11-Mar-18</c:v>
                </c:pt>
                <c:pt idx="398">
                  <c:v>18-Mar-18</c:v>
                </c:pt>
                <c:pt idx="399">
                  <c:v>25-Mar-18</c:v>
                </c:pt>
                <c:pt idx="400">
                  <c:v>01-Apr-18</c:v>
                </c:pt>
                <c:pt idx="401">
                  <c:v>08-Apr-18</c:v>
                </c:pt>
                <c:pt idx="402">
                  <c:v>15-Apr-18</c:v>
                </c:pt>
                <c:pt idx="403">
                  <c:v>22-Apr-18</c:v>
                </c:pt>
                <c:pt idx="404">
                  <c:v>29-Apr-18</c:v>
                </c:pt>
                <c:pt idx="405">
                  <c:v>06-May-18</c:v>
                </c:pt>
                <c:pt idx="406">
                  <c:v>13-May-18</c:v>
                </c:pt>
                <c:pt idx="407">
                  <c:v>20-May-18</c:v>
                </c:pt>
                <c:pt idx="408">
                  <c:v>27-May-18</c:v>
                </c:pt>
                <c:pt idx="409">
                  <c:v>03-Jun-18</c:v>
                </c:pt>
                <c:pt idx="410">
                  <c:v>10-Jun-18</c:v>
                </c:pt>
                <c:pt idx="411">
                  <c:v>17-Jun-18</c:v>
                </c:pt>
                <c:pt idx="412">
                  <c:v>24-Jun-18</c:v>
                </c:pt>
                <c:pt idx="413">
                  <c:v>01-Jul-18</c:v>
                </c:pt>
                <c:pt idx="414">
                  <c:v>08-Jul-18</c:v>
                </c:pt>
                <c:pt idx="415">
                  <c:v>15-Jul-18</c:v>
                </c:pt>
                <c:pt idx="416">
                  <c:v>22-Jul-18</c:v>
                </c:pt>
                <c:pt idx="417">
                  <c:v>29-Jul-18</c:v>
                </c:pt>
                <c:pt idx="418">
                  <c:v>05-Aug-18</c:v>
                </c:pt>
                <c:pt idx="419">
                  <c:v>12-Aug-18</c:v>
                </c:pt>
                <c:pt idx="420">
                  <c:v>19-Aug-18</c:v>
                </c:pt>
                <c:pt idx="421">
                  <c:v>26-Aug-18</c:v>
                </c:pt>
                <c:pt idx="422">
                  <c:v>02-Sep-18</c:v>
                </c:pt>
                <c:pt idx="423">
                  <c:v>09-Sep-18</c:v>
                </c:pt>
                <c:pt idx="424">
                  <c:v>16-Sep-18</c:v>
                </c:pt>
                <c:pt idx="425">
                  <c:v>23-Sep-18</c:v>
                </c:pt>
                <c:pt idx="426">
                  <c:v>30-Sep-18</c:v>
                </c:pt>
                <c:pt idx="427">
                  <c:v>07-Oct-18</c:v>
                </c:pt>
                <c:pt idx="428">
                  <c:v>14-Oct-18</c:v>
                </c:pt>
                <c:pt idx="429">
                  <c:v>21-Oct-18</c:v>
                </c:pt>
                <c:pt idx="430">
                  <c:v>28-Oct-18</c:v>
                </c:pt>
                <c:pt idx="431">
                  <c:v>04-Nov-18</c:v>
                </c:pt>
                <c:pt idx="432">
                  <c:v>11-Nov-18</c:v>
                </c:pt>
                <c:pt idx="433">
                  <c:v>18-Nov-18</c:v>
                </c:pt>
                <c:pt idx="434">
                  <c:v>25-Nov-18</c:v>
                </c:pt>
                <c:pt idx="435">
                  <c:v>02-Dec-18</c:v>
                </c:pt>
                <c:pt idx="436">
                  <c:v>09-Dec-18</c:v>
                </c:pt>
                <c:pt idx="437">
                  <c:v>16-Dec-18</c:v>
                </c:pt>
                <c:pt idx="438">
                  <c:v>23-Dec-18</c:v>
                </c:pt>
                <c:pt idx="439">
                  <c:v>30-Dec-18</c:v>
                </c:pt>
                <c:pt idx="440">
                  <c:v>06-Jan-19</c:v>
                </c:pt>
                <c:pt idx="441">
                  <c:v>13-Jan-19</c:v>
                </c:pt>
                <c:pt idx="442">
                  <c:v>20-Jan-19</c:v>
                </c:pt>
                <c:pt idx="443">
                  <c:v>27-Jan-19</c:v>
                </c:pt>
                <c:pt idx="444">
                  <c:v>03-Feb-19</c:v>
                </c:pt>
                <c:pt idx="445">
                  <c:v>10-Feb-19</c:v>
                </c:pt>
                <c:pt idx="446">
                  <c:v>17-Feb-19</c:v>
                </c:pt>
                <c:pt idx="447">
                  <c:v>24-Feb-19</c:v>
                </c:pt>
                <c:pt idx="448">
                  <c:v>03-Mar-19</c:v>
                </c:pt>
                <c:pt idx="449">
                  <c:v>10-Mar-19</c:v>
                </c:pt>
                <c:pt idx="450">
                  <c:v>17-Mar-19</c:v>
                </c:pt>
                <c:pt idx="451">
                  <c:v>24-Mar-19</c:v>
                </c:pt>
                <c:pt idx="452">
                  <c:v>31-Mar-19</c:v>
                </c:pt>
                <c:pt idx="453">
                  <c:v>07-Apr-19</c:v>
                </c:pt>
                <c:pt idx="454">
                  <c:v>14-Apr-19</c:v>
                </c:pt>
                <c:pt idx="455">
                  <c:v>21-Apr-19</c:v>
                </c:pt>
                <c:pt idx="456">
                  <c:v>28-Apr-19</c:v>
                </c:pt>
                <c:pt idx="457">
                  <c:v>05-May-19</c:v>
                </c:pt>
                <c:pt idx="458">
                  <c:v>12-May-19</c:v>
                </c:pt>
                <c:pt idx="459">
                  <c:v>19-May-19</c:v>
                </c:pt>
                <c:pt idx="460">
                  <c:v>26-May-19</c:v>
                </c:pt>
                <c:pt idx="461">
                  <c:v>02-Jun-19</c:v>
                </c:pt>
                <c:pt idx="462">
                  <c:v>09-Jun-19</c:v>
                </c:pt>
                <c:pt idx="463">
                  <c:v>16-Jun-19</c:v>
                </c:pt>
                <c:pt idx="464">
                  <c:v>23-Jun-19</c:v>
                </c:pt>
                <c:pt idx="465">
                  <c:v>30-Jun-19</c:v>
                </c:pt>
                <c:pt idx="466">
                  <c:v>07-Jul-19</c:v>
                </c:pt>
                <c:pt idx="467">
                  <c:v>14-Jul-19</c:v>
                </c:pt>
                <c:pt idx="468">
                  <c:v>21-Jul-19</c:v>
                </c:pt>
                <c:pt idx="469">
                  <c:v>28-Jul-19</c:v>
                </c:pt>
                <c:pt idx="470">
                  <c:v>04-Aug-19</c:v>
                </c:pt>
                <c:pt idx="471">
                  <c:v>11-Aug-19</c:v>
                </c:pt>
                <c:pt idx="472">
                  <c:v>18-Aug-19</c:v>
                </c:pt>
                <c:pt idx="473">
                  <c:v>25-Aug-19</c:v>
                </c:pt>
                <c:pt idx="474">
                  <c:v>01-Sep-19</c:v>
                </c:pt>
                <c:pt idx="475">
                  <c:v>08-Sep-19</c:v>
                </c:pt>
                <c:pt idx="476">
                  <c:v>15-Sep-19</c:v>
                </c:pt>
                <c:pt idx="477">
                  <c:v>22-Sep-19</c:v>
                </c:pt>
                <c:pt idx="478">
                  <c:v>29-Sep-19</c:v>
                </c:pt>
                <c:pt idx="479">
                  <c:v>06-Oct-19</c:v>
                </c:pt>
                <c:pt idx="480">
                  <c:v>13-Oct-19</c:v>
                </c:pt>
                <c:pt idx="481">
                  <c:v>20-Oct-19</c:v>
                </c:pt>
                <c:pt idx="482">
                  <c:v>27-Oct-19</c:v>
                </c:pt>
                <c:pt idx="483">
                  <c:v>03-Nov-19</c:v>
                </c:pt>
                <c:pt idx="484">
                  <c:v>10-Nov-19</c:v>
                </c:pt>
                <c:pt idx="485">
                  <c:v>17-Nov-19</c:v>
                </c:pt>
                <c:pt idx="486">
                  <c:v>24-Nov-19</c:v>
                </c:pt>
                <c:pt idx="487">
                  <c:v>01-Dec-19</c:v>
                </c:pt>
                <c:pt idx="488">
                  <c:v>08-Dec-19</c:v>
                </c:pt>
                <c:pt idx="489">
                  <c:v>15-Dec-19</c:v>
                </c:pt>
                <c:pt idx="490">
                  <c:v>22-Dec-19</c:v>
                </c:pt>
                <c:pt idx="491">
                  <c:v>29-Dec-19</c:v>
                </c:pt>
                <c:pt idx="492">
                  <c:v>05-Jan-20</c:v>
                </c:pt>
                <c:pt idx="493">
                  <c:v>12-Jan-20</c:v>
                </c:pt>
                <c:pt idx="494">
                  <c:v>19-Jan-20</c:v>
                </c:pt>
                <c:pt idx="495">
                  <c:v>26-Jan-20</c:v>
                </c:pt>
                <c:pt idx="496">
                  <c:v>02-Feb-20</c:v>
                </c:pt>
                <c:pt idx="497">
                  <c:v>09-Feb-20</c:v>
                </c:pt>
                <c:pt idx="498">
                  <c:v>16-Feb-20</c:v>
                </c:pt>
                <c:pt idx="499">
                  <c:v>23-Feb-20</c:v>
                </c:pt>
                <c:pt idx="500">
                  <c:v>01-Mar-20</c:v>
                </c:pt>
                <c:pt idx="501">
                  <c:v>08-Mar-20</c:v>
                </c:pt>
                <c:pt idx="502">
                  <c:v>15-Mar-20</c:v>
                </c:pt>
                <c:pt idx="503">
                  <c:v>22-Mar-20</c:v>
                </c:pt>
                <c:pt idx="504">
                  <c:v>29-Mar-20</c:v>
                </c:pt>
                <c:pt idx="505">
                  <c:v>05-Apr-20</c:v>
                </c:pt>
                <c:pt idx="506">
                  <c:v>12-Apr-20</c:v>
                </c:pt>
                <c:pt idx="507">
                  <c:v>19-Apr-20</c:v>
                </c:pt>
                <c:pt idx="508">
                  <c:v>26-Apr-20</c:v>
                </c:pt>
                <c:pt idx="509">
                  <c:v>03-May-20</c:v>
                </c:pt>
                <c:pt idx="510">
                  <c:v>10-May-20</c:v>
                </c:pt>
                <c:pt idx="511">
                  <c:v>17-May-20</c:v>
                </c:pt>
                <c:pt idx="512">
                  <c:v>24-May-20</c:v>
                </c:pt>
                <c:pt idx="513">
                  <c:v>31-May-20</c:v>
                </c:pt>
                <c:pt idx="514">
                  <c:v>07-Jun-20</c:v>
                </c:pt>
                <c:pt idx="515">
                  <c:v>14-Jun-20</c:v>
                </c:pt>
                <c:pt idx="516">
                  <c:v>21-Jun-20</c:v>
                </c:pt>
                <c:pt idx="517">
                  <c:v>28-Jun-20</c:v>
                </c:pt>
                <c:pt idx="518">
                  <c:v>05-Jul-20</c:v>
                </c:pt>
                <c:pt idx="519">
                  <c:v>12-Jul-20</c:v>
                </c:pt>
                <c:pt idx="520">
                  <c:v>19-Jul-20</c:v>
                </c:pt>
                <c:pt idx="521">
                  <c:v>26-Jul-20</c:v>
                </c:pt>
                <c:pt idx="522">
                  <c:v>02-Aug-20</c:v>
                </c:pt>
                <c:pt idx="523">
                  <c:v>09-Aug-20</c:v>
                </c:pt>
                <c:pt idx="524">
                  <c:v>16-Aug-20</c:v>
                </c:pt>
                <c:pt idx="525">
                  <c:v>23-Aug-20</c:v>
                </c:pt>
                <c:pt idx="526">
                  <c:v>30-Aug-20</c:v>
                </c:pt>
                <c:pt idx="527">
                  <c:v>06-Sep-20</c:v>
                </c:pt>
                <c:pt idx="528">
                  <c:v>13-Sep-20</c:v>
                </c:pt>
                <c:pt idx="529">
                  <c:v>20-Sep-20</c:v>
                </c:pt>
                <c:pt idx="530">
                  <c:v>27-Sep-20</c:v>
                </c:pt>
                <c:pt idx="531">
                  <c:v>04-Oct-20</c:v>
                </c:pt>
                <c:pt idx="532">
                  <c:v>11-Oct-20</c:v>
                </c:pt>
                <c:pt idx="533">
                  <c:v>18-Oct-20</c:v>
                </c:pt>
                <c:pt idx="534">
                  <c:v>25-Oct-20</c:v>
                </c:pt>
                <c:pt idx="535">
                  <c:v>01-Nov-20</c:v>
                </c:pt>
                <c:pt idx="536">
                  <c:v>08-Nov-20</c:v>
                </c:pt>
                <c:pt idx="537">
                  <c:v>15-Nov-20</c:v>
                </c:pt>
                <c:pt idx="538">
                  <c:v>22-Nov-20</c:v>
                </c:pt>
                <c:pt idx="539">
                  <c:v>29-Nov-20</c:v>
                </c:pt>
                <c:pt idx="540">
                  <c:v>06-Dec-20</c:v>
                </c:pt>
                <c:pt idx="541">
                  <c:v>13-Dec-20</c:v>
                </c:pt>
                <c:pt idx="542">
                  <c:v>20-Dec-20</c:v>
                </c:pt>
                <c:pt idx="543">
                  <c:v>27-Dec-20</c:v>
                </c:pt>
                <c:pt idx="544">
                  <c:v>03-Jan-21</c:v>
                </c:pt>
                <c:pt idx="545">
                  <c:v>10-Jan-21</c:v>
                </c:pt>
                <c:pt idx="546">
                  <c:v>17-Jan-21</c:v>
                </c:pt>
                <c:pt idx="547">
                  <c:v>24-Jan-21</c:v>
                </c:pt>
                <c:pt idx="548">
                  <c:v>31-Jan-21</c:v>
                </c:pt>
                <c:pt idx="549">
                  <c:v>07-Feb-21</c:v>
                </c:pt>
                <c:pt idx="550">
                  <c:v>14-Feb-21</c:v>
                </c:pt>
                <c:pt idx="551">
                  <c:v>21-Feb-21</c:v>
                </c:pt>
                <c:pt idx="552">
                  <c:v>28-Feb-21</c:v>
                </c:pt>
                <c:pt idx="553">
                  <c:v>07-Mar-21</c:v>
                </c:pt>
                <c:pt idx="554">
                  <c:v>14-Mar-21</c:v>
                </c:pt>
                <c:pt idx="555">
                  <c:v>21-Mar-21</c:v>
                </c:pt>
                <c:pt idx="556">
                  <c:v>28-Mar-21</c:v>
                </c:pt>
                <c:pt idx="557">
                  <c:v>04-Apr-21</c:v>
                </c:pt>
                <c:pt idx="558">
                  <c:v>11-Apr-21</c:v>
                </c:pt>
                <c:pt idx="559">
                  <c:v>18-Apr-21</c:v>
                </c:pt>
                <c:pt idx="560">
                  <c:v>25-Apr-21</c:v>
                </c:pt>
                <c:pt idx="561">
                  <c:v>02-May-21</c:v>
                </c:pt>
                <c:pt idx="562">
                  <c:v>09-May-21</c:v>
                </c:pt>
                <c:pt idx="563">
                  <c:v>16-May-21</c:v>
                </c:pt>
                <c:pt idx="564">
                  <c:v>23-May-21</c:v>
                </c:pt>
                <c:pt idx="565">
                  <c:v>30-May-21</c:v>
                </c:pt>
                <c:pt idx="566">
                  <c:v>06-Jun-21</c:v>
                </c:pt>
                <c:pt idx="567">
                  <c:v>13-Jun-21</c:v>
                </c:pt>
                <c:pt idx="568">
                  <c:v>20-Jun-21</c:v>
                </c:pt>
                <c:pt idx="569">
                  <c:v>27-Jun-21</c:v>
                </c:pt>
                <c:pt idx="570">
                  <c:v>04-Jul-21</c:v>
                </c:pt>
                <c:pt idx="571">
                  <c:v>11-Jul-21</c:v>
                </c:pt>
                <c:pt idx="572">
                  <c:v>18-Jul-21</c:v>
                </c:pt>
                <c:pt idx="573">
                  <c:v>25-Jul-21</c:v>
                </c:pt>
                <c:pt idx="574">
                  <c:v>01-Aug-21</c:v>
                </c:pt>
                <c:pt idx="575">
                  <c:v>08-Aug-21</c:v>
                </c:pt>
                <c:pt idx="576">
                  <c:v>15-Aug-21</c:v>
                </c:pt>
                <c:pt idx="577">
                  <c:v>22-Aug-21</c:v>
                </c:pt>
                <c:pt idx="578">
                  <c:v>29-Aug-21</c:v>
                </c:pt>
                <c:pt idx="579">
                  <c:v>05-Sep-21</c:v>
                </c:pt>
                <c:pt idx="580">
                  <c:v>12-Sep-21</c:v>
                </c:pt>
                <c:pt idx="581">
                  <c:v>19-Sep-21</c:v>
                </c:pt>
                <c:pt idx="582">
                  <c:v>26-Sep-21</c:v>
                </c:pt>
                <c:pt idx="583">
                  <c:v>03-Oct-21</c:v>
                </c:pt>
                <c:pt idx="584">
                  <c:v>10-Oct-21</c:v>
                </c:pt>
                <c:pt idx="585">
                  <c:v>17-Oct-21</c:v>
                </c:pt>
                <c:pt idx="586">
                  <c:v>24-Oct-21</c:v>
                </c:pt>
                <c:pt idx="587">
                  <c:v>31-Oct-21</c:v>
                </c:pt>
                <c:pt idx="588">
                  <c:v>07-Nov-21</c:v>
                </c:pt>
                <c:pt idx="589">
                  <c:v>14-Nov-21</c:v>
                </c:pt>
                <c:pt idx="590">
                  <c:v>21-Nov-21</c:v>
                </c:pt>
                <c:pt idx="591">
                  <c:v>28-Nov-21</c:v>
                </c:pt>
                <c:pt idx="592">
                  <c:v>05-Dec-21</c:v>
                </c:pt>
                <c:pt idx="593">
                  <c:v>12-Dec-21</c:v>
                </c:pt>
                <c:pt idx="594">
                  <c:v>19-Dec-21</c:v>
                </c:pt>
                <c:pt idx="595">
                  <c:v>26-Dec-21</c:v>
                </c:pt>
                <c:pt idx="596">
                  <c:v>02-Jan-22</c:v>
                </c:pt>
                <c:pt idx="597">
                  <c:v>09-Jan-22</c:v>
                </c:pt>
                <c:pt idx="598">
                  <c:v>16-Jan-22</c:v>
                </c:pt>
                <c:pt idx="599">
                  <c:v>23-Jan-22</c:v>
                </c:pt>
                <c:pt idx="600">
                  <c:v>30-Jan-22</c:v>
                </c:pt>
                <c:pt idx="601">
                  <c:v>06-Feb-22</c:v>
                </c:pt>
                <c:pt idx="602">
                  <c:v>13-Feb-22</c:v>
                </c:pt>
                <c:pt idx="603">
                  <c:v>20-Feb-22</c:v>
                </c:pt>
                <c:pt idx="604">
                  <c:v>27-Feb-22</c:v>
                </c:pt>
                <c:pt idx="605">
                  <c:v>06-Mar-22</c:v>
                </c:pt>
                <c:pt idx="606">
                  <c:v>13-Mar-22</c:v>
                </c:pt>
                <c:pt idx="607">
                  <c:v>20-Mar-22</c:v>
                </c:pt>
                <c:pt idx="608">
                  <c:v>27-Mar-22</c:v>
                </c:pt>
                <c:pt idx="609">
                  <c:v>03-Apr-22</c:v>
                </c:pt>
                <c:pt idx="610">
                  <c:v>10-Apr-22</c:v>
                </c:pt>
                <c:pt idx="611">
                  <c:v>17-Apr-22</c:v>
                </c:pt>
                <c:pt idx="612">
                  <c:v>24-Apr-22</c:v>
                </c:pt>
                <c:pt idx="613">
                  <c:v>01-May-22</c:v>
                </c:pt>
                <c:pt idx="614">
                  <c:v>08-May-22</c:v>
                </c:pt>
                <c:pt idx="615">
                  <c:v>15-May-22</c:v>
                </c:pt>
                <c:pt idx="616">
                  <c:v>22-May-22</c:v>
                </c:pt>
                <c:pt idx="617">
                  <c:v>29-May-22</c:v>
                </c:pt>
                <c:pt idx="618">
                  <c:v>05-Jun-22</c:v>
                </c:pt>
                <c:pt idx="619">
                  <c:v>12-Jun-22</c:v>
                </c:pt>
                <c:pt idx="620">
                  <c:v>19-Jun-22</c:v>
                </c:pt>
                <c:pt idx="621">
                  <c:v>26-Jun-22</c:v>
                </c:pt>
                <c:pt idx="622">
                  <c:v>03-Jul-22</c:v>
                </c:pt>
                <c:pt idx="623">
                  <c:v>10-Jul-22</c:v>
                </c:pt>
                <c:pt idx="624">
                  <c:v>17-Jul-22</c:v>
                </c:pt>
                <c:pt idx="625">
                  <c:v>24-Jul-22</c:v>
                </c:pt>
                <c:pt idx="626">
                  <c:v>31-Jul-22</c:v>
                </c:pt>
                <c:pt idx="627">
                  <c:v>07-Aug-22</c:v>
                </c:pt>
                <c:pt idx="628">
                  <c:v>14-Aug-22</c:v>
                </c:pt>
                <c:pt idx="629">
                  <c:v>21-Aug-22</c:v>
                </c:pt>
                <c:pt idx="630">
                  <c:v>28-Aug-22</c:v>
                </c:pt>
                <c:pt idx="631">
                  <c:v>04-Sep-22</c:v>
                </c:pt>
                <c:pt idx="632">
                  <c:v>11-Sep-22</c:v>
                </c:pt>
                <c:pt idx="633">
                  <c:v>18-Sep-22</c:v>
                </c:pt>
                <c:pt idx="634">
                  <c:v>25-Sep-22</c:v>
                </c:pt>
                <c:pt idx="635">
                  <c:v>02-Oct-22</c:v>
                </c:pt>
                <c:pt idx="636">
                  <c:v>09-Oct-22</c:v>
                </c:pt>
                <c:pt idx="637">
                  <c:v>16-Oct-22</c:v>
                </c:pt>
                <c:pt idx="638">
                  <c:v>23-Oct-22</c:v>
                </c:pt>
                <c:pt idx="639">
                  <c:v>30-Oct-22</c:v>
                </c:pt>
                <c:pt idx="640">
                  <c:v>06-Nov-22</c:v>
                </c:pt>
                <c:pt idx="641">
                  <c:v>13-Nov-22</c:v>
                </c:pt>
                <c:pt idx="642">
                  <c:v>20-Nov-22</c:v>
                </c:pt>
                <c:pt idx="643">
                  <c:v>27-Nov-22</c:v>
                </c:pt>
                <c:pt idx="644">
                  <c:v>04-Dec-22</c:v>
                </c:pt>
                <c:pt idx="645">
                  <c:v>11-Dec-22</c:v>
                </c:pt>
                <c:pt idx="646">
                  <c:v>18-Dec-22</c:v>
                </c:pt>
                <c:pt idx="647">
                  <c:v>25-Dec-22</c:v>
                </c:pt>
                <c:pt idx="648">
                  <c:v>01-Jan-23</c:v>
                </c:pt>
                <c:pt idx="649">
                  <c:v>08-Jan-23</c:v>
                </c:pt>
                <c:pt idx="650">
                  <c:v>15-Jan-23</c:v>
                </c:pt>
                <c:pt idx="651">
                  <c:v>22-Jan-23</c:v>
                </c:pt>
                <c:pt idx="652">
                  <c:v>29-Jan-23</c:v>
                </c:pt>
                <c:pt idx="653">
                  <c:v>05-Feb-23</c:v>
                </c:pt>
                <c:pt idx="654">
                  <c:v>12-Feb-23</c:v>
                </c:pt>
                <c:pt idx="655">
                  <c:v>19-Feb-23</c:v>
                </c:pt>
                <c:pt idx="656">
                  <c:v>26-Feb-23</c:v>
                </c:pt>
                <c:pt idx="657">
                  <c:v>05-Mar-23</c:v>
                </c:pt>
                <c:pt idx="658">
                  <c:v>12-Mar-23</c:v>
                </c:pt>
                <c:pt idx="659">
                  <c:v>19-Mar-23</c:v>
                </c:pt>
                <c:pt idx="660">
                  <c:v>26-Mar-23</c:v>
                </c:pt>
                <c:pt idx="661">
                  <c:v>02-Apr-23</c:v>
                </c:pt>
                <c:pt idx="662">
                  <c:v>09-Apr-23</c:v>
                </c:pt>
                <c:pt idx="663">
                  <c:v>16-Apr-23</c:v>
                </c:pt>
                <c:pt idx="664">
                  <c:v>23-Apr-23</c:v>
                </c:pt>
                <c:pt idx="665">
                  <c:v>30-Apr-23</c:v>
                </c:pt>
                <c:pt idx="666">
                  <c:v>07-May-23</c:v>
                </c:pt>
                <c:pt idx="667">
                  <c:v>14-May-23</c:v>
                </c:pt>
                <c:pt idx="668">
                  <c:v>21-May-23</c:v>
                </c:pt>
                <c:pt idx="669">
                  <c:v>28-May-23</c:v>
                </c:pt>
                <c:pt idx="670">
                  <c:v>04-Jun-23</c:v>
                </c:pt>
                <c:pt idx="671">
                  <c:v>11-Jun-23</c:v>
                </c:pt>
                <c:pt idx="672">
                  <c:v>18-Jun-23</c:v>
                </c:pt>
                <c:pt idx="673">
                  <c:v>25-Jun-23</c:v>
                </c:pt>
                <c:pt idx="674">
                  <c:v>02-Jul-23</c:v>
                </c:pt>
                <c:pt idx="675">
                  <c:v>09-Jul-23</c:v>
                </c:pt>
                <c:pt idx="676">
                  <c:v>16-Jul-23</c:v>
                </c:pt>
                <c:pt idx="677">
                  <c:v>23-Jul-23</c:v>
                </c:pt>
                <c:pt idx="678">
                  <c:v>30-Jul-23</c:v>
                </c:pt>
                <c:pt idx="679">
                  <c:v>06-Aug-23</c:v>
                </c:pt>
                <c:pt idx="680">
                  <c:v>13-Aug-23</c:v>
                </c:pt>
                <c:pt idx="681">
                  <c:v>20-Aug-23</c:v>
                </c:pt>
                <c:pt idx="682">
                  <c:v>27-Aug-23</c:v>
                </c:pt>
                <c:pt idx="683">
                  <c:v>03-Sep-23</c:v>
                </c:pt>
                <c:pt idx="684">
                  <c:v>10-Sep-23</c:v>
                </c:pt>
                <c:pt idx="685">
                  <c:v>17-Sep-23</c:v>
                </c:pt>
                <c:pt idx="686">
                  <c:v>24-Sep-23</c:v>
                </c:pt>
                <c:pt idx="687">
                  <c:v>01-Oct-23</c:v>
                </c:pt>
                <c:pt idx="688">
                  <c:v>08-Oct-23</c:v>
                </c:pt>
                <c:pt idx="689">
                  <c:v>15-Oct-23</c:v>
                </c:pt>
                <c:pt idx="690">
                  <c:v>22-Oct-23</c:v>
                </c:pt>
                <c:pt idx="691">
                  <c:v>29-Oct-23</c:v>
                </c:pt>
                <c:pt idx="692">
                  <c:v>05-Nov-23</c:v>
                </c:pt>
                <c:pt idx="693">
                  <c:v>12-Nov-23</c:v>
                </c:pt>
                <c:pt idx="694">
                  <c:v>19-Nov-23</c:v>
                </c:pt>
                <c:pt idx="695">
                  <c:v>26-Nov-23</c:v>
                </c:pt>
                <c:pt idx="696">
                  <c:v>03-Dec-23</c:v>
                </c:pt>
                <c:pt idx="697">
                  <c:v>10-Dec-23</c:v>
                </c:pt>
                <c:pt idx="698">
                  <c:v>17-Dec-23</c:v>
                </c:pt>
                <c:pt idx="699">
                  <c:v>24-Dec-23</c:v>
                </c:pt>
                <c:pt idx="700">
                  <c:v>31-Dec-23</c:v>
                </c:pt>
                <c:pt idx="701">
                  <c:v>07-Jan-24</c:v>
                </c:pt>
                <c:pt idx="702">
                  <c:v>14-Jan-24</c:v>
                </c:pt>
                <c:pt idx="703">
                  <c:v>21-Jan-24</c:v>
                </c:pt>
                <c:pt idx="704">
                  <c:v>28-Jan-24</c:v>
                </c:pt>
                <c:pt idx="705">
                  <c:v>04-Feb-24</c:v>
                </c:pt>
                <c:pt idx="706">
                  <c:v>11-Feb-24</c:v>
                </c:pt>
                <c:pt idx="707">
                  <c:v>18-Feb-24</c:v>
                </c:pt>
                <c:pt idx="708">
                  <c:v>25-Feb-24</c:v>
                </c:pt>
                <c:pt idx="709">
                  <c:v>03-Mar-24</c:v>
                </c:pt>
                <c:pt idx="710">
                  <c:v>10-Mar-24</c:v>
                </c:pt>
                <c:pt idx="711">
                  <c:v>17-Mar-24</c:v>
                </c:pt>
                <c:pt idx="712">
                  <c:v>24-Mar-24</c:v>
                </c:pt>
                <c:pt idx="713">
                  <c:v>31-Mar-24</c:v>
                </c:pt>
                <c:pt idx="714">
                  <c:v>07-Apr-24</c:v>
                </c:pt>
                <c:pt idx="715">
                  <c:v>14-Apr-24</c:v>
                </c:pt>
                <c:pt idx="716">
                  <c:v>21-Apr-24</c:v>
                </c:pt>
                <c:pt idx="717">
                  <c:v>28-Apr-24</c:v>
                </c:pt>
                <c:pt idx="718">
                  <c:v>05-May-24</c:v>
                </c:pt>
                <c:pt idx="719">
                  <c:v>12-May-24</c:v>
                </c:pt>
                <c:pt idx="720">
                  <c:v>19-May-24</c:v>
                </c:pt>
                <c:pt idx="721">
                  <c:v>26-May-24</c:v>
                </c:pt>
                <c:pt idx="722">
                  <c:v>02-Jun-24</c:v>
                </c:pt>
                <c:pt idx="723">
                  <c:v>09-Jun-24</c:v>
                </c:pt>
                <c:pt idx="724">
                  <c:v>16-Jun-24</c:v>
                </c:pt>
                <c:pt idx="725">
                  <c:v>23-Jun-24</c:v>
                </c:pt>
                <c:pt idx="726">
                  <c:v>30-Jun-24</c:v>
                </c:pt>
                <c:pt idx="727">
                  <c:v>07-Jul-24</c:v>
                </c:pt>
                <c:pt idx="728">
                  <c:v>14-Jul-24</c:v>
                </c:pt>
                <c:pt idx="729">
                  <c:v>21-Jul-24</c:v>
                </c:pt>
                <c:pt idx="730">
                  <c:v>28-Jul-24</c:v>
                </c:pt>
                <c:pt idx="731">
                  <c:v>04-Aug-24</c:v>
                </c:pt>
                <c:pt idx="732">
                  <c:v>11-Aug-24</c:v>
                </c:pt>
                <c:pt idx="733">
                  <c:v>18-Aug-24</c:v>
                </c:pt>
                <c:pt idx="734">
                  <c:v>25-Aug-24</c:v>
                </c:pt>
                <c:pt idx="735">
                  <c:v>01-Sep-24</c:v>
                </c:pt>
                <c:pt idx="736">
                  <c:v>08-Sep-24</c:v>
                </c:pt>
                <c:pt idx="737">
                  <c:v>15-Sep-24</c:v>
                </c:pt>
                <c:pt idx="738">
                  <c:v>22-Sep-24</c:v>
                </c:pt>
                <c:pt idx="739">
                  <c:v>29-Sep-24</c:v>
                </c:pt>
                <c:pt idx="740">
                  <c:v>06-Oct-24</c:v>
                </c:pt>
                <c:pt idx="741">
                  <c:v>13-Oct-24</c:v>
                </c:pt>
                <c:pt idx="742">
                  <c:v>20-Oct-24</c:v>
                </c:pt>
                <c:pt idx="743">
                  <c:v>27-Oct-24</c:v>
                </c:pt>
                <c:pt idx="744">
                  <c:v>03-Nov-24</c:v>
                </c:pt>
                <c:pt idx="745">
                  <c:v>10-Nov-24</c:v>
                </c:pt>
                <c:pt idx="746">
                  <c:v>17-Nov-24</c:v>
                </c:pt>
                <c:pt idx="747">
                  <c:v>24-Nov-24</c:v>
                </c:pt>
                <c:pt idx="748">
                  <c:v>01-Dec-24</c:v>
                </c:pt>
                <c:pt idx="749">
                  <c:v>08-Dec-24</c:v>
                </c:pt>
                <c:pt idx="750">
                  <c:v>15-Dec-24</c:v>
                </c:pt>
                <c:pt idx="751">
                  <c:v>22-Dec-24</c:v>
                </c:pt>
                <c:pt idx="752">
                  <c:v>29-Dec-24</c:v>
                </c:pt>
                <c:pt idx="753">
                  <c:v>05-Jan-25</c:v>
                </c:pt>
                <c:pt idx="754">
                  <c:v>12-Jan-25</c:v>
                </c:pt>
                <c:pt idx="755">
                  <c:v>19-Jan-25</c:v>
                </c:pt>
                <c:pt idx="756">
                  <c:v>26-Jan-25</c:v>
                </c:pt>
                <c:pt idx="757">
                  <c:v>02-Feb-25</c:v>
                </c:pt>
                <c:pt idx="758">
                  <c:v>09-Feb-25</c:v>
                </c:pt>
                <c:pt idx="759">
                  <c:v>16-Feb-25</c:v>
                </c:pt>
                <c:pt idx="760">
                  <c:v>23-Feb-25</c:v>
                </c:pt>
                <c:pt idx="761">
                  <c:v>02-Mar-25</c:v>
                </c:pt>
                <c:pt idx="762">
                  <c:v>09-Mar-25</c:v>
                </c:pt>
                <c:pt idx="763">
                  <c:v>16-Mar-25</c:v>
                </c:pt>
                <c:pt idx="764">
                  <c:v>23-Mar-25</c:v>
                </c:pt>
                <c:pt idx="765">
                  <c:v>30-Mar-25</c:v>
                </c:pt>
                <c:pt idx="766">
                  <c:v>06-Apr-25</c:v>
                </c:pt>
                <c:pt idx="767">
                  <c:v>13-Apr-25</c:v>
                </c:pt>
                <c:pt idx="768">
                  <c:v>20-Apr-25</c:v>
                </c:pt>
                <c:pt idx="769">
                  <c:v>27-Apr-25</c:v>
                </c:pt>
                <c:pt idx="770">
                  <c:v>04-May-25</c:v>
                </c:pt>
                <c:pt idx="771">
                  <c:v>11-May-25</c:v>
                </c:pt>
                <c:pt idx="772">
                  <c:v>18-May-25</c:v>
                </c:pt>
                <c:pt idx="773">
                  <c:v>25-May-25</c:v>
                </c:pt>
                <c:pt idx="774">
                  <c:v>01-Jun-25</c:v>
                </c:pt>
              </c:strCache>
            </c:strRef>
          </c:cat>
          <c:val>
            <c:numRef>
              <c:f>Sheet20!$B$5:$ACV$5</c:f>
              <c:numCache>
                <c:formatCode>General</c:formatCode>
                <c:ptCount val="775"/>
                <c:pt idx="0">
                  <c:v>100.56032898014597</c:v>
                </c:pt>
                <c:pt idx="1">
                  <c:v>100.93031046774344</c:v>
                </c:pt>
                <c:pt idx="2">
                  <c:v>99.014044486631832</c:v>
                </c:pt>
                <c:pt idx="3">
                  <c:v>97.862309888434609</c:v>
                </c:pt>
                <c:pt idx="4">
                  <c:v>94.771818247815304</c:v>
                </c:pt>
                <c:pt idx="5">
                  <c:v>97.961905677049018</c:v>
                </c:pt>
                <c:pt idx="6">
                  <c:v>95.02193218715</c:v>
                </c:pt>
                <c:pt idx="7">
                  <c:v>95.7658589982168</c:v>
                </c:pt>
                <c:pt idx="8">
                  <c:v>93.802952377286275</c:v>
                </c:pt>
                <c:pt idx="9">
                  <c:v>94.243737662896677</c:v>
                </c:pt>
                <c:pt idx="10">
                  <c:v>96.142905699628272</c:v>
                </c:pt>
                <c:pt idx="11">
                  <c:v>97.662111449701641</c:v>
                </c:pt>
                <c:pt idx="12">
                  <c:v>97.692257756364626</c:v>
                </c:pt>
                <c:pt idx="13">
                  <c:v>95.765239687936699</c:v>
                </c:pt>
                <c:pt idx="14">
                  <c:v>95.530171598315491</c:v>
                </c:pt>
                <c:pt idx="15">
                  <c:v>96.83859603790863</c:v>
                </c:pt>
                <c:pt idx="16">
                  <c:v>95.741562995140711</c:v>
                </c:pt>
                <c:pt idx="17">
                  <c:v>93.560660800190135</c:v>
                </c:pt>
                <c:pt idx="18">
                  <c:v>93.87716117577699</c:v>
                </c:pt>
                <c:pt idx="19">
                  <c:v>92.996696085143512</c:v>
                </c:pt>
                <c:pt idx="20">
                  <c:v>92.15174922359148</c:v>
                </c:pt>
                <c:pt idx="21">
                  <c:v>96.442961621924297</c:v>
                </c:pt>
                <c:pt idx="22">
                  <c:v>97.686566356640554</c:v>
                </c:pt>
                <c:pt idx="23">
                  <c:v>99.312949186006023</c:v>
                </c:pt>
                <c:pt idx="24">
                  <c:v>103.43198659068958</c:v>
                </c:pt>
                <c:pt idx="25">
                  <c:v>104.41194644144034</c:v>
                </c:pt>
                <c:pt idx="26">
                  <c:v>103.45349480355915</c:v>
                </c:pt>
                <c:pt idx="27">
                  <c:v>106.54724868446995</c:v>
                </c:pt>
                <c:pt idx="28">
                  <c:v>107.92538760274603</c:v>
                </c:pt>
                <c:pt idx="29">
                  <c:v>105.79366668582804</c:v>
                </c:pt>
                <c:pt idx="30">
                  <c:v>104.69266297678404</c:v>
                </c:pt>
                <c:pt idx="31">
                  <c:v>106.16424577705293</c:v>
                </c:pt>
                <c:pt idx="32">
                  <c:v>102.40834993322876</c:v>
                </c:pt>
                <c:pt idx="33">
                  <c:v>102.67075644901483</c:v>
                </c:pt>
                <c:pt idx="34">
                  <c:v>102.2718933716335</c:v>
                </c:pt>
                <c:pt idx="35">
                  <c:v>104.10416412605842</c:v>
                </c:pt>
                <c:pt idx="36">
                  <c:v>104.72228870984031</c:v>
                </c:pt>
                <c:pt idx="37">
                  <c:v>102.02977911554004</c:v>
                </c:pt>
                <c:pt idx="38">
                  <c:v>101.27405420412451</c:v>
                </c:pt>
                <c:pt idx="39">
                  <c:v>101.09493475158568</c:v>
                </c:pt>
                <c:pt idx="40">
                  <c:v>101.33986696626522</c:v>
                </c:pt>
                <c:pt idx="41">
                  <c:v>102.04192595372365</c:v>
                </c:pt>
                <c:pt idx="42">
                  <c:v>100.75846985455327</c:v>
                </c:pt>
                <c:pt idx="43">
                  <c:v>102.81205492939768</c:v>
                </c:pt>
                <c:pt idx="44">
                  <c:v>99.573334587428576</c:v>
                </c:pt>
                <c:pt idx="45">
                  <c:v>102.466911300015</c:v>
                </c:pt>
                <c:pt idx="46">
                  <c:v>103.41142910874277</c:v>
                </c:pt>
                <c:pt idx="47">
                  <c:v>103.19831344317632</c:v>
                </c:pt>
                <c:pt idx="48">
                  <c:v>106.61279638540155</c:v>
                </c:pt>
                <c:pt idx="49">
                  <c:v>106.68616065016363</c:v>
                </c:pt>
                <c:pt idx="50">
                  <c:v>105.29185702354364</c:v>
                </c:pt>
                <c:pt idx="51">
                  <c:v>105.10708561988505</c:v>
                </c:pt>
                <c:pt idx="52">
                  <c:v>104.30212962212319</c:v>
                </c:pt>
                <c:pt idx="53">
                  <c:v>99.337723251608949</c:v>
                </c:pt>
                <c:pt idx="54">
                  <c:v>99.157374510244878</c:v>
                </c:pt>
                <c:pt idx="55">
                  <c:v>96.696307396172188</c:v>
                </c:pt>
                <c:pt idx="56">
                  <c:v>98.078751245569578</c:v>
                </c:pt>
                <c:pt idx="57">
                  <c:v>99.220108932648614</c:v>
                </c:pt>
                <c:pt idx="58">
                  <c:v>97.636436529998321</c:v>
                </c:pt>
                <c:pt idx="59">
                  <c:v>98.003517455555894</c:v>
                </c:pt>
                <c:pt idx="60">
                  <c:v>96.574533555338135</c:v>
                </c:pt>
                <c:pt idx="61">
                  <c:v>94.071716040638862</c:v>
                </c:pt>
                <c:pt idx="62">
                  <c:v>96.777302440740101</c:v>
                </c:pt>
                <c:pt idx="63">
                  <c:v>98.981094577931088</c:v>
                </c:pt>
                <c:pt idx="64">
                  <c:v>95.591871151823284</c:v>
                </c:pt>
                <c:pt idx="65">
                  <c:v>95.838254190934336</c:v>
                </c:pt>
                <c:pt idx="66">
                  <c:v>95.281007060995648</c:v>
                </c:pt>
                <c:pt idx="67">
                  <c:v>94.181051001368573</c:v>
                </c:pt>
                <c:pt idx="68">
                  <c:v>95.902445106657908</c:v>
                </c:pt>
                <c:pt idx="69">
                  <c:v>94.828300885747424</c:v>
                </c:pt>
                <c:pt idx="70">
                  <c:v>94.849225426616869</c:v>
                </c:pt>
                <c:pt idx="71">
                  <c:v>96.341895169933878</c:v>
                </c:pt>
                <c:pt idx="72">
                  <c:v>95.654671577735783</c:v>
                </c:pt>
                <c:pt idx="73">
                  <c:v>95.357785589108701</c:v>
                </c:pt>
                <c:pt idx="74">
                  <c:v>96.830711892846736</c:v>
                </c:pt>
                <c:pt idx="75">
                  <c:v>98.958716025955354</c:v>
                </c:pt>
                <c:pt idx="76">
                  <c:v>98.153417116729074</c:v>
                </c:pt>
                <c:pt idx="77">
                  <c:v>101.49077587074119</c:v>
                </c:pt>
                <c:pt idx="78">
                  <c:v>102.62669793555493</c:v>
                </c:pt>
                <c:pt idx="79">
                  <c:v>102.13975419180686</c:v>
                </c:pt>
                <c:pt idx="80">
                  <c:v>100.96421252857085</c:v>
                </c:pt>
                <c:pt idx="81">
                  <c:v>100.96779549785789</c:v>
                </c:pt>
                <c:pt idx="82">
                  <c:v>102.4892230575156</c:v>
                </c:pt>
                <c:pt idx="83">
                  <c:v>105.78758013741884</c:v>
                </c:pt>
                <c:pt idx="84">
                  <c:v>103.88182517786186</c:v>
                </c:pt>
                <c:pt idx="85">
                  <c:v>104.30829805230918</c:v>
                </c:pt>
                <c:pt idx="86">
                  <c:v>100.62064980549124</c:v>
                </c:pt>
                <c:pt idx="87">
                  <c:v>100.56052223200297</c:v>
                </c:pt>
                <c:pt idx="88">
                  <c:v>100.85810676493648</c:v>
                </c:pt>
                <c:pt idx="89">
                  <c:v>100.92635101458347</c:v>
                </c:pt>
                <c:pt idx="90">
                  <c:v>102.67556508521824</c:v>
                </c:pt>
                <c:pt idx="91">
                  <c:v>101.56584975880835</c:v>
                </c:pt>
                <c:pt idx="92">
                  <c:v>100.04999075582703</c:v>
                </c:pt>
                <c:pt idx="93">
                  <c:v>98.692993248029296</c:v>
                </c:pt>
                <c:pt idx="94">
                  <c:v>96.654855889753449</c:v>
                </c:pt>
                <c:pt idx="95">
                  <c:v>95.957723492629256</c:v>
                </c:pt>
                <c:pt idx="96">
                  <c:v>97.643044032452252</c:v>
                </c:pt>
                <c:pt idx="97">
                  <c:v>99.536829282823007</c:v>
                </c:pt>
                <c:pt idx="98">
                  <c:v>100.26485331546021</c:v>
                </c:pt>
                <c:pt idx="99">
                  <c:v>99.989573180280885</c:v>
                </c:pt>
                <c:pt idx="100">
                  <c:v>99.226967130534234</c:v>
                </c:pt>
                <c:pt idx="101">
                  <c:v>99.704315334339412</c:v>
                </c:pt>
                <c:pt idx="102">
                  <c:v>97.095154893684892</c:v>
                </c:pt>
                <c:pt idx="103">
                  <c:v>98.13187997203994</c:v>
                </c:pt>
                <c:pt idx="104">
                  <c:v>93.134706219950829</c:v>
                </c:pt>
                <c:pt idx="105">
                  <c:v>92.158231733154466</c:v>
                </c:pt>
                <c:pt idx="106">
                  <c:v>94.455168367061248</c:v>
                </c:pt>
                <c:pt idx="107">
                  <c:v>94.865951050100406</c:v>
                </c:pt>
                <c:pt idx="108">
                  <c:v>93.630238526192798</c:v>
                </c:pt>
                <c:pt idx="109">
                  <c:v>92.98675167650832</c:v>
                </c:pt>
                <c:pt idx="110">
                  <c:v>94.744326402606859</c:v>
                </c:pt>
                <c:pt idx="111">
                  <c:v>97.662203777954034</c:v>
                </c:pt>
                <c:pt idx="112">
                  <c:v>95.269533757185116</c:v>
                </c:pt>
                <c:pt idx="113">
                  <c:v>94.466746654740419</c:v>
                </c:pt>
                <c:pt idx="114">
                  <c:v>94.914992542604281</c:v>
                </c:pt>
                <c:pt idx="115">
                  <c:v>96.702529769724379</c:v>
                </c:pt>
                <c:pt idx="116">
                  <c:v>99.591382120881946</c:v>
                </c:pt>
                <c:pt idx="117">
                  <c:v>98.861719200839389</c:v>
                </c:pt>
                <c:pt idx="118">
                  <c:v>99.460585532933209</c:v>
                </c:pt>
                <c:pt idx="119">
                  <c:v>97.093463944723496</c:v>
                </c:pt>
                <c:pt idx="120">
                  <c:v>95.347917291385386</c:v>
                </c:pt>
                <c:pt idx="121">
                  <c:v>95.248562520965933</c:v>
                </c:pt>
                <c:pt idx="122">
                  <c:v>95.43366532407174</c:v>
                </c:pt>
                <c:pt idx="123">
                  <c:v>96.948288838534111</c:v>
                </c:pt>
                <c:pt idx="124">
                  <c:v>95.615993675525033</c:v>
                </c:pt>
                <c:pt idx="125">
                  <c:v>96.513717864084953</c:v>
                </c:pt>
                <c:pt idx="126">
                  <c:v>95.329288022293994</c:v>
                </c:pt>
                <c:pt idx="127">
                  <c:v>99.105194616740917</c:v>
                </c:pt>
                <c:pt idx="128">
                  <c:v>99.102906909985279</c:v>
                </c:pt>
                <c:pt idx="129">
                  <c:v>98.046930599960959</c:v>
                </c:pt>
                <c:pt idx="130">
                  <c:v>97.830541967872207</c:v>
                </c:pt>
                <c:pt idx="131">
                  <c:v>101.46254429746877</c:v>
                </c:pt>
                <c:pt idx="132">
                  <c:v>99.473525949553689</c:v>
                </c:pt>
                <c:pt idx="133">
                  <c:v>102.43420553547543</c:v>
                </c:pt>
                <c:pt idx="134">
                  <c:v>103.33456255278962</c:v>
                </c:pt>
                <c:pt idx="135">
                  <c:v>103.00453473477542</c:v>
                </c:pt>
                <c:pt idx="136">
                  <c:v>102.50207718246189</c:v>
                </c:pt>
                <c:pt idx="137">
                  <c:v>101.56131522130283</c:v>
                </c:pt>
                <c:pt idx="138">
                  <c:v>100.75880012911327</c:v>
                </c:pt>
                <c:pt idx="139">
                  <c:v>99.984331620759292</c:v>
                </c:pt>
                <c:pt idx="140">
                  <c:v>97.385680895886054</c:v>
                </c:pt>
                <c:pt idx="141">
                  <c:v>99.266000399396475</c:v>
                </c:pt>
                <c:pt idx="142">
                  <c:v>102.187553193742</c:v>
                </c:pt>
                <c:pt idx="143">
                  <c:v>101.37160631635039</c:v>
                </c:pt>
                <c:pt idx="144">
                  <c:v>101.63254449409963</c:v>
                </c:pt>
                <c:pt idx="145">
                  <c:v>99.878085187883471</c:v>
                </c:pt>
                <c:pt idx="146">
                  <c:v>100.79813510393149</c:v>
                </c:pt>
                <c:pt idx="147">
                  <c:v>101.29260848279731</c:v>
                </c:pt>
                <c:pt idx="148">
                  <c:v>102.14958262211535</c:v>
                </c:pt>
                <c:pt idx="149">
                  <c:v>99.542167760819325</c:v>
                </c:pt>
                <c:pt idx="150">
                  <c:v>98.340554467516284</c:v>
                </c:pt>
                <c:pt idx="151">
                  <c:v>98.646684103551422</c:v>
                </c:pt>
                <c:pt idx="152">
                  <c:v>98.611401212909087</c:v>
                </c:pt>
                <c:pt idx="153">
                  <c:v>96.693526717631315</c:v>
                </c:pt>
                <c:pt idx="154">
                  <c:v>99.824989770106384</c:v>
                </c:pt>
                <c:pt idx="155">
                  <c:v>98.225923256109567</c:v>
                </c:pt>
                <c:pt idx="156">
                  <c:v>99.161102139681432</c:v>
                </c:pt>
                <c:pt idx="157">
                  <c:v>100.94359642762748</c:v>
                </c:pt>
                <c:pt idx="158">
                  <c:v>102.68489176349803</c:v>
                </c:pt>
                <c:pt idx="159">
                  <c:v>102.33464460305166</c:v>
                </c:pt>
                <c:pt idx="160">
                  <c:v>105.51715843216574</c:v>
                </c:pt>
                <c:pt idx="161">
                  <c:v>105.01996732686182</c:v>
                </c:pt>
                <c:pt idx="162">
                  <c:v>106.714135274054</c:v>
                </c:pt>
                <c:pt idx="163">
                  <c:v>108.24633556809533</c:v>
                </c:pt>
                <c:pt idx="164">
                  <c:v>106.53819270648616</c:v>
                </c:pt>
                <c:pt idx="165">
                  <c:v>104.80531116015538</c:v>
                </c:pt>
                <c:pt idx="166">
                  <c:v>105.3672740935279</c:v>
                </c:pt>
                <c:pt idx="167">
                  <c:v>105.69598465705396</c:v>
                </c:pt>
                <c:pt idx="168">
                  <c:v>103.60133910976921</c:v>
                </c:pt>
                <c:pt idx="169">
                  <c:v>100.80871794052915</c:v>
                </c:pt>
                <c:pt idx="170">
                  <c:v>102.58168969052257</c:v>
                </c:pt>
                <c:pt idx="171">
                  <c:v>103.32306993080007</c:v>
                </c:pt>
                <c:pt idx="172">
                  <c:v>100.8768778911037</c:v>
                </c:pt>
                <c:pt idx="173">
                  <c:v>100.99317648357275</c:v>
                </c:pt>
                <c:pt idx="174">
                  <c:v>102.79305387290177</c:v>
                </c:pt>
                <c:pt idx="175">
                  <c:v>105.19677416322695</c:v>
                </c:pt>
                <c:pt idx="176">
                  <c:v>103.81674572079523</c:v>
                </c:pt>
                <c:pt idx="177">
                  <c:v>105.34255770141604</c:v>
                </c:pt>
                <c:pt idx="178">
                  <c:v>107.20248133415019</c:v>
                </c:pt>
                <c:pt idx="179">
                  <c:v>106.61742251452699</c:v>
                </c:pt>
                <c:pt idx="180">
                  <c:v>106.41585922989313</c:v>
                </c:pt>
                <c:pt idx="181">
                  <c:v>109.62809175686527</c:v>
                </c:pt>
                <c:pt idx="182">
                  <c:v>108.24081962637749</c:v>
                </c:pt>
                <c:pt idx="183">
                  <c:v>106.78453404659564</c:v>
                </c:pt>
                <c:pt idx="184">
                  <c:v>107.92011592463705</c:v>
                </c:pt>
                <c:pt idx="185">
                  <c:v>105.9555761464038</c:v>
                </c:pt>
                <c:pt idx="186">
                  <c:v>106.10009303937265</c:v>
                </c:pt>
                <c:pt idx="187">
                  <c:v>104.2964880239294</c:v>
                </c:pt>
                <c:pt idx="188">
                  <c:v>103.84588006740803</c:v>
                </c:pt>
                <c:pt idx="189">
                  <c:v>98.021690551194823</c:v>
                </c:pt>
                <c:pt idx="190">
                  <c:v>98.648704626818414</c:v>
                </c:pt>
                <c:pt idx="191">
                  <c:v>100.79999594828489</c:v>
                </c:pt>
                <c:pt idx="192">
                  <c:v>101.3851027806251</c:v>
                </c:pt>
                <c:pt idx="193">
                  <c:v>98.466487723460531</c:v>
                </c:pt>
                <c:pt idx="194">
                  <c:v>97.804491328201706</c:v>
                </c:pt>
                <c:pt idx="195">
                  <c:v>97.102464437273014</c:v>
                </c:pt>
                <c:pt idx="196">
                  <c:v>97.263665858911438</c:v>
                </c:pt>
                <c:pt idx="197">
                  <c:v>99.050254195934102</c:v>
                </c:pt>
                <c:pt idx="198">
                  <c:v>97.987525274525936</c:v>
                </c:pt>
                <c:pt idx="199">
                  <c:v>99.297246841688946</c:v>
                </c:pt>
                <c:pt idx="200">
                  <c:v>99.451931249508462</c:v>
                </c:pt>
                <c:pt idx="201">
                  <c:v>102.07429944083984</c:v>
                </c:pt>
                <c:pt idx="202">
                  <c:v>100.41691687746247</c:v>
                </c:pt>
                <c:pt idx="203">
                  <c:v>100.47070673945287</c:v>
                </c:pt>
                <c:pt idx="204">
                  <c:v>99.655828101966634</c:v>
                </c:pt>
                <c:pt idx="205">
                  <c:v>101.22524199456565</c:v>
                </c:pt>
                <c:pt idx="206">
                  <c:v>100.10900467456409</c:v>
                </c:pt>
                <c:pt idx="207">
                  <c:v>101.70794621940757</c:v>
                </c:pt>
                <c:pt idx="208">
                  <c:v>105.17536195870872</c:v>
                </c:pt>
                <c:pt idx="209">
                  <c:v>102.56055048527416</c:v>
                </c:pt>
                <c:pt idx="210">
                  <c:v>101.40239277475067</c:v>
                </c:pt>
                <c:pt idx="211">
                  <c:v>100.54313449427924</c:v>
                </c:pt>
                <c:pt idx="212">
                  <c:v>99.761057429203234</c:v>
                </c:pt>
                <c:pt idx="213">
                  <c:v>98.59552826288872</c:v>
                </c:pt>
                <c:pt idx="214">
                  <c:v>98.34291307381288</c:v>
                </c:pt>
                <c:pt idx="215">
                  <c:v>99.541147130209524</c:v>
                </c:pt>
                <c:pt idx="216">
                  <c:v>100.15107251534131</c:v>
                </c:pt>
                <c:pt idx="217">
                  <c:v>96.954491827736121</c:v>
                </c:pt>
                <c:pt idx="218">
                  <c:v>96.481838561365691</c:v>
                </c:pt>
                <c:pt idx="219">
                  <c:v>94.240966926368884</c:v>
                </c:pt>
                <c:pt idx="220">
                  <c:v>97.099078526377326</c:v>
                </c:pt>
                <c:pt idx="221">
                  <c:v>94.692862050859532</c:v>
                </c:pt>
                <c:pt idx="222">
                  <c:v>94.250128642639368</c:v>
                </c:pt>
                <c:pt idx="223">
                  <c:v>95.741092798962143</c:v>
                </c:pt>
                <c:pt idx="224">
                  <c:v>93.058782662522532</c:v>
                </c:pt>
                <c:pt idx="225">
                  <c:v>91.930596518027301</c:v>
                </c:pt>
                <c:pt idx="226">
                  <c:v>90.127864655973127</c:v>
                </c:pt>
                <c:pt idx="227">
                  <c:v>88.204902075332711</c:v>
                </c:pt>
                <c:pt idx="228">
                  <c:v>85.509969003123985</c:v>
                </c:pt>
                <c:pt idx="229">
                  <c:v>86.933099056165474</c:v>
                </c:pt>
                <c:pt idx="230">
                  <c:v>87.378711060494339</c:v>
                </c:pt>
                <c:pt idx="231">
                  <c:v>85.794339657644102</c:v>
                </c:pt>
                <c:pt idx="232">
                  <c:v>82.522849668776857</c:v>
                </c:pt>
                <c:pt idx="233">
                  <c:v>80.073493571297305</c:v>
                </c:pt>
                <c:pt idx="234">
                  <c:v>79.110449672996964</c:v>
                </c:pt>
                <c:pt idx="235">
                  <c:v>79.103429326228309</c:v>
                </c:pt>
                <c:pt idx="236">
                  <c:v>81.95306952776663</c:v>
                </c:pt>
                <c:pt idx="237">
                  <c:v>84.350798159532431</c:v>
                </c:pt>
                <c:pt idx="238">
                  <c:v>84.803482505087743</c:v>
                </c:pt>
                <c:pt idx="239">
                  <c:v>85.930866029163838</c:v>
                </c:pt>
                <c:pt idx="240">
                  <c:v>85.171740990502329</c:v>
                </c:pt>
                <c:pt idx="241">
                  <c:v>84.566190215002763</c:v>
                </c:pt>
                <c:pt idx="242">
                  <c:v>85.045019732590887</c:v>
                </c:pt>
                <c:pt idx="243">
                  <c:v>82.71145284437543</c:v>
                </c:pt>
                <c:pt idx="244">
                  <c:v>78.867948298170546</c:v>
                </c:pt>
                <c:pt idx="245">
                  <c:v>78.136040731139587</c:v>
                </c:pt>
                <c:pt idx="246">
                  <c:v>78.909588787945964</c:v>
                </c:pt>
                <c:pt idx="247">
                  <c:v>82.330420713493609</c:v>
                </c:pt>
                <c:pt idx="248">
                  <c:v>81.597883052167333</c:v>
                </c:pt>
                <c:pt idx="249">
                  <c:v>84.007002241145457</c:v>
                </c:pt>
                <c:pt idx="250">
                  <c:v>82.955767457039144</c:v>
                </c:pt>
                <c:pt idx="251">
                  <c:v>83.245033162553554</c:v>
                </c:pt>
                <c:pt idx="252">
                  <c:v>83.026999447812187</c:v>
                </c:pt>
                <c:pt idx="253">
                  <c:v>84.752058790438909</c:v>
                </c:pt>
                <c:pt idx="254">
                  <c:v>85.212609479172784</c:v>
                </c:pt>
                <c:pt idx="255">
                  <c:v>81.46967156614086</c:v>
                </c:pt>
                <c:pt idx="256">
                  <c:v>82.180656751251391</c:v>
                </c:pt>
                <c:pt idx="257">
                  <c:v>79.596496550849864</c:v>
                </c:pt>
                <c:pt idx="258">
                  <c:v>78.134268318504922</c:v>
                </c:pt>
                <c:pt idx="259">
                  <c:v>79.266250653143643</c:v>
                </c:pt>
                <c:pt idx="260">
                  <c:v>77.145357124735995</c:v>
                </c:pt>
                <c:pt idx="261">
                  <c:v>78.892724174093388</c:v>
                </c:pt>
                <c:pt idx="262">
                  <c:v>76.75807831230496</c:v>
                </c:pt>
                <c:pt idx="263">
                  <c:v>75.106401386075859</c:v>
                </c:pt>
                <c:pt idx="264">
                  <c:v>73.032327858266413</c:v>
                </c:pt>
                <c:pt idx="265">
                  <c:v>74.215836702395379</c:v>
                </c:pt>
                <c:pt idx="266">
                  <c:v>72.902824306961435</c:v>
                </c:pt>
                <c:pt idx="267">
                  <c:v>75.644546679527181</c:v>
                </c:pt>
                <c:pt idx="268">
                  <c:v>72.15816161250774</c:v>
                </c:pt>
                <c:pt idx="269">
                  <c:v>69.643602077681592</c:v>
                </c:pt>
                <c:pt idx="270">
                  <c:v>68.221582033609167</c:v>
                </c:pt>
                <c:pt idx="271">
                  <c:v>71.389580782249908</c:v>
                </c:pt>
                <c:pt idx="272">
                  <c:v>66.986424804452085</c:v>
                </c:pt>
                <c:pt idx="273">
                  <c:v>67.029386971010695</c:v>
                </c:pt>
                <c:pt idx="274">
                  <c:v>66.252602004515126</c:v>
                </c:pt>
                <c:pt idx="275">
                  <c:v>67.107702891682777</c:v>
                </c:pt>
                <c:pt idx="276">
                  <c:v>64.939741674066283</c:v>
                </c:pt>
                <c:pt idx="277">
                  <c:v>64.535435541397575</c:v>
                </c:pt>
                <c:pt idx="278">
                  <c:v>64.292222719149734</c:v>
                </c:pt>
                <c:pt idx="279">
                  <c:v>62.368910759225308</c:v>
                </c:pt>
                <c:pt idx="280">
                  <c:v>61.720119247716475</c:v>
                </c:pt>
                <c:pt idx="281">
                  <c:v>60.782847398163867</c:v>
                </c:pt>
                <c:pt idx="282">
                  <c:v>62.232961227385928</c:v>
                </c:pt>
                <c:pt idx="283">
                  <c:v>62.593639545775765</c:v>
                </c:pt>
                <c:pt idx="284">
                  <c:v>60.229986085284828</c:v>
                </c:pt>
                <c:pt idx="285">
                  <c:v>59.273134483426389</c:v>
                </c:pt>
                <c:pt idx="286">
                  <c:v>61.417531592696761</c:v>
                </c:pt>
                <c:pt idx="287">
                  <c:v>61.754348009997315</c:v>
                </c:pt>
                <c:pt idx="288">
                  <c:v>63.569629054103544</c:v>
                </c:pt>
                <c:pt idx="289">
                  <c:v>62.492566994848623</c:v>
                </c:pt>
                <c:pt idx="290">
                  <c:v>64.800555867247439</c:v>
                </c:pt>
                <c:pt idx="291">
                  <c:v>64.676576811066667</c:v>
                </c:pt>
                <c:pt idx="292">
                  <c:v>66.487288515149984</c:v>
                </c:pt>
                <c:pt idx="293">
                  <c:v>67.777576420543454</c:v>
                </c:pt>
                <c:pt idx="294">
                  <c:v>66.765497993988248</c:v>
                </c:pt>
                <c:pt idx="295">
                  <c:v>65.524133244130198</c:v>
                </c:pt>
                <c:pt idx="296">
                  <c:v>64.644024371664187</c:v>
                </c:pt>
                <c:pt idx="297">
                  <c:v>62.9755157649221</c:v>
                </c:pt>
                <c:pt idx="298">
                  <c:v>65.527567013399221</c:v>
                </c:pt>
                <c:pt idx="299">
                  <c:v>68.177911294889398</c:v>
                </c:pt>
                <c:pt idx="300">
                  <c:v>67.377289357778295</c:v>
                </c:pt>
                <c:pt idx="301">
                  <c:v>65.452303495746108</c:v>
                </c:pt>
                <c:pt idx="302">
                  <c:v>64.239642907668809</c:v>
                </c:pt>
                <c:pt idx="303">
                  <c:v>66.48864196976146</c:v>
                </c:pt>
                <c:pt idx="304">
                  <c:v>66.762421895864023</c:v>
                </c:pt>
                <c:pt idx="305">
                  <c:v>64.64173309088082</c:v>
                </c:pt>
                <c:pt idx="306">
                  <c:v>63.939435309601919</c:v>
                </c:pt>
                <c:pt idx="307">
                  <c:v>65.481206953590032</c:v>
                </c:pt>
                <c:pt idx="308">
                  <c:v>63.657818382804201</c:v>
                </c:pt>
                <c:pt idx="309">
                  <c:v>65.32621875274063</c:v>
                </c:pt>
                <c:pt idx="310">
                  <c:v>65.466898531969349</c:v>
                </c:pt>
                <c:pt idx="311">
                  <c:v>68.511779462479666</c:v>
                </c:pt>
                <c:pt idx="312">
                  <c:v>67.337986685075307</c:v>
                </c:pt>
                <c:pt idx="313">
                  <c:v>67.342553294503446</c:v>
                </c:pt>
                <c:pt idx="314">
                  <c:v>68.000925730256199</c:v>
                </c:pt>
                <c:pt idx="315">
                  <c:v>68.501087909431405</c:v>
                </c:pt>
                <c:pt idx="316">
                  <c:v>68.939954645623644</c:v>
                </c:pt>
                <c:pt idx="317">
                  <c:v>69.994407099809052</c:v>
                </c:pt>
                <c:pt idx="318">
                  <c:v>70.905926976762913</c:v>
                </c:pt>
                <c:pt idx="319">
                  <c:v>71.762791650886257</c:v>
                </c:pt>
                <c:pt idx="320">
                  <c:v>72.70028394388909</c:v>
                </c:pt>
                <c:pt idx="321">
                  <c:v>73.134789243588045</c:v>
                </c:pt>
                <c:pt idx="322">
                  <c:v>75.526984058962725</c:v>
                </c:pt>
                <c:pt idx="323">
                  <c:v>77.990271327508125</c:v>
                </c:pt>
                <c:pt idx="324">
                  <c:v>78.937512231827114</c:v>
                </c:pt>
                <c:pt idx="325">
                  <c:v>78.100596908068042</c:v>
                </c:pt>
                <c:pt idx="326">
                  <c:v>79.558471775260742</c:v>
                </c:pt>
                <c:pt idx="327">
                  <c:v>79.187596287312743</c:v>
                </c:pt>
                <c:pt idx="328">
                  <c:v>83.911979490389456</c:v>
                </c:pt>
                <c:pt idx="329">
                  <c:v>82.320228219927671</c:v>
                </c:pt>
                <c:pt idx="330">
                  <c:v>85.667385404628519</c:v>
                </c:pt>
                <c:pt idx="331">
                  <c:v>83.691918779157831</c:v>
                </c:pt>
                <c:pt idx="332">
                  <c:v>86.866087423954355</c:v>
                </c:pt>
                <c:pt idx="333">
                  <c:v>86.049164924050601</c:v>
                </c:pt>
                <c:pt idx="334">
                  <c:v>84.296336434601045</c:v>
                </c:pt>
                <c:pt idx="335">
                  <c:v>81.639500593394033</c:v>
                </c:pt>
                <c:pt idx="336">
                  <c:v>81.219157566065363</c:v>
                </c:pt>
                <c:pt idx="337">
                  <c:v>84.49685545096024</c:v>
                </c:pt>
                <c:pt idx="338">
                  <c:v>82.824659202133049</c:v>
                </c:pt>
                <c:pt idx="339">
                  <c:v>85.92068257560291</c:v>
                </c:pt>
                <c:pt idx="340">
                  <c:v>82.493191628363633</c:v>
                </c:pt>
                <c:pt idx="341">
                  <c:v>82.287094285419329</c:v>
                </c:pt>
                <c:pt idx="342">
                  <c:v>81.336361941942215</c:v>
                </c:pt>
                <c:pt idx="343">
                  <c:v>80.344081978636112</c:v>
                </c:pt>
                <c:pt idx="344">
                  <c:v>83.551794791493251</c:v>
                </c:pt>
                <c:pt idx="345">
                  <c:v>82.078508271703825</c:v>
                </c:pt>
                <c:pt idx="346">
                  <c:v>83.710645545412561</c:v>
                </c:pt>
                <c:pt idx="347">
                  <c:v>80.514627811496467</c:v>
                </c:pt>
                <c:pt idx="348">
                  <c:v>82.056402132715462</c:v>
                </c:pt>
                <c:pt idx="349">
                  <c:v>83.07005433660558</c:v>
                </c:pt>
                <c:pt idx="350">
                  <c:v>80.072997443862974</c:v>
                </c:pt>
                <c:pt idx="351">
                  <c:v>80.220520693942888</c:v>
                </c:pt>
                <c:pt idx="352">
                  <c:v>81.422596374238879</c:v>
                </c:pt>
                <c:pt idx="353">
                  <c:v>78.382376837924966</c:v>
                </c:pt>
                <c:pt idx="354">
                  <c:v>77.198311460624296</c:v>
                </c:pt>
                <c:pt idx="355">
                  <c:v>78.406968879873247</c:v>
                </c:pt>
                <c:pt idx="356">
                  <c:v>76.708251862095807</c:v>
                </c:pt>
                <c:pt idx="357">
                  <c:v>76.100064933802656</c:v>
                </c:pt>
                <c:pt idx="358">
                  <c:v>76.854559546984731</c:v>
                </c:pt>
                <c:pt idx="359">
                  <c:v>74.811076758507667</c:v>
                </c:pt>
                <c:pt idx="360">
                  <c:v>74.314861763329759</c:v>
                </c:pt>
                <c:pt idx="361">
                  <c:v>76.920831382564771</c:v>
                </c:pt>
                <c:pt idx="362">
                  <c:v>79.127864888478513</c:v>
                </c:pt>
                <c:pt idx="363">
                  <c:v>79.295194848231404</c:v>
                </c:pt>
                <c:pt idx="364">
                  <c:v>79.639261171766393</c:v>
                </c:pt>
                <c:pt idx="365">
                  <c:v>81.786254018363451</c:v>
                </c:pt>
                <c:pt idx="366">
                  <c:v>82.95937421265954</c:v>
                </c:pt>
                <c:pt idx="367">
                  <c:v>81.525832141881793</c:v>
                </c:pt>
                <c:pt idx="368">
                  <c:v>80.8751376170041</c:v>
                </c:pt>
                <c:pt idx="369">
                  <c:v>83.05008053434581</c:v>
                </c:pt>
                <c:pt idx="370">
                  <c:v>82.97174068827556</c:v>
                </c:pt>
                <c:pt idx="371">
                  <c:v>83.856061826194178</c:v>
                </c:pt>
                <c:pt idx="372">
                  <c:v>84.405205253901769</c:v>
                </c:pt>
                <c:pt idx="373">
                  <c:v>86.194619841874299</c:v>
                </c:pt>
                <c:pt idx="374">
                  <c:v>88.014651410081655</c:v>
                </c:pt>
                <c:pt idx="375">
                  <c:v>91.706839137558333</c:v>
                </c:pt>
                <c:pt idx="376">
                  <c:v>90.189070224603284</c:v>
                </c:pt>
                <c:pt idx="377">
                  <c:v>91.410436823783172</c:v>
                </c:pt>
                <c:pt idx="378">
                  <c:v>92.273810422865367</c:v>
                </c:pt>
                <c:pt idx="379">
                  <c:v>93.867024895852339</c:v>
                </c:pt>
                <c:pt idx="380">
                  <c:v>93.265558563765509</c:v>
                </c:pt>
                <c:pt idx="381">
                  <c:v>92.171805875402029</c:v>
                </c:pt>
                <c:pt idx="382">
                  <c:v>94.007180710103782</c:v>
                </c:pt>
                <c:pt idx="383">
                  <c:v>92.557004976358684</c:v>
                </c:pt>
                <c:pt idx="384">
                  <c:v>94.023980412986589</c:v>
                </c:pt>
                <c:pt idx="385">
                  <c:v>95.092904861926272</c:v>
                </c:pt>
                <c:pt idx="386">
                  <c:v>95.573252007872824</c:v>
                </c:pt>
                <c:pt idx="387">
                  <c:v>94.066372351315295</c:v>
                </c:pt>
                <c:pt idx="388">
                  <c:v>95.910765955634105</c:v>
                </c:pt>
                <c:pt idx="389">
                  <c:v>97.384836706314573</c:v>
                </c:pt>
                <c:pt idx="390">
                  <c:v>95.99320522357678</c:v>
                </c:pt>
                <c:pt idx="391">
                  <c:v>93.314509125918335</c:v>
                </c:pt>
                <c:pt idx="392">
                  <c:v>94.562706954401662</c:v>
                </c:pt>
                <c:pt idx="393">
                  <c:v>93.318527125769833</c:v>
                </c:pt>
                <c:pt idx="394">
                  <c:v>92.549164348895204</c:v>
                </c:pt>
                <c:pt idx="395">
                  <c:v>92.787301680375535</c:v>
                </c:pt>
                <c:pt idx="396">
                  <c:v>91.846026083880034</c:v>
                </c:pt>
                <c:pt idx="397">
                  <c:v>91.535574814568633</c:v>
                </c:pt>
                <c:pt idx="398">
                  <c:v>92.956595644141771</c:v>
                </c:pt>
                <c:pt idx="399">
                  <c:v>91.042153736620151</c:v>
                </c:pt>
                <c:pt idx="400">
                  <c:v>91.200600298996193</c:v>
                </c:pt>
                <c:pt idx="401">
                  <c:v>91.180035495871948</c:v>
                </c:pt>
                <c:pt idx="402">
                  <c:v>92.740574234896513</c:v>
                </c:pt>
                <c:pt idx="403">
                  <c:v>95.134575611152826</c:v>
                </c:pt>
                <c:pt idx="404">
                  <c:v>94.842022221025275</c:v>
                </c:pt>
                <c:pt idx="405">
                  <c:v>94.708704369711896</c:v>
                </c:pt>
                <c:pt idx="406">
                  <c:v>97.780705779635667</c:v>
                </c:pt>
                <c:pt idx="407">
                  <c:v>101.44933402327779</c:v>
                </c:pt>
                <c:pt idx="408">
                  <c:v>99.45846536708143</c:v>
                </c:pt>
                <c:pt idx="409">
                  <c:v>101.84786369378639</c:v>
                </c:pt>
                <c:pt idx="410">
                  <c:v>105.12755268211208</c:v>
                </c:pt>
                <c:pt idx="411">
                  <c:v>104.67582164836594</c:v>
                </c:pt>
                <c:pt idx="412">
                  <c:v>102.49775144545855</c:v>
                </c:pt>
                <c:pt idx="413">
                  <c:v>105.1910109053938</c:v>
                </c:pt>
                <c:pt idx="414">
                  <c:v>103.57294517523665</c:v>
                </c:pt>
                <c:pt idx="415">
                  <c:v>104.14709334682435</c:v>
                </c:pt>
                <c:pt idx="416">
                  <c:v>102.72437611487329</c:v>
                </c:pt>
                <c:pt idx="417">
                  <c:v>104.77049608599266</c:v>
                </c:pt>
                <c:pt idx="418">
                  <c:v>104.08901594498163</c:v>
                </c:pt>
                <c:pt idx="419">
                  <c:v>106.19922441203819</c:v>
                </c:pt>
                <c:pt idx="420">
                  <c:v>107.58269290217845</c:v>
                </c:pt>
                <c:pt idx="421">
                  <c:v>107.53359726971095</c:v>
                </c:pt>
                <c:pt idx="422">
                  <c:v>108.16210840213566</c:v>
                </c:pt>
                <c:pt idx="423">
                  <c:v>108.05526449616752</c:v>
                </c:pt>
                <c:pt idx="424">
                  <c:v>111.48742214319499</c:v>
                </c:pt>
                <c:pt idx="425">
                  <c:v>111.28666176682718</c:v>
                </c:pt>
                <c:pt idx="426">
                  <c:v>112.62357253973751</c:v>
                </c:pt>
                <c:pt idx="427">
                  <c:v>113.00077470165797</c:v>
                </c:pt>
                <c:pt idx="428">
                  <c:v>108.58133722445207</c:v>
                </c:pt>
                <c:pt idx="429">
                  <c:v>106.15591392859982</c:v>
                </c:pt>
                <c:pt idx="430">
                  <c:v>104.08028798598725</c:v>
                </c:pt>
                <c:pt idx="431">
                  <c:v>104.91026606261757</c:v>
                </c:pt>
                <c:pt idx="432">
                  <c:v>104.52693977346522</c:v>
                </c:pt>
                <c:pt idx="433">
                  <c:v>103.33428301442117</c:v>
                </c:pt>
                <c:pt idx="434">
                  <c:v>98.355071456105648</c:v>
                </c:pt>
                <c:pt idx="435">
                  <c:v>97.037054298639305</c:v>
                </c:pt>
                <c:pt idx="436">
                  <c:v>97.285093091147914</c:v>
                </c:pt>
                <c:pt idx="437">
                  <c:v>98.96191368627791</c:v>
                </c:pt>
                <c:pt idx="438">
                  <c:v>98.637496625155137</c:v>
                </c:pt>
                <c:pt idx="439">
                  <c:v>99.830202885080951</c:v>
                </c:pt>
                <c:pt idx="440">
                  <c:v>96.868523352276611</c:v>
                </c:pt>
                <c:pt idx="441">
                  <c:v>99.559369606490662</c:v>
                </c:pt>
                <c:pt idx="442">
                  <c:v>98.905812537426399</c:v>
                </c:pt>
                <c:pt idx="443">
                  <c:v>99.72059069458615</c:v>
                </c:pt>
                <c:pt idx="444">
                  <c:v>100.12720476109074</c:v>
                </c:pt>
                <c:pt idx="445">
                  <c:v>98.157691831540362</c:v>
                </c:pt>
                <c:pt idx="446">
                  <c:v>100.24134017933838</c:v>
                </c:pt>
                <c:pt idx="447">
                  <c:v>98.606760220547812</c:v>
                </c:pt>
                <c:pt idx="448">
                  <c:v>96.990944521664431</c:v>
                </c:pt>
                <c:pt idx="449">
                  <c:v>97.74477329166055</c:v>
                </c:pt>
                <c:pt idx="450">
                  <c:v>99.589310763852495</c:v>
                </c:pt>
                <c:pt idx="451">
                  <c:v>99.294724533322835</c:v>
                </c:pt>
                <c:pt idx="452">
                  <c:v>99.947340774690247</c:v>
                </c:pt>
                <c:pt idx="453">
                  <c:v>100.28874432691809</c:v>
                </c:pt>
                <c:pt idx="454">
                  <c:v>100.60151181681321</c:v>
                </c:pt>
                <c:pt idx="455">
                  <c:v>97.147563424213999</c:v>
                </c:pt>
                <c:pt idx="456">
                  <c:v>98.73879403910081</c:v>
                </c:pt>
                <c:pt idx="457">
                  <c:v>99.031522808283171</c:v>
                </c:pt>
                <c:pt idx="458">
                  <c:v>97.217284135355769</c:v>
                </c:pt>
                <c:pt idx="459">
                  <c:v>96.94693400893145</c:v>
                </c:pt>
                <c:pt idx="460">
                  <c:v>94.7235821313012</c:v>
                </c:pt>
                <c:pt idx="461">
                  <c:v>92.143244459281505</c:v>
                </c:pt>
                <c:pt idx="462">
                  <c:v>90.99849720104946</c:v>
                </c:pt>
                <c:pt idx="463">
                  <c:v>90.062166190838425</c:v>
                </c:pt>
                <c:pt idx="464">
                  <c:v>89.091718339893944</c:v>
                </c:pt>
                <c:pt idx="465">
                  <c:v>87.097331386059523</c:v>
                </c:pt>
                <c:pt idx="466">
                  <c:v>84.142668175418322</c:v>
                </c:pt>
                <c:pt idx="467">
                  <c:v>82.324776659737594</c:v>
                </c:pt>
                <c:pt idx="468">
                  <c:v>82.632143933907017</c:v>
                </c:pt>
                <c:pt idx="469">
                  <c:v>83.739935051718518</c:v>
                </c:pt>
                <c:pt idx="470">
                  <c:v>79.703653632179012</c:v>
                </c:pt>
                <c:pt idx="471">
                  <c:v>78.266426588540426</c:v>
                </c:pt>
                <c:pt idx="472">
                  <c:v>79.461113302787183</c:v>
                </c:pt>
                <c:pt idx="473">
                  <c:v>77.21036979767257</c:v>
                </c:pt>
                <c:pt idx="474">
                  <c:v>79.470463526710233</c:v>
                </c:pt>
                <c:pt idx="475">
                  <c:v>78.388782107719294</c:v>
                </c:pt>
                <c:pt idx="476">
                  <c:v>80.235109066486089</c:v>
                </c:pt>
                <c:pt idx="477">
                  <c:v>78.340603036218781</c:v>
                </c:pt>
                <c:pt idx="478">
                  <c:v>75.752534460525652</c:v>
                </c:pt>
                <c:pt idx="479">
                  <c:v>74.943225128681206</c:v>
                </c:pt>
                <c:pt idx="480">
                  <c:v>77.550802108950975</c:v>
                </c:pt>
                <c:pt idx="481">
                  <c:v>74.440981940931735</c:v>
                </c:pt>
                <c:pt idx="482">
                  <c:v>74.576672707445866</c:v>
                </c:pt>
                <c:pt idx="483">
                  <c:v>75.24148045409332</c:v>
                </c:pt>
                <c:pt idx="484">
                  <c:v>76.944884436080486</c:v>
                </c:pt>
                <c:pt idx="485">
                  <c:v>76.025586863813402</c:v>
                </c:pt>
                <c:pt idx="486">
                  <c:v>76.202417573124507</c:v>
                </c:pt>
                <c:pt idx="487">
                  <c:v>77.350268767863085</c:v>
                </c:pt>
                <c:pt idx="488">
                  <c:v>77.520033798142308</c:v>
                </c:pt>
                <c:pt idx="489">
                  <c:v>80.155981668698203</c:v>
                </c:pt>
                <c:pt idx="490">
                  <c:v>78.945828977823979</c:v>
                </c:pt>
                <c:pt idx="491">
                  <c:v>77.256243169541179</c:v>
                </c:pt>
                <c:pt idx="492">
                  <c:v>76.281935283822008</c:v>
                </c:pt>
                <c:pt idx="493">
                  <c:v>75.886039941688722</c:v>
                </c:pt>
                <c:pt idx="494">
                  <c:v>75.871831100911876</c:v>
                </c:pt>
                <c:pt idx="495">
                  <c:v>73.900856282030574</c:v>
                </c:pt>
                <c:pt idx="496">
                  <c:v>72.451328629259166</c:v>
                </c:pt>
                <c:pt idx="497">
                  <c:v>71.997202739484067</c:v>
                </c:pt>
                <c:pt idx="498">
                  <c:v>72.511518272675232</c:v>
                </c:pt>
                <c:pt idx="499">
                  <c:v>71.077750924292289</c:v>
                </c:pt>
                <c:pt idx="500">
                  <c:v>69.916068130559708</c:v>
                </c:pt>
                <c:pt idx="501">
                  <c:v>67.658092777740293</c:v>
                </c:pt>
                <c:pt idx="502">
                  <c:v>66.641353781137511</c:v>
                </c:pt>
                <c:pt idx="503">
                  <c:v>66.354848227245043</c:v>
                </c:pt>
                <c:pt idx="504">
                  <c:v>66.238007162671551</c:v>
                </c:pt>
                <c:pt idx="505">
                  <c:v>67.233102594607814</c:v>
                </c:pt>
                <c:pt idx="506">
                  <c:v>68.734163279808129</c:v>
                </c:pt>
                <c:pt idx="507">
                  <c:v>68.015330049480355</c:v>
                </c:pt>
                <c:pt idx="508">
                  <c:v>67.215600159612919</c:v>
                </c:pt>
                <c:pt idx="509">
                  <c:v>68.507055260387759</c:v>
                </c:pt>
                <c:pt idx="510">
                  <c:v>68.699136988808391</c:v>
                </c:pt>
                <c:pt idx="511">
                  <c:v>67.180075833647606</c:v>
                </c:pt>
                <c:pt idx="512">
                  <c:v>68.256784529822141</c:v>
                </c:pt>
                <c:pt idx="513">
                  <c:v>69.582014943233048</c:v>
                </c:pt>
                <c:pt idx="514">
                  <c:v>71.294738144345189</c:v>
                </c:pt>
                <c:pt idx="515">
                  <c:v>70.866330444637327</c:v>
                </c:pt>
                <c:pt idx="516">
                  <c:v>70.047834595609245</c:v>
                </c:pt>
                <c:pt idx="517">
                  <c:v>69.881189948908684</c:v>
                </c:pt>
                <c:pt idx="518">
                  <c:v>68.577257311328324</c:v>
                </c:pt>
                <c:pt idx="519">
                  <c:v>68.295963663912588</c:v>
                </c:pt>
                <c:pt idx="520">
                  <c:v>70.074848338627348</c:v>
                </c:pt>
                <c:pt idx="521">
                  <c:v>70.272269617615606</c:v>
                </c:pt>
                <c:pt idx="522">
                  <c:v>70.047296062113546</c:v>
                </c:pt>
                <c:pt idx="523">
                  <c:v>72.087476238735761</c:v>
                </c:pt>
                <c:pt idx="524">
                  <c:v>71.865442943285402</c:v>
                </c:pt>
                <c:pt idx="525">
                  <c:v>70.779339810845229</c:v>
                </c:pt>
                <c:pt idx="526">
                  <c:v>69.479263175571802</c:v>
                </c:pt>
                <c:pt idx="527">
                  <c:v>70.408469260291099</c:v>
                </c:pt>
                <c:pt idx="528">
                  <c:v>71.260928014916288</c:v>
                </c:pt>
                <c:pt idx="529">
                  <c:v>72.031250533944558</c:v>
                </c:pt>
                <c:pt idx="530">
                  <c:v>71.871900275902348</c:v>
                </c:pt>
                <c:pt idx="531">
                  <c:v>72.025766308434584</c:v>
                </c:pt>
                <c:pt idx="532">
                  <c:v>72.230413584061708</c:v>
                </c:pt>
                <c:pt idx="533">
                  <c:v>72.194526503344846</c:v>
                </c:pt>
                <c:pt idx="534">
                  <c:v>72.207248159410369</c:v>
                </c:pt>
                <c:pt idx="535">
                  <c:v>70.092758947468738</c:v>
                </c:pt>
                <c:pt idx="536">
                  <c:v>69.937103059579869</c:v>
                </c:pt>
                <c:pt idx="537">
                  <c:v>70.884446498259194</c:v>
                </c:pt>
                <c:pt idx="538">
                  <c:v>71.67656892169633</c:v>
                </c:pt>
                <c:pt idx="539">
                  <c:v>75.191400321797474</c:v>
                </c:pt>
                <c:pt idx="540">
                  <c:v>76.205066368275723</c:v>
                </c:pt>
                <c:pt idx="541">
                  <c:v>78.093052295998305</c:v>
                </c:pt>
                <c:pt idx="542">
                  <c:v>76.409109650481113</c:v>
                </c:pt>
                <c:pt idx="543">
                  <c:v>75.740450954568374</c:v>
                </c:pt>
                <c:pt idx="544">
                  <c:v>76.02742037294145</c:v>
                </c:pt>
                <c:pt idx="545">
                  <c:v>80.183996252242864</c:v>
                </c:pt>
                <c:pt idx="546">
                  <c:v>80.856297279390475</c:v>
                </c:pt>
                <c:pt idx="547">
                  <c:v>81.293835422047152</c:v>
                </c:pt>
                <c:pt idx="548">
                  <c:v>77.849839214119854</c:v>
                </c:pt>
                <c:pt idx="549">
                  <c:v>77.768970214281467</c:v>
                </c:pt>
                <c:pt idx="550">
                  <c:v>78.39302760916469</c:v>
                </c:pt>
                <c:pt idx="551">
                  <c:v>81.522853964799879</c:v>
                </c:pt>
                <c:pt idx="552">
                  <c:v>81.613230528006838</c:v>
                </c:pt>
                <c:pt idx="553">
                  <c:v>81.488804712042992</c:v>
                </c:pt>
                <c:pt idx="554">
                  <c:v>81.834224824513441</c:v>
                </c:pt>
                <c:pt idx="555">
                  <c:v>79.531476325936694</c:v>
                </c:pt>
                <c:pt idx="556">
                  <c:v>81.904180345190767</c:v>
                </c:pt>
                <c:pt idx="557">
                  <c:v>80.778860967028379</c:v>
                </c:pt>
                <c:pt idx="558">
                  <c:v>80.163675760125457</c:v>
                </c:pt>
                <c:pt idx="559">
                  <c:v>81.194601963126019</c:v>
                </c:pt>
                <c:pt idx="560">
                  <c:v>81.43485193733008</c:v>
                </c:pt>
                <c:pt idx="561">
                  <c:v>81.051495627352381</c:v>
                </c:pt>
                <c:pt idx="562">
                  <c:v>80.764401206610898</c:v>
                </c:pt>
                <c:pt idx="563">
                  <c:v>80.288509581235346</c:v>
                </c:pt>
                <c:pt idx="564">
                  <c:v>77.033783292375674</c:v>
                </c:pt>
                <c:pt idx="565">
                  <c:v>76.50026208581798</c:v>
                </c:pt>
                <c:pt idx="566">
                  <c:v>78.465908490977455</c:v>
                </c:pt>
                <c:pt idx="567">
                  <c:v>78.048287635480946</c:v>
                </c:pt>
                <c:pt idx="568">
                  <c:v>77.5673792458538</c:v>
                </c:pt>
                <c:pt idx="569">
                  <c:v>82.753847332866471</c:v>
                </c:pt>
                <c:pt idx="570">
                  <c:v>82.940704876937403</c:v>
                </c:pt>
                <c:pt idx="571">
                  <c:v>85.686874821678771</c:v>
                </c:pt>
                <c:pt idx="572">
                  <c:v>83.457811225809508</c:v>
                </c:pt>
                <c:pt idx="573">
                  <c:v>85.370280713208004</c:v>
                </c:pt>
                <c:pt idx="574">
                  <c:v>87.724235260659967</c:v>
                </c:pt>
                <c:pt idx="575">
                  <c:v>87.670172133793429</c:v>
                </c:pt>
                <c:pt idx="576">
                  <c:v>89.580309137551509</c:v>
                </c:pt>
                <c:pt idx="577">
                  <c:v>86.895079783401982</c:v>
                </c:pt>
                <c:pt idx="578">
                  <c:v>90.161725950004794</c:v>
                </c:pt>
                <c:pt idx="579">
                  <c:v>92.007510613507733</c:v>
                </c:pt>
                <c:pt idx="580">
                  <c:v>94.38216071036382</c:v>
                </c:pt>
                <c:pt idx="581">
                  <c:v>91.749858375391341</c:v>
                </c:pt>
                <c:pt idx="582">
                  <c:v>91.037094213103217</c:v>
                </c:pt>
                <c:pt idx="583">
                  <c:v>93.907796874018544</c:v>
                </c:pt>
                <c:pt idx="584">
                  <c:v>93.521071379235636</c:v>
                </c:pt>
                <c:pt idx="585">
                  <c:v>93.562318532588421</c:v>
                </c:pt>
                <c:pt idx="586">
                  <c:v>88.644053594708197</c:v>
                </c:pt>
                <c:pt idx="587">
                  <c:v>88.864210390459206</c:v>
                </c:pt>
                <c:pt idx="588">
                  <c:v>86.1770022136633</c:v>
                </c:pt>
                <c:pt idx="589">
                  <c:v>84.842908999482717</c:v>
                </c:pt>
                <c:pt idx="590">
                  <c:v>83.749419693873207</c:v>
                </c:pt>
                <c:pt idx="591">
                  <c:v>86.232612000624968</c:v>
                </c:pt>
                <c:pt idx="592">
                  <c:v>87.166972745310488</c:v>
                </c:pt>
                <c:pt idx="593">
                  <c:v>89.312948470330838</c:v>
                </c:pt>
                <c:pt idx="594">
                  <c:v>88.787491366625019</c:v>
                </c:pt>
                <c:pt idx="595">
                  <c:v>87.178474161749477</c:v>
                </c:pt>
                <c:pt idx="596">
                  <c:v>87.26189372061495</c:v>
                </c:pt>
                <c:pt idx="597">
                  <c:v>89.266235669468401</c:v>
                </c:pt>
                <c:pt idx="598">
                  <c:v>90.846043162824259</c:v>
                </c:pt>
                <c:pt idx="599">
                  <c:v>90.321636908974043</c:v>
                </c:pt>
                <c:pt idx="600">
                  <c:v>92.043031399612772</c:v>
                </c:pt>
                <c:pt idx="601">
                  <c:v>93.7860895379401</c:v>
                </c:pt>
                <c:pt idx="602">
                  <c:v>98.204261622345285</c:v>
                </c:pt>
                <c:pt idx="603">
                  <c:v>97.829295482174473</c:v>
                </c:pt>
                <c:pt idx="604">
                  <c:v>99.495942582357941</c:v>
                </c:pt>
                <c:pt idx="605">
                  <c:v>101.42332678997836</c:v>
                </c:pt>
                <c:pt idx="606">
                  <c:v>101.45079001283025</c:v>
                </c:pt>
                <c:pt idx="607">
                  <c:v>100.37085456674349</c:v>
                </c:pt>
                <c:pt idx="608">
                  <c:v>103.79574514642719</c:v>
                </c:pt>
                <c:pt idx="609">
                  <c:v>105.64858680940428</c:v>
                </c:pt>
                <c:pt idx="610">
                  <c:v>108.77912843823758</c:v>
                </c:pt>
                <c:pt idx="611">
                  <c:v>110.79539999187932</c:v>
                </c:pt>
                <c:pt idx="612">
                  <c:v>107.67298914608021</c:v>
                </c:pt>
                <c:pt idx="613">
                  <c:v>112.18602707498337</c:v>
                </c:pt>
                <c:pt idx="614">
                  <c:v>114.72087437714548</c:v>
                </c:pt>
                <c:pt idx="615">
                  <c:v>115.57422375928655</c:v>
                </c:pt>
                <c:pt idx="616">
                  <c:v>119.65666395626255</c:v>
                </c:pt>
                <c:pt idx="617">
                  <c:v>118.67449761147687</c:v>
                </c:pt>
                <c:pt idx="618">
                  <c:v>121.19567790898016</c:v>
                </c:pt>
                <c:pt idx="619">
                  <c:v>120.56620789667149</c:v>
                </c:pt>
                <c:pt idx="620">
                  <c:v>117.0769741145207</c:v>
                </c:pt>
                <c:pt idx="621">
                  <c:v>115.36617933129402</c:v>
                </c:pt>
                <c:pt idx="622">
                  <c:v>113.24959901857427</c:v>
                </c:pt>
                <c:pt idx="623">
                  <c:v>113.63490699467341</c:v>
                </c:pt>
                <c:pt idx="624">
                  <c:v>111.13794957459737</c:v>
                </c:pt>
                <c:pt idx="625">
                  <c:v>110.75503054069149</c:v>
                </c:pt>
                <c:pt idx="626">
                  <c:v>115.11110934713997</c:v>
                </c:pt>
                <c:pt idx="627">
                  <c:v>109.11658106250594</c:v>
                </c:pt>
                <c:pt idx="628">
                  <c:v>110.45151886646939</c:v>
                </c:pt>
                <c:pt idx="629">
                  <c:v>112.97086580744943</c:v>
                </c:pt>
                <c:pt idx="630">
                  <c:v>115.01983327555024</c:v>
                </c:pt>
                <c:pt idx="631">
                  <c:v>114.58986552751226</c:v>
                </c:pt>
                <c:pt idx="632">
                  <c:v>117.05207228969054</c:v>
                </c:pt>
                <c:pt idx="633">
                  <c:v>119.7233135191122</c:v>
                </c:pt>
                <c:pt idx="634">
                  <c:v>117.4007543930331</c:v>
                </c:pt>
                <c:pt idx="635">
                  <c:v>118.26352316846719</c:v>
                </c:pt>
                <c:pt idx="636">
                  <c:v>116.78682714490296</c:v>
                </c:pt>
                <c:pt idx="637">
                  <c:v>118.69463853047775</c:v>
                </c:pt>
                <c:pt idx="638">
                  <c:v>121.59539085287572</c:v>
                </c:pt>
                <c:pt idx="639">
                  <c:v>119.2652775384171</c:v>
                </c:pt>
                <c:pt idx="640">
                  <c:v>120.75629498929088</c:v>
                </c:pt>
                <c:pt idx="641">
                  <c:v>116.81204278902075</c:v>
                </c:pt>
                <c:pt idx="642">
                  <c:v>116.47991701545975</c:v>
                </c:pt>
                <c:pt idx="643">
                  <c:v>117.27004671599002</c:v>
                </c:pt>
                <c:pt idx="644">
                  <c:v>118.0495185357333</c:v>
                </c:pt>
                <c:pt idx="645">
                  <c:v>116.51354843281062</c:v>
                </c:pt>
                <c:pt idx="646">
                  <c:v>114.66458440077291</c:v>
                </c:pt>
                <c:pt idx="647">
                  <c:v>113.81125795246061</c:v>
                </c:pt>
                <c:pt idx="648">
                  <c:v>114.73242214399413</c:v>
                </c:pt>
                <c:pt idx="649">
                  <c:v>112.05997674270343</c:v>
                </c:pt>
                <c:pt idx="650">
                  <c:v>111.8052263352517</c:v>
                </c:pt>
                <c:pt idx="651">
                  <c:v>114.63214733102691</c:v>
                </c:pt>
                <c:pt idx="652">
                  <c:v>116.62625663044908</c:v>
                </c:pt>
                <c:pt idx="653">
                  <c:v>115.80621442747085</c:v>
                </c:pt>
                <c:pt idx="654">
                  <c:v>111.92646513648864</c:v>
                </c:pt>
                <c:pt idx="655">
                  <c:v>111.46076848873452</c:v>
                </c:pt>
                <c:pt idx="656">
                  <c:v>108.94304212248856</c:v>
                </c:pt>
                <c:pt idx="657">
                  <c:v>110.63263769964288</c:v>
                </c:pt>
                <c:pt idx="658">
                  <c:v>107.7254864988022</c:v>
                </c:pt>
                <c:pt idx="659">
                  <c:v>104.91277311351088</c:v>
                </c:pt>
                <c:pt idx="660">
                  <c:v>102.55063077230324</c:v>
                </c:pt>
                <c:pt idx="661">
                  <c:v>103.97305728231761</c:v>
                </c:pt>
                <c:pt idx="662">
                  <c:v>102.00118017864035</c:v>
                </c:pt>
                <c:pt idx="663">
                  <c:v>103.2781354559432</c:v>
                </c:pt>
                <c:pt idx="664">
                  <c:v>101.57899121496882</c:v>
                </c:pt>
                <c:pt idx="665">
                  <c:v>98.875138029128124</c:v>
                </c:pt>
                <c:pt idx="666">
                  <c:v>98.214433548319249</c:v>
                </c:pt>
                <c:pt idx="667">
                  <c:v>101.87400331099779</c:v>
                </c:pt>
                <c:pt idx="668">
                  <c:v>102.70497036831175</c:v>
                </c:pt>
                <c:pt idx="669">
                  <c:v>101.65867264616524</c:v>
                </c:pt>
                <c:pt idx="670">
                  <c:v>102.02931824868111</c:v>
                </c:pt>
                <c:pt idx="671">
                  <c:v>101.42071636075725</c:v>
                </c:pt>
                <c:pt idx="672">
                  <c:v>103.03603007811772</c:v>
                </c:pt>
                <c:pt idx="673">
                  <c:v>99.290162436422293</c:v>
                </c:pt>
                <c:pt idx="674">
                  <c:v>100.09763676705263</c:v>
                </c:pt>
                <c:pt idx="675">
                  <c:v>101.29179154249975</c:v>
                </c:pt>
                <c:pt idx="676">
                  <c:v>101.48265535272994</c:v>
                </c:pt>
                <c:pt idx="677">
                  <c:v>99.433402731291508</c:v>
                </c:pt>
                <c:pt idx="678">
                  <c:v>100.17289020735276</c:v>
                </c:pt>
                <c:pt idx="679">
                  <c:v>99.916200415448685</c:v>
                </c:pt>
                <c:pt idx="680">
                  <c:v>101.50708435833255</c:v>
                </c:pt>
                <c:pt idx="681">
                  <c:v>100.36016509780734</c:v>
                </c:pt>
                <c:pt idx="682">
                  <c:v>99.756231504983774</c:v>
                </c:pt>
                <c:pt idx="683">
                  <c:v>102.82341184594178</c:v>
                </c:pt>
                <c:pt idx="684">
                  <c:v>102.05654820408607</c:v>
                </c:pt>
                <c:pt idx="685">
                  <c:v>104.79865989968042</c:v>
                </c:pt>
                <c:pt idx="686">
                  <c:v>105.30533220943897</c:v>
                </c:pt>
                <c:pt idx="687">
                  <c:v>109.34695061553518</c:v>
                </c:pt>
                <c:pt idx="688">
                  <c:v>108.31609180020202</c:v>
                </c:pt>
                <c:pt idx="689">
                  <c:v>109.47011039520515</c:v>
                </c:pt>
                <c:pt idx="690">
                  <c:v>107.07013941744736</c:v>
                </c:pt>
                <c:pt idx="691">
                  <c:v>109.50926658758542</c:v>
                </c:pt>
                <c:pt idx="692">
                  <c:v>106.62783978579027</c:v>
                </c:pt>
                <c:pt idx="693">
                  <c:v>106.26168594760875</c:v>
                </c:pt>
                <c:pt idx="694">
                  <c:v>104.86545191218201</c:v>
                </c:pt>
                <c:pt idx="695">
                  <c:v>105.39527970185321</c:v>
                </c:pt>
                <c:pt idx="696">
                  <c:v>104.14485999309115</c:v>
                </c:pt>
                <c:pt idx="697">
                  <c:v>102.79307202747721</c:v>
                </c:pt>
                <c:pt idx="698">
                  <c:v>100.51296497887527</c:v>
                </c:pt>
                <c:pt idx="699">
                  <c:v>103.16775092339215</c:v>
                </c:pt>
                <c:pt idx="700">
                  <c:v>103.94954313490862</c:v>
                </c:pt>
                <c:pt idx="701">
                  <c:v>104.14846356540905</c:v>
                </c:pt>
                <c:pt idx="702">
                  <c:v>102.20026209701756</c:v>
                </c:pt>
                <c:pt idx="703">
                  <c:v>99.08318214276305</c:v>
                </c:pt>
                <c:pt idx="704">
                  <c:v>97.664815348554711</c:v>
                </c:pt>
                <c:pt idx="705">
                  <c:v>96.158630340141187</c:v>
                </c:pt>
                <c:pt idx="706">
                  <c:v>93.722999298955486</c:v>
                </c:pt>
                <c:pt idx="707">
                  <c:v>96.281326923864384</c:v>
                </c:pt>
                <c:pt idx="708">
                  <c:v>96.043466823495066</c:v>
                </c:pt>
                <c:pt idx="709">
                  <c:v>95.512540838104329</c:v>
                </c:pt>
                <c:pt idx="710">
                  <c:v>94.908649612287576</c:v>
                </c:pt>
                <c:pt idx="711">
                  <c:v>93.128570625976096</c:v>
                </c:pt>
                <c:pt idx="712">
                  <c:v>95.219095307603226</c:v>
                </c:pt>
                <c:pt idx="713">
                  <c:v>93.772296827315458</c:v>
                </c:pt>
                <c:pt idx="714">
                  <c:v>96.922784643914994</c:v>
                </c:pt>
                <c:pt idx="715">
                  <c:v>98.825818755056005</c:v>
                </c:pt>
                <c:pt idx="716">
                  <c:v>99.45317635859395</c:v>
                </c:pt>
                <c:pt idx="717">
                  <c:v>97.031441956007257</c:v>
                </c:pt>
                <c:pt idx="718">
                  <c:v>98.177503185043989</c:v>
                </c:pt>
                <c:pt idx="719">
                  <c:v>99.084096210640013</c:v>
                </c:pt>
                <c:pt idx="720">
                  <c:v>98.528451274071102</c:v>
                </c:pt>
                <c:pt idx="721">
                  <c:v>99.206821517788683</c:v>
                </c:pt>
                <c:pt idx="722">
                  <c:v>98.16924674242189</c:v>
                </c:pt>
                <c:pt idx="723">
                  <c:v>95.37874651249831</c:v>
                </c:pt>
                <c:pt idx="724">
                  <c:v>94.519591290112515</c:v>
                </c:pt>
                <c:pt idx="725">
                  <c:v>93.879520637215364</c:v>
                </c:pt>
                <c:pt idx="726">
                  <c:v>96.230102901582612</c:v>
                </c:pt>
                <c:pt idx="727">
                  <c:v>97.762116543494756</c:v>
                </c:pt>
                <c:pt idx="728">
                  <c:v>96.138769168769812</c:v>
                </c:pt>
                <c:pt idx="729">
                  <c:v>93.082051060555969</c:v>
                </c:pt>
                <c:pt idx="730">
                  <c:v>93.487573443564969</c:v>
                </c:pt>
                <c:pt idx="731">
                  <c:v>88.272193158315218</c:v>
                </c:pt>
                <c:pt idx="732">
                  <c:v>86.788265847746402</c:v>
                </c:pt>
                <c:pt idx="733">
                  <c:v>84.079142339538876</c:v>
                </c:pt>
                <c:pt idx="734">
                  <c:v>85.178253106551708</c:v>
                </c:pt>
                <c:pt idx="735">
                  <c:v>83.921467962207174</c:v>
                </c:pt>
                <c:pt idx="736">
                  <c:v>81.840861286794507</c:v>
                </c:pt>
                <c:pt idx="737">
                  <c:v>81.987027102369481</c:v>
                </c:pt>
                <c:pt idx="738">
                  <c:v>79.972074710403419</c:v>
                </c:pt>
                <c:pt idx="739">
                  <c:v>82.201708767090722</c:v>
                </c:pt>
                <c:pt idx="740">
                  <c:v>84.499021657204196</c:v>
                </c:pt>
                <c:pt idx="741">
                  <c:v>83.205936977804328</c:v>
                </c:pt>
                <c:pt idx="742">
                  <c:v>81.062543234706865</c:v>
                </c:pt>
                <c:pt idx="743">
                  <c:v>80.315386291593356</c:v>
                </c:pt>
                <c:pt idx="744">
                  <c:v>80.63470825276201</c:v>
                </c:pt>
                <c:pt idx="745">
                  <c:v>81.855829746657605</c:v>
                </c:pt>
                <c:pt idx="746">
                  <c:v>81.32164261848105</c:v>
                </c:pt>
                <c:pt idx="747">
                  <c:v>81.398520081100827</c:v>
                </c:pt>
                <c:pt idx="748">
                  <c:v>80.56818932619943</c:v>
                </c:pt>
                <c:pt idx="749">
                  <c:v>79.244317402068503</c:v>
                </c:pt>
                <c:pt idx="750">
                  <c:v>77.131977643086358</c:v>
                </c:pt>
                <c:pt idx="751">
                  <c:v>76.77548914298238</c:v>
                </c:pt>
                <c:pt idx="752">
                  <c:v>76.886878004638334</c:v>
                </c:pt>
                <c:pt idx="753">
                  <c:v>78.554975090334821</c:v>
                </c:pt>
                <c:pt idx="754">
                  <c:v>78.359502727093755</c:v>
                </c:pt>
                <c:pt idx="755">
                  <c:v>79.40212094949878</c:v>
                </c:pt>
                <c:pt idx="756">
                  <c:v>77.266200051474925</c:v>
                </c:pt>
                <c:pt idx="757">
                  <c:v>76.730104186910495</c:v>
                </c:pt>
                <c:pt idx="758">
                  <c:v>74.334177268709368</c:v>
                </c:pt>
                <c:pt idx="759">
                  <c:v>74.481788288177782</c:v>
                </c:pt>
                <c:pt idx="760">
                  <c:v>74.146003101792658</c:v>
                </c:pt>
                <c:pt idx="761">
                  <c:v>73.029676618475747</c:v>
                </c:pt>
                <c:pt idx="762">
                  <c:v>72.889763178838194</c:v>
                </c:pt>
                <c:pt idx="763">
                  <c:v>71.692449735521947</c:v>
                </c:pt>
                <c:pt idx="764">
                  <c:v>69.841351711946487</c:v>
                </c:pt>
                <c:pt idx="765">
                  <c:v>66.210887009044427</c:v>
                </c:pt>
                <c:pt idx="766">
                  <c:v>63.634964697268991</c:v>
                </c:pt>
                <c:pt idx="767">
                  <c:v>63.855703205035731</c:v>
                </c:pt>
                <c:pt idx="768">
                  <c:v>63.060466739068715</c:v>
                </c:pt>
                <c:pt idx="769">
                  <c:v>63.465825179568569</c:v>
                </c:pt>
                <c:pt idx="770">
                  <c:v>61.722313598835314</c:v>
                </c:pt>
                <c:pt idx="771">
                  <c:v>59.828169874430387</c:v>
                </c:pt>
                <c:pt idx="772">
                  <c:v>60.933216507631727</c:v>
                </c:pt>
                <c:pt idx="773">
                  <c:v>61.115530432165237</c:v>
                </c:pt>
                <c:pt idx="774">
                  <c:v>61.380556793642604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E1-5945-B4F1-BD2FDCA64D7A}"/>
            </c:ext>
          </c:extLst>
        </c:ser>
        <c:ser>
          <c:idx val="0"/>
          <c:order val="4"/>
          <c:tx>
            <c:strRef>
              <c:f>Sheet20!$A$6</c:f>
              <c:strCache>
                <c:ptCount val="1"/>
                <c:pt idx="0">
                  <c:v>Returns(Sibanye)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Sheet20!$B$1:$ACV$1</c:f>
              <c:strCache>
                <c:ptCount val="775"/>
                <c:pt idx="0">
                  <c:v>01-Aug-10</c:v>
                </c:pt>
                <c:pt idx="1">
                  <c:v>08-Aug-10</c:v>
                </c:pt>
                <c:pt idx="2">
                  <c:v>15-Aug-10</c:v>
                </c:pt>
                <c:pt idx="3">
                  <c:v>22-Aug-10</c:v>
                </c:pt>
                <c:pt idx="4">
                  <c:v>29-Aug-10</c:v>
                </c:pt>
                <c:pt idx="5">
                  <c:v>05-Sep-10</c:v>
                </c:pt>
                <c:pt idx="6">
                  <c:v>12-Sep-10</c:v>
                </c:pt>
                <c:pt idx="7">
                  <c:v>19-Sep-10</c:v>
                </c:pt>
                <c:pt idx="8">
                  <c:v>26-Sep-10</c:v>
                </c:pt>
                <c:pt idx="9">
                  <c:v>03-Oct-10</c:v>
                </c:pt>
                <c:pt idx="10">
                  <c:v>10-Oct-10</c:v>
                </c:pt>
                <c:pt idx="11">
                  <c:v>17-Oct-10</c:v>
                </c:pt>
                <c:pt idx="12">
                  <c:v>24-Oct-10</c:v>
                </c:pt>
                <c:pt idx="13">
                  <c:v>31-Oct-10</c:v>
                </c:pt>
                <c:pt idx="14">
                  <c:v>07-Nov-10</c:v>
                </c:pt>
                <c:pt idx="15">
                  <c:v>14-Nov-10</c:v>
                </c:pt>
                <c:pt idx="16">
                  <c:v>21-Nov-10</c:v>
                </c:pt>
                <c:pt idx="17">
                  <c:v>28-Nov-10</c:v>
                </c:pt>
                <c:pt idx="18">
                  <c:v>05-Dec-10</c:v>
                </c:pt>
                <c:pt idx="19">
                  <c:v>12-Dec-10</c:v>
                </c:pt>
                <c:pt idx="20">
                  <c:v>19-Dec-10</c:v>
                </c:pt>
                <c:pt idx="21">
                  <c:v>26-Dec-10</c:v>
                </c:pt>
                <c:pt idx="22">
                  <c:v>02-Jan-11</c:v>
                </c:pt>
                <c:pt idx="23">
                  <c:v>09-Jan-11</c:v>
                </c:pt>
                <c:pt idx="24">
                  <c:v>16-Jan-11</c:v>
                </c:pt>
                <c:pt idx="25">
                  <c:v>23-Jan-11</c:v>
                </c:pt>
                <c:pt idx="26">
                  <c:v>30-Jan-11</c:v>
                </c:pt>
                <c:pt idx="27">
                  <c:v>06-Feb-11</c:v>
                </c:pt>
                <c:pt idx="28">
                  <c:v>13-Feb-11</c:v>
                </c:pt>
                <c:pt idx="29">
                  <c:v>20-Feb-11</c:v>
                </c:pt>
                <c:pt idx="30">
                  <c:v>27-Feb-11</c:v>
                </c:pt>
                <c:pt idx="31">
                  <c:v>06-Mar-11</c:v>
                </c:pt>
                <c:pt idx="32">
                  <c:v>13-Mar-11</c:v>
                </c:pt>
                <c:pt idx="33">
                  <c:v>20-Mar-11</c:v>
                </c:pt>
                <c:pt idx="34">
                  <c:v>27-Mar-11</c:v>
                </c:pt>
                <c:pt idx="35">
                  <c:v>03-Apr-11</c:v>
                </c:pt>
                <c:pt idx="36">
                  <c:v>10-Apr-11</c:v>
                </c:pt>
                <c:pt idx="37">
                  <c:v>17-Apr-11</c:v>
                </c:pt>
                <c:pt idx="38">
                  <c:v>24-Apr-11</c:v>
                </c:pt>
                <c:pt idx="39">
                  <c:v>01-May-11</c:v>
                </c:pt>
                <c:pt idx="40">
                  <c:v>08-May-11</c:v>
                </c:pt>
                <c:pt idx="41">
                  <c:v>15-May-11</c:v>
                </c:pt>
                <c:pt idx="42">
                  <c:v>22-May-11</c:v>
                </c:pt>
                <c:pt idx="43">
                  <c:v>29-May-11</c:v>
                </c:pt>
                <c:pt idx="44">
                  <c:v>05-Jun-11</c:v>
                </c:pt>
                <c:pt idx="45">
                  <c:v>12-Jun-11</c:v>
                </c:pt>
                <c:pt idx="46">
                  <c:v>19-Jun-11</c:v>
                </c:pt>
                <c:pt idx="47">
                  <c:v>26-Jun-11</c:v>
                </c:pt>
                <c:pt idx="48">
                  <c:v>03-Jul-11</c:v>
                </c:pt>
                <c:pt idx="49">
                  <c:v>10-Jul-11</c:v>
                </c:pt>
                <c:pt idx="50">
                  <c:v>17-Jul-11</c:v>
                </c:pt>
                <c:pt idx="51">
                  <c:v>24-Jul-11</c:v>
                </c:pt>
                <c:pt idx="52">
                  <c:v>31-Jul-11</c:v>
                </c:pt>
                <c:pt idx="53">
                  <c:v>07-Aug-11</c:v>
                </c:pt>
                <c:pt idx="54">
                  <c:v>14-Aug-11</c:v>
                </c:pt>
                <c:pt idx="55">
                  <c:v>21-Aug-11</c:v>
                </c:pt>
                <c:pt idx="56">
                  <c:v>28-Aug-11</c:v>
                </c:pt>
                <c:pt idx="57">
                  <c:v>04-Sep-11</c:v>
                </c:pt>
                <c:pt idx="58">
                  <c:v>11-Sep-11</c:v>
                </c:pt>
                <c:pt idx="59">
                  <c:v>18-Sep-11</c:v>
                </c:pt>
                <c:pt idx="60">
                  <c:v>25-Sep-11</c:v>
                </c:pt>
                <c:pt idx="61">
                  <c:v>02-Oct-11</c:v>
                </c:pt>
                <c:pt idx="62">
                  <c:v>09-Oct-11</c:v>
                </c:pt>
                <c:pt idx="63">
                  <c:v>16-Oct-11</c:v>
                </c:pt>
                <c:pt idx="64">
                  <c:v>23-Oct-11</c:v>
                </c:pt>
                <c:pt idx="65">
                  <c:v>30-Oct-11</c:v>
                </c:pt>
                <c:pt idx="66">
                  <c:v>06-Nov-11</c:v>
                </c:pt>
                <c:pt idx="67">
                  <c:v>13-Nov-11</c:v>
                </c:pt>
                <c:pt idx="68">
                  <c:v>20-Nov-11</c:v>
                </c:pt>
                <c:pt idx="69">
                  <c:v>27-Nov-11</c:v>
                </c:pt>
                <c:pt idx="70">
                  <c:v>04-Dec-11</c:v>
                </c:pt>
                <c:pt idx="71">
                  <c:v>11-Dec-11</c:v>
                </c:pt>
                <c:pt idx="72">
                  <c:v>18-Dec-11</c:v>
                </c:pt>
                <c:pt idx="73">
                  <c:v>25-Dec-11</c:v>
                </c:pt>
                <c:pt idx="74">
                  <c:v>01-Jan-12</c:v>
                </c:pt>
                <c:pt idx="75">
                  <c:v>08-Jan-12</c:v>
                </c:pt>
                <c:pt idx="76">
                  <c:v>15-Jan-12</c:v>
                </c:pt>
                <c:pt idx="77">
                  <c:v>22-Jan-12</c:v>
                </c:pt>
                <c:pt idx="78">
                  <c:v>29-Jan-12</c:v>
                </c:pt>
                <c:pt idx="79">
                  <c:v>05-Feb-12</c:v>
                </c:pt>
                <c:pt idx="80">
                  <c:v>12-Feb-12</c:v>
                </c:pt>
                <c:pt idx="81">
                  <c:v>19-Feb-12</c:v>
                </c:pt>
                <c:pt idx="82">
                  <c:v>26-Feb-12</c:v>
                </c:pt>
                <c:pt idx="83">
                  <c:v>04-Mar-12</c:v>
                </c:pt>
                <c:pt idx="84">
                  <c:v>11-Mar-12</c:v>
                </c:pt>
                <c:pt idx="85">
                  <c:v>18-Mar-12</c:v>
                </c:pt>
                <c:pt idx="86">
                  <c:v>25-Mar-12</c:v>
                </c:pt>
                <c:pt idx="87">
                  <c:v>01-Apr-12</c:v>
                </c:pt>
                <c:pt idx="88">
                  <c:v>08-Apr-12</c:v>
                </c:pt>
                <c:pt idx="89">
                  <c:v>15-Apr-12</c:v>
                </c:pt>
                <c:pt idx="90">
                  <c:v>22-Apr-12</c:v>
                </c:pt>
                <c:pt idx="91">
                  <c:v>29-Apr-12</c:v>
                </c:pt>
                <c:pt idx="92">
                  <c:v>06-May-12</c:v>
                </c:pt>
                <c:pt idx="93">
                  <c:v>13-May-12</c:v>
                </c:pt>
                <c:pt idx="94">
                  <c:v>20-May-12</c:v>
                </c:pt>
                <c:pt idx="95">
                  <c:v>27-May-12</c:v>
                </c:pt>
                <c:pt idx="96">
                  <c:v>03-Jun-12</c:v>
                </c:pt>
                <c:pt idx="97">
                  <c:v>10-Jun-12</c:v>
                </c:pt>
                <c:pt idx="98">
                  <c:v>17-Jun-12</c:v>
                </c:pt>
                <c:pt idx="99">
                  <c:v>24-Jun-12</c:v>
                </c:pt>
                <c:pt idx="100">
                  <c:v>01-Jul-12</c:v>
                </c:pt>
                <c:pt idx="101">
                  <c:v>08-Jul-12</c:v>
                </c:pt>
                <c:pt idx="102">
                  <c:v>15-Jul-12</c:v>
                </c:pt>
                <c:pt idx="103">
                  <c:v>22-Jul-12</c:v>
                </c:pt>
                <c:pt idx="104">
                  <c:v>29-Jul-12</c:v>
                </c:pt>
                <c:pt idx="105">
                  <c:v>05-Aug-12</c:v>
                </c:pt>
                <c:pt idx="106">
                  <c:v>12-Aug-12</c:v>
                </c:pt>
                <c:pt idx="107">
                  <c:v>19-Aug-12</c:v>
                </c:pt>
                <c:pt idx="108">
                  <c:v>26-Aug-12</c:v>
                </c:pt>
                <c:pt idx="109">
                  <c:v>02-Sep-12</c:v>
                </c:pt>
                <c:pt idx="110">
                  <c:v>09-Sep-12</c:v>
                </c:pt>
                <c:pt idx="111">
                  <c:v>16-Sep-12</c:v>
                </c:pt>
                <c:pt idx="112">
                  <c:v>23-Sep-12</c:v>
                </c:pt>
                <c:pt idx="113">
                  <c:v>30-Sep-12</c:v>
                </c:pt>
                <c:pt idx="114">
                  <c:v>07-Oct-12</c:v>
                </c:pt>
                <c:pt idx="115">
                  <c:v>14-Oct-12</c:v>
                </c:pt>
                <c:pt idx="116">
                  <c:v>21-Oct-12</c:v>
                </c:pt>
                <c:pt idx="117">
                  <c:v>28-Oct-12</c:v>
                </c:pt>
                <c:pt idx="118">
                  <c:v>04-Nov-12</c:v>
                </c:pt>
                <c:pt idx="119">
                  <c:v>11-Nov-12</c:v>
                </c:pt>
                <c:pt idx="120">
                  <c:v>18-Nov-12</c:v>
                </c:pt>
                <c:pt idx="121">
                  <c:v>25-Nov-12</c:v>
                </c:pt>
                <c:pt idx="122">
                  <c:v>02-Dec-12</c:v>
                </c:pt>
                <c:pt idx="123">
                  <c:v>09-Dec-12</c:v>
                </c:pt>
                <c:pt idx="124">
                  <c:v>16-Dec-12</c:v>
                </c:pt>
                <c:pt idx="125">
                  <c:v>23-Dec-12</c:v>
                </c:pt>
                <c:pt idx="126">
                  <c:v>30-Dec-12</c:v>
                </c:pt>
                <c:pt idx="127">
                  <c:v>06-Jan-13</c:v>
                </c:pt>
                <c:pt idx="128">
                  <c:v>13-Jan-13</c:v>
                </c:pt>
                <c:pt idx="129">
                  <c:v>20-Jan-13</c:v>
                </c:pt>
                <c:pt idx="130">
                  <c:v>27-Jan-13</c:v>
                </c:pt>
                <c:pt idx="131">
                  <c:v>03-Feb-13</c:v>
                </c:pt>
                <c:pt idx="132">
                  <c:v>10-Feb-13</c:v>
                </c:pt>
                <c:pt idx="133">
                  <c:v>17-Feb-13</c:v>
                </c:pt>
                <c:pt idx="134">
                  <c:v>24-Feb-13</c:v>
                </c:pt>
                <c:pt idx="135">
                  <c:v>03-Mar-13</c:v>
                </c:pt>
                <c:pt idx="136">
                  <c:v>10-Mar-13</c:v>
                </c:pt>
                <c:pt idx="137">
                  <c:v>17-Mar-13</c:v>
                </c:pt>
                <c:pt idx="138">
                  <c:v>24-Mar-13</c:v>
                </c:pt>
                <c:pt idx="139">
                  <c:v>31-Mar-13</c:v>
                </c:pt>
                <c:pt idx="140">
                  <c:v>07-Apr-13</c:v>
                </c:pt>
                <c:pt idx="141">
                  <c:v>14-Apr-13</c:v>
                </c:pt>
                <c:pt idx="142">
                  <c:v>21-Apr-13</c:v>
                </c:pt>
                <c:pt idx="143">
                  <c:v>28-Apr-13</c:v>
                </c:pt>
                <c:pt idx="144">
                  <c:v>05-May-13</c:v>
                </c:pt>
                <c:pt idx="145">
                  <c:v>12-May-13</c:v>
                </c:pt>
                <c:pt idx="146">
                  <c:v>19-May-13</c:v>
                </c:pt>
                <c:pt idx="147">
                  <c:v>26-May-13</c:v>
                </c:pt>
                <c:pt idx="148">
                  <c:v>02-Jun-13</c:v>
                </c:pt>
                <c:pt idx="149">
                  <c:v>09-Jun-13</c:v>
                </c:pt>
                <c:pt idx="150">
                  <c:v>16-Jun-13</c:v>
                </c:pt>
                <c:pt idx="151">
                  <c:v>23-Jun-13</c:v>
                </c:pt>
                <c:pt idx="152">
                  <c:v>30-Jun-13</c:v>
                </c:pt>
                <c:pt idx="153">
                  <c:v>07-Jul-13</c:v>
                </c:pt>
                <c:pt idx="154">
                  <c:v>14-Jul-13</c:v>
                </c:pt>
                <c:pt idx="155">
                  <c:v>21-Jul-13</c:v>
                </c:pt>
                <c:pt idx="156">
                  <c:v>28-Jul-13</c:v>
                </c:pt>
                <c:pt idx="157">
                  <c:v>04-Aug-13</c:v>
                </c:pt>
                <c:pt idx="158">
                  <c:v>11-Aug-13</c:v>
                </c:pt>
                <c:pt idx="159">
                  <c:v>18-Aug-13</c:v>
                </c:pt>
                <c:pt idx="160">
                  <c:v>25-Aug-13</c:v>
                </c:pt>
                <c:pt idx="161">
                  <c:v>01-Sep-13</c:v>
                </c:pt>
                <c:pt idx="162">
                  <c:v>08-Sep-13</c:v>
                </c:pt>
                <c:pt idx="163">
                  <c:v>15-Sep-13</c:v>
                </c:pt>
                <c:pt idx="164">
                  <c:v>22-Sep-13</c:v>
                </c:pt>
                <c:pt idx="165">
                  <c:v>29-Sep-13</c:v>
                </c:pt>
                <c:pt idx="166">
                  <c:v>06-Oct-13</c:v>
                </c:pt>
                <c:pt idx="167">
                  <c:v>13-Oct-13</c:v>
                </c:pt>
                <c:pt idx="168">
                  <c:v>20-Oct-13</c:v>
                </c:pt>
                <c:pt idx="169">
                  <c:v>27-Oct-13</c:v>
                </c:pt>
                <c:pt idx="170">
                  <c:v>03-Nov-13</c:v>
                </c:pt>
                <c:pt idx="171">
                  <c:v>10-Nov-13</c:v>
                </c:pt>
                <c:pt idx="172">
                  <c:v>17-Nov-13</c:v>
                </c:pt>
                <c:pt idx="173">
                  <c:v>24-Nov-13</c:v>
                </c:pt>
                <c:pt idx="174">
                  <c:v>01-Dec-13</c:v>
                </c:pt>
                <c:pt idx="175">
                  <c:v>08-Dec-13</c:v>
                </c:pt>
                <c:pt idx="176">
                  <c:v>15-Dec-13</c:v>
                </c:pt>
                <c:pt idx="177">
                  <c:v>22-Dec-13</c:v>
                </c:pt>
                <c:pt idx="178">
                  <c:v>29-Dec-13</c:v>
                </c:pt>
                <c:pt idx="179">
                  <c:v>05-Jan-14</c:v>
                </c:pt>
                <c:pt idx="180">
                  <c:v>12-Jan-14</c:v>
                </c:pt>
                <c:pt idx="181">
                  <c:v>19-Jan-14</c:v>
                </c:pt>
                <c:pt idx="182">
                  <c:v>26-Jan-14</c:v>
                </c:pt>
                <c:pt idx="183">
                  <c:v>02-Feb-14</c:v>
                </c:pt>
                <c:pt idx="184">
                  <c:v>09-Feb-14</c:v>
                </c:pt>
                <c:pt idx="185">
                  <c:v>16-Feb-14</c:v>
                </c:pt>
                <c:pt idx="186">
                  <c:v>23-Feb-14</c:v>
                </c:pt>
                <c:pt idx="187">
                  <c:v>02-Mar-14</c:v>
                </c:pt>
                <c:pt idx="188">
                  <c:v>09-Mar-14</c:v>
                </c:pt>
                <c:pt idx="189">
                  <c:v>16-Mar-14</c:v>
                </c:pt>
                <c:pt idx="190">
                  <c:v>23-Mar-14</c:v>
                </c:pt>
                <c:pt idx="191">
                  <c:v>30-Mar-14</c:v>
                </c:pt>
                <c:pt idx="192">
                  <c:v>06-Apr-14</c:v>
                </c:pt>
                <c:pt idx="193">
                  <c:v>13-Apr-14</c:v>
                </c:pt>
                <c:pt idx="194">
                  <c:v>20-Apr-14</c:v>
                </c:pt>
                <c:pt idx="195">
                  <c:v>27-Apr-14</c:v>
                </c:pt>
                <c:pt idx="196">
                  <c:v>04-May-14</c:v>
                </c:pt>
                <c:pt idx="197">
                  <c:v>11-May-14</c:v>
                </c:pt>
                <c:pt idx="198">
                  <c:v>18-May-14</c:v>
                </c:pt>
                <c:pt idx="199">
                  <c:v>25-May-14</c:v>
                </c:pt>
                <c:pt idx="200">
                  <c:v>01-Jun-14</c:v>
                </c:pt>
                <c:pt idx="201">
                  <c:v>08-Jun-14</c:v>
                </c:pt>
                <c:pt idx="202">
                  <c:v>15-Jun-14</c:v>
                </c:pt>
                <c:pt idx="203">
                  <c:v>22-Jun-14</c:v>
                </c:pt>
                <c:pt idx="204">
                  <c:v>29-Jun-14</c:v>
                </c:pt>
                <c:pt idx="205">
                  <c:v>06-Jul-14</c:v>
                </c:pt>
                <c:pt idx="206">
                  <c:v>13-Jul-14</c:v>
                </c:pt>
                <c:pt idx="207">
                  <c:v>20-Jul-14</c:v>
                </c:pt>
                <c:pt idx="208">
                  <c:v>27-Jul-14</c:v>
                </c:pt>
                <c:pt idx="209">
                  <c:v>03-Aug-14</c:v>
                </c:pt>
                <c:pt idx="210">
                  <c:v>10-Aug-14</c:v>
                </c:pt>
                <c:pt idx="211">
                  <c:v>17-Aug-14</c:v>
                </c:pt>
                <c:pt idx="212">
                  <c:v>24-Aug-14</c:v>
                </c:pt>
                <c:pt idx="213">
                  <c:v>31-Aug-14</c:v>
                </c:pt>
                <c:pt idx="214">
                  <c:v>07-Sep-14</c:v>
                </c:pt>
                <c:pt idx="215">
                  <c:v>14-Sep-14</c:v>
                </c:pt>
                <c:pt idx="216">
                  <c:v>21-Sep-14</c:v>
                </c:pt>
                <c:pt idx="217">
                  <c:v>28-Sep-14</c:v>
                </c:pt>
                <c:pt idx="218">
                  <c:v>05-Oct-14</c:v>
                </c:pt>
                <c:pt idx="219">
                  <c:v>12-Oct-14</c:v>
                </c:pt>
                <c:pt idx="220">
                  <c:v>19-Oct-14</c:v>
                </c:pt>
                <c:pt idx="221">
                  <c:v>26-Oct-14</c:v>
                </c:pt>
                <c:pt idx="222">
                  <c:v>02-Nov-14</c:v>
                </c:pt>
                <c:pt idx="223">
                  <c:v>09-Nov-14</c:v>
                </c:pt>
                <c:pt idx="224">
                  <c:v>16-Nov-14</c:v>
                </c:pt>
                <c:pt idx="225">
                  <c:v>23-Nov-14</c:v>
                </c:pt>
                <c:pt idx="226">
                  <c:v>30-Nov-14</c:v>
                </c:pt>
                <c:pt idx="227">
                  <c:v>07-Dec-14</c:v>
                </c:pt>
                <c:pt idx="228">
                  <c:v>14-Dec-14</c:v>
                </c:pt>
                <c:pt idx="229">
                  <c:v>21-Dec-14</c:v>
                </c:pt>
                <c:pt idx="230">
                  <c:v>28-Dec-14</c:v>
                </c:pt>
                <c:pt idx="231">
                  <c:v>04-Jan-15</c:v>
                </c:pt>
                <c:pt idx="232">
                  <c:v>11-Jan-15</c:v>
                </c:pt>
                <c:pt idx="233">
                  <c:v>18-Jan-15</c:v>
                </c:pt>
                <c:pt idx="234">
                  <c:v>25-Jan-15</c:v>
                </c:pt>
                <c:pt idx="235">
                  <c:v>01-Feb-15</c:v>
                </c:pt>
                <c:pt idx="236">
                  <c:v>08-Feb-15</c:v>
                </c:pt>
                <c:pt idx="237">
                  <c:v>15-Feb-15</c:v>
                </c:pt>
                <c:pt idx="238">
                  <c:v>22-Feb-15</c:v>
                </c:pt>
                <c:pt idx="239">
                  <c:v>01-Mar-15</c:v>
                </c:pt>
                <c:pt idx="240">
                  <c:v>08-Mar-15</c:v>
                </c:pt>
                <c:pt idx="241">
                  <c:v>15-Mar-15</c:v>
                </c:pt>
                <c:pt idx="242">
                  <c:v>22-Mar-15</c:v>
                </c:pt>
                <c:pt idx="243">
                  <c:v>29-Mar-15</c:v>
                </c:pt>
                <c:pt idx="244">
                  <c:v>05-Apr-15</c:v>
                </c:pt>
                <c:pt idx="245">
                  <c:v>12-Apr-15</c:v>
                </c:pt>
                <c:pt idx="246">
                  <c:v>19-Apr-15</c:v>
                </c:pt>
                <c:pt idx="247">
                  <c:v>26-Apr-15</c:v>
                </c:pt>
                <c:pt idx="248">
                  <c:v>03-May-15</c:v>
                </c:pt>
                <c:pt idx="249">
                  <c:v>10-May-15</c:v>
                </c:pt>
                <c:pt idx="250">
                  <c:v>17-May-15</c:v>
                </c:pt>
                <c:pt idx="251">
                  <c:v>24-May-15</c:v>
                </c:pt>
                <c:pt idx="252">
                  <c:v>31-May-15</c:v>
                </c:pt>
                <c:pt idx="253">
                  <c:v>07-Jun-15</c:v>
                </c:pt>
                <c:pt idx="254">
                  <c:v>14-Jun-15</c:v>
                </c:pt>
                <c:pt idx="255">
                  <c:v>21-Jun-15</c:v>
                </c:pt>
                <c:pt idx="256">
                  <c:v>28-Jun-15</c:v>
                </c:pt>
                <c:pt idx="257">
                  <c:v>05-Jul-15</c:v>
                </c:pt>
                <c:pt idx="258">
                  <c:v>12-Jul-15</c:v>
                </c:pt>
                <c:pt idx="259">
                  <c:v>19-Jul-15</c:v>
                </c:pt>
                <c:pt idx="260">
                  <c:v>26-Jul-15</c:v>
                </c:pt>
                <c:pt idx="261">
                  <c:v>02-Aug-15</c:v>
                </c:pt>
                <c:pt idx="262">
                  <c:v>09-Aug-15</c:v>
                </c:pt>
                <c:pt idx="263">
                  <c:v>16-Aug-15</c:v>
                </c:pt>
                <c:pt idx="264">
                  <c:v>23-Aug-15</c:v>
                </c:pt>
                <c:pt idx="265">
                  <c:v>30-Aug-15</c:v>
                </c:pt>
                <c:pt idx="266">
                  <c:v>06-Sep-15</c:v>
                </c:pt>
                <c:pt idx="267">
                  <c:v>13-Sep-15</c:v>
                </c:pt>
                <c:pt idx="268">
                  <c:v>20-Sep-15</c:v>
                </c:pt>
                <c:pt idx="269">
                  <c:v>27-Sep-15</c:v>
                </c:pt>
                <c:pt idx="270">
                  <c:v>04-Oct-15</c:v>
                </c:pt>
                <c:pt idx="271">
                  <c:v>11-Oct-15</c:v>
                </c:pt>
                <c:pt idx="272">
                  <c:v>18-Oct-15</c:v>
                </c:pt>
                <c:pt idx="273">
                  <c:v>25-Oct-15</c:v>
                </c:pt>
                <c:pt idx="274">
                  <c:v>01-Nov-15</c:v>
                </c:pt>
                <c:pt idx="275">
                  <c:v>08-Nov-15</c:v>
                </c:pt>
                <c:pt idx="276">
                  <c:v>15-Nov-15</c:v>
                </c:pt>
                <c:pt idx="277">
                  <c:v>22-Nov-15</c:v>
                </c:pt>
                <c:pt idx="278">
                  <c:v>29-Nov-15</c:v>
                </c:pt>
                <c:pt idx="279">
                  <c:v>06-Dec-15</c:v>
                </c:pt>
                <c:pt idx="280">
                  <c:v>13-Dec-15</c:v>
                </c:pt>
                <c:pt idx="281">
                  <c:v>20-Dec-15</c:v>
                </c:pt>
                <c:pt idx="282">
                  <c:v>27-Dec-15</c:v>
                </c:pt>
                <c:pt idx="283">
                  <c:v>03-Jan-16</c:v>
                </c:pt>
                <c:pt idx="284">
                  <c:v>10-Jan-16</c:v>
                </c:pt>
                <c:pt idx="285">
                  <c:v>17-Jan-16</c:v>
                </c:pt>
                <c:pt idx="286">
                  <c:v>24-Jan-16</c:v>
                </c:pt>
                <c:pt idx="287">
                  <c:v>31-Jan-16</c:v>
                </c:pt>
                <c:pt idx="288">
                  <c:v>07-Feb-16</c:v>
                </c:pt>
                <c:pt idx="289">
                  <c:v>14-Feb-16</c:v>
                </c:pt>
                <c:pt idx="290">
                  <c:v>21-Feb-16</c:v>
                </c:pt>
                <c:pt idx="291">
                  <c:v>28-Feb-16</c:v>
                </c:pt>
                <c:pt idx="292">
                  <c:v>06-Mar-16</c:v>
                </c:pt>
                <c:pt idx="293">
                  <c:v>13-Mar-16</c:v>
                </c:pt>
                <c:pt idx="294">
                  <c:v>20-Mar-16</c:v>
                </c:pt>
                <c:pt idx="295">
                  <c:v>27-Mar-16</c:v>
                </c:pt>
                <c:pt idx="296">
                  <c:v>03-Apr-16</c:v>
                </c:pt>
                <c:pt idx="297">
                  <c:v>10-Apr-16</c:v>
                </c:pt>
                <c:pt idx="298">
                  <c:v>17-Apr-16</c:v>
                </c:pt>
                <c:pt idx="299">
                  <c:v>24-Apr-16</c:v>
                </c:pt>
                <c:pt idx="300">
                  <c:v>01-May-16</c:v>
                </c:pt>
                <c:pt idx="301">
                  <c:v>08-May-16</c:v>
                </c:pt>
                <c:pt idx="302">
                  <c:v>15-May-16</c:v>
                </c:pt>
                <c:pt idx="303">
                  <c:v>22-May-16</c:v>
                </c:pt>
                <c:pt idx="304">
                  <c:v>29-May-16</c:v>
                </c:pt>
                <c:pt idx="305">
                  <c:v>05-Jun-16</c:v>
                </c:pt>
                <c:pt idx="306">
                  <c:v>12-Jun-16</c:v>
                </c:pt>
                <c:pt idx="307">
                  <c:v>19-Jun-16</c:v>
                </c:pt>
                <c:pt idx="308">
                  <c:v>26-Jun-16</c:v>
                </c:pt>
                <c:pt idx="309">
                  <c:v>03-Jul-16</c:v>
                </c:pt>
                <c:pt idx="310">
                  <c:v>10-Jul-16</c:v>
                </c:pt>
                <c:pt idx="311">
                  <c:v>17-Jul-16</c:v>
                </c:pt>
                <c:pt idx="312">
                  <c:v>24-Jul-16</c:v>
                </c:pt>
                <c:pt idx="313">
                  <c:v>31-Jul-16</c:v>
                </c:pt>
                <c:pt idx="314">
                  <c:v>07-Aug-16</c:v>
                </c:pt>
                <c:pt idx="315">
                  <c:v>14-Aug-16</c:v>
                </c:pt>
                <c:pt idx="316">
                  <c:v>21-Aug-16</c:v>
                </c:pt>
                <c:pt idx="317">
                  <c:v>28-Aug-16</c:v>
                </c:pt>
                <c:pt idx="318">
                  <c:v>04-Sep-16</c:v>
                </c:pt>
                <c:pt idx="319">
                  <c:v>11-Sep-16</c:v>
                </c:pt>
                <c:pt idx="320">
                  <c:v>18-Sep-16</c:v>
                </c:pt>
                <c:pt idx="321">
                  <c:v>25-Sep-16</c:v>
                </c:pt>
                <c:pt idx="322">
                  <c:v>02-Oct-16</c:v>
                </c:pt>
                <c:pt idx="323">
                  <c:v>09-Oct-16</c:v>
                </c:pt>
                <c:pt idx="324">
                  <c:v>16-Oct-16</c:v>
                </c:pt>
                <c:pt idx="325">
                  <c:v>23-Oct-16</c:v>
                </c:pt>
                <c:pt idx="326">
                  <c:v>30-Oct-16</c:v>
                </c:pt>
                <c:pt idx="327">
                  <c:v>06-Nov-16</c:v>
                </c:pt>
                <c:pt idx="328">
                  <c:v>13-Nov-16</c:v>
                </c:pt>
                <c:pt idx="329">
                  <c:v>20-Nov-16</c:v>
                </c:pt>
                <c:pt idx="330">
                  <c:v>27-Nov-16</c:v>
                </c:pt>
                <c:pt idx="331">
                  <c:v>04-Dec-16</c:v>
                </c:pt>
                <c:pt idx="332">
                  <c:v>11-Dec-16</c:v>
                </c:pt>
                <c:pt idx="333">
                  <c:v>18-Dec-16</c:v>
                </c:pt>
                <c:pt idx="334">
                  <c:v>25-Dec-16</c:v>
                </c:pt>
                <c:pt idx="335">
                  <c:v>01-Jan-17</c:v>
                </c:pt>
                <c:pt idx="336">
                  <c:v>08-Jan-17</c:v>
                </c:pt>
                <c:pt idx="337">
                  <c:v>15-Jan-17</c:v>
                </c:pt>
                <c:pt idx="338">
                  <c:v>22-Jan-17</c:v>
                </c:pt>
                <c:pt idx="339">
                  <c:v>29-Jan-17</c:v>
                </c:pt>
                <c:pt idx="340">
                  <c:v>05-Feb-17</c:v>
                </c:pt>
                <c:pt idx="341">
                  <c:v>12-Feb-17</c:v>
                </c:pt>
                <c:pt idx="342">
                  <c:v>19-Feb-17</c:v>
                </c:pt>
                <c:pt idx="343">
                  <c:v>26-Feb-17</c:v>
                </c:pt>
                <c:pt idx="344">
                  <c:v>05-Mar-17</c:v>
                </c:pt>
                <c:pt idx="345">
                  <c:v>12-Mar-17</c:v>
                </c:pt>
                <c:pt idx="346">
                  <c:v>19-Mar-17</c:v>
                </c:pt>
                <c:pt idx="347">
                  <c:v>26-Mar-17</c:v>
                </c:pt>
                <c:pt idx="348">
                  <c:v>02-Apr-17</c:v>
                </c:pt>
                <c:pt idx="349">
                  <c:v>09-Apr-17</c:v>
                </c:pt>
                <c:pt idx="350">
                  <c:v>16-Apr-17</c:v>
                </c:pt>
                <c:pt idx="351">
                  <c:v>23-Apr-17</c:v>
                </c:pt>
                <c:pt idx="352">
                  <c:v>30-Apr-17</c:v>
                </c:pt>
                <c:pt idx="353">
                  <c:v>07-May-17</c:v>
                </c:pt>
                <c:pt idx="354">
                  <c:v>14-May-17</c:v>
                </c:pt>
                <c:pt idx="355">
                  <c:v>21-May-17</c:v>
                </c:pt>
                <c:pt idx="356">
                  <c:v>28-May-17</c:v>
                </c:pt>
                <c:pt idx="357">
                  <c:v>04-Jun-17</c:v>
                </c:pt>
                <c:pt idx="358">
                  <c:v>11-Jun-17</c:v>
                </c:pt>
                <c:pt idx="359">
                  <c:v>18-Jun-17</c:v>
                </c:pt>
                <c:pt idx="360">
                  <c:v>25-Jun-17</c:v>
                </c:pt>
                <c:pt idx="361">
                  <c:v>02-Jul-17</c:v>
                </c:pt>
                <c:pt idx="362">
                  <c:v>09-Jul-17</c:v>
                </c:pt>
                <c:pt idx="363">
                  <c:v>16-Jul-17</c:v>
                </c:pt>
                <c:pt idx="364">
                  <c:v>23-Jul-17</c:v>
                </c:pt>
                <c:pt idx="365">
                  <c:v>30-Jul-17</c:v>
                </c:pt>
                <c:pt idx="366">
                  <c:v>06-Aug-17</c:v>
                </c:pt>
                <c:pt idx="367">
                  <c:v>13-Aug-17</c:v>
                </c:pt>
                <c:pt idx="368">
                  <c:v>20-Aug-17</c:v>
                </c:pt>
                <c:pt idx="369">
                  <c:v>27-Aug-17</c:v>
                </c:pt>
                <c:pt idx="370">
                  <c:v>03-Sep-17</c:v>
                </c:pt>
                <c:pt idx="371">
                  <c:v>10-Sep-17</c:v>
                </c:pt>
                <c:pt idx="372">
                  <c:v>17-Sep-17</c:v>
                </c:pt>
                <c:pt idx="373">
                  <c:v>24-Sep-17</c:v>
                </c:pt>
                <c:pt idx="374">
                  <c:v>01-Oct-17</c:v>
                </c:pt>
                <c:pt idx="375">
                  <c:v>08-Oct-17</c:v>
                </c:pt>
                <c:pt idx="376">
                  <c:v>15-Oct-17</c:v>
                </c:pt>
                <c:pt idx="377">
                  <c:v>22-Oct-17</c:v>
                </c:pt>
                <c:pt idx="378">
                  <c:v>29-Oct-17</c:v>
                </c:pt>
                <c:pt idx="379">
                  <c:v>05-Nov-17</c:v>
                </c:pt>
                <c:pt idx="380">
                  <c:v>12-Nov-17</c:v>
                </c:pt>
                <c:pt idx="381">
                  <c:v>19-Nov-17</c:v>
                </c:pt>
                <c:pt idx="382">
                  <c:v>26-Nov-17</c:v>
                </c:pt>
                <c:pt idx="383">
                  <c:v>03-Dec-17</c:v>
                </c:pt>
                <c:pt idx="384">
                  <c:v>10-Dec-17</c:v>
                </c:pt>
                <c:pt idx="385">
                  <c:v>17-Dec-17</c:v>
                </c:pt>
                <c:pt idx="386">
                  <c:v>24-Dec-17</c:v>
                </c:pt>
                <c:pt idx="387">
                  <c:v>31-Dec-17</c:v>
                </c:pt>
                <c:pt idx="388">
                  <c:v>07-Jan-18</c:v>
                </c:pt>
                <c:pt idx="389">
                  <c:v>14-Jan-18</c:v>
                </c:pt>
                <c:pt idx="390">
                  <c:v>21-Jan-18</c:v>
                </c:pt>
                <c:pt idx="391">
                  <c:v>28-Jan-18</c:v>
                </c:pt>
                <c:pt idx="392">
                  <c:v>04-Feb-18</c:v>
                </c:pt>
                <c:pt idx="393">
                  <c:v>11-Feb-18</c:v>
                </c:pt>
                <c:pt idx="394">
                  <c:v>18-Feb-18</c:v>
                </c:pt>
                <c:pt idx="395">
                  <c:v>25-Feb-18</c:v>
                </c:pt>
                <c:pt idx="396">
                  <c:v>04-Mar-18</c:v>
                </c:pt>
                <c:pt idx="397">
                  <c:v>11-Mar-18</c:v>
                </c:pt>
                <c:pt idx="398">
                  <c:v>18-Mar-18</c:v>
                </c:pt>
                <c:pt idx="399">
                  <c:v>25-Mar-18</c:v>
                </c:pt>
                <c:pt idx="400">
                  <c:v>01-Apr-18</c:v>
                </c:pt>
                <c:pt idx="401">
                  <c:v>08-Apr-18</c:v>
                </c:pt>
                <c:pt idx="402">
                  <c:v>15-Apr-18</c:v>
                </c:pt>
                <c:pt idx="403">
                  <c:v>22-Apr-18</c:v>
                </c:pt>
                <c:pt idx="404">
                  <c:v>29-Apr-18</c:v>
                </c:pt>
                <c:pt idx="405">
                  <c:v>06-May-18</c:v>
                </c:pt>
                <c:pt idx="406">
                  <c:v>13-May-18</c:v>
                </c:pt>
                <c:pt idx="407">
                  <c:v>20-May-18</c:v>
                </c:pt>
                <c:pt idx="408">
                  <c:v>27-May-18</c:v>
                </c:pt>
                <c:pt idx="409">
                  <c:v>03-Jun-18</c:v>
                </c:pt>
                <c:pt idx="410">
                  <c:v>10-Jun-18</c:v>
                </c:pt>
                <c:pt idx="411">
                  <c:v>17-Jun-18</c:v>
                </c:pt>
                <c:pt idx="412">
                  <c:v>24-Jun-18</c:v>
                </c:pt>
                <c:pt idx="413">
                  <c:v>01-Jul-18</c:v>
                </c:pt>
                <c:pt idx="414">
                  <c:v>08-Jul-18</c:v>
                </c:pt>
                <c:pt idx="415">
                  <c:v>15-Jul-18</c:v>
                </c:pt>
                <c:pt idx="416">
                  <c:v>22-Jul-18</c:v>
                </c:pt>
                <c:pt idx="417">
                  <c:v>29-Jul-18</c:v>
                </c:pt>
                <c:pt idx="418">
                  <c:v>05-Aug-18</c:v>
                </c:pt>
                <c:pt idx="419">
                  <c:v>12-Aug-18</c:v>
                </c:pt>
                <c:pt idx="420">
                  <c:v>19-Aug-18</c:v>
                </c:pt>
                <c:pt idx="421">
                  <c:v>26-Aug-18</c:v>
                </c:pt>
                <c:pt idx="422">
                  <c:v>02-Sep-18</c:v>
                </c:pt>
                <c:pt idx="423">
                  <c:v>09-Sep-18</c:v>
                </c:pt>
                <c:pt idx="424">
                  <c:v>16-Sep-18</c:v>
                </c:pt>
                <c:pt idx="425">
                  <c:v>23-Sep-18</c:v>
                </c:pt>
                <c:pt idx="426">
                  <c:v>30-Sep-18</c:v>
                </c:pt>
                <c:pt idx="427">
                  <c:v>07-Oct-18</c:v>
                </c:pt>
                <c:pt idx="428">
                  <c:v>14-Oct-18</c:v>
                </c:pt>
                <c:pt idx="429">
                  <c:v>21-Oct-18</c:v>
                </c:pt>
                <c:pt idx="430">
                  <c:v>28-Oct-18</c:v>
                </c:pt>
                <c:pt idx="431">
                  <c:v>04-Nov-18</c:v>
                </c:pt>
                <c:pt idx="432">
                  <c:v>11-Nov-18</c:v>
                </c:pt>
                <c:pt idx="433">
                  <c:v>18-Nov-18</c:v>
                </c:pt>
                <c:pt idx="434">
                  <c:v>25-Nov-18</c:v>
                </c:pt>
                <c:pt idx="435">
                  <c:v>02-Dec-18</c:v>
                </c:pt>
                <c:pt idx="436">
                  <c:v>09-Dec-18</c:v>
                </c:pt>
                <c:pt idx="437">
                  <c:v>16-Dec-18</c:v>
                </c:pt>
                <c:pt idx="438">
                  <c:v>23-Dec-18</c:v>
                </c:pt>
                <c:pt idx="439">
                  <c:v>30-Dec-18</c:v>
                </c:pt>
                <c:pt idx="440">
                  <c:v>06-Jan-19</c:v>
                </c:pt>
                <c:pt idx="441">
                  <c:v>13-Jan-19</c:v>
                </c:pt>
                <c:pt idx="442">
                  <c:v>20-Jan-19</c:v>
                </c:pt>
                <c:pt idx="443">
                  <c:v>27-Jan-19</c:v>
                </c:pt>
                <c:pt idx="444">
                  <c:v>03-Feb-19</c:v>
                </c:pt>
                <c:pt idx="445">
                  <c:v>10-Feb-19</c:v>
                </c:pt>
                <c:pt idx="446">
                  <c:v>17-Feb-19</c:v>
                </c:pt>
                <c:pt idx="447">
                  <c:v>24-Feb-19</c:v>
                </c:pt>
                <c:pt idx="448">
                  <c:v>03-Mar-19</c:v>
                </c:pt>
                <c:pt idx="449">
                  <c:v>10-Mar-19</c:v>
                </c:pt>
                <c:pt idx="450">
                  <c:v>17-Mar-19</c:v>
                </c:pt>
                <c:pt idx="451">
                  <c:v>24-Mar-19</c:v>
                </c:pt>
                <c:pt idx="452">
                  <c:v>31-Mar-19</c:v>
                </c:pt>
                <c:pt idx="453">
                  <c:v>07-Apr-19</c:v>
                </c:pt>
                <c:pt idx="454">
                  <c:v>14-Apr-19</c:v>
                </c:pt>
                <c:pt idx="455">
                  <c:v>21-Apr-19</c:v>
                </c:pt>
                <c:pt idx="456">
                  <c:v>28-Apr-19</c:v>
                </c:pt>
                <c:pt idx="457">
                  <c:v>05-May-19</c:v>
                </c:pt>
                <c:pt idx="458">
                  <c:v>12-May-19</c:v>
                </c:pt>
                <c:pt idx="459">
                  <c:v>19-May-19</c:v>
                </c:pt>
                <c:pt idx="460">
                  <c:v>26-May-19</c:v>
                </c:pt>
                <c:pt idx="461">
                  <c:v>02-Jun-19</c:v>
                </c:pt>
                <c:pt idx="462">
                  <c:v>09-Jun-19</c:v>
                </c:pt>
                <c:pt idx="463">
                  <c:v>16-Jun-19</c:v>
                </c:pt>
                <c:pt idx="464">
                  <c:v>23-Jun-19</c:v>
                </c:pt>
                <c:pt idx="465">
                  <c:v>30-Jun-19</c:v>
                </c:pt>
                <c:pt idx="466">
                  <c:v>07-Jul-19</c:v>
                </c:pt>
                <c:pt idx="467">
                  <c:v>14-Jul-19</c:v>
                </c:pt>
                <c:pt idx="468">
                  <c:v>21-Jul-19</c:v>
                </c:pt>
                <c:pt idx="469">
                  <c:v>28-Jul-19</c:v>
                </c:pt>
                <c:pt idx="470">
                  <c:v>04-Aug-19</c:v>
                </c:pt>
                <c:pt idx="471">
                  <c:v>11-Aug-19</c:v>
                </c:pt>
                <c:pt idx="472">
                  <c:v>18-Aug-19</c:v>
                </c:pt>
                <c:pt idx="473">
                  <c:v>25-Aug-19</c:v>
                </c:pt>
                <c:pt idx="474">
                  <c:v>01-Sep-19</c:v>
                </c:pt>
                <c:pt idx="475">
                  <c:v>08-Sep-19</c:v>
                </c:pt>
                <c:pt idx="476">
                  <c:v>15-Sep-19</c:v>
                </c:pt>
                <c:pt idx="477">
                  <c:v>22-Sep-19</c:v>
                </c:pt>
                <c:pt idx="478">
                  <c:v>29-Sep-19</c:v>
                </c:pt>
                <c:pt idx="479">
                  <c:v>06-Oct-19</c:v>
                </c:pt>
                <c:pt idx="480">
                  <c:v>13-Oct-19</c:v>
                </c:pt>
                <c:pt idx="481">
                  <c:v>20-Oct-19</c:v>
                </c:pt>
                <c:pt idx="482">
                  <c:v>27-Oct-19</c:v>
                </c:pt>
                <c:pt idx="483">
                  <c:v>03-Nov-19</c:v>
                </c:pt>
                <c:pt idx="484">
                  <c:v>10-Nov-19</c:v>
                </c:pt>
                <c:pt idx="485">
                  <c:v>17-Nov-19</c:v>
                </c:pt>
                <c:pt idx="486">
                  <c:v>24-Nov-19</c:v>
                </c:pt>
                <c:pt idx="487">
                  <c:v>01-Dec-19</c:v>
                </c:pt>
                <c:pt idx="488">
                  <c:v>08-Dec-19</c:v>
                </c:pt>
                <c:pt idx="489">
                  <c:v>15-Dec-19</c:v>
                </c:pt>
                <c:pt idx="490">
                  <c:v>22-Dec-19</c:v>
                </c:pt>
                <c:pt idx="491">
                  <c:v>29-Dec-19</c:v>
                </c:pt>
                <c:pt idx="492">
                  <c:v>05-Jan-20</c:v>
                </c:pt>
                <c:pt idx="493">
                  <c:v>12-Jan-20</c:v>
                </c:pt>
                <c:pt idx="494">
                  <c:v>19-Jan-20</c:v>
                </c:pt>
                <c:pt idx="495">
                  <c:v>26-Jan-20</c:v>
                </c:pt>
                <c:pt idx="496">
                  <c:v>02-Feb-20</c:v>
                </c:pt>
                <c:pt idx="497">
                  <c:v>09-Feb-20</c:v>
                </c:pt>
                <c:pt idx="498">
                  <c:v>16-Feb-20</c:v>
                </c:pt>
                <c:pt idx="499">
                  <c:v>23-Feb-20</c:v>
                </c:pt>
                <c:pt idx="500">
                  <c:v>01-Mar-20</c:v>
                </c:pt>
                <c:pt idx="501">
                  <c:v>08-Mar-20</c:v>
                </c:pt>
                <c:pt idx="502">
                  <c:v>15-Mar-20</c:v>
                </c:pt>
                <c:pt idx="503">
                  <c:v>22-Mar-20</c:v>
                </c:pt>
                <c:pt idx="504">
                  <c:v>29-Mar-20</c:v>
                </c:pt>
                <c:pt idx="505">
                  <c:v>05-Apr-20</c:v>
                </c:pt>
                <c:pt idx="506">
                  <c:v>12-Apr-20</c:v>
                </c:pt>
                <c:pt idx="507">
                  <c:v>19-Apr-20</c:v>
                </c:pt>
                <c:pt idx="508">
                  <c:v>26-Apr-20</c:v>
                </c:pt>
                <c:pt idx="509">
                  <c:v>03-May-20</c:v>
                </c:pt>
                <c:pt idx="510">
                  <c:v>10-May-20</c:v>
                </c:pt>
                <c:pt idx="511">
                  <c:v>17-May-20</c:v>
                </c:pt>
                <c:pt idx="512">
                  <c:v>24-May-20</c:v>
                </c:pt>
                <c:pt idx="513">
                  <c:v>31-May-20</c:v>
                </c:pt>
                <c:pt idx="514">
                  <c:v>07-Jun-20</c:v>
                </c:pt>
                <c:pt idx="515">
                  <c:v>14-Jun-20</c:v>
                </c:pt>
                <c:pt idx="516">
                  <c:v>21-Jun-20</c:v>
                </c:pt>
                <c:pt idx="517">
                  <c:v>28-Jun-20</c:v>
                </c:pt>
                <c:pt idx="518">
                  <c:v>05-Jul-20</c:v>
                </c:pt>
                <c:pt idx="519">
                  <c:v>12-Jul-20</c:v>
                </c:pt>
                <c:pt idx="520">
                  <c:v>19-Jul-20</c:v>
                </c:pt>
                <c:pt idx="521">
                  <c:v>26-Jul-20</c:v>
                </c:pt>
                <c:pt idx="522">
                  <c:v>02-Aug-20</c:v>
                </c:pt>
                <c:pt idx="523">
                  <c:v>09-Aug-20</c:v>
                </c:pt>
                <c:pt idx="524">
                  <c:v>16-Aug-20</c:v>
                </c:pt>
                <c:pt idx="525">
                  <c:v>23-Aug-20</c:v>
                </c:pt>
                <c:pt idx="526">
                  <c:v>30-Aug-20</c:v>
                </c:pt>
                <c:pt idx="527">
                  <c:v>06-Sep-20</c:v>
                </c:pt>
                <c:pt idx="528">
                  <c:v>13-Sep-20</c:v>
                </c:pt>
                <c:pt idx="529">
                  <c:v>20-Sep-20</c:v>
                </c:pt>
                <c:pt idx="530">
                  <c:v>27-Sep-20</c:v>
                </c:pt>
                <c:pt idx="531">
                  <c:v>04-Oct-20</c:v>
                </c:pt>
                <c:pt idx="532">
                  <c:v>11-Oct-20</c:v>
                </c:pt>
                <c:pt idx="533">
                  <c:v>18-Oct-20</c:v>
                </c:pt>
                <c:pt idx="534">
                  <c:v>25-Oct-20</c:v>
                </c:pt>
                <c:pt idx="535">
                  <c:v>01-Nov-20</c:v>
                </c:pt>
                <c:pt idx="536">
                  <c:v>08-Nov-20</c:v>
                </c:pt>
                <c:pt idx="537">
                  <c:v>15-Nov-20</c:v>
                </c:pt>
                <c:pt idx="538">
                  <c:v>22-Nov-20</c:v>
                </c:pt>
                <c:pt idx="539">
                  <c:v>29-Nov-20</c:v>
                </c:pt>
                <c:pt idx="540">
                  <c:v>06-Dec-20</c:v>
                </c:pt>
                <c:pt idx="541">
                  <c:v>13-Dec-20</c:v>
                </c:pt>
                <c:pt idx="542">
                  <c:v>20-Dec-20</c:v>
                </c:pt>
                <c:pt idx="543">
                  <c:v>27-Dec-20</c:v>
                </c:pt>
                <c:pt idx="544">
                  <c:v>03-Jan-21</c:v>
                </c:pt>
                <c:pt idx="545">
                  <c:v>10-Jan-21</c:v>
                </c:pt>
                <c:pt idx="546">
                  <c:v>17-Jan-21</c:v>
                </c:pt>
                <c:pt idx="547">
                  <c:v>24-Jan-21</c:v>
                </c:pt>
                <c:pt idx="548">
                  <c:v>31-Jan-21</c:v>
                </c:pt>
                <c:pt idx="549">
                  <c:v>07-Feb-21</c:v>
                </c:pt>
                <c:pt idx="550">
                  <c:v>14-Feb-21</c:v>
                </c:pt>
                <c:pt idx="551">
                  <c:v>21-Feb-21</c:v>
                </c:pt>
                <c:pt idx="552">
                  <c:v>28-Feb-21</c:v>
                </c:pt>
                <c:pt idx="553">
                  <c:v>07-Mar-21</c:v>
                </c:pt>
                <c:pt idx="554">
                  <c:v>14-Mar-21</c:v>
                </c:pt>
                <c:pt idx="555">
                  <c:v>21-Mar-21</c:v>
                </c:pt>
                <c:pt idx="556">
                  <c:v>28-Mar-21</c:v>
                </c:pt>
                <c:pt idx="557">
                  <c:v>04-Apr-21</c:v>
                </c:pt>
                <c:pt idx="558">
                  <c:v>11-Apr-21</c:v>
                </c:pt>
                <c:pt idx="559">
                  <c:v>18-Apr-21</c:v>
                </c:pt>
                <c:pt idx="560">
                  <c:v>25-Apr-21</c:v>
                </c:pt>
                <c:pt idx="561">
                  <c:v>02-May-21</c:v>
                </c:pt>
                <c:pt idx="562">
                  <c:v>09-May-21</c:v>
                </c:pt>
                <c:pt idx="563">
                  <c:v>16-May-21</c:v>
                </c:pt>
                <c:pt idx="564">
                  <c:v>23-May-21</c:v>
                </c:pt>
                <c:pt idx="565">
                  <c:v>30-May-21</c:v>
                </c:pt>
                <c:pt idx="566">
                  <c:v>06-Jun-21</c:v>
                </c:pt>
                <c:pt idx="567">
                  <c:v>13-Jun-21</c:v>
                </c:pt>
                <c:pt idx="568">
                  <c:v>20-Jun-21</c:v>
                </c:pt>
                <c:pt idx="569">
                  <c:v>27-Jun-21</c:v>
                </c:pt>
                <c:pt idx="570">
                  <c:v>04-Jul-21</c:v>
                </c:pt>
                <c:pt idx="571">
                  <c:v>11-Jul-21</c:v>
                </c:pt>
                <c:pt idx="572">
                  <c:v>18-Jul-21</c:v>
                </c:pt>
                <c:pt idx="573">
                  <c:v>25-Jul-21</c:v>
                </c:pt>
                <c:pt idx="574">
                  <c:v>01-Aug-21</c:v>
                </c:pt>
                <c:pt idx="575">
                  <c:v>08-Aug-21</c:v>
                </c:pt>
                <c:pt idx="576">
                  <c:v>15-Aug-21</c:v>
                </c:pt>
                <c:pt idx="577">
                  <c:v>22-Aug-21</c:v>
                </c:pt>
                <c:pt idx="578">
                  <c:v>29-Aug-21</c:v>
                </c:pt>
                <c:pt idx="579">
                  <c:v>05-Sep-21</c:v>
                </c:pt>
                <c:pt idx="580">
                  <c:v>12-Sep-21</c:v>
                </c:pt>
                <c:pt idx="581">
                  <c:v>19-Sep-21</c:v>
                </c:pt>
                <c:pt idx="582">
                  <c:v>26-Sep-21</c:v>
                </c:pt>
                <c:pt idx="583">
                  <c:v>03-Oct-21</c:v>
                </c:pt>
                <c:pt idx="584">
                  <c:v>10-Oct-21</c:v>
                </c:pt>
                <c:pt idx="585">
                  <c:v>17-Oct-21</c:v>
                </c:pt>
                <c:pt idx="586">
                  <c:v>24-Oct-21</c:v>
                </c:pt>
                <c:pt idx="587">
                  <c:v>31-Oct-21</c:v>
                </c:pt>
                <c:pt idx="588">
                  <c:v>07-Nov-21</c:v>
                </c:pt>
                <c:pt idx="589">
                  <c:v>14-Nov-21</c:v>
                </c:pt>
                <c:pt idx="590">
                  <c:v>21-Nov-21</c:v>
                </c:pt>
                <c:pt idx="591">
                  <c:v>28-Nov-21</c:v>
                </c:pt>
                <c:pt idx="592">
                  <c:v>05-Dec-21</c:v>
                </c:pt>
                <c:pt idx="593">
                  <c:v>12-Dec-21</c:v>
                </c:pt>
                <c:pt idx="594">
                  <c:v>19-Dec-21</c:v>
                </c:pt>
                <c:pt idx="595">
                  <c:v>26-Dec-21</c:v>
                </c:pt>
                <c:pt idx="596">
                  <c:v>02-Jan-22</c:v>
                </c:pt>
                <c:pt idx="597">
                  <c:v>09-Jan-22</c:v>
                </c:pt>
                <c:pt idx="598">
                  <c:v>16-Jan-22</c:v>
                </c:pt>
                <c:pt idx="599">
                  <c:v>23-Jan-22</c:v>
                </c:pt>
                <c:pt idx="600">
                  <c:v>30-Jan-22</c:v>
                </c:pt>
                <c:pt idx="601">
                  <c:v>06-Feb-22</c:v>
                </c:pt>
                <c:pt idx="602">
                  <c:v>13-Feb-22</c:v>
                </c:pt>
                <c:pt idx="603">
                  <c:v>20-Feb-22</c:v>
                </c:pt>
                <c:pt idx="604">
                  <c:v>27-Feb-22</c:v>
                </c:pt>
                <c:pt idx="605">
                  <c:v>06-Mar-22</c:v>
                </c:pt>
                <c:pt idx="606">
                  <c:v>13-Mar-22</c:v>
                </c:pt>
                <c:pt idx="607">
                  <c:v>20-Mar-22</c:v>
                </c:pt>
                <c:pt idx="608">
                  <c:v>27-Mar-22</c:v>
                </c:pt>
                <c:pt idx="609">
                  <c:v>03-Apr-22</c:v>
                </c:pt>
                <c:pt idx="610">
                  <c:v>10-Apr-22</c:v>
                </c:pt>
                <c:pt idx="611">
                  <c:v>17-Apr-22</c:v>
                </c:pt>
                <c:pt idx="612">
                  <c:v>24-Apr-22</c:v>
                </c:pt>
                <c:pt idx="613">
                  <c:v>01-May-22</c:v>
                </c:pt>
                <c:pt idx="614">
                  <c:v>08-May-22</c:v>
                </c:pt>
                <c:pt idx="615">
                  <c:v>15-May-22</c:v>
                </c:pt>
                <c:pt idx="616">
                  <c:v>22-May-22</c:v>
                </c:pt>
                <c:pt idx="617">
                  <c:v>29-May-22</c:v>
                </c:pt>
                <c:pt idx="618">
                  <c:v>05-Jun-22</c:v>
                </c:pt>
                <c:pt idx="619">
                  <c:v>12-Jun-22</c:v>
                </c:pt>
                <c:pt idx="620">
                  <c:v>19-Jun-22</c:v>
                </c:pt>
                <c:pt idx="621">
                  <c:v>26-Jun-22</c:v>
                </c:pt>
                <c:pt idx="622">
                  <c:v>03-Jul-22</c:v>
                </c:pt>
                <c:pt idx="623">
                  <c:v>10-Jul-22</c:v>
                </c:pt>
                <c:pt idx="624">
                  <c:v>17-Jul-22</c:v>
                </c:pt>
                <c:pt idx="625">
                  <c:v>24-Jul-22</c:v>
                </c:pt>
                <c:pt idx="626">
                  <c:v>31-Jul-22</c:v>
                </c:pt>
                <c:pt idx="627">
                  <c:v>07-Aug-22</c:v>
                </c:pt>
                <c:pt idx="628">
                  <c:v>14-Aug-22</c:v>
                </c:pt>
                <c:pt idx="629">
                  <c:v>21-Aug-22</c:v>
                </c:pt>
                <c:pt idx="630">
                  <c:v>28-Aug-22</c:v>
                </c:pt>
                <c:pt idx="631">
                  <c:v>04-Sep-22</c:v>
                </c:pt>
                <c:pt idx="632">
                  <c:v>11-Sep-22</c:v>
                </c:pt>
                <c:pt idx="633">
                  <c:v>18-Sep-22</c:v>
                </c:pt>
                <c:pt idx="634">
                  <c:v>25-Sep-22</c:v>
                </c:pt>
                <c:pt idx="635">
                  <c:v>02-Oct-22</c:v>
                </c:pt>
                <c:pt idx="636">
                  <c:v>09-Oct-22</c:v>
                </c:pt>
                <c:pt idx="637">
                  <c:v>16-Oct-22</c:v>
                </c:pt>
                <c:pt idx="638">
                  <c:v>23-Oct-22</c:v>
                </c:pt>
                <c:pt idx="639">
                  <c:v>30-Oct-22</c:v>
                </c:pt>
                <c:pt idx="640">
                  <c:v>06-Nov-22</c:v>
                </c:pt>
                <c:pt idx="641">
                  <c:v>13-Nov-22</c:v>
                </c:pt>
                <c:pt idx="642">
                  <c:v>20-Nov-22</c:v>
                </c:pt>
                <c:pt idx="643">
                  <c:v>27-Nov-22</c:v>
                </c:pt>
                <c:pt idx="644">
                  <c:v>04-Dec-22</c:v>
                </c:pt>
                <c:pt idx="645">
                  <c:v>11-Dec-22</c:v>
                </c:pt>
                <c:pt idx="646">
                  <c:v>18-Dec-22</c:v>
                </c:pt>
                <c:pt idx="647">
                  <c:v>25-Dec-22</c:v>
                </c:pt>
                <c:pt idx="648">
                  <c:v>01-Jan-23</c:v>
                </c:pt>
                <c:pt idx="649">
                  <c:v>08-Jan-23</c:v>
                </c:pt>
                <c:pt idx="650">
                  <c:v>15-Jan-23</c:v>
                </c:pt>
                <c:pt idx="651">
                  <c:v>22-Jan-23</c:v>
                </c:pt>
                <c:pt idx="652">
                  <c:v>29-Jan-23</c:v>
                </c:pt>
                <c:pt idx="653">
                  <c:v>05-Feb-23</c:v>
                </c:pt>
                <c:pt idx="654">
                  <c:v>12-Feb-23</c:v>
                </c:pt>
                <c:pt idx="655">
                  <c:v>19-Feb-23</c:v>
                </c:pt>
                <c:pt idx="656">
                  <c:v>26-Feb-23</c:v>
                </c:pt>
                <c:pt idx="657">
                  <c:v>05-Mar-23</c:v>
                </c:pt>
                <c:pt idx="658">
                  <c:v>12-Mar-23</c:v>
                </c:pt>
                <c:pt idx="659">
                  <c:v>19-Mar-23</c:v>
                </c:pt>
                <c:pt idx="660">
                  <c:v>26-Mar-23</c:v>
                </c:pt>
                <c:pt idx="661">
                  <c:v>02-Apr-23</c:v>
                </c:pt>
                <c:pt idx="662">
                  <c:v>09-Apr-23</c:v>
                </c:pt>
                <c:pt idx="663">
                  <c:v>16-Apr-23</c:v>
                </c:pt>
                <c:pt idx="664">
                  <c:v>23-Apr-23</c:v>
                </c:pt>
                <c:pt idx="665">
                  <c:v>30-Apr-23</c:v>
                </c:pt>
                <c:pt idx="666">
                  <c:v>07-May-23</c:v>
                </c:pt>
                <c:pt idx="667">
                  <c:v>14-May-23</c:v>
                </c:pt>
                <c:pt idx="668">
                  <c:v>21-May-23</c:v>
                </c:pt>
                <c:pt idx="669">
                  <c:v>28-May-23</c:v>
                </c:pt>
                <c:pt idx="670">
                  <c:v>04-Jun-23</c:v>
                </c:pt>
                <c:pt idx="671">
                  <c:v>11-Jun-23</c:v>
                </c:pt>
                <c:pt idx="672">
                  <c:v>18-Jun-23</c:v>
                </c:pt>
                <c:pt idx="673">
                  <c:v>25-Jun-23</c:v>
                </c:pt>
                <c:pt idx="674">
                  <c:v>02-Jul-23</c:v>
                </c:pt>
                <c:pt idx="675">
                  <c:v>09-Jul-23</c:v>
                </c:pt>
                <c:pt idx="676">
                  <c:v>16-Jul-23</c:v>
                </c:pt>
                <c:pt idx="677">
                  <c:v>23-Jul-23</c:v>
                </c:pt>
                <c:pt idx="678">
                  <c:v>30-Jul-23</c:v>
                </c:pt>
                <c:pt idx="679">
                  <c:v>06-Aug-23</c:v>
                </c:pt>
                <c:pt idx="680">
                  <c:v>13-Aug-23</c:v>
                </c:pt>
                <c:pt idx="681">
                  <c:v>20-Aug-23</c:v>
                </c:pt>
                <c:pt idx="682">
                  <c:v>27-Aug-23</c:v>
                </c:pt>
                <c:pt idx="683">
                  <c:v>03-Sep-23</c:v>
                </c:pt>
                <c:pt idx="684">
                  <c:v>10-Sep-23</c:v>
                </c:pt>
                <c:pt idx="685">
                  <c:v>17-Sep-23</c:v>
                </c:pt>
                <c:pt idx="686">
                  <c:v>24-Sep-23</c:v>
                </c:pt>
                <c:pt idx="687">
                  <c:v>01-Oct-23</c:v>
                </c:pt>
                <c:pt idx="688">
                  <c:v>08-Oct-23</c:v>
                </c:pt>
                <c:pt idx="689">
                  <c:v>15-Oct-23</c:v>
                </c:pt>
                <c:pt idx="690">
                  <c:v>22-Oct-23</c:v>
                </c:pt>
                <c:pt idx="691">
                  <c:v>29-Oct-23</c:v>
                </c:pt>
                <c:pt idx="692">
                  <c:v>05-Nov-23</c:v>
                </c:pt>
                <c:pt idx="693">
                  <c:v>12-Nov-23</c:v>
                </c:pt>
                <c:pt idx="694">
                  <c:v>19-Nov-23</c:v>
                </c:pt>
                <c:pt idx="695">
                  <c:v>26-Nov-23</c:v>
                </c:pt>
                <c:pt idx="696">
                  <c:v>03-Dec-23</c:v>
                </c:pt>
                <c:pt idx="697">
                  <c:v>10-Dec-23</c:v>
                </c:pt>
                <c:pt idx="698">
                  <c:v>17-Dec-23</c:v>
                </c:pt>
                <c:pt idx="699">
                  <c:v>24-Dec-23</c:v>
                </c:pt>
                <c:pt idx="700">
                  <c:v>31-Dec-23</c:v>
                </c:pt>
                <c:pt idx="701">
                  <c:v>07-Jan-24</c:v>
                </c:pt>
                <c:pt idx="702">
                  <c:v>14-Jan-24</c:v>
                </c:pt>
                <c:pt idx="703">
                  <c:v>21-Jan-24</c:v>
                </c:pt>
                <c:pt idx="704">
                  <c:v>28-Jan-24</c:v>
                </c:pt>
                <c:pt idx="705">
                  <c:v>04-Feb-24</c:v>
                </c:pt>
                <c:pt idx="706">
                  <c:v>11-Feb-24</c:v>
                </c:pt>
                <c:pt idx="707">
                  <c:v>18-Feb-24</c:v>
                </c:pt>
                <c:pt idx="708">
                  <c:v>25-Feb-24</c:v>
                </c:pt>
                <c:pt idx="709">
                  <c:v>03-Mar-24</c:v>
                </c:pt>
                <c:pt idx="710">
                  <c:v>10-Mar-24</c:v>
                </c:pt>
                <c:pt idx="711">
                  <c:v>17-Mar-24</c:v>
                </c:pt>
                <c:pt idx="712">
                  <c:v>24-Mar-24</c:v>
                </c:pt>
                <c:pt idx="713">
                  <c:v>31-Mar-24</c:v>
                </c:pt>
                <c:pt idx="714">
                  <c:v>07-Apr-24</c:v>
                </c:pt>
                <c:pt idx="715">
                  <c:v>14-Apr-24</c:v>
                </c:pt>
                <c:pt idx="716">
                  <c:v>21-Apr-24</c:v>
                </c:pt>
                <c:pt idx="717">
                  <c:v>28-Apr-24</c:v>
                </c:pt>
                <c:pt idx="718">
                  <c:v>05-May-24</c:v>
                </c:pt>
                <c:pt idx="719">
                  <c:v>12-May-24</c:v>
                </c:pt>
                <c:pt idx="720">
                  <c:v>19-May-24</c:v>
                </c:pt>
                <c:pt idx="721">
                  <c:v>26-May-24</c:v>
                </c:pt>
                <c:pt idx="722">
                  <c:v>02-Jun-24</c:v>
                </c:pt>
                <c:pt idx="723">
                  <c:v>09-Jun-24</c:v>
                </c:pt>
                <c:pt idx="724">
                  <c:v>16-Jun-24</c:v>
                </c:pt>
                <c:pt idx="725">
                  <c:v>23-Jun-24</c:v>
                </c:pt>
                <c:pt idx="726">
                  <c:v>30-Jun-24</c:v>
                </c:pt>
                <c:pt idx="727">
                  <c:v>07-Jul-24</c:v>
                </c:pt>
                <c:pt idx="728">
                  <c:v>14-Jul-24</c:v>
                </c:pt>
                <c:pt idx="729">
                  <c:v>21-Jul-24</c:v>
                </c:pt>
                <c:pt idx="730">
                  <c:v>28-Jul-24</c:v>
                </c:pt>
                <c:pt idx="731">
                  <c:v>04-Aug-24</c:v>
                </c:pt>
                <c:pt idx="732">
                  <c:v>11-Aug-24</c:v>
                </c:pt>
                <c:pt idx="733">
                  <c:v>18-Aug-24</c:v>
                </c:pt>
                <c:pt idx="734">
                  <c:v>25-Aug-24</c:v>
                </c:pt>
                <c:pt idx="735">
                  <c:v>01-Sep-24</c:v>
                </c:pt>
                <c:pt idx="736">
                  <c:v>08-Sep-24</c:v>
                </c:pt>
                <c:pt idx="737">
                  <c:v>15-Sep-24</c:v>
                </c:pt>
                <c:pt idx="738">
                  <c:v>22-Sep-24</c:v>
                </c:pt>
                <c:pt idx="739">
                  <c:v>29-Sep-24</c:v>
                </c:pt>
                <c:pt idx="740">
                  <c:v>06-Oct-24</c:v>
                </c:pt>
                <c:pt idx="741">
                  <c:v>13-Oct-24</c:v>
                </c:pt>
                <c:pt idx="742">
                  <c:v>20-Oct-24</c:v>
                </c:pt>
                <c:pt idx="743">
                  <c:v>27-Oct-24</c:v>
                </c:pt>
                <c:pt idx="744">
                  <c:v>03-Nov-24</c:v>
                </c:pt>
                <c:pt idx="745">
                  <c:v>10-Nov-24</c:v>
                </c:pt>
                <c:pt idx="746">
                  <c:v>17-Nov-24</c:v>
                </c:pt>
                <c:pt idx="747">
                  <c:v>24-Nov-24</c:v>
                </c:pt>
                <c:pt idx="748">
                  <c:v>01-Dec-24</c:v>
                </c:pt>
                <c:pt idx="749">
                  <c:v>08-Dec-24</c:v>
                </c:pt>
                <c:pt idx="750">
                  <c:v>15-Dec-24</c:v>
                </c:pt>
                <c:pt idx="751">
                  <c:v>22-Dec-24</c:v>
                </c:pt>
                <c:pt idx="752">
                  <c:v>29-Dec-24</c:v>
                </c:pt>
                <c:pt idx="753">
                  <c:v>05-Jan-25</c:v>
                </c:pt>
                <c:pt idx="754">
                  <c:v>12-Jan-25</c:v>
                </c:pt>
                <c:pt idx="755">
                  <c:v>19-Jan-25</c:v>
                </c:pt>
                <c:pt idx="756">
                  <c:v>26-Jan-25</c:v>
                </c:pt>
                <c:pt idx="757">
                  <c:v>02-Feb-25</c:v>
                </c:pt>
                <c:pt idx="758">
                  <c:v>09-Feb-25</c:v>
                </c:pt>
                <c:pt idx="759">
                  <c:v>16-Feb-25</c:v>
                </c:pt>
                <c:pt idx="760">
                  <c:v>23-Feb-25</c:v>
                </c:pt>
                <c:pt idx="761">
                  <c:v>02-Mar-25</c:v>
                </c:pt>
                <c:pt idx="762">
                  <c:v>09-Mar-25</c:v>
                </c:pt>
                <c:pt idx="763">
                  <c:v>16-Mar-25</c:v>
                </c:pt>
                <c:pt idx="764">
                  <c:v>23-Mar-25</c:v>
                </c:pt>
                <c:pt idx="765">
                  <c:v>30-Mar-25</c:v>
                </c:pt>
                <c:pt idx="766">
                  <c:v>06-Apr-25</c:v>
                </c:pt>
                <c:pt idx="767">
                  <c:v>13-Apr-25</c:v>
                </c:pt>
                <c:pt idx="768">
                  <c:v>20-Apr-25</c:v>
                </c:pt>
                <c:pt idx="769">
                  <c:v>27-Apr-25</c:v>
                </c:pt>
                <c:pt idx="770">
                  <c:v>04-May-25</c:v>
                </c:pt>
                <c:pt idx="771">
                  <c:v>11-May-25</c:v>
                </c:pt>
                <c:pt idx="772">
                  <c:v>18-May-25</c:v>
                </c:pt>
                <c:pt idx="773">
                  <c:v>25-May-25</c:v>
                </c:pt>
                <c:pt idx="774">
                  <c:v>01-Jun-25</c:v>
                </c:pt>
              </c:strCache>
            </c:strRef>
          </c:cat>
          <c:val>
            <c:numRef>
              <c:f>Sheet20!$B$6:$ACV$6</c:f>
              <c:numCache>
                <c:formatCode>General</c:formatCode>
                <c:ptCount val="775"/>
                <c:pt idx="0">
                  <c:v>99.406888331139086</c:v>
                </c:pt>
                <c:pt idx="1">
                  <c:v>100.22689875921319</c:v>
                </c:pt>
                <c:pt idx="2">
                  <c:v>101.63016691140623</c:v>
                </c:pt>
                <c:pt idx="3">
                  <c:v>101.84507190397325</c:v>
                </c:pt>
                <c:pt idx="4">
                  <c:v>103.12463627800017</c:v>
                </c:pt>
                <c:pt idx="5">
                  <c:v>100.82468951845206</c:v>
                </c:pt>
                <c:pt idx="6">
                  <c:v>102.28784533272595</c:v>
                </c:pt>
                <c:pt idx="7">
                  <c:v>100.95302715884215</c:v>
                </c:pt>
                <c:pt idx="8">
                  <c:v>102.31963893708283</c:v>
                </c:pt>
                <c:pt idx="9">
                  <c:v>101.25148858375103</c:v>
                </c:pt>
                <c:pt idx="10">
                  <c:v>99.925279530379086</c:v>
                </c:pt>
                <c:pt idx="11">
                  <c:v>98.432267760708442</c:v>
                </c:pt>
                <c:pt idx="12">
                  <c:v>97.365971676008371</c:v>
                </c:pt>
                <c:pt idx="13">
                  <c:v>97.424762784419713</c:v>
                </c:pt>
                <c:pt idx="14">
                  <c:v>95.848103730240311</c:v>
                </c:pt>
                <c:pt idx="15">
                  <c:v>94.864424284745709</c:v>
                </c:pt>
                <c:pt idx="16">
                  <c:v>94.892685233569992</c:v>
                </c:pt>
                <c:pt idx="17">
                  <c:v>95.48329641023571</c:v>
                </c:pt>
                <c:pt idx="18">
                  <c:v>93.51069670102703</c:v>
                </c:pt>
                <c:pt idx="19">
                  <c:v>93.598144244331834</c:v>
                </c:pt>
                <c:pt idx="20">
                  <c:v>92.642313090965274</c:v>
                </c:pt>
                <c:pt idx="21">
                  <c:v>92.197872145298689</c:v>
                </c:pt>
                <c:pt idx="22">
                  <c:v>92.76326954979227</c:v>
                </c:pt>
                <c:pt idx="23">
                  <c:v>91.640906808577725</c:v>
                </c:pt>
                <c:pt idx="24">
                  <c:v>90.664413855853596</c:v>
                </c:pt>
                <c:pt idx="25">
                  <c:v>90.677890993015879</c:v>
                </c:pt>
                <c:pt idx="26">
                  <c:v>91.763602064459931</c:v>
                </c:pt>
                <c:pt idx="27">
                  <c:v>89.220110461578031</c:v>
                </c:pt>
                <c:pt idx="28">
                  <c:v>87.563936896465094</c:v>
                </c:pt>
                <c:pt idx="29">
                  <c:v>88.19899729615679</c:v>
                </c:pt>
                <c:pt idx="30">
                  <c:v>88.643031516529689</c:v>
                </c:pt>
                <c:pt idx="31">
                  <c:v>88.892863299989543</c:v>
                </c:pt>
                <c:pt idx="32">
                  <c:v>91.553934310867149</c:v>
                </c:pt>
                <c:pt idx="33">
                  <c:v>91.496182674130495</c:v>
                </c:pt>
                <c:pt idx="34">
                  <c:v>92.206236922345141</c:v>
                </c:pt>
                <c:pt idx="35">
                  <c:v>92.571399339230922</c:v>
                </c:pt>
                <c:pt idx="36">
                  <c:v>92.38707791644498</c:v>
                </c:pt>
                <c:pt idx="37">
                  <c:v>92.472132549481699</c:v>
                </c:pt>
                <c:pt idx="38">
                  <c:v>93.086289715210299</c:v>
                </c:pt>
                <c:pt idx="39">
                  <c:v>93.216513756102628</c:v>
                </c:pt>
                <c:pt idx="40">
                  <c:v>92.774645814516717</c:v>
                </c:pt>
                <c:pt idx="41">
                  <c:v>92.715953647870862</c:v>
                </c:pt>
                <c:pt idx="42">
                  <c:v>93.116794855726766</c:v>
                </c:pt>
                <c:pt idx="43">
                  <c:v>93.424496142786026</c:v>
                </c:pt>
                <c:pt idx="44">
                  <c:v>94.604107925300298</c:v>
                </c:pt>
                <c:pt idx="45">
                  <c:v>94.456351044833866</c:v>
                </c:pt>
                <c:pt idx="46">
                  <c:v>94.582607176705295</c:v>
                </c:pt>
                <c:pt idx="47">
                  <c:v>93.528063351980791</c:v>
                </c:pt>
                <c:pt idx="48">
                  <c:v>92.913182470614842</c:v>
                </c:pt>
                <c:pt idx="49">
                  <c:v>93.459655936634448</c:v>
                </c:pt>
                <c:pt idx="50">
                  <c:v>93.975026440968719</c:v>
                </c:pt>
                <c:pt idx="51">
                  <c:v>94.392794701976101</c:v>
                </c:pt>
                <c:pt idx="52">
                  <c:v>93.466900404023406</c:v>
                </c:pt>
                <c:pt idx="53">
                  <c:v>96.821413949838046</c:v>
                </c:pt>
                <c:pt idx="54">
                  <c:v>96.683910842485702</c:v>
                </c:pt>
                <c:pt idx="55">
                  <c:v>98.111074359368786</c:v>
                </c:pt>
                <c:pt idx="56">
                  <c:v>98.259770332928596</c:v>
                </c:pt>
                <c:pt idx="57">
                  <c:v>97.176010683439657</c:v>
                </c:pt>
                <c:pt idx="58">
                  <c:v>98.337816662261417</c:v>
                </c:pt>
                <c:pt idx="59">
                  <c:v>97.032873933479522</c:v>
                </c:pt>
                <c:pt idx="60">
                  <c:v>97.706784869921023</c:v>
                </c:pt>
                <c:pt idx="61">
                  <c:v>99.356587424780002</c:v>
                </c:pt>
                <c:pt idx="62">
                  <c:v>98.913896555264174</c:v>
                </c:pt>
                <c:pt idx="63">
                  <c:v>97.901583395527112</c:v>
                </c:pt>
                <c:pt idx="64">
                  <c:v>98.277001993051954</c:v>
                </c:pt>
                <c:pt idx="65">
                  <c:v>98.675861210375672</c:v>
                </c:pt>
                <c:pt idx="66">
                  <c:v>99.795723013245023</c:v>
                </c:pt>
                <c:pt idx="67">
                  <c:v>100.27859929351226</c:v>
                </c:pt>
                <c:pt idx="68">
                  <c:v>99.386041965323386</c:v>
                </c:pt>
                <c:pt idx="69">
                  <c:v>100.34652214972091</c:v>
                </c:pt>
                <c:pt idx="70">
                  <c:v>100.33559961582361</c:v>
                </c:pt>
                <c:pt idx="71">
                  <c:v>99.814707032233699</c:v>
                </c:pt>
                <c:pt idx="72">
                  <c:v>100.4467782714482</c:v>
                </c:pt>
                <c:pt idx="73">
                  <c:v>99.987471240654429</c:v>
                </c:pt>
                <c:pt idx="74">
                  <c:v>99.613907437230765</c:v>
                </c:pt>
                <c:pt idx="75">
                  <c:v>99.176186689101527</c:v>
                </c:pt>
                <c:pt idx="76">
                  <c:v>99.997173180891167</c:v>
                </c:pt>
                <c:pt idx="77">
                  <c:v>96.892288476333562</c:v>
                </c:pt>
                <c:pt idx="78">
                  <c:v>96.196293488645281</c:v>
                </c:pt>
                <c:pt idx="79">
                  <c:v>96.058343279444685</c:v>
                </c:pt>
                <c:pt idx="80">
                  <c:v>97.080333139954007</c:v>
                </c:pt>
                <c:pt idx="81">
                  <c:v>98.297190636849308</c:v>
                </c:pt>
                <c:pt idx="82">
                  <c:v>99.319732500706451</c:v>
                </c:pt>
                <c:pt idx="83">
                  <c:v>97.551719261608326</c:v>
                </c:pt>
                <c:pt idx="84">
                  <c:v>98.876163262241846</c:v>
                </c:pt>
                <c:pt idx="85">
                  <c:v>96.301303720565826</c:v>
                </c:pt>
                <c:pt idx="86">
                  <c:v>99.093564265270871</c:v>
                </c:pt>
                <c:pt idx="87">
                  <c:v>98.452879260090285</c:v>
                </c:pt>
                <c:pt idx="88">
                  <c:v>97.437875536686263</c:v>
                </c:pt>
                <c:pt idx="89">
                  <c:v>96.55496695248533</c:v>
                </c:pt>
                <c:pt idx="90">
                  <c:v>95.507679704096986</c:v>
                </c:pt>
                <c:pt idx="91">
                  <c:v>96.427092715227843</c:v>
                </c:pt>
                <c:pt idx="92">
                  <c:v>96.852129123175501</c:v>
                </c:pt>
                <c:pt idx="93">
                  <c:v>98.434215163207639</c:v>
                </c:pt>
                <c:pt idx="94">
                  <c:v>101.81619893328298</c:v>
                </c:pt>
                <c:pt idx="95">
                  <c:v>103.28761105031873</c:v>
                </c:pt>
                <c:pt idx="96">
                  <c:v>103.70480271979686</c:v>
                </c:pt>
                <c:pt idx="97">
                  <c:v>103.10565909609943</c:v>
                </c:pt>
                <c:pt idx="98">
                  <c:v>103.01502937771943</c:v>
                </c:pt>
                <c:pt idx="99">
                  <c:v>103.60286545665653</c:v>
                </c:pt>
                <c:pt idx="100">
                  <c:v>105.04299628267867</c:v>
                </c:pt>
                <c:pt idx="101">
                  <c:v>103.5389105478791</c:v>
                </c:pt>
                <c:pt idx="102">
                  <c:v>104.97436541218664</c:v>
                </c:pt>
                <c:pt idx="103">
                  <c:v>104.03958143427722</c:v>
                </c:pt>
                <c:pt idx="104">
                  <c:v>107.19860862184362</c:v>
                </c:pt>
                <c:pt idx="105">
                  <c:v>108.01791221617077</c:v>
                </c:pt>
                <c:pt idx="106">
                  <c:v>105.48819804842148</c:v>
                </c:pt>
                <c:pt idx="107">
                  <c:v>104.31851680060021</c:v>
                </c:pt>
                <c:pt idx="108">
                  <c:v>105.34626881648695</c:v>
                </c:pt>
                <c:pt idx="109">
                  <c:v>105.90695301633131</c:v>
                </c:pt>
                <c:pt idx="110">
                  <c:v>102.38765040708822</c:v>
                </c:pt>
                <c:pt idx="111">
                  <c:v>99.389312463788087</c:v>
                </c:pt>
                <c:pt idx="112">
                  <c:v>103.3456871923041</c:v>
                </c:pt>
                <c:pt idx="113">
                  <c:v>102.51797543135827</c:v>
                </c:pt>
                <c:pt idx="114">
                  <c:v>99.149529522900963</c:v>
                </c:pt>
                <c:pt idx="115">
                  <c:v>98.846992373280472</c:v>
                </c:pt>
                <c:pt idx="116">
                  <c:v>97.008274010265339</c:v>
                </c:pt>
                <c:pt idx="117">
                  <c:v>96.121049851789138</c:v>
                </c:pt>
                <c:pt idx="118">
                  <c:v>94.081028086556373</c:v>
                </c:pt>
                <c:pt idx="119">
                  <c:v>96.930456742022429</c:v>
                </c:pt>
                <c:pt idx="120">
                  <c:v>96.524101982057374</c:v>
                </c:pt>
                <c:pt idx="121">
                  <c:v>96.212670543818248</c:v>
                </c:pt>
                <c:pt idx="122">
                  <c:v>95.358856423792687</c:v>
                </c:pt>
                <c:pt idx="123">
                  <c:v>96.829492264454132</c:v>
                </c:pt>
                <c:pt idx="124">
                  <c:v>96.222053703576336</c:v>
                </c:pt>
                <c:pt idx="125">
                  <c:v>95.973297681341819</c:v>
                </c:pt>
                <c:pt idx="126">
                  <c:v>96.078014115871397</c:v>
                </c:pt>
                <c:pt idx="127">
                  <c:v>94.283822014475035</c:v>
                </c:pt>
                <c:pt idx="128">
                  <c:v>94.416361236577387</c:v>
                </c:pt>
                <c:pt idx="129">
                  <c:v>92.524224696431659</c:v>
                </c:pt>
                <c:pt idx="130">
                  <c:v>92.02301307526632</c:v>
                </c:pt>
                <c:pt idx="131">
                  <c:v>88.80459329902952</c:v>
                </c:pt>
                <c:pt idx="132">
                  <c:v>91.183717301864419</c:v>
                </c:pt>
                <c:pt idx="133">
                  <c:v>90.981497272727594</c:v>
                </c:pt>
                <c:pt idx="134">
                  <c:v>82.532908724787816</c:v>
                </c:pt>
                <c:pt idx="135">
                  <c:v>86.834904769780934</c:v>
                </c:pt>
                <c:pt idx="136">
                  <c:v>90.395040053029803</c:v>
                </c:pt>
                <c:pt idx="137">
                  <c:v>86.111366139578095</c:v>
                </c:pt>
                <c:pt idx="138">
                  <c:v>82.476265798310635</c:v>
                </c:pt>
                <c:pt idx="139">
                  <c:v>87.941580430483555</c:v>
                </c:pt>
                <c:pt idx="140">
                  <c:v>90.793086165171616</c:v>
                </c:pt>
                <c:pt idx="141">
                  <c:v>88.657860406374525</c:v>
                </c:pt>
                <c:pt idx="142">
                  <c:v>75.015610823501916</c:v>
                </c:pt>
                <c:pt idx="143">
                  <c:v>74.865384467135627</c:v>
                </c:pt>
                <c:pt idx="144">
                  <c:v>68.462393451950291</c:v>
                </c:pt>
                <c:pt idx="145">
                  <c:v>72.433429265276274</c:v>
                </c:pt>
                <c:pt idx="146">
                  <c:v>66.000219202293493</c:v>
                </c:pt>
                <c:pt idx="147">
                  <c:v>67.362284916742396</c:v>
                </c:pt>
                <c:pt idx="148">
                  <c:v>66.577049600342605</c:v>
                </c:pt>
                <c:pt idx="149">
                  <c:v>73.674309812139086</c:v>
                </c:pt>
                <c:pt idx="150">
                  <c:v>77.572275765339469</c:v>
                </c:pt>
                <c:pt idx="151">
                  <c:v>71.631046046852219</c:v>
                </c:pt>
                <c:pt idx="152">
                  <c:v>68.931354793410634</c:v>
                </c:pt>
                <c:pt idx="153">
                  <c:v>71.88301487266898</c:v>
                </c:pt>
                <c:pt idx="154">
                  <c:v>76.945755428917167</c:v>
                </c:pt>
                <c:pt idx="155">
                  <c:v>78.386008479846467</c:v>
                </c:pt>
                <c:pt idx="156">
                  <c:v>73.80114173644742</c:v>
                </c:pt>
                <c:pt idx="157">
                  <c:v>70.42847756941616</c:v>
                </c:pt>
                <c:pt idx="158">
                  <c:v>70.543214904290409</c:v>
                </c:pt>
                <c:pt idx="159">
                  <c:v>74.782976741542754</c:v>
                </c:pt>
                <c:pt idx="160">
                  <c:v>77.585151387394234</c:v>
                </c:pt>
                <c:pt idx="161">
                  <c:v>81.329499701314077</c:v>
                </c:pt>
                <c:pt idx="162">
                  <c:v>81.361755880544536</c:v>
                </c:pt>
                <c:pt idx="163">
                  <c:v>86.22455431097049</c:v>
                </c:pt>
                <c:pt idx="164">
                  <c:v>93.739734275758181</c:v>
                </c:pt>
                <c:pt idx="165">
                  <c:v>100.09782404215092</c:v>
                </c:pt>
                <c:pt idx="166">
                  <c:v>105.15395361837749</c:v>
                </c:pt>
                <c:pt idx="167">
                  <c:v>104.10085635899451</c:v>
                </c:pt>
                <c:pt idx="168">
                  <c:v>106.75211034365748</c:v>
                </c:pt>
                <c:pt idx="169">
                  <c:v>109.37698098847918</c:v>
                </c:pt>
                <c:pt idx="170">
                  <c:v>113.91415683731319</c:v>
                </c:pt>
                <c:pt idx="171">
                  <c:v>111.88694408649965</c:v>
                </c:pt>
                <c:pt idx="172">
                  <c:v>111.80725614875242</c:v>
                </c:pt>
                <c:pt idx="173">
                  <c:v>112.90937256565216</c:v>
                </c:pt>
                <c:pt idx="174">
                  <c:v>108.07064449412783</c:v>
                </c:pt>
                <c:pt idx="175">
                  <c:v>108.72808392882776</c:v>
                </c:pt>
                <c:pt idx="176">
                  <c:v>108.52321334964026</c:v>
                </c:pt>
                <c:pt idx="177">
                  <c:v>108.04779666278432</c:v>
                </c:pt>
                <c:pt idx="178">
                  <c:v>109.53591084913241</c:v>
                </c:pt>
                <c:pt idx="179">
                  <c:v>111.74687154484907</c:v>
                </c:pt>
                <c:pt idx="180">
                  <c:v>111.69776850898042</c:v>
                </c:pt>
                <c:pt idx="181">
                  <c:v>113.30369162520715</c:v>
                </c:pt>
                <c:pt idx="182">
                  <c:v>109.79276648771994</c:v>
                </c:pt>
                <c:pt idx="183">
                  <c:v>116.09686640830203</c:v>
                </c:pt>
                <c:pt idx="184">
                  <c:v>123.36654637913399</c:v>
                </c:pt>
                <c:pt idx="185">
                  <c:v>129.89321040826459</c:v>
                </c:pt>
                <c:pt idx="186">
                  <c:v>140.97544146337361</c:v>
                </c:pt>
                <c:pt idx="187">
                  <c:v>147.81133306510097</c:v>
                </c:pt>
                <c:pt idx="188">
                  <c:v>160.72143831764285</c:v>
                </c:pt>
                <c:pt idx="189">
                  <c:v>174.25923571869433</c:v>
                </c:pt>
                <c:pt idx="190">
                  <c:v>167.46526540148983</c:v>
                </c:pt>
                <c:pt idx="191">
                  <c:v>161.99597603130442</c:v>
                </c:pt>
                <c:pt idx="192">
                  <c:v>179.88948595485417</c:v>
                </c:pt>
                <c:pt idx="193">
                  <c:v>184.15857883188116</c:v>
                </c:pt>
                <c:pt idx="194">
                  <c:v>187.33190740578985</c:v>
                </c:pt>
                <c:pt idx="195">
                  <c:v>187.80414801114966</c:v>
                </c:pt>
                <c:pt idx="196">
                  <c:v>192.09550559704871</c:v>
                </c:pt>
                <c:pt idx="197">
                  <c:v>200.98490727120827</c:v>
                </c:pt>
                <c:pt idx="198">
                  <c:v>207.61756388639324</c:v>
                </c:pt>
                <c:pt idx="199">
                  <c:v>207.33747826394944</c:v>
                </c:pt>
                <c:pt idx="200">
                  <c:v>208.41530874909455</c:v>
                </c:pt>
                <c:pt idx="201">
                  <c:v>209.14830010650581</c:v>
                </c:pt>
                <c:pt idx="202">
                  <c:v>190.49657344461824</c:v>
                </c:pt>
                <c:pt idx="203">
                  <c:v>207.51719220956636</c:v>
                </c:pt>
                <c:pt idx="204">
                  <c:v>214.33892971685634</c:v>
                </c:pt>
                <c:pt idx="205">
                  <c:v>201.44493162193362</c:v>
                </c:pt>
                <c:pt idx="206">
                  <c:v>197.56915940497643</c:v>
                </c:pt>
                <c:pt idx="207">
                  <c:v>206.55791105752988</c:v>
                </c:pt>
                <c:pt idx="208">
                  <c:v>190.52276982594807</c:v>
                </c:pt>
                <c:pt idx="209">
                  <c:v>186.02584708468743</c:v>
                </c:pt>
                <c:pt idx="210">
                  <c:v>201.30618596169901</c:v>
                </c:pt>
                <c:pt idx="211">
                  <c:v>186.68362739583353</c:v>
                </c:pt>
                <c:pt idx="212">
                  <c:v>196.04075132845858</c:v>
                </c:pt>
                <c:pt idx="213">
                  <c:v>193.31522530336466</c:v>
                </c:pt>
                <c:pt idx="214">
                  <c:v>201.72400885750443</c:v>
                </c:pt>
                <c:pt idx="215">
                  <c:v>205.85458170776747</c:v>
                </c:pt>
                <c:pt idx="216">
                  <c:v>211.59508894716228</c:v>
                </c:pt>
                <c:pt idx="217">
                  <c:v>207.69913200170163</c:v>
                </c:pt>
                <c:pt idx="218">
                  <c:v>232.5189598426706</c:v>
                </c:pt>
                <c:pt idx="219">
                  <c:v>229.93871900322983</c:v>
                </c:pt>
                <c:pt idx="220">
                  <c:v>225.37591480972438</c:v>
                </c:pt>
                <c:pt idx="221">
                  <c:v>247.57095410483032</c:v>
                </c:pt>
                <c:pt idx="222">
                  <c:v>240.71081668916904</c:v>
                </c:pt>
                <c:pt idx="223">
                  <c:v>213.50617944450678</c:v>
                </c:pt>
                <c:pt idx="224">
                  <c:v>221.39158551137066</c:v>
                </c:pt>
                <c:pt idx="225">
                  <c:v>229.21894301293932</c:v>
                </c:pt>
                <c:pt idx="226">
                  <c:v>223.81356067374716</c:v>
                </c:pt>
                <c:pt idx="227">
                  <c:v>222.97727061512094</c:v>
                </c:pt>
                <c:pt idx="228">
                  <c:v>243.70440184533419</c:v>
                </c:pt>
                <c:pt idx="229">
                  <c:v>254.16625828667691</c:v>
                </c:pt>
                <c:pt idx="230">
                  <c:v>238.86029094894056</c:v>
                </c:pt>
                <c:pt idx="231">
                  <c:v>240.34897880444632</c:v>
                </c:pt>
                <c:pt idx="232">
                  <c:v>261.66823316455697</c:v>
                </c:pt>
                <c:pt idx="233">
                  <c:v>281.39097298559017</c:v>
                </c:pt>
                <c:pt idx="234">
                  <c:v>295.27533187857267</c:v>
                </c:pt>
                <c:pt idx="235">
                  <c:v>294.7940254626306</c:v>
                </c:pt>
                <c:pt idx="236">
                  <c:v>278.05887641207664</c:v>
                </c:pt>
                <c:pt idx="237">
                  <c:v>292.79674977559387</c:v>
                </c:pt>
                <c:pt idx="238">
                  <c:v>283.81814382693659</c:v>
                </c:pt>
                <c:pt idx="239">
                  <c:v>295.55154139949008</c:v>
                </c:pt>
                <c:pt idx="240">
                  <c:v>286.79202803504478</c:v>
                </c:pt>
                <c:pt idx="241">
                  <c:v>305.2884694289246</c:v>
                </c:pt>
                <c:pt idx="242">
                  <c:v>313.28626273990432</c:v>
                </c:pt>
                <c:pt idx="243">
                  <c:v>330.37626321922005</c:v>
                </c:pt>
                <c:pt idx="244">
                  <c:v>325.9603811179897</c:v>
                </c:pt>
                <c:pt idx="245">
                  <c:v>332.52204692316673</c:v>
                </c:pt>
                <c:pt idx="246">
                  <c:v>340.07222354967854</c:v>
                </c:pt>
                <c:pt idx="247">
                  <c:v>310.56790523959</c:v>
                </c:pt>
                <c:pt idx="248">
                  <c:v>312.09679716325201</c:v>
                </c:pt>
                <c:pt idx="249">
                  <c:v>274.16454689433664</c:v>
                </c:pt>
                <c:pt idx="250">
                  <c:v>283.41498145099968</c:v>
                </c:pt>
                <c:pt idx="251">
                  <c:v>285.44928477319877</c:v>
                </c:pt>
                <c:pt idx="252">
                  <c:v>278.03972714552509</c:v>
                </c:pt>
                <c:pt idx="253">
                  <c:v>270.19709556072564</c:v>
                </c:pt>
                <c:pt idx="254">
                  <c:v>258.11951504138318</c:v>
                </c:pt>
                <c:pt idx="255">
                  <c:v>266.02684075901385</c:v>
                </c:pt>
                <c:pt idx="256">
                  <c:v>278.03556498330124</c:v>
                </c:pt>
                <c:pt idx="257">
                  <c:v>309.69209355447441</c:v>
                </c:pt>
                <c:pt idx="258">
                  <c:v>326.9135635659307</c:v>
                </c:pt>
                <c:pt idx="259">
                  <c:v>311.46425171073975</c:v>
                </c:pt>
                <c:pt idx="260">
                  <c:v>310.07758330268916</c:v>
                </c:pt>
                <c:pt idx="261">
                  <c:v>303.7136330010706</c:v>
                </c:pt>
                <c:pt idx="262">
                  <c:v>277.48239715643916</c:v>
                </c:pt>
                <c:pt idx="263">
                  <c:v>263.58621851653839</c:v>
                </c:pt>
                <c:pt idx="264">
                  <c:v>260.10050530580224</c:v>
                </c:pt>
                <c:pt idx="265">
                  <c:v>258.25851170705425</c:v>
                </c:pt>
                <c:pt idx="266">
                  <c:v>287.16300100240591</c:v>
                </c:pt>
                <c:pt idx="267">
                  <c:v>330.02534296000573</c:v>
                </c:pt>
                <c:pt idx="268">
                  <c:v>289.21590081744841</c:v>
                </c:pt>
                <c:pt idx="269">
                  <c:v>318.54963847399904</c:v>
                </c:pt>
                <c:pt idx="270">
                  <c:v>330.74280825532929</c:v>
                </c:pt>
                <c:pt idx="271">
                  <c:v>345.43413833993594</c:v>
                </c:pt>
                <c:pt idx="272">
                  <c:v>383.6964160785555</c:v>
                </c:pt>
                <c:pt idx="273">
                  <c:v>401.36428636870073</c:v>
                </c:pt>
                <c:pt idx="274">
                  <c:v>428.22856850293289</c:v>
                </c:pt>
                <c:pt idx="275">
                  <c:v>383.04529584963035</c:v>
                </c:pt>
                <c:pt idx="276">
                  <c:v>408.88548354701464</c:v>
                </c:pt>
                <c:pt idx="277">
                  <c:v>403.89039288244402</c:v>
                </c:pt>
                <c:pt idx="278">
                  <c:v>423.18616008711052</c:v>
                </c:pt>
                <c:pt idx="279">
                  <c:v>458.58997813949264</c:v>
                </c:pt>
                <c:pt idx="280">
                  <c:v>457.60071372893549</c:v>
                </c:pt>
                <c:pt idx="281">
                  <c:v>491.22117876743118</c:v>
                </c:pt>
                <c:pt idx="282">
                  <c:v>447.92558695704957</c:v>
                </c:pt>
                <c:pt idx="283">
                  <c:v>431.72354270037488</c:v>
                </c:pt>
                <c:pt idx="284">
                  <c:v>448.66628170083987</c:v>
                </c:pt>
                <c:pt idx="285">
                  <c:v>519.39498974036144</c:v>
                </c:pt>
                <c:pt idx="286">
                  <c:v>510.71241618043047</c:v>
                </c:pt>
                <c:pt idx="287">
                  <c:v>467.10837127868081</c:v>
                </c:pt>
                <c:pt idx="288">
                  <c:v>445.19289645517944</c:v>
                </c:pt>
                <c:pt idx="289">
                  <c:v>483.63133921001145</c:v>
                </c:pt>
                <c:pt idx="290">
                  <c:v>461.05883802563415</c:v>
                </c:pt>
                <c:pt idx="291">
                  <c:v>488.10132105804746</c:v>
                </c:pt>
                <c:pt idx="292">
                  <c:v>402.49408143257</c:v>
                </c:pt>
                <c:pt idx="293">
                  <c:v>390.31582233703421</c:v>
                </c:pt>
                <c:pt idx="294">
                  <c:v>417.51600587030254</c:v>
                </c:pt>
                <c:pt idx="295">
                  <c:v>427.14248254335803</c:v>
                </c:pt>
                <c:pt idx="296">
                  <c:v>424.14824197846701</c:v>
                </c:pt>
                <c:pt idx="297">
                  <c:v>413.0868963289854</c:v>
                </c:pt>
                <c:pt idx="298">
                  <c:v>400.56627303497373</c:v>
                </c:pt>
                <c:pt idx="299">
                  <c:v>362.31574890750528</c:v>
                </c:pt>
                <c:pt idx="300">
                  <c:v>348.32383694678748</c:v>
                </c:pt>
                <c:pt idx="301">
                  <c:v>361.24902424952711</c:v>
                </c:pt>
                <c:pt idx="302">
                  <c:v>370.96368325336539</c:v>
                </c:pt>
                <c:pt idx="303">
                  <c:v>342.68119350322218</c:v>
                </c:pt>
                <c:pt idx="304">
                  <c:v>352.4738942199856</c:v>
                </c:pt>
                <c:pt idx="305">
                  <c:v>355.86632691212748</c:v>
                </c:pt>
                <c:pt idx="306">
                  <c:v>341.78447261227808</c:v>
                </c:pt>
                <c:pt idx="307">
                  <c:v>323.95083357423329</c:v>
                </c:pt>
                <c:pt idx="308">
                  <c:v>352.26229182348419</c:v>
                </c:pt>
                <c:pt idx="309">
                  <c:v>333.62702901705313</c:v>
                </c:pt>
                <c:pt idx="310">
                  <c:v>339.93020085804909</c:v>
                </c:pt>
                <c:pt idx="311">
                  <c:v>349.38248213390585</c:v>
                </c:pt>
                <c:pt idx="312">
                  <c:v>362.11260175821565</c:v>
                </c:pt>
                <c:pt idx="313">
                  <c:v>351.80190720220611</c:v>
                </c:pt>
                <c:pt idx="314">
                  <c:v>375.01440584735127</c:v>
                </c:pt>
                <c:pt idx="315">
                  <c:v>372.00364918242417</c:v>
                </c:pt>
                <c:pt idx="316">
                  <c:v>383.27515417960518</c:v>
                </c:pt>
                <c:pt idx="317">
                  <c:v>353.97369753628135</c:v>
                </c:pt>
                <c:pt idx="318">
                  <c:v>335.87415635030266</c:v>
                </c:pt>
                <c:pt idx="319">
                  <c:v>321.59692181601906</c:v>
                </c:pt>
                <c:pt idx="320">
                  <c:v>317.40236854670309</c:v>
                </c:pt>
                <c:pt idx="321">
                  <c:v>315.56495228936336</c:v>
                </c:pt>
                <c:pt idx="322">
                  <c:v>305.91345120503144</c:v>
                </c:pt>
                <c:pt idx="323">
                  <c:v>277.18461623285447</c:v>
                </c:pt>
                <c:pt idx="324">
                  <c:v>282.48899193752368</c:v>
                </c:pt>
                <c:pt idx="325">
                  <c:v>289.23440968271439</c:v>
                </c:pt>
                <c:pt idx="326">
                  <c:v>262.73424201268892</c:v>
                </c:pt>
                <c:pt idx="327">
                  <c:v>269.80098960049605</c:v>
                </c:pt>
                <c:pt idx="328">
                  <c:v>243.75493021783126</c:v>
                </c:pt>
                <c:pt idx="329">
                  <c:v>251.5976355177593</c:v>
                </c:pt>
                <c:pt idx="330">
                  <c:v>237.56147791579264</c:v>
                </c:pt>
                <c:pt idx="331">
                  <c:v>239.03766082305319</c:v>
                </c:pt>
                <c:pt idx="332">
                  <c:v>208.02554474801244</c:v>
                </c:pt>
                <c:pt idx="333">
                  <c:v>212.98980300793309</c:v>
                </c:pt>
                <c:pt idx="334">
                  <c:v>209.76164483462492</c:v>
                </c:pt>
                <c:pt idx="335">
                  <c:v>223.38799571926728</c:v>
                </c:pt>
                <c:pt idx="336">
                  <c:v>220.91489116608153</c:v>
                </c:pt>
                <c:pt idx="337">
                  <c:v>211.63855086951685</c:v>
                </c:pt>
                <c:pt idx="338">
                  <c:v>214.15410547920757</c:v>
                </c:pt>
                <c:pt idx="339">
                  <c:v>210.58289439479177</c:v>
                </c:pt>
                <c:pt idx="340">
                  <c:v>213.67350930694499</c:v>
                </c:pt>
                <c:pt idx="341">
                  <c:v>211.05918781830206</c:v>
                </c:pt>
                <c:pt idx="342">
                  <c:v>213.95238770896475</c:v>
                </c:pt>
                <c:pt idx="343">
                  <c:v>224.32139929663353</c:v>
                </c:pt>
                <c:pt idx="344">
                  <c:v>209.04559997864359</c:v>
                </c:pt>
                <c:pt idx="345">
                  <c:v>216.2377572768074</c:v>
                </c:pt>
                <c:pt idx="346">
                  <c:v>219.2315020198381</c:v>
                </c:pt>
                <c:pt idx="347">
                  <c:v>229.19968492474234</c:v>
                </c:pt>
                <c:pt idx="348">
                  <c:v>215.7199530305509</c:v>
                </c:pt>
                <c:pt idx="349">
                  <c:v>224.70143956131679</c:v>
                </c:pt>
                <c:pt idx="350">
                  <c:v>240.58337763892959</c:v>
                </c:pt>
                <c:pt idx="351">
                  <c:v>226.50547850303641</c:v>
                </c:pt>
                <c:pt idx="352">
                  <c:v>223.05556431278046</c:v>
                </c:pt>
                <c:pt idx="353">
                  <c:v>221.94287529423693</c:v>
                </c:pt>
                <c:pt idx="354">
                  <c:v>234.86706341862947</c:v>
                </c:pt>
                <c:pt idx="355">
                  <c:v>211.03644523258853</c:v>
                </c:pt>
                <c:pt idx="356">
                  <c:v>227.59819657343866</c:v>
                </c:pt>
                <c:pt idx="357">
                  <c:v>217.14837310335363</c:v>
                </c:pt>
                <c:pt idx="358">
                  <c:v>227.53591253679249</c:v>
                </c:pt>
                <c:pt idx="359">
                  <c:v>233.17514852710022</c:v>
                </c:pt>
                <c:pt idx="360">
                  <c:v>236.74943404781067</c:v>
                </c:pt>
                <c:pt idx="361">
                  <c:v>213.76590023624607</c:v>
                </c:pt>
                <c:pt idx="362">
                  <c:v>213.98816979603328</c:v>
                </c:pt>
                <c:pt idx="363">
                  <c:v>218.22584638643332</c:v>
                </c:pt>
                <c:pt idx="364">
                  <c:v>214.55083843422136</c:v>
                </c:pt>
                <c:pt idx="365">
                  <c:v>213.836253063676</c:v>
                </c:pt>
                <c:pt idx="366">
                  <c:v>229.77103554715043</c:v>
                </c:pt>
                <c:pt idx="367">
                  <c:v>237.34181543241803</c:v>
                </c:pt>
                <c:pt idx="368">
                  <c:v>232.69589594139887</c:v>
                </c:pt>
                <c:pt idx="369">
                  <c:v>242.07011021742093</c:v>
                </c:pt>
                <c:pt idx="370">
                  <c:v>231.92745108330496</c:v>
                </c:pt>
                <c:pt idx="371">
                  <c:v>210.25536991114024</c:v>
                </c:pt>
                <c:pt idx="372">
                  <c:v>203.88163852726399</c:v>
                </c:pt>
                <c:pt idx="373">
                  <c:v>185.9628879559169</c:v>
                </c:pt>
                <c:pt idx="374">
                  <c:v>182.02416042917002</c:v>
                </c:pt>
                <c:pt idx="375">
                  <c:v>183.27119248697778</c:v>
                </c:pt>
                <c:pt idx="376">
                  <c:v>192.53572030237387</c:v>
                </c:pt>
                <c:pt idx="377">
                  <c:v>196.74332854463651</c:v>
                </c:pt>
                <c:pt idx="378">
                  <c:v>192.43400397756756</c:v>
                </c:pt>
                <c:pt idx="379">
                  <c:v>201.96664214290143</c:v>
                </c:pt>
                <c:pt idx="380">
                  <c:v>202.69322064488435</c:v>
                </c:pt>
                <c:pt idx="381">
                  <c:v>198.89224499417094</c:v>
                </c:pt>
                <c:pt idx="382">
                  <c:v>199.73091519867017</c:v>
                </c:pt>
                <c:pt idx="383">
                  <c:v>205.84481842794762</c:v>
                </c:pt>
                <c:pt idx="384">
                  <c:v>198.69740840848246</c:v>
                </c:pt>
                <c:pt idx="385">
                  <c:v>183.93164535263878</c:v>
                </c:pt>
                <c:pt idx="386">
                  <c:v>180.65930082769177</c:v>
                </c:pt>
                <c:pt idx="387">
                  <c:v>187.51589139862034</c:v>
                </c:pt>
                <c:pt idx="388">
                  <c:v>186.43499278362381</c:v>
                </c:pt>
                <c:pt idx="389">
                  <c:v>179.41429281451212</c:v>
                </c:pt>
                <c:pt idx="390">
                  <c:v>180.90215768731912</c:v>
                </c:pt>
                <c:pt idx="391">
                  <c:v>179.6092909191465</c:v>
                </c:pt>
                <c:pt idx="392">
                  <c:v>166.96944469777074</c:v>
                </c:pt>
                <c:pt idx="393">
                  <c:v>169.1115943642873</c:v>
                </c:pt>
                <c:pt idx="394">
                  <c:v>171.85837596780166</c:v>
                </c:pt>
                <c:pt idx="395">
                  <c:v>155.3633474062471</c:v>
                </c:pt>
                <c:pt idx="396">
                  <c:v>158.25294455792465</c:v>
                </c:pt>
                <c:pt idx="397">
                  <c:v>166.06067482758456</c:v>
                </c:pt>
                <c:pt idx="398">
                  <c:v>158.52227425556927</c:v>
                </c:pt>
                <c:pt idx="399">
                  <c:v>158.3418587219453</c:v>
                </c:pt>
                <c:pt idx="400">
                  <c:v>165.2522589305415</c:v>
                </c:pt>
                <c:pt idx="401">
                  <c:v>163.9686176630434</c:v>
                </c:pt>
                <c:pt idx="402">
                  <c:v>165.91262679081561</c:v>
                </c:pt>
                <c:pt idx="403">
                  <c:v>170.57275297958657</c:v>
                </c:pt>
                <c:pt idx="404">
                  <c:v>160.91214486626492</c:v>
                </c:pt>
                <c:pt idx="405">
                  <c:v>154.75523051804299</c:v>
                </c:pt>
                <c:pt idx="406">
                  <c:v>134.2573173952392</c:v>
                </c:pt>
                <c:pt idx="407">
                  <c:v>130.46746861189482</c:v>
                </c:pt>
                <c:pt idx="408">
                  <c:v>122.57477419915986</c:v>
                </c:pt>
                <c:pt idx="409">
                  <c:v>126.13308256630836</c:v>
                </c:pt>
                <c:pt idx="410">
                  <c:v>136.39226550341073</c:v>
                </c:pt>
                <c:pt idx="411">
                  <c:v>127.37003900068163</c:v>
                </c:pt>
                <c:pt idx="412">
                  <c:v>139.86051631890959</c:v>
                </c:pt>
                <c:pt idx="413">
                  <c:v>120.34846389841061</c:v>
                </c:pt>
                <c:pt idx="414">
                  <c:v>114.31283631496119</c:v>
                </c:pt>
                <c:pt idx="415">
                  <c:v>111.85084709749533</c:v>
                </c:pt>
                <c:pt idx="416">
                  <c:v>113.48832988739488</c:v>
                </c:pt>
                <c:pt idx="417">
                  <c:v>111.15785739703296</c:v>
                </c:pt>
                <c:pt idx="418">
                  <c:v>126.81654059770922</c:v>
                </c:pt>
                <c:pt idx="419">
                  <c:v>121.84195337295351</c:v>
                </c:pt>
                <c:pt idx="420">
                  <c:v>118.25495516688558</c:v>
                </c:pt>
                <c:pt idx="421">
                  <c:v>121.10228241910106</c:v>
                </c:pt>
                <c:pt idx="422">
                  <c:v>123.32669648398526</c:v>
                </c:pt>
                <c:pt idx="423">
                  <c:v>129.87334413561544</c:v>
                </c:pt>
                <c:pt idx="424">
                  <c:v>125.02270151167025</c:v>
                </c:pt>
                <c:pt idx="425">
                  <c:v>112.42738437607363</c:v>
                </c:pt>
                <c:pt idx="426">
                  <c:v>112.33645286087939</c:v>
                </c:pt>
                <c:pt idx="427">
                  <c:v>123.95577302116261</c:v>
                </c:pt>
                <c:pt idx="428">
                  <c:v>132.46641845568436</c:v>
                </c:pt>
                <c:pt idx="429">
                  <c:v>133.04261291934742</c:v>
                </c:pt>
                <c:pt idx="430">
                  <c:v>132.24428787335398</c:v>
                </c:pt>
                <c:pt idx="431">
                  <c:v>114.69542615557334</c:v>
                </c:pt>
                <c:pt idx="432">
                  <c:v>111.73920958308692</c:v>
                </c:pt>
                <c:pt idx="433">
                  <c:v>117.6770821839746</c:v>
                </c:pt>
                <c:pt idx="434">
                  <c:v>116.32057241575681</c:v>
                </c:pt>
                <c:pt idx="435">
                  <c:v>117.79122309676981</c:v>
                </c:pt>
                <c:pt idx="436">
                  <c:v>119.24675032198618</c:v>
                </c:pt>
                <c:pt idx="437">
                  <c:v>121.6490630432573</c:v>
                </c:pt>
                <c:pt idx="438">
                  <c:v>113.18841993630028</c:v>
                </c:pt>
                <c:pt idx="439">
                  <c:v>113.70387839948661</c:v>
                </c:pt>
                <c:pt idx="440">
                  <c:v>118.08253537805406</c:v>
                </c:pt>
                <c:pt idx="441">
                  <c:v>121.14919637613042</c:v>
                </c:pt>
                <c:pt idx="442">
                  <c:v>117.45219916714699</c:v>
                </c:pt>
                <c:pt idx="443">
                  <c:v>115.61079066856064</c:v>
                </c:pt>
                <c:pt idx="444">
                  <c:v>124.34551838989239</c:v>
                </c:pt>
                <c:pt idx="445">
                  <c:v>137.1375755148359</c:v>
                </c:pt>
                <c:pt idx="446">
                  <c:v>130.85905624829221</c:v>
                </c:pt>
                <c:pt idx="447">
                  <c:v>129.31701001228805</c:v>
                </c:pt>
                <c:pt idx="448">
                  <c:v>131.62485247940151</c:v>
                </c:pt>
                <c:pt idx="449">
                  <c:v>126.88217324447801</c:v>
                </c:pt>
                <c:pt idx="450">
                  <c:v>122.05614387251684</c:v>
                </c:pt>
                <c:pt idx="451">
                  <c:v>128.95025875458637</c:v>
                </c:pt>
                <c:pt idx="452">
                  <c:v>126.64036752640098</c:v>
                </c:pt>
                <c:pt idx="453">
                  <c:v>128.8563148699335</c:v>
                </c:pt>
                <c:pt idx="454">
                  <c:v>115.08251341231201</c:v>
                </c:pt>
                <c:pt idx="455">
                  <c:v>119.64123876910439</c:v>
                </c:pt>
                <c:pt idx="456">
                  <c:v>119.86431563233857</c:v>
                </c:pt>
                <c:pt idx="457">
                  <c:v>118.43820421977034</c:v>
                </c:pt>
                <c:pt idx="458">
                  <c:v>115.80357866223216</c:v>
                </c:pt>
                <c:pt idx="459">
                  <c:v>108.26650058277181</c:v>
                </c:pt>
                <c:pt idx="460">
                  <c:v>108.93499143095529</c:v>
                </c:pt>
                <c:pt idx="461">
                  <c:v>118.95829638676229</c:v>
                </c:pt>
                <c:pt idx="462">
                  <c:v>112.85526831278619</c:v>
                </c:pt>
                <c:pt idx="463">
                  <c:v>110.45492948649564</c:v>
                </c:pt>
                <c:pt idx="464">
                  <c:v>114.77645219173291</c:v>
                </c:pt>
                <c:pt idx="465">
                  <c:v>119.86646837199331</c:v>
                </c:pt>
                <c:pt idx="466">
                  <c:v>115.51368064144124</c:v>
                </c:pt>
                <c:pt idx="467">
                  <c:v>121.63580128555574</c:v>
                </c:pt>
                <c:pt idx="468">
                  <c:v>126.20033414338181</c:v>
                </c:pt>
                <c:pt idx="469">
                  <c:v>126.03544197241187</c:v>
                </c:pt>
                <c:pt idx="470">
                  <c:v>127.33932303797872</c:v>
                </c:pt>
                <c:pt idx="471">
                  <c:v>127.52383930177145</c:v>
                </c:pt>
                <c:pt idx="472">
                  <c:v>129.93545659735344</c:v>
                </c:pt>
                <c:pt idx="473">
                  <c:v>126.19724156875702</c:v>
                </c:pt>
                <c:pt idx="474">
                  <c:v>117.99097996671772</c:v>
                </c:pt>
                <c:pt idx="475">
                  <c:v>113.44607311089305</c:v>
                </c:pt>
                <c:pt idx="476">
                  <c:v>110.01610323864766</c:v>
                </c:pt>
                <c:pt idx="477">
                  <c:v>119.62118294741612</c:v>
                </c:pt>
                <c:pt idx="478">
                  <c:v>130.88448849990249</c:v>
                </c:pt>
                <c:pt idx="479">
                  <c:v>137.35174511608767</c:v>
                </c:pt>
                <c:pt idx="480">
                  <c:v>136.79807339067725</c:v>
                </c:pt>
                <c:pt idx="481">
                  <c:v>147.9992725764134</c:v>
                </c:pt>
                <c:pt idx="482">
                  <c:v>147.81585550762009</c:v>
                </c:pt>
                <c:pt idx="483">
                  <c:v>150.0582717201421</c:v>
                </c:pt>
                <c:pt idx="484">
                  <c:v>151.79410490458346</c:v>
                </c:pt>
                <c:pt idx="485">
                  <c:v>154.12518413921049</c:v>
                </c:pt>
                <c:pt idx="486">
                  <c:v>152.50475461150592</c:v>
                </c:pt>
                <c:pt idx="487">
                  <c:v>158.7852883095575</c:v>
                </c:pt>
                <c:pt idx="488">
                  <c:v>159.29148664103744</c:v>
                </c:pt>
                <c:pt idx="489">
                  <c:v>167.13632488272614</c:v>
                </c:pt>
                <c:pt idx="490">
                  <c:v>169.96579778132667</c:v>
                </c:pt>
                <c:pt idx="491">
                  <c:v>163.60981353463387</c:v>
                </c:pt>
                <c:pt idx="492">
                  <c:v>166.6935928758065</c:v>
                </c:pt>
                <c:pt idx="493">
                  <c:v>164.05661364314116</c:v>
                </c:pt>
                <c:pt idx="494">
                  <c:v>172.91251116239616</c:v>
                </c:pt>
                <c:pt idx="495">
                  <c:v>180.80339140420435</c:v>
                </c:pt>
                <c:pt idx="496">
                  <c:v>180.03362931567744</c:v>
                </c:pt>
                <c:pt idx="497">
                  <c:v>177.00229301860887</c:v>
                </c:pt>
                <c:pt idx="498">
                  <c:v>190.89865093744859</c:v>
                </c:pt>
                <c:pt idx="499">
                  <c:v>187.61915642932982</c:v>
                </c:pt>
                <c:pt idx="500">
                  <c:v>167.9546452441547</c:v>
                </c:pt>
                <c:pt idx="501">
                  <c:v>177.55541209086107</c:v>
                </c:pt>
                <c:pt idx="502">
                  <c:v>165.27572068097501</c:v>
                </c:pt>
                <c:pt idx="503">
                  <c:v>148.74134451894577</c:v>
                </c:pt>
                <c:pt idx="504">
                  <c:v>142.647892233394</c:v>
                </c:pt>
                <c:pt idx="505">
                  <c:v>128.52042435348324</c:v>
                </c:pt>
                <c:pt idx="506">
                  <c:v>141.5381119097737</c:v>
                </c:pt>
                <c:pt idx="507">
                  <c:v>147.95921121047994</c:v>
                </c:pt>
                <c:pt idx="508">
                  <c:v>141.69356422054372</c:v>
                </c:pt>
                <c:pt idx="509">
                  <c:v>147.52928370895253</c:v>
                </c:pt>
                <c:pt idx="510">
                  <c:v>137.72734940907912</c:v>
                </c:pt>
                <c:pt idx="511">
                  <c:v>130.78699667728671</c:v>
                </c:pt>
                <c:pt idx="512">
                  <c:v>129.92195686962657</c:v>
                </c:pt>
                <c:pt idx="513">
                  <c:v>119.49920921623598</c:v>
                </c:pt>
                <c:pt idx="514">
                  <c:v>135.08748677071623</c:v>
                </c:pt>
                <c:pt idx="515">
                  <c:v>131.23152254321215</c:v>
                </c:pt>
                <c:pt idx="516">
                  <c:v>127.99410738449016</c:v>
                </c:pt>
                <c:pt idx="517">
                  <c:v>123.84400048669229</c:v>
                </c:pt>
                <c:pt idx="518">
                  <c:v>123.98216329694331</c:v>
                </c:pt>
                <c:pt idx="519">
                  <c:v>117.25298530980979</c:v>
                </c:pt>
                <c:pt idx="520">
                  <c:v>115.90173214901363</c:v>
                </c:pt>
                <c:pt idx="521">
                  <c:v>119.59226334138114</c:v>
                </c:pt>
                <c:pt idx="522">
                  <c:v>123.54470950306616</c:v>
                </c:pt>
                <c:pt idx="523">
                  <c:v>123.91085993422514</c:v>
                </c:pt>
                <c:pt idx="524">
                  <c:v>135.04594053857602</c:v>
                </c:pt>
                <c:pt idx="525">
                  <c:v>128.10601407055475</c:v>
                </c:pt>
                <c:pt idx="526">
                  <c:v>127.44508682821031</c:v>
                </c:pt>
                <c:pt idx="527">
                  <c:v>134.19327361517887</c:v>
                </c:pt>
                <c:pt idx="528">
                  <c:v>137.7754934464929</c:v>
                </c:pt>
                <c:pt idx="529">
                  <c:v>133.34945595618083</c:v>
                </c:pt>
                <c:pt idx="530">
                  <c:v>123.66720548580669</c:v>
                </c:pt>
                <c:pt idx="531">
                  <c:v>134.59321309936087</c:v>
                </c:pt>
                <c:pt idx="532">
                  <c:v>131.34337970535168</c:v>
                </c:pt>
                <c:pt idx="533">
                  <c:v>129.93403531804609</c:v>
                </c:pt>
                <c:pt idx="534">
                  <c:v>143.13248458354215</c:v>
                </c:pt>
                <c:pt idx="535">
                  <c:v>142.31957338838103</c:v>
                </c:pt>
                <c:pt idx="536">
                  <c:v>151.69385974768144</c:v>
                </c:pt>
                <c:pt idx="537">
                  <c:v>157.9626476422217</c:v>
                </c:pt>
                <c:pt idx="538">
                  <c:v>163.24664582821981</c:v>
                </c:pt>
                <c:pt idx="539">
                  <c:v>163.60950746360524</c:v>
                </c:pt>
                <c:pt idx="540">
                  <c:v>163.95199777068356</c:v>
                </c:pt>
                <c:pt idx="541">
                  <c:v>161.90040166538387</c:v>
                </c:pt>
                <c:pt idx="542">
                  <c:v>169.71071342368782</c:v>
                </c:pt>
                <c:pt idx="543">
                  <c:v>166.86658685582336</c:v>
                </c:pt>
                <c:pt idx="544">
                  <c:v>167.25511184588095</c:v>
                </c:pt>
                <c:pt idx="545">
                  <c:v>157.48258252487324</c:v>
                </c:pt>
                <c:pt idx="546">
                  <c:v>159.93261183987005</c:v>
                </c:pt>
                <c:pt idx="547">
                  <c:v>158.5464360266779</c:v>
                </c:pt>
                <c:pt idx="548">
                  <c:v>156.13160379041759</c:v>
                </c:pt>
                <c:pt idx="549">
                  <c:v>171.18866144457741</c:v>
                </c:pt>
                <c:pt idx="550">
                  <c:v>174.70811379372648</c:v>
                </c:pt>
                <c:pt idx="551">
                  <c:v>178.69597158822356</c:v>
                </c:pt>
                <c:pt idx="552">
                  <c:v>181.37768077507684</c:v>
                </c:pt>
                <c:pt idx="553">
                  <c:v>176.58323869105837</c:v>
                </c:pt>
                <c:pt idx="554">
                  <c:v>163.02282642272655</c:v>
                </c:pt>
                <c:pt idx="555">
                  <c:v>169.52499751650694</c:v>
                </c:pt>
                <c:pt idx="556">
                  <c:v>167.04582569914007</c:v>
                </c:pt>
                <c:pt idx="557">
                  <c:v>159.32372243516014</c:v>
                </c:pt>
                <c:pt idx="558">
                  <c:v>160.88707718687002</c:v>
                </c:pt>
                <c:pt idx="559">
                  <c:v>176.18299501682333</c:v>
                </c:pt>
                <c:pt idx="560">
                  <c:v>168.41049872938041</c:v>
                </c:pt>
                <c:pt idx="561">
                  <c:v>172.55502143810565</c:v>
                </c:pt>
                <c:pt idx="562">
                  <c:v>164.57916532543288</c:v>
                </c:pt>
                <c:pt idx="563">
                  <c:v>160.93678987606197</c:v>
                </c:pt>
                <c:pt idx="564">
                  <c:v>158.71596389185302</c:v>
                </c:pt>
                <c:pt idx="565">
                  <c:v>166.01234843865132</c:v>
                </c:pt>
                <c:pt idx="566">
                  <c:v>174.88958358308514</c:v>
                </c:pt>
                <c:pt idx="567">
                  <c:v>178.73210933773635</c:v>
                </c:pt>
                <c:pt idx="568">
                  <c:v>178.35019251110859</c:v>
                </c:pt>
                <c:pt idx="569">
                  <c:v>175.58953493262339</c:v>
                </c:pt>
                <c:pt idx="570">
                  <c:v>172.81174462716169</c:v>
                </c:pt>
                <c:pt idx="571">
                  <c:v>174.09038042842167</c:v>
                </c:pt>
                <c:pt idx="572">
                  <c:v>165.28607227757905</c:v>
                </c:pt>
                <c:pt idx="573">
                  <c:v>166.9430607780522</c:v>
                </c:pt>
                <c:pt idx="574">
                  <c:v>164.14480778709188</c:v>
                </c:pt>
                <c:pt idx="575">
                  <c:v>169.01327330629485</c:v>
                </c:pt>
                <c:pt idx="576">
                  <c:v>174.08638901089878</c:v>
                </c:pt>
                <c:pt idx="577">
                  <c:v>170.85711845863841</c:v>
                </c:pt>
                <c:pt idx="578">
                  <c:v>170.36044069231718</c:v>
                </c:pt>
                <c:pt idx="579">
                  <c:v>169.07847252987892</c:v>
                </c:pt>
                <c:pt idx="580">
                  <c:v>166.30709322341011</c:v>
                </c:pt>
                <c:pt idx="581">
                  <c:v>170.12804811893432</c:v>
                </c:pt>
                <c:pt idx="582">
                  <c:v>175.98969374025887</c:v>
                </c:pt>
                <c:pt idx="583">
                  <c:v>161.81888083025942</c:v>
                </c:pt>
                <c:pt idx="584">
                  <c:v>165.69235747644132</c:v>
                </c:pt>
                <c:pt idx="585">
                  <c:v>163.39023346385002</c:v>
                </c:pt>
                <c:pt idx="586">
                  <c:v>157.84343665937328</c:v>
                </c:pt>
                <c:pt idx="587">
                  <c:v>160.53545955593151</c:v>
                </c:pt>
                <c:pt idx="588">
                  <c:v>163.56040315531911</c:v>
                </c:pt>
                <c:pt idx="589">
                  <c:v>156.855860957923</c:v>
                </c:pt>
                <c:pt idx="590">
                  <c:v>146.53099569317851</c:v>
                </c:pt>
                <c:pt idx="591">
                  <c:v>136.85199683779035</c:v>
                </c:pt>
                <c:pt idx="592">
                  <c:v>138.35239950074109</c:v>
                </c:pt>
                <c:pt idx="593">
                  <c:v>136.94176213587352</c:v>
                </c:pt>
                <c:pt idx="594">
                  <c:v>132.53307876928255</c:v>
                </c:pt>
                <c:pt idx="595">
                  <c:v>134.37976626411174</c:v>
                </c:pt>
                <c:pt idx="596">
                  <c:v>130.3261584623271</c:v>
                </c:pt>
                <c:pt idx="597">
                  <c:v>138.90303815115294</c:v>
                </c:pt>
                <c:pt idx="598">
                  <c:v>149.43829094299161</c:v>
                </c:pt>
                <c:pt idx="599">
                  <c:v>150.69210656317412</c:v>
                </c:pt>
                <c:pt idx="600">
                  <c:v>153.79852331616115</c:v>
                </c:pt>
                <c:pt idx="601">
                  <c:v>155.70852368125495</c:v>
                </c:pt>
                <c:pt idx="602">
                  <c:v>151.59044778353385</c:v>
                </c:pt>
                <c:pt idx="603">
                  <c:v>150.95881535883956</c:v>
                </c:pt>
                <c:pt idx="604">
                  <c:v>149.86731131542393</c:v>
                </c:pt>
                <c:pt idx="605">
                  <c:v>145.34899167071254</c:v>
                </c:pt>
                <c:pt idx="606">
                  <c:v>135.55657743322166</c:v>
                </c:pt>
                <c:pt idx="607">
                  <c:v>139.27624090478665</c:v>
                </c:pt>
                <c:pt idx="608">
                  <c:v>141.01979197316993</c:v>
                </c:pt>
                <c:pt idx="609">
                  <c:v>134.32068060986785</c:v>
                </c:pt>
                <c:pt idx="610">
                  <c:v>142.1252153089126</c:v>
                </c:pt>
                <c:pt idx="611">
                  <c:v>138.08679679179085</c:v>
                </c:pt>
                <c:pt idx="612">
                  <c:v>139.99945496821164</c:v>
                </c:pt>
                <c:pt idx="613">
                  <c:v>133.72619127491188</c:v>
                </c:pt>
                <c:pt idx="614">
                  <c:v>125.7703358542817</c:v>
                </c:pt>
                <c:pt idx="615">
                  <c:v>126.64090929669295</c:v>
                </c:pt>
                <c:pt idx="616">
                  <c:v>126.16585912371727</c:v>
                </c:pt>
                <c:pt idx="617">
                  <c:v>131.60085870459673</c:v>
                </c:pt>
                <c:pt idx="618">
                  <c:v>131.97736479374018</c:v>
                </c:pt>
                <c:pt idx="619">
                  <c:v>128.84972643886829</c:v>
                </c:pt>
                <c:pt idx="620">
                  <c:v>126.90598037088562</c:v>
                </c:pt>
                <c:pt idx="621">
                  <c:v>129.53841209862662</c:v>
                </c:pt>
                <c:pt idx="622">
                  <c:v>121.71342626571153</c:v>
                </c:pt>
                <c:pt idx="623">
                  <c:v>122.04359330652808</c:v>
                </c:pt>
                <c:pt idx="624">
                  <c:v>122.27140621667513</c:v>
                </c:pt>
                <c:pt idx="625">
                  <c:v>121.38347701398045</c:v>
                </c:pt>
                <c:pt idx="626">
                  <c:v>119.81693073294994</c:v>
                </c:pt>
                <c:pt idx="627">
                  <c:v>123.88739337753033</c:v>
                </c:pt>
                <c:pt idx="628">
                  <c:v>119.75394494603883</c:v>
                </c:pt>
                <c:pt idx="629">
                  <c:v>116.59394446058229</c:v>
                </c:pt>
                <c:pt idx="630">
                  <c:v>121.56060406694537</c:v>
                </c:pt>
                <c:pt idx="631">
                  <c:v>123.90021305342519</c:v>
                </c:pt>
                <c:pt idx="632">
                  <c:v>129.79645330645505</c:v>
                </c:pt>
                <c:pt idx="633">
                  <c:v>127.54699028264878</c:v>
                </c:pt>
                <c:pt idx="634">
                  <c:v>129.61833248332357</c:v>
                </c:pt>
                <c:pt idx="635">
                  <c:v>131.15262188342496</c:v>
                </c:pt>
                <c:pt idx="636">
                  <c:v>124.9077499271261</c:v>
                </c:pt>
                <c:pt idx="637">
                  <c:v>126.00185209743809</c:v>
                </c:pt>
                <c:pt idx="638">
                  <c:v>128.01011693422447</c:v>
                </c:pt>
                <c:pt idx="639">
                  <c:v>129.5586439302885</c:v>
                </c:pt>
                <c:pt idx="640">
                  <c:v>117.97036022368805</c:v>
                </c:pt>
                <c:pt idx="641">
                  <c:v>115.26438864969855</c:v>
                </c:pt>
                <c:pt idx="642">
                  <c:v>114.15916359691259</c:v>
                </c:pt>
                <c:pt idx="643">
                  <c:v>110.71426696584732</c:v>
                </c:pt>
                <c:pt idx="644">
                  <c:v>113.12064377081201</c:v>
                </c:pt>
                <c:pt idx="645">
                  <c:v>115.94952959393538</c:v>
                </c:pt>
                <c:pt idx="646">
                  <c:v>112.25918623801174</c:v>
                </c:pt>
                <c:pt idx="647">
                  <c:v>114.37363760693533</c:v>
                </c:pt>
                <c:pt idx="648">
                  <c:v>112.32739475675645</c:v>
                </c:pt>
                <c:pt idx="649">
                  <c:v>112.29214867487995</c:v>
                </c:pt>
                <c:pt idx="650">
                  <c:v>113.93885729198459</c:v>
                </c:pt>
                <c:pt idx="651">
                  <c:v>113.23367040403171</c:v>
                </c:pt>
                <c:pt idx="652">
                  <c:v>110.27788908454805</c:v>
                </c:pt>
                <c:pt idx="653">
                  <c:v>112.90958027256923</c:v>
                </c:pt>
                <c:pt idx="654">
                  <c:v>111.67021315661559</c:v>
                </c:pt>
                <c:pt idx="655">
                  <c:v>112.90150218551365</c:v>
                </c:pt>
                <c:pt idx="656">
                  <c:v>110.88378902631986</c:v>
                </c:pt>
                <c:pt idx="657">
                  <c:v>105.68115746749984</c:v>
                </c:pt>
                <c:pt idx="658">
                  <c:v>108.51574854777836</c:v>
                </c:pt>
                <c:pt idx="659">
                  <c:v>101.3895228412517</c:v>
                </c:pt>
                <c:pt idx="660">
                  <c:v>97.935684462060664</c:v>
                </c:pt>
                <c:pt idx="661">
                  <c:v>96.195116795136613</c:v>
                </c:pt>
                <c:pt idx="662">
                  <c:v>92.826501231633983</c:v>
                </c:pt>
                <c:pt idx="663">
                  <c:v>93.095685158604184</c:v>
                </c:pt>
                <c:pt idx="664">
                  <c:v>95.458262617604561</c:v>
                </c:pt>
                <c:pt idx="665">
                  <c:v>94.38543668820401</c:v>
                </c:pt>
                <c:pt idx="666">
                  <c:v>97.285221323419265</c:v>
                </c:pt>
                <c:pt idx="667">
                  <c:v>84.198809490057528</c:v>
                </c:pt>
                <c:pt idx="668">
                  <c:v>84.230012003057368</c:v>
                </c:pt>
                <c:pt idx="669">
                  <c:v>83.706782756253503</c:v>
                </c:pt>
                <c:pt idx="670">
                  <c:v>81.586871830338808</c:v>
                </c:pt>
                <c:pt idx="671">
                  <c:v>84.322307842765611</c:v>
                </c:pt>
                <c:pt idx="672">
                  <c:v>82.770905213844131</c:v>
                </c:pt>
                <c:pt idx="673">
                  <c:v>83.98397652603083</c:v>
                </c:pt>
                <c:pt idx="674">
                  <c:v>84.819571979205065</c:v>
                </c:pt>
                <c:pt idx="675">
                  <c:v>88.091645574143172</c:v>
                </c:pt>
                <c:pt idx="676">
                  <c:v>89.370772545465442</c:v>
                </c:pt>
                <c:pt idx="677">
                  <c:v>91.301867776967271</c:v>
                </c:pt>
                <c:pt idx="678">
                  <c:v>95.093605991395592</c:v>
                </c:pt>
                <c:pt idx="679">
                  <c:v>98.764256230588813</c:v>
                </c:pt>
                <c:pt idx="680">
                  <c:v>99.668119659781709</c:v>
                </c:pt>
                <c:pt idx="681">
                  <c:v>101.31011156158623</c:v>
                </c:pt>
                <c:pt idx="682">
                  <c:v>104.53728726586149</c:v>
                </c:pt>
                <c:pt idx="683">
                  <c:v>93.303168274579335</c:v>
                </c:pt>
                <c:pt idx="684">
                  <c:v>91.285467094235983</c:v>
                </c:pt>
                <c:pt idx="685">
                  <c:v>99.61587363808097</c:v>
                </c:pt>
                <c:pt idx="686">
                  <c:v>100.11402565909916</c:v>
                </c:pt>
                <c:pt idx="687">
                  <c:v>99.392190659285859</c:v>
                </c:pt>
                <c:pt idx="688">
                  <c:v>91.159830094142393</c:v>
                </c:pt>
                <c:pt idx="689">
                  <c:v>83.957691512299562</c:v>
                </c:pt>
                <c:pt idx="690">
                  <c:v>81.383545230270684</c:v>
                </c:pt>
                <c:pt idx="691">
                  <c:v>77.330781664725066</c:v>
                </c:pt>
                <c:pt idx="692">
                  <c:v>80.988018039202089</c:v>
                </c:pt>
                <c:pt idx="693">
                  <c:v>78.383590883620471</c:v>
                </c:pt>
                <c:pt idx="694">
                  <c:v>77.475188961111556</c:v>
                </c:pt>
                <c:pt idx="695">
                  <c:v>64.981043634807179</c:v>
                </c:pt>
                <c:pt idx="696">
                  <c:v>63.969363597451512</c:v>
                </c:pt>
                <c:pt idx="697">
                  <c:v>70.046701795310994</c:v>
                </c:pt>
                <c:pt idx="698">
                  <c:v>71.145900865823847</c:v>
                </c:pt>
                <c:pt idx="699">
                  <c:v>72.547565520563083</c:v>
                </c:pt>
                <c:pt idx="700">
                  <c:v>69.472567268221482</c:v>
                </c:pt>
                <c:pt idx="701">
                  <c:v>71.933329046467321</c:v>
                </c:pt>
                <c:pt idx="702">
                  <c:v>73.254723335781947</c:v>
                </c:pt>
                <c:pt idx="703">
                  <c:v>68.709836998397734</c:v>
                </c:pt>
                <c:pt idx="704">
                  <c:v>69.557558547740044</c:v>
                </c:pt>
                <c:pt idx="705">
                  <c:v>70.530236240545761</c:v>
                </c:pt>
                <c:pt idx="706">
                  <c:v>68.020703473774844</c:v>
                </c:pt>
                <c:pt idx="707">
                  <c:v>72.640631678971218</c:v>
                </c:pt>
                <c:pt idx="708">
                  <c:v>69.484889831126452</c:v>
                </c:pt>
                <c:pt idx="709">
                  <c:v>68.05384305419696</c:v>
                </c:pt>
                <c:pt idx="710">
                  <c:v>66.445761589171198</c:v>
                </c:pt>
                <c:pt idx="711">
                  <c:v>65.096131910360128</c:v>
                </c:pt>
                <c:pt idx="712">
                  <c:v>63.476460472452317</c:v>
                </c:pt>
                <c:pt idx="713">
                  <c:v>62.216801122984982</c:v>
                </c:pt>
                <c:pt idx="714">
                  <c:v>62.759360261070121</c:v>
                </c:pt>
                <c:pt idx="715">
                  <c:v>61.628091684317276</c:v>
                </c:pt>
                <c:pt idx="716">
                  <c:v>59.870843944978411</c:v>
                </c:pt>
                <c:pt idx="717">
                  <c:v>58.565836330116234</c:v>
                </c:pt>
                <c:pt idx="718">
                  <c:v>57.789210040860205</c:v>
                </c:pt>
                <c:pt idx="719">
                  <c:v>57.49584547933258</c:v>
                </c:pt>
                <c:pt idx="720">
                  <c:v>61.455987431554796</c:v>
                </c:pt>
                <c:pt idx="721">
                  <c:v>58.482556368891643</c:v>
                </c:pt>
                <c:pt idx="722">
                  <c:v>59.672189301387398</c:v>
                </c:pt>
                <c:pt idx="723">
                  <c:v>58.479321785834742</c:v>
                </c:pt>
                <c:pt idx="724">
                  <c:v>60.60719095075487</c:v>
                </c:pt>
                <c:pt idx="725">
                  <c:v>60.735008688241614</c:v>
                </c:pt>
                <c:pt idx="726">
                  <c:v>56.508721776057861</c:v>
                </c:pt>
                <c:pt idx="727">
                  <c:v>57.467274137368449</c:v>
                </c:pt>
                <c:pt idx="728">
                  <c:v>57.680555688644446</c:v>
                </c:pt>
                <c:pt idx="729">
                  <c:v>56.685700259829112</c:v>
                </c:pt>
                <c:pt idx="730">
                  <c:v>54.959477710890653</c:v>
                </c:pt>
                <c:pt idx="731">
                  <c:v>56.186712206525016</c:v>
                </c:pt>
                <c:pt idx="732">
                  <c:v>53.585132962319641</c:v>
                </c:pt>
                <c:pt idx="733">
                  <c:v>55.227510764900686</c:v>
                </c:pt>
                <c:pt idx="734">
                  <c:v>58.093505461654701</c:v>
                </c:pt>
                <c:pt idx="735">
                  <c:v>57.389198146557703</c:v>
                </c:pt>
                <c:pt idx="736">
                  <c:v>57.78942847295022</c:v>
                </c:pt>
                <c:pt idx="737">
                  <c:v>59.029356058637191</c:v>
                </c:pt>
                <c:pt idx="738">
                  <c:v>60.437350297164599</c:v>
                </c:pt>
                <c:pt idx="739">
                  <c:v>58.55587852061786</c:v>
                </c:pt>
                <c:pt idx="740">
                  <c:v>61.343850102705836</c:v>
                </c:pt>
                <c:pt idx="741">
                  <c:v>57.004120747078943</c:v>
                </c:pt>
                <c:pt idx="742">
                  <c:v>54.18480155977641</c:v>
                </c:pt>
                <c:pt idx="743">
                  <c:v>60.41831214749191</c:v>
                </c:pt>
                <c:pt idx="744">
                  <c:v>61.037386992356453</c:v>
                </c:pt>
                <c:pt idx="745">
                  <c:v>62.015526091783215</c:v>
                </c:pt>
                <c:pt idx="746">
                  <c:v>61.243164043498986</c:v>
                </c:pt>
                <c:pt idx="747">
                  <c:v>60.596416409944148</c:v>
                </c:pt>
                <c:pt idx="748">
                  <c:v>60.282479871293468</c:v>
                </c:pt>
                <c:pt idx="749">
                  <c:v>61.56222467683304</c:v>
                </c:pt>
                <c:pt idx="750">
                  <c:v>63.211514879992414</c:v>
                </c:pt>
                <c:pt idx="751">
                  <c:v>61.346231942371176</c:v>
                </c:pt>
                <c:pt idx="752">
                  <c:v>58.760639074608456</c:v>
                </c:pt>
                <c:pt idx="753">
                  <c:v>56.671650088522419</c:v>
                </c:pt>
                <c:pt idx="754">
                  <c:v>55.64077713904269</c:v>
                </c:pt>
                <c:pt idx="755">
                  <c:v>53.048601183031643</c:v>
                </c:pt>
                <c:pt idx="756">
                  <c:v>53.630690427920626</c:v>
                </c:pt>
                <c:pt idx="757">
                  <c:v>51.887550243110255</c:v>
                </c:pt>
                <c:pt idx="758">
                  <c:v>52.896728166653901</c:v>
                </c:pt>
                <c:pt idx="759">
                  <c:v>50.790371985119563</c:v>
                </c:pt>
                <c:pt idx="760">
                  <c:v>47.774405972812879</c:v>
                </c:pt>
                <c:pt idx="761">
                  <c:v>47.759313503151233</c:v>
                </c:pt>
                <c:pt idx="762">
                  <c:v>48.50382626976009</c:v>
                </c:pt>
                <c:pt idx="763">
                  <c:v>49.452124581321911</c:v>
                </c:pt>
                <c:pt idx="764">
                  <c:v>50.177127728196631</c:v>
                </c:pt>
                <c:pt idx="765">
                  <c:v>51.394766568059971</c:v>
                </c:pt>
                <c:pt idx="766">
                  <c:v>49.602480454476762</c:v>
                </c:pt>
                <c:pt idx="767">
                  <c:v>49.544719790525605</c:v>
                </c:pt>
                <c:pt idx="768">
                  <c:v>53.268600290380981</c:v>
                </c:pt>
                <c:pt idx="769">
                  <c:v>54.263504173938173</c:v>
                </c:pt>
                <c:pt idx="770">
                  <c:v>54.857459349700257</c:v>
                </c:pt>
                <c:pt idx="771">
                  <c:v>57.562009984698626</c:v>
                </c:pt>
                <c:pt idx="772">
                  <c:v>57.101582048578933</c:v>
                </c:pt>
                <c:pt idx="773">
                  <c:v>62.129689439311484</c:v>
                </c:pt>
                <c:pt idx="774">
                  <c:v>65.745140746501292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E1-5945-B4F1-BD2FDCA64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25855"/>
        <c:axId val="1966745632"/>
      </c:lineChart>
      <c:catAx>
        <c:axId val="1469825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745632"/>
        <c:crosses val="autoZero"/>
        <c:auto val="1"/>
        <c:lblAlgn val="ctr"/>
        <c:lblOffset val="100"/>
        <c:noMultiLvlLbl val="0"/>
      </c:catAx>
      <c:valAx>
        <c:axId val="19667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2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Sheet17!$A$4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Sheet17!$B$4:$ACV$4</c:f>
              <c:numCache>
                <c:formatCode>General</c:formatCode>
                <c:ptCount val="7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0-6945-9958-CD0620B8F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3792640"/>
        <c:axId val="1963794352"/>
      </c:lineChart>
      <c:catAx>
        <c:axId val="196379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94352"/>
        <c:crosses val="autoZero"/>
        <c:auto val="1"/>
        <c:lblAlgn val="ctr"/>
        <c:lblOffset val="100"/>
        <c:noMultiLvlLbl val="0"/>
      </c:catAx>
      <c:valAx>
        <c:axId val="196379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9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Sheet17!$A$5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Sheet17!$B$5:$ACV$5</c:f>
              <c:numCache>
                <c:formatCode>General</c:formatCode>
                <c:ptCount val="77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8-A646-85CB-5DC6DC30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747360"/>
        <c:axId val="1966071712"/>
      </c:lineChart>
      <c:catAx>
        <c:axId val="82774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71712"/>
        <c:crosses val="autoZero"/>
        <c:auto val="1"/>
        <c:lblAlgn val="ctr"/>
        <c:lblOffset val="100"/>
        <c:noMultiLvlLbl val="0"/>
      </c:catAx>
      <c:valAx>
        <c:axId val="19660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4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311150</xdr:colOff>
      <xdr:row>8</xdr:row>
      <xdr:rowOff>190500</xdr:rowOff>
    </xdr:from>
    <xdr:to>
      <xdr:col>22</xdr:col>
      <xdr:colOff>124239</xdr:colOff>
      <xdr:row>37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AD88D-E90C-D7D5-B1FA-44893FFA7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14</xdr:row>
      <xdr:rowOff>88900</xdr:rowOff>
    </xdr:from>
    <xdr:to>
      <xdr:col>7</xdr:col>
      <xdr:colOff>120650</xdr:colOff>
      <xdr:row>27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A761C-44A3-5BCE-78F1-7D6E362F3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450850</xdr:colOff>
      <xdr:row>15</xdr:row>
      <xdr:rowOff>50800</xdr:rowOff>
    </xdr:from>
    <xdr:to>
      <xdr:col>13</xdr:col>
      <xdr:colOff>69850</xdr:colOff>
      <xdr:row>28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753108-F178-9072-F3EC-FE35BE2E2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6D1C3432-6E2B-DA4B-8F75-0B804D1818B0}" autoFormatId="16" applyNumberFormats="0" applyBorderFormats="0" applyFontFormats="0" applyPatternFormats="0" applyAlignmentFormats="0" applyWidthHeightFormats="0">
  <queryTableRefresh nextId="779">
    <queryTableFields count="77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F840BB-0502-C84E-B2DA-BB4DF58E26F1}" autoFormatId="16" applyNumberFormats="0" applyBorderFormats="0" applyFontFormats="0" applyPatternFormats="0" applyAlignmentFormats="0" applyWidthHeightFormats="0">
  <queryTableRefresh nextId="777">
    <queryTableFields count="77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094B248-C223-1A43-80DD-BA794CCE2E92}" autoFormatId="16" applyNumberFormats="0" applyBorderFormats="0" applyFontFormats="0" applyPatternFormats="0" applyAlignmentFormats="0" applyWidthHeightFormats="0">
  <queryTableRefresh nextId="777">
    <queryTableFields count="77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7DF257-0150-6347-A541-DC7CED43A42D}" name="Returns_and_Sectors__2" displayName="Returns_and_Sectors__2" ref="A1:ACX91" tableType="queryTable" totalsRowShown="0">
  <autoFilter ref="A1:ACX91" xr:uid="{B87DF257-0150-6347-A541-DC7CED43A42D}"/>
  <tableColumns count="778">
    <tableColumn id="1" xr3:uid="{AAAFAC77-8CDD-F343-855C-EAD868F2DF82}" uniqueName="1" name="Column1" queryTableFieldId="1" dataDxfId="2329"/>
    <tableColumn id="2" xr3:uid="{18CC1CC9-E593-DE4E-B8BD-1F97EB34E9ED}" uniqueName="2" name="Column2" queryTableFieldId="2" dataDxfId="2328"/>
    <tableColumn id="3" xr3:uid="{723B1E05-4CF9-4041-BFAB-E2AC2E5E34CA}" uniqueName="3" name="Column3" queryTableFieldId="3" dataDxfId="2327"/>
    <tableColumn id="4" xr3:uid="{F11D111A-D00E-0249-BE41-4AAC614BD460}" uniqueName="4" name="Column4" queryTableFieldId="4" dataDxfId="2326"/>
    <tableColumn id="5" xr3:uid="{16C809FB-7DAD-604A-9134-5FC2BAD4AFCE}" uniqueName="5" name="Column5" queryTableFieldId="5" dataDxfId="2325"/>
    <tableColumn id="6" xr3:uid="{4E12713D-8C66-F046-8E0C-BC3DC39B8481}" uniqueName="6" name="Column6" queryTableFieldId="6" dataDxfId="2324"/>
    <tableColumn id="7" xr3:uid="{B1670002-9F59-B44C-AD24-0B454B270F4D}" uniqueName="7" name="Column7" queryTableFieldId="7" dataDxfId="2323"/>
    <tableColumn id="8" xr3:uid="{0643E7C8-FF44-6548-A4FA-CB89E81027C5}" uniqueName="8" name="Column8" queryTableFieldId="8" dataDxfId="2322"/>
    <tableColumn id="9" xr3:uid="{CE5E3EBA-90D2-194D-8F8C-E9A4CE97458F}" uniqueName="9" name="Column9" queryTableFieldId="9" dataDxfId="2321"/>
    <tableColumn id="10" xr3:uid="{3A48B7B8-A0DD-5140-A0EF-947961C35D45}" uniqueName="10" name="Column10" queryTableFieldId="10" dataDxfId="2320"/>
    <tableColumn id="11" xr3:uid="{D1A9363C-1BF3-1742-AFC9-BE7D0A918289}" uniqueName="11" name="Column11" queryTableFieldId="11" dataDxfId="2319"/>
    <tableColumn id="12" xr3:uid="{B7105291-F869-654D-94CB-7ADCFD412307}" uniqueName="12" name="Column12" queryTableFieldId="12" dataDxfId="2318"/>
    <tableColumn id="13" xr3:uid="{E1CFFCE0-6A04-C248-B790-6B5950CA095D}" uniqueName="13" name="Column13" queryTableFieldId="13" dataDxfId="2317"/>
    <tableColumn id="14" xr3:uid="{C34CDBB4-1E21-DD4A-BA31-AA64BCD02119}" uniqueName="14" name="Column14" queryTableFieldId="14" dataDxfId="2316"/>
    <tableColumn id="15" xr3:uid="{A552A160-C505-D144-9AD5-D25B02E633F8}" uniqueName="15" name="Column15" queryTableFieldId="15" dataDxfId="2315"/>
    <tableColumn id="16" xr3:uid="{77BF64F2-B6B8-0148-8B99-B44AAE4A0E18}" uniqueName="16" name="Column16" queryTableFieldId="16" dataDxfId="2314"/>
    <tableColumn id="17" xr3:uid="{4F6F930F-7A77-C844-9BE1-B638310253BD}" uniqueName="17" name="Column17" queryTableFieldId="17" dataDxfId="2313"/>
    <tableColumn id="18" xr3:uid="{56BC1824-8581-3D4C-8382-1968868F5DCC}" uniqueName="18" name="Column18" queryTableFieldId="18" dataDxfId="2312"/>
    <tableColumn id="19" xr3:uid="{9BCC3D06-3FE4-6142-8F03-2706D381864F}" uniqueName="19" name="Column19" queryTableFieldId="19" dataDxfId="2311"/>
    <tableColumn id="20" xr3:uid="{10BB033B-F764-8A4E-A27A-A2C7AAF03EBA}" uniqueName="20" name="Column20" queryTableFieldId="20" dataDxfId="2310"/>
    <tableColumn id="21" xr3:uid="{253D4952-0239-134E-85F9-A4ACDD2FEBA8}" uniqueName="21" name="Column21" queryTableFieldId="21" dataDxfId="2309"/>
    <tableColumn id="22" xr3:uid="{34BFC59D-71BD-4F40-96AC-D6C44EFB1ECF}" uniqueName="22" name="Column22" queryTableFieldId="22" dataDxfId="2308"/>
    <tableColumn id="23" xr3:uid="{08056F18-92E5-EB47-8A33-C1EC1DDD29C1}" uniqueName="23" name="Column23" queryTableFieldId="23" dataDxfId="2307"/>
    <tableColumn id="24" xr3:uid="{6C95E170-5A93-6B45-BB1B-78B4310ECBCB}" uniqueName="24" name="Column24" queryTableFieldId="24" dataDxfId="2306"/>
    <tableColumn id="25" xr3:uid="{F9C63D1D-CD0B-D94F-90A5-0F1276F11776}" uniqueName="25" name="Column25" queryTableFieldId="25" dataDxfId="2305"/>
    <tableColumn id="26" xr3:uid="{56A38C8F-ADA4-F644-9FF2-7D85C6496A7B}" uniqueName="26" name="Column26" queryTableFieldId="26" dataDxfId="2304"/>
    <tableColumn id="27" xr3:uid="{AB65D01E-AD04-8B4F-B43A-5027791D3AB4}" uniqueName="27" name="Column27" queryTableFieldId="27" dataDxfId="2303"/>
    <tableColumn id="28" xr3:uid="{90F467D3-EB3E-464B-9293-4595FD14612B}" uniqueName="28" name="Column28" queryTableFieldId="28" dataDxfId="2302"/>
    <tableColumn id="29" xr3:uid="{C68DD3CE-E97B-6642-AEBF-1D2F8046F9BE}" uniqueName="29" name="Column29" queryTableFieldId="29" dataDxfId="2301"/>
    <tableColumn id="30" xr3:uid="{97AC8372-33F0-CD4C-A0CA-CAA4FE949227}" uniqueName="30" name="Column30" queryTableFieldId="30" dataDxfId="2300"/>
    <tableColumn id="31" xr3:uid="{A5720DB7-46B0-E64F-AC1A-EA85E92AC5E0}" uniqueName="31" name="Column31" queryTableFieldId="31" dataDxfId="2299"/>
    <tableColumn id="32" xr3:uid="{8D3C233E-9566-F141-8463-7C9824DF9712}" uniqueName="32" name="Column32" queryTableFieldId="32" dataDxfId="2298"/>
    <tableColumn id="33" xr3:uid="{C86E4D46-A283-FD4A-B1D3-068371848D57}" uniqueName="33" name="Column33" queryTableFieldId="33" dataDxfId="2297"/>
    <tableColumn id="34" xr3:uid="{060BC09C-C41C-FF45-B130-B77FF99EEAAC}" uniqueName="34" name="Column34" queryTableFieldId="34" dataDxfId="2296"/>
    <tableColumn id="35" xr3:uid="{1877E1F4-3E3D-6D44-81A1-933D104A03CF}" uniqueName="35" name="Column35" queryTableFieldId="35" dataDxfId="2295"/>
    <tableColumn id="36" xr3:uid="{F805A6B2-3113-A344-B386-F09499D09F8F}" uniqueName="36" name="Column36" queryTableFieldId="36" dataDxfId="2294"/>
    <tableColumn id="37" xr3:uid="{21ACE524-22E1-FB44-98F4-B3E95C2617E5}" uniqueName="37" name="Column37" queryTableFieldId="37" dataDxfId="2293"/>
    <tableColumn id="38" xr3:uid="{94D84A0A-2B8F-9341-B629-BEFF0F8A0F90}" uniqueName="38" name="Column38" queryTableFieldId="38" dataDxfId="2292"/>
    <tableColumn id="39" xr3:uid="{E8EA803B-A6F2-BC43-94A6-1E4F2CD19ECD}" uniqueName="39" name="Column39" queryTableFieldId="39" dataDxfId="2291"/>
    <tableColumn id="40" xr3:uid="{2D67632A-E251-AF4F-879C-94A52C4A5126}" uniqueName="40" name="Column40" queryTableFieldId="40" dataDxfId="2290"/>
    <tableColumn id="41" xr3:uid="{C6BAC36E-04C6-184A-AB23-1B102FB52AEF}" uniqueName="41" name="Column41" queryTableFieldId="41" dataDxfId="2289"/>
    <tableColumn id="42" xr3:uid="{8C705469-69C8-9945-9B3C-4501B1178C63}" uniqueName="42" name="Column42" queryTableFieldId="42" dataDxfId="2288"/>
    <tableColumn id="43" xr3:uid="{D6D3A75B-0BA0-6F4C-ABC3-CA31F1426516}" uniqueName="43" name="Column43" queryTableFieldId="43" dataDxfId="2287"/>
    <tableColumn id="44" xr3:uid="{06FA00B5-B5E3-4242-81B1-50EC4B62AD23}" uniqueName="44" name="Column44" queryTableFieldId="44" dataDxfId="2286"/>
    <tableColumn id="45" xr3:uid="{6F42F19C-C721-3844-A5D6-192AFCC3148A}" uniqueName="45" name="Column45" queryTableFieldId="45" dataDxfId="2285"/>
    <tableColumn id="46" xr3:uid="{FCEFA509-44E7-2F43-B4F5-59201E431430}" uniqueName="46" name="Column46" queryTableFieldId="46" dataDxfId="2284"/>
    <tableColumn id="47" xr3:uid="{55467855-BB6A-2849-8161-399CEA22983C}" uniqueName="47" name="Column47" queryTableFieldId="47" dataDxfId="2283"/>
    <tableColumn id="48" xr3:uid="{ACF3A10E-A2B8-494C-9C7A-907C2E085D0F}" uniqueName="48" name="Column48" queryTableFieldId="48" dataDxfId="2282"/>
    <tableColumn id="49" xr3:uid="{CBDE8AFC-6886-1A4B-BED8-2B4573452624}" uniqueName="49" name="Column49" queryTableFieldId="49" dataDxfId="2281"/>
    <tableColumn id="50" xr3:uid="{C77D8ED0-4F03-294E-A1CB-06F84E5AAA89}" uniqueName="50" name="Column50" queryTableFieldId="50" dataDxfId="2280"/>
    <tableColumn id="51" xr3:uid="{24FFCEB4-5434-6144-AB53-7C632B1021ED}" uniqueName="51" name="Column51" queryTableFieldId="51" dataDxfId="2279"/>
    <tableColumn id="52" xr3:uid="{8AE69064-2372-FA4A-A08A-C09D66410295}" uniqueName="52" name="Column52" queryTableFieldId="52" dataDxfId="2278"/>
    <tableColumn id="53" xr3:uid="{796DF000-D649-B54F-A385-6F319EF8B0BA}" uniqueName="53" name="Column53" queryTableFieldId="53" dataDxfId="2277"/>
    <tableColumn id="54" xr3:uid="{5AD0C01B-3CD4-4240-9F2C-A775C6329EFF}" uniqueName="54" name="Column54" queryTableFieldId="54" dataDxfId="2276"/>
    <tableColumn id="55" xr3:uid="{B82548FF-96A0-3042-ABD3-3966E258CFBB}" uniqueName="55" name="Column55" queryTableFieldId="55" dataDxfId="2275"/>
    <tableColumn id="56" xr3:uid="{3C42EB95-FE5F-3A4E-9511-7C6DC282722E}" uniqueName="56" name="Column56" queryTableFieldId="56" dataDxfId="2274"/>
    <tableColumn id="57" xr3:uid="{1139072B-E831-404C-936A-B2E21DE626CC}" uniqueName="57" name="Column57" queryTableFieldId="57" dataDxfId="2273"/>
    <tableColumn id="58" xr3:uid="{F57C4706-B852-2B43-A5FC-2AEDCDC15840}" uniqueName="58" name="Column58" queryTableFieldId="58" dataDxfId="2272"/>
    <tableColumn id="59" xr3:uid="{759D0845-762C-6A48-B880-B917FE51E3F7}" uniqueName="59" name="Column59" queryTableFieldId="59" dataDxfId="2271"/>
    <tableColumn id="60" xr3:uid="{47F7E9C2-7E45-D743-80B0-292444243901}" uniqueName="60" name="Column60" queryTableFieldId="60" dataDxfId="2270"/>
    <tableColumn id="61" xr3:uid="{5EDAFDA7-8FF0-4445-B1FE-1D64825FB5A3}" uniqueName="61" name="Column61" queryTableFieldId="61" dataDxfId="2269"/>
    <tableColumn id="62" xr3:uid="{EA235321-4D6B-6D42-9429-ED629F36C27A}" uniqueName="62" name="Column62" queryTableFieldId="62" dataDxfId="2268"/>
    <tableColumn id="63" xr3:uid="{7BD9D453-0B23-3C4F-B40D-B7BFD0AA3C0C}" uniqueName="63" name="Column63" queryTableFieldId="63" dataDxfId="2267"/>
    <tableColumn id="64" xr3:uid="{ED3A843A-FEB1-4646-B4AA-ADEC3C6E6567}" uniqueName="64" name="Column64" queryTableFieldId="64" dataDxfId="2266"/>
    <tableColumn id="65" xr3:uid="{B166F86F-E86E-8D45-B02F-789E80584252}" uniqueName="65" name="Column65" queryTableFieldId="65" dataDxfId="2265"/>
    <tableColumn id="66" xr3:uid="{2D7C8B9F-BA39-E14F-A91D-CDEE078A5989}" uniqueName="66" name="Column66" queryTableFieldId="66" dataDxfId="2264"/>
    <tableColumn id="67" xr3:uid="{0EA3FC24-9F56-D845-9504-9019664354CF}" uniqueName="67" name="Column67" queryTableFieldId="67" dataDxfId="2263"/>
    <tableColumn id="68" xr3:uid="{0FA4FDA2-4CDD-A948-9F7A-1714BD0E167D}" uniqueName="68" name="Column68" queryTableFieldId="68" dataDxfId="2262"/>
    <tableColumn id="69" xr3:uid="{D0CFC14B-505C-2A4B-8EF5-BC0D3DC5AAA5}" uniqueName="69" name="Column69" queryTableFieldId="69" dataDxfId="2261"/>
    <tableColumn id="70" xr3:uid="{D8DE6D73-BC8B-9041-8CEB-7CED1286EF59}" uniqueName="70" name="Column70" queryTableFieldId="70" dataDxfId="2260"/>
    <tableColumn id="71" xr3:uid="{9CE8B7D0-A70A-C848-8AD0-79832A05F9A8}" uniqueName="71" name="Column71" queryTableFieldId="71" dataDxfId="2259"/>
    <tableColumn id="72" xr3:uid="{91E91781-FA27-C141-A14E-09EF0755BE6F}" uniqueName="72" name="Column72" queryTableFieldId="72" dataDxfId="2258"/>
    <tableColumn id="73" xr3:uid="{9FBD68C3-216F-1A44-B070-607E15AC22E9}" uniqueName="73" name="Column73" queryTableFieldId="73" dataDxfId="2257"/>
    <tableColumn id="74" xr3:uid="{303474DD-27FC-E543-A56A-38B7614CFD5C}" uniqueName="74" name="Column74" queryTableFieldId="74" dataDxfId="2256"/>
    <tableColumn id="75" xr3:uid="{B3E2562B-2A46-734B-8083-011DE8E58288}" uniqueName="75" name="Column75" queryTableFieldId="75" dataDxfId="2255"/>
    <tableColumn id="76" xr3:uid="{6E216333-BB6D-2044-AE73-77A42D8374C1}" uniqueName="76" name="Column76" queryTableFieldId="76" dataDxfId="2254"/>
    <tableColumn id="77" xr3:uid="{5873FA43-BC46-0049-B651-F2C9B9E7B44C}" uniqueName="77" name="Column77" queryTableFieldId="77" dataDxfId="2253"/>
    <tableColumn id="78" xr3:uid="{9A49C048-5CF9-8546-BC1D-8A2BF0646C53}" uniqueName="78" name="Column78" queryTableFieldId="78" dataDxfId="2252"/>
    <tableColumn id="79" xr3:uid="{3DB2C577-9AB6-BC46-8F15-00C01C9432D5}" uniqueName="79" name="Column79" queryTableFieldId="79" dataDxfId="2251"/>
    <tableColumn id="80" xr3:uid="{92B39EDB-1EA6-394C-ABA0-F808C81B7223}" uniqueName="80" name="Column80" queryTableFieldId="80" dataDxfId="2250"/>
    <tableColumn id="81" xr3:uid="{14972F48-FC52-5D49-B8DB-49BD871962B4}" uniqueName="81" name="Column81" queryTableFieldId="81" dataDxfId="2249"/>
    <tableColumn id="82" xr3:uid="{B96F8552-3D09-B248-8DDB-6266409F7862}" uniqueName="82" name="Column82" queryTableFieldId="82" dataDxfId="2248"/>
    <tableColumn id="83" xr3:uid="{8249D735-5F0C-424D-B2A5-C4E5EE23A5D7}" uniqueName="83" name="Column83" queryTableFieldId="83" dataDxfId="2247"/>
    <tableColumn id="84" xr3:uid="{A58327D0-BF23-A446-BC9D-F46115F76C63}" uniqueName="84" name="Column84" queryTableFieldId="84" dataDxfId="2246"/>
    <tableColumn id="85" xr3:uid="{884BB82E-883E-9E48-AA53-77E69A751707}" uniqueName="85" name="Column85" queryTableFieldId="85" dataDxfId="2245"/>
    <tableColumn id="86" xr3:uid="{7682FF0C-7B56-4941-A911-3C568C2F82B0}" uniqueName="86" name="Column86" queryTableFieldId="86" dataDxfId="2244"/>
    <tableColumn id="87" xr3:uid="{F0B6CB65-2D9C-8C47-B046-7D903AA7CBD2}" uniqueName="87" name="Column87" queryTableFieldId="87" dataDxfId="2243"/>
    <tableColumn id="88" xr3:uid="{D534B8A7-C5BA-FE49-9164-638640FE4B38}" uniqueName="88" name="Column88" queryTableFieldId="88" dataDxfId="2242"/>
    <tableColumn id="89" xr3:uid="{B93B238C-C8FB-D04A-A7A6-47D07CC66A4A}" uniqueName="89" name="Column89" queryTableFieldId="89" dataDxfId="2241"/>
    <tableColumn id="90" xr3:uid="{A703E434-003A-A245-9CFB-355A47DD1529}" uniqueName="90" name="Column90" queryTableFieldId="90" dataDxfId="2240"/>
    <tableColumn id="91" xr3:uid="{D07D4ED3-712E-DF4A-A82D-4DCA05B5A17A}" uniqueName="91" name="Column91" queryTableFieldId="91" dataDxfId="2239"/>
    <tableColumn id="92" xr3:uid="{FE1A3A02-AA0A-ED45-84D3-087109141979}" uniqueName="92" name="Column92" queryTableFieldId="92" dataDxfId="2238"/>
    <tableColumn id="93" xr3:uid="{896E9846-6B68-EB43-8DA6-5D1734E5DA29}" uniqueName="93" name="Column93" queryTableFieldId="93" dataDxfId="2237"/>
    <tableColumn id="94" xr3:uid="{2891A5B5-DCD4-F04A-8DEE-F2EB3DD264F7}" uniqueName="94" name="Column94" queryTableFieldId="94" dataDxfId="2236"/>
    <tableColumn id="95" xr3:uid="{B7058C0B-7909-914E-A37D-0B4BF6AA7DAB}" uniqueName="95" name="Column95" queryTableFieldId="95" dataDxfId="2235"/>
    <tableColumn id="96" xr3:uid="{F4905C91-4D5D-114A-A92E-122138F3AC4F}" uniqueName="96" name="Column96" queryTableFieldId="96" dataDxfId="2234"/>
    <tableColumn id="97" xr3:uid="{19C47C8A-C0D3-4440-8183-3E86FC3AA902}" uniqueName="97" name="Column97" queryTableFieldId="97" dataDxfId="2233"/>
    <tableColumn id="98" xr3:uid="{FD80E5E6-1342-6344-A335-78C9C673C55A}" uniqueName="98" name="Column98" queryTableFieldId="98" dataDxfId="2232"/>
    <tableColumn id="99" xr3:uid="{16785DDF-1937-3E41-83D5-E236048E9443}" uniqueName="99" name="Column99" queryTableFieldId="99" dataDxfId="2231"/>
    <tableColumn id="100" xr3:uid="{D771ACA2-9E6B-774B-BBF8-6C6EAAC2C041}" uniqueName="100" name="Column100" queryTableFieldId="100" dataDxfId="2230"/>
    <tableColumn id="101" xr3:uid="{1716B46B-A7C7-1F44-AAC6-0FF8699BF17A}" uniqueName="101" name="Column101" queryTableFieldId="101" dataDxfId="2229"/>
    <tableColumn id="102" xr3:uid="{08BD28B2-DF1F-074D-9652-1C5B190B89B2}" uniqueName="102" name="Column102" queryTableFieldId="102" dataDxfId="2228"/>
    <tableColumn id="103" xr3:uid="{BDA5ACBA-3AD6-EF48-A311-13DA5BFC806F}" uniqueName="103" name="Column103" queryTableFieldId="103" dataDxfId="2227"/>
    <tableColumn id="104" xr3:uid="{66DBDF25-C14C-8F43-9174-670B732B14A7}" uniqueName="104" name="Column104" queryTableFieldId="104" dataDxfId="2226"/>
    <tableColumn id="105" xr3:uid="{D7703909-CD26-9242-A8DB-B1F9E6BEDF0C}" uniqueName="105" name="Column105" queryTableFieldId="105" dataDxfId="2225"/>
    <tableColumn id="106" xr3:uid="{9A724F11-EEC1-604F-80E9-1AD8458931D0}" uniqueName="106" name="Column106" queryTableFieldId="106" dataDxfId="2224"/>
    <tableColumn id="107" xr3:uid="{88384941-259B-8541-92F7-ACE1600BE56D}" uniqueName="107" name="Column107" queryTableFieldId="107" dataDxfId="2223"/>
    <tableColumn id="108" xr3:uid="{2819AFE9-FF13-7845-9EF3-52EC681D30AE}" uniqueName="108" name="Column108" queryTableFieldId="108" dataDxfId="2222"/>
    <tableColumn id="109" xr3:uid="{023D6327-AD31-2F46-99CD-121ED615FCF7}" uniqueName="109" name="Column109" queryTableFieldId="109" dataDxfId="2221"/>
    <tableColumn id="110" xr3:uid="{82640024-ACD1-7949-8B1C-678BDBE2A813}" uniqueName="110" name="Column110" queryTableFieldId="110" dataDxfId="2220"/>
    <tableColumn id="111" xr3:uid="{868CFB7E-D56A-D94D-9BA7-7F8309F00CE2}" uniqueName="111" name="Column111" queryTableFieldId="111" dataDxfId="2219"/>
    <tableColumn id="112" xr3:uid="{D82AB3BF-AAF4-3849-9843-F49D82A40A8E}" uniqueName="112" name="Column112" queryTableFieldId="112" dataDxfId="2218"/>
    <tableColumn id="113" xr3:uid="{F92E4D08-050E-4D46-9B1F-796356B218FF}" uniqueName="113" name="Column113" queryTableFieldId="113" dataDxfId="2217"/>
    <tableColumn id="114" xr3:uid="{8BB5E760-28E7-B24B-AA8C-FB58FB69AE4E}" uniqueName="114" name="Column114" queryTableFieldId="114" dataDxfId="2216"/>
    <tableColumn id="115" xr3:uid="{3D2150C6-4172-D741-A811-50187C36C828}" uniqueName="115" name="Column115" queryTableFieldId="115" dataDxfId="2215"/>
    <tableColumn id="116" xr3:uid="{D8F13233-67A3-DC4C-B448-CF20D1C71303}" uniqueName="116" name="Column116" queryTableFieldId="116" dataDxfId="2214"/>
    <tableColumn id="117" xr3:uid="{0CA4C7EE-8097-304A-A719-5931C96C0B8C}" uniqueName="117" name="Column117" queryTableFieldId="117" dataDxfId="2213"/>
    <tableColumn id="118" xr3:uid="{C118F8F6-E1F1-5F44-8932-30120A7AB86E}" uniqueName="118" name="Column118" queryTableFieldId="118" dataDxfId="2212"/>
    <tableColumn id="119" xr3:uid="{9246C523-DBA3-DE49-BE08-3153AEFB4E96}" uniqueName="119" name="Column119" queryTableFieldId="119" dataDxfId="2211"/>
    <tableColumn id="120" xr3:uid="{2B242606-550E-8245-B6BE-D10C2738D6EC}" uniqueName="120" name="Column120" queryTableFieldId="120" dataDxfId="2210"/>
    <tableColumn id="121" xr3:uid="{BDBC3282-AE82-0E41-9ABB-BD84EEF330BF}" uniqueName="121" name="Column121" queryTableFieldId="121" dataDxfId="2209"/>
    <tableColumn id="122" xr3:uid="{27788B3A-3B08-E942-85F2-2D93A5ABF11A}" uniqueName="122" name="Column122" queryTableFieldId="122" dataDxfId="2208"/>
    <tableColumn id="123" xr3:uid="{E564BF26-6E4B-7741-8526-088FD2A970F6}" uniqueName="123" name="Column123" queryTableFieldId="123" dataDxfId="2207"/>
    <tableColumn id="124" xr3:uid="{DAAC7FA9-221B-9143-9098-67DFF3C5CA6A}" uniqueName="124" name="Column124" queryTableFieldId="124" dataDxfId="2206"/>
    <tableColumn id="125" xr3:uid="{9D69DFC4-97D9-F64C-B52E-F9B2CAD10974}" uniqueName="125" name="Column125" queryTableFieldId="125" dataDxfId="2205"/>
    <tableColumn id="126" xr3:uid="{02979DAD-84C1-084A-BC18-3A0839D06A4F}" uniqueName="126" name="Column126" queryTableFieldId="126" dataDxfId="2204"/>
    <tableColumn id="127" xr3:uid="{9D6E244C-A751-CB4B-8209-84E4FB61AF3A}" uniqueName="127" name="Column127" queryTableFieldId="127" dataDxfId="2203"/>
    <tableColumn id="128" xr3:uid="{3158F04F-0BE1-7843-BA36-EA0560F34AD0}" uniqueName="128" name="Column128" queryTableFieldId="128" dataDxfId="2202"/>
    <tableColumn id="129" xr3:uid="{76EFC92F-2128-9C48-B1A0-0E7684405915}" uniqueName="129" name="Column129" queryTableFieldId="129" dataDxfId="2201"/>
    <tableColumn id="130" xr3:uid="{6B63EB62-3289-BD48-8505-F01674061618}" uniqueName="130" name="Column130" queryTableFieldId="130" dataDxfId="2200"/>
    <tableColumn id="131" xr3:uid="{FB471383-8BC7-8B44-ACC1-AA21BC101C5C}" uniqueName="131" name="Column131" queryTableFieldId="131" dataDxfId="2199"/>
    <tableColumn id="132" xr3:uid="{C513FB76-4270-EA4D-8A1A-5AA925F76450}" uniqueName="132" name="Column132" queryTableFieldId="132" dataDxfId="2198"/>
    <tableColumn id="133" xr3:uid="{4E01574C-7499-DC42-B0E4-CD05E0E5BB40}" uniqueName="133" name="Column133" queryTableFieldId="133" dataDxfId="2197"/>
    <tableColumn id="134" xr3:uid="{AF9C6F83-2AFC-7F42-B98D-C8CB478DF6AE}" uniqueName="134" name="Column134" queryTableFieldId="134" dataDxfId="2196"/>
    <tableColumn id="135" xr3:uid="{985D7E49-F967-0241-B361-FFAF31F0F701}" uniqueName="135" name="Column135" queryTableFieldId="135" dataDxfId="2195"/>
    <tableColumn id="136" xr3:uid="{ABF77DAB-F7D1-4A4B-815F-191222677EFE}" uniqueName="136" name="Column136" queryTableFieldId="136" dataDxfId="2194"/>
    <tableColumn id="137" xr3:uid="{220D9582-A6DB-5C4E-870F-E2BAE8127895}" uniqueName="137" name="Column137" queryTableFieldId="137" dataDxfId="2193"/>
    <tableColumn id="138" xr3:uid="{B24B5F05-22AB-E44A-A6DE-5B78689E26EA}" uniqueName="138" name="Column138" queryTableFieldId="138" dataDxfId="2192"/>
    <tableColumn id="139" xr3:uid="{72C1AD19-A8A7-764B-9220-3CF322397C0B}" uniqueName="139" name="Column139" queryTableFieldId="139" dataDxfId="2191"/>
    <tableColumn id="140" xr3:uid="{F20ECE79-8793-1A44-995D-1E3A8889D33D}" uniqueName="140" name="Column140" queryTableFieldId="140" dataDxfId="2190"/>
    <tableColumn id="141" xr3:uid="{B016D134-6C28-5341-84C8-C68AC6CBFA4F}" uniqueName="141" name="Column141" queryTableFieldId="141" dataDxfId="2189"/>
    <tableColumn id="142" xr3:uid="{1D37E18E-C5AC-6948-A6FC-6CDE3C7E5A80}" uniqueName="142" name="Column142" queryTableFieldId="142" dataDxfId="2188"/>
    <tableColumn id="143" xr3:uid="{E9CAFDCA-8B05-9340-861C-E7C6617279C5}" uniqueName="143" name="Column143" queryTableFieldId="143" dataDxfId="2187"/>
    <tableColumn id="144" xr3:uid="{8BE34E18-493C-6A4D-9C20-BC1F6112691D}" uniqueName="144" name="Column144" queryTableFieldId="144" dataDxfId="2186"/>
    <tableColumn id="145" xr3:uid="{5ECF9518-AC66-1F41-AE43-DBC8C488C8C3}" uniqueName="145" name="Column145" queryTableFieldId="145" dataDxfId="2185"/>
    <tableColumn id="146" xr3:uid="{047E8B9D-F3BC-B848-8EB4-653000E68A9A}" uniqueName="146" name="Column146" queryTableFieldId="146" dataDxfId="2184"/>
    <tableColumn id="147" xr3:uid="{8C4514BB-4263-BA48-81DF-B6C0394BC634}" uniqueName="147" name="Column147" queryTableFieldId="147" dataDxfId="2183"/>
    <tableColumn id="148" xr3:uid="{F400384A-0278-9145-A91D-6711AFD31984}" uniqueName="148" name="Column148" queryTableFieldId="148" dataDxfId="2182"/>
    <tableColumn id="149" xr3:uid="{1930BF19-ADE5-894B-B367-23F21C189603}" uniqueName="149" name="Column149" queryTableFieldId="149" dataDxfId="2181"/>
    <tableColumn id="150" xr3:uid="{D0782607-763B-EA40-BC4D-E30B6D448253}" uniqueName="150" name="Column150" queryTableFieldId="150" dataDxfId="2180"/>
    <tableColumn id="151" xr3:uid="{9E30AC58-F8DA-9240-A46E-F86A4B3D61A8}" uniqueName="151" name="Column151" queryTableFieldId="151" dataDxfId="2179"/>
    <tableColumn id="152" xr3:uid="{DA97A975-D324-264B-97A0-DF1BE314BB05}" uniqueName="152" name="Column152" queryTableFieldId="152" dataDxfId="2178"/>
    <tableColumn id="153" xr3:uid="{34969BD2-B132-7643-9315-DB5F20EC642C}" uniqueName="153" name="Column153" queryTableFieldId="153" dataDxfId="2177"/>
    <tableColumn id="154" xr3:uid="{BAA2B383-36CD-8F4B-8A7F-17123B52CCF4}" uniqueName="154" name="Column154" queryTableFieldId="154" dataDxfId="2176"/>
    <tableColumn id="155" xr3:uid="{91BBCA06-360B-2646-8D28-B867E23C7049}" uniqueName="155" name="Column155" queryTableFieldId="155" dataDxfId="2175"/>
    <tableColumn id="156" xr3:uid="{910FBC78-1183-684B-A2C9-DDE1C7B4620C}" uniqueName="156" name="Column156" queryTableFieldId="156" dataDxfId="2174"/>
    <tableColumn id="157" xr3:uid="{9DFB71D1-585E-9943-BAB0-D33E94C97AF1}" uniqueName="157" name="Column157" queryTableFieldId="157" dataDxfId="2173"/>
    <tableColumn id="158" xr3:uid="{C28145AB-053D-5B48-AAAA-FC72E54DD477}" uniqueName="158" name="Column158" queryTableFieldId="158" dataDxfId="2172"/>
    <tableColumn id="159" xr3:uid="{39A9128B-9F1E-984D-9AA8-193240049D50}" uniqueName="159" name="Column159" queryTableFieldId="159" dataDxfId="2171"/>
    <tableColumn id="160" xr3:uid="{691FFA38-04CC-DD41-AFCB-981E7A4D96F5}" uniqueName="160" name="Column160" queryTableFieldId="160" dataDxfId="2170"/>
    <tableColumn id="161" xr3:uid="{B9CE4B88-6774-CC42-B9E3-70835E9498CA}" uniqueName="161" name="Column161" queryTableFieldId="161" dataDxfId="2169"/>
    <tableColumn id="162" xr3:uid="{77865F6A-006C-EA49-97A5-5514C2E6B9AE}" uniqueName="162" name="Column162" queryTableFieldId="162" dataDxfId="2168"/>
    <tableColumn id="163" xr3:uid="{F4E476D9-38C9-C245-85C1-27CAAF650DCC}" uniqueName="163" name="Column163" queryTableFieldId="163" dataDxfId="2167"/>
    <tableColumn id="164" xr3:uid="{8F519CA3-E4C5-8E48-AA5B-01ED4AD43F23}" uniqueName="164" name="Column164" queryTableFieldId="164" dataDxfId="2166"/>
    <tableColumn id="165" xr3:uid="{F30914F4-FDC4-1447-B484-3C2035711214}" uniqueName="165" name="Column165" queryTableFieldId="165" dataDxfId="2165"/>
    <tableColumn id="166" xr3:uid="{28446896-9432-D44A-BE5F-E6740DA9FCF9}" uniqueName="166" name="Column166" queryTableFieldId="166" dataDxfId="2164"/>
    <tableColumn id="167" xr3:uid="{34864DB9-279E-844C-8A94-7B3121B1893F}" uniqueName="167" name="Column167" queryTableFieldId="167" dataDxfId="2163"/>
    <tableColumn id="168" xr3:uid="{4EEE18A6-95E6-5D45-B48C-97DF97F10FE0}" uniqueName="168" name="Column168" queryTableFieldId="168" dataDxfId="2162"/>
    <tableColumn id="169" xr3:uid="{52B2FD98-73B1-3E48-8D3B-9B6DDD97174A}" uniqueName="169" name="Column169" queryTableFieldId="169" dataDxfId="2161"/>
    <tableColumn id="170" xr3:uid="{6CA354F6-85D7-F24C-BE21-C946B3280C49}" uniqueName="170" name="Column170" queryTableFieldId="170" dataDxfId="2160"/>
    <tableColumn id="171" xr3:uid="{2D5B84ED-4E4C-2A4D-854A-65C5712A6806}" uniqueName="171" name="Column171" queryTableFieldId="171" dataDxfId="2159"/>
    <tableColumn id="172" xr3:uid="{159C5B51-942F-794B-A7E9-4ED3E0808D36}" uniqueName="172" name="Column172" queryTableFieldId="172" dataDxfId="2158"/>
    <tableColumn id="173" xr3:uid="{0F713AC5-BD55-9A4D-946B-ED276656F2CB}" uniqueName="173" name="Column173" queryTableFieldId="173" dataDxfId="2157"/>
    <tableColumn id="174" xr3:uid="{60AFA08A-2DAC-7C42-A8AD-18F486112A19}" uniqueName="174" name="Column174" queryTableFieldId="174" dataDxfId="2156"/>
    <tableColumn id="175" xr3:uid="{930E87B5-326D-8D4F-B4EC-292ADB92C942}" uniqueName="175" name="Column175" queryTableFieldId="175" dataDxfId="2155"/>
    <tableColumn id="176" xr3:uid="{B5357CB2-F695-DA46-8F34-9AA8B571C95D}" uniqueName="176" name="Column176" queryTableFieldId="176" dataDxfId="2154"/>
    <tableColumn id="177" xr3:uid="{02EC714B-9899-D44C-A028-9491E52D9B8A}" uniqueName="177" name="Column177" queryTableFieldId="177" dataDxfId="2153"/>
    <tableColumn id="178" xr3:uid="{241C2729-6984-9F41-A5C6-1B9B2F2991EF}" uniqueName="178" name="Column178" queryTableFieldId="178" dataDxfId="2152"/>
    <tableColumn id="179" xr3:uid="{BF8514C2-C7BD-6C4C-BFD1-357B296A5A75}" uniqueName="179" name="Column179" queryTableFieldId="179" dataDxfId="2151"/>
    <tableColumn id="180" xr3:uid="{6B0F6797-3DB0-F140-AB64-BB7027230A8D}" uniqueName="180" name="Column180" queryTableFieldId="180" dataDxfId="2150"/>
    <tableColumn id="181" xr3:uid="{8CBABDDC-E870-3849-956D-F9DAF9961E17}" uniqueName="181" name="Column181" queryTableFieldId="181" dataDxfId="2149"/>
    <tableColumn id="182" xr3:uid="{44B21FC4-1D78-5143-8F50-AD1BDD4F8826}" uniqueName="182" name="Column182" queryTableFieldId="182" dataDxfId="2148"/>
    <tableColumn id="183" xr3:uid="{2C96CB08-915C-A445-AEF7-F92C22AF7AC3}" uniqueName="183" name="Column183" queryTableFieldId="183" dataDxfId="2147"/>
    <tableColumn id="184" xr3:uid="{5811ED11-D0E2-A74A-A3E2-C20800865988}" uniqueName="184" name="Column184" queryTableFieldId="184" dataDxfId="2146"/>
    <tableColumn id="185" xr3:uid="{9E2AB59C-18D3-474D-B440-1C9FED52503A}" uniqueName="185" name="Column185" queryTableFieldId="185" dataDxfId="2145"/>
    <tableColumn id="186" xr3:uid="{843B6BD3-930B-2D4E-9C0B-AAA2C1E974DD}" uniqueName="186" name="Column186" queryTableFieldId="186" dataDxfId="2144"/>
    <tableColumn id="187" xr3:uid="{E6298669-ADCA-CA4F-A9F6-7D20B808F1D2}" uniqueName="187" name="Column187" queryTableFieldId="187" dataDxfId="2143"/>
    <tableColumn id="188" xr3:uid="{0D149325-E3EB-8941-AD91-B11BB1AD795F}" uniqueName="188" name="Column188" queryTableFieldId="188" dataDxfId="2142"/>
    <tableColumn id="189" xr3:uid="{A036C907-55CE-B645-B760-B10358ADD011}" uniqueName="189" name="Column189" queryTableFieldId="189" dataDxfId="2141"/>
    <tableColumn id="190" xr3:uid="{8F68E4DE-1A6F-EA46-AA30-5D7E31001E30}" uniqueName="190" name="Column190" queryTableFieldId="190" dataDxfId="2140"/>
    <tableColumn id="191" xr3:uid="{376BA16C-409D-1149-AB33-B5BA98AEF001}" uniqueName="191" name="Column191" queryTableFieldId="191" dataDxfId="2139"/>
    <tableColumn id="192" xr3:uid="{76824F00-CFA3-0C4A-8C3A-5EE849E3F21F}" uniqueName="192" name="Column192" queryTableFieldId="192" dataDxfId="2138"/>
    <tableColumn id="193" xr3:uid="{EF878DE7-34FE-FD4E-B122-02D3FF61D052}" uniqueName="193" name="Column193" queryTableFieldId="193" dataDxfId="2137"/>
    <tableColumn id="194" xr3:uid="{8493590B-048A-0442-B7C9-31F0915D1084}" uniqueName="194" name="Column194" queryTableFieldId="194" dataDxfId="2136"/>
    <tableColumn id="195" xr3:uid="{58F1D43C-F6FB-1041-80CB-219D81E50A32}" uniqueName="195" name="Column195" queryTableFieldId="195" dataDxfId="2135"/>
    <tableColumn id="196" xr3:uid="{C5DCC611-990C-4E4F-90FF-30D3DD25F0BE}" uniqueName="196" name="Column196" queryTableFieldId="196" dataDxfId="2134"/>
    <tableColumn id="197" xr3:uid="{EF6EEFA3-39A2-8542-8F80-E3EA21D4B1E3}" uniqueName="197" name="Column197" queryTableFieldId="197" dataDxfId="2133"/>
    <tableColumn id="198" xr3:uid="{9C874062-2D73-204C-9D88-F23CDEF2A59E}" uniqueName="198" name="Column198" queryTableFieldId="198" dataDxfId="2132"/>
    <tableColumn id="199" xr3:uid="{F7577A33-451E-5E40-8540-E90FD98923B6}" uniqueName="199" name="Column199" queryTableFieldId="199" dataDxfId="2131"/>
    <tableColumn id="200" xr3:uid="{C9BCD88A-1575-8947-99A8-DA7F8FC9C07B}" uniqueName="200" name="Column200" queryTableFieldId="200" dataDxfId="2130"/>
    <tableColumn id="201" xr3:uid="{5BCA10BF-76AB-8C41-AF4A-8F8B02F1BE9E}" uniqueName="201" name="Column201" queryTableFieldId="201" dataDxfId="2129"/>
    <tableColumn id="202" xr3:uid="{C2C3EFCC-BEE6-2A40-A84B-7FDAD936C4BD}" uniqueName="202" name="Column202" queryTableFieldId="202" dataDxfId="2128"/>
    <tableColumn id="203" xr3:uid="{4358AC7C-6D08-F040-A836-ABA529E35932}" uniqueName="203" name="Column203" queryTableFieldId="203" dataDxfId="2127"/>
    <tableColumn id="204" xr3:uid="{4D1E6280-5668-0546-AF65-F9EDB524A3EB}" uniqueName="204" name="Column204" queryTableFieldId="204" dataDxfId="2126"/>
    <tableColumn id="205" xr3:uid="{0A686FB2-4412-0245-ADEE-6BE64B2DB00D}" uniqueName="205" name="Column205" queryTableFieldId="205" dataDxfId="2125"/>
    <tableColumn id="206" xr3:uid="{B7CCBDD6-3579-1A49-8881-2D1B54BDBC19}" uniqueName="206" name="Column206" queryTableFieldId="206" dataDxfId="2124"/>
    <tableColumn id="207" xr3:uid="{CB7D5963-93AB-C148-8559-84F2E000D776}" uniqueName="207" name="Column207" queryTableFieldId="207" dataDxfId="2123"/>
    <tableColumn id="208" xr3:uid="{7EFC71AB-9FBA-2240-8A4E-BEE2720E938F}" uniqueName="208" name="Column208" queryTableFieldId="208" dataDxfId="2122"/>
    <tableColumn id="209" xr3:uid="{84B235C5-57A7-004A-94E0-B1F21E15E417}" uniqueName="209" name="Column209" queryTableFieldId="209" dataDxfId="2121"/>
    <tableColumn id="210" xr3:uid="{29BE488E-5D50-F84F-921E-EB6FD24754F2}" uniqueName="210" name="Column210" queryTableFieldId="210" dataDxfId="2120"/>
    <tableColumn id="211" xr3:uid="{478F53AF-CC92-8944-8D14-4F841505CF47}" uniqueName="211" name="Column211" queryTableFieldId="211" dataDxfId="2119"/>
    <tableColumn id="212" xr3:uid="{BFA65ECB-CB30-F74D-B183-BA197869762B}" uniqueName="212" name="Column212" queryTableFieldId="212" dataDxfId="2118"/>
    <tableColumn id="213" xr3:uid="{0E498B26-7AAD-BF46-82BB-A7295D8AAACE}" uniqueName="213" name="Column213" queryTableFieldId="213" dataDxfId="2117"/>
    <tableColumn id="214" xr3:uid="{0CC708ED-AD7C-5E46-B38D-01838B4A07E7}" uniqueName="214" name="Column214" queryTableFieldId="214" dataDxfId="2116"/>
    <tableColumn id="215" xr3:uid="{2C83DD7A-4986-2243-9D39-DA409490E3A2}" uniqueName="215" name="Column215" queryTableFieldId="215" dataDxfId="2115"/>
    <tableColumn id="216" xr3:uid="{713261F2-50D1-FE4C-9075-848630771BBC}" uniqueName="216" name="Column216" queryTableFieldId="216" dataDxfId="2114"/>
    <tableColumn id="217" xr3:uid="{C0C6BC82-190A-0D4A-BB9D-5E6573AF2695}" uniqueName="217" name="Column217" queryTableFieldId="217" dataDxfId="2113"/>
    <tableColumn id="218" xr3:uid="{BAEF7F6D-F9EC-4840-94E3-2531BED4E4AE}" uniqueName="218" name="Column218" queryTableFieldId="218" dataDxfId="2112"/>
    <tableColumn id="219" xr3:uid="{F662BB72-8C43-AC44-96D1-86E89FBAAEFA}" uniqueName="219" name="Column219" queryTableFieldId="219" dataDxfId="2111"/>
    <tableColumn id="220" xr3:uid="{6C1D1083-B0B7-3A40-86B6-3E86C1103C31}" uniqueName="220" name="Column220" queryTableFieldId="220" dataDxfId="2110"/>
    <tableColumn id="221" xr3:uid="{3CCEFE8D-BB48-E647-8D98-045C02E43769}" uniqueName="221" name="Column221" queryTableFieldId="221" dataDxfId="2109"/>
    <tableColumn id="222" xr3:uid="{13CB996B-A104-1542-BD2F-A728D2C9B485}" uniqueName="222" name="Column222" queryTableFieldId="222" dataDxfId="2108"/>
    <tableColumn id="223" xr3:uid="{9DDCE0D9-2302-F748-B8F3-A019D1A95905}" uniqueName="223" name="Column223" queryTableFieldId="223" dataDxfId="2107"/>
    <tableColumn id="224" xr3:uid="{FAF47EB6-5E16-2A49-8D00-D6FB63DCF8A1}" uniqueName="224" name="Column224" queryTableFieldId="224" dataDxfId="2106"/>
    <tableColumn id="225" xr3:uid="{3BE43552-2EDB-114C-B36A-5D440C818F2D}" uniqueName="225" name="Column225" queryTableFieldId="225" dataDxfId="2105"/>
    <tableColumn id="226" xr3:uid="{EF7BFD03-F32A-494C-9D9C-CBF4E3E21959}" uniqueName="226" name="Column226" queryTableFieldId="226" dataDxfId="2104"/>
    <tableColumn id="227" xr3:uid="{8CA9D36A-D304-2349-A8B8-55336FC69974}" uniqueName="227" name="Column227" queryTableFieldId="227" dataDxfId="2103"/>
    <tableColumn id="228" xr3:uid="{6C428C20-E5B7-B547-A1AC-A235EFF5FEEB}" uniqueName="228" name="Column228" queryTableFieldId="228" dataDxfId="2102"/>
    <tableColumn id="229" xr3:uid="{480C9518-ED15-664F-B35F-91A588CBD768}" uniqueName="229" name="Column229" queryTableFieldId="229" dataDxfId="2101"/>
    <tableColumn id="230" xr3:uid="{45E21C7A-2BF4-3F4A-8BBC-FE9D4AAE6AE5}" uniqueName="230" name="Column230" queryTableFieldId="230" dataDxfId="2100"/>
    <tableColumn id="231" xr3:uid="{5B09B0C5-B51E-FB40-A4DE-13067352653F}" uniqueName="231" name="Column231" queryTableFieldId="231" dataDxfId="2099"/>
    <tableColumn id="232" xr3:uid="{AD18E5D9-EAC8-A648-BC9F-21588AE0CC74}" uniqueName="232" name="Column232" queryTableFieldId="232" dataDxfId="2098"/>
    <tableColumn id="233" xr3:uid="{01142411-F3FB-2744-8222-B16DCF10A439}" uniqueName="233" name="Column233" queryTableFieldId="233" dataDxfId="2097"/>
    <tableColumn id="234" xr3:uid="{CA9FB8A6-9B63-0E46-A898-124DD1ECDF53}" uniqueName="234" name="Column234" queryTableFieldId="234" dataDxfId="2096"/>
    <tableColumn id="235" xr3:uid="{1A0AA40F-392E-1546-BF9A-39AE665B231D}" uniqueName="235" name="Column235" queryTableFieldId="235" dataDxfId="2095"/>
    <tableColumn id="236" xr3:uid="{B7F13AD6-7B79-9B42-BC85-27FA22F14356}" uniqueName="236" name="Column236" queryTableFieldId="236" dataDxfId="2094"/>
    <tableColumn id="237" xr3:uid="{E7752845-2EF1-3B47-A403-BF434B8413CE}" uniqueName="237" name="Column237" queryTableFieldId="237" dataDxfId="2093"/>
    <tableColumn id="238" xr3:uid="{121F649E-D2A9-AA45-BE9B-577C9F72DB73}" uniqueName="238" name="Column238" queryTableFieldId="238" dataDxfId="2092"/>
    <tableColumn id="239" xr3:uid="{0ED818EE-DECF-0D46-9B1B-CCCB9F47DF32}" uniqueName="239" name="Column239" queryTableFieldId="239" dataDxfId="2091"/>
    <tableColumn id="240" xr3:uid="{89A1ED97-50E4-AE48-BD01-178CB5030B74}" uniqueName="240" name="Column240" queryTableFieldId="240" dataDxfId="2090"/>
    <tableColumn id="241" xr3:uid="{E77A52EB-CF0C-054C-902A-409C58F126DA}" uniqueName="241" name="Column241" queryTableFieldId="241" dataDxfId="2089"/>
    <tableColumn id="242" xr3:uid="{9BA5A22C-6167-514D-A478-02A0AE343E11}" uniqueName="242" name="Column242" queryTableFieldId="242" dataDxfId="2088"/>
    <tableColumn id="243" xr3:uid="{BD923B41-83F0-654F-BEE1-6A95B1F3E7B0}" uniqueName="243" name="Column243" queryTableFieldId="243" dataDxfId="2087"/>
    <tableColumn id="244" xr3:uid="{F7C146C8-581A-9643-B4DA-B3BF9BD7A3DA}" uniqueName="244" name="Column244" queryTableFieldId="244" dataDxfId="2086"/>
    <tableColumn id="245" xr3:uid="{6FBB086B-A3E1-014B-867D-C1DBD9DCCFA1}" uniqueName="245" name="Column245" queryTableFieldId="245" dataDxfId="2085"/>
    <tableColumn id="246" xr3:uid="{E60AD578-E207-0E4F-A315-B8E8032C71E6}" uniqueName="246" name="Column246" queryTableFieldId="246" dataDxfId="2084"/>
    <tableColumn id="247" xr3:uid="{5E1CA863-DE47-C341-8F77-580389B9B165}" uniqueName="247" name="Column247" queryTableFieldId="247" dataDxfId="2083"/>
    <tableColumn id="248" xr3:uid="{7EAEDA0A-F51B-A54D-83DB-5FE1D8EF9864}" uniqueName="248" name="Column248" queryTableFieldId="248" dataDxfId="2082"/>
    <tableColumn id="249" xr3:uid="{6D4DEA01-9B85-8540-96A7-16D2728194E4}" uniqueName="249" name="Column249" queryTableFieldId="249" dataDxfId="2081"/>
    <tableColumn id="250" xr3:uid="{5465D92B-2EF3-F749-A682-BC8D14DE7D5D}" uniqueName="250" name="Column250" queryTableFieldId="250" dataDxfId="2080"/>
    <tableColumn id="251" xr3:uid="{FEDD37A2-7DAE-1745-8D20-0B6676F7C38A}" uniqueName="251" name="Column251" queryTableFieldId="251" dataDxfId="2079"/>
    <tableColumn id="252" xr3:uid="{A76188D2-1364-6545-B238-E12ADC5BD47D}" uniqueName="252" name="Column252" queryTableFieldId="252" dataDxfId="2078"/>
    <tableColumn id="253" xr3:uid="{77123646-F5EC-124D-A79C-1D6D2B7E19FF}" uniqueName="253" name="Column253" queryTableFieldId="253" dataDxfId="2077"/>
    <tableColumn id="254" xr3:uid="{0F2C3C28-204E-1442-9556-C9C480AF3F81}" uniqueName="254" name="Column254" queryTableFieldId="254" dataDxfId="2076"/>
    <tableColumn id="255" xr3:uid="{7515AD64-8835-7B40-B464-760B0EB4271B}" uniqueName="255" name="Column255" queryTableFieldId="255" dataDxfId="2075"/>
    <tableColumn id="256" xr3:uid="{C7E8B1F3-0FF8-3646-9AFA-67FA8358222F}" uniqueName="256" name="Column256" queryTableFieldId="256" dataDxfId="2074"/>
    <tableColumn id="257" xr3:uid="{5CE4B326-8383-5341-9DA8-08E58F9F8FD0}" uniqueName="257" name="Column257" queryTableFieldId="257" dataDxfId="2073"/>
    <tableColumn id="258" xr3:uid="{C4FECD3A-9652-B84E-A231-910E6E7C66F3}" uniqueName="258" name="Column258" queryTableFieldId="258" dataDxfId="2072"/>
    <tableColumn id="259" xr3:uid="{5A407BAA-CE34-4848-9253-102BC3055717}" uniqueName="259" name="Column259" queryTableFieldId="259" dataDxfId="2071"/>
    <tableColumn id="260" xr3:uid="{382FA3A9-B62C-E441-90FE-0C712AD7E212}" uniqueName="260" name="Column260" queryTableFieldId="260" dataDxfId="2070"/>
    <tableColumn id="261" xr3:uid="{BB993629-D2C4-0642-97CF-45073FA108E4}" uniqueName="261" name="Column261" queryTableFieldId="261" dataDxfId="2069"/>
    <tableColumn id="262" xr3:uid="{6D031965-05D9-B14F-B253-36B4E5AAA743}" uniqueName="262" name="Column262" queryTableFieldId="262" dataDxfId="2068"/>
    <tableColumn id="263" xr3:uid="{BE78CFD6-677B-7647-A808-C8FEBE9B9D01}" uniqueName="263" name="Column263" queryTableFieldId="263" dataDxfId="2067"/>
    <tableColumn id="264" xr3:uid="{761D1942-89FD-1441-8FA1-B39EF573E58A}" uniqueName="264" name="Column264" queryTableFieldId="264" dataDxfId="2066"/>
    <tableColumn id="265" xr3:uid="{A04404EE-A865-4B46-A391-F45F50D7380F}" uniqueName="265" name="Column265" queryTableFieldId="265" dataDxfId="2065"/>
    <tableColumn id="266" xr3:uid="{42A2CC8F-7892-9647-A34A-050EBF3701C3}" uniqueName="266" name="Column266" queryTableFieldId="266" dataDxfId="2064"/>
    <tableColumn id="267" xr3:uid="{7B66C325-0D55-3044-BBA8-F65559F9CB2C}" uniqueName="267" name="Column267" queryTableFieldId="267" dataDxfId="2063"/>
    <tableColumn id="268" xr3:uid="{0C4492B3-8B18-2343-994E-FA7DD9074A35}" uniqueName="268" name="Column268" queryTableFieldId="268" dataDxfId="2062"/>
    <tableColumn id="269" xr3:uid="{29282AE7-EBDE-7943-B20B-DE05E2DA4B45}" uniqueName="269" name="Column269" queryTableFieldId="269" dataDxfId="2061"/>
    <tableColumn id="270" xr3:uid="{24F62FE1-25ED-D748-B328-D5011A8E5539}" uniqueName="270" name="Column270" queryTableFieldId="270" dataDxfId="2060"/>
    <tableColumn id="271" xr3:uid="{7B932EF3-F597-F549-8F4B-272D5EEE0B5D}" uniqueName="271" name="Column271" queryTableFieldId="271" dataDxfId="2059"/>
    <tableColumn id="272" xr3:uid="{F322F9B3-AA34-B54E-95EC-00174B12D338}" uniqueName="272" name="Column272" queryTableFieldId="272" dataDxfId="2058"/>
    <tableColumn id="273" xr3:uid="{D3D9DE4F-3454-3B41-8316-9F1B91C1C40A}" uniqueName="273" name="Column273" queryTableFieldId="273" dataDxfId="2057"/>
    <tableColumn id="274" xr3:uid="{D6DF26F8-2DC0-6B48-99D1-EC4959900A6A}" uniqueName="274" name="Column274" queryTableFieldId="274" dataDxfId="2056"/>
    <tableColumn id="275" xr3:uid="{43F79171-D486-664D-AF65-3ACDD810047E}" uniqueName="275" name="Column275" queryTableFieldId="275" dataDxfId="2055"/>
    <tableColumn id="276" xr3:uid="{C5DC32F1-EC39-D745-8DD0-ED92544B8AA9}" uniqueName="276" name="Column276" queryTableFieldId="276" dataDxfId="2054"/>
    <tableColumn id="277" xr3:uid="{27ABFF81-718F-1542-85CD-2E08AFE848C1}" uniqueName="277" name="Column277" queryTableFieldId="277" dataDxfId="2053"/>
    <tableColumn id="278" xr3:uid="{674E8E78-A767-E444-9485-7DEE0922E1C3}" uniqueName="278" name="Column278" queryTableFieldId="278" dataDxfId="2052"/>
    <tableColumn id="279" xr3:uid="{A941257E-A4C3-4449-818B-F5EA9847992E}" uniqueName="279" name="Column279" queryTableFieldId="279" dataDxfId="2051"/>
    <tableColumn id="280" xr3:uid="{F42A12C9-D101-5449-A8AA-C0655E03D6F0}" uniqueName="280" name="Column280" queryTableFieldId="280" dataDxfId="2050"/>
    <tableColumn id="281" xr3:uid="{5D08678D-96E8-1F4D-B75A-D73BB12AB382}" uniqueName="281" name="Column281" queryTableFieldId="281" dataDxfId="2049"/>
    <tableColumn id="282" xr3:uid="{ED95711D-5FF5-E84C-BB0D-107E6498C0D0}" uniqueName="282" name="Column282" queryTableFieldId="282" dataDxfId="2048"/>
    <tableColumn id="283" xr3:uid="{95E60103-E07B-1F43-9A5F-28DA1642FBD5}" uniqueName="283" name="Column283" queryTableFieldId="283" dataDxfId="2047"/>
    <tableColumn id="284" xr3:uid="{3D3220CE-1417-9946-80DE-0970ABB5B6F6}" uniqueName="284" name="Column284" queryTableFieldId="284" dataDxfId="2046"/>
    <tableColumn id="285" xr3:uid="{6D4BDC48-BF47-634B-A339-49B56F75E745}" uniqueName="285" name="Column285" queryTableFieldId="285" dataDxfId="2045"/>
    <tableColumn id="286" xr3:uid="{A96AB0E3-4522-7346-AA47-4E3CFB733709}" uniqueName="286" name="Column286" queryTableFieldId="286" dataDxfId="2044"/>
    <tableColumn id="287" xr3:uid="{B630F374-2FBC-6842-AD56-DFF241A9C0E9}" uniqueName="287" name="Column287" queryTableFieldId="287" dataDxfId="2043"/>
    <tableColumn id="288" xr3:uid="{D622CED3-5AA8-6F47-B80E-33EC85281D83}" uniqueName="288" name="Column288" queryTableFieldId="288" dataDxfId="2042"/>
    <tableColumn id="289" xr3:uid="{86233F6B-B20F-DD43-AE40-411460A2CDCB}" uniqueName="289" name="Column289" queryTableFieldId="289" dataDxfId="2041"/>
    <tableColumn id="290" xr3:uid="{C66295DA-6426-5945-B600-2508E32FAA32}" uniqueName="290" name="Column290" queryTableFieldId="290" dataDxfId="2040"/>
    <tableColumn id="291" xr3:uid="{CD82B086-8DF1-B449-BB50-F0FF40BF074E}" uniqueName="291" name="Column291" queryTableFieldId="291" dataDxfId="2039"/>
    <tableColumn id="292" xr3:uid="{67855EE5-6545-9E41-A75E-03D82F58FA3F}" uniqueName="292" name="Column292" queryTableFieldId="292" dataDxfId="2038"/>
    <tableColumn id="293" xr3:uid="{17C77163-6AA9-BE43-8630-4300B6606E91}" uniqueName="293" name="Column293" queryTableFieldId="293" dataDxfId="2037"/>
    <tableColumn id="294" xr3:uid="{55A8630D-4AD6-4E4E-B0E4-0516CE0231DC}" uniqueName="294" name="Column294" queryTableFieldId="294" dataDxfId="2036"/>
    <tableColumn id="295" xr3:uid="{923ACD6D-6424-D149-A9E1-C42CB473FD3F}" uniqueName="295" name="Column295" queryTableFieldId="295" dataDxfId="2035"/>
    <tableColumn id="296" xr3:uid="{93164E8B-619C-6C40-9406-96686520DB69}" uniqueName="296" name="Column296" queryTableFieldId="296" dataDxfId="2034"/>
    <tableColumn id="297" xr3:uid="{1FD5F6F9-86AC-2F4C-B96A-537120224A3E}" uniqueName="297" name="Column297" queryTableFieldId="297" dataDxfId="2033"/>
    <tableColumn id="298" xr3:uid="{94074517-9F6C-2E44-A5C3-6D4891C8CC5E}" uniqueName="298" name="Column298" queryTableFieldId="298" dataDxfId="2032"/>
    <tableColumn id="299" xr3:uid="{C1E98BAD-4912-2B42-ADC6-42BEC7C53C7A}" uniqueName="299" name="Column299" queryTableFieldId="299" dataDxfId="2031"/>
    <tableColumn id="300" xr3:uid="{900F205F-6AF6-8D43-AA1C-FC2C67AD95BA}" uniqueName="300" name="Column300" queryTableFieldId="300" dataDxfId="2030"/>
    <tableColumn id="301" xr3:uid="{CE815C09-2117-AE4E-B677-483B05505AAB}" uniqueName="301" name="Column301" queryTableFieldId="301" dataDxfId="2029"/>
    <tableColumn id="302" xr3:uid="{850B0670-8B6E-B045-A75C-C286C5AD5E2B}" uniqueName="302" name="Column302" queryTableFieldId="302" dataDxfId="2028"/>
    <tableColumn id="303" xr3:uid="{2F47EA09-E477-3646-B660-08AA25201D0D}" uniqueName="303" name="Column303" queryTableFieldId="303" dataDxfId="2027"/>
    <tableColumn id="304" xr3:uid="{2B8897FE-AFFF-1745-9F14-7B997D1868FC}" uniqueName="304" name="Column304" queryTableFieldId="304" dataDxfId="2026"/>
    <tableColumn id="305" xr3:uid="{3DC5A699-31D6-E548-B7CE-EFB03D1C33C2}" uniqueName="305" name="Column305" queryTableFieldId="305" dataDxfId="2025"/>
    <tableColumn id="306" xr3:uid="{99177A36-560D-FB45-ACB0-25D6FAF6E7BE}" uniqueName="306" name="Column306" queryTableFieldId="306" dataDxfId="2024"/>
    <tableColumn id="307" xr3:uid="{ED16D6B5-89E9-134F-82DA-7961DDAAFE08}" uniqueName="307" name="Column307" queryTableFieldId="307" dataDxfId="2023"/>
    <tableColumn id="308" xr3:uid="{D5383D31-56A1-AE47-9263-5A3D02595E6B}" uniqueName="308" name="Column308" queryTableFieldId="308" dataDxfId="2022"/>
    <tableColumn id="309" xr3:uid="{066F2957-7CC4-0F4C-8301-BCDBAE5E84F5}" uniqueName="309" name="Column309" queryTableFieldId="309" dataDxfId="2021"/>
    <tableColumn id="310" xr3:uid="{D2AAD28E-39C9-324D-9B58-3B92041F681F}" uniqueName="310" name="Column310" queryTableFieldId="310" dataDxfId="2020"/>
    <tableColumn id="311" xr3:uid="{477379AB-76DA-7943-8733-A39471A3E78D}" uniqueName="311" name="Column311" queryTableFieldId="311" dataDxfId="2019"/>
    <tableColumn id="312" xr3:uid="{4A7B4B6C-464C-B146-8166-7992383ADFE4}" uniqueName="312" name="Column312" queryTableFieldId="312" dataDxfId="2018"/>
    <tableColumn id="313" xr3:uid="{40793EFB-FC48-AD49-B99A-B8BCE1553D57}" uniqueName="313" name="Column313" queryTableFieldId="313" dataDxfId="2017"/>
    <tableColumn id="314" xr3:uid="{B2288188-DF7F-8C41-8A13-C2AF7CD4532C}" uniqueName="314" name="Column314" queryTableFieldId="314" dataDxfId="2016"/>
    <tableColumn id="315" xr3:uid="{8742A763-BFBA-6E45-BAEA-F61757886CB8}" uniqueName="315" name="Column315" queryTableFieldId="315" dataDxfId="2015"/>
    <tableColumn id="316" xr3:uid="{69CC74C1-69A8-0148-9C68-E914D60F29F9}" uniqueName="316" name="Column316" queryTableFieldId="316" dataDxfId="2014"/>
    <tableColumn id="317" xr3:uid="{D6947E36-4FDC-2C4C-9D0F-E88DD506EE7A}" uniqueName="317" name="Column317" queryTableFieldId="317" dataDxfId="2013"/>
    <tableColumn id="318" xr3:uid="{557E2BF3-EFA0-B94F-B30F-D98420A1C73B}" uniqueName="318" name="Column318" queryTableFieldId="318" dataDxfId="2012"/>
    <tableColumn id="319" xr3:uid="{6AD21662-79DE-B548-9A1F-63AAB2478597}" uniqueName="319" name="Column319" queryTableFieldId="319" dataDxfId="2011"/>
    <tableColumn id="320" xr3:uid="{A7259A85-2445-B74B-9F88-0173FA930DE8}" uniqueName="320" name="Column320" queryTableFieldId="320" dataDxfId="2010"/>
    <tableColumn id="321" xr3:uid="{570926E8-0F50-F946-A9C1-74F8364BD6D9}" uniqueName="321" name="Column321" queryTableFieldId="321" dataDxfId="2009"/>
    <tableColumn id="322" xr3:uid="{B197118B-7BB6-2343-9610-A506CCA05D73}" uniqueName="322" name="Column322" queryTableFieldId="322" dataDxfId="2008"/>
    <tableColumn id="323" xr3:uid="{8C60EAD3-71EF-D24F-A816-4931C3C7352F}" uniqueName="323" name="Column323" queryTableFieldId="323" dataDxfId="2007"/>
    <tableColumn id="324" xr3:uid="{EE0F9A7F-B67A-3442-B696-F16DFAE244A4}" uniqueName="324" name="Column324" queryTableFieldId="324" dataDxfId="2006"/>
    <tableColumn id="325" xr3:uid="{2266DD6F-3AC0-4B49-832E-0F760BE6FD5F}" uniqueName="325" name="Column325" queryTableFieldId="325" dataDxfId="2005"/>
    <tableColumn id="326" xr3:uid="{951A5173-02CF-7C45-AAB7-A4113AA8786F}" uniqueName="326" name="Column326" queryTableFieldId="326" dataDxfId="2004"/>
    <tableColumn id="327" xr3:uid="{9FC41CA1-47EE-BD44-B0C0-3242518688FC}" uniqueName="327" name="Column327" queryTableFieldId="327" dataDxfId="2003"/>
    <tableColumn id="328" xr3:uid="{F4E6CCF4-DB15-864F-BC51-8FE6E3DEF008}" uniqueName="328" name="Column328" queryTableFieldId="328" dataDxfId="2002"/>
    <tableColumn id="329" xr3:uid="{8DD25644-1C35-9F4C-A7FB-2326053ABA4B}" uniqueName="329" name="Column329" queryTableFieldId="329" dataDxfId="2001"/>
    <tableColumn id="330" xr3:uid="{3399B107-7A80-734C-885D-25D0516A3258}" uniqueName="330" name="Column330" queryTableFieldId="330" dataDxfId="2000"/>
    <tableColumn id="331" xr3:uid="{3B5F07E5-F47F-5346-AD51-D7C240B551D1}" uniqueName="331" name="Column331" queryTableFieldId="331" dataDxfId="1999"/>
    <tableColumn id="332" xr3:uid="{CF712313-D710-1D41-8246-833F88162314}" uniqueName="332" name="Column332" queryTableFieldId="332" dataDxfId="1998"/>
    <tableColumn id="333" xr3:uid="{61537F2E-48E4-7645-BCB4-81108CBCFB04}" uniqueName="333" name="Column333" queryTableFieldId="333" dataDxfId="1997"/>
    <tableColumn id="334" xr3:uid="{C93F9054-51EC-4F4E-B531-317E9E24C0A1}" uniqueName="334" name="Column334" queryTableFieldId="334" dataDxfId="1996"/>
    <tableColumn id="335" xr3:uid="{491D3FC6-08EC-7A46-BD3C-E7718C017549}" uniqueName="335" name="Column335" queryTableFieldId="335" dataDxfId="1995"/>
    <tableColumn id="336" xr3:uid="{6813C04A-4C0C-3A49-B073-4A2C098FCCC8}" uniqueName="336" name="Column336" queryTableFieldId="336" dataDxfId="1994"/>
    <tableColumn id="337" xr3:uid="{1617B8E9-671E-EE4C-A031-3C9847FCB6CE}" uniqueName="337" name="Column337" queryTableFieldId="337" dataDxfId="1993"/>
    <tableColumn id="338" xr3:uid="{CBF2FEC1-5EEA-354C-8A3C-F648C956941F}" uniqueName="338" name="Column338" queryTableFieldId="338" dataDxfId="1992"/>
    <tableColumn id="339" xr3:uid="{39D0E2F7-2F7C-6F48-AB10-7FC5D77E83D9}" uniqueName="339" name="Column339" queryTableFieldId="339" dataDxfId="1991"/>
    <tableColumn id="340" xr3:uid="{C96EFEAB-79B2-9242-88D7-96DBE57647AE}" uniqueName="340" name="Column340" queryTableFieldId="340" dataDxfId="1990"/>
    <tableColumn id="341" xr3:uid="{D67E0CD8-398D-6B43-B6BF-DE1FA66571A4}" uniqueName="341" name="Column341" queryTableFieldId="341" dataDxfId="1989"/>
    <tableColumn id="342" xr3:uid="{40E9260A-534C-304C-B757-6788CB11CD4C}" uniqueName="342" name="Column342" queryTableFieldId="342" dataDxfId="1988"/>
    <tableColumn id="343" xr3:uid="{CC602177-D5D1-8D44-8F17-37E91E5A5339}" uniqueName="343" name="Column343" queryTableFieldId="343" dataDxfId="1987"/>
    <tableColumn id="344" xr3:uid="{62DED171-2F3C-A745-A3E6-BC7810CF038A}" uniqueName="344" name="Column344" queryTableFieldId="344" dataDxfId="1986"/>
    <tableColumn id="345" xr3:uid="{C6BAA089-D855-9245-AA42-1738667575E9}" uniqueName="345" name="Column345" queryTableFieldId="345" dataDxfId="1985"/>
    <tableColumn id="346" xr3:uid="{ADB08567-F793-0542-BDA6-E4A006E21C62}" uniqueName="346" name="Column346" queryTableFieldId="346" dataDxfId="1984"/>
    <tableColumn id="347" xr3:uid="{EBAA5D9B-D6B2-B941-99AC-295388F8FD56}" uniqueName="347" name="Column347" queryTableFieldId="347" dataDxfId="1983"/>
    <tableColumn id="348" xr3:uid="{72513E5B-41A1-024C-961D-96F7D31CD72F}" uniqueName="348" name="Column348" queryTableFieldId="348" dataDxfId="1982"/>
    <tableColumn id="349" xr3:uid="{6D16481F-5D52-DA4E-A294-D86A096D0E79}" uniqueName="349" name="Column349" queryTableFieldId="349" dataDxfId="1981"/>
    <tableColumn id="350" xr3:uid="{7D11ADAE-62F4-4D4F-8463-A957DD7FEC19}" uniqueName="350" name="Column350" queryTableFieldId="350" dataDxfId="1980"/>
    <tableColumn id="351" xr3:uid="{61EFD57C-F119-8D46-BB46-378E1321F768}" uniqueName="351" name="Column351" queryTableFieldId="351" dataDxfId="1979"/>
    <tableColumn id="352" xr3:uid="{6D1958BF-493C-E048-A0DA-25FF27A1EA89}" uniqueName="352" name="Column352" queryTableFieldId="352" dataDxfId="1978"/>
    <tableColumn id="353" xr3:uid="{C4E1758B-C870-B940-A35F-CC2EC92F9D97}" uniqueName="353" name="Column353" queryTableFieldId="353" dataDxfId="1977"/>
    <tableColumn id="354" xr3:uid="{A7112C1C-AD09-D94E-AA4F-2B84A325A726}" uniqueName="354" name="Column354" queryTableFieldId="354" dataDxfId="1976"/>
    <tableColumn id="355" xr3:uid="{72AC3FDE-818D-7046-94C1-0C64431939B8}" uniqueName="355" name="Column355" queryTableFieldId="355" dataDxfId="1975"/>
    <tableColumn id="356" xr3:uid="{940E0FEE-B458-B141-8D85-8356AD33FE9B}" uniqueName="356" name="Column356" queryTableFieldId="356" dataDxfId="1974"/>
    <tableColumn id="357" xr3:uid="{0B333B3C-2190-4646-8FE9-7F11EF754A5C}" uniqueName="357" name="Column357" queryTableFieldId="357" dataDxfId="1973"/>
    <tableColumn id="358" xr3:uid="{C8D4AFD8-75FD-0144-BC99-36C7D011720C}" uniqueName="358" name="Column358" queryTableFieldId="358" dataDxfId="1972"/>
    <tableColumn id="359" xr3:uid="{1193240F-4313-AA4A-961F-CC7CD40C222D}" uniqueName="359" name="Column359" queryTableFieldId="359" dataDxfId="1971"/>
    <tableColumn id="360" xr3:uid="{4E3FC13F-8945-964F-9D73-98422BA162E6}" uniqueName="360" name="Column360" queryTableFieldId="360" dataDxfId="1970"/>
    <tableColumn id="361" xr3:uid="{8B2CC463-A431-6E47-A281-F1D40BCF9085}" uniqueName="361" name="Column361" queryTableFieldId="361" dataDxfId="1969"/>
    <tableColumn id="362" xr3:uid="{427BDEC3-FB2F-BB4B-895D-1EA888D2F4F9}" uniqueName="362" name="Column362" queryTableFieldId="362" dataDxfId="1968"/>
    <tableColumn id="363" xr3:uid="{65691E2F-7BF9-CA41-BB3E-2F70790CE9BC}" uniqueName="363" name="Column363" queryTableFieldId="363" dataDxfId="1967"/>
    <tableColumn id="364" xr3:uid="{93BCEC30-9159-E549-A605-58800C784BFD}" uniqueName="364" name="Column364" queryTableFieldId="364" dataDxfId="1966"/>
    <tableColumn id="365" xr3:uid="{ED70C38D-A7C7-E848-AECB-E7A676ADDDF7}" uniqueName="365" name="Column365" queryTableFieldId="365" dataDxfId="1965"/>
    <tableColumn id="366" xr3:uid="{57976622-97CA-5848-9ADD-7C96E71CE567}" uniqueName="366" name="Column366" queryTableFieldId="366" dataDxfId="1964"/>
    <tableColumn id="367" xr3:uid="{F6BE4FA1-4ACD-6E42-BC39-1E145E3CD3E8}" uniqueName="367" name="Column367" queryTableFieldId="367" dataDxfId="1963"/>
    <tableColumn id="368" xr3:uid="{996C10D1-2B72-584A-8261-FD24106C8B3B}" uniqueName="368" name="Column368" queryTableFieldId="368" dataDxfId="1962"/>
    <tableColumn id="369" xr3:uid="{1A0C5D36-2206-FD4C-9456-130E93DD900A}" uniqueName="369" name="Column369" queryTableFieldId="369" dataDxfId="1961"/>
    <tableColumn id="370" xr3:uid="{DC5A67B9-04C1-E545-B1B0-3E1A712C9BBC}" uniqueName="370" name="Column370" queryTableFieldId="370" dataDxfId="1960"/>
    <tableColumn id="371" xr3:uid="{EEBC6BCB-D8C1-AC45-8381-F438AA4C5F9D}" uniqueName="371" name="Column371" queryTableFieldId="371" dataDxfId="1959"/>
    <tableColumn id="372" xr3:uid="{9AC18045-86F0-044D-804F-9DC4A359C969}" uniqueName="372" name="Column372" queryTableFieldId="372" dataDxfId="1958"/>
    <tableColumn id="373" xr3:uid="{42FC4D4F-CB93-E944-A27D-233846DBE99D}" uniqueName="373" name="Column373" queryTableFieldId="373" dataDxfId="1957"/>
    <tableColumn id="374" xr3:uid="{3D490101-2ADF-2343-93BA-C1061C91655F}" uniqueName="374" name="Column374" queryTableFieldId="374" dataDxfId="1956"/>
    <tableColumn id="375" xr3:uid="{96250634-2A4E-E74A-B490-83496FE92CDC}" uniqueName="375" name="Column375" queryTableFieldId="375" dataDxfId="1955"/>
    <tableColumn id="376" xr3:uid="{8717C77F-BBCC-7447-A9AE-976A2BCA0579}" uniqueName="376" name="Column376" queryTableFieldId="376" dataDxfId="1954"/>
    <tableColumn id="377" xr3:uid="{F074B6D6-1BE0-B048-ADF0-531BE4875251}" uniqueName="377" name="Column377" queryTableFieldId="377" dataDxfId="1953"/>
    <tableColumn id="378" xr3:uid="{BEFD5AD4-FB4B-8246-B14A-B2FF173A89D7}" uniqueName="378" name="Column378" queryTableFieldId="378" dataDxfId="1952"/>
    <tableColumn id="379" xr3:uid="{79338BBC-41DA-014E-981E-646906375E06}" uniqueName="379" name="Column379" queryTableFieldId="379" dataDxfId="1951"/>
    <tableColumn id="380" xr3:uid="{3956F738-1751-2A4D-A4C4-3817D5E28DF6}" uniqueName="380" name="Column380" queryTableFieldId="380" dataDxfId="1950"/>
    <tableColumn id="381" xr3:uid="{5F29A5DA-405E-B244-AF91-253340266FB0}" uniqueName="381" name="Column381" queryTableFieldId="381" dataDxfId="1949"/>
    <tableColumn id="382" xr3:uid="{97056E91-0350-0B45-823F-BFD702D3DAC9}" uniqueName="382" name="Column382" queryTableFieldId="382" dataDxfId="1948"/>
    <tableColumn id="383" xr3:uid="{A9114411-FEAF-AA45-B747-BA0765F7DA6C}" uniqueName="383" name="Column383" queryTableFieldId="383" dataDxfId="1947"/>
    <tableColumn id="384" xr3:uid="{FA9CC5F1-06EC-AF4C-94F6-D870606C6533}" uniqueName="384" name="Column384" queryTableFieldId="384" dataDxfId="1946"/>
    <tableColumn id="385" xr3:uid="{241BAF0E-BC3E-0349-8B69-B55F58B3225A}" uniqueName="385" name="Column385" queryTableFieldId="385" dataDxfId="1945"/>
    <tableColumn id="386" xr3:uid="{F5C1E41C-2AAA-E54B-B5F7-E204A02D7976}" uniqueName="386" name="Column386" queryTableFieldId="386" dataDxfId="1944"/>
    <tableColumn id="387" xr3:uid="{D68065C7-5D29-2542-89E4-33F6758219AA}" uniqueName="387" name="Column387" queryTableFieldId="387" dataDxfId="1943"/>
    <tableColumn id="388" xr3:uid="{756CE861-2B4E-9D48-935D-47B7FC7FE074}" uniqueName="388" name="Column388" queryTableFieldId="388" dataDxfId="1942"/>
    <tableColumn id="389" xr3:uid="{B512E91F-0DF4-1E40-805C-C80981B73FB4}" uniqueName="389" name="Column389" queryTableFieldId="389" dataDxfId="1941"/>
    <tableColumn id="390" xr3:uid="{3AE24DF5-3C6B-344E-9A1B-0C763083875E}" uniqueName="390" name="Column390" queryTableFieldId="390" dataDxfId="1940"/>
    <tableColumn id="391" xr3:uid="{4FE125EA-C768-B049-9B63-2376833B1A50}" uniqueName="391" name="Column391" queryTableFieldId="391" dataDxfId="1939"/>
    <tableColumn id="392" xr3:uid="{BFD5C9B1-7E1D-CD4A-A698-01807DE58BA2}" uniqueName="392" name="Column392" queryTableFieldId="392" dataDxfId="1938"/>
    <tableColumn id="393" xr3:uid="{1B51D5EC-E74E-D04C-9355-9AC563427A26}" uniqueName="393" name="Column393" queryTableFieldId="393" dataDxfId="1937"/>
    <tableColumn id="394" xr3:uid="{4F619BDB-5921-984C-8ADF-25AB67F71982}" uniqueName="394" name="Column394" queryTableFieldId="394" dataDxfId="1936"/>
    <tableColumn id="395" xr3:uid="{B8EC8CC8-6C47-6E46-B02E-F8CCF0C05884}" uniqueName="395" name="Column395" queryTableFieldId="395" dataDxfId="1935"/>
    <tableColumn id="396" xr3:uid="{058F9CEC-8553-8344-BA67-D793D7DF9A46}" uniqueName="396" name="Column396" queryTableFieldId="396" dataDxfId="1934"/>
    <tableColumn id="397" xr3:uid="{1066B8B5-76E1-F744-BB57-029D4DDC42A2}" uniqueName="397" name="Column397" queryTableFieldId="397" dataDxfId="1933"/>
    <tableColumn id="398" xr3:uid="{2E1C68EE-55CE-A94B-A96A-0B638E7F31DE}" uniqueName="398" name="Column398" queryTableFieldId="398" dataDxfId="1932"/>
    <tableColumn id="399" xr3:uid="{F3693C5D-D243-CA40-AB43-97B07BD4FE45}" uniqueName="399" name="Column399" queryTableFieldId="399" dataDxfId="1931"/>
    <tableColumn id="400" xr3:uid="{BD8AEB8A-F282-5F46-8307-15B9AFCE6D19}" uniqueName="400" name="Column400" queryTableFieldId="400" dataDxfId="1930"/>
    <tableColumn id="401" xr3:uid="{2C7B84D6-BD33-8748-82FC-678FEB948409}" uniqueName="401" name="Column401" queryTableFieldId="401" dataDxfId="1929"/>
    <tableColumn id="402" xr3:uid="{F2496B49-AC36-2D42-A021-BBE41FCB0621}" uniqueName="402" name="Column402" queryTableFieldId="402" dataDxfId="1928"/>
    <tableColumn id="403" xr3:uid="{DF282A86-A96B-2A4D-A177-38D0E32D1A02}" uniqueName="403" name="Column403" queryTableFieldId="403" dataDxfId="1927"/>
    <tableColumn id="404" xr3:uid="{C5F7F9C2-7D36-0442-BB5B-4F20CC79F464}" uniqueName="404" name="Column404" queryTableFieldId="404" dataDxfId="1926"/>
    <tableColumn id="405" xr3:uid="{B906DEEF-B52B-7C47-8704-E5C841D67DCB}" uniqueName="405" name="Column405" queryTableFieldId="405" dataDxfId="1925"/>
    <tableColumn id="406" xr3:uid="{44287B3F-627E-E744-BC69-4119B4222034}" uniqueName="406" name="Column406" queryTableFieldId="406" dataDxfId="1924"/>
    <tableColumn id="407" xr3:uid="{ABF0DC7A-BD64-A546-9BDD-E5B26F2C4BC2}" uniqueName="407" name="Column407" queryTableFieldId="407" dataDxfId="1923"/>
    <tableColumn id="408" xr3:uid="{A65B70AF-A914-0C4C-805F-7C6A7D8FB7DF}" uniqueName="408" name="Column408" queryTableFieldId="408" dataDxfId="1922"/>
    <tableColumn id="409" xr3:uid="{48EDC33A-798B-C548-B348-61E6D6151A6C}" uniqueName="409" name="Column409" queryTableFieldId="409" dataDxfId="1921"/>
    <tableColumn id="410" xr3:uid="{D65A5287-8B09-FE4A-8BA5-C4DAC41D944C}" uniqueName="410" name="Column410" queryTableFieldId="410" dataDxfId="1920"/>
    <tableColumn id="411" xr3:uid="{07F65046-1D78-BE4C-A872-0244499997AA}" uniqueName="411" name="Column411" queryTableFieldId="411" dataDxfId="1919"/>
    <tableColumn id="412" xr3:uid="{3326F944-0E53-C54B-9761-95E73809765D}" uniqueName="412" name="Column412" queryTableFieldId="412" dataDxfId="1918"/>
    <tableColumn id="413" xr3:uid="{813CA5BE-30DD-BC4F-A946-021A6A5CCDE5}" uniqueName="413" name="Column413" queryTableFieldId="413" dataDxfId="1917"/>
    <tableColumn id="414" xr3:uid="{09AEBD0F-F8AD-1D49-BEF9-F36F0ACAA2F5}" uniqueName="414" name="Column414" queryTableFieldId="414" dataDxfId="1916"/>
    <tableColumn id="415" xr3:uid="{39F7FBC8-6B99-9E42-AA89-ACB1126E8A8D}" uniqueName="415" name="Column415" queryTableFieldId="415" dataDxfId="1915"/>
    <tableColumn id="416" xr3:uid="{121368F1-BE96-CC4D-AB6F-F7F8FECC92B4}" uniqueName="416" name="Column416" queryTableFieldId="416" dataDxfId="1914"/>
    <tableColumn id="417" xr3:uid="{ED21EB5C-6598-E447-9EDD-9F8502D2686C}" uniqueName="417" name="Column417" queryTableFieldId="417" dataDxfId="1913"/>
    <tableColumn id="418" xr3:uid="{C8679C55-068B-7D4C-91BE-58872ABD3727}" uniqueName="418" name="Column418" queryTableFieldId="418" dataDxfId="1912"/>
    <tableColumn id="419" xr3:uid="{24119036-2BE5-A841-AB95-E1B5A09CF75A}" uniqueName="419" name="Column419" queryTableFieldId="419" dataDxfId="1911"/>
    <tableColumn id="420" xr3:uid="{6851F397-B439-A240-9482-970EDE4DDB4C}" uniqueName="420" name="Column420" queryTableFieldId="420" dataDxfId="1910"/>
    <tableColumn id="421" xr3:uid="{11B68FFD-A6FC-DA40-AE07-6ABAE2273B7B}" uniqueName="421" name="Column421" queryTableFieldId="421" dataDxfId="1909"/>
    <tableColumn id="422" xr3:uid="{2611D867-8096-924F-A35A-47159A6BE434}" uniqueName="422" name="Column422" queryTableFieldId="422" dataDxfId="1908"/>
    <tableColumn id="423" xr3:uid="{F2F6A789-5327-B84B-BBD2-D534BB3A54F8}" uniqueName="423" name="Column423" queryTableFieldId="423" dataDxfId="1907"/>
    <tableColumn id="424" xr3:uid="{EE8C10BB-D0E9-8143-8A64-6AFB185262D4}" uniqueName="424" name="Column424" queryTableFieldId="424" dataDxfId="1906"/>
    <tableColumn id="425" xr3:uid="{5913DEFB-8D3C-1A44-ABE1-DB1DB01EE09F}" uniqueName="425" name="Column425" queryTableFieldId="425" dataDxfId="1905"/>
    <tableColumn id="426" xr3:uid="{A8D2D3F0-518C-7545-83CC-54564BB294C5}" uniqueName="426" name="Column426" queryTableFieldId="426" dataDxfId="1904"/>
    <tableColumn id="427" xr3:uid="{1D316F06-BA01-4345-ADD7-719C2B5A8A27}" uniqueName="427" name="Column427" queryTableFieldId="427" dataDxfId="1903"/>
    <tableColumn id="428" xr3:uid="{AFECC5C6-F87E-5545-8F1F-EE08685B408A}" uniqueName="428" name="Column428" queryTableFieldId="428" dataDxfId="1902"/>
    <tableColumn id="429" xr3:uid="{EF5B6576-66A9-4B4F-AA7E-5E8FDBEEED3E}" uniqueName="429" name="Column429" queryTableFieldId="429" dataDxfId="1901"/>
    <tableColumn id="430" xr3:uid="{5A76F0A3-54A6-1148-B86C-F3162E31E5D9}" uniqueName="430" name="Column430" queryTableFieldId="430" dataDxfId="1900"/>
    <tableColumn id="431" xr3:uid="{95878EF9-CDF3-8A4E-8500-34475D9788CB}" uniqueName="431" name="Column431" queryTableFieldId="431" dataDxfId="1899"/>
    <tableColumn id="432" xr3:uid="{990C8593-616C-E246-947E-BC874F4B9F3B}" uniqueName="432" name="Column432" queryTableFieldId="432" dataDxfId="1898"/>
    <tableColumn id="433" xr3:uid="{5A2C4105-5CAF-A347-A58E-FCB0CEB5FA56}" uniqueName="433" name="Column433" queryTableFieldId="433" dataDxfId="1897"/>
    <tableColumn id="434" xr3:uid="{497EABD9-A1B0-ED4E-80D9-46CD1F3806D4}" uniqueName="434" name="Column434" queryTableFieldId="434" dataDxfId="1896"/>
    <tableColumn id="435" xr3:uid="{4C17931D-97E6-C84A-AEBE-951078766988}" uniqueName="435" name="Column435" queryTableFieldId="435" dataDxfId="1895"/>
    <tableColumn id="436" xr3:uid="{3F6D9E6E-E561-FC42-A7DB-439FB43C8F3A}" uniqueName="436" name="Column436" queryTableFieldId="436" dataDxfId="1894"/>
    <tableColumn id="437" xr3:uid="{CD1580D8-7712-C54D-BC1F-295F4BA34B2A}" uniqueName="437" name="Column437" queryTableFieldId="437" dataDxfId="1893"/>
    <tableColumn id="438" xr3:uid="{E02B1828-EB4D-3E49-9651-E228FC908BF7}" uniqueName="438" name="Column438" queryTableFieldId="438" dataDxfId="1892"/>
    <tableColumn id="439" xr3:uid="{3D6DFF66-81E3-6A4E-9588-2A5DA2DA2EAC}" uniqueName="439" name="Column439" queryTableFieldId="439" dataDxfId="1891"/>
    <tableColumn id="440" xr3:uid="{F44D8AC3-03A9-8944-8487-99348795A8B4}" uniqueName="440" name="Column440" queryTableFieldId="440" dataDxfId="1890"/>
    <tableColumn id="441" xr3:uid="{6EF15AD3-0E78-DD46-8637-DE9DABD8E3AB}" uniqueName="441" name="Column441" queryTableFieldId="441" dataDxfId="1889"/>
    <tableColumn id="442" xr3:uid="{26E936D2-4EE8-564B-A2C5-41202D52A21F}" uniqueName="442" name="Column442" queryTableFieldId="442" dataDxfId="1888"/>
    <tableColumn id="443" xr3:uid="{00F862F4-64EA-7948-90ED-00B986C4B45B}" uniqueName="443" name="Column443" queryTableFieldId="443" dataDxfId="1887"/>
    <tableColumn id="444" xr3:uid="{660BA911-5E57-8A49-859D-FD8B349ED240}" uniqueName="444" name="Column444" queryTableFieldId="444" dataDxfId="1886"/>
    <tableColumn id="445" xr3:uid="{470267EA-E470-AC4F-95DC-9B526CF81F29}" uniqueName="445" name="Column445" queryTableFieldId="445" dataDxfId="1885"/>
    <tableColumn id="446" xr3:uid="{AEEB5869-04F8-0C47-8188-76CE05B666AA}" uniqueName="446" name="Column446" queryTableFieldId="446" dataDxfId="1884"/>
    <tableColumn id="447" xr3:uid="{D13675AA-7599-4C43-84E9-D3686B2D8E44}" uniqueName="447" name="Column447" queryTableFieldId="447" dataDxfId="1883"/>
    <tableColumn id="448" xr3:uid="{8367061F-758F-344E-9843-CF2629DCA1E0}" uniqueName="448" name="Column448" queryTableFieldId="448" dataDxfId="1882"/>
    <tableColumn id="449" xr3:uid="{C737A36F-A926-E24E-B67B-8E3AD20E92DC}" uniqueName="449" name="Column449" queryTableFieldId="449" dataDxfId="1881"/>
    <tableColumn id="450" xr3:uid="{3E62908D-DBCD-4847-B706-0AE6A7553157}" uniqueName="450" name="Column450" queryTableFieldId="450" dataDxfId="1880"/>
    <tableColumn id="451" xr3:uid="{794416E6-A6C6-F148-80D1-3CCE17A1D82F}" uniqueName="451" name="Column451" queryTableFieldId="451" dataDxfId="1879"/>
    <tableColumn id="452" xr3:uid="{842C9A58-D214-7641-B210-684C8C4E50D5}" uniqueName="452" name="Column452" queryTableFieldId="452" dataDxfId="1878"/>
    <tableColumn id="453" xr3:uid="{B4B04DB1-1303-7645-9D86-0C1E113AE3F3}" uniqueName="453" name="Column453" queryTableFieldId="453" dataDxfId="1877"/>
    <tableColumn id="454" xr3:uid="{70239440-A5F6-364E-93B8-8B7FEB2147BB}" uniqueName="454" name="Column454" queryTableFieldId="454" dataDxfId="1876"/>
    <tableColumn id="455" xr3:uid="{0435414B-93B7-EF42-BB4D-914709F01293}" uniqueName="455" name="Column455" queryTableFieldId="455" dataDxfId="1875"/>
    <tableColumn id="456" xr3:uid="{FA9AC236-2AA4-BB49-82F5-AAA55EB15CA8}" uniqueName="456" name="Column456" queryTableFieldId="456" dataDxfId="1874"/>
    <tableColumn id="457" xr3:uid="{D9E3A985-D61D-3844-8D41-1BD0CE1F4B1B}" uniqueName="457" name="Column457" queryTableFieldId="457" dataDxfId="1873"/>
    <tableColumn id="458" xr3:uid="{EE8EE6F9-672A-9848-9DAB-AA8407A86CAB}" uniqueName="458" name="Column458" queryTableFieldId="458" dataDxfId="1872"/>
    <tableColumn id="459" xr3:uid="{7C0BA4FE-D16A-4848-955E-1189CF917335}" uniqueName="459" name="Column459" queryTableFieldId="459" dataDxfId="1871"/>
    <tableColumn id="460" xr3:uid="{54A73EA9-83A8-CE4C-92EB-F794C22247C6}" uniqueName="460" name="Column460" queryTableFieldId="460" dataDxfId="1870"/>
    <tableColumn id="461" xr3:uid="{FB20A262-83D2-8D46-BA4C-803ED6BFA187}" uniqueName="461" name="Column461" queryTableFieldId="461" dataDxfId="1869"/>
    <tableColumn id="462" xr3:uid="{E8866DDB-B040-0149-B8B4-F86F7F8DE86F}" uniqueName="462" name="Column462" queryTableFieldId="462" dataDxfId="1868"/>
    <tableColumn id="463" xr3:uid="{E0B0B9C5-1FEA-AB4D-8E8D-C884137BC9A7}" uniqueName="463" name="Column463" queryTableFieldId="463" dataDxfId="1867"/>
    <tableColumn id="464" xr3:uid="{5BB08A30-F6B1-4246-9EDB-D4366879080E}" uniqueName="464" name="Column464" queryTableFieldId="464" dataDxfId="1866"/>
    <tableColumn id="465" xr3:uid="{1AEBCFA3-4798-D840-B344-A029EE910461}" uniqueName="465" name="Column465" queryTableFieldId="465" dataDxfId="1865"/>
    <tableColumn id="466" xr3:uid="{54265897-651E-6743-8E61-C297CED9EACF}" uniqueName="466" name="Column466" queryTableFieldId="466" dataDxfId="1864"/>
    <tableColumn id="467" xr3:uid="{A8F6997B-F216-3143-91B9-E96FBBA5D5CD}" uniqueName="467" name="Column467" queryTableFieldId="467" dataDxfId="1863"/>
    <tableColumn id="468" xr3:uid="{79ACA43F-310D-7240-94A2-478299724B21}" uniqueName="468" name="Column468" queryTableFieldId="468" dataDxfId="1862"/>
    <tableColumn id="469" xr3:uid="{D6B97151-A747-A741-9A02-B4C33F589A50}" uniqueName="469" name="Column469" queryTableFieldId="469" dataDxfId="1861"/>
    <tableColumn id="470" xr3:uid="{ED11354A-7D84-CC49-9144-9DB571A2CAFC}" uniqueName="470" name="Column470" queryTableFieldId="470" dataDxfId="1860"/>
    <tableColumn id="471" xr3:uid="{1D5FA672-62D0-494B-9B3F-E3074931AE2F}" uniqueName="471" name="Column471" queryTableFieldId="471" dataDxfId="1859"/>
    <tableColumn id="472" xr3:uid="{091D2BCC-3CE1-3049-AC92-9501648F28B6}" uniqueName="472" name="Column472" queryTableFieldId="472" dataDxfId="1858"/>
    <tableColumn id="473" xr3:uid="{6CF762D5-A7EA-594B-A91E-75652440C451}" uniqueName="473" name="Column473" queryTableFieldId="473" dataDxfId="1857"/>
    <tableColumn id="474" xr3:uid="{D4D66B70-D81C-EE47-B853-797AE628672E}" uniqueName="474" name="Column474" queryTableFieldId="474" dataDxfId="1856"/>
    <tableColumn id="475" xr3:uid="{0914CF46-062F-DE46-90F1-744CBD76B761}" uniqueName="475" name="Column475" queryTableFieldId="475" dataDxfId="1855"/>
    <tableColumn id="476" xr3:uid="{C0B3708A-7940-9246-A2E2-C5F03803B640}" uniqueName="476" name="Column476" queryTableFieldId="476" dataDxfId="1854"/>
    <tableColumn id="477" xr3:uid="{F489E1CD-F7A9-8840-80CE-190C13378275}" uniqueName="477" name="Column477" queryTableFieldId="477" dataDxfId="1853"/>
    <tableColumn id="478" xr3:uid="{3CDF0DC6-AA1F-2546-9347-84372ECC2257}" uniqueName="478" name="Column478" queryTableFieldId="478" dataDxfId="1852"/>
    <tableColumn id="479" xr3:uid="{F32DE28B-9250-4C46-BA89-5E03E8E9423C}" uniqueName="479" name="Column479" queryTableFieldId="479" dataDxfId="1851"/>
    <tableColumn id="480" xr3:uid="{DB76FDB4-C857-7D4D-B5AB-0A98A1382E86}" uniqueName="480" name="Column480" queryTableFieldId="480" dataDxfId="1850"/>
    <tableColumn id="481" xr3:uid="{E45B8DBA-5605-F047-BE00-EB5B937EFEEB}" uniqueName="481" name="Column481" queryTableFieldId="481" dataDxfId="1849"/>
    <tableColumn id="482" xr3:uid="{6202E496-B80C-6342-8932-850C252E7CC1}" uniqueName="482" name="Column482" queryTableFieldId="482" dataDxfId="1848"/>
    <tableColumn id="483" xr3:uid="{79879472-27B6-E44D-9F73-8CEA5D723445}" uniqueName="483" name="Column483" queryTableFieldId="483" dataDxfId="1847"/>
    <tableColumn id="484" xr3:uid="{0BD81982-38EC-DA4E-89AD-34297AAE3CE3}" uniqueName="484" name="Column484" queryTableFieldId="484" dataDxfId="1846"/>
    <tableColumn id="485" xr3:uid="{FCFC90F6-3F31-BF46-9D70-5C91D5927DD9}" uniqueName="485" name="Column485" queryTableFieldId="485" dataDxfId="1845"/>
    <tableColumn id="486" xr3:uid="{8CAC6170-7B65-D744-98A6-0C10670E20AE}" uniqueName="486" name="Column486" queryTableFieldId="486" dataDxfId="1844"/>
    <tableColumn id="487" xr3:uid="{B23A2E28-F344-F740-BE16-9851EA16238D}" uniqueName="487" name="Column487" queryTableFieldId="487" dataDxfId="1843"/>
    <tableColumn id="488" xr3:uid="{C1F72F7C-A826-8340-A395-C97693297144}" uniqueName="488" name="Column488" queryTableFieldId="488" dataDxfId="1842"/>
    <tableColumn id="489" xr3:uid="{2DAD755B-D4B3-7C4B-8454-0690DB8AA55F}" uniqueName="489" name="Column489" queryTableFieldId="489" dataDxfId="1841"/>
    <tableColumn id="490" xr3:uid="{049E5000-E4B7-1746-8D78-166C0CF82DB5}" uniqueName="490" name="Column490" queryTableFieldId="490" dataDxfId="1840"/>
    <tableColumn id="491" xr3:uid="{0F22FAAE-8C0A-FA4C-AF0F-56631647BDD0}" uniqueName="491" name="Column491" queryTableFieldId="491" dataDxfId="1839"/>
    <tableColumn id="492" xr3:uid="{D43E39C7-7800-1548-A50A-0F7C88657D10}" uniqueName="492" name="Column492" queryTableFieldId="492" dataDxfId="1838"/>
    <tableColumn id="493" xr3:uid="{1354B4C6-9377-DA40-9531-EE20CCB51643}" uniqueName="493" name="Column493" queryTableFieldId="493" dataDxfId="1837"/>
    <tableColumn id="494" xr3:uid="{70AC5A64-1EAB-484B-A587-B278CF31EED8}" uniqueName="494" name="Column494" queryTableFieldId="494" dataDxfId="1836"/>
    <tableColumn id="495" xr3:uid="{EAFC3CF1-36B9-944F-AEFE-5BF4D0D70726}" uniqueName="495" name="Column495" queryTableFieldId="495" dataDxfId="1835"/>
    <tableColumn id="496" xr3:uid="{34E2143C-7A51-284B-BAEA-89CCA3C511BD}" uniqueName="496" name="Column496" queryTableFieldId="496" dataDxfId="1834"/>
    <tableColumn id="497" xr3:uid="{7D1E7270-33BC-0042-BD53-D110187E3112}" uniqueName="497" name="Column497" queryTableFieldId="497" dataDxfId="1833"/>
    <tableColumn id="498" xr3:uid="{AFB1F6DE-9B6D-2945-8E69-5B1B6A4F29A1}" uniqueName="498" name="Column498" queryTableFieldId="498" dataDxfId="1832"/>
    <tableColumn id="499" xr3:uid="{4262F01E-76EE-064E-A063-0F0F8C961459}" uniqueName="499" name="Column499" queryTableFieldId="499" dataDxfId="1831"/>
    <tableColumn id="500" xr3:uid="{55E83D9F-EC4C-504B-963D-B2D5B6DDBAE0}" uniqueName="500" name="Column500" queryTableFieldId="500" dataDxfId="1830"/>
    <tableColumn id="501" xr3:uid="{51DE0D4A-5556-FE4B-B7FF-EEF9BC4D754C}" uniqueName="501" name="Column501" queryTableFieldId="501" dataDxfId="1829"/>
    <tableColumn id="502" xr3:uid="{8F419BC6-9CAE-B94D-BCEE-C3BC201E8FB8}" uniqueName="502" name="Column502" queryTableFieldId="502" dataDxfId="1828"/>
    <tableColumn id="503" xr3:uid="{1C358B24-DBEE-7847-A7F4-192F28A9C72D}" uniqueName="503" name="Column503" queryTableFieldId="503" dataDxfId="1827"/>
    <tableColumn id="504" xr3:uid="{3DE72A76-9855-8146-8A6D-545E58D43690}" uniqueName="504" name="Column504" queryTableFieldId="504" dataDxfId="1826"/>
    <tableColumn id="505" xr3:uid="{F9240CFB-A772-F044-8DF5-8C42CEC3FEEF}" uniqueName="505" name="Column505" queryTableFieldId="505" dataDxfId="1825"/>
    <tableColumn id="506" xr3:uid="{A1DDB80F-2255-5549-AF7A-265A67E065E0}" uniqueName="506" name="Column506" queryTableFieldId="506" dataDxfId="1824"/>
    <tableColumn id="507" xr3:uid="{5EBB6792-F559-6F4D-B884-5D6AC78E2566}" uniqueName="507" name="Column507" queryTableFieldId="507" dataDxfId="1823"/>
    <tableColumn id="508" xr3:uid="{21EE95B8-8CF4-1C40-AAF1-A8B24DB2678F}" uniqueName="508" name="Column508" queryTableFieldId="508" dataDxfId="1822"/>
    <tableColumn id="509" xr3:uid="{47901685-F6CA-EC40-8235-766F688DC8BE}" uniqueName="509" name="Column509" queryTableFieldId="509" dataDxfId="1821"/>
    <tableColumn id="510" xr3:uid="{1C9DE556-A742-DD42-8E24-5A8AD56436DF}" uniqueName="510" name="Column510" queryTableFieldId="510" dataDxfId="1820"/>
    <tableColumn id="511" xr3:uid="{D06D7DCE-6D6F-9448-A990-FB809840112F}" uniqueName="511" name="Column511" queryTableFieldId="511" dataDxfId="1819"/>
    <tableColumn id="512" xr3:uid="{57117E01-20B6-9C46-A507-5FD086C3440C}" uniqueName="512" name="Column512" queryTableFieldId="512" dataDxfId="1818"/>
    <tableColumn id="513" xr3:uid="{BC8FED0A-0DE6-1E47-A610-F2D70A021187}" uniqueName="513" name="Column513" queryTableFieldId="513" dataDxfId="1817"/>
    <tableColumn id="514" xr3:uid="{2BBAB478-C01C-4F4E-B159-AD3BF642E919}" uniqueName="514" name="Column514" queryTableFieldId="514" dataDxfId="1816"/>
    <tableColumn id="515" xr3:uid="{679DFD45-297D-C84B-9FA7-8C2F6B66F868}" uniqueName="515" name="Column515" queryTableFieldId="515" dataDxfId="1815"/>
    <tableColumn id="516" xr3:uid="{0DAAEBF0-AC72-0848-832A-866032FC7B1C}" uniqueName="516" name="Column516" queryTableFieldId="516" dataDxfId="1814"/>
    <tableColumn id="517" xr3:uid="{3D61C377-B856-3A41-AF03-4D61CAEE82E2}" uniqueName="517" name="Column517" queryTableFieldId="517" dataDxfId="1813"/>
    <tableColumn id="518" xr3:uid="{096CD82F-88B0-5041-98B2-5E07863F96E2}" uniqueName="518" name="Column518" queryTableFieldId="518" dataDxfId="1812"/>
    <tableColumn id="519" xr3:uid="{CF8C48EA-4639-6C49-B1D1-C737424F0A70}" uniqueName="519" name="Column519" queryTableFieldId="519" dataDxfId="1811"/>
    <tableColumn id="520" xr3:uid="{3A90AA50-B934-194D-BD6C-1A4BC512CB62}" uniqueName="520" name="Column520" queryTableFieldId="520" dataDxfId="1810"/>
    <tableColumn id="521" xr3:uid="{D4DE9851-0531-CB45-B3EB-989EB14559EE}" uniqueName="521" name="Column521" queryTableFieldId="521" dataDxfId="1809"/>
    <tableColumn id="522" xr3:uid="{6C9F4937-4C09-CC44-9D51-B25D1394DCBA}" uniqueName="522" name="Column522" queryTableFieldId="522" dataDxfId="1808"/>
    <tableColumn id="523" xr3:uid="{F2E89809-131F-D54E-8A76-4E38B860995C}" uniqueName="523" name="Column523" queryTableFieldId="523" dataDxfId="1807"/>
    <tableColumn id="524" xr3:uid="{A1A25B67-8153-9245-9001-4D6FFA0E9496}" uniqueName="524" name="Column524" queryTableFieldId="524" dataDxfId="1806"/>
    <tableColumn id="525" xr3:uid="{83A01AA3-9C41-254F-99EF-0A8B94242602}" uniqueName="525" name="Column525" queryTableFieldId="525" dataDxfId="1805"/>
    <tableColumn id="526" xr3:uid="{AF066BC1-B4B2-3549-9B5B-948BAEE5E5E7}" uniqueName="526" name="Column526" queryTableFieldId="526" dataDxfId="1804"/>
    <tableColumn id="527" xr3:uid="{4A9D3A90-4ED1-A640-BB11-DA44500F2FE0}" uniqueName="527" name="Column527" queryTableFieldId="527" dataDxfId="1803"/>
    <tableColumn id="528" xr3:uid="{7615CA46-D8E5-4942-84B3-2CE936A3E518}" uniqueName="528" name="Column528" queryTableFieldId="528" dataDxfId="1802"/>
    <tableColumn id="529" xr3:uid="{C9C4DE2A-C0CF-944C-96E2-F0C2F09F2BFD}" uniqueName="529" name="Column529" queryTableFieldId="529" dataDxfId="1801"/>
    <tableColumn id="530" xr3:uid="{0D44BE82-6049-7F4C-9B08-2C5DB6063CD1}" uniqueName="530" name="Column530" queryTableFieldId="530" dataDxfId="1800"/>
    <tableColumn id="531" xr3:uid="{8CF6B277-418B-9043-9218-B01C970A3BA8}" uniqueName="531" name="Column531" queryTableFieldId="531" dataDxfId="1799"/>
    <tableColumn id="532" xr3:uid="{93C95963-1E0F-C845-B86A-351C263445C8}" uniqueName="532" name="Column532" queryTableFieldId="532" dataDxfId="1798"/>
    <tableColumn id="533" xr3:uid="{F6C34530-7A4F-C84C-9ECA-01CFB19BEACB}" uniqueName="533" name="Column533" queryTableFieldId="533" dataDxfId="1797"/>
    <tableColumn id="534" xr3:uid="{DD04BE93-0A18-E74C-9DE6-94118E5AAB66}" uniqueName="534" name="Column534" queryTableFieldId="534" dataDxfId="1796"/>
    <tableColumn id="535" xr3:uid="{F78E4A33-577C-794C-BD51-901DB16B1E59}" uniqueName="535" name="Column535" queryTableFieldId="535" dataDxfId="1795"/>
    <tableColumn id="536" xr3:uid="{645D54F6-DC32-724B-9AFD-6118B4DB67DF}" uniqueName="536" name="Column536" queryTableFieldId="536" dataDxfId="1794"/>
    <tableColumn id="537" xr3:uid="{B33FD5F2-B113-8040-BBF7-E093C30EBC3A}" uniqueName="537" name="Column537" queryTableFieldId="537" dataDxfId="1793"/>
    <tableColumn id="538" xr3:uid="{157D7434-32A3-E949-8BCB-CDAE60A5CD43}" uniqueName="538" name="Column538" queryTableFieldId="538" dataDxfId="1792"/>
    <tableColumn id="539" xr3:uid="{7CC49E28-D56D-D44E-AFE7-3F5C75CA06FF}" uniqueName="539" name="Column539" queryTableFieldId="539" dataDxfId="1791"/>
    <tableColumn id="540" xr3:uid="{5DDCAF7A-BC8C-9A4B-A508-F2A47DBC2E9A}" uniqueName="540" name="Column540" queryTableFieldId="540" dataDxfId="1790"/>
    <tableColumn id="541" xr3:uid="{A0F9E1CD-04E5-504D-B7C9-41A8E19F1693}" uniqueName="541" name="Column541" queryTableFieldId="541" dataDxfId="1789"/>
    <tableColumn id="542" xr3:uid="{C8D8487F-71F9-4C43-9DAB-0E04A41837C2}" uniqueName="542" name="Column542" queryTableFieldId="542" dataDxfId="1788"/>
    <tableColumn id="543" xr3:uid="{437A7B91-20B0-EE47-95D0-32D82CA9FC8F}" uniqueName="543" name="Column543" queryTableFieldId="543" dataDxfId="1787"/>
    <tableColumn id="544" xr3:uid="{B6261ED7-E8E4-074B-855D-92FCB96EF6CF}" uniqueName="544" name="Column544" queryTableFieldId="544" dataDxfId="1786"/>
    <tableColumn id="545" xr3:uid="{FBDDFB3E-B0D3-2F47-A976-1A9BFE9AD356}" uniqueName="545" name="Column545" queryTableFieldId="545" dataDxfId="1785"/>
    <tableColumn id="546" xr3:uid="{528EB969-0E11-1849-82C4-C8E4FC67940D}" uniqueName="546" name="Column546" queryTableFieldId="546" dataDxfId="1784"/>
    <tableColumn id="547" xr3:uid="{B84FED12-FBAE-394D-9B7F-DBA5AB267B70}" uniqueName="547" name="Column547" queryTableFieldId="547" dataDxfId="1783"/>
    <tableColumn id="548" xr3:uid="{8D46E958-C977-D84B-AECB-B4A9024451A5}" uniqueName="548" name="Column548" queryTableFieldId="548" dataDxfId="1782"/>
    <tableColumn id="549" xr3:uid="{3D907D6D-FC71-3041-977E-172CA7D10293}" uniqueName="549" name="Column549" queryTableFieldId="549" dataDxfId="1781"/>
    <tableColumn id="550" xr3:uid="{D3687566-A018-6A48-9BD2-554F6E5BA2B7}" uniqueName="550" name="Column550" queryTableFieldId="550" dataDxfId="1780"/>
    <tableColumn id="551" xr3:uid="{FADCC5D1-306A-3347-A920-594B7CC555DE}" uniqueName="551" name="Column551" queryTableFieldId="551" dataDxfId="1779"/>
    <tableColumn id="552" xr3:uid="{B694AF2D-208E-E149-9E16-4ADD9D5950CA}" uniqueName="552" name="Column552" queryTableFieldId="552" dataDxfId="1778"/>
    <tableColumn id="553" xr3:uid="{71F03170-B25D-0E4B-9D39-B56D5FA4115A}" uniqueName="553" name="Column553" queryTableFieldId="553" dataDxfId="1777"/>
    <tableColumn id="554" xr3:uid="{A963AFA0-65A6-4543-B7BB-B53D23BBB5A3}" uniqueName="554" name="Column554" queryTableFieldId="554" dataDxfId="1776"/>
    <tableColumn id="555" xr3:uid="{0C47A221-DB64-694E-9C5F-601A347F495C}" uniqueName="555" name="Column555" queryTableFieldId="555" dataDxfId="1775"/>
    <tableColumn id="556" xr3:uid="{0B598152-6EAA-4540-8525-4856131566AD}" uniqueName="556" name="Column556" queryTableFieldId="556" dataDxfId="1774"/>
    <tableColumn id="557" xr3:uid="{55E1F941-9D4A-4E43-8E17-949D55840506}" uniqueName="557" name="Column557" queryTableFieldId="557" dataDxfId="1773"/>
    <tableColumn id="558" xr3:uid="{30006F92-F6AE-1541-94A0-D0A1F4B318CA}" uniqueName="558" name="Column558" queryTableFieldId="558" dataDxfId="1772"/>
    <tableColumn id="559" xr3:uid="{A73A7324-C7FD-BC41-936F-8D414BBC159C}" uniqueName="559" name="Column559" queryTableFieldId="559" dataDxfId="1771"/>
    <tableColumn id="560" xr3:uid="{0315E456-2222-0D4B-96EA-8181274CAC7A}" uniqueName="560" name="Column560" queryTableFieldId="560" dataDxfId="1770"/>
    <tableColumn id="561" xr3:uid="{199EF1F3-77A0-F345-9EF6-6AF6D7A615F4}" uniqueName="561" name="Column561" queryTableFieldId="561" dataDxfId="1769"/>
    <tableColumn id="562" xr3:uid="{8186EDD4-80C1-4B4E-9449-41B7C5F68133}" uniqueName="562" name="Column562" queryTableFieldId="562" dataDxfId="1768"/>
    <tableColumn id="563" xr3:uid="{01C2154A-A805-BE44-AEDC-614218090652}" uniqueName="563" name="Column563" queryTableFieldId="563" dataDxfId="1767"/>
    <tableColumn id="564" xr3:uid="{415001BA-1CCF-8C45-A0E3-9FF153A18E0D}" uniqueName="564" name="Column564" queryTableFieldId="564" dataDxfId="1766"/>
    <tableColumn id="565" xr3:uid="{D484F5A4-6532-5142-91AA-9E8C637C5454}" uniqueName="565" name="Column565" queryTableFieldId="565" dataDxfId="1765"/>
    <tableColumn id="566" xr3:uid="{609643F5-47A6-844A-B13E-708615851509}" uniqueName="566" name="Column566" queryTableFieldId="566" dataDxfId="1764"/>
    <tableColumn id="567" xr3:uid="{4D1C2E39-08ED-714F-BCBB-A89D690A9CC2}" uniqueName="567" name="Column567" queryTableFieldId="567" dataDxfId="1763"/>
    <tableColumn id="568" xr3:uid="{EC104275-A43D-6E45-B01E-A26C98C18506}" uniqueName="568" name="Column568" queryTableFieldId="568" dataDxfId="1762"/>
    <tableColumn id="569" xr3:uid="{802EE5FA-621E-E64B-B170-7C2498C55704}" uniqueName="569" name="Column569" queryTableFieldId="569" dataDxfId="1761"/>
    <tableColumn id="570" xr3:uid="{A25A62C5-2129-2845-A47A-84CC37C62CA6}" uniqueName="570" name="Column570" queryTableFieldId="570" dataDxfId="1760"/>
    <tableColumn id="571" xr3:uid="{14BCE784-5FE6-9548-8853-F9A52E9807C2}" uniqueName="571" name="Column571" queryTableFieldId="571" dataDxfId="1759"/>
    <tableColumn id="572" xr3:uid="{6330D698-A79A-314F-A7AC-FD24D6E89ED0}" uniqueName="572" name="Column572" queryTableFieldId="572" dataDxfId="1758"/>
    <tableColumn id="573" xr3:uid="{B8B78931-E2E6-A146-BD8D-382CBFB95275}" uniqueName="573" name="Column573" queryTableFieldId="573" dataDxfId="1757"/>
    <tableColumn id="574" xr3:uid="{0DEEAC0D-AEC8-7E4B-A078-3E111F1945EB}" uniqueName="574" name="Column574" queryTableFieldId="574" dataDxfId="1756"/>
    <tableColumn id="575" xr3:uid="{58725DF3-FB73-CA41-AFC8-194475082945}" uniqueName="575" name="Column575" queryTableFieldId="575" dataDxfId="1755"/>
    <tableColumn id="576" xr3:uid="{36BF5A8B-6B88-AB46-A442-18667E398311}" uniqueName="576" name="Column576" queryTableFieldId="576" dataDxfId="1754"/>
    <tableColumn id="577" xr3:uid="{F8602494-E627-E34B-A38D-800BA8A4F050}" uniqueName="577" name="Column577" queryTableFieldId="577" dataDxfId="1753"/>
    <tableColumn id="578" xr3:uid="{9DAC8C0D-3FC4-BC4E-ADA3-B5CBC860C087}" uniqueName="578" name="Column578" queryTableFieldId="578" dataDxfId="1752"/>
    <tableColumn id="579" xr3:uid="{AD4B87A2-AD60-6940-86A7-48949CE20349}" uniqueName="579" name="Column579" queryTableFieldId="579" dataDxfId="1751"/>
    <tableColumn id="580" xr3:uid="{32166D50-E676-AA4D-88AF-25C19A475364}" uniqueName="580" name="Column580" queryTableFieldId="580" dataDxfId="1750"/>
    <tableColumn id="581" xr3:uid="{7D7F7BFC-C37B-0A4F-93CA-50E0884D6DAB}" uniqueName="581" name="Column581" queryTableFieldId="581" dataDxfId="1749"/>
    <tableColumn id="582" xr3:uid="{8E8D3DF8-3CC0-3347-AD04-01FDA79DC5AE}" uniqueName="582" name="Column582" queryTableFieldId="582" dataDxfId="1748"/>
    <tableColumn id="583" xr3:uid="{8A7E7930-D93B-E543-B2D7-A5745EA58A4F}" uniqueName="583" name="Column583" queryTableFieldId="583" dataDxfId="1747"/>
    <tableColumn id="584" xr3:uid="{63A924BE-C4D5-7940-824D-36D44AC6AC6B}" uniqueName="584" name="Column584" queryTableFieldId="584" dataDxfId="1746"/>
    <tableColumn id="585" xr3:uid="{93DFBB3D-1480-1245-9335-B829858E74CC}" uniqueName="585" name="Column585" queryTableFieldId="585" dataDxfId="1745"/>
    <tableColumn id="586" xr3:uid="{0DF36F2A-A429-7449-9353-7CF512D0FC69}" uniqueName="586" name="Column586" queryTableFieldId="586" dataDxfId="1744"/>
    <tableColumn id="587" xr3:uid="{22A81934-8A9B-1A43-ADE8-50819FCD323D}" uniqueName="587" name="Column587" queryTableFieldId="587" dataDxfId="1743"/>
    <tableColumn id="588" xr3:uid="{17D51D00-04F0-1F41-A629-6D7E72FDA497}" uniqueName="588" name="Column588" queryTableFieldId="588" dataDxfId="1742"/>
    <tableColumn id="589" xr3:uid="{6E769798-AFDC-DF4D-BBAF-85565FBF561D}" uniqueName="589" name="Column589" queryTableFieldId="589" dataDxfId="1741"/>
    <tableColumn id="590" xr3:uid="{6E4AECD4-2270-084E-B7E2-1A473A5DB1BB}" uniqueName="590" name="Column590" queryTableFieldId="590" dataDxfId="1740"/>
    <tableColumn id="591" xr3:uid="{998F18CA-3B8C-1F47-83DB-2FB672401799}" uniqueName="591" name="Column591" queryTableFieldId="591" dataDxfId="1739"/>
    <tableColumn id="592" xr3:uid="{732E54FD-7D2B-A741-A060-11B4C83F1A5E}" uniqueName="592" name="Column592" queryTableFieldId="592" dataDxfId="1738"/>
    <tableColumn id="593" xr3:uid="{EB757024-0C09-8147-BB47-3A5CF1915E64}" uniqueName="593" name="Column593" queryTableFieldId="593" dataDxfId="1737"/>
    <tableColumn id="594" xr3:uid="{4E408976-ADC8-5D49-8466-F29C0B5B7772}" uniqueName="594" name="Column594" queryTableFieldId="594" dataDxfId="1736"/>
    <tableColumn id="595" xr3:uid="{93BEC221-323E-2C4F-B868-52943291F0B1}" uniqueName="595" name="Column595" queryTableFieldId="595" dataDxfId="1735"/>
    <tableColumn id="596" xr3:uid="{54F6D292-8280-B24F-997F-E93DE12BF85A}" uniqueName="596" name="Column596" queryTableFieldId="596" dataDxfId="1734"/>
    <tableColumn id="597" xr3:uid="{F2AEEDBE-8C6A-FF4D-8D36-28FBA4D01A85}" uniqueName="597" name="Column597" queryTableFieldId="597" dataDxfId="1733"/>
    <tableColumn id="598" xr3:uid="{7726C89D-FE8F-534E-AF4A-AB61BB60F12F}" uniqueName="598" name="Column598" queryTableFieldId="598" dataDxfId="1732"/>
    <tableColumn id="599" xr3:uid="{519465C6-C068-2D49-B02F-32AD25845832}" uniqueName="599" name="Column599" queryTableFieldId="599" dataDxfId="1731"/>
    <tableColumn id="600" xr3:uid="{F2CB0C80-F9EB-5B44-8781-DC53BB1BD175}" uniqueName="600" name="Column600" queryTableFieldId="600" dataDxfId="1730"/>
    <tableColumn id="601" xr3:uid="{A35CEA91-91F4-1148-9860-45E9BB5D7A54}" uniqueName="601" name="Column601" queryTableFieldId="601" dataDxfId="1729"/>
    <tableColumn id="602" xr3:uid="{CC74CD8D-942F-5B4F-A60D-60C04023A855}" uniqueName="602" name="Column602" queryTableFieldId="602" dataDxfId="1728"/>
    <tableColumn id="603" xr3:uid="{2706BC5A-908B-D642-A32B-6F398BE55499}" uniqueName="603" name="Column603" queryTableFieldId="603" dataDxfId="1727"/>
    <tableColumn id="604" xr3:uid="{A0880A01-2F12-2B4A-B139-E2AFE90B9E9E}" uniqueName="604" name="Column604" queryTableFieldId="604" dataDxfId="1726"/>
    <tableColumn id="605" xr3:uid="{83D77D67-D00E-014F-91C4-DEE931941DA1}" uniqueName="605" name="Column605" queryTableFieldId="605" dataDxfId="1725"/>
    <tableColumn id="606" xr3:uid="{58871152-491A-8449-8501-2D8EF987A6A0}" uniqueName="606" name="Column606" queryTableFieldId="606" dataDxfId="1724"/>
    <tableColumn id="607" xr3:uid="{99C87D1E-4D1F-9449-A93D-64096B2C5133}" uniqueName="607" name="Column607" queryTableFieldId="607" dataDxfId="1723"/>
    <tableColumn id="608" xr3:uid="{CBCB430C-0AD1-5E40-A4AE-5A4A00B7A5D9}" uniqueName="608" name="Column608" queryTableFieldId="608" dataDxfId="1722"/>
    <tableColumn id="609" xr3:uid="{2AE14DAA-C8EF-FF4A-83F4-1452470B8DBB}" uniqueName="609" name="Column609" queryTableFieldId="609" dataDxfId="1721"/>
    <tableColumn id="610" xr3:uid="{A6765AAE-53DD-3D4A-B825-769754F4D020}" uniqueName="610" name="Column610" queryTableFieldId="610" dataDxfId="1720"/>
    <tableColumn id="611" xr3:uid="{A511C427-1C9A-3743-ADF6-A21346813866}" uniqueName="611" name="Column611" queryTableFieldId="611" dataDxfId="1719"/>
    <tableColumn id="612" xr3:uid="{2541A3BF-8E0A-A043-8190-F40E477F43D6}" uniqueName="612" name="Column612" queryTableFieldId="612" dataDxfId="1718"/>
    <tableColumn id="613" xr3:uid="{F097C16E-15A8-6946-B83E-44495F867C45}" uniqueName="613" name="Column613" queryTableFieldId="613" dataDxfId="1717"/>
    <tableColumn id="614" xr3:uid="{95F36AB4-0051-B743-95EE-B68D477CB0F1}" uniqueName="614" name="Column614" queryTableFieldId="614" dataDxfId="1716"/>
    <tableColumn id="615" xr3:uid="{8A90BC52-2846-474C-8C62-D95BB10AF000}" uniqueName="615" name="Column615" queryTableFieldId="615" dataDxfId="1715"/>
    <tableColumn id="616" xr3:uid="{BD00B089-D5B3-DF4D-8ECA-532C3DBAEC7B}" uniqueName="616" name="Column616" queryTableFieldId="616" dataDxfId="1714"/>
    <tableColumn id="617" xr3:uid="{2C1DAB81-CA1A-A44F-92D1-628040771041}" uniqueName="617" name="Column617" queryTableFieldId="617" dataDxfId="1713"/>
    <tableColumn id="618" xr3:uid="{77E071F5-9687-CD4A-8121-4E4EA2F71EFD}" uniqueName="618" name="Column618" queryTableFieldId="618" dataDxfId="1712"/>
    <tableColumn id="619" xr3:uid="{E1989AFA-5E3D-B34B-9920-DD50E6402FF0}" uniqueName="619" name="Column619" queryTableFieldId="619" dataDxfId="1711"/>
    <tableColumn id="620" xr3:uid="{9B7EBCCC-B82F-4540-B259-D3F0D0525AAB}" uniqueName="620" name="Column620" queryTableFieldId="620" dataDxfId="1710"/>
    <tableColumn id="621" xr3:uid="{16432F2B-762A-9447-A175-1DC5EA5C853C}" uniqueName="621" name="Column621" queryTableFieldId="621" dataDxfId="1709"/>
    <tableColumn id="622" xr3:uid="{6929F76E-F792-A94B-972F-54B92EE7BB3B}" uniqueName="622" name="Column622" queryTableFieldId="622" dataDxfId="1708"/>
    <tableColumn id="623" xr3:uid="{020FFDD6-CCEB-EB47-B97D-0369EBDC0522}" uniqueName="623" name="Column623" queryTableFieldId="623" dataDxfId="1707"/>
    <tableColumn id="624" xr3:uid="{6576AEB3-A410-2D45-A5DB-8FAD43ADA400}" uniqueName="624" name="Column624" queryTableFieldId="624" dataDxfId="1706"/>
    <tableColumn id="625" xr3:uid="{A0D3793D-5361-0447-80ED-5A96A6EC33D8}" uniqueName="625" name="Column625" queryTableFieldId="625" dataDxfId="1705"/>
    <tableColumn id="626" xr3:uid="{EA99C17D-4730-C049-9DBC-AB2B189170FE}" uniqueName="626" name="Column626" queryTableFieldId="626" dataDxfId="1704"/>
    <tableColumn id="627" xr3:uid="{5168F49F-0FD8-4249-8541-4D35342E450D}" uniqueName="627" name="Column627" queryTableFieldId="627" dataDxfId="1703"/>
    <tableColumn id="628" xr3:uid="{84AE89FF-AECD-4142-9FE1-36CB5EE29EF4}" uniqueName="628" name="Column628" queryTableFieldId="628" dataDxfId="1702"/>
    <tableColumn id="629" xr3:uid="{B7AC23E5-EA00-4F4C-9246-FDCAFC964359}" uniqueName="629" name="Column629" queryTableFieldId="629" dataDxfId="1701"/>
    <tableColumn id="630" xr3:uid="{9E5079FA-18D2-ED47-BF9A-2A440EF755C8}" uniqueName="630" name="Column630" queryTableFieldId="630" dataDxfId="1700"/>
    <tableColumn id="631" xr3:uid="{1C2215FA-52B4-7247-A02A-C202A3666BF2}" uniqueName="631" name="Column631" queryTableFieldId="631" dataDxfId="1699"/>
    <tableColumn id="632" xr3:uid="{3A53FB75-A1F8-C74F-96E0-E66AD0F834C8}" uniqueName="632" name="Column632" queryTableFieldId="632" dataDxfId="1698"/>
    <tableColumn id="633" xr3:uid="{38CDEB63-0DE6-A145-BB57-E1BFDDA43635}" uniqueName="633" name="Column633" queryTableFieldId="633" dataDxfId="1697"/>
    <tableColumn id="634" xr3:uid="{C4EE33E3-492A-6A4A-9113-0DA004BD9290}" uniqueName="634" name="Column634" queryTableFieldId="634" dataDxfId="1696"/>
    <tableColumn id="635" xr3:uid="{870CEF52-4D80-4242-A959-96288A8C81D3}" uniqueName="635" name="Column635" queryTableFieldId="635" dataDxfId="1695"/>
    <tableColumn id="636" xr3:uid="{4CD58B26-161D-624C-9758-AB8A3C58598E}" uniqueName="636" name="Column636" queryTableFieldId="636" dataDxfId="1694"/>
    <tableColumn id="637" xr3:uid="{A5137804-3F1A-EA49-B857-33133A12B70B}" uniqueName="637" name="Column637" queryTableFieldId="637" dataDxfId="1693"/>
    <tableColumn id="638" xr3:uid="{36719382-1D60-A443-9CDD-33F3D0F33788}" uniqueName="638" name="Column638" queryTableFieldId="638" dataDxfId="1692"/>
    <tableColumn id="639" xr3:uid="{806DBD71-0EE9-3647-8FF5-65B6199396C0}" uniqueName="639" name="Column639" queryTableFieldId="639" dataDxfId="1691"/>
    <tableColumn id="640" xr3:uid="{BA43D4EC-82BF-6745-A91B-080688C56904}" uniqueName="640" name="Column640" queryTableFieldId="640" dataDxfId="1690"/>
    <tableColumn id="641" xr3:uid="{DD51D528-EA27-C24F-BC9E-C92345CF77C8}" uniqueName="641" name="Column641" queryTableFieldId="641" dataDxfId="1689"/>
    <tableColumn id="642" xr3:uid="{572FDA05-AD37-1849-9BEA-BE03204797BB}" uniqueName="642" name="Column642" queryTableFieldId="642" dataDxfId="1688"/>
    <tableColumn id="643" xr3:uid="{38C0812F-A1C2-7E4C-B6AC-2A6CF288E523}" uniqueName="643" name="Column643" queryTableFieldId="643" dataDxfId="1687"/>
    <tableColumn id="644" xr3:uid="{9A365364-5CBB-DD41-A6F1-686E44032973}" uniqueName="644" name="Column644" queryTableFieldId="644" dataDxfId="1686"/>
    <tableColumn id="645" xr3:uid="{D08ACC76-E559-8A4D-B806-62D9301AB192}" uniqueName="645" name="Column645" queryTableFieldId="645" dataDxfId="1685"/>
    <tableColumn id="646" xr3:uid="{DD57062E-2A30-014F-9211-5F717F23C9F9}" uniqueName="646" name="Column646" queryTableFieldId="646" dataDxfId="1684"/>
    <tableColumn id="647" xr3:uid="{3064B29B-988D-CC4D-8588-BE25163F630D}" uniqueName="647" name="Column647" queryTableFieldId="647" dataDxfId="1683"/>
    <tableColumn id="648" xr3:uid="{BE16F2B6-EE5D-7649-B6DE-298EBB9395B4}" uniqueName="648" name="Column648" queryTableFieldId="648" dataDxfId="1682"/>
    <tableColumn id="649" xr3:uid="{1F3DFD56-4CBE-254A-9BAD-3CD279D4C307}" uniqueName="649" name="Column649" queryTableFieldId="649" dataDxfId="1681"/>
    <tableColumn id="650" xr3:uid="{0270ED40-47FC-8044-AB67-D10B010DFBB0}" uniqueName="650" name="Column650" queryTableFieldId="650" dataDxfId="1680"/>
    <tableColumn id="651" xr3:uid="{AB3FBD29-A0D8-DC4B-B62D-6674563B8EC2}" uniqueName="651" name="Column651" queryTableFieldId="651" dataDxfId="1679"/>
    <tableColumn id="652" xr3:uid="{BE2FDF62-CEAD-FB48-A7F8-59A07EFBA095}" uniqueName="652" name="Column652" queryTableFieldId="652" dataDxfId="1678"/>
    <tableColumn id="653" xr3:uid="{A84230B0-FD1B-024B-9CAE-C5DD539FF8AA}" uniqueName="653" name="Column653" queryTableFieldId="653" dataDxfId="1677"/>
    <tableColumn id="654" xr3:uid="{69E6C9A8-0B6A-F846-8BA6-F457A5A7AC3F}" uniqueName="654" name="Column654" queryTableFieldId="654" dataDxfId="1676"/>
    <tableColumn id="655" xr3:uid="{3B5B64F0-70AD-7A47-A5C9-8576A8F5F4E5}" uniqueName="655" name="Column655" queryTableFieldId="655" dataDxfId="1675"/>
    <tableColumn id="656" xr3:uid="{5CD6F369-E292-4648-A1E5-0FF61A04108E}" uniqueName="656" name="Column656" queryTableFieldId="656" dataDxfId="1674"/>
    <tableColumn id="657" xr3:uid="{D23E2FBD-7E37-7149-A8DE-7C9D291DCDD1}" uniqueName="657" name="Column657" queryTableFieldId="657" dataDxfId="1673"/>
    <tableColumn id="658" xr3:uid="{6478A462-0DB9-3B40-BE5D-E748570CD2D1}" uniqueName="658" name="Column658" queryTableFieldId="658" dataDxfId="1672"/>
    <tableColumn id="659" xr3:uid="{E2B07197-28F7-744D-BD97-F8612575A75A}" uniqueName="659" name="Column659" queryTableFieldId="659" dataDxfId="1671"/>
    <tableColumn id="660" xr3:uid="{8C97736B-9E22-2343-9BDB-E8922D51AFBF}" uniqueName="660" name="Column660" queryTableFieldId="660" dataDxfId="1670"/>
    <tableColumn id="661" xr3:uid="{7932450E-1019-7546-8D23-C8C07F25170D}" uniqueName="661" name="Column661" queryTableFieldId="661" dataDxfId="1669"/>
    <tableColumn id="662" xr3:uid="{51323B7B-98A3-E04E-B81A-9162F89CF4D3}" uniqueName="662" name="Column662" queryTableFieldId="662" dataDxfId="1668"/>
    <tableColumn id="663" xr3:uid="{61BCB936-CE21-A040-A5CB-2089C737DF30}" uniqueName="663" name="Column663" queryTableFieldId="663" dataDxfId="1667"/>
    <tableColumn id="664" xr3:uid="{4420A3F8-3A7D-5548-A644-1BAE280168DF}" uniqueName="664" name="Column664" queryTableFieldId="664" dataDxfId="1666"/>
    <tableColumn id="665" xr3:uid="{95CCC233-F3F8-0A46-B28D-64B703CE6DBD}" uniqueName="665" name="Column665" queryTableFieldId="665" dataDxfId="1665"/>
    <tableColumn id="666" xr3:uid="{D1199D8E-88A0-A746-BF20-7805C5C5BBD3}" uniqueName="666" name="Column666" queryTableFieldId="666" dataDxfId="1664"/>
    <tableColumn id="667" xr3:uid="{0EF2848D-E42F-7746-82C7-24F700312687}" uniqueName="667" name="Column667" queryTableFieldId="667" dataDxfId="1663"/>
    <tableColumn id="668" xr3:uid="{76FF1102-37C0-AA46-9BC0-ED598671E24C}" uniqueName="668" name="Column668" queryTableFieldId="668" dataDxfId="1662"/>
    <tableColumn id="669" xr3:uid="{D366E32B-D587-EF42-9FE5-5923689909DA}" uniqueName="669" name="Column669" queryTableFieldId="669" dataDxfId="1661"/>
    <tableColumn id="670" xr3:uid="{D47C43C8-0B04-184F-A737-C44BCDCD5E79}" uniqueName="670" name="Column670" queryTableFieldId="670" dataDxfId="1660"/>
    <tableColumn id="671" xr3:uid="{58E005A4-2B94-B448-95D8-F181EB9A4375}" uniqueName="671" name="Column671" queryTableFieldId="671" dataDxfId="1659"/>
    <tableColumn id="672" xr3:uid="{982B2EF9-3267-5C4B-B796-CCC7E9897A9E}" uniqueName="672" name="Column672" queryTableFieldId="672" dataDxfId="1658"/>
    <tableColumn id="673" xr3:uid="{00C55116-1A60-7846-9378-4F5CB861B9D2}" uniqueName="673" name="Column673" queryTableFieldId="673" dataDxfId="1657"/>
    <tableColumn id="674" xr3:uid="{71019F86-A2CF-9440-940B-FDEDD73E48A9}" uniqueName="674" name="Column674" queryTableFieldId="674" dataDxfId="1656"/>
    <tableColumn id="675" xr3:uid="{36038038-F12B-974E-A471-E95AFEB1CA58}" uniqueName="675" name="Column675" queryTableFieldId="675" dataDxfId="1655"/>
    <tableColumn id="676" xr3:uid="{9AF04E78-8631-7C4C-B2E1-5657DBDF3871}" uniqueName="676" name="Column676" queryTableFieldId="676" dataDxfId="1654"/>
    <tableColumn id="677" xr3:uid="{98C818EF-CE96-F44F-855B-843F97ACFED3}" uniqueName="677" name="Column677" queryTableFieldId="677" dataDxfId="1653"/>
    <tableColumn id="678" xr3:uid="{2BF4D141-BB0E-6A4E-93A0-6794869D6484}" uniqueName="678" name="Column678" queryTableFieldId="678" dataDxfId="1652"/>
    <tableColumn id="679" xr3:uid="{D5654E1E-E120-B44D-800B-95C41B137779}" uniqueName="679" name="Column679" queryTableFieldId="679" dataDxfId="1651"/>
    <tableColumn id="680" xr3:uid="{72949188-1199-2647-A53E-B3D57B8E737E}" uniqueName="680" name="Column680" queryTableFieldId="680" dataDxfId="1650"/>
    <tableColumn id="681" xr3:uid="{5B1419D9-7A3E-C14D-A76E-D31A0AB153E0}" uniqueName="681" name="Column681" queryTableFieldId="681" dataDxfId="1649"/>
    <tableColumn id="682" xr3:uid="{674CC51E-8DB9-5A4F-BD88-5E5CBD681EE6}" uniqueName="682" name="Column682" queryTableFieldId="682" dataDxfId="1648"/>
    <tableColumn id="683" xr3:uid="{880A3A77-8515-8341-B107-AB5DE01DA231}" uniqueName="683" name="Column683" queryTableFieldId="683" dataDxfId="1647"/>
    <tableColumn id="684" xr3:uid="{12F384E7-215D-6049-88A5-8555A011D8A7}" uniqueName="684" name="Column684" queryTableFieldId="684" dataDxfId="1646"/>
    <tableColumn id="685" xr3:uid="{BEF82DAB-DF92-A34A-8DC0-8FE27591B58B}" uniqueName="685" name="Column685" queryTableFieldId="685" dataDxfId="1645"/>
    <tableColumn id="686" xr3:uid="{3518A1C5-6582-7848-9799-EE89B550175F}" uniqueName="686" name="Column686" queryTableFieldId="686" dataDxfId="1644"/>
    <tableColumn id="687" xr3:uid="{75326454-179F-3D4D-BA5E-D19576F17AFA}" uniqueName="687" name="Column687" queryTableFieldId="687" dataDxfId="1643"/>
    <tableColumn id="688" xr3:uid="{BAA7EEDB-28BB-8647-A571-23FA2961E381}" uniqueName="688" name="Column688" queryTableFieldId="688" dataDxfId="1642"/>
    <tableColumn id="689" xr3:uid="{AD19DC69-F809-5D4E-92FD-3D21B850D356}" uniqueName="689" name="Column689" queryTableFieldId="689" dataDxfId="1641"/>
    <tableColumn id="690" xr3:uid="{68C9BAE1-E195-1F46-9CF4-9B3C334B00CF}" uniqueName="690" name="Column690" queryTableFieldId="690" dataDxfId="1640"/>
    <tableColumn id="691" xr3:uid="{47F15D32-5587-7F46-95FB-B91BFDB40EAF}" uniqueName="691" name="Column691" queryTableFieldId="691" dataDxfId="1639"/>
    <tableColumn id="692" xr3:uid="{9CA8BC7D-E5FB-E944-BF3B-4B89EBC6690E}" uniqueName="692" name="Column692" queryTableFieldId="692" dataDxfId="1638"/>
    <tableColumn id="693" xr3:uid="{80A5BD76-5A28-DF48-A421-78689DECD3A4}" uniqueName="693" name="Column693" queryTableFieldId="693" dataDxfId="1637"/>
    <tableColumn id="694" xr3:uid="{0DED1745-0CCA-9E41-80C4-CF3BAA02FB9B}" uniqueName="694" name="Column694" queryTableFieldId="694" dataDxfId="1636"/>
    <tableColumn id="695" xr3:uid="{1BF69B19-671C-6244-8113-1854225D4BC8}" uniqueName="695" name="Column695" queryTableFieldId="695" dataDxfId="1635"/>
    <tableColumn id="696" xr3:uid="{DA9096DD-B7C8-B245-87D0-ABAC48836F84}" uniqueName="696" name="Column696" queryTableFieldId="696" dataDxfId="1634"/>
    <tableColumn id="697" xr3:uid="{2405F636-B976-DC43-A2F1-1D794BD47CC1}" uniqueName="697" name="Column697" queryTableFieldId="697" dataDxfId="1633"/>
    <tableColumn id="698" xr3:uid="{6F077361-1A19-844F-9549-37CE9DEF38CB}" uniqueName="698" name="Column698" queryTableFieldId="698" dataDxfId="1632"/>
    <tableColumn id="699" xr3:uid="{E98A4825-96BE-8A4A-A11A-CAED0D7157F6}" uniqueName="699" name="Column699" queryTableFieldId="699" dataDxfId="1631"/>
    <tableColumn id="700" xr3:uid="{0BBBCD7C-C6AC-B641-BE9D-78A614AA934D}" uniqueName="700" name="Column700" queryTableFieldId="700" dataDxfId="1630"/>
    <tableColumn id="701" xr3:uid="{25F93E8A-29AB-2F48-BFB1-51751A00D543}" uniqueName="701" name="Column701" queryTableFieldId="701" dataDxfId="1629"/>
    <tableColumn id="702" xr3:uid="{0DDFE00E-9AC2-0F4C-B972-C3684D37A48B}" uniqueName="702" name="Column702" queryTableFieldId="702" dataDxfId="1628"/>
    <tableColumn id="703" xr3:uid="{1CC24DF2-DFAD-CC4E-8FEE-617E7057EE1A}" uniqueName="703" name="Column703" queryTableFieldId="703" dataDxfId="1627"/>
    <tableColumn id="704" xr3:uid="{A99BE403-14E9-1941-A37B-D9BB61AA784F}" uniqueName="704" name="Column704" queryTableFieldId="704" dataDxfId="1626"/>
    <tableColumn id="705" xr3:uid="{78339209-F46D-C248-9585-B6F0E02B9590}" uniqueName="705" name="Column705" queryTableFieldId="705" dataDxfId="1625"/>
    <tableColumn id="706" xr3:uid="{1AC9618A-BB94-A543-A706-1BC3B3A6AD55}" uniqueName="706" name="Column706" queryTableFieldId="706" dataDxfId="1624"/>
    <tableColumn id="707" xr3:uid="{1AB3215A-481D-BD40-9684-0813468136F0}" uniqueName="707" name="Column707" queryTableFieldId="707" dataDxfId="1623"/>
    <tableColumn id="708" xr3:uid="{56CA4E8B-6A2C-3C4F-9215-477F60B721D7}" uniqueName="708" name="Column708" queryTableFieldId="708" dataDxfId="1622"/>
    <tableColumn id="709" xr3:uid="{F06313A8-053F-4346-8760-5E57B92534A8}" uniqueName="709" name="Column709" queryTableFieldId="709" dataDxfId="1621"/>
    <tableColumn id="710" xr3:uid="{410F7B64-A6D1-4449-9EC1-98BC29898F00}" uniqueName="710" name="Column710" queryTableFieldId="710" dataDxfId="1620"/>
    <tableColumn id="711" xr3:uid="{C17D6538-3510-A74E-812D-31E5D2C525DE}" uniqueName="711" name="Column711" queryTableFieldId="711" dataDxfId="1619"/>
    <tableColumn id="712" xr3:uid="{3B1BBC19-BFB8-B444-B47B-8C776983F1BA}" uniqueName="712" name="Column712" queryTableFieldId="712" dataDxfId="1618"/>
    <tableColumn id="713" xr3:uid="{5CCE088C-4532-E347-B1D4-78E031756BA9}" uniqueName="713" name="Column713" queryTableFieldId="713" dataDxfId="1617"/>
    <tableColumn id="714" xr3:uid="{73048CFD-3CBC-AE40-BE86-50266060409E}" uniqueName="714" name="Column714" queryTableFieldId="714" dataDxfId="1616"/>
    <tableColumn id="715" xr3:uid="{EE6827A9-5F53-C442-86BA-62B71CEAE751}" uniqueName="715" name="Column715" queryTableFieldId="715" dataDxfId="1615"/>
    <tableColumn id="716" xr3:uid="{961B9DCA-782F-B548-8BBF-03836236923C}" uniqueName="716" name="Column716" queryTableFieldId="716" dataDxfId="1614"/>
    <tableColumn id="717" xr3:uid="{4CAD989B-4755-2042-AFB8-F3FB2FFC8147}" uniqueName="717" name="Column717" queryTableFieldId="717" dataDxfId="1613"/>
    <tableColumn id="718" xr3:uid="{4E79B93D-F767-8A41-B5D4-880D23C7BF09}" uniqueName="718" name="Column718" queryTableFieldId="718" dataDxfId="1612"/>
    <tableColumn id="719" xr3:uid="{ECBFCB02-590E-654A-9F4F-271A21BF3368}" uniqueName="719" name="Column719" queryTableFieldId="719" dataDxfId="1611"/>
    <tableColumn id="720" xr3:uid="{623DF5BE-6AF1-1144-ADEA-D92C378D0B33}" uniqueName="720" name="Column720" queryTableFieldId="720" dataDxfId="1610"/>
    <tableColumn id="721" xr3:uid="{583B3A97-8665-AD4A-BE9A-3EDA5482405C}" uniqueName="721" name="Column721" queryTableFieldId="721" dataDxfId="1609"/>
    <tableColumn id="722" xr3:uid="{4F159751-C7BB-CC4E-9C96-15B6B7E2222F}" uniqueName="722" name="Column722" queryTableFieldId="722" dataDxfId="1608"/>
    <tableColumn id="723" xr3:uid="{888A4D57-E9DA-3746-B290-696FCA9B66C7}" uniqueName="723" name="Column723" queryTableFieldId="723" dataDxfId="1607"/>
    <tableColumn id="724" xr3:uid="{8DFC50D6-210D-8246-8761-5057DAFB58EF}" uniqueName="724" name="Column724" queryTableFieldId="724" dataDxfId="1606"/>
    <tableColumn id="725" xr3:uid="{1599FE3E-2B14-5742-9543-696F2E4574B5}" uniqueName="725" name="Column725" queryTableFieldId="725" dataDxfId="1605"/>
    <tableColumn id="726" xr3:uid="{3C543786-A4BB-EA4B-8A6A-AD0550060874}" uniqueName="726" name="Column726" queryTableFieldId="726" dataDxfId="1604"/>
    <tableColumn id="727" xr3:uid="{01F2FC97-7061-FC4E-889A-03E65AFA1D07}" uniqueName="727" name="Column727" queryTableFieldId="727" dataDxfId="1603"/>
    <tableColumn id="728" xr3:uid="{B41CE526-7090-024A-9695-5C16D53D8D23}" uniqueName="728" name="Column728" queryTableFieldId="728" dataDxfId="1602"/>
    <tableColumn id="729" xr3:uid="{52EAE8AF-B3D9-2247-9E1E-6163B2B5F094}" uniqueName="729" name="Column729" queryTableFieldId="729" dataDxfId="1601"/>
    <tableColumn id="730" xr3:uid="{71B21D11-E454-AB42-887D-1ECFF9D8B828}" uniqueName="730" name="Column730" queryTableFieldId="730" dataDxfId="1600"/>
    <tableColumn id="731" xr3:uid="{754C49EA-FA67-C644-84B3-32FBDBCBD020}" uniqueName="731" name="Column731" queryTableFieldId="731" dataDxfId="1599"/>
    <tableColumn id="732" xr3:uid="{E2C72DEC-3287-C848-A8D9-4F94D6373C8B}" uniqueName="732" name="Column732" queryTableFieldId="732" dataDxfId="1598"/>
    <tableColumn id="733" xr3:uid="{99614B78-38FF-BD4B-B977-F659DD6EC6EF}" uniqueName="733" name="Column733" queryTableFieldId="733" dataDxfId="1597"/>
    <tableColumn id="734" xr3:uid="{80F1BA6E-8EE6-C64D-84FD-15DF14BE8C55}" uniqueName="734" name="Column734" queryTableFieldId="734" dataDxfId="1596"/>
    <tableColumn id="735" xr3:uid="{3731BA3C-D5D7-DE46-A59F-C210BC4CE2F1}" uniqueName="735" name="Column735" queryTableFieldId="735" dataDxfId="1595"/>
    <tableColumn id="736" xr3:uid="{E200A090-0F72-A442-A6CD-4FF007B14908}" uniqueName="736" name="Column736" queryTableFieldId="736" dataDxfId="1594"/>
    <tableColumn id="737" xr3:uid="{9E727587-3C78-1F42-85A5-E5112D267929}" uniqueName="737" name="Column737" queryTableFieldId="737" dataDxfId="1593"/>
    <tableColumn id="738" xr3:uid="{29A6C7E0-B944-DB4B-AEBC-B09CE2DC4818}" uniqueName="738" name="Column738" queryTableFieldId="738" dataDxfId="1592"/>
    <tableColumn id="739" xr3:uid="{396D33E2-45DE-564F-9095-9E0806C044A6}" uniqueName="739" name="Column739" queryTableFieldId="739" dataDxfId="1591"/>
    <tableColumn id="740" xr3:uid="{35662D6A-FCD1-E248-BA1A-AF339E89B8E8}" uniqueName="740" name="Column740" queryTableFieldId="740" dataDxfId="1590"/>
    <tableColumn id="741" xr3:uid="{D9825016-7B4E-2244-9A01-CB9A0427AE2C}" uniqueName="741" name="Column741" queryTableFieldId="741" dataDxfId="1589"/>
    <tableColumn id="742" xr3:uid="{D78734A9-5939-544F-8B75-A02248550507}" uniqueName="742" name="Column742" queryTableFieldId="742" dataDxfId="1588"/>
    <tableColumn id="743" xr3:uid="{6E5E23F6-4B9C-684E-9C45-FA843B05E05A}" uniqueName="743" name="Column743" queryTableFieldId="743" dataDxfId="1587"/>
    <tableColumn id="744" xr3:uid="{75CBECCB-C8F0-9C4A-A444-1D8390851341}" uniqueName="744" name="Column744" queryTableFieldId="744" dataDxfId="1586"/>
    <tableColumn id="745" xr3:uid="{228ADCB7-3642-8044-A672-06A35826A2AE}" uniqueName="745" name="Column745" queryTableFieldId="745" dataDxfId="1585"/>
    <tableColumn id="746" xr3:uid="{64D10142-EA26-CC42-8117-E804D647CCAA}" uniqueName="746" name="Column746" queryTableFieldId="746" dataDxfId="1584"/>
    <tableColumn id="747" xr3:uid="{7A5040ED-F9FD-8D44-961C-648E2E48ABE4}" uniqueName="747" name="Column747" queryTableFieldId="747" dataDxfId="1583"/>
    <tableColumn id="748" xr3:uid="{B0A0C2D8-48C3-DA48-B1DB-EF914FC50B42}" uniqueName="748" name="Column748" queryTableFieldId="748" dataDxfId="1582"/>
    <tableColumn id="749" xr3:uid="{16A6F444-2A17-2A43-8BE1-A4C9ED877A59}" uniqueName="749" name="Column749" queryTableFieldId="749" dataDxfId="1581"/>
    <tableColumn id="750" xr3:uid="{B0C960B9-E967-D642-BF27-066FA432F89A}" uniqueName="750" name="Column750" queryTableFieldId="750" dataDxfId="1580"/>
    <tableColumn id="751" xr3:uid="{09184663-9FFF-5441-8AE0-65AFDF9A3BA1}" uniqueName="751" name="Column751" queryTableFieldId="751" dataDxfId="1579"/>
    <tableColumn id="752" xr3:uid="{6101B1BE-631E-A14C-A229-7C59EBE2F531}" uniqueName="752" name="Column752" queryTableFieldId="752" dataDxfId="1578"/>
    <tableColumn id="753" xr3:uid="{775140DD-3383-6045-9F03-3B538933E1FB}" uniqueName="753" name="Column753" queryTableFieldId="753" dataDxfId="1577"/>
    <tableColumn id="754" xr3:uid="{41F43341-B090-D44F-B10C-CDC55CB547CF}" uniqueName="754" name="Column754" queryTableFieldId="754" dataDxfId="1576"/>
    <tableColumn id="755" xr3:uid="{78C810EA-323A-BC46-ABCB-769402B66985}" uniqueName="755" name="Column755" queryTableFieldId="755" dataDxfId="1575"/>
    <tableColumn id="756" xr3:uid="{160784DE-9F54-6A47-A6EA-CEEE6C2FC255}" uniqueName="756" name="Column756" queryTableFieldId="756" dataDxfId="1574"/>
    <tableColumn id="757" xr3:uid="{C36638C6-174F-334A-AB30-F87F17A4E321}" uniqueName="757" name="Column757" queryTableFieldId="757" dataDxfId="1573"/>
    <tableColumn id="758" xr3:uid="{C445528F-C526-9245-B734-4D2921CD90A2}" uniqueName="758" name="Column758" queryTableFieldId="758" dataDxfId="1572"/>
    <tableColumn id="759" xr3:uid="{78B73525-5AF5-1244-95ED-A7498BB216BD}" uniqueName="759" name="Column759" queryTableFieldId="759" dataDxfId="1571"/>
    <tableColumn id="760" xr3:uid="{9A7CFA60-5E56-2441-A68B-3A82C5FE73DE}" uniqueName="760" name="Column760" queryTableFieldId="760" dataDxfId="1570"/>
    <tableColumn id="761" xr3:uid="{AF93BAE6-94F8-3644-A601-A19CD874E66B}" uniqueName="761" name="Column761" queryTableFieldId="761" dataDxfId="1569"/>
    <tableColumn id="762" xr3:uid="{0F3F0FF4-E8C4-F84A-8382-719ECFAC416A}" uniqueName="762" name="Column762" queryTableFieldId="762" dataDxfId="1568"/>
    <tableColumn id="763" xr3:uid="{265BA656-444D-F746-A15C-4CB73DE969C1}" uniqueName="763" name="Column763" queryTableFieldId="763" dataDxfId="1567"/>
    <tableColumn id="764" xr3:uid="{1AFF238D-A7A9-CF41-B015-A1470F0A8611}" uniqueName="764" name="Column764" queryTableFieldId="764" dataDxfId="1566"/>
    <tableColumn id="765" xr3:uid="{11E34387-23D4-534A-9D05-65BDA606D1E5}" uniqueName="765" name="Column765" queryTableFieldId="765" dataDxfId="1565"/>
    <tableColumn id="766" xr3:uid="{927154A2-3746-D74E-9B82-1CFECB1911AA}" uniqueName="766" name="Column766" queryTableFieldId="766" dataDxfId="1564"/>
    <tableColumn id="767" xr3:uid="{F4F3D7B5-59BC-894A-B4DB-6D972777095E}" uniqueName="767" name="Column767" queryTableFieldId="767" dataDxfId="1563"/>
    <tableColumn id="768" xr3:uid="{E62DAEA6-B8E5-3F47-B874-951449CB361D}" uniqueName="768" name="Column768" queryTableFieldId="768" dataDxfId="1562"/>
    <tableColumn id="769" xr3:uid="{92066C0A-A33E-CC4D-B0B3-D4A33460CCA4}" uniqueName="769" name="Column769" queryTableFieldId="769" dataDxfId="1561"/>
    <tableColumn id="770" xr3:uid="{D1517A42-373A-5A46-AB99-0C5DB636DDFD}" uniqueName="770" name="Column770" queryTableFieldId="770" dataDxfId="1560"/>
    <tableColumn id="771" xr3:uid="{B5C3A4A0-B4EB-7C46-82F5-E73A98F4D21F}" uniqueName="771" name="Column771" queryTableFieldId="771" dataDxfId="1559"/>
    <tableColumn id="772" xr3:uid="{08C1EF8B-1DAF-7F4D-B7BC-F996A910F6D4}" uniqueName="772" name="Column772" queryTableFieldId="772" dataDxfId="1558"/>
    <tableColumn id="773" xr3:uid="{0C64EAA6-7482-3346-B927-C5682A33A5FA}" uniqueName="773" name="Column773" queryTableFieldId="773" dataDxfId="1557"/>
    <tableColumn id="774" xr3:uid="{59F5AC6D-CB6F-C541-BA05-0618C956BAD4}" uniqueName="774" name="Column774" queryTableFieldId="774" dataDxfId="1556"/>
    <tableColumn id="775" xr3:uid="{CB6D6BA1-1B4A-2646-86F1-9FE53A42876F}" uniqueName="775" name="Column775" queryTableFieldId="775" dataDxfId="1555"/>
    <tableColumn id="776" xr3:uid="{DCB0D673-732F-6E4A-AE74-0D3DC94B37BC}" uniqueName="776" name="Column776" queryTableFieldId="776" dataDxfId="1554"/>
    <tableColumn id="777" xr3:uid="{A67644F4-E106-0A49-999E-D59EBDDD288B}" uniqueName="777" name="Column777" queryTableFieldId="777" dataDxfId="1553"/>
    <tableColumn id="778" xr3:uid="{3A89ABF9-292C-2249-937F-BB50EEB83568}" uniqueName="778" name="Column778" queryTableFieldId="778" dataDxfId="155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DAABAC-A415-B746-ACF8-C8CDE09182A9}" name="cluster_average_return_Cluster" displayName="cluster_average_return_Cluster" ref="A1:ACV11" tableType="queryTable" totalsRowShown="0">
  <autoFilter ref="A1:ACV11" xr:uid="{1ADAABAC-A415-B746-ACF8-C8CDE09182A9}"/>
  <tableColumns count="776">
    <tableColumn id="1" xr3:uid="{CC235AAE-8FA1-404C-B265-9AC89C3F3F40}" uniqueName="1" name="Column1" queryTableFieldId="1" dataDxfId="1551"/>
    <tableColumn id="2" xr3:uid="{51601424-547C-6A4C-8E0A-F4C1D85F849B}" uniqueName="2" name="Column2" queryTableFieldId="2" dataDxfId="1550"/>
    <tableColumn id="3" xr3:uid="{539DA7AE-CB33-C549-B9C5-2243BC32A0D8}" uniqueName="3" name="Column3" queryTableFieldId="3" dataDxfId="1549"/>
    <tableColumn id="4" xr3:uid="{DBA71079-4558-C945-9CC4-A223A5A2A8DB}" uniqueName="4" name="Column4" queryTableFieldId="4" dataDxfId="1548"/>
    <tableColumn id="5" xr3:uid="{42F6D09B-3AC3-D64B-8900-4CFF0374777C}" uniqueName="5" name="Column5" queryTableFieldId="5" dataDxfId="1547"/>
    <tableColumn id="6" xr3:uid="{73D8030F-F197-CF4A-B645-AC2E837113CA}" uniqueName="6" name="Column6" queryTableFieldId="6" dataDxfId="1546"/>
    <tableColumn id="7" xr3:uid="{D4520F58-3DE4-BB4B-A853-8D0DE6BB256F}" uniqueName="7" name="Column7" queryTableFieldId="7" dataDxfId="1545"/>
    <tableColumn id="8" xr3:uid="{D9AA3F7B-1036-F04B-B75A-2AF86843D08A}" uniqueName="8" name="Column8" queryTableFieldId="8" dataDxfId="1544"/>
    <tableColumn id="9" xr3:uid="{F6BC6D3E-999D-074F-9127-F04107F1A9A9}" uniqueName="9" name="Column9" queryTableFieldId="9" dataDxfId="1543"/>
    <tableColumn id="10" xr3:uid="{44A45A02-3042-5E41-96E3-6DB1A5F07F01}" uniqueName="10" name="Column10" queryTableFieldId="10" dataDxfId="1542"/>
    <tableColumn id="11" xr3:uid="{B0560DAB-160E-D545-B3C1-D7C4138DF1BA}" uniqueName="11" name="Column11" queryTableFieldId="11" dataDxfId="1541"/>
    <tableColumn id="12" xr3:uid="{006C8F0A-93F3-CE4B-8854-F55366B82540}" uniqueName="12" name="Column12" queryTableFieldId="12" dataDxfId="1540"/>
    <tableColumn id="13" xr3:uid="{94DC9D97-1B34-6C44-A966-BA4C09987B3C}" uniqueName="13" name="Column13" queryTableFieldId="13" dataDxfId="1539"/>
    <tableColumn id="14" xr3:uid="{63D426C8-4342-4542-84CA-42184B6C41E8}" uniqueName="14" name="Column14" queryTableFieldId="14" dataDxfId="1538"/>
    <tableColumn id="15" xr3:uid="{EC2741E8-72F9-0A4F-B63E-EDB07187E9E6}" uniqueName="15" name="Column15" queryTableFieldId="15" dataDxfId="1537"/>
    <tableColumn id="16" xr3:uid="{269ECDCB-98FA-1443-8710-DEC390445829}" uniqueName="16" name="Column16" queryTableFieldId="16" dataDxfId="1536"/>
    <tableColumn id="17" xr3:uid="{C50A92DA-D1F6-B942-8C09-B7E994744E7E}" uniqueName="17" name="Column17" queryTableFieldId="17" dataDxfId="1535"/>
    <tableColumn id="18" xr3:uid="{87BF06AD-9355-DD42-87AD-15F34BF7DF1F}" uniqueName="18" name="Column18" queryTableFieldId="18" dataDxfId="1534"/>
    <tableColumn id="19" xr3:uid="{B97E75E0-36BD-934C-986F-F892F2815D83}" uniqueName="19" name="Column19" queryTableFieldId="19" dataDxfId="1533"/>
    <tableColumn id="20" xr3:uid="{6F566BD2-6628-524C-B3D0-173AD73D3283}" uniqueName="20" name="Column20" queryTableFieldId="20" dataDxfId="1532"/>
    <tableColumn id="21" xr3:uid="{DF447563-D8C4-2B41-BBF2-15718FA74C6F}" uniqueName="21" name="Column21" queryTableFieldId="21" dataDxfId="1531"/>
    <tableColumn id="22" xr3:uid="{96A89590-CB71-1140-A88E-B02386D350CD}" uniqueName="22" name="Column22" queryTableFieldId="22" dataDxfId="1530"/>
    <tableColumn id="23" xr3:uid="{A98ACD33-02A9-8348-8FF7-4B1003CC371C}" uniqueName="23" name="Column23" queryTableFieldId="23" dataDxfId="1529"/>
    <tableColumn id="24" xr3:uid="{14A3E254-F6EF-ED46-96B8-0C4EA085036A}" uniqueName="24" name="Column24" queryTableFieldId="24" dataDxfId="1528"/>
    <tableColumn id="25" xr3:uid="{9C72AD1C-97D5-FA43-90BB-8F439FAF3282}" uniqueName="25" name="Column25" queryTableFieldId="25" dataDxfId="1527"/>
    <tableColumn id="26" xr3:uid="{9B122F1F-3516-D748-852E-C307E714C696}" uniqueName="26" name="Column26" queryTableFieldId="26" dataDxfId="1526"/>
    <tableColumn id="27" xr3:uid="{A831FDD6-5B99-7C47-A513-8EF43BA24073}" uniqueName="27" name="Column27" queryTableFieldId="27" dataDxfId="1525"/>
    <tableColumn id="28" xr3:uid="{78B38563-C25C-3047-A93E-0AE3CCC6CAD9}" uniqueName="28" name="Column28" queryTableFieldId="28" dataDxfId="1524"/>
    <tableColumn id="29" xr3:uid="{18A4D462-F382-224B-9B89-2CCAE547BE70}" uniqueName="29" name="Column29" queryTableFieldId="29" dataDxfId="1523"/>
    <tableColumn id="30" xr3:uid="{6452BF34-DF3A-F24E-BD52-F4E4D97CF2E3}" uniqueName="30" name="Column30" queryTableFieldId="30" dataDxfId="1522"/>
    <tableColumn id="31" xr3:uid="{802EA239-A8C4-4C4E-ACD5-BA85F32B7EB2}" uniqueName="31" name="Column31" queryTableFieldId="31" dataDxfId="1521"/>
    <tableColumn id="32" xr3:uid="{550A4422-C8E5-8C4B-94C3-7150C807391A}" uniqueName="32" name="Column32" queryTableFieldId="32" dataDxfId="1520"/>
    <tableColumn id="33" xr3:uid="{827569DC-A8EE-DB4C-B48E-4163772D986C}" uniqueName="33" name="Column33" queryTableFieldId="33" dataDxfId="1519"/>
    <tableColumn id="34" xr3:uid="{9D2C650E-F8EB-BF41-B4B6-A2C7E54675BB}" uniqueName="34" name="Column34" queryTableFieldId="34" dataDxfId="1518"/>
    <tableColumn id="35" xr3:uid="{C36F9393-985D-8B43-A2E0-CA7C9093EE71}" uniqueName="35" name="Column35" queryTableFieldId="35" dataDxfId="1517"/>
    <tableColumn id="36" xr3:uid="{9A6A1073-A04A-444C-AB6B-57A56C337AE5}" uniqueName="36" name="Column36" queryTableFieldId="36" dataDxfId="1516"/>
    <tableColumn id="37" xr3:uid="{C3E15CA5-E1CE-8043-9343-FBF5EB315128}" uniqueName="37" name="Column37" queryTableFieldId="37" dataDxfId="1515"/>
    <tableColumn id="38" xr3:uid="{89B0901A-83E9-A84C-A1D1-193E31DCA859}" uniqueName="38" name="Column38" queryTableFieldId="38" dataDxfId="1514"/>
    <tableColumn id="39" xr3:uid="{32250A53-454E-0740-B2E3-C528B134C55E}" uniqueName="39" name="Column39" queryTableFieldId="39" dataDxfId="1513"/>
    <tableColumn id="40" xr3:uid="{BE33662C-E9D4-2F4B-9388-1FD0BE1AA71B}" uniqueName="40" name="Column40" queryTableFieldId="40" dataDxfId="1512"/>
    <tableColumn id="41" xr3:uid="{E9BD289F-42E3-A24C-8394-129B68230E90}" uniqueName="41" name="Column41" queryTableFieldId="41" dataDxfId="1511"/>
    <tableColumn id="42" xr3:uid="{7E0AA6B9-F3A3-4646-9B64-960F63E058D7}" uniqueName="42" name="Column42" queryTableFieldId="42" dataDxfId="1510"/>
    <tableColumn id="43" xr3:uid="{2675CE34-5D17-3941-9B09-F24084576275}" uniqueName="43" name="Column43" queryTableFieldId="43" dataDxfId="1509"/>
    <tableColumn id="44" xr3:uid="{861108D6-206D-DD4D-8358-6986297AA21A}" uniqueName="44" name="Column44" queryTableFieldId="44" dataDxfId="1508"/>
    <tableColumn id="45" xr3:uid="{95DCB1FA-ACDD-7E4E-9D10-03DAECEC8DC8}" uniqueName="45" name="Column45" queryTableFieldId="45" dataDxfId="1507"/>
    <tableColumn id="46" xr3:uid="{37FE5C68-33D8-C34E-A155-030D84BC2319}" uniqueName="46" name="Column46" queryTableFieldId="46" dataDxfId="1506"/>
    <tableColumn id="47" xr3:uid="{D5506CFE-A6EF-4245-A4F1-8DEF2181D438}" uniqueName="47" name="Column47" queryTableFieldId="47" dataDxfId="1505"/>
    <tableColumn id="48" xr3:uid="{E38A5326-4751-B44C-9AEE-4A23E009C897}" uniqueName="48" name="Column48" queryTableFieldId="48" dataDxfId="1504"/>
    <tableColumn id="49" xr3:uid="{124F10B0-4BE9-D241-BFA6-593F9AEC1FFC}" uniqueName="49" name="Column49" queryTableFieldId="49" dataDxfId="1503"/>
    <tableColumn id="50" xr3:uid="{FB0CF6A7-7116-684E-AF0F-D7C9C2F8545B}" uniqueName="50" name="Column50" queryTableFieldId="50" dataDxfId="1502"/>
    <tableColumn id="51" xr3:uid="{97549476-79B6-344E-8935-3C1D1778B1CC}" uniqueName="51" name="Column51" queryTableFieldId="51" dataDxfId="1501"/>
    <tableColumn id="52" xr3:uid="{74570705-5CAA-6341-BA6E-9D2F32022BE3}" uniqueName="52" name="Column52" queryTableFieldId="52" dataDxfId="1500"/>
    <tableColumn id="53" xr3:uid="{6347209C-D87A-AC4D-9810-3C5A8F18A22C}" uniqueName="53" name="Column53" queryTableFieldId="53" dataDxfId="1499"/>
    <tableColumn id="54" xr3:uid="{6569B47A-8E00-7644-A0DA-2DA94D14BA35}" uniqueName="54" name="Column54" queryTableFieldId="54" dataDxfId="1498"/>
    <tableColumn id="55" xr3:uid="{E95BBB49-32CA-BE43-8986-FF15D728022C}" uniqueName="55" name="Column55" queryTableFieldId="55" dataDxfId="1497"/>
    <tableColumn id="56" xr3:uid="{5CEA6670-F7E9-4E4D-AFB5-5DDA28D84450}" uniqueName="56" name="Column56" queryTableFieldId="56" dataDxfId="1496"/>
    <tableColumn id="57" xr3:uid="{40A68A18-109D-294D-9F26-CBC81ACDC17A}" uniqueName="57" name="Column57" queryTableFieldId="57" dataDxfId="1495"/>
    <tableColumn id="58" xr3:uid="{A98E0B1B-90C7-E14F-AB37-DDE6326866DC}" uniqueName="58" name="Column58" queryTableFieldId="58" dataDxfId="1494"/>
    <tableColumn id="59" xr3:uid="{852F68F8-7384-F146-B8D0-EEEED9A54679}" uniqueName="59" name="Column59" queryTableFieldId="59" dataDxfId="1493"/>
    <tableColumn id="60" xr3:uid="{9AFD5BAC-5911-334D-B626-024C87078824}" uniqueName="60" name="Column60" queryTableFieldId="60" dataDxfId="1492"/>
    <tableColumn id="61" xr3:uid="{079BBCC8-2963-124B-819B-1D088789C54E}" uniqueName="61" name="Column61" queryTableFieldId="61" dataDxfId="1491"/>
    <tableColumn id="62" xr3:uid="{33CB4C26-3ABA-9842-A5DB-C26CF28EFBDF}" uniqueName="62" name="Column62" queryTableFieldId="62" dataDxfId="1490"/>
    <tableColumn id="63" xr3:uid="{B0A10830-6AB6-3B44-AFE1-0EEF3C97539F}" uniqueName="63" name="Column63" queryTableFieldId="63" dataDxfId="1489"/>
    <tableColumn id="64" xr3:uid="{D31C933E-A78B-1349-8A3A-03009E6A1001}" uniqueName="64" name="Column64" queryTableFieldId="64" dataDxfId="1488"/>
    <tableColumn id="65" xr3:uid="{DEAF7D2D-1F93-B248-A5F7-60382EAF3C96}" uniqueName="65" name="Column65" queryTableFieldId="65" dataDxfId="1487"/>
    <tableColumn id="66" xr3:uid="{76A4C3DB-9541-FD42-BB58-32CEE902EBD1}" uniqueName="66" name="Column66" queryTableFieldId="66" dataDxfId="1486"/>
    <tableColumn id="67" xr3:uid="{EA94A91C-0B85-7C4E-865B-EA6B5E840F27}" uniqueName="67" name="Column67" queryTableFieldId="67" dataDxfId="1485"/>
    <tableColumn id="68" xr3:uid="{19C769A6-14E6-9B41-AD61-AF3AD647B04E}" uniqueName="68" name="Column68" queryTableFieldId="68" dataDxfId="1484"/>
    <tableColumn id="69" xr3:uid="{C7B7392B-1054-424E-B79B-5FC931C7791E}" uniqueName="69" name="Column69" queryTableFieldId="69" dataDxfId="1483"/>
    <tableColumn id="70" xr3:uid="{7D49D53E-E993-DF4A-9291-926593920B3C}" uniqueName="70" name="Column70" queryTableFieldId="70" dataDxfId="1482"/>
    <tableColumn id="71" xr3:uid="{1F85B7E3-0D24-994B-A3C3-75C1A2131F1E}" uniqueName="71" name="Column71" queryTableFieldId="71" dataDxfId="1481"/>
    <tableColumn id="72" xr3:uid="{BC0CE115-A778-AF4C-AC16-443BACE18AA7}" uniqueName="72" name="Column72" queryTableFieldId="72" dataDxfId="1480"/>
    <tableColumn id="73" xr3:uid="{31A4573A-5B1D-7D40-90EF-131D2358D1FE}" uniqueName="73" name="Column73" queryTableFieldId="73" dataDxfId="1479"/>
    <tableColumn id="74" xr3:uid="{80CECB22-4957-DD40-B108-2A11B54DFAC0}" uniqueName="74" name="Column74" queryTableFieldId="74" dataDxfId="1478"/>
    <tableColumn id="75" xr3:uid="{90850B33-C0F5-AB4C-991B-2875ADE14F21}" uniqueName="75" name="Column75" queryTableFieldId="75" dataDxfId="1477"/>
    <tableColumn id="76" xr3:uid="{7BF07907-1921-DA44-A7FC-D63174014BE5}" uniqueName="76" name="Column76" queryTableFieldId="76" dataDxfId="1476"/>
    <tableColumn id="77" xr3:uid="{EE9AA424-7325-AB4B-A107-3FB549661121}" uniqueName="77" name="Column77" queryTableFieldId="77" dataDxfId="1475"/>
    <tableColumn id="78" xr3:uid="{480FD88F-980B-6748-8004-DAC12CE5543D}" uniqueName="78" name="Column78" queryTableFieldId="78" dataDxfId="1474"/>
    <tableColumn id="79" xr3:uid="{C0FEA559-F542-C444-A611-AA4F5C5B40FF}" uniqueName="79" name="Column79" queryTableFieldId="79" dataDxfId="1473"/>
    <tableColumn id="80" xr3:uid="{E0F919B3-C468-5E4F-B990-B0C6C3EA0DF8}" uniqueName="80" name="Column80" queryTableFieldId="80" dataDxfId="1472"/>
    <tableColumn id="81" xr3:uid="{B2152C4B-4964-AE4C-A14C-B44437CE0E02}" uniqueName="81" name="Column81" queryTableFieldId="81" dataDxfId="1471"/>
    <tableColumn id="82" xr3:uid="{624C66A0-8A2C-6B4D-8183-32F71F6060E9}" uniqueName="82" name="Column82" queryTableFieldId="82" dataDxfId="1470"/>
    <tableColumn id="83" xr3:uid="{8479F66C-F919-7E48-946C-432A0773894D}" uniqueName="83" name="Column83" queryTableFieldId="83" dataDxfId="1469"/>
    <tableColumn id="84" xr3:uid="{7A3E0AC1-5504-984D-A606-094E179A308D}" uniqueName="84" name="Column84" queryTableFieldId="84" dataDxfId="1468"/>
    <tableColumn id="85" xr3:uid="{E3C08CFC-92B6-7944-B898-20289175A12F}" uniqueName="85" name="Column85" queryTableFieldId="85" dataDxfId="1467"/>
    <tableColumn id="86" xr3:uid="{C761848D-12E8-BD4B-990D-7ED1A8037C3C}" uniqueName="86" name="Column86" queryTableFieldId="86" dataDxfId="1466"/>
    <tableColumn id="87" xr3:uid="{C6A1199D-EE6F-4B4F-BF81-E6683E42F078}" uniqueName="87" name="Column87" queryTableFieldId="87" dataDxfId="1465"/>
    <tableColumn id="88" xr3:uid="{F24AB170-3CEA-CA47-AFCF-71E5FDA27331}" uniqueName="88" name="Column88" queryTableFieldId="88" dataDxfId="1464"/>
    <tableColumn id="89" xr3:uid="{65DB67B5-1D6B-3049-B7E4-16E16066B0C5}" uniqueName="89" name="Column89" queryTableFieldId="89" dataDxfId="1463"/>
    <tableColumn id="90" xr3:uid="{233EE8A0-20F9-9A46-ADA9-938DD2ABD8FB}" uniqueName="90" name="Column90" queryTableFieldId="90" dataDxfId="1462"/>
    <tableColumn id="91" xr3:uid="{B0BF88D2-036A-E84A-A5F4-1189B9592EB0}" uniqueName="91" name="Column91" queryTableFieldId="91" dataDxfId="1461"/>
    <tableColumn id="92" xr3:uid="{2DEEC8FE-5C33-044F-8333-B5E99E8144BB}" uniqueName="92" name="Column92" queryTableFieldId="92" dataDxfId="1460"/>
    <tableColumn id="93" xr3:uid="{945A0F8E-886C-D840-8137-274485F16952}" uniqueName="93" name="Column93" queryTableFieldId="93" dataDxfId="1459"/>
    <tableColumn id="94" xr3:uid="{D77769B8-3DAF-B54D-BBC5-960C99A7601E}" uniqueName="94" name="Column94" queryTableFieldId="94" dataDxfId="1458"/>
    <tableColumn id="95" xr3:uid="{E1AE88FA-C88C-7C4C-BC8C-5B7288B8FAB7}" uniqueName="95" name="Column95" queryTableFieldId="95" dataDxfId="1457"/>
    <tableColumn id="96" xr3:uid="{FA377F27-B874-C14D-9837-342CF7BA9595}" uniqueName="96" name="Column96" queryTableFieldId="96" dataDxfId="1456"/>
    <tableColumn id="97" xr3:uid="{ED7A1AB9-DD5E-5846-A937-B7AEEF42FC45}" uniqueName="97" name="Column97" queryTableFieldId="97" dataDxfId="1455"/>
    <tableColumn id="98" xr3:uid="{1640DCF0-5C0A-D640-B322-98EFC46FFBF6}" uniqueName="98" name="Column98" queryTableFieldId="98" dataDxfId="1454"/>
    <tableColumn id="99" xr3:uid="{C05C0B62-8D84-7246-A7CA-2AF961FD8488}" uniqueName="99" name="Column99" queryTableFieldId="99" dataDxfId="1453"/>
    <tableColumn id="100" xr3:uid="{EE39D1F7-CA2D-D047-90C2-2F8154B146D8}" uniqueName="100" name="Column100" queryTableFieldId="100" dataDxfId="1452"/>
    <tableColumn id="101" xr3:uid="{10044BB8-486C-D242-AAC2-E2C5ED654EC8}" uniqueName="101" name="Column101" queryTableFieldId="101" dataDxfId="1451"/>
    <tableColumn id="102" xr3:uid="{D1F26509-ABC7-9A4D-A252-C28129DC968D}" uniqueName="102" name="Column102" queryTableFieldId="102" dataDxfId="1450"/>
    <tableColumn id="103" xr3:uid="{247CC187-5B8E-C449-8F85-688BFFC57BCC}" uniqueName="103" name="Column103" queryTableFieldId="103" dataDxfId="1449"/>
    <tableColumn id="104" xr3:uid="{C8E5A06E-F936-494A-AC35-5A36B60BA879}" uniqueName="104" name="Column104" queryTableFieldId="104" dataDxfId="1448"/>
    <tableColumn id="105" xr3:uid="{FF64E3EB-9905-5C4A-95EA-31090242E108}" uniqueName="105" name="Column105" queryTableFieldId="105" dataDxfId="1447"/>
    <tableColumn id="106" xr3:uid="{028A2E22-AD45-1242-B1EF-D3568D0844CC}" uniqueName="106" name="Column106" queryTableFieldId="106" dataDxfId="1446"/>
    <tableColumn id="107" xr3:uid="{AE467AA9-9570-E04C-BC52-1875CDABF8FC}" uniqueName="107" name="Column107" queryTableFieldId="107" dataDxfId="1445"/>
    <tableColumn id="108" xr3:uid="{46A4A7D0-CE86-0A4E-9407-54FF763E4D17}" uniqueName="108" name="Column108" queryTableFieldId="108" dataDxfId="1444"/>
    <tableColumn id="109" xr3:uid="{6ACE14EC-4C40-034E-8E70-AFAF9E1BC77F}" uniqueName="109" name="Column109" queryTableFieldId="109" dataDxfId="1443"/>
    <tableColumn id="110" xr3:uid="{9A722FFE-F208-6245-97A5-2DCF593CA6E2}" uniqueName="110" name="Column110" queryTableFieldId="110" dataDxfId="1442"/>
    <tableColumn id="111" xr3:uid="{9DFC1BB6-4D5D-3949-9A8A-E802218259EE}" uniqueName="111" name="Column111" queryTableFieldId="111" dataDxfId="1441"/>
    <tableColumn id="112" xr3:uid="{18E5656F-7D21-4945-BB11-106679357637}" uniqueName="112" name="Column112" queryTableFieldId="112" dataDxfId="1440"/>
    <tableColumn id="113" xr3:uid="{940F9AA6-1EA7-094A-A683-3F8C70FDEDA4}" uniqueName="113" name="Column113" queryTableFieldId="113" dataDxfId="1439"/>
    <tableColumn id="114" xr3:uid="{E3DD9017-A517-9248-89E0-E7F948BAD368}" uniqueName="114" name="Column114" queryTableFieldId="114" dataDxfId="1438"/>
    <tableColumn id="115" xr3:uid="{A7A9AFC3-7529-8E4F-99CC-54A09992ADFD}" uniqueName="115" name="Column115" queryTableFieldId="115" dataDxfId="1437"/>
    <tableColumn id="116" xr3:uid="{2447B0DA-2334-6B49-BF48-E00A7AE03212}" uniqueName="116" name="Column116" queryTableFieldId="116" dataDxfId="1436"/>
    <tableColumn id="117" xr3:uid="{4AC86BA8-2A88-6D48-9256-957AA0B13C9D}" uniqueName="117" name="Column117" queryTableFieldId="117" dataDxfId="1435"/>
    <tableColumn id="118" xr3:uid="{163E5647-62E2-DC4E-B7E0-F016A6136AA5}" uniqueName="118" name="Column118" queryTableFieldId="118" dataDxfId="1434"/>
    <tableColumn id="119" xr3:uid="{9CDD944C-8C56-3041-A82E-D05C9F7A1828}" uniqueName="119" name="Column119" queryTableFieldId="119" dataDxfId="1433"/>
    <tableColumn id="120" xr3:uid="{92BBDF39-95CB-5947-85E8-94A083C9689E}" uniqueName="120" name="Column120" queryTableFieldId="120" dataDxfId="1432"/>
    <tableColumn id="121" xr3:uid="{48824E8B-8652-824D-92F5-1899932F4293}" uniqueName="121" name="Column121" queryTableFieldId="121" dataDxfId="1431"/>
    <tableColumn id="122" xr3:uid="{59049650-2FBE-0B41-B76F-A5AD74347918}" uniqueName="122" name="Column122" queryTableFieldId="122" dataDxfId="1430"/>
    <tableColumn id="123" xr3:uid="{ED5A80D8-C93B-414E-865F-A3BEDCC60550}" uniqueName="123" name="Column123" queryTableFieldId="123" dataDxfId="1429"/>
    <tableColumn id="124" xr3:uid="{55A75E4D-B2EE-FA4D-BF41-57B815C52F32}" uniqueName="124" name="Column124" queryTableFieldId="124" dataDxfId="1428"/>
    <tableColumn id="125" xr3:uid="{8C98A799-8790-114F-96BC-5D935E30EB55}" uniqueName="125" name="Column125" queryTableFieldId="125" dataDxfId="1427"/>
    <tableColumn id="126" xr3:uid="{801532B5-15F0-AC43-B273-31313FAABBBC}" uniqueName="126" name="Column126" queryTableFieldId="126" dataDxfId="1426"/>
    <tableColumn id="127" xr3:uid="{A119C452-9F7E-7742-AF94-9CD494A9B2C4}" uniqueName="127" name="Column127" queryTableFieldId="127" dataDxfId="1425"/>
    <tableColumn id="128" xr3:uid="{9017B547-C8C3-5949-A61C-F7BC8CE05488}" uniqueName="128" name="Column128" queryTableFieldId="128" dataDxfId="1424"/>
    <tableColumn id="129" xr3:uid="{B4F0C2F0-F9C7-0B42-B977-F44DF1416720}" uniqueName="129" name="Column129" queryTableFieldId="129" dataDxfId="1423"/>
    <tableColumn id="130" xr3:uid="{CFA2A8FE-09ED-CA42-A59E-DD2C2562650B}" uniqueName="130" name="Column130" queryTableFieldId="130" dataDxfId="1422"/>
    <tableColumn id="131" xr3:uid="{622AA904-BBAD-F741-92EE-6CC27754CABD}" uniqueName="131" name="Column131" queryTableFieldId="131" dataDxfId="1421"/>
    <tableColumn id="132" xr3:uid="{4431D183-C8A2-A54B-A7F6-187CC9627CF1}" uniqueName="132" name="Column132" queryTableFieldId="132" dataDxfId="1420"/>
    <tableColumn id="133" xr3:uid="{6FA264D3-D98B-8B4C-B66B-6FC8362A2032}" uniqueName="133" name="Column133" queryTableFieldId="133" dataDxfId="1419"/>
    <tableColumn id="134" xr3:uid="{211F70F1-A77D-9B4B-91C9-E0F66FF12FCC}" uniqueName="134" name="Column134" queryTableFieldId="134" dataDxfId="1418"/>
    <tableColumn id="135" xr3:uid="{612FE936-8C7D-EE43-B950-78B6B6690435}" uniqueName="135" name="Column135" queryTableFieldId="135" dataDxfId="1417"/>
    <tableColumn id="136" xr3:uid="{654CDC04-AD7C-6D45-8B2E-1F8947454433}" uniqueName="136" name="Column136" queryTableFieldId="136" dataDxfId="1416"/>
    <tableColumn id="137" xr3:uid="{ED6B7AF8-DC17-FF42-8B2E-678D9FFF5316}" uniqueName="137" name="Column137" queryTableFieldId="137" dataDxfId="1415"/>
    <tableColumn id="138" xr3:uid="{533278B2-9CE1-DD40-B4D0-09053CD59A09}" uniqueName="138" name="Column138" queryTableFieldId="138" dataDxfId="1414"/>
    <tableColumn id="139" xr3:uid="{F1DB74FE-0CEC-7242-85DD-6254AA88A38A}" uniqueName="139" name="Column139" queryTableFieldId="139" dataDxfId="1413"/>
    <tableColumn id="140" xr3:uid="{4143B6D9-1C02-034B-90F3-0AC58F6DA9C9}" uniqueName="140" name="Column140" queryTableFieldId="140" dataDxfId="1412"/>
    <tableColumn id="141" xr3:uid="{69884DBD-878B-1B41-B494-4E62102DC418}" uniqueName="141" name="Column141" queryTableFieldId="141" dataDxfId="1411"/>
    <tableColumn id="142" xr3:uid="{020C32E3-A7B7-1C46-88D1-E494F8025FA1}" uniqueName="142" name="Column142" queryTableFieldId="142" dataDxfId="1410"/>
    <tableColumn id="143" xr3:uid="{7724DDAC-099B-7F4F-8845-FA841E8F37EA}" uniqueName="143" name="Column143" queryTableFieldId="143" dataDxfId="1409"/>
    <tableColumn id="144" xr3:uid="{604CBAAA-DCDF-954F-AF59-97859FEE1242}" uniqueName="144" name="Column144" queryTableFieldId="144" dataDxfId="1408"/>
    <tableColumn id="145" xr3:uid="{385508B1-8D7F-4F4E-9700-79A4AB75FD24}" uniqueName="145" name="Column145" queryTableFieldId="145" dataDxfId="1407"/>
    <tableColumn id="146" xr3:uid="{9CCB2A77-930F-7247-A180-CF5B868698A2}" uniqueName="146" name="Column146" queryTableFieldId="146" dataDxfId="1406"/>
    <tableColumn id="147" xr3:uid="{018BFAE8-83EA-714F-9C82-ADC570A53937}" uniqueName="147" name="Column147" queryTableFieldId="147" dataDxfId="1405"/>
    <tableColumn id="148" xr3:uid="{413852BF-E235-C348-97F7-4A3DF688B42F}" uniqueName="148" name="Column148" queryTableFieldId="148" dataDxfId="1404"/>
    <tableColumn id="149" xr3:uid="{CF44C1F6-1A77-2D4F-90C8-F6ED6534E313}" uniqueName="149" name="Column149" queryTableFieldId="149" dataDxfId="1403"/>
    <tableColumn id="150" xr3:uid="{6B6087AA-3CE9-594B-AFDD-656658ECD80E}" uniqueName="150" name="Column150" queryTableFieldId="150" dataDxfId="1402"/>
    <tableColumn id="151" xr3:uid="{8A88E098-9720-BC4C-817D-58D5EDB8B1E9}" uniqueName="151" name="Column151" queryTableFieldId="151" dataDxfId="1401"/>
    <tableColumn id="152" xr3:uid="{0387E2F4-D2CD-3048-A642-158CEA893B87}" uniqueName="152" name="Column152" queryTableFieldId="152" dataDxfId="1400"/>
    <tableColumn id="153" xr3:uid="{7DFBFBBE-2F1D-9C40-A1E3-740296FCDEDA}" uniqueName="153" name="Column153" queryTableFieldId="153" dataDxfId="1399"/>
    <tableColumn id="154" xr3:uid="{5E72C3C1-682B-B542-8B01-E222BB09290E}" uniqueName="154" name="Column154" queryTableFieldId="154" dataDxfId="1398"/>
    <tableColumn id="155" xr3:uid="{1CBBB556-DB32-FD4D-8777-8B45B6F5A147}" uniqueName="155" name="Column155" queryTableFieldId="155" dataDxfId="1397"/>
    <tableColumn id="156" xr3:uid="{02E91F4B-7D63-BB43-913A-B1AD65233803}" uniqueName="156" name="Column156" queryTableFieldId="156" dataDxfId="1396"/>
    <tableColumn id="157" xr3:uid="{58B1BFD4-C8BD-EA44-8149-CE05527A89C7}" uniqueName="157" name="Column157" queryTableFieldId="157" dataDxfId="1395"/>
    <tableColumn id="158" xr3:uid="{BED48DDB-CACB-7244-8E8E-3DF790BBE77E}" uniqueName="158" name="Column158" queryTableFieldId="158" dataDxfId="1394"/>
    <tableColumn id="159" xr3:uid="{B7D3276D-4DDA-FE4A-92E9-888BD642F827}" uniqueName="159" name="Column159" queryTableFieldId="159" dataDxfId="1393"/>
    <tableColumn id="160" xr3:uid="{95C110A1-CEA3-6543-9D0F-36FEAEBAFF1E}" uniqueName="160" name="Column160" queryTableFieldId="160" dataDxfId="1392"/>
    <tableColumn id="161" xr3:uid="{9A565CBC-E07F-0E4D-91A6-00542D844738}" uniqueName="161" name="Column161" queryTableFieldId="161" dataDxfId="1391"/>
    <tableColumn id="162" xr3:uid="{ADEFE839-FA21-3A47-BCDA-A1989BB1383E}" uniqueName="162" name="Column162" queryTableFieldId="162" dataDxfId="1390"/>
    <tableColumn id="163" xr3:uid="{31F4665D-45A6-6043-BDB3-BE790CA5C647}" uniqueName="163" name="Column163" queryTableFieldId="163" dataDxfId="1389"/>
    <tableColumn id="164" xr3:uid="{55366B39-5AD4-EE4B-B19D-8D62CD711A35}" uniqueName="164" name="Column164" queryTableFieldId="164" dataDxfId="1388"/>
    <tableColumn id="165" xr3:uid="{D08A5136-3FAF-9743-9355-35AD95C8B472}" uniqueName="165" name="Column165" queryTableFieldId="165" dataDxfId="1387"/>
    <tableColumn id="166" xr3:uid="{6AC4E5BA-AEC5-F04E-BE67-18F39828AECF}" uniqueName="166" name="Column166" queryTableFieldId="166" dataDxfId="1386"/>
    <tableColumn id="167" xr3:uid="{48ABCA75-2F97-B54D-9756-28AA5F29F2D1}" uniqueName="167" name="Column167" queryTableFieldId="167" dataDxfId="1385"/>
    <tableColumn id="168" xr3:uid="{A1F91975-9A80-4F4C-B824-2A76C7E8D63C}" uniqueName="168" name="Column168" queryTableFieldId="168" dataDxfId="1384"/>
    <tableColumn id="169" xr3:uid="{730D1F1C-A81A-DF40-B6A6-73BF7A372CBD}" uniqueName="169" name="Column169" queryTableFieldId="169" dataDxfId="1383"/>
    <tableColumn id="170" xr3:uid="{D5E3E393-5431-614F-83C1-E36A8E610F5E}" uniqueName="170" name="Column170" queryTableFieldId="170" dataDxfId="1382"/>
    <tableColumn id="171" xr3:uid="{F7A1B70C-222D-6C4C-9E98-4D4131B14BC4}" uniqueName="171" name="Column171" queryTableFieldId="171" dataDxfId="1381"/>
    <tableColumn id="172" xr3:uid="{DA6ADF24-D858-B84C-92BC-FF8AF746CC5E}" uniqueName="172" name="Column172" queryTableFieldId="172" dataDxfId="1380"/>
    <tableColumn id="173" xr3:uid="{78B32777-A8FD-A940-BA6B-68DA5790669A}" uniqueName="173" name="Column173" queryTableFieldId="173" dataDxfId="1379"/>
    <tableColumn id="174" xr3:uid="{7B8E2DF0-7FAD-9E4D-BD02-95A6FAD78C4C}" uniqueName="174" name="Column174" queryTableFieldId="174" dataDxfId="1378"/>
    <tableColumn id="175" xr3:uid="{3C3961E9-7DB7-A44C-9383-F100DD62BCCB}" uniqueName="175" name="Column175" queryTableFieldId="175" dataDxfId="1377"/>
    <tableColumn id="176" xr3:uid="{93FF1D0C-1F7E-A042-A8D1-B993248CA1B7}" uniqueName="176" name="Column176" queryTableFieldId="176" dataDxfId="1376"/>
    <tableColumn id="177" xr3:uid="{B00E342D-B3CC-3C44-8341-4D10FAAB0E69}" uniqueName="177" name="Column177" queryTableFieldId="177" dataDxfId="1375"/>
    <tableColumn id="178" xr3:uid="{A99756F3-C39D-0F4F-B392-0E9240BA5ED5}" uniqueName="178" name="Column178" queryTableFieldId="178" dataDxfId="1374"/>
    <tableColumn id="179" xr3:uid="{489C9B85-CD45-C542-BB54-D8E7507BEB99}" uniqueName="179" name="Column179" queryTableFieldId="179" dataDxfId="1373"/>
    <tableColumn id="180" xr3:uid="{399F90E9-0C14-124B-8ED6-E56FFE551EA7}" uniqueName="180" name="Column180" queryTableFieldId="180" dataDxfId="1372"/>
    <tableColumn id="181" xr3:uid="{CB4042C7-C323-EB42-B310-339C437D8FAA}" uniqueName="181" name="Column181" queryTableFieldId="181" dataDxfId="1371"/>
    <tableColumn id="182" xr3:uid="{40D532EC-5CA8-6349-85B3-8A7FC58C4E4C}" uniqueName="182" name="Column182" queryTableFieldId="182" dataDxfId="1370"/>
    <tableColumn id="183" xr3:uid="{36EA9F1E-68B0-3B4E-9FFD-B5916EC2CA09}" uniqueName="183" name="Column183" queryTableFieldId="183" dataDxfId="1369"/>
    <tableColumn id="184" xr3:uid="{F29B3FFA-BA3A-4E45-8C98-C3A768C9425E}" uniqueName="184" name="Column184" queryTableFieldId="184" dataDxfId="1368"/>
    <tableColumn id="185" xr3:uid="{38BF18FA-0297-2149-9A2C-118F73E985BD}" uniqueName="185" name="Column185" queryTableFieldId="185" dataDxfId="1367"/>
    <tableColumn id="186" xr3:uid="{593B84EC-84A6-3546-A673-8E6A21A8BAB1}" uniqueName="186" name="Column186" queryTableFieldId="186" dataDxfId="1366"/>
    <tableColumn id="187" xr3:uid="{691FC6EE-A721-4049-93A4-C492FBF00ECF}" uniqueName="187" name="Column187" queryTableFieldId="187" dataDxfId="1365"/>
    <tableColumn id="188" xr3:uid="{C44BC3CB-5104-6248-B488-27CE587D291B}" uniqueName="188" name="Column188" queryTableFieldId="188" dataDxfId="1364"/>
    <tableColumn id="189" xr3:uid="{E1B47028-4032-A648-92C8-45CF5E70C828}" uniqueName="189" name="Column189" queryTableFieldId="189" dataDxfId="1363"/>
    <tableColumn id="190" xr3:uid="{636949FD-69C7-C744-853B-C048238CE88E}" uniqueName="190" name="Column190" queryTableFieldId="190" dataDxfId="1362"/>
    <tableColumn id="191" xr3:uid="{A96A62AB-EDCF-8B4B-83A2-5B35D4C86A1E}" uniqueName="191" name="Column191" queryTableFieldId="191" dataDxfId="1361"/>
    <tableColumn id="192" xr3:uid="{5C1BA8FE-31D1-4645-9B15-E60A76A25A2A}" uniqueName="192" name="Column192" queryTableFieldId="192" dataDxfId="1360"/>
    <tableColumn id="193" xr3:uid="{35070041-3A10-C645-8CCA-CA235359D803}" uniqueName="193" name="Column193" queryTableFieldId="193" dataDxfId="1359"/>
    <tableColumn id="194" xr3:uid="{BC851C95-B765-0244-829A-20796BEFBC4E}" uniqueName="194" name="Column194" queryTableFieldId="194" dataDxfId="1358"/>
    <tableColumn id="195" xr3:uid="{E3816F9D-E875-664C-AE8B-903F1BE7657F}" uniqueName="195" name="Column195" queryTableFieldId="195" dataDxfId="1357"/>
    <tableColumn id="196" xr3:uid="{AE6A7035-26ED-7342-B369-BA2F2B148ED0}" uniqueName="196" name="Column196" queryTableFieldId="196" dataDxfId="1356"/>
    <tableColumn id="197" xr3:uid="{178013B0-F8EC-D546-A893-B41AE49A101B}" uniqueName="197" name="Column197" queryTableFieldId="197" dataDxfId="1355"/>
    <tableColumn id="198" xr3:uid="{B6E9F202-39F4-434C-9012-DE8914811896}" uniqueName="198" name="Column198" queryTableFieldId="198" dataDxfId="1354"/>
    <tableColumn id="199" xr3:uid="{51410571-FD6A-7649-8A76-BADBD9DD204B}" uniqueName="199" name="Column199" queryTableFieldId="199" dataDxfId="1353"/>
    <tableColumn id="200" xr3:uid="{A1223649-5436-0343-8D5B-4B6E1671D763}" uniqueName="200" name="Column200" queryTableFieldId="200" dataDxfId="1352"/>
    <tableColumn id="201" xr3:uid="{CA533ECB-DE8A-6540-A673-927BAB60A309}" uniqueName="201" name="Column201" queryTableFieldId="201" dataDxfId="1351"/>
    <tableColumn id="202" xr3:uid="{CD80D227-A85F-8645-813F-64324E019C43}" uniqueName="202" name="Column202" queryTableFieldId="202" dataDxfId="1350"/>
    <tableColumn id="203" xr3:uid="{A373F742-FB16-B640-BB08-B23639D703DC}" uniqueName="203" name="Column203" queryTableFieldId="203" dataDxfId="1349"/>
    <tableColumn id="204" xr3:uid="{992D3716-A33A-1B47-9A1A-A4EA1EB7A4F8}" uniqueName="204" name="Column204" queryTableFieldId="204" dataDxfId="1348"/>
    <tableColumn id="205" xr3:uid="{7F370D8D-7975-3546-9150-E34D0469068C}" uniqueName="205" name="Column205" queryTableFieldId="205" dataDxfId="1347"/>
    <tableColumn id="206" xr3:uid="{3E3243DE-ABCA-0D48-B0AC-FBB095A8CF7B}" uniqueName="206" name="Column206" queryTableFieldId="206" dataDxfId="1346"/>
    <tableColumn id="207" xr3:uid="{8701790D-7BF8-1A4E-8BE9-0EFA39C9BE0E}" uniqueName="207" name="Column207" queryTableFieldId="207" dataDxfId="1345"/>
    <tableColumn id="208" xr3:uid="{2439B875-57B2-8C46-871F-5D4C00C2E57E}" uniqueName="208" name="Column208" queryTableFieldId="208" dataDxfId="1344"/>
    <tableColumn id="209" xr3:uid="{44167AE0-F448-6A40-AF7C-3C1F155A1149}" uniqueName="209" name="Column209" queryTableFieldId="209" dataDxfId="1343"/>
    <tableColumn id="210" xr3:uid="{B476F2B5-A570-BF46-A3C6-66A7684A9492}" uniqueName="210" name="Column210" queryTableFieldId="210" dataDxfId="1342"/>
    <tableColumn id="211" xr3:uid="{26077BD5-92F6-EA45-8B8B-E2ED1151DBFF}" uniqueName="211" name="Column211" queryTableFieldId="211" dataDxfId="1341"/>
    <tableColumn id="212" xr3:uid="{F1272D62-3CB0-6043-B82F-513A58C6F37D}" uniqueName="212" name="Column212" queryTableFieldId="212" dataDxfId="1340"/>
    <tableColumn id="213" xr3:uid="{02C5FB18-B2CE-D24A-9640-07ACB64E4D33}" uniqueName="213" name="Column213" queryTableFieldId="213" dataDxfId="1339"/>
    <tableColumn id="214" xr3:uid="{49D42FA4-FF4F-1F45-B05A-F3F9E7F76044}" uniqueName="214" name="Column214" queryTableFieldId="214" dataDxfId="1338"/>
    <tableColumn id="215" xr3:uid="{3C6192F7-37B6-4C4A-8D8D-544353FA76D7}" uniqueName="215" name="Column215" queryTableFieldId="215" dataDxfId="1337"/>
    <tableColumn id="216" xr3:uid="{0CDE83FE-B587-E043-BE46-7E6673DF5FAD}" uniqueName="216" name="Column216" queryTableFieldId="216" dataDxfId="1336"/>
    <tableColumn id="217" xr3:uid="{577A39A1-8B1E-0C43-9B0F-10C171DCBCD3}" uniqueName="217" name="Column217" queryTableFieldId="217" dataDxfId="1335"/>
    <tableColumn id="218" xr3:uid="{CBBAB45D-55D5-FC44-BEFE-FEDBEC3ACEC1}" uniqueName="218" name="Column218" queryTableFieldId="218" dataDxfId="1334"/>
    <tableColumn id="219" xr3:uid="{4AAC0BF6-D6E5-CB42-99EB-3142C1A496AB}" uniqueName="219" name="Column219" queryTableFieldId="219" dataDxfId="1333"/>
    <tableColumn id="220" xr3:uid="{64A18DB8-9AEA-2444-990B-A22744503959}" uniqueName="220" name="Column220" queryTableFieldId="220" dataDxfId="1332"/>
    <tableColumn id="221" xr3:uid="{3108A43A-B90E-3240-9624-71628ED779A1}" uniqueName="221" name="Column221" queryTableFieldId="221" dataDxfId="1331"/>
    <tableColumn id="222" xr3:uid="{F1B0C9D2-7899-C44C-8E18-8887A784616E}" uniqueName="222" name="Column222" queryTableFieldId="222" dataDxfId="1330"/>
    <tableColumn id="223" xr3:uid="{FF2AF474-B763-7440-A20A-55A00605B563}" uniqueName="223" name="Column223" queryTableFieldId="223" dataDxfId="1329"/>
    <tableColumn id="224" xr3:uid="{B313E0D1-08A1-F54A-BD77-F8E30023877F}" uniqueName="224" name="Column224" queryTableFieldId="224" dataDxfId="1328"/>
    <tableColumn id="225" xr3:uid="{ED823ADB-7E61-1142-B410-03F183B6C48C}" uniqueName="225" name="Column225" queryTableFieldId="225" dataDxfId="1327"/>
    <tableColumn id="226" xr3:uid="{DEB6D738-F666-E549-9B65-2C6BAFC2D67D}" uniqueName="226" name="Column226" queryTableFieldId="226" dataDxfId="1326"/>
    <tableColumn id="227" xr3:uid="{28B69AC6-7C2D-AB47-90E4-736601589B1C}" uniqueName="227" name="Column227" queryTableFieldId="227" dataDxfId="1325"/>
    <tableColumn id="228" xr3:uid="{14CC103B-0EC9-FF49-A334-6AFA3D038941}" uniqueName="228" name="Column228" queryTableFieldId="228" dataDxfId="1324"/>
    <tableColumn id="229" xr3:uid="{253E8069-2888-054C-A8D9-FE302E80AA73}" uniqueName="229" name="Column229" queryTableFieldId="229" dataDxfId="1323"/>
    <tableColumn id="230" xr3:uid="{DFDDE0C8-B2B1-6C48-AE9C-44FA07C317AA}" uniqueName="230" name="Column230" queryTableFieldId="230" dataDxfId="1322"/>
    <tableColumn id="231" xr3:uid="{D880D687-B8DA-9D4E-B83A-C90BD6383039}" uniqueName="231" name="Column231" queryTableFieldId="231" dataDxfId="1321"/>
    <tableColumn id="232" xr3:uid="{C6C10BB6-4995-A94E-B388-1A620D89F7C9}" uniqueName="232" name="Column232" queryTableFieldId="232" dataDxfId="1320"/>
    <tableColumn id="233" xr3:uid="{F7760465-D6AF-084C-A65C-C32A5DE53DC1}" uniqueName="233" name="Column233" queryTableFieldId="233" dataDxfId="1319"/>
    <tableColumn id="234" xr3:uid="{23251105-2435-9343-B745-D40B5DE471DC}" uniqueName="234" name="Column234" queryTableFieldId="234" dataDxfId="1318"/>
    <tableColumn id="235" xr3:uid="{BB42CF15-82E8-6547-AA21-4E49683D41F1}" uniqueName="235" name="Column235" queryTableFieldId="235" dataDxfId="1317"/>
    <tableColumn id="236" xr3:uid="{59769847-664E-7640-9FA1-14141BE61186}" uniqueName="236" name="Column236" queryTableFieldId="236" dataDxfId="1316"/>
    <tableColumn id="237" xr3:uid="{028B0FB4-69B9-6548-8266-21AE71E925BC}" uniqueName="237" name="Column237" queryTableFieldId="237" dataDxfId="1315"/>
    <tableColumn id="238" xr3:uid="{D872FBB6-4DB7-AB45-825A-3EC0C895392C}" uniqueName="238" name="Column238" queryTableFieldId="238" dataDxfId="1314"/>
    <tableColumn id="239" xr3:uid="{1F9ECA30-E490-C141-AFC0-81A50E77A4E3}" uniqueName="239" name="Column239" queryTableFieldId="239" dataDxfId="1313"/>
    <tableColumn id="240" xr3:uid="{C8A0CB5E-67E1-E84E-A60D-B614939FC65C}" uniqueName="240" name="Column240" queryTableFieldId="240" dataDxfId="1312"/>
    <tableColumn id="241" xr3:uid="{73E864A7-E389-674A-A457-4127F3DBABA6}" uniqueName="241" name="Column241" queryTableFieldId="241" dataDxfId="1311"/>
    <tableColumn id="242" xr3:uid="{C1AD3990-48B5-9940-AD06-E841B943264E}" uniqueName="242" name="Column242" queryTableFieldId="242" dataDxfId="1310"/>
    <tableColumn id="243" xr3:uid="{D6E41764-9C36-064F-98FF-BE4A7092ECD7}" uniqueName="243" name="Column243" queryTableFieldId="243" dataDxfId="1309"/>
    <tableColumn id="244" xr3:uid="{69886182-BD9F-3C43-BB30-4EA7263F5C9B}" uniqueName="244" name="Column244" queryTableFieldId="244" dataDxfId="1308"/>
    <tableColumn id="245" xr3:uid="{0D312537-19A7-4D40-B037-928645E75731}" uniqueName="245" name="Column245" queryTableFieldId="245" dataDxfId="1307"/>
    <tableColumn id="246" xr3:uid="{27F8C673-18FC-5443-B59D-A489068E6076}" uniqueName="246" name="Column246" queryTableFieldId="246" dataDxfId="1306"/>
    <tableColumn id="247" xr3:uid="{7F8894C2-28BA-6D4E-AEE6-BCBC96BEB903}" uniqueName="247" name="Column247" queryTableFieldId="247" dataDxfId="1305"/>
    <tableColumn id="248" xr3:uid="{3ECE012A-04CE-0545-968E-F37EEF9D33AF}" uniqueName="248" name="Column248" queryTableFieldId="248" dataDxfId="1304"/>
    <tableColumn id="249" xr3:uid="{789CE2AD-9538-5E42-9876-75BC308EC183}" uniqueName="249" name="Column249" queryTableFieldId="249" dataDxfId="1303"/>
    <tableColumn id="250" xr3:uid="{6BB98B79-9BEA-084E-B2C3-920ED31F3B12}" uniqueName="250" name="Column250" queryTableFieldId="250" dataDxfId="1302"/>
    <tableColumn id="251" xr3:uid="{7D810C10-4ABA-6849-85E4-819140DC59ED}" uniqueName="251" name="Column251" queryTableFieldId="251" dataDxfId="1301"/>
    <tableColumn id="252" xr3:uid="{942A6F96-FA74-F244-8C7E-56F399B91FFD}" uniqueName="252" name="Column252" queryTableFieldId="252" dataDxfId="1300"/>
    <tableColumn id="253" xr3:uid="{7A947688-5EB9-CE45-8849-6750BDB33A2E}" uniqueName="253" name="Column253" queryTableFieldId="253" dataDxfId="1299"/>
    <tableColumn id="254" xr3:uid="{5364CAEA-D90C-A04E-A7D0-E1BAB0929486}" uniqueName="254" name="Column254" queryTableFieldId="254" dataDxfId="1298"/>
    <tableColumn id="255" xr3:uid="{7C641E4C-B045-6B47-9C4A-26F51A8B571B}" uniqueName="255" name="Column255" queryTableFieldId="255" dataDxfId="1297"/>
    <tableColumn id="256" xr3:uid="{EF3F06F4-9DD2-8C40-AA4F-FB56BF63783F}" uniqueName="256" name="Column256" queryTableFieldId="256" dataDxfId="1296"/>
    <tableColumn id="257" xr3:uid="{8D391C84-572B-7D45-ACDA-5F9CDF51280F}" uniqueName="257" name="Column257" queryTableFieldId="257" dataDxfId="1295"/>
    <tableColumn id="258" xr3:uid="{20E88C27-4647-0542-801B-9897111A7039}" uniqueName="258" name="Column258" queryTableFieldId="258" dataDxfId="1294"/>
    <tableColumn id="259" xr3:uid="{875850B9-9B45-0949-9C68-947D03A61E91}" uniqueName="259" name="Column259" queryTableFieldId="259" dataDxfId="1293"/>
    <tableColumn id="260" xr3:uid="{F8932C5F-0077-974E-B26F-C3CDC1F0FD8C}" uniqueName="260" name="Column260" queryTableFieldId="260" dataDxfId="1292"/>
    <tableColumn id="261" xr3:uid="{9BD3B2A7-028A-E440-8221-195260DDB14F}" uniqueName="261" name="Column261" queryTableFieldId="261" dataDxfId="1291"/>
    <tableColumn id="262" xr3:uid="{27A82C56-AA58-904C-B611-E1C7BD394D19}" uniqueName="262" name="Column262" queryTableFieldId="262" dataDxfId="1290"/>
    <tableColumn id="263" xr3:uid="{8AFA3055-88FB-4747-87FB-6E2560447031}" uniqueName="263" name="Column263" queryTableFieldId="263" dataDxfId="1289"/>
    <tableColumn id="264" xr3:uid="{98DAA489-42BD-044C-8BC2-7BBA8C61058F}" uniqueName="264" name="Column264" queryTableFieldId="264" dataDxfId="1288"/>
    <tableColumn id="265" xr3:uid="{A956BD30-0C40-ED41-8788-00CA5B1957A5}" uniqueName="265" name="Column265" queryTableFieldId="265" dataDxfId="1287"/>
    <tableColumn id="266" xr3:uid="{45C8354D-4570-AE42-A83B-87B3CD97D5D4}" uniqueName="266" name="Column266" queryTableFieldId="266" dataDxfId="1286"/>
    <tableColumn id="267" xr3:uid="{58C4B35D-CFAC-5646-AD2C-3A9295E96853}" uniqueName="267" name="Column267" queryTableFieldId="267" dataDxfId="1285"/>
    <tableColumn id="268" xr3:uid="{1AB7707C-FD0F-2F44-A5D7-E06191CE4E8D}" uniqueName="268" name="Column268" queryTableFieldId="268" dataDxfId="1284"/>
    <tableColumn id="269" xr3:uid="{AA051C84-859D-8D42-B622-2F3CE261530C}" uniqueName="269" name="Column269" queryTableFieldId="269" dataDxfId="1283"/>
    <tableColumn id="270" xr3:uid="{7EA4847B-DC52-9C40-BA84-60C8620757F9}" uniqueName="270" name="Column270" queryTableFieldId="270" dataDxfId="1282"/>
    <tableColumn id="271" xr3:uid="{4D172FDF-B228-174F-AC4B-2432E0BFA86A}" uniqueName="271" name="Column271" queryTableFieldId="271" dataDxfId="1281"/>
    <tableColumn id="272" xr3:uid="{684FA001-05D2-B946-95B9-A4BD8FF7A6D3}" uniqueName="272" name="Column272" queryTableFieldId="272" dataDxfId="1280"/>
    <tableColumn id="273" xr3:uid="{3C4AB90B-EF29-D843-9DE3-CB157AEBB43B}" uniqueName="273" name="Column273" queryTableFieldId="273" dataDxfId="1279"/>
    <tableColumn id="274" xr3:uid="{92CC247D-3261-CF43-BB3F-C597267974F9}" uniqueName="274" name="Column274" queryTableFieldId="274" dataDxfId="1278"/>
    <tableColumn id="275" xr3:uid="{5E2C91B3-9978-964F-8017-F50E36608159}" uniqueName="275" name="Column275" queryTableFieldId="275" dataDxfId="1277"/>
    <tableColumn id="276" xr3:uid="{62CE6A01-CFA0-9F49-9735-78B399BAA335}" uniqueName="276" name="Column276" queryTableFieldId="276" dataDxfId="1276"/>
    <tableColumn id="277" xr3:uid="{DFE38620-A8AE-544A-AF5D-DA07F24E4CF3}" uniqueName="277" name="Column277" queryTableFieldId="277" dataDxfId="1275"/>
    <tableColumn id="278" xr3:uid="{5E21470F-C381-8244-AF31-C1FA6324F2CA}" uniqueName="278" name="Column278" queryTableFieldId="278" dataDxfId="1274"/>
    <tableColumn id="279" xr3:uid="{E00606E4-0905-9D47-91FD-EABC46D75493}" uniqueName="279" name="Column279" queryTableFieldId="279" dataDxfId="1273"/>
    <tableColumn id="280" xr3:uid="{01FE1AC5-3EC8-274B-86EC-19D97EC3EF5C}" uniqueName="280" name="Column280" queryTableFieldId="280" dataDxfId="1272"/>
    <tableColumn id="281" xr3:uid="{87DD0DB9-72D6-BC46-8238-60846CEC2FE9}" uniqueName="281" name="Column281" queryTableFieldId="281" dataDxfId="1271"/>
    <tableColumn id="282" xr3:uid="{20416F6A-FD14-6C47-B15B-4BAB8992EF6D}" uniqueName="282" name="Column282" queryTableFieldId="282" dataDxfId="1270"/>
    <tableColumn id="283" xr3:uid="{ACD27040-0253-044F-B658-6A6338EE333D}" uniqueName="283" name="Column283" queryTableFieldId="283" dataDxfId="1269"/>
    <tableColumn id="284" xr3:uid="{5803561F-4CE6-6342-9803-611DF5825F88}" uniqueName="284" name="Column284" queryTableFieldId="284" dataDxfId="1268"/>
    <tableColumn id="285" xr3:uid="{7E3AA794-AA10-FB43-A4AD-A55850337B32}" uniqueName="285" name="Column285" queryTableFieldId="285" dataDxfId="1267"/>
    <tableColumn id="286" xr3:uid="{04037F97-2B35-064F-8DB0-19CAABC05607}" uniqueName="286" name="Column286" queryTableFieldId="286" dataDxfId="1266"/>
    <tableColumn id="287" xr3:uid="{D13CB40D-724A-C148-8CB6-854E8D46FF7C}" uniqueName="287" name="Column287" queryTableFieldId="287" dataDxfId="1265"/>
    <tableColumn id="288" xr3:uid="{ABBCEBFE-37D0-E341-BD0F-0097AA8A9B52}" uniqueName="288" name="Column288" queryTableFieldId="288" dataDxfId="1264"/>
    <tableColumn id="289" xr3:uid="{C90E9B2B-8445-7C49-8B9D-183F6D5FB361}" uniqueName="289" name="Column289" queryTableFieldId="289" dataDxfId="1263"/>
    <tableColumn id="290" xr3:uid="{143F2377-A2B7-F049-BCAD-50B41C3FD69C}" uniqueName="290" name="Column290" queryTableFieldId="290" dataDxfId="1262"/>
    <tableColumn id="291" xr3:uid="{1AB209B5-22DB-C040-B748-28FEB0928D5E}" uniqueName="291" name="Column291" queryTableFieldId="291" dataDxfId="1261"/>
    <tableColumn id="292" xr3:uid="{E3C11BF4-27EC-7643-A74F-24116AAE2C5B}" uniqueName="292" name="Column292" queryTableFieldId="292" dataDxfId="1260"/>
    <tableColumn id="293" xr3:uid="{B12695F9-0AD1-E44B-9420-539F9C5C8790}" uniqueName="293" name="Column293" queryTableFieldId="293" dataDxfId="1259"/>
    <tableColumn id="294" xr3:uid="{37216751-52FC-254F-B9A3-6EE72791E3EE}" uniqueName="294" name="Column294" queryTableFieldId="294" dataDxfId="1258"/>
    <tableColumn id="295" xr3:uid="{A63EA284-04AE-094F-841A-94CA7EC1C427}" uniqueName="295" name="Column295" queryTableFieldId="295" dataDxfId="1257"/>
    <tableColumn id="296" xr3:uid="{D1774806-394F-8244-868C-5FA9DD0B79A1}" uniqueName="296" name="Column296" queryTableFieldId="296" dataDxfId="1256"/>
    <tableColumn id="297" xr3:uid="{CA81D5FF-9883-9445-A230-8719579BE211}" uniqueName="297" name="Column297" queryTableFieldId="297" dataDxfId="1255"/>
    <tableColumn id="298" xr3:uid="{C4015E7E-8DD4-FD43-B4E9-62132FC0F6DF}" uniqueName="298" name="Column298" queryTableFieldId="298" dataDxfId="1254"/>
    <tableColumn id="299" xr3:uid="{195ABD5D-D5B8-3A4D-B085-74E574C51B6F}" uniqueName="299" name="Column299" queryTableFieldId="299" dataDxfId="1253"/>
    <tableColumn id="300" xr3:uid="{EF4AAC57-8D1B-DC47-A497-A5E49228F860}" uniqueName="300" name="Column300" queryTableFieldId="300" dataDxfId="1252"/>
    <tableColumn id="301" xr3:uid="{ABAC50CF-4F60-344B-9CE9-375C42279A6E}" uniqueName="301" name="Column301" queryTableFieldId="301" dataDxfId="1251"/>
    <tableColumn id="302" xr3:uid="{83C485FC-7409-A84C-81BD-AD141E8433A6}" uniqueName="302" name="Column302" queryTableFieldId="302" dataDxfId="1250"/>
    <tableColumn id="303" xr3:uid="{43832448-38A3-FC46-AC3E-25B2E58BD574}" uniqueName="303" name="Column303" queryTableFieldId="303" dataDxfId="1249"/>
    <tableColumn id="304" xr3:uid="{1ACB3E8E-601E-7448-AD70-AF4AE3B4A277}" uniqueName="304" name="Column304" queryTableFieldId="304" dataDxfId="1248"/>
    <tableColumn id="305" xr3:uid="{C04C04B8-9651-954A-A82E-7DAF65DAC5C6}" uniqueName="305" name="Column305" queryTableFieldId="305" dataDxfId="1247"/>
    <tableColumn id="306" xr3:uid="{E2FFCC48-88D7-E549-BBBE-CCEE56DA15B9}" uniqueName="306" name="Column306" queryTableFieldId="306" dataDxfId="1246"/>
    <tableColumn id="307" xr3:uid="{0ED1BE9E-9069-0643-AF94-A4385866936C}" uniqueName="307" name="Column307" queryTableFieldId="307" dataDxfId="1245"/>
    <tableColumn id="308" xr3:uid="{B83B6208-97A7-2F46-A9F1-FC992B455F97}" uniqueName="308" name="Column308" queryTableFieldId="308" dataDxfId="1244"/>
    <tableColumn id="309" xr3:uid="{8721D36B-2415-004F-AE69-5D4A66248D3E}" uniqueName="309" name="Column309" queryTableFieldId="309" dataDxfId="1243"/>
    <tableColumn id="310" xr3:uid="{E6C6C7A2-499B-AA4F-A272-52FF539A5C3F}" uniqueName="310" name="Column310" queryTableFieldId="310" dataDxfId="1242"/>
    <tableColumn id="311" xr3:uid="{9A870BE4-B570-9742-9426-D973F752CBD2}" uniqueName="311" name="Column311" queryTableFieldId="311" dataDxfId="1241"/>
    <tableColumn id="312" xr3:uid="{C81BC7A2-5559-914D-8403-EAB0AD628D64}" uniqueName="312" name="Column312" queryTableFieldId="312" dataDxfId="1240"/>
    <tableColumn id="313" xr3:uid="{E2F74A98-0DB2-754E-8CD9-E03CB27FC9CF}" uniqueName="313" name="Column313" queryTableFieldId="313" dataDxfId="1239"/>
    <tableColumn id="314" xr3:uid="{28AF7071-C660-7040-9F08-362F8E1AF6B8}" uniqueName="314" name="Column314" queryTableFieldId="314" dataDxfId="1238"/>
    <tableColumn id="315" xr3:uid="{EDEE4880-46ED-B84E-9C95-B412011E1E06}" uniqueName="315" name="Column315" queryTableFieldId="315" dataDxfId="1237"/>
    <tableColumn id="316" xr3:uid="{D9F0E678-B25D-2946-AF39-C4475FE53090}" uniqueName="316" name="Column316" queryTableFieldId="316" dataDxfId="1236"/>
    <tableColumn id="317" xr3:uid="{0CB90ACE-0B0F-4442-B345-326FFCE6B724}" uniqueName="317" name="Column317" queryTableFieldId="317" dataDxfId="1235"/>
    <tableColumn id="318" xr3:uid="{BD1A9F7A-AB4E-0742-8324-85ECE8432A27}" uniqueName="318" name="Column318" queryTableFieldId="318" dataDxfId="1234"/>
    <tableColumn id="319" xr3:uid="{8ED2A8CE-2ACA-4946-A8AB-F2AC3A98531B}" uniqueName="319" name="Column319" queryTableFieldId="319" dataDxfId="1233"/>
    <tableColumn id="320" xr3:uid="{91DA8BF1-E8A2-244B-B42D-64788D61CFA5}" uniqueName="320" name="Column320" queryTableFieldId="320" dataDxfId="1232"/>
    <tableColumn id="321" xr3:uid="{ECD62F38-AA62-0D49-B3B7-FE6292D0AD9C}" uniqueName="321" name="Column321" queryTableFieldId="321" dataDxfId="1231"/>
    <tableColumn id="322" xr3:uid="{C96F9A6B-066D-4A4E-A9EB-76A44D53C0F9}" uniqueName="322" name="Column322" queryTableFieldId="322" dataDxfId="1230"/>
    <tableColumn id="323" xr3:uid="{A4467318-E600-A448-8150-3472A6E0A151}" uniqueName="323" name="Column323" queryTableFieldId="323" dataDxfId="1229"/>
    <tableColumn id="324" xr3:uid="{EF454AF0-C380-A848-8365-A0FF61D5C9FD}" uniqueName="324" name="Column324" queryTableFieldId="324" dataDxfId="1228"/>
    <tableColumn id="325" xr3:uid="{331AC45A-6658-0C4F-AEF6-9DBFA1F42F84}" uniqueName="325" name="Column325" queryTableFieldId="325" dataDxfId="1227"/>
    <tableColumn id="326" xr3:uid="{CA20816F-3343-4248-BC19-07C4697A89A2}" uniqueName="326" name="Column326" queryTableFieldId="326" dataDxfId="1226"/>
    <tableColumn id="327" xr3:uid="{B48288EB-7A75-6245-A8F2-3008B106A8A2}" uniqueName="327" name="Column327" queryTableFieldId="327" dataDxfId="1225"/>
    <tableColumn id="328" xr3:uid="{373B875F-F8FD-7A49-A5E7-290C49F5B2EA}" uniqueName="328" name="Column328" queryTableFieldId="328" dataDxfId="1224"/>
    <tableColumn id="329" xr3:uid="{647BF858-7398-064C-B8D4-A214AACE4C99}" uniqueName="329" name="Column329" queryTableFieldId="329" dataDxfId="1223"/>
    <tableColumn id="330" xr3:uid="{1ED10C26-6C3C-5846-829A-B865BC172F66}" uniqueName="330" name="Column330" queryTableFieldId="330" dataDxfId="1222"/>
    <tableColumn id="331" xr3:uid="{54ED0A9C-87B1-0144-954E-8A4F9C9D6A91}" uniqueName="331" name="Column331" queryTableFieldId="331" dataDxfId="1221"/>
    <tableColumn id="332" xr3:uid="{0315F8CD-B032-6E4B-8B76-A375CD910A40}" uniqueName="332" name="Column332" queryTableFieldId="332" dataDxfId="1220"/>
    <tableColumn id="333" xr3:uid="{851EAD9C-D508-9D48-87BD-7F1588CA85F2}" uniqueName="333" name="Column333" queryTableFieldId="333" dataDxfId="1219"/>
    <tableColumn id="334" xr3:uid="{4AF0AB6D-A5E5-234A-A45C-8D4DB51DE60D}" uniqueName="334" name="Column334" queryTableFieldId="334" dataDxfId="1218"/>
    <tableColumn id="335" xr3:uid="{16A5D29E-71A7-4F4B-8AA1-A6BF377C59FB}" uniqueName="335" name="Column335" queryTableFieldId="335" dataDxfId="1217"/>
    <tableColumn id="336" xr3:uid="{459841E2-72B5-8145-A371-ECA727052482}" uniqueName="336" name="Column336" queryTableFieldId="336" dataDxfId="1216"/>
    <tableColumn id="337" xr3:uid="{CC9B481A-97C1-DE47-808C-489D9E04D952}" uniqueName="337" name="Column337" queryTableFieldId="337" dataDxfId="1215"/>
    <tableColumn id="338" xr3:uid="{49F6A5B6-C2C0-2A44-88FD-617234FA6B23}" uniqueName="338" name="Column338" queryTableFieldId="338" dataDxfId="1214"/>
    <tableColumn id="339" xr3:uid="{02896C1A-29D7-104D-89A7-DAE5C1801B72}" uniqueName="339" name="Column339" queryTableFieldId="339" dataDxfId="1213"/>
    <tableColumn id="340" xr3:uid="{53D05F8B-EA96-A846-98B5-F3505247B794}" uniqueName="340" name="Column340" queryTableFieldId="340" dataDxfId="1212"/>
    <tableColumn id="341" xr3:uid="{6614D5F6-C891-664B-9D9E-AF086F3DE02F}" uniqueName="341" name="Column341" queryTableFieldId="341" dataDxfId="1211"/>
    <tableColumn id="342" xr3:uid="{9F786A4D-BC3C-DC43-9570-0CAB927DBB64}" uniqueName="342" name="Column342" queryTableFieldId="342" dataDxfId="1210"/>
    <tableColumn id="343" xr3:uid="{AE2DDE6F-907E-BF40-810C-526A52C6FEA8}" uniqueName="343" name="Column343" queryTableFieldId="343" dataDxfId="1209"/>
    <tableColumn id="344" xr3:uid="{9C8BAE18-9C5A-004A-A0F0-87C5DF347D35}" uniqueName="344" name="Column344" queryTableFieldId="344" dataDxfId="1208"/>
    <tableColumn id="345" xr3:uid="{BD13BC3B-6599-5145-8F08-59B85E941B52}" uniqueName="345" name="Column345" queryTableFieldId="345" dataDxfId="1207"/>
    <tableColumn id="346" xr3:uid="{F6A12058-3FA7-4D45-B371-D40FC0473839}" uniqueName="346" name="Column346" queryTableFieldId="346" dataDxfId="1206"/>
    <tableColumn id="347" xr3:uid="{FC8050E6-0696-CE40-A29B-38D615810795}" uniqueName="347" name="Column347" queryTableFieldId="347" dataDxfId="1205"/>
    <tableColumn id="348" xr3:uid="{6AF0CCC0-4D21-144D-BAF1-1957328F60AF}" uniqueName="348" name="Column348" queryTableFieldId="348" dataDxfId="1204"/>
    <tableColumn id="349" xr3:uid="{324D7B58-B937-DB43-B4C8-2E1C1ED8E88A}" uniqueName="349" name="Column349" queryTableFieldId="349" dataDxfId="1203"/>
    <tableColumn id="350" xr3:uid="{2D990324-999C-A44C-9D4A-E263AD374F63}" uniqueName="350" name="Column350" queryTableFieldId="350" dataDxfId="1202"/>
    <tableColumn id="351" xr3:uid="{F56BB14C-87C1-3C45-93BE-68FD0D8AADD5}" uniqueName="351" name="Column351" queryTableFieldId="351" dataDxfId="1201"/>
    <tableColumn id="352" xr3:uid="{5E7F284B-338C-B846-ACBF-B838100631EC}" uniqueName="352" name="Column352" queryTableFieldId="352" dataDxfId="1200"/>
    <tableColumn id="353" xr3:uid="{34D51E3B-BBC4-C647-BC14-2F0F0300358C}" uniqueName="353" name="Column353" queryTableFieldId="353" dataDxfId="1199"/>
    <tableColumn id="354" xr3:uid="{8374DE51-3863-194C-8155-18019912E940}" uniqueName="354" name="Column354" queryTableFieldId="354" dataDxfId="1198"/>
    <tableColumn id="355" xr3:uid="{DE5B8D53-5353-2B43-9A29-380DD136C433}" uniqueName="355" name="Column355" queryTableFieldId="355" dataDxfId="1197"/>
    <tableColumn id="356" xr3:uid="{1AF73DD0-EC9F-AA4B-9738-05CC2AEB876F}" uniqueName="356" name="Column356" queryTableFieldId="356" dataDxfId="1196"/>
    <tableColumn id="357" xr3:uid="{5D74258A-A04C-D949-B5D8-23D1237B8FEC}" uniqueName="357" name="Column357" queryTableFieldId="357" dataDxfId="1195"/>
    <tableColumn id="358" xr3:uid="{24E6F274-8E3B-3B48-837D-DF4D8B846AA7}" uniqueName="358" name="Column358" queryTableFieldId="358" dataDxfId="1194"/>
    <tableColumn id="359" xr3:uid="{A6D522BA-9D5B-9946-9632-7B9DD329A5E2}" uniqueName="359" name="Column359" queryTableFieldId="359" dataDxfId="1193"/>
    <tableColumn id="360" xr3:uid="{E9834D36-A058-FA43-8773-96A21022192D}" uniqueName="360" name="Column360" queryTableFieldId="360" dataDxfId="1192"/>
    <tableColumn id="361" xr3:uid="{34721D39-9B2E-E945-801F-60A2B725F14E}" uniqueName="361" name="Column361" queryTableFieldId="361" dataDxfId="1191"/>
    <tableColumn id="362" xr3:uid="{E307DD1D-1F72-044F-B9A0-E7B1B4C7668E}" uniqueName="362" name="Column362" queryTableFieldId="362" dataDxfId="1190"/>
    <tableColumn id="363" xr3:uid="{BC692EFE-F2B1-174A-BFB9-449549945025}" uniqueName="363" name="Column363" queryTableFieldId="363" dataDxfId="1189"/>
    <tableColumn id="364" xr3:uid="{E0EC2307-BEEF-B740-A21B-C750AC90F0FC}" uniqueName="364" name="Column364" queryTableFieldId="364" dataDxfId="1188"/>
    <tableColumn id="365" xr3:uid="{8C2DECE1-E76E-3943-B7E2-2747FE50184F}" uniqueName="365" name="Column365" queryTableFieldId="365" dataDxfId="1187"/>
    <tableColumn id="366" xr3:uid="{A62FB21B-8A12-6C40-83EB-BD5E3D496D7D}" uniqueName="366" name="Column366" queryTableFieldId="366" dataDxfId="1186"/>
    <tableColumn id="367" xr3:uid="{7C1A8C61-583A-F84D-A418-3DC86E715193}" uniqueName="367" name="Column367" queryTableFieldId="367" dataDxfId="1185"/>
    <tableColumn id="368" xr3:uid="{0A79E643-E0B6-0548-9DD4-342A5389E7C6}" uniqueName="368" name="Column368" queryTableFieldId="368" dataDxfId="1184"/>
    <tableColumn id="369" xr3:uid="{BCD82070-1138-2746-B8F7-85C0E9C02612}" uniqueName="369" name="Column369" queryTableFieldId="369" dataDxfId="1183"/>
    <tableColumn id="370" xr3:uid="{62736718-FA4B-4E4D-B912-74AA07C0627A}" uniqueName="370" name="Column370" queryTableFieldId="370" dataDxfId="1182"/>
    <tableColumn id="371" xr3:uid="{1E357E0D-9C7E-B04F-B93A-9C854553AF65}" uniqueName="371" name="Column371" queryTableFieldId="371" dataDxfId="1181"/>
    <tableColumn id="372" xr3:uid="{A31504D6-B0D7-4946-8999-C307D2FB82E4}" uniqueName="372" name="Column372" queryTableFieldId="372" dataDxfId="1180"/>
    <tableColumn id="373" xr3:uid="{971DF251-3C44-9D4E-99C4-4778A3592E4D}" uniqueName="373" name="Column373" queryTableFieldId="373" dataDxfId="1179"/>
    <tableColumn id="374" xr3:uid="{A1A0B7DD-923B-EF4A-AD56-F0A64628D2D7}" uniqueName="374" name="Column374" queryTableFieldId="374" dataDxfId="1178"/>
    <tableColumn id="375" xr3:uid="{44606210-6DDC-8144-B10B-FEE9B113F5D9}" uniqueName="375" name="Column375" queryTableFieldId="375" dataDxfId="1177"/>
    <tableColumn id="376" xr3:uid="{67298813-BE17-4343-A08F-13C61E51C5BB}" uniqueName="376" name="Column376" queryTableFieldId="376" dataDxfId="1176"/>
    <tableColumn id="377" xr3:uid="{B40D3F53-4C68-1343-BC22-AAA4ABF69CB3}" uniqueName="377" name="Column377" queryTableFieldId="377" dataDxfId="1175"/>
    <tableColumn id="378" xr3:uid="{28E324AA-F40D-4144-9C7D-F8BC9648E343}" uniqueName="378" name="Column378" queryTableFieldId="378" dataDxfId="1174"/>
    <tableColumn id="379" xr3:uid="{DE0DDEFB-12DE-5C45-8E6E-60763515B4D2}" uniqueName="379" name="Column379" queryTableFieldId="379" dataDxfId="1173"/>
    <tableColumn id="380" xr3:uid="{6535DB05-1C05-064C-A69B-5744817B3C24}" uniqueName="380" name="Column380" queryTableFieldId="380" dataDxfId="1172"/>
    <tableColumn id="381" xr3:uid="{9A5B1D2E-7101-1949-801D-2D740BDEF50E}" uniqueName="381" name="Column381" queryTableFieldId="381" dataDxfId="1171"/>
    <tableColumn id="382" xr3:uid="{332414C2-A69A-BF41-B3AD-FAD0AE5D5F3F}" uniqueName="382" name="Column382" queryTableFieldId="382" dataDxfId="1170"/>
    <tableColumn id="383" xr3:uid="{B57BC0A7-E49D-DC48-9C10-C9C4ED487D0B}" uniqueName="383" name="Column383" queryTableFieldId="383" dataDxfId="1169"/>
    <tableColumn id="384" xr3:uid="{AC6AB661-48EE-FB49-B71D-2A9E37E1DA82}" uniqueName="384" name="Column384" queryTableFieldId="384" dataDxfId="1168"/>
    <tableColumn id="385" xr3:uid="{2BC70AC2-F198-9144-ABC4-6841BBEA07A4}" uniqueName="385" name="Column385" queryTableFieldId="385" dataDxfId="1167"/>
    <tableColumn id="386" xr3:uid="{069B77C8-6C74-0848-AA49-3DA168B14BDD}" uniqueName="386" name="Column386" queryTableFieldId="386" dataDxfId="1166"/>
    <tableColumn id="387" xr3:uid="{CF1925A4-9AC0-7A4F-ADB1-44E8776EE771}" uniqueName="387" name="Column387" queryTableFieldId="387" dataDxfId="1165"/>
    <tableColumn id="388" xr3:uid="{1ADACF1C-1D87-0940-AB52-4DE6F463EEC2}" uniqueName="388" name="Column388" queryTableFieldId="388" dataDxfId="1164"/>
    <tableColumn id="389" xr3:uid="{365A6F4E-6C99-EE42-AA08-EDB7408ADDC3}" uniqueName="389" name="Column389" queryTableFieldId="389" dataDxfId="1163"/>
    <tableColumn id="390" xr3:uid="{5336A6DF-751B-0F46-A04B-6E7827B900D8}" uniqueName="390" name="Column390" queryTableFieldId="390" dataDxfId="1162"/>
    <tableColumn id="391" xr3:uid="{7A37B6F5-BAB3-E448-BCCC-5F45B3B14CD5}" uniqueName="391" name="Column391" queryTableFieldId="391" dataDxfId="1161"/>
    <tableColumn id="392" xr3:uid="{61FE833F-0BA2-2842-BD1C-2B0652670343}" uniqueName="392" name="Column392" queryTableFieldId="392" dataDxfId="1160"/>
    <tableColumn id="393" xr3:uid="{13651EC6-1B09-1C40-A056-60BD9EE045E5}" uniqueName="393" name="Column393" queryTableFieldId="393" dataDxfId="1159"/>
    <tableColumn id="394" xr3:uid="{9E8F1603-43F6-A34B-AD02-1C02363957EE}" uniqueName="394" name="Column394" queryTableFieldId="394" dataDxfId="1158"/>
    <tableColumn id="395" xr3:uid="{DB01D66D-5C97-DF4E-8CC1-814CF344792D}" uniqueName="395" name="Column395" queryTableFieldId="395" dataDxfId="1157"/>
    <tableColumn id="396" xr3:uid="{1995503D-95A5-FF4B-AAFB-564B6DB2EBB7}" uniqueName="396" name="Column396" queryTableFieldId="396" dataDxfId="1156"/>
    <tableColumn id="397" xr3:uid="{84CE384F-7CDE-7541-85CB-7FC1E9C7FF23}" uniqueName="397" name="Column397" queryTableFieldId="397" dataDxfId="1155"/>
    <tableColumn id="398" xr3:uid="{28C04B65-6871-904C-ADE4-C92A38175881}" uniqueName="398" name="Column398" queryTableFieldId="398" dataDxfId="1154"/>
    <tableColumn id="399" xr3:uid="{DD916FAB-876C-D946-980D-10EA13443F31}" uniqueName="399" name="Column399" queryTableFieldId="399" dataDxfId="1153"/>
    <tableColumn id="400" xr3:uid="{599570E1-DBFB-7641-B464-FBFB92889950}" uniqueName="400" name="Column400" queryTableFieldId="400" dataDxfId="1152"/>
    <tableColumn id="401" xr3:uid="{CFDB5381-1816-EF4A-A79E-B1D429C96B06}" uniqueName="401" name="Column401" queryTableFieldId="401" dataDxfId="1151"/>
    <tableColumn id="402" xr3:uid="{4DA46B23-9B7B-3C47-AE56-FE0C0C8783DD}" uniqueName="402" name="Column402" queryTableFieldId="402" dataDxfId="1150"/>
    <tableColumn id="403" xr3:uid="{B21DF955-A42F-6746-B46B-E8B670DED7D9}" uniqueName="403" name="Column403" queryTableFieldId="403" dataDxfId="1149"/>
    <tableColumn id="404" xr3:uid="{231150A1-3406-F447-BCDE-BEE2E5242E0C}" uniqueName="404" name="Column404" queryTableFieldId="404" dataDxfId="1148"/>
    <tableColumn id="405" xr3:uid="{9A49E5D6-801E-304F-ACF0-2F09834FB48C}" uniqueName="405" name="Column405" queryTableFieldId="405" dataDxfId="1147"/>
    <tableColumn id="406" xr3:uid="{F32A318E-1FDF-B448-90AB-06097B86A106}" uniqueName="406" name="Column406" queryTableFieldId="406" dataDxfId="1146"/>
    <tableColumn id="407" xr3:uid="{A2248F9B-9C2E-3541-BFA3-FF4005E9E001}" uniqueName="407" name="Column407" queryTableFieldId="407" dataDxfId="1145"/>
    <tableColumn id="408" xr3:uid="{1B1B15E3-34AD-7D47-8A44-E9134449B58C}" uniqueName="408" name="Column408" queryTableFieldId="408" dataDxfId="1144"/>
    <tableColumn id="409" xr3:uid="{0F898343-12D3-ED44-A4EC-78B2CA770DEA}" uniqueName="409" name="Column409" queryTableFieldId="409" dataDxfId="1143"/>
    <tableColumn id="410" xr3:uid="{1150F337-AF59-224D-8088-04F1660E2D84}" uniqueName="410" name="Column410" queryTableFieldId="410" dataDxfId="1142"/>
    <tableColumn id="411" xr3:uid="{914E08A4-862B-964A-8887-5BB8839AE11B}" uniqueName="411" name="Column411" queryTableFieldId="411" dataDxfId="1141"/>
    <tableColumn id="412" xr3:uid="{4AEEDE7F-AD96-0A42-866E-114DC3012136}" uniqueName="412" name="Column412" queryTableFieldId="412" dataDxfId="1140"/>
    <tableColumn id="413" xr3:uid="{E3171ABA-BBF1-3646-BD25-26AA9B0DB2E5}" uniqueName="413" name="Column413" queryTableFieldId="413" dataDxfId="1139"/>
    <tableColumn id="414" xr3:uid="{5B3C210C-A74D-2348-9692-18CE27B9C21F}" uniqueName="414" name="Column414" queryTableFieldId="414" dataDxfId="1138"/>
    <tableColumn id="415" xr3:uid="{1D8A2ED3-3A92-7244-A6AF-F7E423087AB6}" uniqueName="415" name="Column415" queryTableFieldId="415" dataDxfId="1137"/>
    <tableColumn id="416" xr3:uid="{706C23AD-B829-0540-87E3-B887869C0B14}" uniqueName="416" name="Column416" queryTableFieldId="416" dataDxfId="1136"/>
    <tableColumn id="417" xr3:uid="{9E78A247-9D0D-4249-B4B2-B886C2CAE74F}" uniqueName="417" name="Column417" queryTableFieldId="417" dataDxfId="1135"/>
    <tableColumn id="418" xr3:uid="{0AE740DC-64FE-0341-A504-42FE7D1F1191}" uniqueName="418" name="Column418" queryTableFieldId="418" dataDxfId="1134"/>
    <tableColumn id="419" xr3:uid="{975DA530-2080-FB47-87B4-2B590DAABB58}" uniqueName="419" name="Column419" queryTableFieldId="419" dataDxfId="1133"/>
    <tableColumn id="420" xr3:uid="{49356D73-5148-B545-9081-2034479EC131}" uniqueName="420" name="Column420" queryTableFieldId="420" dataDxfId="1132"/>
    <tableColumn id="421" xr3:uid="{908EF360-08C5-3542-AECA-02E98EFC9B55}" uniqueName="421" name="Column421" queryTableFieldId="421" dataDxfId="1131"/>
    <tableColumn id="422" xr3:uid="{71C19567-141B-434D-B689-5AF63AE41091}" uniqueName="422" name="Column422" queryTableFieldId="422" dataDxfId="1130"/>
    <tableColumn id="423" xr3:uid="{60D8AE5B-E339-9644-9841-07100EE8B634}" uniqueName="423" name="Column423" queryTableFieldId="423" dataDxfId="1129"/>
    <tableColumn id="424" xr3:uid="{7824E938-FBF4-334D-BDDC-A7CE6645E8CD}" uniqueName="424" name="Column424" queryTableFieldId="424" dataDxfId="1128"/>
    <tableColumn id="425" xr3:uid="{AE307F80-DBB3-5645-9BC3-69B1FE439D54}" uniqueName="425" name="Column425" queryTableFieldId="425" dataDxfId="1127"/>
    <tableColumn id="426" xr3:uid="{D064772C-16A7-694F-8EAB-FCCE73216763}" uniqueName="426" name="Column426" queryTableFieldId="426" dataDxfId="1126"/>
    <tableColumn id="427" xr3:uid="{898D4B44-4CD4-9241-AEFA-B3D4AD0D6920}" uniqueName="427" name="Column427" queryTableFieldId="427" dataDxfId="1125"/>
    <tableColumn id="428" xr3:uid="{D5CBE9CB-BE02-B34A-9E62-3A53167004D6}" uniqueName="428" name="Column428" queryTableFieldId="428" dataDxfId="1124"/>
    <tableColumn id="429" xr3:uid="{1FA3BE18-DBB2-AA43-92DC-21AE8890E771}" uniqueName="429" name="Column429" queryTableFieldId="429" dataDxfId="1123"/>
    <tableColumn id="430" xr3:uid="{05235FC6-26DA-0F4D-B650-E4F560417612}" uniqueName="430" name="Column430" queryTableFieldId="430" dataDxfId="1122"/>
    <tableColumn id="431" xr3:uid="{8223C017-2016-864C-915A-DE192076244A}" uniqueName="431" name="Column431" queryTableFieldId="431" dataDxfId="1121"/>
    <tableColumn id="432" xr3:uid="{C52D5BB4-040B-1547-9E1C-84CDBEEF884D}" uniqueName="432" name="Column432" queryTableFieldId="432" dataDxfId="1120"/>
    <tableColumn id="433" xr3:uid="{235032D9-A168-BA46-9B36-26F99A188561}" uniqueName="433" name="Column433" queryTableFieldId="433" dataDxfId="1119"/>
    <tableColumn id="434" xr3:uid="{2DFF9FC2-5F93-4F4B-8A74-7077B9A025BA}" uniqueName="434" name="Column434" queryTableFieldId="434" dataDxfId="1118"/>
    <tableColumn id="435" xr3:uid="{7175E65A-BD26-AA40-9232-5C0A42AF4088}" uniqueName="435" name="Column435" queryTableFieldId="435" dataDxfId="1117"/>
    <tableColumn id="436" xr3:uid="{8CD4A67E-0540-D64A-B1ED-A4FAC62E08C7}" uniqueName="436" name="Column436" queryTableFieldId="436" dataDxfId="1116"/>
    <tableColumn id="437" xr3:uid="{64B8BAA6-8B1A-D84A-A68C-5D462317CF09}" uniqueName="437" name="Column437" queryTableFieldId="437" dataDxfId="1115"/>
    <tableColumn id="438" xr3:uid="{D12EEFEF-955E-2B43-8466-067F4957D335}" uniqueName="438" name="Column438" queryTableFieldId="438" dataDxfId="1114"/>
    <tableColumn id="439" xr3:uid="{9F8C06DD-54F4-474D-A917-7021397D379A}" uniqueName="439" name="Column439" queryTableFieldId="439" dataDxfId="1113"/>
    <tableColumn id="440" xr3:uid="{BF682D54-A79B-A743-A50C-DC0FD793BA0E}" uniqueName="440" name="Column440" queryTableFieldId="440" dataDxfId="1112"/>
    <tableColumn id="441" xr3:uid="{6694AE06-CA2D-114F-A143-56F2161EEA5E}" uniqueName="441" name="Column441" queryTableFieldId="441" dataDxfId="1111"/>
    <tableColumn id="442" xr3:uid="{94649C52-93D6-1245-99BD-1988F1B5CBFE}" uniqueName="442" name="Column442" queryTableFieldId="442" dataDxfId="1110"/>
    <tableColumn id="443" xr3:uid="{CC864CF3-FE43-CA42-9D78-1A496AFBB564}" uniqueName="443" name="Column443" queryTableFieldId="443" dataDxfId="1109"/>
    <tableColumn id="444" xr3:uid="{E3950119-9D49-E74A-B6A3-D5128C5881FE}" uniqueName="444" name="Column444" queryTableFieldId="444" dataDxfId="1108"/>
    <tableColumn id="445" xr3:uid="{720644B6-9B17-D746-AB0A-BE46AF42725A}" uniqueName="445" name="Column445" queryTableFieldId="445" dataDxfId="1107"/>
    <tableColumn id="446" xr3:uid="{A52C1A09-F092-7348-9C63-AE76B17BB1FF}" uniqueName="446" name="Column446" queryTableFieldId="446" dataDxfId="1106"/>
    <tableColumn id="447" xr3:uid="{8FB7BE58-DA5B-1541-B972-488E64390CC4}" uniqueName="447" name="Column447" queryTableFieldId="447" dataDxfId="1105"/>
    <tableColumn id="448" xr3:uid="{1C8D6C6A-6699-F44A-8D4F-C073E2F76C0A}" uniqueName="448" name="Column448" queryTableFieldId="448" dataDxfId="1104"/>
    <tableColumn id="449" xr3:uid="{8F9ACE0A-0E81-9946-A886-13186B47144E}" uniqueName="449" name="Column449" queryTableFieldId="449" dataDxfId="1103"/>
    <tableColumn id="450" xr3:uid="{DE6F79C1-C515-D443-ACEC-611D291EE784}" uniqueName="450" name="Column450" queryTableFieldId="450" dataDxfId="1102"/>
    <tableColumn id="451" xr3:uid="{50199078-6CE4-4740-8EFA-546A2D0DD09F}" uniqueName="451" name="Column451" queryTableFieldId="451" dataDxfId="1101"/>
    <tableColumn id="452" xr3:uid="{A6DC34D5-788E-FD49-874C-20E75B72C2DB}" uniqueName="452" name="Column452" queryTableFieldId="452" dataDxfId="1100"/>
    <tableColumn id="453" xr3:uid="{1C6B1593-7B46-DD47-A9A4-49FEAB53423C}" uniqueName="453" name="Column453" queryTableFieldId="453" dataDxfId="1099"/>
    <tableColumn id="454" xr3:uid="{6577DBE6-7040-E94A-AC01-092978D7063C}" uniqueName="454" name="Column454" queryTableFieldId="454" dataDxfId="1098"/>
    <tableColumn id="455" xr3:uid="{82119E89-E25A-DF4A-83A7-1D9EB4554BCB}" uniqueName="455" name="Column455" queryTableFieldId="455" dataDxfId="1097"/>
    <tableColumn id="456" xr3:uid="{FA5A0DE7-17D5-3A4C-BFE6-2964F3660FE7}" uniqueName="456" name="Column456" queryTableFieldId="456" dataDxfId="1096"/>
    <tableColumn id="457" xr3:uid="{237DB644-ED99-6840-8DBB-3FA8ADF47197}" uniqueName="457" name="Column457" queryTableFieldId="457" dataDxfId="1095"/>
    <tableColumn id="458" xr3:uid="{77706DB2-395E-3B42-8B81-D65B8A76B797}" uniqueName="458" name="Column458" queryTableFieldId="458" dataDxfId="1094"/>
    <tableColumn id="459" xr3:uid="{9031FD0A-5DB7-944E-A7D5-8C6D726BD0C4}" uniqueName="459" name="Column459" queryTableFieldId="459" dataDxfId="1093"/>
    <tableColumn id="460" xr3:uid="{FD7BC85F-D5EE-0D44-BE12-D5328A791193}" uniqueName="460" name="Column460" queryTableFieldId="460" dataDxfId="1092"/>
    <tableColumn id="461" xr3:uid="{2BE45D4A-7CBC-2E46-BC29-AFD2F9C68AE4}" uniqueName="461" name="Column461" queryTableFieldId="461" dataDxfId="1091"/>
    <tableColumn id="462" xr3:uid="{E9DF2D67-68FE-404F-BF31-8A0BDF116357}" uniqueName="462" name="Column462" queryTableFieldId="462" dataDxfId="1090"/>
    <tableColumn id="463" xr3:uid="{AA08FA18-1AE4-D94C-8084-113E397B95A3}" uniqueName="463" name="Column463" queryTableFieldId="463" dataDxfId="1089"/>
    <tableColumn id="464" xr3:uid="{713FB5BC-7BAF-1C4D-A20A-14AAC361A7D3}" uniqueName="464" name="Column464" queryTableFieldId="464" dataDxfId="1088"/>
    <tableColumn id="465" xr3:uid="{2F739CA1-8F14-234D-8469-F9DC2521979A}" uniqueName="465" name="Column465" queryTableFieldId="465" dataDxfId="1087"/>
    <tableColumn id="466" xr3:uid="{DB05734F-1D98-3F46-B74C-4973A7CA2F11}" uniqueName="466" name="Column466" queryTableFieldId="466" dataDxfId="1086"/>
    <tableColumn id="467" xr3:uid="{B9B93660-F4DC-E34C-B7FE-CE3A788FCC77}" uniqueName="467" name="Column467" queryTableFieldId="467" dataDxfId="1085"/>
    <tableColumn id="468" xr3:uid="{23AE0892-A509-3643-A01F-64AC938B22E2}" uniqueName="468" name="Column468" queryTableFieldId="468" dataDxfId="1084"/>
    <tableColumn id="469" xr3:uid="{94D107B2-C99A-8942-B5EF-A718FF0A8799}" uniqueName="469" name="Column469" queryTableFieldId="469" dataDxfId="1083"/>
    <tableColumn id="470" xr3:uid="{E8464B1A-3B20-C444-B1B6-8910A83F6660}" uniqueName="470" name="Column470" queryTableFieldId="470" dataDxfId="1082"/>
    <tableColumn id="471" xr3:uid="{A6BE6667-9883-8444-B4C4-2C13085B8C6D}" uniqueName="471" name="Column471" queryTableFieldId="471" dataDxfId="1081"/>
    <tableColumn id="472" xr3:uid="{1CCAED96-C988-004B-A77E-519A0269F790}" uniqueName="472" name="Column472" queryTableFieldId="472" dataDxfId="1080"/>
    <tableColumn id="473" xr3:uid="{FEE3123F-969F-E247-ACEC-3292C9094098}" uniqueName="473" name="Column473" queryTableFieldId="473" dataDxfId="1079"/>
    <tableColumn id="474" xr3:uid="{394D3178-329E-8440-A445-407D975D2A2A}" uniqueName="474" name="Column474" queryTableFieldId="474" dataDxfId="1078"/>
    <tableColumn id="475" xr3:uid="{7F2AC0F3-AF89-644B-B58B-7DB7C632A277}" uniqueName="475" name="Column475" queryTableFieldId="475" dataDxfId="1077"/>
    <tableColumn id="476" xr3:uid="{95D4E6C2-6A06-FD4B-B650-8299BA244658}" uniqueName="476" name="Column476" queryTableFieldId="476" dataDxfId="1076"/>
    <tableColumn id="477" xr3:uid="{CBE56A60-2958-2C4D-96EB-868CC956FC5E}" uniqueName="477" name="Column477" queryTableFieldId="477" dataDxfId="1075"/>
    <tableColumn id="478" xr3:uid="{E3B3D84D-275C-914C-AEF5-5EF95E46CA7A}" uniqueName="478" name="Column478" queryTableFieldId="478" dataDxfId="1074"/>
    <tableColumn id="479" xr3:uid="{0B7530BB-94D1-1145-8105-3000CA6402E4}" uniqueName="479" name="Column479" queryTableFieldId="479" dataDxfId="1073"/>
    <tableColumn id="480" xr3:uid="{2418DEE0-D43A-0842-8477-E7193EC19F97}" uniqueName="480" name="Column480" queryTableFieldId="480" dataDxfId="1072"/>
    <tableColumn id="481" xr3:uid="{ACCC0D71-5E7A-534A-A780-CB38793BCB10}" uniqueName="481" name="Column481" queryTableFieldId="481" dataDxfId="1071"/>
    <tableColumn id="482" xr3:uid="{A3E7A775-BED9-654E-84A1-319DEEFA017A}" uniqueName="482" name="Column482" queryTableFieldId="482" dataDxfId="1070"/>
    <tableColumn id="483" xr3:uid="{F6EA5734-84F4-6449-A639-59DB999584C2}" uniqueName="483" name="Column483" queryTableFieldId="483" dataDxfId="1069"/>
    <tableColumn id="484" xr3:uid="{44C14253-F72E-4341-9D2B-94D82F79C08E}" uniqueName="484" name="Column484" queryTableFieldId="484" dataDxfId="1068"/>
    <tableColumn id="485" xr3:uid="{6CF44108-613C-8E42-8FAD-D1520EB81072}" uniqueName="485" name="Column485" queryTableFieldId="485" dataDxfId="1067"/>
    <tableColumn id="486" xr3:uid="{B6F40870-5F46-3643-966A-2387F47B7738}" uniqueName="486" name="Column486" queryTableFieldId="486" dataDxfId="1066"/>
    <tableColumn id="487" xr3:uid="{10A63E3B-75BB-5A48-94EF-F0D41F9FBC20}" uniqueName="487" name="Column487" queryTableFieldId="487" dataDxfId="1065"/>
    <tableColumn id="488" xr3:uid="{FE669B80-B4E2-0843-9629-CDC79255E259}" uniqueName="488" name="Column488" queryTableFieldId="488" dataDxfId="1064"/>
    <tableColumn id="489" xr3:uid="{7741EEFD-1EE2-B748-ABD1-7BFCBB179459}" uniqueName="489" name="Column489" queryTableFieldId="489" dataDxfId="1063"/>
    <tableColumn id="490" xr3:uid="{2A19C85B-E2DB-9449-9CDC-FDFE9AD2E4CE}" uniqueName="490" name="Column490" queryTableFieldId="490" dataDxfId="1062"/>
    <tableColumn id="491" xr3:uid="{38783145-348F-9248-B762-C02DF3B176A5}" uniqueName="491" name="Column491" queryTableFieldId="491" dataDxfId="1061"/>
    <tableColumn id="492" xr3:uid="{97FE48B1-18DA-084C-9DF8-35B912126D8F}" uniqueName="492" name="Column492" queryTableFieldId="492" dataDxfId="1060"/>
    <tableColumn id="493" xr3:uid="{E79C683C-1C5C-1A40-BA0F-86B150D49219}" uniqueName="493" name="Column493" queryTableFieldId="493" dataDxfId="1059"/>
    <tableColumn id="494" xr3:uid="{AF9AB042-24B0-054C-B7CC-7ABA8174A28A}" uniqueName="494" name="Column494" queryTableFieldId="494" dataDxfId="1058"/>
    <tableColumn id="495" xr3:uid="{B7D02180-CF12-0642-9EC6-440CAFE2DCE2}" uniqueName="495" name="Column495" queryTableFieldId="495" dataDxfId="1057"/>
    <tableColumn id="496" xr3:uid="{186AA68D-A02C-5045-B26B-CE69BB561DA0}" uniqueName="496" name="Column496" queryTableFieldId="496" dataDxfId="1056"/>
    <tableColumn id="497" xr3:uid="{0E33207E-4C3E-1842-A771-35C487C5F5DD}" uniqueName="497" name="Column497" queryTableFieldId="497" dataDxfId="1055"/>
    <tableColumn id="498" xr3:uid="{C4EA0B02-D8B1-1F43-B9B2-6DB86DDE3013}" uniqueName="498" name="Column498" queryTableFieldId="498" dataDxfId="1054"/>
    <tableColumn id="499" xr3:uid="{6C2C60B2-A8E4-EE43-A167-E0684A6CA84F}" uniqueName="499" name="Column499" queryTableFieldId="499" dataDxfId="1053"/>
    <tableColumn id="500" xr3:uid="{5DF312AD-A77C-6046-8AA8-3EDEFC2109A3}" uniqueName="500" name="Column500" queryTableFieldId="500" dataDxfId="1052"/>
    <tableColumn id="501" xr3:uid="{981E08AF-D679-574B-BA71-3E4733F0712A}" uniqueName="501" name="Column501" queryTableFieldId="501" dataDxfId="1051"/>
    <tableColumn id="502" xr3:uid="{BB852BC5-BB6F-2940-B687-D5AFD47ACE2C}" uniqueName="502" name="Column502" queryTableFieldId="502" dataDxfId="1050"/>
    <tableColumn id="503" xr3:uid="{793D1945-F87A-8E4E-A346-09EB4F123A3D}" uniqueName="503" name="Column503" queryTableFieldId="503" dataDxfId="1049"/>
    <tableColumn id="504" xr3:uid="{9D89A00E-4BCC-7C4C-995F-103FEBEDDB41}" uniqueName="504" name="Column504" queryTableFieldId="504" dataDxfId="1048"/>
    <tableColumn id="505" xr3:uid="{D0561E2E-2619-9248-8C11-74235DBDB48E}" uniqueName="505" name="Column505" queryTableFieldId="505" dataDxfId="1047"/>
    <tableColumn id="506" xr3:uid="{B61B89B7-9AAE-464E-84C2-8EBC16156523}" uniqueName="506" name="Column506" queryTableFieldId="506" dataDxfId="1046"/>
    <tableColumn id="507" xr3:uid="{0412AB0A-AB66-374F-8367-6451481B76FA}" uniqueName="507" name="Column507" queryTableFieldId="507" dataDxfId="1045"/>
    <tableColumn id="508" xr3:uid="{EA507C61-E2BA-7C47-80DE-D858B4D30B70}" uniqueName="508" name="Column508" queryTableFieldId="508" dataDxfId="1044"/>
    <tableColumn id="509" xr3:uid="{C3A645A7-63FF-5745-9869-CADF099D6D11}" uniqueName="509" name="Column509" queryTableFieldId="509" dataDxfId="1043"/>
    <tableColumn id="510" xr3:uid="{A97D3EFB-3D47-074A-A141-13CB20E1284B}" uniqueName="510" name="Column510" queryTableFieldId="510" dataDxfId="1042"/>
    <tableColumn id="511" xr3:uid="{BFB0401B-EDD9-AE4F-A64A-7B8125D37A34}" uniqueName="511" name="Column511" queryTableFieldId="511" dataDxfId="1041"/>
    <tableColumn id="512" xr3:uid="{24B60DE1-D840-0D42-9822-3C3D23012F70}" uniqueName="512" name="Column512" queryTableFieldId="512" dataDxfId="1040"/>
    <tableColumn id="513" xr3:uid="{E509A52C-E4AA-DF46-B926-23443E8CD8ED}" uniqueName="513" name="Column513" queryTableFieldId="513" dataDxfId="1039"/>
    <tableColumn id="514" xr3:uid="{9978773C-2B25-1446-AD1E-1A9774759931}" uniqueName="514" name="Column514" queryTableFieldId="514" dataDxfId="1038"/>
    <tableColumn id="515" xr3:uid="{19E6650E-2990-6443-BC59-B483C1735DCC}" uniqueName="515" name="Column515" queryTableFieldId="515" dataDxfId="1037"/>
    <tableColumn id="516" xr3:uid="{7E9AD5E0-1637-BC49-98AD-8E857F064913}" uniqueName="516" name="Column516" queryTableFieldId="516" dataDxfId="1036"/>
    <tableColumn id="517" xr3:uid="{B99FC7B2-601D-BC48-B37D-96421AE31449}" uniqueName="517" name="Column517" queryTableFieldId="517" dataDxfId="1035"/>
    <tableColumn id="518" xr3:uid="{2A734D45-D679-6546-A519-C46AB21D0306}" uniqueName="518" name="Column518" queryTableFieldId="518" dataDxfId="1034"/>
    <tableColumn id="519" xr3:uid="{FC101A1C-4995-B146-9432-CBCB8716B18D}" uniqueName="519" name="Column519" queryTableFieldId="519" dataDxfId="1033"/>
    <tableColumn id="520" xr3:uid="{39179712-D077-E141-A8A0-6B46A4D97915}" uniqueName="520" name="Column520" queryTableFieldId="520" dataDxfId="1032"/>
    <tableColumn id="521" xr3:uid="{82F5D441-8932-414B-BDCF-782C5977EA0C}" uniqueName="521" name="Column521" queryTableFieldId="521" dataDxfId="1031"/>
    <tableColumn id="522" xr3:uid="{DEFD7A4B-5B8B-B945-8A1A-D7A681BA2567}" uniqueName="522" name="Column522" queryTableFieldId="522" dataDxfId="1030"/>
    <tableColumn id="523" xr3:uid="{8289D162-7851-2B43-A4B9-E5B36E9CE32F}" uniqueName="523" name="Column523" queryTableFieldId="523" dataDxfId="1029"/>
    <tableColumn id="524" xr3:uid="{77BEC5DF-E911-734F-A076-050E1D067225}" uniqueName="524" name="Column524" queryTableFieldId="524" dataDxfId="1028"/>
    <tableColumn id="525" xr3:uid="{BA5C91F3-5446-DF4E-B98A-97158D62BB21}" uniqueName="525" name="Column525" queryTableFieldId="525" dataDxfId="1027"/>
    <tableColumn id="526" xr3:uid="{BB6DA207-F328-074A-953D-0C46E8F3800D}" uniqueName="526" name="Column526" queryTableFieldId="526" dataDxfId="1026"/>
    <tableColumn id="527" xr3:uid="{0AAA35EF-9B84-274E-99F0-844ACEE2BDB9}" uniqueName="527" name="Column527" queryTableFieldId="527" dataDxfId="1025"/>
    <tableColumn id="528" xr3:uid="{CBBD3AB1-8FDA-E64A-A922-0A47857966CF}" uniqueName="528" name="Column528" queryTableFieldId="528" dataDxfId="1024"/>
    <tableColumn id="529" xr3:uid="{0EF7E612-EB4C-E94A-8728-75CE2B1BDDAB}" uniqueName="529" name="Column529" queryTableFieldId="529" dataDxfId="1023"/>
    <tableColumn id="530" xr3:uid="{5A22E933-8789-E444-A68E-C4D1A2DDD685}" uniqueName="530" name="Column530" queryTableFieldId="530" dataDxfId="1022"/>
    <tableColumn id="531" xr3:uid="{CD9D531B-E1A9-8248-A569-C27879075E3D}" uniqueName="531" name="Column531" queryTableFieldId="531" dataDxfId="1021"/>
    <tableColumn id="532" xr3:uid="{A4462198-3E63-6D45-80E6-180F66D8C4B1}" uniqueName="532" name="Column532" queryTableFieldId="532" dataDxfId="1020"/>
    <tableColumn id="533" xr3:uid="{9D1C24D7-3B35-B447-91F8-963FC33B2FF2}" uniqueName="533" name="Column533" queryTableFieldId="533" dataDxfId="1019"/>
    <tableColumn id="534" xr3:uid="{EA60807C-8866-154A-B0FF-9C5B94A61BD7}" uniqueName="534" name="Column534" queryTableFieldId="534" dataDxfId="1018"/>
    <tableColumn id="535" xr3:uid="{FAB0518D-F61B-744F-BCEA-BCF314E59C46}" uniqueName="535" name="Column535" queryTableFieldId="535" dataDxfId="1017"/>
    <tableColumn id="536" xr3:uid="{AABE7D25-8274-934D-8213-6F827B525187}" uniqueName="536" name="Column536" queryTableFieldId="536" dataDxfId="1016"/>
    <tableColumn id="537" xr3:uid="{6587E5DD-54FD-CA40-907C-72ED67C03F41}" uniqueName="537" name="Column537" queryTableFieldId="537" dataDxfId="1015"/>
    <tableColumn id="538" xr3:uid="{57E72EFA-AC3C-2E4A-BDC8-9B73C053922A}" uniqueName="538" name="Column538" queryTableFieldId="538" dataDxfId="1014"/>
    <tableColumn id="539" xr3:uid="{CD8AC682-33F9-BC45-8740-84B498E4ACA1}" uniqueName="539" name="Column539" queryTableFieldId="539" dataDxfId="1013"/>
    <tableColumn id="540" xr3:uid="{5B2FF1C5-2F3D-DB4E-9EE1-75482C906467}" uniqueName="540" name="Column540" queryTableFieldId="540" dataDxfId="1012"/>
    <tableColumn id="541" xr3:uid="{30A30D55-4EE3-5C43-ADD4-E1E9B03054B3}" uniqueName="541" name="Column541" queryTableFieldId="541" dataDxfId="1011"/>
    <tableColumn id="542" xr3:uid="{58AE35F5-42C9-434E-8C95-6BFB8127E273}" uniqueName="542" name="Column542" queryTableFieldId="542" dataDxfId="1010"/>
    <tableColumn id="543" xr3:uid="{04E620D5-A5D8-DD4B-BC8D-6F5F036902FA}" uniqueName="543" name="Column543" queryTableFieldId="543" dataDxfId="1009"/>
    <tableColumn id="544" xr3:uid="{3219C669-8F92-754E-8A1C-8FF4A36E9681}" uniqueName="544" name="Column544" queryTableFieldId="544" dataDxfId="1008"/>
    <tableColumn id="545" xr3:uid="{D2F8DD8B-2038-454A-B9ED-EAC2C1D7A5FF}" uniqueName="545" name="Column545" queryTableFieldId="545" dataDxfId="1007"/>
    <tableColumn id="546" xr3:uid="{4A944D27-21AC-8947-B2F7-7F0C0DAE76CE}" uniqueName="546" name="Column546" queryTableFieldId="546" dataDxfId="1006"/>
    <tableColumn id="547" xr3:uid="{60995B05-CD7D-2546-93AD-D2E455F96A71}" uniqueName="547" name="Column547" queryTableFieldId="547" dataDxfId="1005"/>
    <tableColumn id="548" xr3:uid="{DCB5EDDD-3B56-4048-B776-308BC2402BA5}" uniqueName="548" name="Column548" queryTableFieldId="548" dataDxfId="1004"/>
    <tableColumn id="549" xr3:uid="{9E2F3196-87F4-3741-954B-0007B0DA8FFE}" uniqueName="549" name="Column549" queryTableFieldId="549" dataDxfId="1003"/>
    <tableColumn id="550" xr3:uid="{98E8AA25-6FDC-D841-830B-D5FF9CDA9F5C}" uniqueName="550" name="Column550" queryTableFieldId="550" dataDxfId="1002"/>
    <tableColumn id="551" xr3:uid="{4EC21660-89E9-E345-962A-CB487639A8FE}" uniqueName="551" name="Column551" queryTableFieldId="551" dataDxfId="1001"/>
    <tableColumn id="552" xr3:uid="{B79CEAC0-230D-DA49-AE18-4326EDEC9A62}" uniqueName="552" name="Column552" queryTableFieldId="552" dataDxfId="1000"/>
    <tableColumn id="553" xr3:uid="{8BE3F510-4F3F-0B44-9C16-4F466AF82D3E}" uniqueName="553" name="Column553" queryTableFieldId="553" dataDxfId="999"/>
    <tableColumn id="554" xr3:uid="{36410210-8AE3-A24B-B775-8E3A4CD4FB4A}" uniqueName="554" name="Column554" queryTableFieldId="554" dataDxfId="998"/>
    <tableColumn id="555" xr3:uid="{95A4BC3D-5DF8-F14C-B8BB-4D9999556D42}" uniqueName="555" name="Column555" queryTableFieldId="555" dataDxfId="997"/>
    <tableColumn id="556" xr3:uid="{BF0EF30C-DFC4-7D4F-8FEF-CE074B43C407}" uniqueName="556" name="Column556" queryTableFieldId="556" dataDxfId="996"/>
    <tableColumn id="557" xr3:uid="{AA3205D5-A23C-7943-A9C8-4CB8EDFE4F94}" uniqueName="557" name="Column557" queryTableFieldId="557" dataDxfId="995"/>
    <tableColumn id="558" xr3:uid="{377357B5-E232-F641-AC50-CA81DE9B848E}" uniqueName="558" name="Column558" queryTableFieldId="558" dataDxfId="994"/>
    <tableColumn id="559" xr3:uid="{68A1E1CF-3A87-6F4F-9CDE-467D35F9BE3D}" uniqueName="559" name="Column559" queryTableFieldId="559" dataDxfId="993"/>
    <tableColumn id="560" xr3:uid="{7F3D53FA-7FA2-654D-B58C-3A6D66558A1D}" uniqueName="560" name="Column560" queryTableFieldId="560" dataDxfId="992"/>
    <tableColumn id="561" xr3:uid="{90083033-E9F4-FC42-AD90-69129EB1C2B8}" uniqueName="561" name="Column561" queryTableFieldId="561" dataDxfId="991"/>
    <tableColumn id="562" xr3:uid="{6D4BE3F8-52D8-4F46-BC8E-A3D2333FB341}" uniqueName="562" name="Column562" queryTableFieldId="562" dataDxfId="990"/>
    <tableColumn id="563" xr3:uid="{1BCE97B8-9F40-4049-B481-0FE290C320B4}" uniqueName="563" name="Column563" queryTableFieldId="563" dataDxfId="989"/>
    <tableColumn id="564" xr3:uid="{49C971BE-A72E-0842-979A-B3E6CB574EBB}" uniqueName="564" name="Column564" queryTableFieldId="564" dataDxfId="988"/>
    <tableColumn id="565" xr3:uid="{E1456CAF-CC09-B843-9164-961AFC71C383}" uniqueName="565" name="Column565" queryTableFieldId="565" dataDxfId="987"/>
    <tableColumn id="566" xr3:uid="{FD1CAA4B-6F26-0E45-887C-6B3993A59B16}" uniqueName="566" name="Column566" queryTableFieldId="566" dataDxfId="986"/>
    <tableColumn id="567" xr3:uid="{ED5A4DA9-9A26-F84B-B647-F613A0DC1E10}" uniqueName="567" name="Column567" queryTableFieldId="567" dataDxfId="985"/>
    <tableColumn id="568" xr3:uid="{6D5B4322-E5F9-204E-AA5F-6C8385FF4E7D}" uniqueName="568" name="Column568" queryTableFieldId="568" dataDxfId="984"/>
    <tableColumn id="569" xr3:uid="{3479913A-A8DF-644F-ADF3-F593FB1DE21B}" uniqueName="569" name="Column569" queryTableFieldId="569" dataDxfId="983"/>
    <tableColumn id="570" xr3:uid="{C6607E9F-27C4-3F47-9D83-E9C06C8AB83A}" uniqueName="570" name="Column570" queryTableFieldId="570" dataDxfId="982"/>
    <tableColumn id="571" xr3:uid="{2E19EFAE-7B62-0248-A14D-A86D0CFF1C26}" uniqueName="571" name="Column571" queryTableFieldId="571" dataDxfId="981"/>
    <tableColumn id="572" xr3:uid="{1FDEAB17-AEDF-8543-8AAA-301AE8E45EE7}" uniqueName="572" name="Column572" queryTableFieldId="572" dataDxfId="980"/>
    <tableColumn id="573" xr3:uid="{7AF6BA8D-CF41-3841-A05D-A6B965A7ACE7}" uniqueName="573" name="Column573" queryTableFieldId="573" dataDxfId="979"/>
    <tableColumn id="574" xr3:uid="{8CA4C3DD-0C01-7341-BFB3-880D001DF580}" uniqueName="574" name="Column574" queryTableFieldId="574" dataDxfId="978"/>
    <tableColumn id="575" xr3:uid="{99BBE937-8DD3-604B-8DF1-D2C8964BD306}" uniqueName="575" name="Column575" queryTableFieldId="575" dataDxfId="977"/>
    <tableColumn id="576" xr3:uid="{082BEF53-4C91-B84D-854A-98F21C34E227}" uniqueName="576" name="Column576" queryTableFieldId="576" dataDxfId="976"/>
    <tableColumn id="577" xr3:uid="{BA20864E-BCE4-2540-928F-D50E70B08583}" uniqueName="577" name="Column577" queryTableFieldId="577" dataDxfId="975"/>
    <tableColumn id="578" xr3:uid="{FAB85331-C141-4047-8BE4-DD1D2F198184}" uniqueName="578" name="Column578" queryTableFieldId="578" dataDxfId="974"/>
    <tableColumn id="579" xr3:uid="{1B8BFB09-64EF-614B-AA3B-D0C0FBE80D96}" uniqueName="579" name="Column579" queryTableFieldId="579" dataDxfId="973"/>
    <tableColumn id="580" xr3:uid="{F276116F-69A1-7244-A8F8-D9FB4E1C34E1}" uniqueName="580" name="Column580" queryTableFieldId="580" dataDxfId="972"/>
    <tableColumn id="581" xr3:uid="{671163D6-1ACB-5840-A534-DDA81B941403}" uniqueName="581" name="Column581" queryTableFieldId="581" dataDxfId="971"/>
    <tableColumn id="582" xr3:uid="{C9652523-95E4-604F-A3E5-9A075EB93306}" uniqueName="582" name="Column582" queryTableFieldId="582" dataDxfId="970"/>
    <tableColumn id="583" xr3:uid="{A4D2A67A-5FEA-E640-9F0E-17021109C98D}" uniqueName="583" name="Column583" queryTableFieldId="583" dataDxfId="969"/>
    <tableColumn id="584" xr3:uid="{1B66B587-E044-1643-9A60-451AC2BC69DC}" uniqueName="584" name="Column584" queryTableFieldId="584" dataDxfId="968"/>
    <tableColumn id="585" xr3:uid="{A386046C-D12C-8B49-A691-5680F8A6014A}" uniqueName="585" name="Column585" queryTableFieldId="585" dataDxfId="967"/>
    <tableColumn id="586" xr3:uid="{A9F1E4CE-C98C-574B-9FAF-3B4684E64239}" uniqueName="586" name="Column586" queryTableFieldId="586" dataDxfId="966"/>
    <tableColumn id="587" xr3:uid="{EB32AF46-7751-F64C-AFB2-FAA167A46066}" uniqueName="587" name="Column587" queryTableFieldId="587" dataDxfId="965"/>
    <tableColumn id="588" xr3:uid="{24A0E2BB-19C7-5D40-847D-6C04BFBDCAC9}" uniqueName="588" name="Column588" queryTableFieldId="588" dataDxfId="964"/>
    <tableColumn id="589" xr3:uid="{7A6FEBA6-6800-2841-B4C2-F8B24D673674}" uniqueName="589" name="Column589" queryTableFieldId="589" dataDxfId="963"/>
    <tableColumn id="590" xr3:uid="{C4FAF639-24AA-F34C-8763-1C6E7CE09A88}" uniqueName="590" name="Column590" queryTableFieldId="590" dataDxfId="962"/>
    <tableColumn id="591" xr3:uid="{8A210D6C-2433-8A43-85AA-E47E8581BC78}" uniqueName="591" name="Column591" queryTableFieldId="591" dataDxfId="961"/>
    <tableColumn id="592" xr3:uid="{AC77558F-A022-924B-80DC-704BF9B20884}" uniqueName="592" name="Column592" queryTableFieldId="592" dataDxfId="960"/>
    <tableColumn id="593" xr3:uid="{1FC45B5F-BA6A-9648-9F36-0AC164A3E293}" uniqueName="593" name="Column593" queryTableFieldId="593" dataDxfId="959"/>
    <tableColumn id="594" xr3:uid="{B4FE6DA0-867A-DB48-AD1B-CA295E4675A7}" uniqueName="594" name="Column594" queryTableFieldId="594" dataDxfId="958"/>
    <tableColumn id="595" xr3:uid="{42B15F6A-6F97-3846-9176-732551532176}" uniqueName="595" name="Column595" queryTableFieldId="595" dataDxfId="957"/>
    <tableColumn id="596" xr3:uid="{64060C96-1932-0D4F-A396-383E71C29CEE}" uniqueName="596" name="Column596" queryTableFieldId="596" dataDxfId="956"/>
    <tableColumn id="597" xr3:uid="{F055B46F-F700-A341-A195-0FC569810FD9}" uniqueName="597" name="Column597" queryTableFieldId="597" dataDxfId="955"/>
    <tableColumn id="598" xr3:uid="{22C0F8F3-9B67-0A4C-9AE2-726FFEB48412}" uniqueName="598" name="Column598" queryTableFieldId="598" dataDxfId="954"/>
    <tableColumn id="599" xr3:uid="{9FB3C208-C3B4-3B4A-B12E-BB9051CEE36F}" uniqueName="599" name="Column599" queryTableFieldId="599" dataDxfId="953"/>
    <tableColumn id="600" xr3:uid="{BEDBAF8B-0415-F84C-BCAE-EAD2DAC00308}" uniqueName="600" name="Column600" queryTableFieldId="600" dataDxfId="952"/>
    <tableColumn id="601" xr3:uid="{130B0DA9-4AD8-9C40-B7E7-71923799992C}" uniqueName="601" name="Column601" queryTableFieldId="601" dataDxfId="951"/>
    <tableColumn id="602" xr3:uid="{B0078D10-6DBF-D949-AAEC-19324F24CF86}" uniqueName="602" name="Column602" queryTableFieldId="602" dataDxfId="950"/>
    <tableColumn id="603" xr3:uid="{C4F11D04-DF60-6B49-8EEE-6C68EA2FF4B1}" uniqueName="603" name="Column603" queryTableFieldId="603" dataDxfId="949"/>
    <tableColumn id="604" xr3:uid="{261ADFEF-7D29-0442-BE88-03624BA64FDA}" uniqueName="604" name="Column604" queryTableFieldId="604" dataDxfId="948"/>
    <tableColumn id="605" xr3:uid="{F215A5D7-C4E9-3848-BC38-AF1D725230FB}" uniqueName="605" name="Column605" queryTableFieldId="605" dataDxfId="947"/>
    <tableColumn id="606" xr3:uid="{E2DEE1D5-8168-214A-A80F-BBCD3AC67883}" uniqueName="606" name="Column606" queryTableFieldId="606" dataDxfId="946"/>
    <tableColumn id="607" xr3:uid="{0EA29A07-98C3-794B-91CA-0859E4691915}" uniqueName="607" name="Column607" queryTableFieldId="607" dataDxfId="945"/>
    <tableColumn id="608" xr3:uid="{EEC4DB7B-06E0-C04F-9AE4-597F22B75006}" uniqueName="608" name="Column608" queryTableFieldId="608" dataDxfId="944"/>
    <tableColumn id="609" xr3:uid="{A4137329-8080-6145-8A97-7909A37396CB}" uniqueName="609" name="Column609" queryTableFieldId="609" dataDxfId="943"/>
    <tableColumn id="610" xr3:uid="{F9BCF870-80E4-AC47-9D0C-E415BA71051D}" uniqueName="610" name="Column610" queryTableFieldId="610" dataDxfId="942"/>
    <tableColumn id="611" xr3:uid="{A9989D04-05A7-3D40-A18C-668CF2DB7579}" uniqueName="611" name="Column611" queryTableFieldId="611" dataDxfId="941"/>
    <tableColumn id="612" xr3:uid="{414940A6-F80F-F14F-8515-FE82C290CBDB}" uniqueName="612" name="Column612" queryTableFieldId="612" dataDxfId="940"/>
    <tableColumn id="613" xr3:uid="{3A71CA4C-3394-9141-9FE2-CD0EF59C3A24}" uniqueName="613" name="Column613" queryTableFieldId="613" dataDxfId="939"/>
    <tableColumn id="614" xr3:uid="{BB497BD9-309C-C245-AEEE-B6F03D37B0C6}" uniqueName="614" name="Column614" queryTableFieldId="614" dataDxfId="938"/>
    <tableColumn id="615" xr3:uid="{932F943B-7AED-1E43-A56A-CF0BE1E24BDD}" uniqueName="615" name="Column615" queryTableFieldId="615" dataDxfId="937"/>
    <tableColumn id="616" xr3:uid="{05AD69F3-2356-2840-8E18-5DE385CEF08F}" uniqueName="616" name="Column616" queryTableFieldId="616" dataDxfId="936"/>
    <tableColumn id="617" xr3:uid="{513078EB-21E5-9B42-BB3E-09A59ADD082C}" uniqueName="617" name="Column617" queryTableFieldId="617" dataDxfId="935"/>
    <tableColumn id="618" xr3:uid="{650625B0-224A-EE46-B0E1-99A471EA91E4}" uniqueName="618" name="Column618" queryTableFieldId="618" dataDxfId="934"/>
    <tableColumn id="619" xr3:uid="{31EF9F30-9447-3B43-915F-7E628D3F1C18}" uniqueName="619" name="Column619" queryTableFieldId="619" dataDxfId="933"/>
    <tableColumn id="620" xr3:uid="{CB811593-DCB0-D848-A75C-482D07CFE424}" uniqueName="620" name="Column620" queryTableFieldId="620" dataDxfId="932"/>
    <tableColumn id="621" xr3:uid="{E9033669-FAC2-E14E-969F-F786C803AD83}" uniqueName="621" name="Column621" queryTableFieldId="621" dataDxfId="931"/>
    <tableColumn id="622" xr3:uid="{954AC800-1EC4-E345-8BC5-000DE4159C7A}" uniqueName="622" name="Column622" queryTableFieldId="622" dataDxfId="930"/>
    <tableColumn id="623" xr3:uid="{9B405B44-1F8A-B544-997E-AF0C12BE76A1}" uniqueName="623" name="Column623" queryTableFieldId="623" dataDxfId="929"/>
    <tableColumn id="624" xr3:uid="{D5F27AA9-C487-6B46-B1E6-C58DEB899DCA}" uniqueName="624" name="Column624" queryTableFieldId="624" dataDxfId="928"/>
    <tableColumn id="625" xr3:uid="{4A17D13A-AD80-5341-92B2-91211B49B0AF}" uniqueName="625" name="Column625" queryTableFieldId="625" dataDxfId="927"/>
    <tableColumn id="626" xr3:uid="{B4A5F9A3-1890-1042-8A34-BE0C45CA2503}" uniqueName="626" name="Column626" queryTableFieldId="626" dataDxfId="926"/>
    <tableColumn id="627" xr3:uid="{CE85045F-4CDE-B049-8D2D-BAA9ECF2D128}" uniqueName="627" name="Column627" queryTableFieldId="627" dataDxfId="925"/>
    <tableColumn id="628" xr3:uid="{8BE534BA-2255-974D-898F-78406929C588}" uniqueName="628" name="Column628" queryTableFieldId="628" dataDxfId="924"/>
    <tableColumn id="629" xr3:uid="{D824ABD5-7AF5-0A43-8839-C9E0DDD29C04}" uniqueName="629" name="Column629" queryTableFieldId="629" dataDxfId="923"/>
    <tableColumn id="630" xr3:uid="{408A758C-4C89-5546-9E62-72E005D539FE}" uniqueName="630" name="Column630" queryTableFieldId="630" dataDxfId="922"/>
    <tableColumn id="631" xr3:uid="{75B9124C-7502-624E-8FAF-A7A297DA12F8}" uniqueName="631" name="Column631" queryTableFieldId="631" dataDxfId="921"/>
    <tableColumn id="632" xr3:uid="{3CB47C8E-90CF-AF49-95BF-F564F19262BA}" uniqueName="632" name="Column632" queryTableFieldId="632" dataDxfId="920"/>
    <tableColumn id="633" xr3:uid="{FF38EF09-4B01-984D-9EA8-CB4E1A4AB36A}" uniqueName="633" name="Column633" queryTableFieldId="633" dataDxfId="919"/>
    <tableColumn id="634" xr3:uid="{DC793DDB-84EA-B248-8853-FCF8FFACDBDC}" uniqueName="634" name="Column634" queryTableFieldId="634" dataDxfId="918"/>
    <tableColumn id="635" xr3:uid="{C6A54845-2599-D749-A263-AA04B8A3284E}" uniqueName="635" name="Column635" queryTableFieldId="635" dataDxfId="917"/>
    <tableColumn id="636" xr3:uid="{24F2FDED-A844-3347-A85F-F2455F82BCBC}" uniqueName="636" name="Column636" queryTableFieldId="636" dataDxfId="916"/>
    <tableColumn id="637" xr3:uid="{D491365E-59A9-EE4D-9CC3-1F6FB17C363D}" uniqueName="637" name="Column637" queryTableFieldId="637" dataDxfId="915"/>
    <tableColumn id="638" xr3:uid="{D3AE84C0-DA07-6849-A65E-951615BC7738}" uniqueName="638" name="Column638" queryTableFieldId="638" dataDxfId="914"/>
    <tableColumn id="639" xr3:uid="{92C23D2B-CDDC-3A49-88A7-64060A9819E7}" uniqueName="639" name="Column639" queryTableFieldId="639" dataDxfId="913"/>
    <tableColumn id="640" xr3:uid="{BAC6429E-637F-0B4C-AA0E-9AC698F635D4}" uniqueName="640" name="Column640" queryTableFieldId="640" dataDxfId="912"/>
    <tableColumn id="641" xr3:uid="{7FE9F481-752F-B847-9CEA-A6202E2DC49D}" uniqueName="641" name="Column641" queryTableFieldId="641" dataDxfId="911"/>
    <tableColumn id="642" xr3:uid="{0A6A8C7A-9ED7-0E4B-A972-30311C2E4493}" uniqueName="642" name="Column642" queryTableFieldId="642" dataDxfId="910"/>
    <tableColumn id="643" xr3:uid="{2F922558-8F45-8149-A3C1-862786B65EC2}" uniqueName="643" name="Column643" queryTableFieldId="643" dataDxfId="909"/>
    <tableColumn id="644" xr3:uid="{FA2CC469-C8E8-1641-97E9-1695F9155E31}" uniqueName="644" name="Column644" queryTableFieldId="644" dataDxfId="908"/>
    <tableColumn id="645" xr3:uid="{09E24922-3F1D-4A41-8CB8-E411E5487CCB}" uniqueName="645" name="Column645" queryTableFieldId="645" dataDxfId="907"/>
    <tableColumn id="646" xr3:uid="{277BF741-5A4A-5842-8BB5-03C98036F669}" uniqueName="646" name="Column646" queryTableFieldId="646" dataDxfId="906"/>
    <tableColumn id="647" xr3:uid="{5EDAB74B-7793-314A-BB18-268F684064E3}" uniqueName="647" name="Column647" queryTableFieldId="647" dataDxfId="905"/>
    <tableColumn id="648" xr3:uid="{80A070AC-FE33-5A48-8F2C-D717CADAD139}" uniqueName="648" name="Column648" queryTableFieldId="648" dataDxfId="904"/>
    <tableColumn id="649" xr3:uid="{7E03C19A-B980-0E45-BC49-13004862B867}" uniqueName="649" name="Column649" queryTableFieldId="649" dataDxfId="903"/>
    <tableColumn id="650" xr3:uid="{C5AB63CB-2BCD-8E42-B854-F5000CDF65ED}" uniqueName="650" name="Column650" queryTableFieldId="650" dataDxfId="902"/>
    <tableColumn id="651" xr3:uid="{0DB8D702-D4A4-6644-98A7-5855E2C0AC7C}" uniqueName="651" name="Column651" queryTableFieldId="651" dataDxfId="901"/>
    <tableColumn id="652" xr3:uid="{C8224944-C5AD-3F4A-8CC6-A6512021E108}" uniqueName="652" name="Column652" queryTableFieldId="652" dataDxfId="900"/>
    <tableColumn id="653" xr3:uid="{1CA69FE8-855E-9246-AF45-DA400B5F3E66}" uniqueName="653" name="Column653" queryTableFieldId="653" dataDxfId="899"/>
    <tableColumn id="654" xr3:uid="{678EFB44-8155-5E4E-AB2F-AC8EC68A9726}" uniqueName="654" name="Column654" queryTableFieldId="654" dataDxfId="898"/>
    <tableColumn id="655" xr3:uid="{D8DE0A5A-8C15-1045-8FD9-8C36D1F73D62}" uniqueName="655" name="Column655" queryTableFieldId="655" dataDxfId="897"/>
    <tableColumn id="656" xr3:uid="{BAE79021-5DB3-F64B-BDBD-48F96325E2EE}" uniqueName="656" name="Column656" queryTableFieldId="656" dataDxfId="896"/>
    <tableColumn id="657" xr3:uid="{6D4AE4D6-F4C7-7F40-B270-A8E908EA6E8B}" uniqueName="657" name="Column657" queryTableFieldId="657" dataDxfId="895"/>
    <tableColumn id="658" xr3:uid="{5E563080-8177-DA4A-9B1D-1863ADB2FD1A}" uniqueName="658" name="Column658" queryTableFieldId="658" dataDxfId="894"/>
    <tableColumn id="659" xr3:uid="{45584046-1259-A345-A436-6B32F4A348B1}" uniqueName="659" name="Column659" queryTableFieldId="659" dataDxfId="893"/>
    <tableColumn id="660" xr3:uid="{D6AD2CCA-0DCB-1C4E-A753-2BD6348FBA53}" uniqueName="660" name="Column660" queryTableFieldId="660" dataDxfId="892"/>
    <tableColumn id="661" xr3:uid="{88A313A6-6AAC-574A-8ADF-781553614BF7}" uniqueName="661" name="Column661" queryTableFieldId="661" dataDxfId="891"/>
    <tableColumn id="662" xr3:uid="{114027BD-3EB5-034D-9BAD-D7BBDA5B6F51}" uniqueName="662" name="Column662" queryTableFieldId="662" dataDxfId="890"/>
    <tableColumn id="663" xr3:uid="{2C90B4F1-7189-0043-B9F7-A8E895662D62}" uniqueName="663" name="Column663" queryTableFieldId="663" dataDxfId="889"/>
    <tableColumn id="664" xr3:uid="{0A87A581-BC59-844B-B8C0-C98BB56B826B}" uniqueName="664" name="Column664" queryTableFieldId="664" dataDxfId="888"/>
    <tableColumn id="665" xr3:uid="{7BD22A51-DD5D-6847-B924-16D93BF13845}" uniqueName="665" name="Column665" queryTableFieldId="665" dataDxfId="887"/>
    <tableColumn id="666" xr3:uid="{036F0C1B-8401-DB4E-8FDD-D76C6E832E4D}" uniqueName="666" name="Column666" queryTableFieldId="666" dataDxfId="886"/>
    <tableColumn id="667" xr3:uid="{D65B3617-DE0E-C745-B519-F9058FF5FF84}" uniqueName="667" name="Column667" queryTableFieldId="667" dataDxfId="885"/>
    <tableColumn id="668" xr3:uid="{30654659-FAE0-1A4A-ACE5-ED106AF83F04}" uniqueName="668" name="Column668" queryTableFieldId="668" dataDxfId="884"/>
    <tableColumn id="669" xr3:uid="{589E7AA4-B2FA-2940-B0CC-2A04FD4E9469}" uniqueName="669" name="Column669" queryTableFieldId="669" dataDxfId="883"/>
    <tableColumn id="670" xr3:uid="{BDED8B2D-CBF7-BE45-8641-BAB87654249C}" uniqueName="670" name="Column670" queryTableFieldId="670" dataDxfId="882"/>
    <tableColumn id="671" xr3:uid="{88A4EDE3-4E62-B44B-AF8D-F2A92DFE465C}" uniqueName="671" name="Column671" queryTableFieldId="671" dataDxfId="881"/>
    <tableColumn id="672" xr3:uid="{13177489-39CF-B941-903C-FB365CFDF15E}" uniqueName="672" name="Column672" queryTableFieldId="672" dataDxfId="880"/>
    <tableColumn id="673" xr3:uid="{6CEBCDAD-71F3-6A47-B901-E99FB9D79430}" uniqueName="673" name="Column673" queryTableFieldId="673" dataDxfId="879"/>
    <tableColumn id="674" xr3:uid="{E30D3402-9D62-7642-A3CA-07278303137B}" uniqueName="674" name="Column674" queryTableFieldId="674" dataDxfId="878"/>
    <tableColumn id="675" xr3:uid="{BF0EBB3F-3DDE-974B-9A32-BDCE64FA8EF6}" uniqueName="675" name="Column675" queryTableFieldId="675" dataDxfId="877"/>
    <tableColumn id="676" xr3:uid="{B7B9600D-6E9F-AC4E-B155-1AF792ADE6C4}" uniqueName="676" name="Column676" queryTableFieldId="676" dataDxfId="876"/>
    <tableColumn id="677" xr3:uid="{C5DA5DE7-BF2E-8C45-952E-ADB03A1DEBC9}" uniqueName="677" name="Column677" queryTableFieldId="677" dataDxfId="875"/>
    <tableColumn id="678" xr3:uid="{F45641D7-9A2F-4345-B15C-A2DA059C4D28}" uniqueName="678" name="Column678" queryTableFieldId="678" dataDxfId="874"/>
    <tableColumn id="679" xr3:uid="{5D7A04BB-CFE8-B94F-BEFB-22B5AE42CB9D}" uniqueName="679" name="Column679" queryTableFieldId="679" dataDxfId="873"/>
    <tableColumn id="680" xr3:uid="{AA5793C2-404A-9D48-9F31-61CDFF1A6853}" uniqueName="680" name="Column680" queryTableFieldId="680" dataDxfId="872"/>
    <tableColumn id="681" xr3:uid="{8E934901-15B6-0740-946A-6E835CFFE5F4}" uniqueName="681" name="Column681" queryTableFieldId="681" dataDxfId="871"/>
    <tableColumn id="682" xr3:uid="{7A142301-29D9-D94B-A5DC-38870E330DEF}" uniqueName="682" name="Column682" queryTableFieldId="682" dataDxfId="870"/>
    <tableColumn id="683" xr3:uid="{0515033E-BAB2-DC40-8626-088A42A51336}" uniqueName="683" name="Column683" queryTableFieldId="683" dataDxfId="869"/>
    <tableColumn id="684" xr3:uid="{C0581D09-C625-3B40-87F2-27E3F98FAE5A}" uniqueName="684" name="Column684" queryTableFieldId="684" dataDxfId="868"/>
    <tableColumn id="685" xr3:uid="{1163F492-58C7-C341-A734-F8EEB17A66C4}" uniqueName="685" name="Column685" queryTableFieldId="685" dataDxfId="867"/>
    <tableColumn id="686" xr3:uid="{2F14C8EA-076B-874E-B30B-C0227D971962}" uniqueName="686" name="Column686" queryTableFieldId="686" dataDxfId="866"/>
    <tableColumn id="687" xr3:uid="{647EEE8E-EC7E-5944-82FE-9EBD02FBD29C}" uniqueName="687" name="Column687" queryTableFieldId="687" dataDxfId="865"/>
    <tableColumn id="688" xr3:uid="{2C6D36A9-C4F7-744C-97F0-C3E6759507C8}" uniqueName="688" name="Column688" queryTableFieldId="688" dataDxfId="864"/>
    <tableColumn id="689" xr3:uid="{309F79FD-9757-F04D-969F-03E09A3A2545}" uniqueName="689" name="Column689" queryTableFieldId="689" dataDxfId="863"/>
    <tableColumn id="690" xr3:uid="{27FBEFA9-B863-034D-9957-85CA542265A3}" uniqueName="690" name="Column690" queryTableFieldId="690" dataDxfId="862"/>
    <tableColumn id="691" xr3:uid="{0B7E6DAE-F2D4-F84D-907E-919795A36184}" uniqueName="691" name="Column691" queryTableFieldId="691" dataDxfId="861"/>
    <tableColumn id="692" xr3:uid="{F0AA0E35-CD17-DA4F-A8CB-B28158042FC2}" uniqueName="692" name="Column692" queryTableFieldId="692" dataDxfId="860"/>
    <tableColumn id="693" xr3:uid="{3763C6D2-772A-724B-A373-B1F0E1333CC3}" uniqueName="693" name="Column693" queryTableFieldId="693" dataDxfId="859"/>
    <tableColumn id="694" xr3:uid="{C620CF17-FCFF-8344-82A8-67001990BE4E}" uniqueName="694" name="Column694" queryTableFieldId="694" dataDxfId="858"/>
    <tableColumn id="695" xr3:uid="{FC666B69-D391-E44A-8BC4-CB82960BE0F5}" uniqueName="695" name="Column695" queryTableFieldId="695" dataDxfId="857"/>
    <tableColumn id="696" xr3:uid="{62D26774-8BAD-CA4A-88D8-FF6C9DF4366F}" uniqueName="696" name="Column696" queryTableFieldId="696" dataDxfId="856"/>
    <tableColumn id="697" xr3:uid="{A0ED9B06-FACD-774B-818E-6B785BD3F541}" uniqueName="697" name="Column697" queryTableFieldId="697" dataDxfId="855"/>
    <tableColumn id="698" xr3:uid="{F06226B4-FCDF-BE47-8E71-F6A69775C10B}" uniqueName="698" name="Column698" queryTableFieldId="698" dataDxfId="854"/>
    <tableColumn id="699" xr3:uid="{145314DC-1DE2-BC47-9B14-1DF60D98B0C3}" uniqueName="699" name="Column699" queryTableFieldId="699" dataDxfId="853"/>
    <tableColumn id="700" xr3:uid="{F92BE367-265B-CD45-A125-165B9AE3879E}" uniqueName="700" name="Column700" queryTableFieldId="700" dataDxfId="852"/>
    <tableColumn id="701" xr3:uid="{E83A98F4-C849-0747-9B87-4F29BE2404B5}" uniqueName="701" name="Column701" queryTableFieldId="701" dataDxfId="851"/>
    <tableColumn id="702" xr3:uid="{41ED15B2-263A-6140-9B7D-508DB54A46D0}" uniqueName="702" name="Column702" queryTableFieldId="702" dataDxfId="850"/>
    <tableColumn id="703" xr3:uid="{FC2853F8-4965-9B4B-BCF7-6710B0092E87}" uniqueName="703" name="Column703" queryTableFieldId="703" dataDxfId="849"/>
    <tableColumn id="704" xr3:uid="{FEDEE724-4E25-174A-B7B1-E51BDA5DA76B}" uniqueName="704" name="Column704" queryTableFieldId="704" dataDxfId="848"/>
    <tableColumn id="705" xr3:uid="{225CACEE-82B1-A341-BE31-D6005F2D9540}" uniqueName="705" name="Column705" queryTableFieldId="705" dataDxfId="847"/>
    <tableColumn id="706" xr3:uid="{724B8788-49E1-234E-8109-0E05CB632686}" uniqueName="706" name="Column706" queryTableFieldId="706" dataDxfId="846"/>
    <tableColumn id="707" xr3:uid="{E3EB0D98-D256-CF47-9D45-5985C1F260D4}" uniqueName="707" name="Column707" queryTableFieldId="707" dataDxfId="845"/>
    <tableColumn id="708" xr3:uid="{744DF4AE-F938-B943-B8C1-49825B78AA18}" uniqueName="708" name="Column708" queryTableFieldId="708" dataDxfId="844"/>
    <tableColumn id="709" xr3:uid="{4EF4E1CD-906F-114D-9B6C-E39F1E9BAAF0}" uniqueName="709" name="Column709" queryTableFieldId="709" dataDxfId="843"/>
    <tableColumn id="710" xr3:uid="{631C2379-1345-6446-8839-4C34E3631D5F}" uniqueName="710" name="Column710" queryTableFieldId="710" dataDxfId="842"/>
    <tableColumn id="711" xr3:uid="{96F23785-D2DF-8345-AD36-7C43A5125E55}" uniqueName="711" name="Column711" queryTableFieldId="711" dataDxfId="841"/>
    <tableColumn id="712" xr3:uid="{76177081-ED9F-E940-B5DC-D680E6C430F2}" uniqueName="712" name="Column712" queryTableFieldId="712" dataDxfId="840"/>
    <tableColumn id="713" xr3:uid="{EC3A778D-DC28-4D4A-B606-257EB539043F}" uniqueName="713" name="Column713" queryTableFieldId="713" dataDxfId="839"/>
    <tableColumn id="714" xr3:uid="{31FBE17F-C49C-E240-A14F-53B33A935BE9}" uniqueName="714" name="Column714" queryTableFieldId="714" dataDxfId="838"/>
    <tableColumn id="715" xr3:uid="{405BADCB-6A36-2A4D-9BBE-1229D6573662}" uniqueName="715" name="Column715" queryTableFieldId="715" dataDxfId="837"/>
    <tableColumn id="716" xr3:uid="{6427CF51-8618-F64F-8821-893C27EE4B95}" uniqueName="716" name="Column716" queryTableFieldId="716" dataDxfId="836"/>
    <tableColumn id="717" xr3:uid="{7C8B5226-09AC-1D4C-970F-D85CE6543988}" uniqueName="717" name="Column717" queryTableFieldId="717" dataDxfId="835"/>
    <tableColumn id="718" xr3:uid="{2085D7A0-7BC0-3C4E-A445-4F87A1D0A8B0}" uniqueName="718" name="Column718" queryTableFieldId="718" dataDxfId="834"/>
    <tableColumn id="719" xr3:uid="{093077A6-81DF-CE4D-9C5B-F8FE1E419DAD}" uniqueName="719" name="Column719" queryTableFieldId="719" dataDxfId="833"/>
    <tableColumn id="720" xr3:uid="{3B1F9EE2-C57A-8048-AAD1-B5E3942B4B7B}" uniqueName="720" name="Column720" queryTableFieldId="720" dataDxfId="832"/>
    <tableColumn id="721" xr3:uid="{D11468BB-3030-AA44-AB8E-AD13931E3711}" uniqueName="721" name="Column721" queryTableFieldId="721" dataDxfId="831"/>
    <tableColumn id="722" xr3:uid="{3E17F6B3-B58E-3F40-A610-FE6E77A88808}" uniqueName="722" name="Column722" queryTableFieldId="722" dataDxfId="830"/>
    <tableColumn id="723" xr3:uid="{10B102D6-AED3-5A46-A4E1-50F6A46F9380}" uniqueName="723" name="Column723" queryTableFieldId="723" dataDxfId="829"/>
    <tableColumn id="724" xr3:uid="{8166AE6D-A076-7446-9021-72DEDBD93B0A}" uniqueName="724" name="Column724" queryTableFieldId="724" dataDxfId="828"/>
    <tableColumn id="725" xr3:uid="{B507E4AD-0928-B94D-B0E5-F1958F718ABD}" uniqueName="725" name="Column725" queryTableFieldId="725" dataDxfId="827"/>
    <tableColumn id="726" xr3:uid="{C1F387BB-E7E3-ED48-8C20-A8657A506F78}" uniqueName="726" name="Column726" queryTableFieldId="726" dataDxfId="826"/>
    <tableColumn id="727" xr3:uid="{84C2F703-3835-7D41-A10C-9BA3962E36EB}" uniqueName="727" name="Column727" queryTableFieldId="727" dataDxfId="825"/>
    <tableColumn id="728" xr3:uid="{30C49519-CE24-9042-AC06-8FE54A2BF463}" uniqueName="728" name="Column728" queryTableFieldId="728" dataDxfId="824"/>
    <tableColumn id="729" xr3:uid="{E6C7B3A9-B043-D646-A000-2A68D4B3D979}" uniqueName="729" name="Column729" queryTableFieldId="729" dataDxfId="823"/>
    <tableColumn id="730" xr3:uid="{2DF80C41-EF61-2C4A-AA04-BC30F661CA50}" uniqueName="730" name="Column730" queryTableFieldId="730" dataDxfId="822"/>
    <tableColumn id="731" xr3:uid="{5D782F0B-4882-3747-92F8-4772763F375F}" uniqueName="731" name="Column731" queryTableFieldId="731" dataDxfId="821"/>
    <tableColumn id="732" xr3:uid="{5407E035-38B7-704D-9851-44E7C5A37D6E}" uniqueName="732" name="Column732" queryTableFieldId="732" dataDxfId="820"/>
    <tableColumn id="733" xr3:uid="{4B7E0271-AB39-E444-AB2F-C9152EF29CC1}" uniqueName="733" name="Column733" queryTableFieldId="733" dataDxfId="819"/>
    <tableColumn id="734" xr3:uid="{4A9162A9-16EB-114E-8930-5BF54E386F84}" uniqueName="734" name="Column734" queryTableFieldId="734" dataDxfId="818"/>
    <tableColumn id="735" xr3:uid="{08FCE945-683D-8648-B459-1ED3D6446F06}" uniqueName="735" name="Column735" queryTableFieldId="735" dataDxfId="817"/>
    <tableColumn id="736" xr3:uid="{0975F63F-6B69-C54F-BB6D-C67041C1922C}" uniqueName="736" name="Column736" queryTableFieldId="736" dataDxfId="816"/>
    <tableColumn id="737" xr3:uid="{CB4BF8BA-8CD6-6B4D-95E7-09855357683F}" uniqueName="737" name="Column737" queryTableFieldId="737" dataDxfId="815"/>
    <tableColumn id="738" xr3:uid="{A242EB3A-D4B2-3E47-8BB7-6A57AF8001BA}" uniqueName="738" name="Column738" queryTableFieldId="738" dataDxfId="814"/>
    <tableColumn id="739" xr3:uid="{A6285FB5-BB2B-914E-AEEF-E6A5F72E869F}" uniqueName="739" name="Column739" queryTableFieldId="739" dataDxfId="813"/>
    <tableColumn id="740" xr3:uid="{A0ED6A0E-3706-5A44-BC30-BF49F160181D}" uniqueName="740" name="Column740" queryTableFieldId="740" dataDxfId="812"/>
    <tableColumn id="741" xr3:uid="{3EE2844D-C600-D74F-A51F-37721BEA897B}" uniqueName="741" name="Column741" queryTableFieldId="741" dataDxfId="811"/>
    <tableColumn id="742" xr3:uid="{9A707F14-744C-0E48-9106-DD2627A4E7EB}" uniqueName="742" name="Column742" queryTableFieldId="742" dataDxfId="810"/>
    <tableColumn id="743" xr3:uid="{C1F3E42A-4CB1-A74B-B356-320171DB90C3}" uniqueName="743" name="Column743" queryTableFieldId="743" dataDxfId="809"/>
    <tableColumn id="744" xr3:uid="{74E43D76-4E61-894A-A043-FD62AA6D77C1}" uniqueName="744" name="Column744" queryTableFieldId="744" dataDxfId="808"/>
    <tableColumn id="745" xr3:uid="{1399C5F6-5D49-BF4D-B6D2-0B985C362A1C}" uniqueName="745" name="Column745" queryTableFieldId="745" dataDxfId="807"/>
    <tableColumn id="746" xr3:uid="{FFAB8FFC-FD40-B145-8B73-B24BF725054E}" uniqueName="746" name="Column746" queryTableFieldId="746" dataDxfId="806"/>
    <tableColumn id="747" xr3:uid="{70732169-7854-904E-9322-C82FA4134337}" uniqueName="747" name="Column747" queryTableFieldId="747" dataDxfId="805"/>
    <tableColumn id="748" xr3:uid="{A496E1E1-9BC3-EA4C-93AA-8F223CB3E9D8}" uniqueName="748" name="Column748" queryTableFieldId="748" dataDxfId="804"/>
    <tableColumn id="749" xr3:uid="{63465539-603E-CB45-993A-5B7BCE4235B3}" uniqueName="749" name="Column749" queryTableFieldId="749" dataDxfId="803"/>
    <tableColumn id="750" xr3:uid="{ADEB2454-FAFD-044C-8F9D-04B526BACFDD}" uniqueName="750" name="Column750" queryTableFieldId="750" dataDxfId="802"/>
    <tableColumn id="751" xr3:uid="{B6E35C4A-0495-E645-8839-93A6DAD5AE86}" uniqueName="751" name="Column751" queryTableFieldId="751" dataDxfId="801"/>
    <tableColumn id="752" xr3:uid="{9BD0FAC1-4BFE-2741-AB40-152FDCEF3C75}" uniqueName="752" name="Column752" queryTableFieldId="752" dataDxfId="800"/>
    <tableColumn id="753" xr3:uid="{5ADBDDED-6C23-3C44-B893-79EF9F325C8A}" uniqueName="753" name="Column753" queryTableFieldId="753" dataDxfId="799"/>
    <tableColumn id="754" xr3:uid="{4FB8711B-0FD7-7D46-BE4A-07908636B1BF}" uniqueName="754" name="Column754" queryTableFieldId="754" dataDxfId="798"/>
    <tableColumn id="755" xr3:uid="{7A753C6D-5748-DC47-A173-87FD4B6088F8}" uniqueName="755" name="Column755" queryTableFieldId="755" dataDxfId="797"/>
    <tableColumn id="756" xr3:uid="{1A96BAB1-26CC-CF43-907E-B8F847BCC54E}" uniqueName="756" name="Column756" queryTableFieldId="756" dataDxfId="796"/>
    <tableColumn id="757" xr3:uid="{2010E8F0-B6F9-EF4F-B873-1683D9F42404}" uniqueName="757" name="Column757" queryTableFieldId="757" dataDxfId="795"/>
    <tableColumn id="758" xr3:uid="{ED714673-D2DA-874F-82C7-8D678EFD919A}" uniqueName="758" name="Column758" queryTableFieldId="758" dataDxfId="794"/>
    <tableColumn id="759" xr3:uid="{C036C5BB-3F10-C44D-A0BC-91A14CD2F10E}" uniqueName="759" name="Column759" queryTableFieldId="759" dataDxfId="793"/>
    <tableColumn id="760" xr3:uid="{9A7F2A3B-8E22-2044-95C6-225BB1CDEFAB}" uniqueName="760" name="Column760" queryTableFieldId="760" dataDxfId="792"/>
    <tableColumn id="761" xr3:uid="{FBCAC7D5-F91F-E84B-805B-4CACE471F940}" uniqueName="761" name="Column761" queryTableFieldId="761" dataDxfId="791"/>
    <tableColumn id="762" xr3:uid="{A416B38B-5C1A-1448-B3D7-060FA4B0F158}" uniqueName="762" name="Column762" queryTableFieldId="762" dataDxfId="790"/>
    <tableColumn id="763" xr3:uid="{121A9F63-357A-114F-B35C-44E7C1590952}" uniqueName="763" name="Column763" queryTableFieldId="763" dataDxfId="789"/>
    <tableColumn id="764" xr3:uid="{F237D5DF-E2D4-8048-A19E-C8AE90C8B224}" uniqueName="764" name="Column764" queryTableFieldId="764" dataDxfId="788"/>
    <tableColumn id="765" xr3:uid="{9F8F090B-0B75-B14F-9D6F-1D80EABF92A6}" uniqueName="765" name="Column765" queryTableFieldId="765" dataDxfId="787"/>
    <tableColumn id="766" xr3:uid="{264DCA4C-6BA4-8042-B49A-1CDFCF998BD2}" uniqueName="766" name="Column766" queryTableFieldId="766" dataDxfId="786"/>
    <tableColumn id="767" xr3:uid="{0F47951A-E58D-8C47-B080-734E4CE511EA}" uniqueName="767" name="Column767" queryTableFieldId="767" dataDxfId="785"/>
    <tableColumn id="768" xr3:uid="{F4DB921A-F1B5-2C4A-9FB7-3CB5B36E058A}" uniqueName="768" name="Column768" queryTableFieldId="768" dataDxfId="784"/>
    <tableColumn id="769" xr3:uid="{30AE3235-892E-3348-99B0-82C86D32FD85}" uniqueName="769" name="Column769" queryTableFieldId="769" dataDxfId="783"/>
    <tableColumn id="770" xr3:uid="{DA1C7A10-BD08-194F-A55C-867EA009986D}" uniqueName="770" name="Column770" queryTableFieldId="770" dataDxfId="782"/>
    <tableColumn id="771" xr3:uid="{4F49BCE7-243C-E442-B5A9-CAD823A3334C}" uniqueName="771" name="Column771" queryTableFieldId="771" dataDxfId="781"/>
    <tableColumn id="772" xr3:uid="{6EC40C4B-9360-F44D-8336-28900F1A8424}" uniqueName="772" name="Column772" queryTableFieldId="772" dataDxfId="780"/>
    <tableColumn id="773" xr3:uid="{2560F279-13AC-6A4C-B3F4-182524A218A4}" uniqueName="773" name="Column773" queryTableFieldId="773" dataDxfId="779"/>
    <tableColumn id="774" xr3:uid="{CAE46F16-B309-6444-8E74-968ADBA767CB}" uniqueName="774" name="Column774" queryTableFieldId="774" dataDxfId="778"/>
    <tableColumn id="775" xr3:uid="{31F8EDC8-2145-3543-BC4E-1FBF55CEB1F0}" uniqueName="775" name="Column775" queryTableFieldId="775" dataDxfId="777"/>
    <tableColumn id="776" xr3:uid="{4B842F23-1BEE-D945-A3CA-14A0B0935BB1}" uniqueName="776" name="Column776" queryTableFieldId="776" dataDxfId="77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F6837CA-7447-5145-BE05-D48667AB0045}" name="cluster_average_return_Sector" displayName="cluster_average_return_Sector" ref="A1:ACV10" tableType="queryTable" totalsRowShown="0">
  <autoFilter ref="A1:ACV10" xr:uid="{1F6837CA-7447-5145-BE05-D48667AB0045}"/>
  <tableColumns count="776">
    <tableColumn id="1" xr3:uid="{6BAEC20A-7EDF-2941-9F93-082B6D4AF6A6}" uniqueName="1" name="Column1" queryTableFieldId="1" dataDxfId="775"/>
    <tableColumn id="2" xr3:uid="{985077E7-7A73-4A44-A5C1-4A7CD27C4C11}" uniqueName="2" name="Column2" queryTableFieldId="2" dataDxfId="774"/>
    <tableColumn id="3" xr3:uid="{794C3CCB-6E90-FF49-BD76-BA88084F6E6D}" uniqueName="3" name="Column3" queryTableFieldId="3" dataDxfId="773"/>
    <tableColumn id="4" xr3:uid="{4B39FE81-341C-764F-B42A-BD551489E08E}" uniqueName="4" name="Column4" queryTableFieldId="4" dataDxfId="772"/>
    <tableColumn id="5" xr3:uid="{CE7BD0CA-5506-7442-A631-1EC7E780C267}" uniqueName="5" name="Column5" queryTableFieldId="5" dataDxfId="771"/>
    <tableColumn id="6" xr3:uid="{D34A76BF-FEB4-6D49-93C0-DAF4B8A37929}" uniqueName="6" name="Column6" queryTableFieldId="6" dataDxfId="770"/>
    <tableColumn id="7" xr3:uid="{84A20AFA-7E87-4D4F-8ED0-CE3FBD12A752}" uniqueName="7" name="Column7" queryTableFieldId="7" dataDxfId="769"/>
    <tableColumn id="8" xr3:uid="{0B24A845-E04A-0D45-97BB-A8DAA2CAB6F8}" uniqueName="8" name="Column8" queryTableFieldId="8" dataDxfId="768"/>
    <tableColumn id="9" xr3:uid="{50DA6FB0-C549-4443-87D0-120C4B5690E2}" uniqueName="9" name="Column9" queryTableFieldId="9" dataDxfId="767"/>
    <tableColumn id="10" xr3:uid="{B6EEEEFB-AC28-E940-BEAC-5FF46C8F92BF}" uniqueName="10" name="Column10" queryTableFieldId="10" dataDxfId="766"/>
    <tableColumn id="11" xr3:uid="{6E644BB3-C43E-BA44-9428-AD57CDD33ABB}" uniqueName="11" name="Column11" queryTableFieldId="11" dataDxfId="765"/>
    <tableColumn id="12" xr3:uid="{26E9379F-AFBC-B944-97C4-51DDEAFBF8E9}" uniqueName="12" name="Column12" queryTableFieldId="12" dataDxfId="764"/>
    <tableColumn id="13" xr3:uid="{E0A83CC6-9A2B-784C-8606-BA6A9ACFD271}" uniqueName="13" name="Column13" queryTableFieldId="13" dataDxfId="763"/>
    <tableColumn id="14" xr3:uid="{60581E09-8EDE-4246-8C64-680F38A72A85}" uniqueName="14" name="Column14" queryTableFieldId="14" dataDxfId="762"/>
    <tableColumn id="15" xr3:uid="{74112BFA-EBAB-EC4C-BD56-21BA3F165485}" uniqueName="15" name="Column15" queryTableFieldId="15" dataDxfId="761"/>
    <tableColumn id="16" xr3:uid="{82EC7E4C-4B89-B547-9B25-544B5B20AEEF}" uniqueName="16" name="Column16" queryTableFieldId="16" dataDxfId="760"/>
    <tableColumn id="17" xr3:uid="{652F0ECC-186D-D74F-BBF4-E876F90DAEC7}" uniqueName="17" name="Column17" queryTableFieldId="17" dataDxfId="759"/>
    <tableColumn id="18" xr3:uid="{2880F734-C8CF-A941-96B9-B01E5C3C922C}" uniqueName="18" name="Column18" queryTableFieldId="18" dataDxfId="758"/>
    <tableColumn id="19" xr3:uid="{1617541C-27EC-4944-914E-6EF1E9235228}" uniqueName="19" name="Column19" queryTableFieldId="19" dataDxfId="757"/>
    <tableColumn id="20" xr3:uid="{65706D3E-F330-694E-B1AF-8C3D686C490D}" uniqueName="20" name="Column20" queryTableFieldId="20" dataDxfId="756"/>
    <tableColumn id="21" xr3:uid="{B76FD1A2-780E-C14E-B64E-BD56E134A9DF}" uniqueName="21" name="Column21" queryTableFieldId="21" dataDxfId="755"/>
    <tableColumn id="22" xr3:uid="{ACBA4A8D-8460-454A-BC66-FF4BE5FCFE6B}" uniqueName="22" name="Column22" queryTableFieldId="22" dataDxfId="754"/>
    <tableColumn id="23" xr3:uid="{41FE1D4A-076B-1B4A-95EE-4BE7CD0BBAA7}" uniqueName="23" name="Column23" queryTableFieldId="23" dataDxfId="753"/>
    <tableColumn id="24" xr3:uid="{02B38545-6F66-734A-A1B6-0DF8A058FBC7}" uniqueName="24" name="Column24" queryTableFieldId="24" dataDxfId="752"/>
    <tableColumn id="25" xr3:uid="{C7161537-A2FE-AF40-8B7E-F54442FC7672}" uniqueName="25" name="Column25" queryTableFieldId="25" dataDxfId="751"/>
    <tableColumn id="26" xr3:uid="{A1543286-152A-764D-8D83-89A0CDC441AA}" uniqueName="26" name="Column26" queryTableFieldId="26" dataDxfId="750"/>
    <tableColumn id="27" xr3:uid="{A919EFE4-082E-E044-812B-20A102E5DADC}" uniqueName="27" name="Column27" queryTableFieldId="27" dataDxfId="749"/>
    <tableColumn id="28" xr3:uid="{028001A8-2259-EB4F-BC94-19EE5B919719}" uniqueName="28" name="Column28" queryTableFieldId="28" dataDxfId="748"/>
    <tableColumn id="29" xr3:uid="{E3F5AB79-4544-5840-AC2A-70161BBF175C}" uniqueName="29" name="Column29" queryTableFieldId="29" dataDxfId="747"/>
    <tableColumn id="30" xr3:uid="{85E40C3E-24E9-454C-A298-F4574035B85F}" uniqueName="30" name="Column30" queryTableFieldId="30" dataDxfId="746"/>
    <tableColumn id="31" xr3:uid="{6B46C30D-042F-E242-9BEB-EA7CA753600D}" uniqueName="31" name="Column31" queryTableFieldId="31" dataDxfId="745"/>
    <tableColumn id="32" xr3:uid="{781AFB53-7BA9-2A48-ADAA-ECEEB8342CF6}" uniqueName="32" name="Column32" queryTableFieldId="32" dataDxfId="744"/>
    <tableColumn id="33" xr3:uid="{7EFA10ED-9C1B-6140-838E-8E9058B4F525}" uniqueName="33" name="Column33" queryTableFieldId="33" dataDxfId="743"/>
    <tableColumn id="34" xr3:uid="{35961C26-D71C-F34D-986B-8F685CA1B3E4}" uniqueName="34" name="Column34" queryTableFieldId="34" dataDxfId="742"/>
    <tableColumn id="35" xr3:uid="{7475AD29-976A-A841-8D13-542E6F6874B8}" uniqueName="35" name="Column35" queryTableFieldId="35" dataDxfId="741"/>
    <tableColumn id="36" xr3:uid="{2756A7AC-56D6-0B4D-BBE3-DBE6A4F14ACF}" uniqueName="36" name="Column36" queryTableFieldId="36" dataDxfId="740"/>
    <tableColumn id="37" xr3:uid="{B4072AB7-5049-8442-AF57-1200D33B8884}" uniqueName="37" name="Column37" queryTableFieldId="37" dataDxfId="739"/>
    <tableColumn id="38" xr3:uid="{C50FD1AF-B4C1-A948-BE46-53A0A3811826}" uniqueName="38" name="Column38" queryTableFieldId="38" dataDxfId="738"/>
    <tableColumn id="39" xr3:uid="{6C61D35C-70D8-824B-8CEB-2A692969F9C3}" uniqueName="39" name="Column39" queryTableFieldId="39" dataDxfId="737"/>
    <tableColumn id="40" xr3:uid="{57CAC460-4F35-6C45-9A3B-9E0179C28FF2}" uniqueName="40" name="Column40" queryTableFieldId="40" dataDxfId="736"/>
    <tableColumn id="41" xr3:uid="{5140BEDD-1A71-5242-A633-D210CA0AEC85}" uniqueName="41" name="Column41" queryTableFieldId="41" dataDxfId="735"/>
    <tableColumn id="42" xr3:uid="{141F6625-8769-1A4D-904A-02195D6D0772}" uniqueName="42" name="Column42" queryTableFieldId="42" dataDxfId="734"/>
    <tableColumn id="43" xr3:uid="{FE05F803-65A5-834D-BD81-9DD31E84D480}" uniqueName="43" name="Column43" queryTableFieldId="43" dataDxfId="733"/>
    <tableColumn id="44" xr3:uid="{9E351456-710C-BB42-ABB0-46A2601DF0FC}" uniqueName="44" name="Column44" queryTableFieldId="44" dataDxfId="732"/>
    <tableColumn id="45" xr3:uid="{0DBEE303-83AC-BB47-A42C-EF002AB730B6}" uniqueName="45" name="Column45" queryTableFieldId="45" dataDxfId="731"/>
    <tableColumn id="46" xr3:uid="{4C9660D6-2D87-4942-94D5-FEB6B50277F8}" uniqueName="46" name="Column46" queryTableFieldId="46" dataDxfId="730"/>
    <tableColumn id="47" xr3:uid="{586C9FDA-BD5A-7C44-B747-99C31FF0560E}" uniqueName="47" name="Column47" queryTableFieldId="47" dataDxfId="729"/>
    <tableColumn id="48" xr3:uid="{13AEB7B1-E969-5D46-9A43-3BCBFFB7AE27}" uniqueName="48" name="Column48" queryTableFieldId="48" dataDxfId="728"/>
    <tableColumn id="49" xr3:uid="{9E4EA6B6-DB12-7046-8878-22CD8126B9E2}" uniqueName="49" name="Column49" queryTableFieldId="49" dataDxfId="727"/>
    <tableColumn id="50" xr3:uid="{DD059F9F-E0CB-D04D-AA10-4130AAC589B1}" uniqueName="50" name="Column50" queryTableFieldId="50" dataDxfId="726"/>
    <tableColumn id="51" xr3:uid="{70F64FF1-6B05-634E-AA30-7BBA2FAE4997}" uniqueName="51" name="Column51" queryTableFieldId="51" dataDxfId="725"/>
    <tableColumn id="52" xr3:uid="{9CC5475E-245B-5F47-AC9F-379614744ADC}" uniqueName="52" name="Column52" queryTableFieldId="52" dataDxfId="724"/>
    <tableColumn id="53" xr3:uid="{A1D056A3-D337-1B40-99D7-C362AB12904B}" uniqueName="53" name="Column53" queryTableFieldId="53" dataDxfId="723"/>
    <tableColumn id="54" xr3:uid="{2FB9CF22-C06A-FE48-BF18-0AACB0D0B266}" uniqueName="54" name="Column54" queryTableFieldId="54" dataDxfId="722"/>
    <tableColumn id="55" xr3:uid="{38F6051B-7DDA-4E45-BAB6-56DC9436F791}" uniqueName="55" name="Column55" queryTableFieldId="55" dataDxfId="721"/>
    <tableColumn id="56" xr3:uid="{2AB32DF8-A7B7-0B44-9060-1FBDC791FA8D}" uniqueName="56" name="Column56" queryTableFieldId="56" dataDxfId="720"/>
    <tableColumn id="57" xr3:uid="{A3206B52-F39A-D743-87C2-70BA26E812E6}" uniqueName="57" name="Column57" queryTableFieldId="57" dataDxfId="719"/>
    <tableColumn id="58" xr3:uid="{32F6A1F9-E2E0-5F4A-BD95-88D4A449004F}" uniqueName="58" name="Column58" queryTableFieldId="58" dataDxfId="718"/>
    <tableColumn id="59" xr3:uid="{84336BE8-80E4-E04D-845C-C0A5B2F32317}" uniqueName="59" name="Column59" queryTableFieldId="59" dataDxfId="717"/>
    <tableColumn id="60" xr3:uid="{BA42D8F7-40EC-474D-9C8F-245989893294}" uniqueName="60" name="Column60" queryTableFieldId="60" dataDxfId="716"/>
    <tableColumn id="61" xr3:uid="{0ECB5178-4D89-5A4C-B10F-97E6F5FD118D}" uniqueName="61" name="Column61" queryTableFieldId="61" dataDxfId="715"/>
    <tableColumn id="62" xr3:uid="{00C93796-8E38-4C4A-ABDF-280263CC20B0}" uniqueName="62" name="Column62" queryTableFieldId="62" dataDxfId="714"/>
    <tableColumn id="63" xr3:uid="{1AA06350-E825-0042-A23A-8D8D8B9E208A}" uniqueName="63" name="Column63" queryTableFieldId="63" dataDxfId="713"/>
    <tableColumn id="64" xr3:uid="{14A4D4DC-6399-0B4B-BCE9-CC3CF77C857F}" uniqueName="64" name="Column64" queryTableFieldId="64" dataDxfId="712"/>
    <tableColumn id="65" xr3:uid="{66745C56-7268-5848-8D42-1CDC6E0F4A1E}" uniqueName="65" name="Column65" queryTableFieldId="65" dataDxfId="711"/>
    <tableColumn id="66" xr3:uid="{47017FBD-67B4-4B49-AE74-E3DFEED9439B}" uniqueName="66" name="Column66" queryTableFieldId="66" dataDxfId="710"/>
    <tableColumn id="67" xr3:uid="{45C04117-5C35-6346-97B3-B1FE3ED42362}" uniqueName="67" name="Column67" queryTableFieldId="67" dataDxfId="709"/>
    <tableColumn id="68" xr3:uid="{C7BE1EDF-7D62-DE4F-BEB7-10EC86912FEA}" uniqueName="68" name="Column68" queryTableFieldId="68" dataDxfId="708"/>
    <tableColumn id="69" xr3:uid="{F2D20151-864D-4F44-885D-107B3439AC18}" uniqueName="69" name="Column69" queryTableFieldId="69" dataDxfId="707"/>
    <tableColumn id="70" xr3:uid="{E3280A88-7712-8F43-96D3-79AF0933729D}" uniqueName="70" name="Column70" queryTableFieldId="70" dataDxfId="706"/>
    <tableColumn id="71" xr3:uid="{D6A983B1-D324-A445-AE97-4EEB42F8F4CD}" uniqueName="71" name="Column71" queryTableFieldId="71" dataDxfId="705"/>
    <tableColumn id="72" xr3:uid="{CBE99F26-80CC-7444-8500-3DD8FE53C052}" uniqueName="72" name="Column72" queryTableFieldId="72" dataDxfId="704"/>
    <tableColumn id="73" xr3:uid="{BB166402-DC1C-EE42-AD2F-3A4C6E03AA7C}" uniqueName="73" name="Column73" queryTableFieldId="73" dataDxfId="703"/>
    <tableColumn id="74" xr3:uid="{87AF5224-4886-814A-AC07-FC7677CAFD04}" uniqueName="74" name="Column74" queryTableFieldId="74" dataDxfId="702"/>
    <tableColumn id="75" xr3:uid="{381F686C-3D5A-9B40-8243-A862AA8486E3}" uniqueName="75" name="Column75" queryTableFieldId="75" dataDxfId="701"/>
    <tableColumn id="76" xr3:uid="{7CDBF196-F6CE-D94B-9CBA-D22804E3DDFD}" uniqueName="76" name="Column76" queryTableFieldId="76" dataDxfId="700"/>
    <tableColumn id="77" xr3:uid="{D227EB16-83CA-CF46-933F-D0890C2E50CB}" uniqueName="77" name="Column77" queryTableFieldId="77" dataDxfId="699"/>
    <tableColumn id="78" xr3:uid="{8A7CA45C-161F-C143-BEF9-FBE0126EA113}" uniqueName="78" name="Column78" queryTableFieldId="78" dataDxfId="698"/>
    <tableColumn id="79" xr3:uid="{13DD487B-3463-8B41-972D-C0F48B6BB6E8}" uniqueName="79" name="Column79" queryTableFieldId="79" dataDxfId="697"/>
    <tableColumn id="80" xr3:uid="{5AB06C9F-F33E-2441-B819-32162005408D}" uniqueName="80" name="Column80" queryTableFieldId="80" dataDxfId="696"/>
    <tableColumn id="81" xr3:uid="{6827E868-9ED4-D242-8E67-0AE14EA23F0E}" uniqueName="81" name="Column81" queryTableFieldId="81" dataDxfId="695"/>
    <tableColumn id="82" xr3:uid="{229BB6BF-7FE8-2646-80AE-4823F226FECB}" uniqueName="82" name="Column82" queryTableFieldId="82" dataDxfId="694"/>
    <tableColumn id="83" xr3:uid="{A053738F-17A4-634D-B140-38145BCDD04D}" uniqueName="83" name="Column83" queryTableFieldId="83" dataDxfId="693"/>
    <tableColumn id="84" xr3:uid="{E8DFBFDA-B58F-7C4B-897F-8952779FE163}" uniqueName="84" name="Column84" queryTableFieldId="84" dataDxfId="692"/>
    <tableColumn id="85" xr3:uid="{0E09DEC3-1FB5-174E-BE6A-DF6DDC50EF78}" uniqueName="85" name="Column85" queryTableFieldId="85" dataDxfId="691"/>
    <tableColumn id="86" xr3:uid="{166FCF4C-495C-264F-9152-1AD85DE98544}" uniqueName="86" name="Column86" queryTableFieldId="86" dataDxfId="690"/>
    <tableColumn id="87" xr3:uid="{8648F90B-D585-324C-8F91-4761B32374B9}" uniqueName="87" name="Column87" queryTableFieldId="87" dataDxfId="689"/>
    <tableColumn id="88" xr3:uid="{9F371DF3-D442-B64E-804A-A9ECE45F1795}" uniqueName="88" name="Column88" queryTableFieldId="88" dataDxfId="688"/>
    <tableColumn id="89" xr3:uid="{15AD1664-80B6-8342-BD7C-2510FF4D74BF}" uniqueName="89" name="Column89" queryTableFieldId="89" dataDxfId="687"/>
    <tableColumn id="90" xr3:uid="{0DD17B55-C354-5D43-8D9D-2CA3E7AFB657}" uniqueName="90" name="Column90" queryTableFieldId="90" dataDxfId="686"/>
    <tableColumn id="91" xr3:uid="{604F922F-53D4-6B4B-A733-C367A530A559}" uniqueName="91" name="Column91" queryTableFieldId="91" dataDxfId="685"/>
    <tableColumn id="92" xr3:uid="{8DF29A45-0C1F-C643-8161-D9E75710F069}" uniqueName="92" name="Column92" queryTableFieldId="92" dataDxfId="684"/>
    <tableColumn id="93" xr3:uid="{ED363E72-183A-B54D-B757-C8EC78111EB0}" uniqueName="93" name="Column93" queryTableFieldId="93" dataDxfId="683"/>
    <tableColumn id="94" xr3:uid="{682DACAF-CD42-0347-BBEF-97FBA4D9AF41}" uniqueName="94" name="Column94" queryTableFieldId="94" dataDxfId="682"/>
    <tableColumn id="95" xr3:uid="{0FB833C0-F8F9-E546-B6AF-F8CD4C0313B2}" uniqueName="95" name="Column95" queryTableFieldId="95" dataDxfId="681"/>
    <tableColumn id="96" xr3:uid="{387858B3-F9F1-AC47-B32F-7EEF0CA28EAA}" uniqueName="96" name="Column96" queryTableFieldId="96" dataDxfId="680"/>
    <tableColumn id="97" xr3:uid="{9C030D4B-1725-1140-BC97-00ED82065C6A}" uniqueName="97" name="Column97" queryTableFieldId="97" dataDxfId="679"/>
    <tableColumn id="98" xr3:uid="{3B5FEE8E-786D-1147-9CB0-4878EE023D19}" uniqueName="98" name="Column98" queryTableFieldId="98" dataDxfId="678"/>
    <tableColumn id="99" xr3:uid="{7027487D-F593-0847-B492-1F0E7322836A}" uniqueName="99" name="Column99" queryTableFieldId="99" dataDxfId="677"/>
    <tableColumn id="100" xr3:uid="{E9FA4329-2408-464C-929F-6C44A422B80B}" uniqueName="100" name="Column100" queryTableFieldId="100" dataDxfId="676"/>
    <tableColumn id="101" xr3:uid="{AA8AC6B2-33BB-FA4A-8089-D63EA5ACEBED}" uniqueName="101" name="Column101" queryTableFieldId="101" dataDxfId="675"/>
    <tableColumn id="102" xr3:uid="{0AA7A13C-EAC3-E64F-9A80-BB25EA0A6E1A}" uniqueName="102" name="Column102" queryTableFieldId="102" dataDxfId="674"/>
    <tableColumn id="103" xr3:uid="{7C0A6E49-7E95-0C49-B6B8-A3C8985E21C5}" uniqueName="103" name="Column103" queryTableFieldId="103" dataDxfId="673"/>
    <tableColumn id="104" xr3:uid="{3EF2650C-B06F-6845-85ED-3BBEBA2D7A42}" uniqueName="104" name="Column104" queryTableFieldId="104" dataDxfId="672"/>
    <tableColumn id="105" xr3:uid="{8CCFD338-89A8-684C-A706-8BD3986B4BA6}" uniqueName="105" name="Column105" queryTableFieldId="105" dataDxfId="671"/>
    <tableColumn id="106" xr3:uid="{24F81337-C31E-EF49-8D8A-BBF2F5798022}" uniqueName="106" name="Column106" queryTableFieldId="106" dataDxfId="670"/>
    <tableColumn id="107" xr3:uid="{43394FDB-8973-9E4D-A2F0-2ADDFB97BB94}" uniqueName="107" name="Column107" queryTableFieldId="107" dataDxfId="669"/>
    <tableColumn id="108" xr3:uid="{94195A4E-4AEB-6B43-99F0-B1FF03375200}" uniqueName="108" name="Column108" queryTableFieldId="108" dataDxfId="668"/>
    <tableColumn id="109" xr3:uid="{A78FAD63-3A4E-7149-AB28-EB89EE00C7FF}" uniqueName="109" name="Column109" queryTableFieldId="109" dataDxfId="667"/>
    <tableColumn id="110" xr3:uid="{334DD120-F9F6-1A4D-80E1-29527E4008EB}" uniqueName="110" name="Column110" queryTableFieldId="110" dataDxfId="666"/>
    <tableColumn id="111" xr3:uid="{0E29CBB7-A9B0-7B47-B3D3-858F236F42FD}" uniqueName="111" name="Column111" queryTableFieldId="111" dataDxfId="665"/>
    <tableColumn id="112" xr3:uid="{DDAE61DD-D255-374E-AED1-F7C943606FF7}" uniqueName="112" name="Column112" queryTableFieldId="112" dataDxfId="664"/>
    <tableColumn id="113" xr3:uid="{F694EFD9-F2AD-2B45-8649-40DE6A81819E}" uniqueName="113" name="Column113" queryTableFieldId="113" dataDxfId="663"/>
    <tableColumn id="114" xr3:uid="{D5597A1D-3BA5-D245-A6C8-405312A38A29}" uniqueName="114" name="Column114" queryTableFieldId="114" dataDxfId="662"/>
    <tableColumn id="115" xr3:uid="{CDCA5B48-DDE8-C245-A7F1-C6BC2192AE4E}" uniqueName="115" name="Column115" queryTableFieldId="115" dataDxfId="661"/>
    <tableColumn id="116" xr3:uid="{8B40A100-E19C-134A-9E62-4823123B721A}" uniqueName="116" name="Column116" queryTableFieldId="116" dataDxfId="660"/>
    <tableColumn id="117" xr3:uid="{2435EF76-D56A-9E47-B358-F24449C72282}" uniqueName="117" name="Column117" queryTableFieldId="117" dataDxfId="659"/>
    <tableColumn id="118" xr3:uid="{2936F00D-32B5-2444-B4CF-B3C2A18C718F}" uniqueName="118" name="Column118" queryTableFieldId="118" dataDxfId="658"/>
    <tableColumn id="119" xr3:uid="{59B9EDFF-9F86-6C44-AEF5-7DD591B64133}" uniqueName="119" name="Column119" queryTableFieldId="119" dataDxfId="657"/>
    <tableColumn id="120" xr3:uid="{B9BDB77C-7575-9A4E-B38D-6EB76020A00C}" uniqueName="120" name="Column120" queryTableFieldId="120" dataDxfId="656"/>
    <tableColumn id="121" xr3:uid="{41347FCE-5301-864C-AD75-0CB2CF59E4C7}" uniqueName="121" name="Column121" queryTableFieldId="121" dataDxfId="655"/>
    <tableColumn id="122" xr3:uid="{207E2F25-0426-ED44-BEC3-C9A9FD445DD3}" uniqueName="122" name="Column122" queryTableFieldId="122" dataDxfId="654"/>
    <tableColumn id="123" xr3:uid="{BE357AC5-1A06-1041-8ACA-9CD6DA39C1B1}" uniqueName="123" name="Column123" queryTableFieldId="123" dataDxfId="653"/>
    <tableColumn id="124" xr3:uid="{5B5670BE-C3B3-FD45-9058-0763258C781F}" uniqueName="124" name="Column124" queryTableFieldId="124" dataDxfId="652"/>
    <tableColumn id="125" xr3:uid="{580EC076-2B51-814B-A6FE-27E9591ECC13}" uniqueName="125" name="Column125" queryTableFieldId="125" dataDxfId="651"/>
    <tableColumn id="126" xr3:uid="{286CEA85-C78C-E545-B06A-DD9BD934A006}" uniqueName="126" name="Column126" queryTableFieldId="126" dataDxfId="650"/>
    <tableColumn id="127" xr3:uid="{41853C37-6129-944C-B4EC-D31F2E7236E6}" uniqueName="127" name="Column127" queryTableFieldId="127" dataDxfId="649"/>
    <tableColumn id="128" xr3:uid="{8329543B-DA20-0949-B204-100262CDD560}" uniqueName="128" name="Column128" queryTableFieldId="128" dataDxfId="648"/>
    <tableColumn id="129" xr3:uid="{C1C110BB-7891-6945-84A0-6C16320DC057}" uniqueName="129" name="Column129" queryTableFieldId="129" dataDxfId="647"/>
    <tableColumn id="130" xr3:uid="{9B7E1F98-EB77-C547-8A3C-971F56C7DCC2}" uniqueName="130" name="Column130" queryTableFieldId="130" dataDxfId="646"/>
    <tableColumn id="131" xr3:uid="{66D46187-5A67-F547-BF30-338F4DF53F47}" uniqueName="131" name="Column131" queryTableFieldId="131" dataDxfId="645"/>
    <tableColumn id="132" xr3:uid="{75066DEF-628A-4A4B-AF11-746FDFE72D11}" uniqueName="132" name="Column132" queryTableFieldId="132" dataDxfId="644"/>
    <tableColumn id="133" xr3:uid="{6CE3DDFE-05BF-C64B-8B54-49F078DAF9D3}" uniqueName="133" name="Column133" queryTableFieldId="133" dataDxfId="643"/>
    <tableColumn id="134" xr3:uid="{1319E98B-7B6D-5947-ACA8-CC9EF092F12D}" uniqueName="134" name="Column134" queryTableFieldId="134" dataDxfId="642"/>
    <tableColumn id="135" xr3:uid="{9613E4C0-FE40-E64E-A32F-173E9918CB47}" uniqueName="135" name="Column135" queryTableFieldId="135" dataDxfId="641"/>
    <tableColumn id="136" xr3:uid="{4C9F3018-F3F2-3A45-85B2-68EC1DFCBD7B}" uniqueName="136" name="Column136" queryTableFieldId="136" dataDxfId="640"/>
    <tableColumn id="137" xr3:uid="{97FFF046-3B67-2C46-B3AE-5C01A41E815D}" uniqueName="137" name="Column137" queryTableFieldId="137" dataDxfId="639"/>
    <tableColumn id="138" xr3:uid="{471E0A25-212A-7245-82DA-F710FE422651}" uniqueName="138" name="Column138" queryTableFieldId="138" dataDxfId="638"/>
    <tableColumn id="139" xr3:uid="{F36F2705-8ED0-DB42-B152-CEC8230C33F9}" uniqueName="139" name="Column139" queryTableFieldId="139" dataDxfId="637"/>
    <tableColumn id="140" xr3:uid="{73F804E4-0B7D-5549-974E-4769A6785682}" uniqueName="140" name="Column140" queryTableFieldId="140" dataDxfId="636"/>
    <tableColumn id="141" xr3:uid="{6F516A36-D94C-5C4F-9AD4-EBF605282675}" uniqueName="141" name="Column141" queryTableFieldId="141" dataDxfId="635"/>
    <tableColumn id="142" xr3:uid="{FB1C2455-A8D6-A742-AF30-B813EFD41F6C}" uniqueName="142" name="Column142" queryTableFieldId="142" dataDxfId="634"/>
    <tableColumn id="143" xr3:uid="{4298081B-216A-9D4C-B3D3-7E26B318FAF7}" uniqueName="143" name="Column143" queryTableFieldId="143" dataDxfId="633"/>
    <tableColumn id="144" xr3:uid="{4D97FA5E-8ACB-2547-BF49-6C9131948BF0}" uniqueName="144" name="Column144" queryTableFieldId="144" dataDxfId="632"/>
    <tableColumn id="145" xr3:uid="{F1D7CD37-050B-5840-98B1-2106ECCBDBA7}" uniqueName="145" name="Column145" queryTableFieldId="145" dataDxfId="631"/>
    <tableColumn id="146" xr3:uid="{12686983-D164-D743-B7CD-4D70F22159F8}" uniqueName="146" name="Column146" queryTableFieldId="146" dataDxfId="630"/>
    <tableColumn id="147" xr3:uid="{7E6D5497-8314-1849-BE9C-B0EE3FC6BEB4}" uniqueName="147" name="Column147" queryTableFieldId="147" dataDxfId="629"/>
    <tableColumn id="148" xr3:uid="{7E98E05F-9E97-4745-B419-82055F624294}" uniqueName="148" name="Column148" queryTableFieldId="148" dataDxfId="628"/>
    <tableColumn id="149" xr3:uid="{F2B8B8C6-2FDB-5248-BBEA-D1577F09ECEF}" uniqueName="149" name="Column149" queryTableFieldId="149" dataDxfId="627"/>
    <tableColumn id="150" xr3:uid="{8869D38E-4B69-0741-9468-94B3213AAD73}" uniqueName="150" name="Column150" queryTableFieldId="150" dataDxfId="626"/>
    <tableColumn id="151" xr3:uid="{0590AD4A-27B4-2249-9321-7CB8B83D8AF2}" uniqueName="151" name="Column151" queryTableFieldId="151" dataDxfId="625"/>
    <tableColumn id="152" xr3:uid="{3E2D0660-01C3-3B49-82A8-D6C857B9722F}" uniqueName="152" name="Column152" queryTableFieldId="152" dataDxfId="624"/>
    <tableColumn id="153" xr3:uid="{32538239-4080-3148-BC6C-821C6640895F}" uniqueName="153" name="Column153" queryTableFieldId="153" dataDxfId="623"/>
    <tableColumn id="154" xr3:uid="{3CEC20AC-D000-314C-9498-0F04BE8A5238}" uniqueName="154" name="Column154" queryTableFieldId="154" dataDxfId="622"/>
    <tableColumn id="155" xr3:uid="{8BB7236C-217D-B049-A663-AB92E308CACC}" uniqueName="155" name="Column155" queryTableFieldId="155" dataDxfId="621"/>
    <tableColumn id="156" xr3:uid="{0991A619-9C88-5C4B-86F3-497F2C08E05F}" uniqueName="156" name="Column156" queryTableFieldId="156" dataDxfId="620"/>
    <tableColumn id="157" xr3:uid="{CA4CEF20-699A-1A47-825A-E3FFF5E9ECF6}" uniqueName="157" name="Column157" queryTableFieldId="157" dataDxfId="619"/>
    <tableColumn id="158" xr3:uid="{29318538-6450-1A48-90A4-5D83ECE2D460}" uniqueName="158" name="Column158" queryTableFieldId="158" dataDxfId="618"/>
    <tableColumn id="159" xr3:uid="{005B17A9-CA2A-6043-A4E2-E36A212DFE0F}" uniqueName="159" name="Column159" queryTableFieldId="159" dataDxfId="617"/>
    <tableColumn id="160" xr3:uid="{50230FAB-1978-6245-9560-A32A21971DF6}" uniqueName="160" name="Column160" queryTableFieldId="160" dataDxfId="616"/>
    <tableColumn id="161" xr3:uid="{1C7A03B3-FC3D-B34A-8595-663D5526FF44}" uniqueName="161" name="Column161" queryTableFieldId="161" dataDxfId="615"/>
    <tableColumn id="162" xr3:uid="{A2238221-27FC-1444-A512-2246D3F0EB5A}" uniqueName="162" name="Column162" queryTableFieldId="162" dataDxfId="614"/>
    <tableColumn id="163" xr3:uid="{FE687FE1-D055-DC4C-AABD-1E5DF49F5C4D}" uniqueName="163" name="Column163" queryTableFieldId="163" dataDxfId="613"/>
    <tableColumn id="164" xr3:uid="{998DE552-73C8-4149-AC19-A053AFBDE853}" uniqueName="164" name="Column164" queryTableFieldId="164" dataDxfId="612"/>
    <tableColumn id="165" xr3:uid="{CEC64990-E931-8740-9793-D8766EF09E18}" uniqueName="165" name="Column165" queryTableFieldId="165" dataDxfId="611"/>
    <tableColumn id="166" xr3:uid="{57126A3F-AE63-994E-9448-093CC15A15C0}" uniqueName="166" name="Column166" queryTableFieldId="166" dataDxfId="610"/>
    <tableColumn id="167" xr3:uid="{2327C6E4-946F-A647-A00C-C50A19EEDA70}" uniqueName="167" name="Column167" queryTableFieldId="167" dataDxfId="609"/>
    <tableColumn id="168" xr3:uid="{3F62E564-B228-2544-A960-64F65BC37C64}" uniqueName="168" name="Column168" queryTableFieldId="168" dataDxfId="608"/>
    <tableColumn id="169" xr3:uid="{DDF5547A-3FF5-1740-910A-8623E96F4599}" uniqueName="169" name="Column169" queryTableFieldId="169" dataDxfId="607"/>
    <tableColumn id="170" xr3:uid="{CE675E17-CAEF-444C-AB4E-F8B67608F17C}" uniqueName="170" name="Column170" queryTableFieldId="170" dataDxfId="606"/>
    <tableColumn id="171" xr3:uid="{993D78A3-7EF1-884A-BAEC-C619A6765106}" uniqueName="171" name="Column171" queryTableFieldId="171" dataDxfId="605"/>
    <tableColumn id="172" xr3:uid="{B74A84A8-6406-2C48-9B06-85551D2B5B63}" uniqueName="172" name="Column172" queryTableFieldId="172" dataDxfId="604"/>
    <tableColumn id="173" xr3:uid="{379FB666-25D0-D04C-B5E0-9087D03F77C9}" uniqueName="173" name="Column173" queryTableFieldId="173" dataDxfId="603"/>
    <tableColumn id="174" xr3:uid="{16E7D648-80CC-D649-B5FB-CF4C0519F2CC}" uniqueName="174" name="Column174" queryTableFieldId="174" dataDxfId="602"/>
    <tableColumn id="175" xr3:uid="{1079F35B-5931-C446-BE4A-135E7F87CA6C}" uniqueName="175" name="Column175" queryTableFieldId="175" dataDxfId="601"/>
    <tableColumn id="176" xr3:uid="{00301ACB-9246-0942-8C9F-1433813426FA}" uniqueName="176" name="Column176" queryTableFieldId="176" dataDxfId="600"/>
    <tableColumn id="177" xr3:uid="{068C5680-CA48-484F-BE1F-C69E4B3E80E8}" uniqueName="177" name="Column177" queryTableFieldId="177" dataDxfId="599"/>
    <tableColumn id="178" xr3:uid="{7893A39B-142D-1B47-B34E-854D93DA9E25}" uniqueName="178" name="Column178" queryTableFieldId="178" dataDxfId="598"/>
    <tableColumn id="179" xr3:uid="{66A08F7B-439A-9542-954D-F0720F6BDCE9}" uniqueName="179" name="Column179" queryTableFieldId="179" dataDxfId="597"/>
    <tableColumn id="180" xr3:uid="{528F1AA0-1A9C-294F-A1DB-C0C52B56A0EA}" uniqueName="180" name="Column180" queryTableFieldId="180" dataDxfId="596"/>
    <tableColumn id="181" xr3:uid="{6727B4E4-CE23-3F49-8C45-D3702A03DA9D}" uniqueName="181" name="Column181" queryTableFieldId="181" dataDxfId="595"/>
    <tableColumn id="182" xr3:uid="{46E74F99-F96D-4C41-A73E-A71AEDAAB120}" uniqueName="182" name="Column182" queryTableFieldId="182" dataDxfId="594"/>
    <tableColumn id="183" xr3:uid="{8F1FDC08-7DAF-8B46-BD68-F83E4B28F53E}" uniqueName="183" name="Column183" queryTableFieldId="183" dataDxfId="593"/>
    <tableColumn id="184" xr3:uid="{6DCCD224-5A6B-9743-B640-424BFF4AF8EE}" uniqueName="184" name="Column184" queryTableFieldId="184" dataDxfId="592"/>
    <tableColumn id="185" xr3:uid="{953C2433-143E-434B-A91E-73D14C12FB1A}" uniqueName="185" name="Column185" queryTableFieldId="185" dataDxfId="591"/>
    <tableColumn id="186" xr3:uid="{DC302E75-1E5A-8441-BCBB-36037C78548E}" uniqueName="186" name="Column186" queryTableFieldId="186" dataDxfId="590"/>
    <tableColumn id="187" xr3:uid="{AD1055E4-290C-8741-8C06-24C17BF22418}" uniqueName="187" name="Column187" queryTableFieldId="187" dataDxfId="589"/>
    <tableColumn id="188" xr3:uid="{8EA74933-7883-8741-8580-73A559A36051}" uniqueName="188" name="Column188" queryTableFieldId="188" dataDxfId="588"/>
    <tableColumn id="189" xr3:uid="{CEA1699D-5F3A-434F-83C5-587ABFB28444}" uniqueName="189" name="Column189" queryTableFieldId="189" dataDxfId="587"/>
    <tableColumn id="190" xr3:uid="{151DE17E-147F-E541-9606-A06BF10CFB3D}" uniqueName="190" name="Column190" queryTableFieldId="190" dataDxfId="586"/>
    <tableColumn id="191" xr3:uid="{2824F423-F3AC-0646-B72B-69C24C1592B5}" uniqueName="191" name="Column191" queryTableFieldId="191" dataDxfId="585"/>
    <tableColumn id="192" xr3:uid="{CACC6351-5CA2-254C-9442-AB7FB0FA2F51}" uniqueName="192" name="Column192" queryTableFieldId="192" dataDxfId="584"/>
    <tableColumn id="193" xr3:uid="{1C323CA3-79FC-0442-A873-874BA1920DFC}" uniqueName="193" name="Column193" queryTableFieldId="193" dataDxfId="583"/>
    <tableColumn id="194" xr3:uid="{D4C6BD2F-01AA-C848-9DAE-73C56619C66E}" uniqueName="194" name="Column194" queryTableFieldId="194" dataDxfId="582"/>
    <tableColumn id="195" xr3:uid="{20B37501-0FD3-C04F-8FD8-888AB1CBBAC9}" uniqueName="195" name="Column195" queryTableFieldId="195" dataDxfId="581"/>
    <tableColumn id="196" xr3:uid="{D4F03179-DF1B-E540-A1BB-DC16517DF6AE}" uniqueName="196" name="Column196" queryTableFieldId="196" dataDxfId="580"/>
    <tableColumn id="197" xr3:uid="{53D917BD-668D-164C-8951-F05C31051476}" uniqueName="197" name="Column197" queryTableFieldId="197" dataDxfId="579"/>
    <tableColumn id="198" xr3:uid="{784C3DA6-52E9-4D47-877A-940995312A6D}" uniqueName="198" name="Column198" queryTableFieldId="198" dataDxfId="578"/>
    <tableColumn id="199" xr3:uid="{4C333563-E6F5-0341-9BD8-043DDB5060B0}" uniqueName="199" name="Column199" queryTableFieldId="199" dataDxfId="577"/>
    <tableColumn id="200" xr3:uid="{B2560375-1EA2-C54E-BFA5-6E41E9125627}" uniqueName="200" name="Column200" queryTableFieldId="200" dataDxfId="576"/>
    <tableColumn id="201" xr3:uid="{92231DD5-0232-0448-9754-FE624F67C8D7}" uniqueName="201" name="Column201" queryTableFieldId="201" dataDxfId="575"/>
    <tableColumn id="202" xr3:uid="{543BEF73-3203-1E4C-9AFC-CD70837899EE}" uniqueName="202" name="Column202" queryTableFieldId="202" dataDxfId="574"/>
    <tableColumn id="203" xr3:uid="{2971A3A4-E471-0142-8888-9E9EF865DBA9}" uniqueName="203" name="Column203" queryTableFieldId="203" dataDxfId="573"/>
    <tableColumn id="204" xr3:uid="{C8CBDE03-14F1-214C-98DB-07915922605D}" uniqueName="204" name="Column204" queryTableFieldId="204" dataDxfId="572"/>
    <tableColumn id="205" xr3:uid="{8E1040EB-3963-AC4C-BCFD-CADAA61B50B6}" uniqueName="205" name="Column205" queryTableFieldId="205" dataDxfId="571"/>
    <tableColumn id="206" xr3:uid="{9AF876D4-72AA-AE41-B1B5-ED3B502E9C11}" uniqueName="206" name="Column206" queryTableFieldId="206" dataDxfId="570"/>
    <tableColumn id="207" xr3:uid="{7D1BD8A0-0A43-C744-AA8A-846AC804B3E4}" uniqueName="207" name="Column207" queryTableFieldId="207" dataDxfId="569"/>
    <tableColumn id="208" xr3:uid="{6EF66E61-638F-D84C-883B-0E5BB45BB233}" uniqueName="208" name="Column208" queryTableFieldId="208" dataDxfId="568"/>
    <tableColumn id="209" xr3:uid="{3DFFCD5D-F3A2-1141-8E72-5464255E88E8}" uniqueName="209" name="Column209" queryTableFieldId="209" dataDxfId="567"/>
    <tableColumn id="210" xr3:uid="{FC9399F4-719A-0B40-A4EA-DB03875E3CB2}" uniqueName="210" name="Column210" queryTableFieldId="210" dataDxfId="566"/>
    <tableColumn id="211" xr3:uid="{E7F83DF5-2EC9-4048-A4CA-EAE1D89B50CA}" uniqueName="211" name="Column211" queryTableFieldId="211" dataDxfId="565"/>
    <tableColumn id="212" xr3:uid="{5A584396-FB95-B743-975A-74AFCA9B9B68}" uniqueName="212" name="Column212" queryTableFieldId="212" dataDxfId="564"/>
    <tableColumn id="213" xr3:uid="{E6AD6EC9-1983-C14B-AC73-86629DD131EE}" uniqueName="213" name="Column213" queryTableFieldId="213" dataDxfId="563"/>
    <tableColumn id="214" xr3:uid="{FF27854A-48D4-624B-B959-ECC7EB1F881A}" uniqueName="214" name="Column214" queryTableFieldId="214" dataDxfId="562"/>
    <tableColumn id="215" xr3:uid="{78773C7D-DD8A-C240-BB77-53FBF13CDF52}" uniqueName="215" name="Column215" queryTableFieldId="215" dataDxfId="561"/>
    <tableColumn id="216" xr3:uid="{EF77B26F-49FE-F34B-B7BC-EB80D4BA02A8}" uniqueName="216" name="Column216" queryTableFieldId="216" dataDxfId="560"/>
    <tableColumn id="217" xr3:uid="{FCB36A90-A57C-3748-A268-C2B770383C44}" uniqueName="217" name="Column217" queryTableFieldId="217" dataDxfId="559"/>
    <tableColumn id="218" xr3:uid="{3CF2D27D-0B1E-6E42-89A4-5A5240985612}" uniqueName="218" name="Column218" queryTableFieldId="218" dataDxfId="558"/>
    <tableColumn id="219" xr3:uid="{76E5A28E-9948-4E43-A6FD-C88F2A338236}" uniqueName="219" name="Column219" queryTableFieldId="219" dataDxfId="557"/>
    <tableColumn id="220" xr3:uid="{FC23AAFD-A5AF-384E-85EB-D1F0B401AB4F}" uniqueName="220" name="Column220" queryTableFieldId="220" dataDxfId="556"/>
    <tableColumn id="221" xr3:uid="{6FA78E84-FAEF-2240-8DEC-3639BBDE8BE0}" uniqueName="221" name="Column221" queryTableFieldId="221" dataDxfId="555"/>
    <tableColumn id="222" xr3:uid="{14C86B58-F66D-964A-B45A-39169FCA21DE}" uniqueName="222" name="Column222" queryTableFieldId="222" dataDxfId="554"/>
    <tableColumn id="223" xr3:uid="{95964FD6-100A-3A41-AC41-D5F31E67132E}" uniqueName="223" name="Column223" queryTableFieldId="223" dataDxfId="553"/>
    <tableColumn id="224" xr3:uid="{4E83F46B-23B4-E042-8F62-7FA91C445615}" uniqueName="224" name="Column224" queryTableFieldId="224" dataDxfId="552"/>
    <tableColumn id="225" xr3:uid="{7F18FDF7-B857-9E42-A770-D65CC4B955A5}" uniqueName="225" name="Column225" queryTableFieldId="225" dataDxfId="551"/>
    <tableColumn id="226" xr3:uid="{3D3DC458-361D-C44D-9153-CFFBA844497D}" uniqueName="226" name="Column226" queryTableFieldId="226" dataDxfId="550"/>
    <tableColumn id="227" xr3:uid="{1B83E2DC-BF16-BD45-B8E5-7F8E11890EEA}" uniqueName="227" name="Column227" queryTableFieldId="227" dataDxfId="549"/>
    <tableColumn id="228" xr3:uid="{FD13BFF1-E007-3D4A-898E-4B1BDDA3F9BB}" uniqueName="228" name="Column228" queryTableFieldId="228" dataDxfId="548"/>
    <tableColumn id="229" xr3:uid="{78EB4904-D67A-0540-B6E6-37F61054DAA6}" uniqueName="229" name="Column229" queryTableFieldId="229" dataDxfId="547"/>
    <tableColumn id="230" xr3:uid="{976E8BD3-405C-E743-8F20-8E43AAC21C0B}" uniqueName="230" name="Column230" queryTableFieldId="230" dataDxfId="546"/>
    <tableColumn id="231" xr3:uid="{487B60D5-4CB5-574C-8BE8-A168AE0B319B}" uniqueName="231" name="Column231" queryTableFieldId="231" dataDxfId="545"/>
    <tableColumn id="232" xr3:uid="{0CB59B82-79AB-4447-A321-E34EE9D9CC94}" uniqueName="232" name="Column232" queryTableFieldId="232" dataDxfId="544"/>
    <tableColumn id="233" xr3:uid="{7287C9CC-9E2C-0C42-8F6F-331FC03174DD}" uniqueName="233" name="Column233" queryTableFieldId="233" dataDxfId="543"/>
    <tableColumn id="234" xr3:uid="{F3191637-4C55-5342-BE89-BCD54AFD06F1}" uniqueName="234" name="Column234" queryTableFieldId="234" dataDxfId="542"/>
    <tableColumn id="235" xr3:uid="{BA0380E4-81C2-2243-A6D8-FA577A96EBAF}" uniqueName="235" name="Column235" queryTableFieldId="235" dataDxfId="541"/>
    <tableColumn id="236" xr3:uid="{B1C911D2-7245-494E-BEBC-DDC27B8F733D}" uniqueName="236" name="Column236" queryTableFieldId="236" dataDxfId="540"/>
    <tableColumn id="237" xr3:uid="{98ACEEDF-5D88-9840-8811-87EAEC142E86}" uniqueName="237" name="Column237" queryTableFieldId="237" dataDxfId="539"/>
    <tableColumn id="238" xr3:uid="{90D84552-BEDF-B749-9BF2-A2438E8F4728}" uniqueName="238" name="Column238" queryTableFieldId="238" dataDxfId="538"/>
    <tableColumn id="239" xr3:uid="{ED1B5C3F-3711-2947-B4FA-C18E023E58D9}" uniqueName="239" name="Column239" queryTableFieldId="239" dataDxfId="537"/>
    <tableColumn id="240" xr3:uid="{056217F9-1577-6B4B-A95E-EABB7DDD934D}" uniqueName="240" name="Column240" queryTableFieldId="240" dataDxfId="536"/>
    <tableColumn id="241" xr3:uid="{DD93A292-D556-1440-9856-1B2A19CE4D39}" uniqueName="241" name="Column241" queryTableFieldId="241" dataDxfId="535"/>
    <tableColumn id="242" xr3:uid="{0F5EF3A0-2EDF-ED40-87BB-EC29D02E6024}" uniqueName="242" name="Column242" queryTableFieldId="242" dataDxfId="534"/>
    <tableColumn id="243" xr3:uid="{DB355601-4C3D-9943-8A54-6414E34DC8A1}" uniqueName="243" name="Column243" queryTableFieldId="243" dataDxfId="533"/>
    <tableColumn id="244" xr3:uid="{91381D9C-C1DE-AB42-8CF4-622C754DE9F0}" uniqueName="244" name="Column244" queryTableFieldId="244" dataDxfId="532"/>
    <tableColumn id="245" xr3:uid="{CD809ED2-F4FD-6C4F-BF7D-DEE563A2CE4C}" uniqueName="245" name="Column245" queryTableFieldId="245" dataDxfId="531"/>
    <tableColumn id="246" xr3:uid="{3AC6CD81-416D-464E-8B06-8FB49A42CF7F}" uniqueName="246" name="Column246" queryTableFieldId="246" dataDxfId="530"/>
    <tableColumn id="247" xr3:uid="{10716104-866C-8941-B51D-82B0D519A9C7}" uniqueName="247" name="Column247" queryTableFieldId="247" dataDxfId="529"/>
    <tableColumn id="248" xr3:uid="{2A7DEA96-BEFF-3546-9241-357BC841B66A}" uniqueName="248" name="Column248" queryTableFieldId="248" dataDxfId="528"/>
    <tableColumn id="249" xr3:uid="{C8815636-0046-7940-83C4-850EACACEC02}" uniqueName="249" name="Column249" queryTableFieldId="249" dataDxfId="527"/>
    <tableColumn id="250" xr3:uid="{3E978394-2BDC-264B-88AE-5F5016730594}" uniqueName="250" name="Column250" queryTableFieldId="250" dataDxfId="526"/>
    <tableColumn id="251" xr3:uid="{78556F8A-541A-6642-9888-A9E452C48A29}" uniqueName="251" name="Column251" queryTableFieldId="251" dataDxfId="525"/>
    <tableColumn id="252" xr3:uid="{C92A0AC8-A133-434B-8C33-11383ED49F24}" uniqueName="252" name="Column252" queryTableFieldId="252" dataDxfId="524"/>
    <tableColumn id="253" xr3:uid="{871D75EC-507E-8049-AFC8-87ACA8E3E9F6}" uniqueName="253" name="Column253" queryTableFieldId="253" dataDxfId="523"/>
    <tableColumn id="254" xr3:uid="{BAD6CBD6-0434-654C-A704-0EAF83925EFE}" uniqueName="254" name="Column254" queryTableFieldId="254" dataDxfId="522"/>
    <tableColumn id="255" xr3:uid="{84D2B5C3-480D-7C4E-97A7-101F19A9832D}" uniqueName="255" name="Column255" queryTableFieldId="255" dataDxfId="521"/>
    <tableColumn id="256" xr3:uid="{5A6A0701-E03E-B440-B5EF-F8C4C684988C}" uniqueName="256" name="Column256" queryTableFieldId="256" dataDxfId="520"/>
    <tableColumn id="257" xr3:uid="{0F4A89F5-BCE0-DF4A-97C3-C8D335D76966}" uniqueName="257" name="Column257" queryTableFieldId="257" dataDxfId="519"/>
    <tableColumn id="258" xr3:uid="{AD61DC3B-2BC9-094C-BD03-ED20FA7CC8D5}" uniqueName="258" name="Column258" queryTableFieldId="258" dataDxfId="518"/>
    <tableColumn id="259" xr3:uid="{A201EDB0-7FA3-B348-92F4-A93F77769710}" uniqueName="259" name="Column259" queryTableFieldId="259" dataDxfId="517"/>
    <tableColumn id="260" xr3:uid="{402C5A58-70D9-FA45-8A6C-865A0A2E3A25}" uniqueName="260" name="Column260" queryTableFieldId="260" dataDxfId="516"/>
    <tableColumn id="261" xr3:uid="{794443BF-7C95-6448-BC34-70D098276A09}" uniqueName="261" name="Column261" queryTableFieldId="261" dataDxfId="515"/>
    <tableColumn id="262" xr3:uid="{BF6E8498-02EC-C54E-9C5A-D3D44AC66E93}" uniqueName="262" name="Column262" queryTableFieldId="262" dataDxfId="514"/>
    <tableColumn id="263" xr3:uid="{1D5D95DC-9EC8-4B47-B4E1-9C8D120077EF}" uniqueName="263" name="Column263" queryTableFieldId="263" dataDxfId="513"/>
    <tableColumn id="264" xr3:uid="{B23F950F-A993-AF4A-8729-45B7BB2BBA81}" uniqueName="264" name="Column264" queryTableFieldId="264" dataDxfId="512"/>
    <tableColumn id="265" xr3:uid="{DFA2810A-8694-7E44-B8BE-FC06A4009B25}" uniqueName="265" name="Column265" queryTableFieldId="265" dataDxfId="511"/>
    <tableColumn id="266" xr3:uid="{1A084470-5ABB-B542-84E8-B383FBE496EF}" uniqueName="266" name="Column266" queryTableFieldId="266" dataDxfId="510"/>
    <tableColumn id="267" xr3:uid="{12C65308-3CC5-054B-846A-6A5946B11C50}" uniqueName="267" name="Column267" queryTableFieldId="267" dataDxfId="509"/>
    <tableColumn id="268" xr3:uid="{02FF2CDC-9F80-694A-AC31-0D8042C9310C}" uniqueName="268" name="Column268" queryTableFieldId="268" dataDxfId="508"/>
    <tableColumn id="269" xr3:uid="{DB1AE448-DA87-1E45-922E-765B571982E8}" uniqueName="269" name="Column269" queryTableFieldId="269" dataDxfId="507"/>
    <tableColumn id="270" xr3:uid="{536DC7AE-F0B3-8443-ADA1-E84E18C889F1}" uniqueName="270" name="Column270" queryTableFieldId="270" dataDxfId="506"/>
    <tableColumn id="271" xr3:uid="{B79C401E-6503-C646-86D6-8E5FA7BF3B4D}" uniqueName="271" name="Column271" queryTableFieldId="271" dataDxfId="505"/>
    <tableColumn id="272" xr3:uid="{D0747E8F-C134-764C-9C9E-D2387AFCF7B7}" uniqueName="272" name="Column272" queryTableFieldId="272" dataDxfId="504"/>
    <tableColumn id="273" xr3:uid="{CE64BDAE-8B0D-3B4C-83BE-F00F10FBC553}" uniqueName="273" name="Column273" queryTableFieldId="273" dataDxfId="503"/>
    <tableColumn id="274" xr3:uid="{06823AFD-91BB-B541-A039-4399FA3332DA}" uniqueName="274" name="Column274" queryTableFieldId="274" dataDxfId="502"/>
    <tableColumn id="275" xr3:uid="{0580FAA5-A321-5D4F-AF34-0CD9682BA41F}" uniqueName="275" name="Column275" queryTableFieldId="275" dataDxfId="501"/>
    <tableColumn id="276" xr3:uid="{2024AA7D-7E58-F246-A3BD-E705E10986FA}" uniqueName="276" name="Column276" queryTableFieldId="276" dataDxfId="500"/>
    <tableColumn id="277" xr3:uid="{4EB55F20-6079-DE4C-9CA7-106D2405C6F1}" uniqueName="277" name="Column277" queryTableFieldId="277" dataDxfId="499"/>
    <tableColumn id="278" xr3:uid="{2375E034-1D7A-7B48-A77A-C6A8C154907F}" uniqueName="278" name="Column278" queryTableFieldId="278" dataDxfId="498"/>
    <tableColumn id="279" xr3:uid="{1B96F920-16ED-F54C-8370-46087ABFC00D}" uniqueName="279" name="Column279" queryTableFieldId="279" dataDxfId="497"/>
    <tableColumn id="280" xr3:uid="{C75E22A9-CCD2-6646-94EF-A62DA51F4939}" uniqueName="280" name="Column280" queryTableFieldId="280" dataDxfId="496"/>
    <tableColumn id="281" xr3:uid="{8F5DFA10-2363-4E43-A2A7-2A2B4CB78F71}" uniqueName="281" name="Column281" queryTableFieldId="281" dataDxfId="495"/>
    <tableColumn id="282" xr3:uid="{9A4F6B88-5208-8846-92F3-1D0AB2FC6010}" uniqueName="282" name="Column282" queryTableFieldId="282" dataDxfId="494"/>
    <tableColumn id="283" xr3:uid="{BBC67D54-8A84-234B-A172-ED1F65563539}" uniqueName="283" name="Column283" queryTableFieldId="283" dataDxfId="493"/>
    <tableColumn id="284" xr3:uid="{5E6D1CC7-568E-3F45-998C-EEF0D89397A9}" uniqueName="284" name="Column284" queryTableFieldId="284" dataDxfId="492"/>
    <tableColumn id="285" xr3:uid="{88A5915B-72A4-0740-8F0E-3EAE40540F64}" uniqueName="285" name="Column285" queryTableFieldId="285" dataDxfId="491"/>
    <tableColumn id="286" xr3:uid="{C013372D-301B-9446-A72E-A801ACA582BD}" uniqueName="286" name="Column286" queryTableFieldId="286" dataDxfId="490"/>
    <tableColumn id="287" xr3:uid="{F7F1DDB6-4BE1-FC48-8AB6-4915BD2952DA}" uniqueName="287" name="Column287" queryTableFieldId="287" dataDxfId="489"/>
    <tableColumn id="288" xr3:uid="{0287849B-49C6-854E-BE44-BCF0B2A5D091}" uniqueName="288" name="Column288" queryTableFieldId="288" dataDxfId="488"/>
    <tableColumn id="289" xr3:uid="{0B96E0ED-109F-A542-AD50-6834EE6CABB6}" uniqueName="289" name="Column289" queryTableFieldId="289" dataDxfId="487"/>
    <tableColumn id="290" xr3:uid="{2745CA80-8E4D-6A45-8B54-76DA89BB97FF}" uniqueName="290" name="Column290" queryTableFieldId="290" dataDxfId="486"/>
    <tableColumn id="291" xr3:uid="{244DFA18-279D-C548-940D-578D5A7E48A1}" uniqueName="291" name="Column291" queryTableFieldId="291" dataDxfId="485"/>
    <tableColumn id="292" xr3:uid="{4348C951-0A0C-134E-A23A-4207A5FB645A}" uniqueName="292" name="Column292" queryTableFieldId="292" dataDxfId="484"/>
    <tableColumn id="293" xr3:uid="{576C3C3E-539B-A24A-8D31-158002224732}" uniqueName="293" name="Column293" queryTableFieldId="293" dataDxfId="483"/>
    <tableColumn id="294" xr3:uid="{0E2839B5-7AE1-484B-8F0D-CBC1BDF79C61}" uniqueName="294" name="Column294" queryTableFieldId="294" dataDxfId="482"/>
    <tableColumn id="295" xr3:uid="{156BC252-815C-3440-9337-F8868B5B5639}" uniqueName="295" name="Column295" queryTableFieldId="295" dataDxfId="481"/>
    <tableColumn id="296" xr3:uid="{92F7B471-7A7A-914B-8DB8-9BE91C3CF568}" uniqueName="296" name="Column296" queryTableFieldId="296" dataDxfId="480"/>
    <tableColumn id="297" xr3:uid="{9CE20DC4-233A-8B48-9228-1C499EBCCF0B}" uniqueName="297" name="Column297" queryTableFieldId="297" dataDxfId="479"/>
    <tableColumn id="298" xr3:uid="{C91DEC58-17E2-314A-BD79-A3AE6688DE65}" uniqueName="298" name="Column298" queryTableFieldId="298" dataDxfId="478"/>
    <tableColumn id="299" xr3:uid="{C37DA665-E34C-C541-BDDA-18435272159A}" uniqueName="299" name="Column299" queryTableFieldId="299" dataDxfId="477"/>
    <tableColumn id="300" xr3:uid="{C3FD83D8-A1BC-AD45-9A00-4231BA269B8D}" uniqueName="300" name="Column300" queryTableFieldId="300" dataDxfId="476"/>
    <tableColumn id="301" xr3:uid="{1D64716B-FA9E-4C48-B5F2-1A403E1D0A3E}" uniqueName="301" name="Column301" queryTableFieldId="301" dataDxfId="475"/>
    <tableColumn id="302" xr3:uid="{995FB1EA-B2DD-5448-BEC0-BCE0B42BDB16}" uniqueName="302" name="Column302" queryTableFieldId="302" dataDxfId="474"/>
    <tableColumn id="303" xr3:uid="{5C533EB2-0243-F545-BF28-E88A387B7862}" uniqueName="303" name="Column303" queryTableFieldId="303" dataDxfId="473"/>
    <tableColumn id="304" xr3:uid="{E5C463B1-D21F-BF47-83E5-DA96C5C925EF}" uniqueName="304" name="Column304" queryTableFieldId="304" dataDxfId="472"/>
    <tableColumn id="305" xr3:uid="{F64DD27B-CF59-7845-BFC0-563000A0F860}" uniqueName="305" name="Column305" queryTableFieldId="305" dataDxfId="471"/>
    <tableColumn id="306" xr3:uid="{03F88D41-1731-654B-AED8-0AE7D06DF0D3}" uniqueName="306" name="Column306" queryTableFieldId="306" dataDxfId="470"/>
    <tableColumn id="307" xr3:uid="{BB82FD3A-44F7-6E45-95FB-62A429FDD2FC}" uniqueName="307" name="Column307" queryTableFieldId="307" dataDxfId="469"/>
    <tableColumn id="308" xr3:uid="{37C6F464-3DC1-F844-8026-0C8EF95313D3}" uniqueName="308" name="Column308" queryTableFieldId="308" dataDxfId="468"/>
    <tableColumn id="309" xr3:uid="{104AA400-0471-694D-ABA4-87F02B89611A}" uniqueName="309" name="Column309" queryTableFieldId="309" dataDxfId="467"/>
    <tableColumn id="310" xr3:uid="{B3312260-4E1D-184B-ACD8-087F984696E7}" uniqueName="310" name="Column310" queryTableFieldId="310" dataDxfId="466"/>
    <tableColumn id="311" xr3:uid="{C0366EED-D270-CB4B-847D-9505BBD1EC65}" uniqueName="311" name="Column311" queryTableFieldId="311" dataDxfId="465"/>
    <tableColumn id="312" xr3:uid="{9C6D6297-A5BC-204B-81A2-55690575C299}" uniqueName="312" name="Column312" queryTableFieldId="312" dataDxfId="464"/>
    <tableColumn id="313" xr3:uid="{BFE32D2C-8A36-B149-9395-1130E667A8FF}" uniqueName="313" name="Column313" queryTableFieldId="313" dataDxfId="463"/>
    <tableColumn id="314" xr3:uid="{4C3239AD-44B2-514A-837C-566FE4EF1BC6}" uniqueName="314" name="Column314" queryTableFieldId="314" dataDxfId="462"/>
    <tableColumn id="315" xr3:uid="{2CD49298-04B7-404B-A1A2-8BDB9019EA4B}" uniqueName="315" name="Column315" queryTableFieldId="315" dataDxfId="461"/>
    <tableColumn id="316" xr3:uid="{5160B852-F0B0-F044-81EB-25328B536BE0}" uniqueName="316" name="Column316" queryTableFieldId="316" dataDxfId="460"/>
    <tableColumn id="317" xr3:uid="{69334FD3-3365-C142-AF8A-5641162D136D}" uniqueName="317" name="Column317" queryTableFieldId="317" dataDxfId="459"/>
    <tableColumn id="318" xr3:uid="{DCAB0404-45A1-544B-9926-139DF2FCCC5D}" uniqueName="318" name="Column318" queryTableFieldId="318" dataDxfId="458"/>
    <tableColumn id="319" xr3:uid="{F04C98DA-A0DD-6E42-BBD3-78241EE7EB0E}" uniqueName="319" name="Column319" queryTableFieldId="319" dataDxfId="457"/>
    <tableColumn id="320" xr3:uid="{6BDC4FCA-1FD7-D945-B047-5579DE80B4BB}" uniqueName="320" name="Column320" queryTableFieldId="320" dataDxfId="456"/>
    <tableColumn id="321" xr3:uid="{1B89E45A-2C7D-0948-9D6B-09340915F651}" uniqueName="321" name="Column321" queryTableFieldId="321" dataDxfId="455"/>
    <tableColumn id="322" xr3:uid="{2C92DF0B-C41C-1B4B-AEF0-DED5A241994F}" uniqueName="322" name="Column322" queryTableFieldId="322" dataDxfId="454"/>
    <tableColumn id="323" xr3:uid="{F2752FCC-811E-1246-983C-76161AA0B3C1}" uniqueName="323" name="Column323" queryTableFieldId="323" dataDxfId="453"/>
    <tableColumn id="324" xr3:uid="{BEDD4094-BC9D-FA44-B540-519ADBE81350}" uniqueName="324" name="Column324" queryTableFieldId="324" dataDxfId="452"/>
    <tableColumn id="325" xr3:uid="{5F313C40-98BA-B04A-9256-A4B6CEF4529E}" uniqueName="325" name="Column325" queryTableFieldId="325" dataDxfId="451"/>
    <tableColumn id="326" xr3:uid="{4C8F050E-346C-9E44-BAD5-DCBC85643346}" uniqueName="326" name="Column326" queryTableFieldId="326" dataDxfId="450"/>
    <tableColumn id="327" xr3:uid="{15FFFE9D-5330-D444-9889-C2FD9450C243}" uniqueName="327" name="Column327" queryTableFieldId="327" dataDxfId="449"/>
    <tableColumn id="328" xr3:uid="{813654DA-7516-394B-A187-5B17F9B5AFD0}" uniqueName="328" name="Column328" queryTableFieldId="328" dataDxfId="448"/>
    <tableColumn id="329" xr3:uid="{E2B52B49-D5D6-DC40-8F1E-6227032B3972}" uniqueName="329" name="Column329" queryTableFieldId="329" dataDxfId="447"/>
    <tableColumn id="330" xr3:uid="{A333A8B0-E9E6-E047-94D2-6F5638BB061F}" uniqueName="330" name="Column330" queryTableFieldId="330" dataDxfId="446"/>
    <tableColumn id="331" xr3:uid="{76EF3E08-362C-1E4A-BD45-BEBBD619C3EA}" uniqueName="331" name="Column331" queryTableFieldId="331" dataDxfId="445"/>
    <tableColumn id="332" xr3:uid="{C8B56517-B13F-3441-B948-9969453B570F}" uniqueName="332" name="Column332" queryTableFieldId="332" dataDxfId="444"/>
    <tableColumn id="333" xr3:uid="{BF70DA6E-ACEE-B740-893D-25F367F7ED02}" uniqueName="333" name="Column333" queryTableFieldId="333" dataDxfId="443"/>
    <tableColumn id="334" xr3:uid="{A02558AB-9133-DC46-885F-F80D4E712F44}" uniqueName="334" name="Column334" queryTableFieldId="334" dataDxfId="442"/>
    <tableColumn id="335" xr3:uid="{BBDA205D-8367-A544-8FC9-C5935563DA1A}" uniqueName="335" name="Column335" queryTableFieldId="335" dataDxfId="441"/>
    <tableColumn id="336" xr3:uid="{36C91120-935B-DF44-922F-4858AEBDD947}" uniqueName="336" name="Column336" queryTableFieldId="336" dataDxfId="440"/>
    <tableColumn id="337" xr3:uid="{F3193EF2-0425-B14B-8DDE-9F429279EBCC}" uniqueName="337" name="Column337" queryTableFieldId="337" dataDxfId="439"/>
    <tableColumn id="338" xr3:uid="{639E639B-50C2-AE44-BA87-9B2544EF42E6}" uniqueName="338" name="Column338" queryTableFieldId="338" dataDxfId="438"/>
    <tableColumn id="339" xr3:uid="{FC012315-AF6C-FB4B-9820-4D0815570BEC}" uniqueName="339" name="Column339" queryTableFieldId="339" dataDxfId="437"/>
    <tableColumn id="340" xr3:uid="{3A9D7867-6F0E-B842-B82B-5B2B424FD93B}" uniqueName="340" name="Column340" queryTableFieldId="340" dataDxfId="436"/>
    <tableColumn id="341" xr3:uid="{92257F00-300C-AB4A-B2D8-4D7BD8D5377B}" uniqueName="341" name="Column341" queryTableFieldId="341" dataDxfId="435"/>
    <tableColumn id="342" xr3:uid="{CB1EC9A8-2C92-2F4C-A1AF-CAAD8D06D12C}" uniqueName="342" name="Column342" queryTableFieldId="342" dataDxfId="434"/>
    <tableColumn id="343" xr3:uid="{4C7A1B59-7737-4441-BD6A-4184E7F03BA6}" uniqueName="343" name="Column343" queryTableFieldId="343" dataDxfId="433"/>
    <tableColumn id="344" xr3:uid="{08B75DB2-44B6-D143-9EFA-B6EC534F0A18}" uniqueName="344" name="Column344" queryTableFieldId="344" dataDxfId="432"/>
    <tableColumn id="345" xr3:uid="{D39C442C-DBD6-5F49-A8C7-87779DC2520F}" uniqueName="345" name="Column345" queryTableFieldId="345" dataDxfId="431"/>
    <tableColumn id="346" xr3:uid="{7A80A47D-D2D0-2649-8D59-099BF8A2CD3E}" uniqueName="346" name="Column346" queryTableFieldId="346" dataDxfId="430"/>
    <tableColumn id="347" xr3:uid="{A5BF2EA1-FEB8-D44F-8A06-ADCB54F15058}" uniqueName="347" name="Column347" queryTableFieldId="347" dataDxfId="429"/>
    <tableColumn id="348" xr3:uid="{76EFB301-CA68-9F48-B531-7F3E6848DBAA}" uniqueName="348" name="Column348" queryTableFieldId="348" dataDxfId="428"/>
    <tableColumn id="349" xr3:uid="{949E58AA-76BF-3A47-8408-7EC6AA60FFC8}" uniqueName="349" name="Column349" queryTableFieldId="349" dataDxfId="427"/>
    <tableColumn id="350" xr3:uid="{55EDFAD8-30DB-0746-82DC-9F9F6CCF9A7C}" uniqueName="350" name="Column350" queryTableFieldId="350" dataDxfId="426"/>
    <tableColumn id="351" xr3:uid="{1A9193D3-00E6-684B-B455-DDD8EC5EFB05}" uniqueName="351" name="Column351" queryTableFieldId="351" dataDxfId="425"/>
    <tableColumn id="352" xr3:uid="{3716FF16-5765-894C-A34B-FB417C89DAF8}" uniqueName="352" name="Column352" queryTableFieldId="352" dataDxfId="424"/>
    <tableColumn id="353" xr3:uid="{9F4C3AEA-4CF3-FA40-9D2F-29ADA2D510CC}" uniqueName="353" name="Column353" queryTableFieldId="353" dataDxfId="423"/>
    <tableColumn id="354" xr3:uid="{D65EE270-47B7-7243-AEF9-0A781BC0AC81}" uniqueName="354" name="Column354" queryTableFieldId="354" dataDxfId="422"/>
    <tableColumn id="355" xr3:uid="{C2E7EF98-2E48-FE4A-8495-69E8BCEDA4EA}" uniqueName="355" name="Column355" queryTableFieldId="355" dataDxfId="421"/>
    <tableColumn id="356" xr3:uid="{B75DF357-E894-C64F-B0F9-20081E03A0B2}" uniqueName="356" name="Column356" queryTableFieldId="356" dataDxfId="420"/>
    <tableColumn id="357" xr3:uid="{4E5B9E7A-4276-754D-A296-AFC60BAFE5E3}" uniqueName="357" name="Column357" queryTableFieldId="357" dataDxfId="419"/>
    <tableColumn id="358" xr3:uid="{6DD3A614-B08A-9845-9CF3-FF4B65A74C00}" uniqueName="358" name="Column358" queryTableFieldId="358" dataDxfId="418"/>
    <tableColumn id="359" xr3:uid="{67AC649D-B9BA-3D48-A679-7E9BD3126E13}" uniqueName="359" name="Column359" queryTableFieldId="359" dataDxfId="417"/>
    <tableColumn id="360" xr3:uid="{89D3FE4C-1440-014A-8920-B195735A7DC0}" uniqueName="360" name="Column360" queryTableFieldId="360" dataDxfId="416"/>
    <tableColumn id="361" xr3:uid="{0E08B842-EFE4-BD44-BAF7-1F9A42138F34}" uniqueName="361" name="Column361" queryTableFieldId="361" dataDxfId="415"/>
    <tableColumn id="362" xr3:uid="{92ABBFDA-7075-3C4B-AAE3-A429D75439BF}" uniqueName="362" name="Column362" queryTableFieldId="362" dataDxfId="414"/>
    <tableColumn id="363" xr3:uid="{85283550-C5AB-C34B-BADC-033B491147DF}" uniqueName="363" name="Column363" queryTableFieldId="363" dataDxfId="413"/>
    <tableColumn id="364" xr3:uid="{FA45C929-6900-9648-9397-752EA1B98ADB}" uniqueName="364" name="Column364" queryTableFieldId="364" dataDxfId="412"/>
    <tableColumn id="365" xr3:uid="{4AE4CC26-D8CF-F644-924C-3DA53CEFC495}" uniqueName="365" name="Column365" queryTableFieldId="365" dataDxfId="411"/>
    <tableColumn id="366" xr3:uid="{7AA890F4-F276-3E49-9907-BAA9551136DF}" uniqueName="366" name="Column366" queryTableFieldId="366" dataDxfId="410"/>
    <tableColumn id="367" xr3:uid="{B0876B01-044F-8F45-9C2F-0340709AADE6}" uniqueName="367" name="Column367" queryTableFieldId="367" dataDxfId="409"/>
    <tableColumn id="368" xr3:uid="{851867B9-21F1-544F-87AB-949BC67421CD}" uniqueName="368" name="Column368" queryTableFieldId="368" dataDxfId="408"/>
    <tableColumn id="369" xr3:uid="{EEA449FA-48BE-B64D-AB9D-559B17A76B08}" uniqueName="369" name="Column369" queryTableFieldId="369" dataDxfId="407"/>
    <tableColumn id="370" xr3:uid="{02E6BAD2-4C83-B043-8F70-152CDB0574C7}" uniqueName="370" name="Column370" queryTableFieldId="370" dataDxfId="406"/>
    <tableColumn id="371" xr3:uid="{4209B3E1-D23A-4245-825B-99712DE6BB66}" uniqueName="371" name="Column371" queryTableFieldId="371" dataDxfId="405"/>
    <tableColumn id="372" xr3:uid="{913394EF-9F63-794F-B27A-D347DEFC817F}" uniqueName="372" name="Column372" queryTableFieldId="372" dataDxfId="404"/>
    <tableColumn id="373" xr3:uid="{AB4AAD39-A9DB-F34D-BA44-4065F6BA3DCE}" uniqueName="373" name="Column373" queryTableFieldId="373" dataDxfId="403"/>
    <tableColumn id="374" xr3:uid="{A5DA12FB-F402-284B-A969-9F7B429D56F5}" uniqueName="374" name="Column374" queryTableFieldId="374" dataDxfId="402"/>
    <tableColumn id="375" xr3:uid="{5C213181-C9DB-A840-97A9-2006CD9410D1}" uniqueName="375" name="Column375" queryTableFieldId="375" dataDxfId="401"/>
    <tableColumn id="376" xr3:uid="{65B7AA4E-A2EC-3B42-93D4-91C40A55A853}" uniqueName="376" name="Column376" queryTableFieldId="376" dataDxfId="400"/>
    <tableColumn id="377" xr3:uid="{688C816A-17CC-144F-87AC-D87784BDCEEA}" uniqueName="377" name="Column377" queryTableFieldId="377" dataDxfId="399"/>
    <tableColumn id="378" xr3:uid="{15021449-9D3A-7F4F-9170-97F4F3EBD793}" uniqueName="378" name="Column378" queryTableFieldId="378" dataDxfId="398"/>
    <tableColumn id="379" xr3:uid="{4190F7B4-37A5-DE4C-A15F-660EF65C24EE}" uniqueName="379" name="Column379" queryTableFieldId="379" dataDxfId="397"/>
    <tableColumn id="380" xr3:uid="{F478DFAB-A8C5-D341-AD8D-8F9249AD39EE}" uniqueName="380" name="Column380" queryTableFieldId="380" dataDxfId="396"/>
    <tableColumn id="381" xr3:uid="{CF3312EC-F75C-684B-B905-DA10E2250A96}" uniqueName="381" name="Column381" queryTableFieldId="381" dataDxfId="395"/>
    <tableColumn id="382" xr3:uid="{46975D69-37B8-454E-B8BF-E4F1E029E1D2}" uniqueName="382" name="Column382" queryTableFieldId="382" dataDxfId="394"/>
    <tableColumn id="383" xr3:uid="{5DAD92EC-1123-FF4B-8010-DD3E27E569EA}" uniqueName="383" name="Column383" queryTableFieldId="383" dataDxfId="393"/>
    <tableColumn id="384" xr3:uid="{7FE6772D-8D04-6444-8E20-9B77DE63BA7D}" uniqueName="384" name="Column384" queryTableFieldId="384" dataDxfId="392"/>
    <tableColumn id="385" xr3:uid="{8005D7D2-5298-E94E-B8F8-B952DFEB055D}" uniqueName="385" name="Column385" queryTableFieldId="385" dataDxfId="391"/>
    <tableColumn id="386" xr3:uid="{8C43C25F-9875-0E4B-AD11-0FC0EFF87AB7}" uniqueName="386" name="Column386" queryTableFieldId="386" dataDxfId="390"/>
    <tableColumn id="387" xr3:uid="{3583B7D9-D223-3D4C-BA4A-47E2CCD04153}" uniqueName="387" name="Column387" queryTableFieldId="387" dataDxfId="389"/>
    <tableColumn id="388" xr3:uid="{46E0A9B2-63CC-C041-AEE8-A33BCBA97901}" uniqueName="388" name="Column388" queryTableFieldId="388" dataDxfId="388"/>
    <tableColumn id="389" xr3:uid="{5F1D92B6-C607-0448-912C-0269ED1ADE7B}" uniqueName="389" name="Column389" queryTableFieldId="389" dataDxfId="387"/>
    <tableColumn id="390" xr3:uid="{A3AF4EC9-30EB-7748-8B17-0B9B718611F0}" uniqueName="390" name="Column390" queryTableFieldId="390" dataDxfId="386"/>
    <tableColumn id="391" xr3:uid="{54EC68EE-B5A7-334E-BB7E-19F26CDBE68F}" uniqueName="391" name="Column391" queryTableFieldId="391" dataDxfId="385"/>
    <tableColumn id="392" xr3:uid="{5F6B2D21-3943-154D-A5B6-372C89493DAA}" uniqueName="392" name="Column392" queryTableFieldId="392" dataDxfId="384"/>
    <tableColumn id="393" xr3:uid="{B9DB8AF8-45A5-9E43-9058-0BBB7BE90E88}" uniqueName="393" name="Column393" queryTableFieldId="393" dataDxfId="383"/>
    <tableColumn id="394" xr3:uid="{DCF27E9F-FFE3-9F48-A4FF-7BDBD9BB0B74}" uniqueName="394" name="Column394" queryTableFieldId="394" dataDxfId="382"/>
    <tableColumn id="395" xr3:uid="{F1D7851F-2534-E54B-8C48-A4497701AC74}" uniqueName="395" name="Column395" queryTableFieldId="395" dataDxfId="381"/>
    <tableColumn id="396" xr3:uid="{36110193-8CCC-2E43-9870-A35015477DFC}" uniqueName="396" name="Column396" queryTableFieldId="396" dataDxfId="380"/>
    <tableColumn id="397" xr3:uid="{4E68F880-04D1-1747-9FF8-358E130941A5}" uniqueName="397" name="Column397" queryTableFieldId="397" dataDxfId="379"/>
    <tableColumn id="398" xr3:uid="{E7758201-A2A7-BD48-B28B-795524E1361C}" uniqueName="398" name="Column398" queryTableFieldId="398" dataDxfId="378"/>
    <tableColumn id="399" xr3:uid="{58203048-811E-4942-94BC-7AAF085BCA36}" uniqueName="399" name="Column399" queryTableFieldId="399" dataDxfId="377"/>
    <tableColumn id="400" xr3:uid="{32AC325C-AE81-C04C-B1D4-AAB7192C6796}" uniqueName="400" name="Column400" queryTableFieldId="400" dataDxfId="376"/>
    <tableColumn id="401" xr3:uid="{03C4E97D-4B49-3F4B-98F4-E1894B79A5D0}" uniqueName="401" name="Column401" queryTableFieldId="401" dataDxfId="375"/>
    <tableColumn id="402" xr3:uid="{B99B8946-4386-5E4A-93FF-808BC624F165}" uniqueName="402" name="Column402" queryTableFieldId="402" dataDxfId="374"/>
    <tableColumn id="403" xr3:uid="{41274D52-1721-184B-8EB0-A214D8AFA998}" uniqueName="403" name="Column403" queryTableFieldId="403" dataDxfId="373"/>
    <tableColumn id="404" xr3:uid="{3F07FBCD-AF1B-F04E-98F9-BEB3B0EF21A3}" uniqueName="404" name="Column404" queryTableFieldId="404" dataDxfId="372"/>
    <tableColumn id="405" xr3:uid="{A71508FF-E478-BD4D-A96C-5754C88C7163}" uniqueName="405" name="Column405" queryTableFieldId="405" dataDxfId="371"/>
    <tableColumn id="406" xr3:uid="{2CB74CD6-CE45-3543-843B-FDCC3FDBA00C}" uniqueName="406" name="Column406" queryTableFieldId="406" dataDxfId="370"/>
    <tableColumn id="407" xr3:uid="{D9C669FA-735C-9C41-9018-6B33A475054D}" uniqueName="407" name="Column407" queryTableFieldId="407" dataDxfId="369"/>
    <tableColumn id="408" xr3:uid="{C87C555C-2A27-584C-A38E-CD6537DFC5EA}" uniqueName="408" name="Column408" queryTableFieldId="408" dataDxfId="368"/>
    <tableColumn id="409" xr3:uid="{30D26CA3-6645-2F45-B515-4D4F94540A46}" uniqueName="409" name="Column409" queryTableFieldId="409" dataDxfId="367"/>
    <tableColumn id="410" xr3:uid="{8770B2C5-26A4-7446-A706-E0480F5A16CB}" uniqueName="410" name="Column410" queryTableFieldId="410" dataDxfId="366"/>
    <tableColumn id="411" xr3:uid="{A5248636-790D-9144-BFBF-E28CC265ED6A}" uniqueName="411" name="Column411" queryTableFieldId="411" dataDxfId="365"/>
    <tableColumn id="412" xr3:uid="{EF53A073-3AB4-524B-8F94-4A7521E6972E}" uniqueName="412" name="Column412" queryTableFieldId="412" dataDxfId="364"/>
    <tableColumn id="413" xr3:uid="{E6FC587D-D023-B24B-A393-322047EA762A}" uniqueName="413" name="Column413" queryTableFieldId="413" dataDxfId="363"/>
    <tableColumn id="414" xr3:uid="{66A098D4-C4DD-2C46-983F-558293CF6316}" uniqueName="414" name="Column414" queryTableFieldId="414" dataDxfId="362"/>
    <tableColumn id="415" xr3:uid="{063FB87F-C978-2049-97FB-CE3535B268F4}" uniqueName="415" name="Column415" queryTableFieldId="415" dataDxfId="361"/>
    <tableColumn id="416" xr3:uid="{8057EBEF-95FD-9246-A13C-948BE7E62CC9}" uniqueName="416" name="Column416" queryTableFieldId="416" dataDxfId="360"/>
    <tableColumn id="417" xr3:uid="{30787BF6-8C00-B049-9F12-F21A984B1A4D}" uniqueName="417" name="Column417" queryTableFieldId="417" dataDxfId="359"/>
    <tableColumn id="418" xr3:uid="{8941D6CA-5634-AE48-B6C6-9C805C41BD0F}" uniqueName="418" name="Column418" queryTableFieldId="418" dataDxfId="358"/>
    <tableColumn id="419" xr3:uid="{DD412F58-7AA4-E94B-A423-A76562D59357}" uniqueName="419" name="Column419" queryTableFieldId="419" dataDxfId="357"/>
    <tableColumn id="420" xr3:uid="{9D0EE557-8A9B-2848-A196-E44B9C12604C}" uniqueName="420" name="Column420" queryTableFieldId="420" dataDxfId="356"/>
    <tableColumn id="421" xr3:uid="{37C5B45F-9DC4-094B-907B-A0F57041D2FD}" uniqueName="421" name="Column421" queryTableFieldId="421" dataDxfId="355"/>
    <tableColumn id="422" xr3:uid="{B683570B-E2CE-BD42-AF67-61FF2943012B}" uniqueName="422" name="Column422" queryTableFieldId="422" dataDxfId="354"/>
    <tableColumn id="423" xr3:uid="{2919A9F3-E6FA-724E-9823-0AC0EF0F412C}" uniqueName="423" name="Column423" queryTableFieldId="423" dataDxfId="353"/>
    <tableColumn id="424" xr3:uid="{B0349ADB-16A7-E74A-9005-90E53C7D0612}" uniqueName="424" name="Column424" queryTableFieldId="424" dataDxfId="352"/>
    <tableColumn id="425" xr3:uid="{E4B8D877-BD56-3A4C-B856-4F20A67443C8}" uniqueName="425" name="Column425" queryTableFieldId="425" dataDxfId="351"/>
    <tableColumn id="426" xr3:uid="{8C58194D-C8A7-4A40-93E7-0FB2F2D0F204}" uniqueName="426" name="Column426" queryTableFieldId="426" dataDxfId="350"/>
    <tableColumn id="427" xr3:uid="{CBD97D83-8D6C-D14E-BB90-D82BF18295FF}" uniqueName="427" name="Column427" queryTableFieldId="427" dataDxfId="349"/>
    <tableColumn id="428" xr3:uid="{5B2E261F-A88E-614B-84F9-7510A1F95D1C}" uniqueName="428" name="Column428" queryTableFieldId="428" dataDxfId="348"/>
    <tableColumn id="429" xr3:uid="{FCC1F77A-F33D-2544-BE75-678F398C47F1}" uniqueName="429" name="Column429" queryTableFieldId="429" dataDxfId="347"/>
    <tableColumn id="430" xr3:uid="{681055DE-6BB7-6A4A-BCDB-F26B9C5246D7}" uniqueName="430" name="Column430" queryTableFieldId="430" dataDxfId="346"/>
    <tableColumn id="431" xr3:uid="{B85B2794-AD71-E141-A7F4-10B63C7BD79C}" uniqueName="431" name="Column431" queryTableFieldId="431" dataDxfId="345"/>
    <tableColumn id="432" xr3:uid="{BC63E31A-CA30-F54E-B9E8-168BDC94214C}" uniqueName="432" name="Column432" queryTableFieldId="432" dataDxfId="344"/>
    <tableColumn id="433" xr3:uid="{192ACA6E-3701-FB46-BF28-193DED58001A}" uniqueName="433" name="Column433" queryTableFieldId="433" dataDxfId="343"/>
    <tableColumn id="434" xr3:uid="{A4104AAC-BF92-7544-8C76-05D45E686273}" uniqueName="434" name="Column434" queryTableFieldId="434" dataDxfId="342"/>
    <tableColumn id="435" xr3:uid="{E815B9A2-9A81-5846-ABD1-7DC3DB13E8E6}" uniqueName="435" name="Column435" queryTableFieldId="435" dataDxfId="341"/>
    <tableColumn id="436" xr3:uid="{EEE8A83A-35CC-ED4E-B5A4-B5DEEF3FE890}" uniqueName="436" name="Column436" queryTableFieldId="436" dataDxfId="340"/>
    <tableColumn id="437" xr3:uid="{8DE5EC08-B5A9-DD4F-8E7A-C8C021A7D344}" uniqueName="437" name="Column437" queryTableFieldId="437" dataDxfId="339"/>
    <tableColumn id="438" xr3:uid="{2E9EF1B4-7ACA-614C-A6A1-EF47B3E6CC32}" uniqueName="438" name="Column438" queryTableFieldId="438" dataDxfId="338"/>
    <tableColumn id="439" xr3:uid="{D25A3580-0744-4446-ABC5-187C83352D23}" uniqueName="439" name="Column439" queryTableFieldId="439" dataDxfId="337"/>
    <tableColumn id="440" xr3:uid="{2780D6A0-E6D2-3642-A36D-2551FF3DFDC6}" uniqueName="440" name="Column440" queryTableFieldId="440" dataDxfId="336"/>
    <tableColumn id="441" xr3:uid="{0DA4990B-127A-9D49-B5DF-CB3D9153396B}" uniqueName="441" name="Column441" queryTableFieldId="441" dataDxfId="335"/>
    <tableColumn id="442" xr3:uid="{A0095981-E799-FE4C-A13E-19B73959D32B}" uniqueName="442" name="Column442" queryTableFieldId="442" dataDxfId="334"/>
    <tableColumn id="443" xr3:uid="{4B138C59-5A8A-A94A-BA1B-CB8449CB647C}" uniqueName="443" name="Column443" queryTableFieldId="443" dataDxfId="333"/>
    <tableColumn id="444" xr3:uid="{0718733F-DFA7-2043-9A21-C8A8CE45929E}" uniqueName="444" name="Column444" queryTableFieldId="444" dataDxfId="332"/>
    <tableColumn id="445" xr3:uid="{7A787934-F0DB-D441-8466-81DE8636B519}" uniqueName="445" name="Column445" queryTableFieldId="445" dataDxfId="331"/>
    <tableColumn id="446" xr3:uid="{85754965-6A5E-AE44-914E-C9B49CAED4E1}" uniqueName="446" name="Column446" queryTableFieldId="446" dataDxfId="330"/>
    <tableColumn id="447" xr3:uid="{009399DD-8484-664E-8E7A-087882FB6B63}" uniqueName="447" name="Column447" queryTableFieldId="447" dataDxfId="329"/>
    <tableColumn id="448" xr3:uid="{B58DB240-CEEC-EB45-AE5C-6E3D3D758F0B}" uniqueName="448" name="Column448" queryTableFieldId="448" dataDxfId="328"/>
    <tableColumn id="449" xr3:uid="{C37C586F-4210-E340-A535-1C1F12D2AB67}" uniqueName="449" name="Column449" queryTableFieldId="449" dataDxfId="327"/>
    <tableColumn id="450" xr3:uid="{0113EB42-1411-D44A-92A1-37FA673416A3}" uniqueName="450" name="Column450" queryTableFieldId="450" dataDxfId="326"/>
    <tableColumn id="451" xr3:uid="{4BB92D32-8CF6-9D40-A48D-A829037FDF19}" uniqueName="451" name="Column451" queryTableFieldId="451" dataDxfId="325"/>
    <tableColumn id="452" xr3:uid="{97057502-0FA0-E540-9C84-00F064C1B1E2}" uniqueName="452" name="Column452" queryTableFieldId="452" dataDxfId="324"/>
    <tableColumn id="453" xr3:uid="{EA07BC72-C7B8-D547-B432-8FEA07A5E54C}" uniqueName="453" name="Column453" queryTableFieldId="453" dataDxfId="323"/>
    <tableColumn id="454" xr3:uid="{B28B22B3-2EAB-ED44-8C5D-3F185799B1BB}" uniqueName="454" name="Column454" queryTableFieldId="454" dataDxfId="322"/>
    <tableColumn id="455" xr3:uid="{9274E96B-65CE-774C-854C-A9756DA0F5E4}" uniqueName="455" name="Column455" queryTableFieldId="455" dataDxfId="321"/>
    <tableColumn id="456" xr3:uid="{AC816C36-923C-5B47-9832-4919432A2CF1}" uniqueName="456" name="Column456" queryTableFieldId="456" dataDxfId="320"/>
    <tableColumn id="457" xr3:uid="{124C67F1-8FCE-6744-BDF3-631CB80CAEE8}" uniqueName="457" name="Column457" queryTableFieldId="457" dataDxfId="319"/>
    <tableColumn id="458" xr3:uid="{6F3F7DBF-2DBC-194A-A698-3FBB57FE4C18}" uniqueName="458" name="Column458" queryTableFieldId="458" dataDxfId="318"/>
    <tableColumn id="459" xr3:uid="{7ADA32F3-78DC-B34E-9015-3D4433CA9336}" uniqueName="459" name="Column459" queryTableFieldId="459" dataDxfId="317"/>
    <tableColumn id="460" xr3:uid="{F522D979-FC9F-6F48-9874-C93F293EA8F5}" uniqueName="460" name="Column460" queryTableFieldId="460" dataDxfId="316"/>
    <tableColumn id="461" xr3:uid="{F98D4822-A7CE-274D-827C-CCB5989326C7}" uniqueName="461" name="Column461" queryTableFieldId="461" dataDxfId="315"/>
    <tableColumn id="462" xr3:uid="{56376363-8ADA-4947-BB13-AFF579130CC9}" uniqueName="462" name="Column462" queryTableFieldId="462" dataDxfId="314"/>
    <tableColumn id="463" xr3:uid="{CB45D58D-C5C0-7749-B540-261CDCE751B4}" uniqueName="463" name="Column463" queryTableFieldId="463" dataDxfId="313"/>
    <tableColumn id="464" xr3:uid="{F2AA43C6-0D04-2D40-98A0-E27B95F6CD89}" uniqueName="464" name="Column464" queryTableFieldId="464" dataDxfId="312"/>
    <tableColumn id="465" xr3:uid="{56A16CEA-B2D8-164A-BDD6-40D3068B398D}" uniqueName="465" name="Column465" queryTableFieldId="465" dataDxfId="311"/>
    <tableColumn id="466" xr3:uid="{8DB7F35B-D09B-8543-AAE5-7AF08347E030}" uniqueName="466" name="Column466" queryTableFieldId="466" dataDxfId="310"/>
    <tableColumn id="467" xr3:uid="{7275A0EA-EE21-8F42-9E92-82A255E7928C}" uniqueName="467" name="Column467" queryTableFieldId="467" dataDxfId="309"/>
    <tableColumn id="468" xr3:uid="{FCFB2695-61E2-5246-9F74-BB1BA6509C36}" uniqueName="468" name="Column468" queryTableFieldId="468" dataDxfId="308"/>
    <tableColumn id="469" xr3:uid="{08384FC0-61D1-B946-8104-902525EDE08D}" uniqueName="469" name="Column469" queryTableFieldId="469" dataDxfId="307"/>
    <tableColumn id="470" xr3:uid="{131DA36B-D284-7A4C-B66F-A2A2D738AC89}" uniqueName="470" name="Column470" queryTableFieldId="470" dataDxfId="306"/>
    <tableColumn id="471" xr3:uid="{120C8A6F-5E09-F047-94C6-C0F730999356}" uniqueName="471" name="Column471" queryTableFieldId="471" dataDxfId="305"/>
    <tableColumn id="472" xr3:uid="{173A446E-C1FC-CD4D-9B67-8305947D482B}" uniqueName="472" name="Column472" queryTableFieldId="472" dataDxfId="304"/>
    <tableColumn id="473" xr3:uid="{4D0F29F4-9D7A-4B4C-86E5-08D47085232B}" uniqueName="473" name="Column473" queryTableFieldId="473" dataDxfId="303"/>
    <tableColumn id="474" xr3:uid="{E7660215-DF6E-FD4D-9877-B77D2B6081BE}" uniqueName="474" name="Column474" queryTableFieldId="474" dataDxfId="302"/>
    <tableColumn id="475" xr3:uid="{FD9C2029-2FDE-5E4E-B00D-107C244F23F4}" uniqueName="475" name="Column475" queryTableFieldId="475" dataDxfId="301"/>
    <tableColumn id="476" xr3:uid="{0396BE21-C7FD-7E4F-BF8E-8A58118C2B51}" uniqueName="476" name="Column476" queryTableFieldId="476" dataDxfId="300"/>
    <tableColumn id="477" xr3:uid="{0530B48C-1DB5-7443-9BB6-8B083474CE6A}" uniqueName="477" name="Column477" queryTableFieldId="477" dataDxfId="299"/>
    <tableColumn id="478" xr3:uid="{FB827573-BAD9-254D-A081-0033325F3D82}" uniqueName="478" name="Column478" queryTableFieldId="478" dataDxfId="298"/>
    <tableColumn id="479" xr3:uid="{694B1AED-7A31-A546-85DD-90942944D611}" uniqueName="479" name="Column479" queryTableFieldId="479" dataDxfId="297"/>
    <tableColumn id="480" xr3:uid="{7023F557-75AD-CC4C-9D5A-8E3592A9806C}" uniqueName="480" name="Column480" queryTableFieldId="480" dataDxfId="296"/>
    <tableColumn id="481" xr3:uid="{0D70108A-3AF7-074E-938E-D3210D87ACB4}" uniqueName="481" name="Column481" queryTableFieldId="481" dataDxfId="295"/>
    <tableColumn id="482" xr3:uid="{4E6E9FFC-2573-3D4D-B59E-A9972FEC623C}" uniqueName="482" name="Column482" queryTableFieldId="482" dataDxfId="294"/>
    <tableColumn id="483" xr3:uid="{DAB7A908-88FE-DC43-86B4-D2E05F46B533}" uniqueName="483" name="Column483" queryTableFieldId="483" dataDxfId="293"/>
    <tableColumn id="484" xr3:uid="{FBF13E86-88D7-764B-9991-EAAFFD53D524}" uniqueName="484" name="Column484" queryTableFieldId="484" dataDxfId="292"/>
    <tableColumn id="485" xr3:uid="{61CE7A1A-A5EF-6C4B-B118-E53B41804FF2}" uniqueName="485" name="Column485" queryTableFieldId="485" dataDxfId="291"/>
    <tableColumn id="486" xr3:uid="{001CCB09-B7E1-6146-BD88-C496DFD1A435}" uniqueName="486" name="Column486" queryTableFieldId="486" dataDxfId="290"/>
    <tableColumn id="487" xr3:uid="{BDC52E0E-9975-8348-8034-8C7C0B861932}" uniqueName="487" name="Column487" queryTableFieldId="487" dataDxfId="289"/>
    <tableColumn id="488" xr3:uid="{C5C9C0EF-607C-D648-B7CC-CA7271096157}" uniqueName="488" name="Column488" queryTableFieldId="488" dataDxfId="288"/>
    <tableColumn id="489" xr3:uid="{60D74B0C-FFB7-DE4C-8001-16AE270BD365}" uniqueName="489" name="Column489" queryTableFieldId="489" dataDxfId="287"/>
    <tableColumn id="490" xr3:uid="{8B35F99C-B93D-D44C-94C9-690A472EE991}" uniqueName="490" name="Column490" queryTableFieldId="490" dataDxfId="286"/>
    <tableColumn id="491" xr3:uid="{7C11FE1B-4CA4-0345-9A4A-26F59F2C6ED7}" uniqueName="491" name="Column491" queryTableFieldId="491" dataDxfId="285"/>
    <tableColumn id="492" xr3:uid="{62831135-133A-F34F-AF12-73E48C281F34}" uniqueName="492" name="Column492" queryTableFieldId="492" dataDxfId="284"/>
    <tableColumn id="493" xr3:uid="{575B184E-0EA3-7D4F-92BD-3C7ABD549293}" uniqueName="493" name="Column493" queryTableFieldId="493" dataDxfId="283"/>
    <tableColumn id="494" xr3:uid="{30C2389B-7E2C-5A4C-BF2C-5B713ECCC643}" uniqueName="494" name="Column494" queryTableFieldId="494" dataDxfId="282"/>
    <tableColumn id="495" xr3:uid="{38CBAA28-A19B-B24A-94E4-D607F6E5D538}" uniqueName="495" name="Column495" queryTableFieldId="495" dataDxfId="281"/>
    <tableColumn id="496" xr3:uid="{6B9C1A16-6568-D048-9D1A-2BDCA70D055F}" uniqueName="496" name="Column496" queryTableFieldId="496" dataDxfId="280"/>
    <tableColumn id="497" xr3:uid="{5686A7FB-299E-E24D-9B0B-D396F5170CD6}" uniqueName="497" name="Column497" queryTableFieldId="497" dataDxfId="279"/>
    <tableColumn id="498" xr3:uid="{72917BCA-E030-624F-827A-BD8DC03E26FD}" uniqueName="498" name="Column498" queryTableFieldId="498" dataDxfId="278"/>
    <tableColumn id="499" xr3:uid="{BD78886D-6515-9C46-8319-CFF1150CB44D}" uniqueName="499" name="Column499" queryTableFieldId="499" dataDxfId="277"/>
    <tableColumn id="500" xr3:uid="{FB53FB35-CB81-B845-A619-293377C872E1}" uniqueName="500" name="Column500" queryTableFieldId="500" dataDxfId="276"/>
    <tableColumn id="501" xr3:uid="{D75F2541-442D-7C44-B8CF-D70B506349E2}" uniqueName="501" name="Column501" queryTableFieldId="501" dataDxfId="275"/>
    <tableColumn id="502" xr3:uid="{F1D2EEEC-3153-9543-88E0-AD1F2E5BC7E6}" uniqueName="502" name="Column502" queryTableFieldId="502" dataDxfId="274"/>
    <tableColumn id="503" xr3:uid="{3A6C96BB-FB6C-E449-963C-4EC587103D37}" uniqueName="503" name="Column503" queryTableFieldId="503" dataDxfId="273"/>
    <tableColumn id="504" xr3:uid="{1E5AD908-6B5A-1C4A-A2FE-30FB25E765C5}" uniqueName="504" name="Column504" queryTableFieldId="504" dataDxfId="272"/>
    <tableColumn id="505" xr3:uid="{152299A6-7C94-6949-B540-95D9F723D677}" uniqueName="505" name="Column505" queryTableFieldId="505" dataDxfId="271"/>
    <tableColumn id="506" xr3:uid="{68401797-68A4-0C47-9618-EE168B9C0678}" uniqueName="506" name="Column506" queryTableFieldId="506" dataDxfId="270"/>
    <tableColumn id="507" xr3:uid="{11630914-6658-5642-B12F-690D3A5B2E9D}" uniqueName="507" name="Column507" queryTableFieldId="507" dataDxfId="269"/>
    <tableColumn id="508" xr3:uid="{2A1A70DF-FB28-434F-A051-CCE9CBE5184B}" uniqueName="508" name="Column508" queryTableFieldId="508" dataDxfId="268"/>
    <tableColumn id="509" xr3:uid="{88AA886F-559E-2B4C-9D36-28E6B51149D0}" uniqueName="509" name="Column509" queryTableFieldId="509" dataDxfId="267"/>
    <tableColumn id="510" xr3:uid="{981B6D54-1F41-2645-A41F-299F38FA2E2A}" uniqueName="510" name="Column510" queryTableFieldId="510" dataDxfId="266"/>
    <tableColumn id="511" xr3:uid="{3E435ED4-9C2E-BC4F-A433-8B435A2ECD91}" uniqueName="511" name="Column511" queryTableFieldId="511" dataDxfId="265"/>
    <tableColumn id="512" xr3:uid="{C0DBD902-0B3E-8E4B-9AE7-E2520B51D171}" uniqueName="512" name="Column512" queryTableFieldId="512" dataDxfId="264"/>
    <tableColumn id="513" xr3:uid="{806E9B24-89D9-6542-9D96-249BDC89D142}" uniqueName="513" name="Column513" queryTableFieldId="513" dataDxfId="263"/>
    <tableColumn id="514" xr3:uid="{E9085EE2-A6CB-BB46-9EFD-5ACD9114F3CF}" uniqueName="514" name="Column514" queryTableFieldId="514" dataDxfId="262"/>
    <tableColumn id="515" xr3:uid="{BFB5BBEA-12DE-EA4D-BE2E-F3BB62104071}" uniqueName="515" name="Column515" queryTableFieldId="515" dataDxfId="261"/>
    <tableColumn id="516" xr3:uid="{3D84596B-F00A-6F4F-8B61-11D639D435A9}" uniqueName="516" name="Column516" queryTableFieldId="516" dataDxfId="260"/>
    <tableColumn id="517" xr3:uid="{2E5E95DD-A53A-144E-B6A0-F19E45C4C840}" uniqueName="517" name="Column517" queryTableFieldId="517" dataDxfId="259"/>
    <tableColumn id="518" xr3:uid="{89F387E2-A605-DC4F-9F72-48989D9D630F}" uniqueName="518" name="Column518" queryTableFieldId="518" dataDxfId="258"/>
    <tableColumn id="519" xr3:uid="{66E69B57-19F7-FB4D-8B42-6A61B87F9D82}" uniqueName="519" name="Column519" queryTableFieldId="519" dataDxfId="257"/>
    <tableColumn id="520" xr3:uid="{24870456-13AE-0F4C-9BFC-2DB3908F75D0}" uniqueName="520" name="Column520" queryTableFieldId="520" dataDxfId="256"/>
    <tableColumn id="521" xr3:uid="{5AE3315A-64A4-A843-861A-9815BD38AD6C}" uniqueName="521" name="Column521" queryTableFieldId="521" dataDxfId="255"/>
    <tableColumn id="522" xr3:uid="{A44A3FEC-64C4-8F48-89AB-B2A95EA0CC29}" uniqueName="522" name="Column522" queryTableFieldId="522" dataDxfId="254"/>
    <tableColumn id="523" xr3:uid="{F919F224-2C75-D24A-BBF4-6016A51CED95}" uniqueName="523" name="Column523" queryTableFieldId="523" dataDxfId="253"/>
    <tableColumn id="524" xr3:uid="{31F1CD0C-DF66-F74A-AB14-FAF8F7EDB5D8}" uniqueName="524" name="Column524" queryTableFieldId="524" dataDxfId="252"/>
    <tableColumn id="525" xr3:uid="{53D8B1FE-830C-FC4F-A5F0-D87FCADB7A59}" uniqueName="525" name="Column525" queryTableFieldId="525" dataDxfId="251"/>
    <tableColumn id="526" xr3:uid="{081FDD56-005F-194C-84E4-28D492AE1270}" uniqueName="526" name="Column526" queryTableFieldId="526" dataDxfId="250"/>
    <tableColumn id="527" xr3:uid="{10D20FBE-47EA-EF4F-9E02-D964AB11A654}" uniqueName="527" name="Column527" queryTableFieldId="527" dataDxfId="249"/>
    <tableColumn id="528" xr3:uid="{8F17A258-3EE0-6A40-BB50-7A0E4EE86CEE}" uniqueName="528" name="Column528" queryTableFieldId="528" dataDxfId="248"/>
    <tableColumn id="529" xr3:uid="{547F1DB0-ACD3-5F40-BC8D-572DAB9285FD}" uniqueName="529" name="Column529" queryTableFieldId="529" dataDxfId="247"/>
    <tableColumn id="530" xr3:uid="{639A77AD-7E9B-CF44-A35C-67A73FE0690C}" uniqueName="530" name="Column530" queryTableFieldId="530" dataDxfId="246"/>
    <tableColumn id="531" xr3:uid="{98FAE0EE-E22A-8E42-8D76-AB0D79892FD9}" uniqueName="531" name="Column531" queryTableFieldId="531" dataDxfId="245"/>
    <tableColumn id="532" xr3:uid="{C0E2E755-80D0-794F-B92C-562408EBE7BC}" uniqueName="532" name="Column532" queryTableFieldId="532" dataDxfId="244"/>
    <tableColumn id="533" xr3:uid="{B26BFBDF-47A3-3F42-9CED-0879211CE08C}" uniqueName="533" name="Column533" queryTableFieldId="533" dataDxfId="243"/>
    <tableColumn id="534" xr3:uid="{1D0CE426-6BEF-8A45-8BF2-3682B728560A}" uniqueName="534" name="Column534" queryTableFieldId="534" dataDxfId="242"/>
    <tableColumn id="535" xr3:uid="{8D4A8D26-9374-3F4B-B9C6-AA335AA5A82C}" uniqueName="535" name="Column535" queryTableFieldId="535" dataDxfId="241"/>
    <tableColumn id="536" xr3:uid="{ADB4F778-9757-DA4B-9845-AA6303740A3F}" uniqueName="536" name="Column536" queryTableFieldId="536" dataDxfId="240"/>
    <tableColumn id="537" xr3:uid="{3572C1AA-60EC-C446-8592-C758B660618A}" uniqueName="537" name="Column537" queryTableFieldId="537" dataDxfId="239"/>
    <tableColumn id="538" xr3:uid="{16E31FE8-6B3E-B848-95B3-A3B35812614B}" uniqueName="538" name="Column538" queryTableFieldId="538" dataDxfId="238"/>
    <tableColumn id="539" xr3:uid="{9EF5FADF-1FFC-6C40-A47E-5D23EF6176AA}" uniqueName="539" name="Column539" queryTableFieldId="539" dataDxfId="237"/>
    <tableColumn id="540" xr3:uid="{8DD04BDE-D632-0A45-9EF7-774F6AB4EBED}" uniqueName="540" name="Column540" queryTableFieldId="540" dataDxfId="236"/>
    <tableColumn id="541" xr3:uid="{66C6DFEC-F0BE-464B-B827-67B878DADF28}" uniqueName="541" name="Column541" queryTableFieldId="541" dataDxfId="235"/>
    <tableColumn id="542" xr3:uid="{0EFB05F8-A155-674E-91F8-AB1CB384DB3A}" uniqueName="542" name="Column542" queryTableFieldId="542" dataDxfId="234"/>
    <tableColumn id="543" xr3:uid="{EEE9DB2C-89DE-3E43-853A-9D7A308328EE}" uniqueName="543" name="Column543" queryTableFieldId="543" dataDxfId="233"/>
    <tableColumn id="544" xr3:uid="{6F9D5ADF-31D3-B24B-912C-D730C712660D}" uniqueName="544" name="Column544" queryTableFieldId="544" dataDxfId="232"/>
    <tableColumn id="545" xr3:uid="{FFCA9377-399D-4049-8E68-519F541214EF}" uniqueName="545" name="Column545" queryTableFieldId="545" dataDxfId="231"/>
    <tableColumn id="546" xr3:uid="{7983A32F-0859-494C-8B1E-658F837246CD}" uniqueName="546" name="Column546" queryTableFieldId="546" dataDxfId="230"/>
    <tableColumn id="547" xr3:uid="{6DCAD5CF-6EBB-0E45-802E-6C2B93D50999}" uniqueName="547" name="Column547" queryTableFieldId="547" dataDxfId="229"/>
    <tableColumn id="548" xr3:uid="{2D8BE8D4-CFA5-E347-A280-EFFAD7740AFB}" uniqueName="548" name="Column548" queryTableFieldId="548" dataDxfId="228"/>
    <tableColumn id="549" xr3:uid="{CEC00148-2690-394A-9633-068E940F3351}" uniqueName="549" name="Column549" queryTableFieldId="549" dataDxfId="227"/>
    <tableColumn id="550" xr3:uid="{8C59F12C-C57C-3042-AAE3-6FE440CAA64F}" uniqueName="550" name="Column550" queryTableFieldId="550" dataDxfId="226"/>
    <tableColumn id="551" xr3:uid="{6757526D-7AD5-4747-B688-0DD0C3D94F81}" uniqueName="551" name="Column551" queryTableFieldId="551" dataDxfId="225"/>
    <tableColumn id="552" xr3:uid="{971F673B-A740-D543-8A2D-E24D7DBC25DB}" uniqueName="552" name="Column552" queryTableFieldId="552" dataDxfId="224"/>
    <tableColumn id="553" xr3:uid="{9E11CAB6-4907-8D4F-B48F-8974428B5BDB}" uniqueName="553" name="Column553" queryTableFieldId="553" dataDxfId="223"/>
    <tableColumn id="554" xr3:uid="{5E284B40-2217-7847-9FF2-0A641192FE51}" uniqueName="554" name="Column554" queryTableFieldId="554" dataDxfId="222"/>
    <tableColumn id="555" xr3:uid="{146BF487-52A8-2645-9B03-A1793F925424}" uniqueName="555" name="Column555" queryTableFieldId="555" dataDxfId="221"/>
    <tableColumn id="556" xr3:uid="{890EB82A-616F-2D46-B0DC-972EC1BC75A7}" uniqueName="556" name="Column556" queryTableFieldId="556" dataDxfId="220"/>
    <tableColumn id="557" xr3:uid="{CF6E2CC3-78F4-3D4F-BF84-E59EE2797FE2}" uniqueName="557" name="Column557" queryTableFieldId="557" dataDxfId="219"/>
    <tableColumn id="558" xr3:uid="{44ACBC89-25AB-CB45-B922-526F856BA9F6}" uniqueName="558" name="Column558" queryTableFieldId="558" dataDxfId="218"/>
    <tableColumn id="559" xr3:uid="{74714352-7AD6-4147-A735-E9A4FF09613E}" uniqueName="559" name="Column559" queryTableFieldId="559" dataDxfId="217"/>
    <tableColumn id="560" xr3:uid="{6AD87A6C-C05D-4044-AD89-D07C5BEB1C95}" uniqueName="560" name="Column560" queryTableFieldId="560" dataDxfId="216"/>
    <tableColumn id="561" xr3:uid="{2A7EE9C3-DB24-4843-81D8-84F131DB9D82}" uniqueName="561" name="Column561" queryTableFieldId="561" dataDxfId="215"/>
    <tableColumn id="562" xr3:uid="{0692493A-4DCF-D74C-89D4-D14A294D664C}" uniqueName="562" name="Column562" queryTableFieldId="562" dataDxfId="214"/>
    <tableColumn id="563" xr3:uid="{A4D00DE4-EB2E-9748-AC7C-E1D285403ACA}" uniqueName="563" name="Column563" queryTableFieldId="563" dataDxfId="213"/>
    <tableColumn id="564" xr3:uid="{0A67CF1E-1951-624B-8D3E-BDC7D5E8F96F}" uniqueName="564" name="Column564" queryTableFieldId="564" dataDxfId="212"/>
    <tableColumn id="565" xr3:uid="{2D34677D-66CE-F548-9260-8B68793D44C0}" uniqueName="565" name="Column565" queryTableFieldId="565" dataDxfId="211"/>
    <tableColumn id="566" xr3:uid="{6385C803-19DA-1047-B1DB-1A04BFEB7027}" uniqueName="566" name="Column566" queryTableFieldId="566" dataDxfId="210"/>
    <tableColumn id="567" xr3:uid="{296A0BA8-120E-A54C-ADDF-04656E532FC7}" uniqueName="567" name="Column567" queryTableFieldId="567" dataDxfId="209"/>
    <tableColumn id="568" xr3:uid="{80B124D3-49FC-A640-B274-CD39A61951B8}" uniqueName="568" name="Column568" queryTableFieldId="568" dataDxfId="208"/>
    <tableColumn id="569" xr3:uid="{B8092A9F-1640-004C-B679-E6E577F7AB4A}" uniqueName="569" name="Column569" queryTableFieldId="569" dataDxfId="207"/>
    <tableColumn id="570" xr3:uid="{6053D1D9-F86C-EF4F-AEF7-5B9E54EDDDBF}" uniqueName="570" name="Column570" queryTableFieldId="570" dataDxfId="206"/>
    <tableColumn id="571" xr3:uid="{869FB83C-8900-5546-AA20-CE9F55C7275B}" uniqueName="571" name="Column571" queryTableFieldId="571" dataDxfId="205"/>
    <tableColumn id="572" xr3:uid="{1E1329B2-16AB-984A-B227-CB975BF46D8A}" uniqueName="572" name="Column572" queryTableFieldId="572" dataDxfId="204"/>
    <tableColumn id="573" xr3:uid="{4F2C4DEF-E967-E344-9092-91194C3E0DF1}" uniqueName="573" name="Column573" queryTableFieldId="573" dataDxfId="203"/>
    <tableColumn id="574" xr3:uid="{2A8A7569-12C3-3A4C-8D9B-61D4511B409D}" uniqueName="574" name="Column574" queryTableFieldId="574" dataDxfId="202"/>
    <tableColumn id="575" xr3:uid="{D5790AE2-463D-1247-A805-CCD693080D18}" uniqueName="575" name="Column575" queryTableFieldId="575" dataDxfId="201"/>
    <tableColumn id="576" xr3:uid="{25506441-3034-5E49-8BC7-A2CED84A0EC1}" uniqueName="576" name="Column576" queryTableFieldId="576" dataDxfId="200"/>
    <tableColumn id="577" xr3:uid="{B73880FB-5B93-EC4F-8BE3-555654FEF516}" uniqueName="577" name="Column577" queryTableFieldId="577" dataDxfId="199"/>
    <tableColumn id="578" xr3:uid="{ED473EE4-DDFF-934E-B47D-69D6B5C8DF0C}" uniqueName="578" name="Column578" queryTableFieldId="578" dataDxfId="198"/>
    <tableColumn id="579" xr3:uid="{74286B85-CDD7-4B43-BDB2-04388301E223}" uniqueName="579" name="Column579" queryTableFieldId="579" dataDxfId="197"/>
    <tableColumn id="580" xr3:uid="{DB6BBFF1-5AE7-3647-B352-DE3516F484B7}" uniqueName="580" name="Column580" queryTableFieldId="580" dataDxfId="196"/>
    <tableColumn id="581" xr3:uid="{F4011AC7-D9D6-8149-8048-1348E09458AA}" uniqueName="581" name="Column581" queryTableFieldId="581" dataDxfId="195"/>
    <tableColumn id="582" xr3:uid="{E2DB3DB4-7CDB-6049-80AA-43B29429C86E}" uniqueName="582" name="Column582" queryTableFieldId="582" dataDxfId="194"/>
    <tableColumn id="583" xr3:uid="{E9852E8C-E96B-444B-B3B6-30D5CED6285C}" uniqueName="583" name="Column583" queryTableFieldId="583" dataDxfId="193"/>
    <tableColumn id="584" xr3:uid="{289AFD13-DDCB-564B-A358-935EE1CA48B1}" uniqueName="584" name="Column584" queryTableFieldId="584" dataDxfId="192"/>
    <tableColumn id="585" xr3:uid="{0B4AA23C-AEE2-9B4F-A51D-0BF2D902FFA1}" uniqueName="585" name="Column585" queryTableFieldId="585" dataDxfId="191"/>
    <tableColumn id="586" xr3:uid="{A652FD74-783C-8E49-A909-7BDFED520207}" uniqueName="586" name="Column586" queryTableFieldId="586" dataDxfId="190"/>
    <tableColumn id="587" xr3:uid="{2D4DCE5B-0966-F94F-A90D-F08F63401AB7}" uniqueName="587" name="Column587" queryTableFieldId="587" dataDxfId="189"/>
    <tableColumn id="588" xr3:uid="{E49219E9-28F4-A241-A0C8-32C5303FE3A0}" uniqueName="588" name="Column588" queryTableFieldId="588" dataDxfId="188"/>
    <tableColumn id="589" xr3:uid="{529B40F7-C60E-1A4E-9179-7A2401A75E74}" uniqueName="589" name="Column589" queryTableFieldId="589" dataDxfId="187"/>
    <tableColumn id="590" xr3:uid="{8CFEE33D-D3E3-0C49-8A95-4C9D7BDA6AFD}" uniqueName="590" name="Column590" queryTableFieldId="590" dataDxfId="186"/>
    <tableColumn id="591" xr3:uid="{FEB953BD-1788-A642-80F8-AF9E2B632228}" uniqueName="591" name="Column591" queryTableFieldId="591" dataDxfId="185"/>
    <tableColumn id="592" xr3:uid="{6B780F95-40EB-2348-B96C-B01B0F2287EC}" uniqueName="592" name="Column592" queryTableFieldId="592" dataDxfId="184"/>
    <tableColumn id="593" xr3:uid="{38D3B4ED-B923-0847-B7AD-9DD26E16E8AF}" uniqueName="593" name="Column593" queryTableFieldId="593" dataDxfId="183"/>
    <tableColumn id="594" xr3:uid="{110B782C-626A-1F45-A33C-0C32BBA76686}" uniqueName="594" name="Column594" queryTableFieldId="594" dataDxfId="182"/>
    <tableColumn id="595" xr3:uid="{8DE8C3BE-CB8B-FB40-B470-6AE61C6614D1}" uniqueName="595" name="Column595" queryTableFieldId="595" dataDxfId="181"/>
    <tableColumn id="596" xr3:uid="{B9292115-8C4D-9340-8DBD-3AA5D6FFCA2E}" uniqueName="596" name="Column596" queryTableFieldId="596" dataDxfId="180"/>
    <tableColumn id="597" xr3:uid="{05477CAF-749D-3B4A-A988-340B5E2F8A88}" uniqueName="597" name="Column597" queryTableFieldId="597" dataDxfId="179"/>
    <tableColumn id="598" xr3:uid="{B37AA841-B4F9-064D-A2E7-B153CF6C838D}" uniqueName="598" name="Column598" queryTableFieldId="598" dataDxfId="178"/>
    <tableColumn id="599" xr3:uid="{08B842CD-F0EF-A041-8094-44A455C3D2C2}" uniqueName="599" name="Column599" queryTableFieldId="599" dataDxfId="177"/>
    <tableColumn id="600" xr3:uid="{4653CA5F-CCDB-5D44-910B-D767E34353D4}" uniqueName="600" name="Column600" queryTableFieldId="600" dataDxfId="176"/>
    <tableColumn id="601" xr3:uid="{9364491B-8BCE-614F-B414-55C48C605F0A}" uniqueName="601" name="Column601" queryTableFieldId="601" dataDxfId="175"/>
    <tableColumn id="602" xr3:uid="{11580F76-0FDB-3D42-8219-04A0816CCB1B}" uniqueName="602" name="Column602" queryTableFieldId="602" dataDxfId="174"/>
    <tableColumn id="603" xr3:uid="{B1E28CE4-0478-B14A-9B7A-B6953DCB2D22}" uniqueName="603" name="Column603" queryTableFieldId="603" dataDxfId="173"/>
    <tableColumn id="604" xr3:uid="{3894BA52-C7C4-5840-AB24-C50DF0E4D71A}" uniqueName="604" name="Column604" queryTableFieldId="604" dataDxfId="172"/>
    <tableColumn id="605" xr3:uid="{B86963F6-E43F-A74B-9561-7513A336978B}" uniqueName="605" name="Column605" queryTableFieldId="605" dataDxfId="171"/>
    <tableColumn id="606" xr3:uid="{F1EFF666-D621-4741-AC2E-CB974F2B7999}" uniqueName="606" name="Column606" queryTableFieldId="606" dataDxfId="170"/>
    <tableColumn id="607" xr3:uid="{C1256AD9-CAFF-D54A-BA71-44C288882BB1}" uniqueName="607" name="Column607" queryTableFieldId="607" dataDxfId="169"/>
    <tableColumn id="608" xr3:uid="{24E91646-266C-744C-9B81-DCB1327B7B34}" uniqueName="608" name="Column608" queryTableFieldId="608" dataDxfId="168"/>
    <tableColumn id="609" xr3:uid="{C52F5F45-4AE9-9A42-8909-F5E46BF70FE6}" uniqueName="609" name="Column609" queryTableFieldId="609" dataDxfId="167"/>
    <tableColumn id="610" xr3:uid="{DD1F2EC2-2DF0-7445-AB65-232989D78037}" uniqueName="610" name="Column610" queryTableFieldId="610" dataDxfId="166"/>
    <tableColumn id="611" xr3:uid="{065C6F4A-7614-7644-836B-2801133BAA9B}" uniqueName="611" name="Column611" queryTableFieldId="611" dataDxfId="165"/>
    <tableColumn id="612" xr3:uid="{B38248C6-6AA0-0E4E-B07E-EA09F3D0AC7F}" uniqueName="612" name="Column612" queryTableFieldId="612" dataDxfId="164"/>
    <tableColumn id="613" xr3:uid="{1BBD2F1C-5119-D846-9350-C3E64425D0AE}" uniqueName="613" name="Column613" queryTableFieldId="613" dataDxfId="163"/>
    <tableColumn id="614" xr3:uid="{2A9AE3F2-37C5-7E44-8FFB-9B8A19868C65}" uniqueName="614" name="Column614" queryTableFieldId="614" dataDxfId="162"/>
    <tableColumn id="615" xr3:uid="{DE672B8B-B5B8-E24D-BD09-BD2CD5934F12}" uniqueName="615" name="Column615" queryTableFieldId="615" dataDxfId="161"/>
    <tableColumn id="616" xr3:uid="{668FBCBD-C5ED-494A-9AC0-A3FF55AAAFEB}" uniqueName="616" name="Column616" queryTableFieldId="616" dataDxfId="160"/>
    <tableColumn id="617" xr3:uid="{756D5842-11F2-2242-BDC1-A0AB1B23A47E}" uniqueName="617" name="Column617" queryTableFieldId="617" dataDxfId="159"/>
    <tableColumn id="618" xr3:uid="{6E308F8A-BBB8-314A-967E-7A3E719F9186}" uniqueName="618" name="Column618" queryTableFieldId="618" dataDxfId="158"/>
    <tableColumn id="619" xr3:uid="{E5F97FE7-43E2-0248-B336-AC041AE0E527}" uniqueName="619" name="Column619" queryTableFieldId="619" dataDxfId="157"/>
    <tableColumn id="620" xr3:uid="{7386E01A-02E0-8046-BB3F-FBDE9830B131}" uniqueName="620" name="Column620" queryTableFieldId="620" dataDxfId="156"/>
    <tableColumn id="621" xr3:uid="{8C743428-0874-D54D-91DE-ECE2DBE61503}" uniqueName="621" name="Column621" queryTableFieldId="621" dataDxfId="155"/>
    <tableColumn id="622" xr3:uid="{1EE35D5C-53EA-8D4C-BD2C-DB73E0C2A173}" uniqueName="622" name="Column622" queryTableFieldId="622" dataDxfId="154"/>
    <tableColumn id="623" xr3:uid="{76063FCC-6C65-314D-AAF7-B46AC1ECA587}" uniqueName="623" name="Column623" queryTableFieldId="623" dataDxfId="153"/>
    <tableColumn id="624" xr3:uid="{2A57F55D-DBDD-D445-8298-77D22D25B068}" uniqueName="624" name="Column624" queryTableFieldId="624" dataDxfId="152"/>
    <tableColumn id="625" xr3:uid="{4C34D58D-3521-5D4C-BC01-76565F3FB0EC}" uniqueName="625" name="Column625" queryTableFieldId="625" dataDxfId="151"/>
    <tableColumn id="626" xr3:uid="{C5E2ABE6-E529-9D49-B09F-20B1468D87A7}" uniqueName="626" name="Column626" queryTableFieldId="626" dataDxfId="150"/>
    <tableColumn id="627" xr3:uid="{39902B6A-0696-6F47-9A44-4446E966FF48}" uniqueName="627" name="Column627" queryTableFieldId="627" dataDxfId="149"/>
    <tableColumn id="628" xr3:uid="{3FE50868-43F2-B84C-9C8D-AE13F35539DA}" uniqueName="628" name="Column628" queryTableFieldId="628" dataDxfId="148"/>
    <tableColumn id="629" xr3:uid="{9600C451-D3B4-F143-9810-53FD2DE9937E}" uniqueName="629" name="Column629" queryTableFieldId="629" dataDxfId="147"/>
    <tableColumn id="630" xr3:uid="{403597DF-B336-C542-8F67-26742E083669}" uniqueName="630" name="Column630" queryTableFieldId="630" dataDxfId="146"/>
    <tableColumn id="631" xr3:uid="{C30B597A-2C36-D348-B0CB-6F9A3817A2F2}" uniqueName="631" name="Column631" queryTableFieldId="631" dataDxfId="145"/>
    <tableColumn id="632" xr3:uid="{386CB693-7A08-6348-A099-26B1E80A047C}" uniqueName="632" name="Column632" queryTableFieldId="632" dataDxfId="144"/>
    <tableColumn id="633" xr3:uid="{141C7A2F-F6BC-6743-AE50-3EB200CF081E}" uniqueName="633" name="Column633" queryTableFieldId="633" dataDxfId="143"/>
    <tableColumn id="634" xr3:uid="{91717E82-4702-9144-8F1C-735D13E861B4}" uniqueName="634" name="Column634" queryTableFieldId="634" dataDxfId="142"/>
    <tableColumn id="635" xr3:uid="{058B526C-4C82-5F4D-975B-2CDC1B2197E0}" uniqueName="635" name="Column635" queryTableFieldId="635" dataDxfId="141"/>
    <tableColumn id="636" xr3:uid="{B5FCF732-E96F-C645-980D-CD33D6DF1D75}" uniqueName="636" name="Column636" queryTableFieldId="636" dataDxfId="140"/>
    <tableColumn id="637" xr3:uid="{3D79CB19-B575-8641-A2BC-283BADB87F97}" uniqueName="637" name="Column637" queryTableFieldId="637" dataDxfId="139"/>
    <tableColumn id="638" xr3:uid="{B1431164-CE75-8F44-88D0-B18D93767797}" uniqueName="638" name="Column638" queryTableFieldId="638" dataDxfId="138"/>
    <tableColumn id="639" xr3:uid="{0D993A9F-1E59-3841-9431-9D8315E34F9F}" uniqueName="639" name="Column639" queryTableFieldId="639" dataDxfId="137"/>
    <tableColumn id="640" xr3:uid="{31B1F771-23A8-1C49-AB07-CA2C44ECBC9B}" uniqueName="640" name="Column640" queryTableFieldId="640" dataDxfId="136"/>
    <tableColumn id="641" xr3:uid="{32524226-098D-9244-9B35-773D9B122C1B}" uniqueName="641" name="Column641" queryTableFieldId="641" dataDxfId="135"/>
    <tableColumn id="642" xr3:uid="{BC9B858F-D75B-D840-BE6E-8B71E834A9C3}" uniqueName="642" name="Column642" queryTableFieldId="642" dataDxfId="134"/>
    <tableColumn id="643" xr3:uid="{4BD80BF3-E70D-0B44-8326-4D818E528712}" uniqueName="643" name="Column643" queryTableFieldId="643" dataDxfId="133"/>
    <tableColumn id="644" xr3:uid="{9F361EA2-7FCA-CE43-838F-C8F8D5564747}" uniqueName="644" name="Column644" queryTableFieldId="644" dataDxfId="132"/>
    <tableColumn id="645" xr3:uid="{07BA29B5-89BA-384E-ADF6-F4E954BA807B}" uniqueName="645" name="Column645" queryTableFieldId="645" dataDxfId="131"/>
    <tableColumn id="646" xr3:uid="{EB5DAC3D-122A-FB47-94EB-FD1378506269}" uniqueName="646" name="Column646" queryTableFieldId="646" dataDxfId="130"/>
    <tableColumn id="647" xr3:uid="{C0A27C6E-7971-E44B-87F4-6864E428C181}" uniqueName="647" name="Column647" queryTableFieldId="647" dataDxfId="129"/>
    <tableColumn id="648" xr3:uid="{E1672F0A-AA30-7F4F-B2A3-B31D46321FD1}" uniqueName="648" name="Column648" queryTableFieldId="648" dataDxfId="128"/>
    <tableColumn id="649" xr3:uid="{682EE457-C361-0A43-B81B-842649186AD4}" uniqueName="649" name="Column649" queryTableFieldId="649" dataDxfId="127"/>
    <tableColumn id="650" xr3:uid="{61AEAAF2-2040-5C47-9C84-960EAF92302A}" uniqueName="650" name="Column650" queryTableFieldId="650" dataDxfId="126"/>
    <tableColumn id="651" xr3:uid="{A8D744D3-7AC1-4E49-A2BE-E8639341F59B}" uniqueName="651" name="Column651" queryTableFieldId="651" dataDxfId="125"/>
    <tableColumn id="652" xr3:uid="{4D2849CE-37BB-6B48-B65A-6A7D208E3607}" uniqueName="652" name="Column652" queryTableFieldId="652" dataDxfId="124"/>
    <tableColumn id="653" xr3:uid="{2836C706-EE7D-4E48-AA37-EBACF056B252}" uniqueName="653" name="Column653" queryTableFieldId="653" dataDxfId="123"/>
    <tableColumn id="654" xr3:uid="{C8E0BB78-BD9A-AB49-A289-58F33250FA98}" uniqueName="654" name="Column654" queryTableFieldId="654" dataDxfId="122"/>
    <tableColumn id="655" xr3:uid="{9BFD004C-9CFD-C444-846E-368DB089D29D}" uniqueName="655" name="Column655" queryTableFieldId="655" dataDxfId="121"/>
    <tableColumn id="656" xr3:uid="{B001C79E-35B2-2246-9A8D-6E540AC7936F}" uniqueName="656" name="Column656" queryTableFieldId="656" dataDxfId="120"/>
    <tableColumn id="657" xr3:uid="{B4A3DFBE-DB98-9743-803D-7A3811BD91FE}" uniqueName="657" name="Column657" queryTableFieldId="657" dataDxfId="119"/>
    <tableColumn id="658" xr3:uid="{8C4D512D-91F9-3F4E-A3CB-BE90C8B793BC}" uniqueName="658" name="Column658" queryTableFieldId="658" dataDxfId="118"/>
    <tableColumn id="659" xr3:uid="{9B7BF2D8-DCD2-7544-B729-5F59ACEB8B8D}" uniqueName="659" name="Column659" queryTableFieldId="659" dataDxfId="117"/>
    <tableColumn id="660" xr3:uid="{5A066A16-A14A-6B42-84D2-39048C9A5EF8}" uniqueName="660" name="Column660" queryTableFieldId="660" dataDxfId="116"/>
    <tableColumn id="661" xr3:uid="{C58B062D-603B-194B-86C9-480BDA6B26D8}" uniqueName="661" name="Column661" queryTableFieldId="661" dataDxfId="115"/>
    <tableColumn id="662" xr3:uid="{76782E12-41D8-0240-89B2-CFD9E71C739D}" uniqueName="662" name="Column662" queryTableFieldId="662" dataDxfId="114"/>
    <tableColumn id="663" xr3:uid="{74BDFB09-A1F3-B74D-B39E-425255131538}" uniqueName="663" name="Column663" queryTableFieldId="663" dataDxfId="113"/>
    <tableColumn id="664" xr3:uid="{45A9D154-228E-484A-AD4A-22E7738361C1}" uniqueName="664" name="Column664" queryTableFieldId="664" dataDxfId="112"/>
    <tableColumn id="665" xr3:uid="{AB833F32-3DD8-834E-BE37-2871C131893F}" uniqueName="665" name="Column665" queryTableFieldId="665" dataDxfId="111"/>
    <tableColumn id="666" xr3:uid="{60E20AC3-3E79-8C40-8F02-8FCD9A1966D7}" uniqueName="666" name="Column666" queryTableFieldId="666" dataDxfId="110"/>
    <tableColumn id="667" xr3:uid="{D600528C-114A-E64E-8B85-E1B3C0A26AFD}" uniqueName="667" name="Column667" queryTableFieldId="667" dataDxfId="109"/>
    <tableColumn id="668" xr3:uid="{C5386B29-8EC6-A047-A5AF-3809B7BD28B3}" uniqueName="668" name="Column668" queryTableFieldId="668" dataDxfId="108"/>
    <tableColumn id="669" xr3:uid="{0D98179A-3AEC-D54E-8492-0FB1BB0B60A6}" uniqueName="669" name="Column669" queryTableFieldId="669" dataDxfId="107"/>
    <tableColumn id="670" xr3:uid="{047FB902-67C3-094D-9B24-7B749388332D}" uniqueName="670" name="Column670" queryTableFieldId="670" dataDxfId="106"/>
    <tableColumn id="671" xr3:uid="{4B78CB8C-1092-9944-9D87-4D649A085C87}" uniqueName="671" name="Column671" queryTableFieldId="671" dataDxfId="105"/>
    <tableColumn id="672" xr3:uid="{EF413C2E-9AEE-414E-B4BB-A992F80B1B37}" uniqueName="672" name="Column672" queryTableFieldId="672" dataDxfId="104"/>
    <tableColumn id="673" xr3:uid="{DCE3CF3E-BFD3-844A-928D-FB1307908D01}" uniqueName="673" name="Column673" queryTableFieldId="673" dataDxfId="103"/>
    <tableColumn id="674" xr3:uid="{D32C185C-5C01-904D-AD8A-05D596311071}" uniqueName="674" name="Column674" queryTableFieldId="674" dataDxfId="102"/>
    <tableColumn id="675" xr3:uid="{209F3D8D-36FF-6445-BBDA-78A7747B745B}" uniqueName="675" name="Column675" queryTableFieldId="675" dataDxfId="101"/>
    <tableColumn id="676" xr3:uid="{D580DD84-ECB4-B547-BC2F-4FA62BB23269}" uniqueName="676" name="Column676" queryTableFieldId="676" dataDxfId="100"/>
    <tableColumn id="677" xr3:uid="{A5D76371-A8FA-8D47-A02F-64ADB3CE894E}" uniqueName="677" name="Column677" queryTableFieldId="677" dataDxfId="99"/>
    <tableColumn id="678" xr3:uid="{F0BB808D-A542-3D44-A2FA-7BF049B04FA9}" uniqueName="678" name="Column678" queryTableFieldId="678" dataDxfId="98"/>
    <tableColumn id="679" xr3:uid="{0422BCB6-7029-B049-8BC4-83C18D52A2DC}" uniqueName="679" name="Column679" queryTableFieldId="679" dataDxfId="97"/>
    <tableColumn id="680" xr3:uid="{D5589A84-C0F3-1D4D-B9CF-C4B6009F410C}" uniqueName="680" name="Column680" queryTableFieldId="680" dataDxfId="96"/>
    <tableColumn id="681" xr3:uid="{067C4F05-5682-A844-B159-CDA1E7EFB219}" uniqueName="681" name="Column681" queryTableFieldId="681" dataDxfId="95"/>
    <tableColumn id="682" xr3:uid="{B088397D-A17A-CC44-AEC8-24D6347B8F2F}" uniqueName="682" name="Column682" queryTableFieldId="682" dataDxfId="94"/>
    <tableColumn id="683" xr3:uid="{13726951-0CA7-7F48-BA39-02E29961CC99}" uniqueName="683" name="Column683" queryTableFieldId="683" dataDxfId="93"/>
    <tableColumn id="684" xr3:uid="{8F27130B-BB33-7E44-A820-1A4ACCC4992C}" uniqueName="684" name="Column684" queryTableFieldId="684" dataDxfId="92"/>
    <tableColumn id="685" xr3:uid="{3FB74473-82D4-6D49-92D2-87A1947E565A}" uniqueName="685" name="Column685" queryTableFieldId="685" dataDxfId="91"/>
    <tableColumn id="686" xr3:uid="{F714BC25-257C-AF41-9AC1-B1BE68FF242D}" uniqueName="686" name="Column686" queryTableFieldId="686" dataDxfId="90"/>
    <tableColumn id="687" xr3:uid="{6A32B31D-D1FA-CA44-8DD7-ECF096CFAE55}" uniqueName="687" name="Column687" queryTableFieldId="687" dataDxfId="89"/>
    <tableColumn id="688" xr3:uid="{4561D34A-27CA-FA44-9F17-F9E1038C50FA}" uniqueName="688" name="Column688" queryTableFieldId="688" dataDxfId="88"/>
    <tableColumn id="689" xr3:uid="{C3B234ED-6D9A-464F-9EA1-CBD9B72EB072}" uniqueName="689" name="Column689" queryTableFieldId="689" dataDxfId="87"/>
    <tableColumn id="690" xr3:uid="{C573C0B5-C029-C649-B707-18CDF7225CBA}" uniqueName="690" name="Column690" queryTableFieldId="690" dataDxfId="86"/>
    <tableColumn id="691" xr3:uid="{A35A4312-FD82-2C47-9A98-D23EA5E5B51A}" uniqueName="691" name="Column691" queryTableFieldId="691" dataDxfId="85"/>
    <tableColumn id="692" xr3:uid="{FADEBB27-206A-D744-AC05-850AD880334B}" uniqueName="692" name="Column692" queryTableFieldId="692" dataDxfId="84"/>
    <tableColumn id="693" xr3:uid="{CB6C4B48-1A57-4641-889D-B56855050EC3}" uniqueName="693" name="Column693" queryTableFieldId="693" dataDxfId="83"/>
    <tableColumn id="694" xr3:uid="{42EE2523-15B6-ED46-801C-1A8BD0D6D1BB}" uniqueName="694" name="Column694" queryTableFieldId="694" dataDxfId="82"/>
    <tableColumn id="695" xr3:uid="{27DA27BA-506A-2548-9C6F-47BC54CC3343}" uniqueName="695" name="Column695" queryTableFieldId="695" dataDxfId="81"/>
    <tableColumn id="696" xr3:uid="{12321984-A6BE-204B-9093-47434FE422B4}" uniqueName="696" name="Column696" queryTableFieldId="696" dataDxfId="80"/>
    <tableColumn id="697" xr3:uid="{79ED2342-F123-2B4D-8A00-848FAF0E3373}" uniqueName="697" name="Column697" queryTableFieldId="697" dataDxfId="79"/>
    <tableColumn id="698" xr3:uid="{D009374B-419B-8444-8418-5D0CF98A2F50}" uniqueName="698" name="Column698" queryTableFieldId="698" dataDxfId="78"/>
    <tableColumn id="699" xr3:uid="{7D2293AA-2524-534A-B2D8-808AA98CE3A2}" uniqueName="699" name="Column699" queryTableFieldId="699" dataDxfId="77"/>
    <tableColumn id="700" xr3:uid="{2C2D0EE3-D71F-EE45-B633-219C679E8BF7}" uniqueName="700" name="Column700" queryTableFieldId="700" dataDxfId="76"/>
    <tableColumn id="701" xr3:uid="{D939E80C-13E0-BA46-BA59-FCE22A2E3DE8}" uniqueName="701" name="Column701" queryTableFieldId="701" dataDxfId="75"/>
    <tableColumn id="702" xr3:uid="{55BF041F-BAE7-A046-8945-2170AF022B77}" uniqueName="702" name="Column702" queryTableFieldId="702" dataDxfId="74"/>
    <tableColumn id="703" xr3:uid="{886FC8A7-A6E8-3045-BB2C-5EB85087AD67}" uniqueName="703" name="Column703" queryTableFieldId="703" dataDxfId="73"/>
    <tableColumn id="704" xr3:uid="{1B0E21C0-0FCD-6645-93C5-01F959FC38D2}" uniqueName="704" name="Column704" queryTableFieldId="704" dataDxfId="72"/>
    <tableColumn id="705" xr3:uid="{5F6EA83A-9EB4-8D48-AC48-10F8D5112874}" uniqueName="705" name="Column705" queryTableFieldId="705" dataDxfId="71"/>
    <tableColumn id="706" xr3:uid="{683D2337-91B4-A34A-BD6D-4202A88C5CD8}" uniqueName="706" name="Column706" queryTableFieldId="706" dataDxfId="70"/>
    <tableColumn id="707" xr3:uid="{7F0F9912-C119-5044-8477-6BC36C50458A}" uniqueName="707" name="Column707" queryTableFieldId="707" dataDxfId="69"/>
    <tableColumn id="708" xr3:uid="{D3AD1FF7-B17B-AC4E-8BD4-C2097FC506CC}" uniqueName="708" name="Column708" queryTableFieldId="708" dataDxfId="68"/>
    <tableColumn id="709" xr3:uid="{DB67940D-D58E-B742-BD47-3A5996152729}" uniqueName="709" name="Column709" queryTableFieldId="709" dataDxfId="67"/>
    <tableColumn id="710" xr3:uid="{966D6585-2B9B-7144-B602-EEBD639B0C0D}" uniqueName="710" name="Column710" queryTableFieldId="710" dataDxfId="66"/>
    <tableColumn id="711" xr3:uid="{3AF9DD42-03A0-A841-8AEB-B4CBCE437E70}" uniqueName="711" name="Column711" queryTableFieldId="711" dataDxfId="65"/>
    <tableColumn id="712" xr3:uid="{7E23E0BE-0DCE-2A41-97D0-C1527D35794D}" uniqueName="712" name="Column712" queryTableFieldId="712" dataDxfId="64"/>
    <tableColumn id="713" xr3:uid="{7908E9D4-785B-D74A-9B22-920EE013DB49}" uniqueName="713" name="Column713" queryTableFieldId="713" dataDxfId="63"/>
    <tableColumn id="714" xr3:uid="{E99C5A1C-0D24-DC41-AD7C-40B43E948C85}" uniqueName="714" name="Column714" queryTableFieldId="714" dataDxfId="62"/>
    <tableColumn id="715" xr3:uid="{C1B770D5-6A30-F04B-A521-67EF79D1F48A}" uniqueName="715" name="Column715" queryTableFieldId="715" dataDxfId="61"/>
    <tableColumn id="716" xr3:uid="{027C18F8-663D-9945-B36B-1F8BCF9837F1}" uniqueName="716" name="Column716" queryTableFieldId="716" dataDxfId="60"/>
    <tableColumn id="717" xr3:uid="{3E415DA7-FD87-0E40-A6F0-0FA8F08D3CEC}" uniqueName="717" name="Column717" queryTableFieldId="717" dataDxfId="59"/>
    <tableColumn id="718" xr3:uid="{FBAEFF57-4A6F-8940-B000-6F2E38CF490E}" uniqueName="718" name="Column718" queryTableFieldId="718" dataDxfId="58"/>
    <tableColumn id="719" xr3:uid="{A06C4B0B-BFCC-8D40-A8AA-FBCE0C87957B}" uniqueName="719" name="Column719" queryTableFieldId="719" dataDxfId="57"/>
    <tableColumn id="720" xr3:uid="{2E6C2CAE-2020-6E45-83E1-64F47C2EA95D}" uniqueName="720" name="Column720" queryTableFieldId="720" dataDxfId="56"/>
    <tableColumn id="721" xr3:uid="{598BB6CB-D522-2F43-97B9-AE0A692590DC}" uniqueName="721" name="Column721" queryTableFieldId="721" dataDxfId="55"/>
    <tableColumn id="722" xr3:uid="{94B64559-6909-2143-899D-1D0D821D3010}" uniqueName="722" name="Column722" queryTableFieldId="722" dataDxfId="54"/>
    <tableColumn id="723" xr3:uid="{2BD32644-393C-4D43-A624-74EF5467ECDD}" uniqueName="723" name="Column723" queryTableFieldId="723" dataDxfId="53"/>
    <tableColumn id="724" xr3:uid="{2B7B2485-940F-B94D-8BBE-0833C3023959}" uniqueName="724" name="Column724" queryTableFieldId="724" dataDxfId="52"/>
    <tableColumn id="725" xr3:uid="{3F8BAFD7-F2A4-904A-8A75-E3455322B9DF}" uniqueName="725" name="Column725" queryTableFieldId="725" dataDxfId="51"/>
    <tableColumn id="726" xr3:uid="{DEC4F3E9-EE85-B54F-A7AF-F79BD4257569}" uniqueName="726" name="Column726" queryTableFieldId="726" dataDxfId="50"/>
    <tableColumn id="727" xr3:uid="{4AC5A1E2-BC3F-F34D-94E5-78F83AEF2127}" uniqueName="727" name="Column727" queryTableFieldId="727" dataDxfId="49"/>
    <tableColumn id="728" xr3:uid="{042CAFAC-3556-5146-929B-78D128767775}" uniqueName="728" name="Column728" queryTableFieldId="728" dataDxfId="48"/>
    <tableColumn id="729" xr3:uid="{C047F364-8822-0547-9F30-AF4F48E49CD8}" uniqueName="729" name="Column729" queryTableFieldId="729" dataDxfId="47"/>
    <tableColumn id="730" xr3:uid="{84C2B352-1537-DC4E-97B0-8A98A48168C6}" uniqueName="730" name="Column730" queryTableFieldId="730" dataDxfId="46"/>
    <tableColumn id="731" xr3:uid="{B47B7D87-D7C0-B644-A8EE-75DE2D61F363}" uniqueName="731" name="Column731" queryTableFieldId="731" dataDxfId="45"/>
    <tableColumn id="732" xr3:uid="{85A753FD-71EC-E642-ACB6-F6287A9FF08C}" uniqueName="732" name="Column732" queryTableFieldId="732" dataDxfId="44"/>
    <tableColumn id="733" xr3:uid="{1935FCA0-ACC5-034D-8CC2-DE8517A3ED99}" uniqueName="733" name="Column733" queryTableFieldId="733" dataDxfId="43"/>
    <tableColumn id="734" xr3:uid="{E78118A9-F068-4D4C-B4CD-ACEC6EACE5E9}" uniqueName="734" name="Column734" queryTableFieldId="734" dataDxfId="42"/>
    <tableColumn id="735" xr3:uid="{8F59C4CB-5E17-7049-AC02-B4C291C07AE9}" uniqueName="735" name="Column735" queryTableFieldId="735" dataDxfId="41"/>
    <tableColumn id="736" xr3:uid="{040166C7-48EE-7741-9184-C7E27F42CA96}" uniqueName="736" name="Column736" queryTableFieldId="736" dataDxfId="40"/>
    <tableColumn id="737" xr3:uid="{0884D0FC-2418-E042-9A24-B0EFA36CAF29}" uniqueName="737" name="Column737" queryTableFieldId="737" dataDxfId="39"/>
    <tableColumn id="738" xr3:uid="{B0B7627E-707D-DC4B-905F-4FB603C7BCCD}" uniqueName="738" name="Column738" queryTableFieldId="738" dataDxfId="38"/>
    <tableColumn id="739" xr3:uid="{DEBF1D1C-5CEE-A540-9072-F7B5CF01E350}" uniqueName="739" name="Column739" queryTableFieldId="739" dataDxfId="37"/>
    <tableColumn id="740" xr3:uid="{DD7B9D07-4799-9C4C-91F5-4C7E29542725}" uniqueName="740" name="Column740" queryTableFieldId="740" dataDxfId="36"/>
    <tableColumn id="741" xr3:uid="{A434986A-7A33-4F49-A5B1-DC9E0CA542A4}" uniqueName="741" name="Column741" queryTableFieldId="741" dataDxfId="35"/>
    <tableColumn id="742" xr3:uid="{05D15B62-8D09-FE48-9297-4CF5CC1D1990}" uniqueName="742" name="Column742" queryTableFieldId="742" dataDxfId="34"/>
    <tableColumn id="743" xr3:uid="{CF5AEC2C-791E-B64A-B2A1-7C7F7F22B5F9}" uniqueName="743" name="Column743" queryTableFieldId="743" dataDxfId="33"/>
    <tableColumn id="744" xr3:uid="{321A5746-E7CD-E746-98F7-E1CBBACD2D2E}" uniqueName="744" name="Column744" queryTableFieldId="744" dataDxfId="32"/>
    <tableColumn id="745" xr3:uid="{B406644D-1461-9840-AE92-D59E91B2AEBB}" uniqueName="745" name="Column745" queryTableFieldId="745" dataDxfId="31"/>
    <tableColumn id="746" xr3:uid="{1405C657-0309-E642-8DD4-F596594FB314}" uniqueName="746" name="Column746" queryTableFieldId="746" dataDxfId="30"/>
    <tableColumn id="747" xr3:uid="{DE6D8114-41C2-9D46-9480-EAAA23460541}" uniqueName="747" name="Column747" queryTableFieldId="747" dataDxfId="29"/>
    <tableColumn id="748" xr3:uid="{9B4C9745-FB7E-3D4C-9539-963B95A48BBE}" uniqueName="748" name="Column748" queryTableFieldId="748" dataDxfId="28"/>
    <tableColumn id="749" xr3:uid="{04B6A5AA-F717-1E4E-BCEB-B96154737E94}" uniqueName="749" name="Column749" queryTableFieldId="749" dataDxfId="27"/>
    <tableColumn id="750" xr3:uid="{4B9C0812-2517-E440-8902-2F0C2B6F49DA}" uniqueName="750" name="Column750" queryTableFieldId="750" dataDxfId="26"/>
    <tableColumn id="751" xr3:uid="{31191D35-0ED8-714F-B936-BE3EF0E7FD6A}" uniqueName="751" name="Column751" queryTableFieldId="751" dataDxfId="25"/>
    <tableColumn id="752" xr3:uid="{2BFF0BA8-D99C-584E-9D7C-CF5D71860DAB}" uniqueName="752" name="Column752" queryTableFieldId="752" dataDxfId="24"/>
    <tableColumn id="753" xr3:uid="{E45F2189-F809-0C45-B3ED-9A9F34AB7A2F}" uniqueName="753" name="Column753" queryTableFieldId="753" dataDxfId="23"/>
    <tableColumn id="754" xr3:uid="{71FB5E3E-DA59-8A4F-B792-54805F75733F}" uniqueName="754" name="Column754" queryTableFieldId="754" dataDxfId="22"/>
    <tableColumn id="755" xr3:uid="{9F2B7BBD-5FE5-544F-B6D9-0F792B4A1067}" uniqueName="755" name="Column755" queryTableFieldId="755" dataDxfId="21"/>
    <tableColumn id="756" xr3:uid="{EFC16E4D-FFC6-6541-ADAA-E809B70247A5}" uniqueName="756" name="Column756" queryTableFieldId="756" dataDxfId="20"/>
    <tableColumn id="757" xr3:uid="{84D7FEA6-8CDE-1148-BF5F-30CDF3B22D36}" uniqueName="757" name="Column757" queryTableFieldId="757" dataDxfId="19"/>
    <tableColumn id="758" xr3:uid="{B1D1881F-7FDB-7049-ACE4-B566D28DD7C1}" uniqueName="758" name="Column758" queryTableFieldId="758" dataDxfId="18"/>
    <tableColumn id="759" xr3:uid="{44E5A20F-3BCC-D146-A11C-A94E95CF2614}" uniqueName="759" name="Column759" queryTableFieldId="759" dataDxfId="17"/>
    <tableColumn id="760" xr3:uid="{E352EBAA-C826-9B40-ACD3-B502ED774A88}" uniqueName="760" name="Column760" queryTableFieldId="760" dataDxfId="16"/>
    <tableColumn id="761" xr3:uid="{4B78F055-A9E2-E642-A61B-99FCEB45777D}" uniqueName="761" name="Column761" queryTableFieldId="761" dataDxfId="15"/>
    <tableColumn id="762" xr3:uid="{B0227A05-E067-B24D-9D60-8A87431B2B74}" uniqueName="762" name="Column762" queryTableFieldId="762" dataDxfId="14"/>
    <tableColumn id="763" xr3:uid="{EE6A9747-D258-C545-A057-47B2390FD9C3}" uniqueName="763" name="Column763" queryTableFieldId="763" dataDxfId="13"/>
    <tableColumn id="764" xr3:uid="{3C9973D9-3792-AD40-941A-61ABC291046A}" uniqueName="764" name="Column764" queryTableFieldId="764" dataDxfId="12"/>
    <tableColumn id="765" xr3:uid="{CF05F8A9-68AC-9A4A-A95B-37BF135BA7E9}" uniqueName="765" name="Column765" queryTableFieldId="765" dataDxfId="11"/>
    <tableColumn id="766" xr3:uid="{8CE85E69-3E34-DB42-A06D-ABAA32539077}" uniqueName="766" name="Column766" queryTableFieldId="766" dataDxfId="10"/>
    <tableColumn id="767" xr3:uid="{83546B69-93B6-594D-A3F8-81FD3AF6A508}" uniqueName="767" name="Column767" queryTableFieldId="767" dataDxfId="9"/>
    <tableColumn id="768" xr3:uid="{8659787D-03DF-3C4C-8AB6-4CDD5F2F2121}" uniqueName="768" name="Column768" queryTableFieldId="768" dataDxfId="8"/>
    <tableColumn id="769" xr3:uid="{FF7223E3-A0FE-0242-BBE1-DF64C3EE9AAD}" uniqueName="769" name="Column769" queryTableFieldId="769" dataDxfId="7"/>
    <tableColumn id="770" xr3:uid="{95A9010F-7FC2-E24A-BBBA-FC552C020CA3}" uniqueName="770" name="Column770" queryTableFieldId="770" dataDxfId="6"/>
    <tableColumn id="771" xr3:uid="{E9F722B6-CD43-E348-9383-50152B285126}" uniqueName="771" name="Column771" queryTableFieldId="771" dataDxfId="5"/>
    <tableColumn id="772" xr3:uid="{BC15D959-2132-0D48-A1BC-CA8D1285347F}" uniqueName="772" name="Column772" queryTableFieldId="772" dataDxfId="4"/>
    <tableColumn id="773" xr3:uid="{B3F0D502-0BAA-B040-86A4-B39DA760419F}" uniqueName="773" name="Column773" queryTableFieldId="773" dataDxfId="3"/>
    <tableColumn id="774" xr3:uid="{E090AEBF-B7C3-8D4C-A3E0-A497A6E5031C}" uniqueName="774" name="Column774" queryTableFieldId="774" dataDxfId="2"/>
    <tableColumn id="775" xr3:uid="{261F55DE-A7D9-4142-A706-DBF20BBA8155}" uniqueName="775" name="Column775" queryTableFieldId="775" dataDxfId="1"/>
    <tableColumn id="776" xr3:uid="{5EE09C93-94FE-0347-A260-98BF6138BFDE}" uniqueName="776" name="Column776" queryTableFieldId="77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E771208-1AC9-4A40-BA15-FD5FC3885D72}">
  <we:reference id="wa104379190" version="2.0.0.0" store="en-GB" storeType="OMEX"/>
  <we:alternateReferences>
    <we:reference id="WA104379190" version="2.0.0.0" store="WA104379190" storeType="OMEX"/>
  </we:alternateReferences>
  <we:properties/>
  <we:bindings>
    <we:binding id="RangeSelect" type="matrix" appref="{DAEF97F9-F41B-5B4B-84DB-EBC2289992ED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378D9-C976-B041-8101-04663F236AD9}">
  <dimension ref="A1:ACX91"/>
  <sheetViews>
    <sheetView topLeftCell="ACN52" workbookViewId="0"/>
  </sheetViews>
  <sheetFormatPr baseColWidth="10" defaultRowHeight="16" x14ac:dyDescent="0.2"/>
  <cols>
    <col min="1" max="1" width="12.6640625" bestFit="1" customWidth="1"/>
    <col min="2" max="2" width="21.6640625" bestFit="1" customWidth="1"/>
    <col min="3" max="4" width="20.5" bestFit="1" customWidth="1"/>
    <col min="5" max="6" width="21.6640625" bestFit="1" customWidth="1"/>
    <col min="7" max="7" width="22.6640625" bestFit="1" customWidth="1"/>
    <col min="8" max="9" width="21.6640625" bestFit="1" customWidth="1"/>
    <col min="10" max="10" width="20.5" bestFit="1" customWidth="1"/>
    <col min="11" max="12" width="21.6640625" bestFit="1" customWidth="1"/>
    <col min="13" max="13" width="20.83203125" bestFit="1" customWidth="1"/>
    <col min="14" max="14" width="21.6640625" bestFit="1" customWidth="1"/>
    <col min="15" max="16" width="20.5" bestFit="1" customWidth="1"/>
    <col min="17" max="17" width="22" bestFit="1" customWidth="1"/>
    <col min="18" max="18" width="20.83203125" bestFit="1" customWidth="1"/>
    <col min="19" max="21" width="21.6640625" bestFit="1" customWidth="1"/>
    <col min="22" max="22" width="20.83203125" bestFit="1" customWidth="1"/>
    <col min="23" max="24" width="20.5" bestFit="1" customWidth="1"/>
    <col min="25" max="27" width="21.6640625" bestFit="1" customWidth="1"/>
    <col min="28" max="29" width="20.83203125" bestFit="1" customWidth="1"/>
    <col min="30" max="30" width="22.6640625" bestFit="1" customWidth="1"/>
    <col min="31" max="31" width="20.83203125" bestFit="1" customWidth="1"/>
    <col min="32" max="32" width="21.6640625" bestFit="1" customWidth="1"/>
    <col min="33" max="33" width="20.83203125" bestFit="1" customWidth="1"/>
    <col min="34" max="35" width="20.5" bestFit="1" customWidth="1"/>
    <col min="36" max="36" width="22.6640625" bestFit="1" customWidth="1"/>
    <col min="37" max="37" width="21.6640625" bestFit="1" customWidth="1"/>
    <col min="38" max="38" width="20.5" bestFit="1" customWidth="1"/>
    <col min="39" max="39" width="21.6640625" bestFit="1" customWidth="1"/>
    <col min="40" max="40" width="20.83203125" bestFit="1" customWidth="1"/>
    <col min="41" max="41" width="20.5" bestFit="1" customWidth="1"/>
    <col min="42" max="42" width="20.83203125" bestFit="1" customWidth="1"/>
    <col min="43" max="43" width="22" bestFit="1" customWidth="1"/>
    <col min="44" max="44" width="22.6640625" bestFit="1" customWidth="1"/>
    <col min="45" max="45" width="22" bestFit="1" customWidth="1"/>
    <col min="46" max="46" width="20.83203125" bestFit="1" customWidth="1"/>
    <col min="47" max="47" width="20.5" bestFit="1" customWidth="1"/>
    <col min="48" max="48" width="21.6640625" bestFit="1" customWidth="1"/>
    <col min="49" max="49" width="22" bestFit="1" customWidth="1"/>
    <col min="50" max="50" width="20.5" bestFit="1" customWidth="1"/>
    <col min="51" max="51" width="20.83203125" bestFit="1" customWidth="1"/>
    <col min="52" max="54" width="20.5" bestFit="1" customWidth="1"/>
    <col min="55" max="55" width="21.6640625" bestFit="1" customWidth="1"/>
    <col min="56" max="57" width="20.83203125" bestFit="1" customWidth="1"/>
    <col min="58" max="58" width="22" bestFit="1" customWidth="1"/>
    <col min="59" max="59" width="21.6640625" bestFit="1" customWidth="1"/>
    <col min="60" max="60" width="20.5" bestFit="1" customWidth="1"/>
    <col min="61" max="61" width="20.83203125" bestFit="1" customWidth="1"/>
    <col min="62" max="62" width="20.5" bestFit="1" customWidth="1"/>
    <col min="63" max="63" width="21.6640625" bestFit="1" customWidth="1"/>
    <col min="64" max="64" width="22.6640625" bestFit="1" customWidth="1"/>
    <col min="65" max="65" width="21.6640625" bestFit="1" customWidth="1"/>
    <col min="66" max="66" width="20.5" bestFit="1" customWidth="1"/>
    <col min="67" max="67" width="20.83203125" bestFit="1" customWidth="1"/>
    <col min="68" max="68" width="23.6640625" bestFit="1" customWidth="1"/>
    <col min="69" max="69" width="21.6640625" bestFit="1" customWidth="1"/>
    <col min="70" max="70" width="20.83203125" bestFit="1" customWidth="1"/>
    <col min="71" max="71" width="21.6640625" bestFit="1" customWidth="1"/>
    <col min="72" max="72" width="20.5" bestFit="1" customWidth="1"/>
    <col min="73" max="74" width="20.83203125" bestFit="1" customWidth="1"/>
    <col min="75" max="75" width="21.6640625" bestFit="1" customWidth="1"/>
    <col min="76" max="76" width="20.5" bestFit="1" customWidth="1"/>
    <col min="77" max="79" width="20.83203125" bestFit="1" customWidth="1"/>
    <col min="80" max="81" width="20.5" bestFit="1" customWidth="1"/>
    <col min="82" max="82" width="21.6640625" bestFit="1" customWidth="1"/>
    <col min="83" max="83" width="20.83203125" bestFit="1" customWidth="1"/>
    <col min="84" max="84" width="21.6640625" bestFit="1" customWidth="1"/>
    <col min="85" max="85" width="20.5" bestFit="1" customWidth="1"/>
    <col min="86" max="86" width="20.83203125" bestFit="1" customWidth="1"/>
    <col min="87" max="88" width="21.6640625" bestFit="1" customWidth="1"/>
    <col min="89" max="89" width="20.5" bestFit="1" customWidth="1"/>
    <col min="90" max="96" width="21.6640625" bestFit="1" customWidth="1"/>
    <col min="97" max="97" width="22.6640625" bestFit="1" customWidth="1"/>
    <col min="98" max="99" width="21.6640625" bestFit="1" customWidth="1"/>
    <col min="100" max="100" width="20.83203125" bestFit="1" customWidth="1"/>
    <col min="101" max="101" width="20.5" bestFit="1" customWidth="1"/>
    <col min="102" max="103" width="20.83203125" bestFit="1" customWidth="1"/>
    <col min="104" max="104" width="20.5" bestFit="1" customWidth="1"/>
    <col min="105" max="105" width="22" bestFit="1" customWidth="1"/>
    <col min="106" max="106" width="21.6640625" bestFit="1" customWidth="1"/>
    <col min="107" max="107" width="20.5" bestFit="1" customWidth="1"/>
    <col min="108" max="108" width="20.83203125" bestFit="1" customWidth="1"/>
    <col min="109" max="109" width="20.5" bestFit="1" customWidth="1"/>
    <col min="110" max="113" width="20.83203125" bestFit="1" customWidth="1"/>
    <col min="114" max="114" width="20.5" bestFit="1" customWidth="1"/>
    <col min="115" max="116" width="21.6640625" bestFit="1" customWidth="1"/>
    <col min="117" max="117" width="20.5" bestFit="1" customWidth="1"/>
    <col min="118" max="118" width="20.83203125" bestFit="1" customWidth="1"/>
    <col min="119" max="119" width="21.6640625" bestFit="1" customWidth="1"/>
    <col min="120" max="120" width="20.5" bestFit="1" customWidth="1"/>
    <col min="121" max="126" width="21.6640625" bestFit="1" customWidth="1"/>
    <col min="127" max="127" width="22.6640625" bestFit="1" customWidth="1"/>
    <col min="128" max="128" width="20.83203125" bestFit="1" customWidth="1"/>
    <col min="129" max="129" width="20.5" bestFit="1" customWidth="1"/>
    <col min="130" max="132" width="21.6640625" bestFit="1" customWidth="1"/>
    <col min="133" max="133" width="20.5" bestFit="1" customWidth="1"/>
    <col min="134" max="134" width="21.6640625" bestFit="1" customWidth="1"/>
    <col min="135" max="137" width="20.83203125" bestFit="1" customWidth="1"/>
    <col min="138" max="138" width="21.6640625" bestFit="1" customWidth="1"/>
    <col min="139" max="140" width="20.5" bestFit="1" customWidth="1"/>
    <col min="141" max="141" width="21.6640625" bestFit="1" customWidth="1"/>
    <col min="142" max="142" width="22.6640625" bestFit="1" customWidth="1"/>
    <col min="143" max="144" width="20.83203125" bestFit="1" customWidth="1"/>
    <col min="145" max="145" width="22.6640625" bestFit="1" customWidth="1"/>
    <col min="146" max="147" width="21.6640625" bestFit="1" customWidth="1"/>
    <col min="148" max="148" width="22.6640625" bestFit="1" customWidth="1"/>
    <col min="149" max="150" width="21.6640625" bestFit="1" customWidth="1"/>
    <col min="151" max="151" width="22" bestFit="1" customWidth="1"/>
    <col min="152" max="152" width="21.6640625" bestFit="1" customWidth="1"/>
    <col min="153" max="153" width="20.5" bestFit="1" customWidth="1"/>
    <col min="154" max="154" width="21.6640625" bestFit="1" customWidth="1"/>
    <col min="155" max="155" width="20.83203125" bestFit="1" customWidth="1"/>
    <col min="156" max="159" width="21.6640625" bestFit="1" customWidth="1"/>
    <col min="160" max="160" width="20.83203125" bestFit="1" customWidth="1"/>
    <col min="161" max="161" width="21.6640625" bestFit="1" customWidth="1"/>
    <col min="162" max="162" width="20.5" bestFit="1" customWidth="1"/>
    <col min="163" max="163" width="22" bestFit="1" customWidth="1"/>
    <col min="164" max="164" width="20.83203125" bestFit="1" customWidth="1"/>
    <col min="165" max="165" width="21.6640625" bestFit="1" customWidth="1"/>
    <col min="166" max="166" width="22.6640625" bestFit="1" customWidth="1"/>
    <col min="167" max="167" width="20.5" bestFit="1" customWidth="1"/>
    <col min="168" max="168" width="21.6640625" bestFit="1" customWidth="1"/>
    <col min="169" max="169" width="20.5" bestFit="1" customWidth="1"/>
    <col min="170" max="170" width="20.83203125" bestFit="1" customWidth="1"/>
    <col min="171" max="171" width="21.6640625" bestFit="1" customWidth="1"/>
    <col min="172" max="172" width="20.5" bestFit="1" customWidth="1"/>
    <col min="173" max="173" width="23.6640625" bestFit="1" customWidth="1"/>
    <col min="174" max="175" width="20.5" bestFit="1" customWidth="1"/>
    <col min="176" max="176" width="21.6640625" bestFit="1" customWidth="1"/>
    <col min="177" max="177" width="20.5" bestFit="1" customWidth="1"/>
    <col min="178" max="178" width="20.83203125" bestFit="1" customWidth="1"/>
    <col min="179" max="181" width="21.6640625" bestFit="1" customWidth="1"/>
    <col min="182" max="182" width="20.83203125" bestFit="1" customWidth="1"/>
    <col min="183" max="183" width="21.6640625" bestFit="1" customWidth="1"/>
    <col min="184" max="184" width="22.6640625" bestFit="1" customWidth="1"/>
    <col min="185" max="185" width="22" bestFit="1" customWidth="1"/>
    <col min="186" max="186" width="21.6640625" bestFit="1" customWidth="1"/>
    <col min="187" max="187" width="22.6640625" bestFit="1" customWidth="1"/>
    <col min="188" max="188" width="22" bestFit="1" customWidth="1"/>
    <col min="189" max="189" width="23" bestFit="1" customWidth="1"/>
    <col min="190" max="190" width="21.6640625" bestFit="1" customWidth="1"/>
    <col min="191" max="191" width="20.83203125" bestFit="1" customWidth="1"/>
    <col min="192" max="194" width="21.6640625" bestFit="1" customWidth="1"/>
    <col min="195" max="195" width="22.6640625" bestFit="1" customWidth="1"/>
    <col min="196" max="196" width="20.5" bestFit="1" customWidth="1"/>
    <col min="197" max="197" width="22" bestFit="1" customWidth="1"/>
    <col min="198" max="198" width="20.5" bestFit="1" customWidth="1"/>
    <col min="199" max="200" width="21.6640625" bestFit="1" customWidth="1"/>
    <col min="201" max="201" width="22.6640625" bestFit="1" customWidth="1"/>
    <col min="202" max="202" width="20.83203125" bestFit="1" customWidth="1"/>
    <col min="203" max="203" width="22" bestFit="1" customWidth="1"/>
    <col min="204" max="206" width="21.6640625" bestFit="1" customWidth="1"/>
    <col min="207" max="207" width="20.5" bestFit="1" customWidth="1"/>
    <col min="208" max="208" width="21.6640625" bestFit="1" customWidth="1"/>
    <col min="209" max="211" width="20.5" bestFit="1" customWidth="1"/>
    <col min="212" max="212" width="20.83203125" bestFit="1" customWidth="1"/>
    <col min="213" max="213" width="21.6640625" bestFit="1" customWidth="1"/>
    <col min="214" max="214" width="20.5" bestFit="1" customWidth="1"/>
    <col min="215" max="215" width="20.83203125" bestFit="1" customWidth="1"/>
    <col min="216" max="216" width="22.6640625" bestFit="1" customWidth="1"/>
    <col min="217" max="219" width="21.6640625" bestFit="1" customWidth="1"/>
    <col min="220" max="220" width="20.83203125" bestFit="1" customWidth="1"/>
    <col min="221" max="221" width="20.5" bestFit="1" customWidth="1"/>
    <col min="222" max="222" width="20.83203125" bestFit="1" customWidth="1"/>
    <col min="223" max="223" width="21.6640625" bestFit="1" customWidth="1"/>
    <col min="224" max="224" width="20.83203125" bestFit="1" customWidth="1"/>
    <col min="225" max="225" width="22.6640625" bestFit="1" customWidth="1"/>
    <col min="226" max="226" width="21.6640625" bestFit="1" customWidth="1"/>
    <col min="227" max="228" width="22.6640625" bestFit="1" customWidth="1"/>
    <col min="229" max="229" width="20.5" bestFit="1" customWidth="1"/>
    <col min="230" max="231" width="20.83203125" bestFit="1" customWidth="1"/>
    <col min="232" max="232" width="21.6640625" bestFit="1" customWidth="1"/>
    <col min="233" max="233" width="20.5" bestFit="1" customWidth="1"/>
    <col min="234" max="237" width="21.6640625" bestFit="1" customWidth="1"/>
    <col min="238" max="239" width="20.83203125" bestFit="1" customWidth="1"/>
    <col min="240" max="240" width="22" bestFit="1" customWidth="1"/>
    <col min="241" max="241" width="21.6640625" bestFit="1" customWidth="1"/>
    <col min="242" max="243" width="20.5" bestFit="1" customWidth="1"/>
    <col min="244" max="245" width="20.83203125" bestFit="1" customWidth="1"/>
    <col min="246" max="246" width="21.6640625" bestFit="1" customWidth="1"/>
    <col min="247" max="247" width="20.83203125" bestFit="1" customWidth="1"/>
    <col min="248" max="250" width="20.5" bestFit="1" customWidth="1"/>
    <col min="251" max="252" width="21.6640625" bestFit="1" customWidth="1"/>
    <col min="253" max="253" width="20.83203125" bestFit="1" customWidth="1"/>
    <col min="254" max="254" width="21.6640625" bestFit="1" customWidth="1"/>
    <col min="255" max="255" width="20.83203125" bestFit="1" customWidth="1"/>
    <col min="256" max="256" width="20.5" bestFit="1" customWidth="1"/>
    <col min="257" max="258" width="21.6640625" bestFit="1" customWidth="1"/>
    <col min="259" max="259" width="20.83203125" bestFit="1" customWidth="1"/>
    <col min="260" max="261" width="20.5" bestFit="1" customWidth="1"/>
    <col min="262" max="262" width="22.6640625" bestFit="1" customWidth="1"/>
    <col min="263" max="264" width="21.6640625" bestFit="1" customWidth="1"/>
    <col min="265" max="265" width="20.5" bestFit="1" customWidth="1"/>
    <col min="266" max="267" width="22" bestFit="1" customWidth="1"/>
    <col min="268" max="268" width="21.6640625" bestFit="1" customWidth="1"/>
    <col min="269" max="269" width="23" bestFit="1" customWidth="1"/>
    <col min="270" max="273" width="20.83203125" bestFit="1" customWidth="1"/>
    <col min="274" max="274" width="20.5" bestFit="1" customWidth="1"/>
    <col min="275" max="275" width="21.6640625" bestFit="1" customWidth="1"/>
    <col min="276" max="276" width="20.5" bestFit="1" customWidth="1"/>
    <col min="277" max="277" width="21.6640625" bestFit="1" customWidth="1"/>
    <col min="278" max="278" width="23.6640625" bestFit="1" customWidth="1"/>
    <col min="279" max="279" width="20.5" bestFit="1" customWidth="1"/>
    <col min="280" max="281" width="21.6640625" bestFit="1" customWidth="1"/>
    <col min="282" max="282" width="20.83203125" bestFit="1" customWidth="1"/>
    <col min="283" max="283" width="21.6640625" bestFit="1" customWidth="1"/>
    <col min="284" max="284" width="20.83203125" bestFit="1" customWidth="1"/>
    <col min="285" max="287" width="21.6640625" bestFit="1" customWidth="1"/>
    <col min="288" max="288" width="20.5" bestFit="1" customWidth="1"/>
    <col min="289" max="289" width="23" bestFit="1" customWidth="1"/>
    <col min="290" max="293" width="21.6640625" bestFit="1" customWidth="1"/>
    <col min="294" max="294" width="22" bestFit="1" customWidth="1"/>
    <col min="295" max="295" width="21.6640625" bestFit="1" customWidth="1"/>
    <col min="296" max="296" width="22" bestFit="1" customWidth="1"/>
    <col min="297" max="297" width="20.5" bestFit="1" customWidth="1"/>
    <col min="298" max="298" width="20.83203125" bestFit="1" customWidth="1"/>
    <col min="299" max="299" width="21.6640625" bestFit="1" customWidth="1"/>
    <col min="300" max="300" width="20.5" bestFit="1" customWidth="1"/>
    <col min="301" max="302" width="20.83203125" bestFit="1" customWidth="1"/>
    <col min="303" max="303" width="21.6640625" bestFit="1" customWidth="1"/>
    <col min="304" max="304" width="20.83203125" bestFit="1" customWidth="1"/>
    <col min="305" max="305" width="21.6640625" bestFit="1" customWidth="1"/>
    <col min="306" max="306" width="20.83203125" bestFit="1" customWidth="1"/>
    <col min="307" max="307" width="20.5" bestFit="1" customWidth="1"/>
    <col min="308" max="308" width="20.83203125" bestFit="1" customWidth="1"/>
    <col min="309" max="310" width="20.5" bestFit="1" customWidth="1"/>
    <col min="311" max="311" width="21.6640625" bestFit="1" customWidth="1"/>
    <col min="312" max="312" width="20.83203125" bestFit="1" customWidth="1"/>
    <col min="313" max="313" width="21.6640625" bestFit="1" customWidth="1"/>
    <col min="314" max="314" width="20.83203125" bestFit="1" customWidth="1"/>
    <col min="315" max="315" width="20.5" bestFit="1" customWidth="1"/>
    <col min="316" max="317" width="21.6640625" bestFit="1" customWidth="1"/>
    <col min="318" max="318" width="20.83203125" bestFit="1" customWidth="1"/>
    <col min="319" max="319" width="22" bestFit="1" customWidth="1"/>
    <col min="320" max="320" width="21.6640625" bestFit="1" customWidth="1"/>
    <col min="321" max="321" width="20.5" bestFit="1" customWidth="1"/>
    <col min="322" max="323" width="20.83203125" bestFit="1" customWidth="1"/>
    <col min="324" max="324" width="20.5" bestFit="1" customWidth="1"/>
    <col min="325" max="326" width="21.6640625" bestFit="1" customWidth="1"/>
    <col min="327" max="327" width="22" bestFit="1" customWidth="1"/>
    <col min="328" max="328" width="20.5" bestFit="1" customWidth="1"/>
    <col min="329" max="329" width="23.6640625" bestFit="1" customWidth="1"/>
    <col min="330" max="330" width="21.6640625" bestFit="1" customWidth="1"/>
    <col min="331" max="331" width="20.5" bestFit="1" customWidth="1"/>
    <col min="332" max="332" width="22.6640625" bestFit="1" customWidth="1"/>
    <col min="333" max="333" width="20.83203125" bestFit="1" customWidth="1"/>
    <col min="334" max="335" width="21.6640625" bestFit="1" customWidth="1"/>
    <col min="336" max="336" width="22" bestFit="1" customWidth="1"/>
    <col min="337" max="337" width="22.6640625" bestFit="1" customWidth="1"/>
    <col min="338" max="338" width="20.83203125" bestFit="1" customWidth="1"/>
    <col min="339" max="339" width="21.6640625" bestFit="1" customWidth="1"/>
    <col min="340" max="340" width="20.5" bestFit="1" customWidth="1"/>
    <col min="341" max="342" width="20.83203125" bestFit="1" customWidth="1"/>
    <col min="343" max="343" width="20.5" bestFit="1" customWidth="1"/>
    <col min="344" max="344" width="20.83203125" bestFit="1" customWidth="1"/>
    <col min="345" max="345" width="21.6640625" bestFit="1" customWidth="1"/>
    <col min="346" max="346" width="20.83203125" bestFit="1" customWidth="1"/>
    <col min="347" max="348" width="21.6640625" bestFit="1" customWidth="1"/>
    <col min="349" max="349" width="20.5" bestFit="1" customWidth="1"/>
    <col min="350" max="350" width="22.6640625" bestFit="1" customWidth="1"/>
    <col min="351" max="351" width="20.83203125" bestFit="1" customWidth="1"/>
    <col min="352" max="352" width="22.6640625" bestFit="1" customWidth="1"/>
    <col min="353" max="353" width="20.5" bestFit="1" customWidth="1"/>
    <col min="354" max="354" width="20.83203125" bestFit="1" customWidth="1"/>
    <col min="355" max="356" width="21.6640625" bestFit="1" customWidth="1"/>
    <col min="357" max="357" width="22.6640625" bestFit="1" customWidth="1"/>
    <col min="358" max="359" width="21.6640625" bestFit="1" customWidth="1"/>
    <col min="360" max="361" width="20.5" bestFit="1" customWidth="1"/>
    <col min="362" max="362" width="21.6640625" bestFit="1" customWidth="1"/>
    <col min="363" max="365" width="20.5" bestFit="1" customWidth="1"/>
    <col min="366" max="366" width="23.6640625" bestFit="1" customWidth="1"/>
    <col min="367" max="367" width="20.5" bestFit="1" customWidth="1"/>
    <col min="368" max="368" width="20.83203125" bestFit="1" customWidth="1"/>
    <col min="369" max="369" width="21.6640625" bestFit="1" customWidth="1"/>
    <col min="370" max="370" width="20.5" bestFit="1" customWidth="1"/>
    <col min="371" max="371" width="21.6640625" bestFit="1" customWidth="1"/>
    <col min="372" max="376" width="20.5" bestFit="1" customWidth="1"/>
    <col min="377" max="378" width="20.83203125" bestFit="1" customWidth="1"/>
    <col min="379" max="379" width="20.5" bestFit="1" customWidth="1"/>
    <col min="380" max="383" width="20.83203125" bestFit="1" customWidth="1"/>
    <col min="384" max="385" width="21.6640625" bestFit="1" customWidth="1"/>
    <col min="386" max="386" width="22.6640625" bestFit="1" customWidth="1"/>
    <col min="387" max="387" width="20.83203125" bestFit="1" customWidth="1"/>
    <col min="388" max="388" width="20.5" bestFit="1" customWidth="1"/>
    <col min="389" max="389" width="20.83203125" bestFit="1" customWidth="1"/>
    <col min="390" max="392" width="21.6640625" bestFit="1" customWidth="1"/>
    <col min="393" max="396" width="20.83203125" bestFit="1" customWidth="1"/>
    <col min="397" max="399" width="21.6640625" bestFit="1" customWidth="1"/>
    <col min="400" max="400" width="20.5" bestFit="1" customWidth="1"/>
    <col min="401" max="402" width="21.6640625" bestFit="1" customWidth="1"/>
    <col min="403" max="404" width="22.6640625" bestFit="1" customWidth="1"/>
    <col min="405" max="406" width="20.5" bestFit="1" customWidth="1"/>
    <col min="407" max="407" width="21.6640625" bestFit="1" customWidth="1"/>
    <col min="408" max="408" width="20.5" bestFit="1" customWidth="1"/>
    <col min="409" max="409" width="21.6640625" bestFit="1" customWidth="1"/>
    <col min="410" max="410" width="20.5" bestFit="1" customWidth="1"/>
    <col min="411" max="411" width="20.83203125" bestFit="1" customWidth="1"/>
    <col min="412" max="412" width="22.6640625" bestFit="1" customWidth="1"/>
    <col min="413" max="413" width="20.5" bestFit="1" customWidth="1"/>
    <col min="414" max="414" width="21.6640625" bestFit="1" customWidth="1"/>
    <col min="415" max="415" width="20.83203125" bestFit="1" customWidth="1"/>
    <col min="416" max="417" width="21.6640625" bestFit="1" customWidth="1"/>
    <col min="418" max="420" width="20.5" bestFit="1" customWidth="1"/>
    <col min="421" max="421" width="20.83203125" bestFit="1" customWidth="1"/>
    <col min="422" max="422" width="21.6640625" bestFit="1" customWidth="1"/>
    <col min="423" max="423" width="22.6640625" bestFit="1" customWidth="1"/>
    <col min="424" max="425" width="21.6640625" bestFit="1" customWidth="1"/>
    <col min="426" max="426" width="20.83203125" bestFit="1" customWidth="1"/>
    <col min="427" max="429" width="21.6640625" bestFit="1" customWidth="1"/>
    <col min="430" max="430" width="22.6640625" bestFit="1" customWidth="1"/>
    <col min="431" max="431" width="23" bestFit="1" customWidth="1"/>
    <col min="432" max="432" width="21.6640625" bestFit="1" customWidth="1"/>
    <col min="433" max="435" width="20.83203125" bestFit="1" customWidth="1"/>
    <col min="436" max="441" width="21.6640625" bestFit="1" customWidth="1"/>
    <col min="442" max="442" width="22.6640625" bestFit="1" customWidth="1"/>
    <col min="443" max="443" width="21.6640625" bestFit="1" customWidth="1"/>
    <col min="444" max="444" width="23" bestFit="1" customWidth="1"/>
    <col min="445" max="445" width="20.5" bestFit="1" customWidth="1"/>
    <col min="446" max="446" width="20.83203125" bestFit="1" customWidth="1"/>
    <col min="447" max="447" width="20.5" bestFit="1" customWidth="1"/>
    <col min="448" max="449" width="21.6640625" bestFit="1" customWidth="1"/>
    <col min="450" max="450" width="22" bestFit="1" customWidth="1"/>
    <col min="451" max="451" width="20.5" bestFit="1" customWidth="1"/>
    <col min="452" max="453" width="21.6640625" bestFit="1" customWidth="1"/>
    <col min="454" max="454" width="20.5" bestFit="1" customWidth="1"/>
    <col min="455" max="456" width="21.6640625" bestFit="1" customWidth="1"/>
    <col min="457" max="457" width="20.83203125" bestFit="1" customWidth="1"/>
    <col min="458" max="458" width="21.6640625" bestFit="1" customWidth="1"/>
    <col min="459" max="459" width="20.5" bestFit="1" customWidth="1"/>
    <col min="460" max="461" width="21.6640625" bestFit="1" customWidth="1"/>
    <col min="462" max="462" width="20.83203125" bestFit="1" customWidth="1"/>
    <col min="463" max="463" width="21.6640625" bestFit="1" customWidth="1"/>
    <col min="464" max="464" width="20.5" bestFit="1" customWidth="1"/>
    <col min="465" max="465" width="21.6640625" bestFit="1" customWidth="1"/>
    <col min="466" max="467" width="20.5" bestFit="1" customWidth="1"/>
    <col min="468" max="468" width="21.6640625" bestFit="1" customWidth="1"/>
    <col min="469" max="470" width="20.83203125" bestFit="1" customWidth="1"/>
    <col min="471" max="471" width="23.6640625" bestFit="1" customWidth="1"/>
    <col min="472" max="473" width="21.6640625" bestFit="1" customWidth="1"/>
    <col min="474" max="474" width="22" bestFit="1" customWidth="1"/>
    <col min="475" max="476" width="20.83203125" bestFit="1" customWidth="1"/>
    <col min="477" max="477" width="21.6640625" bestFit="1" customWidth="1"/>
    <col min="478" max="478" width="20.83203125" bestFit="1" customWidth="1"/>
    <col min="479" max="480" width="21.6640625" bestFit="1" customWidth="1"/>
    <col min="481" max="481" width="20.83203125" bestFit="1" customWidth="1"/>
    <col min="482" max="483" width="21.6640625" bestFit="1" customWidth="1"/>
    <col min="484" max="484" width="20.83203125" bestFit="1" customWidth="1"/>
    <col min="485" max="485" width="21.6640625" bestFit="1" customWidth="1"/>
    <col min="486" max="486" width="20.83203125" bestFit="1" customWidth="1"/>
    <col min="487" max="487" width="22" bestFit="1" customWidth="1"/>
    <col min="488" max="488" width="20.5" bestFit="1" customWidth="1"/>
    <col min="489" max="489" width="21.6640625" bestFit="1" customWidth="1"/>
    <col min="490" max="492" width="20.83203125" bestFit="1" customWidth="1"/>
    <col min="493" max="493" width="20.5" bestFit="1" customWidth="1"/>
    <col min="494" max="495" width="21.6640625" bestFit="1" customWidth="1"/>
    <col min="496" max="496" width="22" bestFit="1" customWidth="1"/>
    <col min="497" max="497" width="20.5" bestFit="1" customWidth="1"/>
    <col min="498" max="498" width="20.83203125" bestFit="1" customWidth="1"/>
    <col min="499" max="500" width="21.6640625" bestFit="1" customWidth="1"/>
    <col min="501" max="501" width="20.83203125" bestFit="1" customWidth="1"/>
    <col min="502" max="502" width="21.6640625" bestFit="1" customWidth="1"/>
    <col min="503" max="503" width="20.83203125" bestFit="1" customWidth="1"/>
    <col min="504" max="506" width="21.6640625" bestFit="1" customWidth="1"/>
    <col min="507" max="507" width="22.6640625" bestFit="1" customWidth="1"/>
    <col min="508" max="508" width="20.83203125" bestFit="1" customWidth="1"/>
    <col min="509" max="509" width="21.6640625" bestFit="1" customWidth="1"/>
    <col min="510" max="510" width="22.6640625" bestFit="1" customWidth="1"/>
    <col min="511" max="511" width="20.83203125" bestFit="1" customWidth="1"/>
    <col min="512" max="512" width="21.6640625" bestFit="1" customWidth="1"/>
    <col min="513" max="513" width="22.6640625" bestFit="1" customWidth="1"/>
    <col min="514" max="514" width="20.5" bestFit="1" customWidth="1"/>
    <col min="515" max="515" width="22.6640625" bestFit="1" customWidth="1"/>
    <col min="516" max="516" width="20.5" bestFit="1" customWidth="1"/>
    <col min="517" max="517" width="21.6640625" bestFit="1" customWidth="1"/>
    <col min="518" max="518" width="22.6640625" bestFit="1" customWidth="1"/>
    <col min="519" max="519" width="20.83203125" bestFit="1" customWidth="1"/>
    <col min="520" max="521" width="22.6640625" bestFit="1" customWidth="1"/>
    <col min="522" max="523" width="20.83203125" bestFit="1" customWidth="1"/>
    <col min="524" max="524" width="20.5" bestFit="1" customWidth="1"/>
    <col min="525" max="525" width="21.6640625" bestFit="1" customWidth="1"/>
    <col min="526" max="528" width="20.5" bestFit="1" customWidth="1"/>
    <col min="529" max="529" width="21.6640625" bestFit="1" customWidth="1"/>
    <col min="530" max="531" width="20.5" bestFit="1" customWidth="1"/>
    <col min="532" max="532" width="22" bestFit="1" customWidth="1"/>
    <col min="533" max="533" width="20.83203125" bestFit="1" customWidth="1"/>
    <col min="534" max="534" width="20.5" bestFit="1" customWidth="1"/>
    <col min="535" max="535" width="20.83203125" bestFit="1" customWidth="1"/>
    <col min="536" max="536" width="21.6640625" bestFit="1" customWidth="1"/>
    <col min="537" max="537" width="20.5" bestFit="1" customWidth="1"/>
    <col min="538" max="538" width="20.83203125" bestFit="1" customWidth="1"/>
    <col min="539" max="539" width="22" bestFit="1" customWidth="1"/>
    <col min="540" max="540" width="20.5" bestFit="1" customWidth="1"/>
    <col min="541" max="541" width="20.83203125" bestFit="1" customWidth="1"/>
    <col min="542" max="542" width="21.6640625" bestFit="1" customWidth="1"/>
    <col min="543" max="545" width="20.5" bestFit="1" customWidth="1"/>
    <col min="546" max="546" width="21.6640625" bestFit="1" customWidth="1"/>
    <col min="547" max="547" width="20.5" bestFit="1" customWidth="1"/>
    <col min="548" max="549" width="21.6640625" bestFit="1" customWidth="1"/>
    <col min="550" max="551" width="20.83203125" bestFit="1" customWidth="1"/>
    <col min="552" max="552" width="21.6640625" bestFit="1" customWidth="1"/>
    <col min="553" max="554" width="20.83203125" bestFit="1" customWidth="1"/>
    <col min="555" max="555" width="20.5" bestFit="1" customWidth="1"/>
    <col min="556" max="556" width="20.83203125" bestFit="1" customWidth="1"/>
    <col min="557" max="558" width="21.6640625" bestFit="1" customWidth="1"/>
    <col min="559" max="559" width="20.83203125" bestFit="1" customWidth="1"/>
    <col min="560" max="564" width="20.5" bestFit="1" customWidth="1"/>
    <col min="565" max="565" width="21.6640625" bestFit="1" customWidth="1"/>
    <col min="566" max="566" width="20.83203125" bestFit="1" customWidth="1"/>
    <col min="567" max="567" width="21.6640625" bestFit="1" customWidth="1"/>
    <col min="568" max="568" width="20.83203125" bestFit="1" customWidth="1"/>
    <col min="569" max="569" width="20.5" bestFit="1" customWidth="1"/>
    <col min="570" max="570" width="22" bestFit="1" customWidth="1"/>
    <col min="571" max="571" width="20.5" bestFit="1" customWidth="1"/>
    <col min="572" max="574" width="21.6640625" bestFit="1" customWidth="1"/>
    <col min="575" max="575" width="20.5" bestFit="1" customWidth="1"/>
    <col min="576" max="576" width="20.83203125" bestFit="1" customWidth="1"/>
    <col min="577" max="577" width="22.6640625" bestFit="1" customWidth="1"/>
    <col min="578" max="578" width="21.6640625" bestFit="1" customWidth="1"/>
    <col min="579" max="579" width="20.83203125" bestFit="1" customWidth="1"/>
    <col min="580" max="581" width="20.5" bestFit="1" customWidth="1"/>
    <col min="582" max="582" width="22.6640625" bestFit="1" customWidth="1"/>
    <col min="583" max="583" width="20.83203125" bestFit="1" customWidth="1"/>
    <col min="584" max="584" width="22" bestFit="1" customWidth="1"/>
    <col min="585" max="585" width="21.6640625" bestFit="1" customWidth="1"/>
    <col min="586" max="586" width="20.83203125" bestFit="1" customWidth="1"/>
    <col min="587" max="587" width="20.5" bestFit="1" customWidth="1"/>
    <col min="588" max="588" width="22.6640625" bestFit="1" customWidth="1"/>
    <col min="589" max="589" width="20.83203125" bestFit="1" customWidth="1"/>
    <col min="590" max="590" width="22.6640625" bestFit="1" customWidth="1"/>
    <col min="591" max="591" width="21.6640625" bestFit="1" customWidth="1"/>
    <col min="592" max="592" width="20.5" bestFit="1" customWidth="1"/>
    <col min="593" max="593" width="22.6640625" bestFit="1" customWidth="1"/>
    <col min="594" max="595" width="21.6640625" bestFit="1" customWidth="1"/>
    <col min="596" max="598" width="20.5" bestFit="1" customWidth="1"/>
    <col min="599" max="599" width="22.6640625" bestFit="1" customWidth="1"/>
    <col min="600" max="600" width="20.83203125" bestFit="1" customWidth="1"/>
    <col min="601" max="601" width="20.5" bestFit="1" customWidth="1"/>
    <col min="602" max="602" width="23" bestFit="1" customWidth="1"/>
    <col min="603" max="603" width="20.5" bestFit="1" customWidth="1"/>
    <col min="604" max="604" width="22" bestFit="1" customWidth="1"/>
    <col min="605" max="607" width="21.6640625" bestFit="1" customWidth="1"/>
    <col min="608" max="609" width="20.5" bestFit="1" customWidth="1"/>
    <col min="610" max="610" width="21.6640625" bestFit="1" customWidth="1"/>
    <col min="611" max="611" width="22" bestFit="1" customWidth="1"/>
    <col min="612" max="612" width="20.5" bestFit="1" customWidth="1"/>
    <col min="613" max="614" width="20.83203125" bestFit="1" customWidth="1"/>
    <col min="615" max="615" width="21.6640625" bestFit="1" customWidth="1"/>
    <col min="616" max="616" width="20.5" bestFit="1" customWidth="1"/>
    <col min="617" max="617" width="22" bestFit="1" customWidth="1"/>
    <col min="618" max="618" width="22.6640625" bestFit="1" customWidth="1"/>
    <col min="619" max="619" width="20.83203125" bestFit="1" customWidth="1"/>
    <col min="620" max="620" width="22.6640625" bestFit="1" customWidth="1"/>
    <col min="621" max="621" width="20.5" bestFit="1" customWidth="1"/>
    <col min="622" max="622" width="22" bestFit="1" customWidth="1"/>
    <col min="623" max="623" width="22.6640625" bestFit="1" customWidth="1"/>
    <col min="624" max="624" width="20.5" bestFit="1" customWidth="1"/>
    <col min="625" max="626" width="20.83203125" bestFit="1" customWidth="1"/>
    <col min="627" max="627" width="21.6640625" bestFit="1" customWidth="1"/>
    <col min="628" max="628" width="20.5" bestFit="1" customWidth="1"/>
    <col min="629" max="629" width="22.6640625" bestFit="1" customWidth="1"/>
    <col min="630" max="631" width="20.83203125" bestFit="1" customWidth="1"/>
    <col min="632" max="632" width="21.6640625" bestFit="1" customWidth="1"/>
    <col min="633" max="633" width="20.83203125" bestFit="1" customWidth="1"/>
    <col min="634" max="635" width="20.5" bestFit="1" customWidth="1"/>
    <col min="636" max="636" width="22.6640625" bestFit="1" customWidth="1"/>
    <col min="637" max="637" width="21.6640625" bestFit="1" customWidth="1"/>
    <col min="638" max="638" width="20.5" bestFit="1" customWidth="1"/>
    <col min="639" max="639" width="20.83203125" bestFit="1" customWidth="1"/>
    <col min="640" max="640" width="21.6640625" bestFit="1" customWidth="1"/>
    <col min="641" max="641" width="22" bestFit="1" customWidth="1"/>
    <col min="642" max="642" width="20.83203125" bestFit="1" customWidth="1"/>
    <col min="643" max="643" width="20.5" bestFit="1" customWidth="1"/>
    <col min="644" max="644" width="21.6640625" bestFit="1" customWidth="1"/>
    <col min="645" max="645" width="20.83203125" bestFit="1" customWidth="1"/>
    <col min="646" max="646" width="22.6640625" bestFit="1" customWidth="1"/>
    <col min="647" max="647" width="22" bestFit="1" customWidth="1"/>
    <col min="648" max="648" width="21.6640625" bestFit="1" customWidth="1"/>
    <col min="649" max="650" width="20.83203125" bestFit="1" customWidth="1"/>
    <col min="651" max="651" width="20.5" bestFit="1" customWidth="1"/>
    <col min="652" max="652" width="20.83203125" bestFit="1" customWidth="1"/>
    <col min="653" max="653" width="20.5" bestFit="1" customWidth="1"/>
    <col min="654" max="654" width="22" bestFit="1" customWidth="1"/>
    <col min="655" max="655" width="20.83203125" bestFit="1" customWidth="1"/>
    <col min="656" max="656" width="22" bestFit="1" customWidth="1"/>
    <col min="657" max="659" width="21.6640625" bestFit="1" customWidth="1"/>
    <col min="660" max="664" width="20.5" bestFit="1" customWidth="1"/>
    <col min="665" max="666" width="21.6640625" bestFit="1" customWidth="1"/>
    <col min="667" max="667" width="20.5" bestFit="1" customWidth="1"/>
    <col min="668" max="668" width="20.83203125" bestFit="1" customWidth="1"/>
    <col min="669" max="669" width="22" bestFit="1" customWidth="1"/>
    <col min="670" max="671" width="20.5" bestFit="1" customWidth="1"/>
    <col min="672" max="672" width="21.6640625" bestFit="1" customWidth="1"/>
    <col min="673" max="673" width="22" bestFit="1" customWidth="1"/>
    <col min="674" max="674" width="20.5" bestFit="1" customWidth="1"/>
    <col min="675" max="675" width="20.83203125" bestFit="1" customWidth="1"/>
    <col min="676" max="676" width="20.5" bestFit="1" customWidth="1"/>
    <col min="677" max="678" width="21.6640625" bestFit="1" customWidth="1"/>
    <col min="679" max="679" width="20.5" bestFit="1" customWidth="1"/>
    <col min="680" max="680" width="21.6640625" bestFit="1" customWidth="1"/>
    <col min="681" max="681" width="20.5" bestFit="1" customWidth="1"/>
    <col min="682" max="682" width="20.83203125" bestFit="1" customWidth="1"/>
    <col min="683" max="683" width="21.6640625" bestFit="1" customWidth="1"/>
    <col min="684" max="684" width="20.5" bestFit="1" customWidth="1"/>
    <col min="685" max="686" width="21.6640625" bestFit="1" customWidth="1"/>
    <col min="687" max="688" width="20.83203125" bestFit="1" customWidth="1"/>
    <col min="689" max="689" width="21.6640625" bestFit="1" customWidth="1"/>
    <col min="690" max="690" width="20.83203125" bestFit="1" customWidth="1"/>
    <col min="691" max="691" width="20.5" bestFit="1" customWidth="1"/>
    <col min="692" max="692" width="22" bestFit="1" customWidth="1"/>
    <col min="693" max="693" width="21.6640625" bestFit="1" customWidth="1"/>
    <col min="694" max="694" width="20.5" bestFit="1" customWidth="1"/>
    <col min="695" max="699" width="20.83203125" bestFit="1" customWidth="1"/>
    <col min="700" max="701" width="20.5" bestFit="1" customWidth="1"/>
    <col min="702" max="702" width="21.6640625" bestFit="1" customWidth="1"/>
    <col min="703" max="704" width="20.5" bestFit="1" customWidth="1"/>
    <col min="705" max="705" width="22.6640625" bestFit="1" customWidth="1"/>
    <col min="706" max="706" width="20.83203125" bestFit="1" customWidth="1"/>
    <col min="707" max="708" width="20.5" bestFit="1" customWidth="1"/>
    <col min="709" max="709" width="20.83203125" bestFit="1" customWidth="1"/>
    <col min="710" max="710" width="20.5" bestFit="1" customWidth="1"/>
    <col min="711" max="711" width="20.83203125" bestFit="1" customWidth="1"/>
    <col min="712" max="714" width="20.5" bestFit="1" customWidth="1"/>
    <col min="715" max="715" width="22" bestFit="1" customWidth="1"/>
    <col min="716" max="717" width="20.83203125" bestFit="1" customWidth="1"/>
    <col min="718" max="721" width="21.6640625" bestFit="1" customWidth="1"/>
    <col min="722" max="722" width="20.5" bestFit="1" customWidth="1"/>
    <col min="723" max="724" width="21.6640625" bestFit="1" customWidth="1"/>
    <col min="725" max="725" width="22.6640625" bestFit="1" customWidth="1"/>
    <col min="726" max="726" width="20.5" bestFit="1" customWidth="1"/>
    <col min="727" max="727" width="20.83203125" bestFit="1" customWidth="1"/>
    <col min="728" max="728" width="20.5" bestFit="1" customWidth="1"/>
    <col min="729" max="729" width="20.83203125" bestFit="1" customWidth="1"/>
    <col min="730" max="730" width="21.6640625" bestFit="1" customWidth="1"/>
    <col min="731" max="731" width="20.5" bestFit="1" customWidth="1"/>
    <col min="732" max="732" width="22.6640625" bestFit="1" customWidth="1"/>
    <col min="733" max="735" width="20.5" bestFit="1" customWidth="1"/>
    <col min="736" max="736" width="20.83203125" bestFit="1" customWidth="1"/>
    <col min="737" max="737" width="20.5" bestFit="1" customWidth="1"/>
    <col min="738" max="738" width="21.6640625" bestFit="1" customWidth="1"/>
    <col min="739" max="739" width="20.83203125" bestFit="1" customWidth="1"/>
    <col min="740" max="740" width="21.6640625" bestFit="1" customWidth="1"/>
    <col min="741" max="743" width="20.5" bestFit="1" customWidth="1"/>
    <col min="744" max="744" width="20.83203125" bestFit="1" customWidth="1"/>
    <col min="745" max="745" width="21.6640625" bestFit="1" customWidth="1"/>
    <col min="746" max="746" width="20.5" bestFit="1" customWidth="1"/>
    <col min="747" max="747" width="21.6640625" bestFit="1" customWidth="1"/>
    <col min="748" max="748" width="20.5" bestFit="1" customWidth="1"/>
    <col min="749" max="749" width="20.83203125" bestFit="1" customWidth="1"/>
    <col min="750" max="751" width="21.6640625" bestFit="1" customWidth="1"/>
    <col min="752" max="752" width="20.5" bestFit="1" customWidth="1"/>
    <col min="753" max="753" width="21.6640625" bestFit="1" customWidth="1"/>
    <col min="754" max="755" width="20.5" bestFit="1" customWidth="1"/>
    <col min="756" max="756" width="21.6640625" bestFit="1" customWidth="1"/>
    <col min="757" max="757" width="20.5" bestFit="1" customWidth="1"/>
    <col min="758" max="758" width="21.6640625" bestFit="1" customWidth="1"/>
    <col min="759" max="759" width="22" bestFit="1" customWidth="1"/>
    <col min="760" max="761" width="20.5" bestFit="1" customWidth="1"/>
    <col min="762" max="762" width="21.6640625" bestFit="1" customWidth="1"/>
    <col min="763" max="763" width="20.5" bestFit="1" customWidth="1"/>
    <col min="764" max="764" width="20.83203125" bestFit="1" customWidth="1"/>
    <col min="765" max="765" width="20.5" bestFit="1" customWidth="1"/>
    <col min="766" max="766" width="20.83203125" bestFit="1" customWidth="1"/>
    <col min="767" max="767" width="21.6640625" bestFit="1" customWidth="1"/>
    <col min="768" max="768" width="23.6640625" bestFit="1" customWidth="1"/>
    <col min="769" max="769" width="21.6640625" bestFit="1" customWidth="1"/>
    <col min="770" max="770" width="22.6640625" bestFit="1" customWidth="1"/>
    <col min="771" max="772" width="21.6640625" bestFit="1" customWidth="1"/>
    <col min="773" max="775" width="20.83203125" bestFit="1" customWidth="1"/>
    <col min="776" max="776" width="20.5" bestFit="1" customWidth="1"/>
    <col min="777" max="777" width="18.1640625" bestFit="1" customWidth="1"/>
    <col min="778" max="778" width="13.1640625" bestFit="1" customWidth="1"/>
  </cols>
  <sheetData>
    <row r="1" spans="1:778" x14ac:dyDescent="0.2">
      <c r="A1" t="s">
        <v>0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151</v>
      </c>
      <c r="BH1" t="s">
        <v>152</v>
      </c>
      <c r="BI1" t="s">
        <v>153</v>
      </c>
      <c r="BJ1" t="s">
        <v>154</v>
      </c>
      <c r="BK1" t="s">
        <v>155</v>
      </c>
      <c r="BL1" t="s">
        <v>156</v>
      </c>
      <c r="BM1" t="s">
        <v>157</v>
      </c>
      <c r="BN1" t="s">
        <v>158</v>
      </c>
      <c r="BO1" t="s">
        <v>159</v>
      </c>
      <c r="BP1" t="s">
        <v>160</v>
      </c>
      <c r="BQ1" t="s">
        <v>161</v>
      </c>
      <c r="BR1" t="s">
        <v>162</v>
      </c>
      <c r="BS1" t="s">
        <v>163</v>
      </c>
      <c r="BT1" t="s">
        <v>164</v>
      </c>
      <c r="BU1" t="s">
        <v>165</v>
      </c>
      <c r="BV1" t="s">
        <v>166</v>
      </c>
      <c r="BW1" t="s">
        <v>167</v>
      </c>
      <c r="BX1" t="s">
        <v>168</v>
      </c>
      <c r="BY1" t="s">
        <v>169</v>
      </c>
      <c r="BZ1" t="s">
        <v>170</v>
      </c>
      <c r="CA1" t="s">
        <v>171</v>
      </c>
      <c r="CB1" t="s">
        <v>172</v>
      </c>
      <c r="CC1" t="s">
        <v>173</v>
      </c>
      <c r="CD1" t="s">
        <v>174</v>
      </c>
      <c r="CE1" t="s">
        <v>175</v>
      </c>
      <c r="CF1" t="s">
        <v>176</v>
      </c>
      <c r="CG1" t="s">
        <v>177</v>
      </c>
      <c r="CH1" t="s">
        <v>178</v>
      </c>
      <c r="CI1" t="s">
        <v>179</v>
      </c>
      <c r="CJ1" t="s">
        <v>180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191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212</v>
      </c>
      <c r="DQ1" t="s">
        <v>213</v>
      </c>
      <c r="DR1" t="s">
        <v>214</v>
      </c>
      <c r="DS1" t="s">
        <v>215</v>
      </c>
      <c r="DT1" t="s">
        <v>216</v>
      </c>
      <c r="DU1" t="s">
        <v>217</v>
      </c>
      <c r="DV1" t="s">
        <v>218</v>
      </c>
      <c r="DW1" t="s">
        <v>219</v>
      </c>
      <c r="DX1" t="s">
        <v>220</v>
      </c>
      <c r="DY1" t="s">
        <v>221</v>
      </c>
      <c r="DZ1" t="s">
        <v>222</v>
      </c>
      <c r="EA1" t="s">
        <v>223</v>
      </c>
      <c r="EB1" t="s">
        <v>224</v>
      </c>
      <c r="EC1" t="s">
        <v>225</v>
      </c>
      <c r="ED1" t="s">
        <v>226</v>
      </c>
      <c r="EE1" t="s">
        <v>227</v>
      </c>
      <c r="EF1" t="s">
        <v>228</v>
      </c>
      <c r="EG1" t="s">
        <v>229</v>
      </c>
      <c r="EH1" t="s">
        <v>230</v>
      </c>
      <c r="EI1" t="s">
        <v>231</v>
      </c>
      <c r="EJ1" t="s">
        <v>232</v>
      </c>
      <c r="EK1" t="s">
        <v>233</v>
      </c>
      <c r="EL1" t="s">
        <v>234</v>
      </c>
      <c r="EM1" t="s">
        <v>235</v>
      </c>
      <c r="EN1" t="s">
        <v>236</v>
      </c>
      <c r="EO1" t="s">
        <v>237</v>
      </c>
      <c r="EP1" t="s">
        <v>238</v>
      </c>
      <c r="EQ1" t="s">
        <v>239</v>
      </c>
      <c r="ER1" t="s">
        <v>240</v>
      </c>
      <c r="ES1" t="s">
        <v>241</v>
      </c>
      <c r="ET1" t="s">
        <v>242</v>
      </c>
      <c r="EU1" t="s">
        <v>243</v>
      </c>
      <c r="EV1" t="s">
        <v>244</v>
      </c>
      <c r="EW1" t="s">
        <v>245</v>
      </c>
      <c r="EX1" t="s">
        <v>246</v>
      </c>
      <c r="EY1" t="s">
        <v>247</v>
      </c>
      <c r="EZ1" t="s">
        <v>248</v>
      </c>
      <c r="FA1" t="s">
        <v>249</v>
      </c>
      <c r="FB1" t="s">
        <v>250</v>
      </c>
      <c r="FC1" t="s">
        <v>251</v>
      </c>
      <c r="FD1" t="s">
        <v>252</v>
      </c>
      <c r="FE1" t="s">
        <v>253</v>
      </c>
      <c r="FF1" t="s">
        <v>254</v>
      </c>
      <c r="FG1" t="s">
        <v>255</v>
      </c>
      <c r="FH1" t="s">
        <v>256</v>
      </c>
      <c r="FI1" t="s">
        <v>257</v>
      </c>
      <c r="FJ1" t="s">
        <v>258</v>
      </c>
      <c r="FK1" t="s">
        <v>259</v>
      </c>
      <c r="FL1" t="s">
        <v>260</v>
      </c>
      <c r="FM1" t="s">
        <v>261</v>
      </c>
      <c r="FN1" t="s">
        <v>262</v>
      </c>
      <c r="FO1" t="s">
        <v>263</v>
      </c>
      <c r="FP1" t="s">
        <v>264</v>
      </c>
      <c r="FQ1" t="s">
        <v>265</v>
      </c>
      <c r="FR1" t="s">
        <v>266</v>
      </c>
      <c r="FS1" t="s">
        <v>267</v>
      </c>
      <c r="FT1" t="s">
        <v>268</v>
      </c>
      <c r="FU1" t="s">
        <v>269</v>
      </c>
      <c r="FV1" t="s">
        <v>270</v>
      </c>
      <c r="FW1" t="s">
        <v>271</v>
      </c>
      <c r="FX1" t="s">
        <v>272</v>
      </c>
      <c r="FY1" t="s">
        <v>273</v>
      </c>
      <c r="FZ1" t="s">
        <v>274</v>
      </c>
      <c r="GA1" t="s">
        <v>275</v>
      </c>
      <c r="GB1" t="s">
        <v>276</v>
      </c>
      <c r="GC1" t="s">
        <v>277</v>
      </c>
      <c r="GD1" t="s">
        <v>278</v>
      </c>
      <c r="GE1" t="s">
        <v>279</v>
      </c>
      <c r="GF1" t="s">
        <v>280</v>
      </c>
      <c r="GG1" t="s">
        <v>281</v>
      </c>
      <c r="GH1" t="s">
        <v>282</v>
      </c>
      <c r="GI1" t="s">
        <v>283</v>
      </c>
      <c r="GJ1" t="s">
        <v>284</v>
      </c>
      <c r="GK1" t="s">
        <v>285</v>
      </c>
      <c r="GL1" t="s">
        <v>286</v>
      </c>
      <c r="GM1" t="s">
        <v>287</v>
      </c>
      <c r="GN1" t="s">
        <v>288</v>
      </c>
      <c r="GO1" t="s">
        <v>289</v>
      </c>
      <c r="GP1" t="s">
        <v>290</v>
      </c>
      <c r="GQ1" t="s">
        <v>291</v>
      </c>
      <c r="GR1" t="s">
        <v>292</v>
      </c>
      <c r="GS1" t="s">
        <v>293</v>
      </c>
      <c r="GT1" t="s">
        <v>294</v>
      </c>
      <c r="GU1" t="s">
        <v>295</v>
      </c>
      <c r="GV1" t="s">
        <v>296</v>
      </c>
      <c r="GW1" t="s">
        <v>297</v>
      </c>
      <c r="GX1" t="s">
        <v>298</v>
      </c>
      <c r="GY1" t="s">
        <v>299</v>
      </c>
      <c r="GZ1" t="s">
        <v>300</v>
      </c>
      <c r="HA1" t="s">
        <v>301</v>
      </c>
      <c r="HB1" t="s">
        <v>302</v>
      </c>
      <c r="HC1" t="s">
        <v>303</v>
      </c>
      <c r="HD1" t="s">
        <v>304</v>
      </c>
      <c r="HE1" t="s">
        <v>305</v>
      </c>
      <c r="HF1" t="s">
        <v>306</v>
      </c>
      <c r="HG1" t="s">
        <v>307</v>
      </c>
      <c r="HH1" t="s">
        <v>308</v>
      </c>
      <c r="HI1" t="s">
        <v>309</v>
      </c>
      <c r="HJ1" t="s">
        <v>310</v>
      </c>
      <c r="HK1" t="s">
        <v>311</v>
      </c>
      <c r="HL1" t="s">
        <v>312</v>
      </c>
      <c r="HM1" t="s">
        <v>313</v>
      </c>
      <c r="HN1" t="s">
        <v>314</v>
      </c>
      <c r="HO1" t="s">
        <v>315</v>
      </c>
      <c r="HP1" t="s">
        <v>316</v>
      </c>
      <c r="HQ1" t="s">
        <v>317</v>
      </c>
      <c r="HR1" t="s">
        <v>318</v>
      </c>
      <c r="HS1" t="s">
        <v>319</v>
      </c>
      <c r="HT1" t="s">
        <v>320</v>
      </c>
      <c r="HU1" t="s">
        <v>321</v>
      </c>
      <c r="HV1" t="s">
        <v>322</v>
      </c>
      <c r="HW1" t="s">
        <v>323</v>
      </c>
      <c r="HX1" t="s">
        <v>324</v>
      </c>
      <c r="HY1" t="s">
        <v>325</v>
      </c>
      <c r="HZ1" t="s">
        <v>326</v>
      </c>
      <c r="IA1" t="s">
        <v>327</v>
      </c>
      <c r="IB1" t="s">
        <v>328</v>
      </c>
      <c r="IC1" t="s">
        <v>329</v>
      </c>
      <c r="ID1" t="s">
        <v>330</v>
      </c>
      <c r="IE1" t="s">
        <v>331</v>
      </c>
      <c r="IF1" t="s">
        <v>332</v>
      </c>
      <c r="IG1" t="s">
        <v>333</v>
      </c>
      <c r="IH1" t="s">
        <v>334</v>
      </c>
      <c r="II1" t="s">
        <v>335</v>
      </c>
      <c r="IJ1" t="s">
        <v>336</v>
      </c>
      <c r="IK1" t="s">
        <v>337</v>
      </c>
      <c r="IL1" t="s">
        <v>338</v>
      </c>
      <c r="IM1" t="s">
        <v>339</v>
      </c>
      <c r="IN1" t="s">
        <v>340</v>
      </c>
      <c r="IO1" t="s">
        <v>341</v>
      </c>
      <c r="IP1" t="s">
        <v>342</v>
      </c>
      <c r="IQ1" t="s">
        <v>343</v>
      </c>
      <c r="IR1" t="s">
        <v>344</v>
      </c>
      <c r="IS1" t="s">
        <v>345</v>
      </c>
      <c r="IT1" t="s">
        <v>346</v>
      </c>
      <c r="IU1" t="s">
        <v>347</v>
      </c>
      <c r="IV1" t="s">
        <v>348</v>
      </c>
      <c r="IW1" t="s">
        <v>349</v>
      </c>
      <c r="IX1" t="s">
        <v>350</v>
      </c>
      <c r="IY1" t="s">
        <v>351</v>
      </c>
      <c r="IZ1" t="s">
        <v>352</v>
      </c>
      <c r="JA1" t="s">
        <v>353</v>
      </c>
      <c r="JB1" t="s">
        <v>354</v>
      </c>
      <c r="JC1" t="s">
        <v>355</v>
      </c>
      <c r="JD1" t="s">
        <v>356</v>
      </c>
      <c r="JE1" t="s">
        <v>357</v>
      </c>
      <c r="JF1" t="s">
        <v>358</v>
      </c>
      <c r="JG1" t="s">
        <v>359</v>
      </c>
      <c r="JH1" t="s">
        <v>360</v>
      </c>
      <c r="JI1" t="s">
        <v>361</v>
      </c>
      <c r="JJ1" t="s">
        <v>362</v>
      </c>
      <c r="JK1" t="s">
        <v>363</v>
      </c>
      <c r="JL1" t="s">
        <v>364</v>
      </c>
      <c r="JM1" t="s">
        <v>365</v>
      </c>
      <c r="JN1" t="s">
        <v>366</v>
      </c>
      <c r="JO1" t="s">
        <v>367</v>
      </c>
      <c r="JP1" t="s">
        <v>368</v>
      </c>
      <c r="JQ1" t="s">
        <v>369</v>
      </c>
      <c r="JR1" t="s">
        <v>370</v>
      </c>
      <c r="JS1" t="s">
        <v>371</v>
      </c>
      <c r="JT1" t="s">
        <v>372</v>
      </c>
      <c r="JU1" t="s">
        <v>373</v>
      </c>
      <c r="JV1" t="s">
        <v>374</v>
      </c>
      <c r="JW1" t="s">
        <v>375</v>
      </c>
      <c r="JX1" t="s">
        <v>376</v>
      </c>
      <c r="JY1" t="s">
        <v>377</v>
      </c>
      <c r="JZ1" t="s">
        <v>378</v>
      </c>
      <c r="KA1" t="s">
        <v>379</v>
      </c>
      <c r="KB1" t="s">
        <v>380</v>
      </c>
      <c r="KC1" t="s">
        <v>381</v>
      </c>
      <c r="KD1" t="s">
        <v>382</v>
      </c>
      <c r="KE1" t="s">
        <v>383</v>
      </c>
      <c r="KF1" t="s">
        <v>384</v>
      </c>
      <c r="KG1" t="s">
        <v>385</v>
      </c>
      <c r="KH1" t="s">
        <v>386</v>
      </c>
      <c r="KI1" t="s">
        <v>387</v>
      </c>
      <c r="KJ1" t="s">
        <v>388</v>
      </c>
      <c r="KK1" t="s">
        <v>389</v>
      </c>
      <c r="KL1" t="s">
        <v>390</v>
      </c>
      <c r="KM1" t="s">
        <v>391</v>
      </c>
      <c r="KN1" t="s">
        <v>392</v>
      </c>
      <c r="KO1" t="s">
        <v>393</v>
      </c>
      <c r="KP1" t="s">
        <v>394</v>
      </c>
      <c r="KQ1" t="s">
        <v>395</v>
      </c>
      <c r="KR1" t="s">
        <v>396</v>
      </c>
      <c r="KS1" t="s">
        <v>397</v>
      </c>
      <c r="KT1" t="s">
        <v>398</v>
      </c>
      <c r="KU1" t="s">
        <v>399</v>
      </c>
      <c r="KV1" t="s">
        <v>400</v>
      </c>
      <c r="KW1" t="s">
        <v>401</v>
      </c>
      <c r="KX1" t="s">
        <v>402</v>
      </c>
      <c r="KY1" t="s">
        <v>403</v>
      </c>
      <c r="KZ1" t="s">
        <v>404</v>
      </c>
      <c r="LA1" t="s">
        <v>405</v>
      </c>
      <c r="LB1" t="s">
        <v>406</v>
      </c>
      <c r="LC1" t="s">
        <v>407</v>
      </c>
      <c r="LD1" t="s">
        <v>408</v>
      </c>
      <c r="LE1" t="s">
        <v>409</v>
      </c>
      <c r="LF1" t="s">
        <v>410</v>
      </c>
      <c r="LG1" t="s">
        <v>411</v>
      </c>
      <c r="LH1" t="s">
        <v>412</v>
      </c>
      <c r="LI1" t="s">
        <v>413</v>
      </c>
      <c r="LJ1" t="s">
        <v>414</v>
      </c>
      <c r="LK1" t="s">
        <v>415</v>
      </c>
      <c r="LL1" t="s">
        <v>416</v>
      </c>
      <c r="LM1" t="s">
        <v>417</v>
      </c>
      <c r="LN1" t="s">
        <v>418</v>
      </c>
      <c r="LO1" t="s">
        <v>419</v>
      </c>
      <c r="LP1" t="s">
        <v>420</v>
      </c>
      <c r="LQ1" t="s">
        <v>421</v>
      </c>
      <c r="LR1" t="s">
        <v>422</v>
      </c>
      <c r="LS1" t="s">
        <v>423</v>
      </c>
      <c r="LT1" t="s">
        <v>424</v>
      </c>
      <c r="LU1" t="s">
        <v>425</v>
      </c>
      <c r="LV1" t="s">
        <v>426</v>
      </c>
      <c r="LW1" t="s">
        <v>427</v>
      </c>
      <c r="LX1" t="s">
        <v>428</v>
      </c>
      <c r="LY1" t="s">
        <v>429</v>
      </c>
      <c r="LZ1" t="s">
        <v>430</v>
      </c>
      <c r="MA1" t="s">
        <v>431</v>
      </c>
      <c r="MB1" t="s">
        <v>432</v>
      </c>
      <c r="MC1" t="s">
        <v>433</v>
      </c>
      <c r="MD1" t="s">
        <v>434</v>
      </c>
      <c r="ME1" t="s">
        <v>435</v>
      </c>
      <c r="MF1" t="s">
        <v>436</v>
      </c>
      <c r="MG1" t="s">
        <v>437</v>
      </c>
      <c r="MH1" t="s">
        <v>438</v>
      </c>
      <c r="MI1" t="s">
        <v>439</v>
      </c>
      <c r="MJ1" t="s">
        <v>440</v>
      </c>
      <c r="MK1" t="s">
        <v>441</v>
      </c>
      <c r="ML1" t="s">
        <v>442</v>
      </c>
      <c r="MM1" t="s">
        <v>443</v>
      </c>
      <c r="MN1" t="s">
        <v>444</v>
      </c>
      <c r="MO1" t="s">
        <v>445</v>
      </c>
      <c r="MP1" t="s">
        <v>446</v>
      </c>
      <c r="MQ1" t="s">
        <v>447</v>
      </c>
      <c r="MR1" t="s">
        <v>448</v>
      </c>
      <c r="MS1" t="s">
        <v>449</v>
      </c>
      <c r="MT1" t="s">
        <v>450</v>
      </c>
      <c r="MU1" t="s">
        <v>451</v>
      </c>
      <c r="MV1" t="s">
        <v>452</v>
      </c>
      <c r="MW1" t="s">
        <v>453</v>
      </c>
      <c r="MX1" t="s">
        <v>454</v>
      </c>
      <c r="MY1" t="s">
        <v>455</v>
      </c>
      <c r="MZ1" t="s">
        <v>456</v>
      </c>
      <c r="NA1" t="s">
        <v>457</v>
      </c>
      <c r="NB1" t="s">
        <v>458</v>
      </c>
      <c r="NC1" t="s">
        <v>459</v>
      </c>
      <c r="ND1" t="s">
        <v>460</v>
      </c>
      <c r="NE1" t="s">
        <v>461</v>
      </c>
      <c r="NF1" t="s">
        <v>462</v>
      </c>
      <c r="NG1" t="s">
        <v>463</v>
      </c>
      <c r="NH1" t="s">
        <v>464</v>
      </c>
      <c r="NI1" t="s">
        <v>465</v>
      </c>
      <c r="NJ1" t="s">
        <v>466</v>
      </c>
      <c r="NK1" t="s">
        <v>467</v>
      </c>
      <c r="NL1" t="s">
        <v>468</v>
      </c>
      <c r="NM1" t="s">
        <v>469</v>
      </c>
      <c r="NN1" t="s">
        <v>470</v>
      </c>
      <c r="NO1" t="s">
        <v>471</v>
      </c>
      <c r="NP1" t="s">
        <v>472</v>
      </c>
      <c r="NQ1" t="s">
        <v>473</v>
      </c>
      <c r="NR1" t="s">
        <v>474</v>
      </c>
      <c r="NS1" t="s">
        <v>475</v>
      </c>
      <c r="NT1" t="s">
        <v>476</v>
      </c>
      <c r="NU1" t="s">
        <v>477</v>
      </c>
      <c r="NV1" t="s">
        <v>478</v>
      </c>
      <c r="NW1" t="s">
        <v>479</v>
      </c>
      <c r="NX1" t="s">
        <v>480</v>
      </c>
      <c r="NY1" t="s">
        <v>481</v>
      </c>
      <c r="NZ1" t="s">
        <v>482</v>
      </c>
      <c r="OA1" t="s">
        <v>483</v>
      </c>
      <c r="OB1" t="s">
        <v>484</v>
      </c>
      <c r="OC1" t="s">
        <v>485</v>
      </c>
      <c r="OD1" t="s">
        <v>486</v>
      </c>
      <c r="OE1" t="s">
        <v>487</v>
      </c>
      <c r="OF1" t="s">
        <v>488</v>
      </c>
      <c r="OG1" t="s">
        <v>489</v>
      </c>
      <c r="OH1" t="s">
        <v>490</v>
      </c>
      <c r="OI1" t="s">
        <v>491</v>
      </c>
      <c r="OJ1" t="s">
        <v>492</v>
      </c>
      <c r="OK1" t="s">
        <v>493</v>
      </c>
      <c r="OL1" t="s">
        <v>494</v>
      </c>
      <c r="OM1" t="s">
        <v>495</v>
      </c>
      <c r="ON1" t="s">
        <v>496</v>
      </c>
      <c r="OO1" t="s">
        <v>497</v>
      </c>
      <c r="OP1" t="s">
        <v>498</v>
      </c>
      <c r="OQ1" t="s">
        <v>499</v>
      </c>
      <c r="OR1" t="s">
        <v>500</v>
      </c>
      <c r="OS1" t="s">
        <v>501</v>
      </c>
      <c r="OT1" t="s">
        <v>502</v>
      </c>
      <c r="OU1" t="s">
        <v>503</v>
      </c>
      <c r="OV1" t="s">
        <v>504</v>
      </c>
      <c r="OW1" t="s">
        <v>505</v>
      </c>
      <c r="OX1" t="s">
        <v>506</v>
      </c>
      <c r="OY1" t="s">
        <v>507</v>
      </c>
      <c r="OZ1" t="s">
        <v>508</v>
      </c>
      <c r="PA1" t="s">
        <v>509</v>
      </c>
      <c r="PB1" t="s">
        <v>510</v>
      </c>
      <c r="PC1" t="s">
        <v>511</v>
      </c>
      <c r="PD1" t="s">
        <v>512</v>
      </c>
      <c r="PE1" t="s">
        <v>513</v>
      </c>
      <c r="PF1" t="s">
        <v>514</v>
      </c>
      <c r="PG1" t="s">
        <v>515</v>
      </c>
      <c r="PH1" t="s">
        <v>516</v>
      </c>
      <c r="PI1" t="s">
        <v>517</v>
      </c>
      <c r="PJ1" t="s">
        <v>518</v>
      </c>
      <c r="PK1" t="s">
        <v>519</v>
      </c>
      <c r="PL1" t="s">
        <v>520</v>
      </c>
      <c r="PM1" t="s">
        <v>521</v>
      </c>
      <c r="PN1" t="s">
        <v>522</v>
      </c>
      <c r="PO1" t="s">
        <v>523</v>
      </c>
      <c r="PP1" t="s">
        <v>524</v>
      </c>
      <c r="PQ1" t="s">
        <v>525</v>
      </c>
      <c r="PR1" t="s">
        <v>526</v>
      </c>
      <c r="PS1" t="s">
        <v>527</v>
      </c>
      <c r="PT1" t="s">
        <v>528</v>
      </c>
      <c r="PU1" t="s">
        <v>529</v>
      </c>
      <c r="PV1" t="s">
        <v>530</v>
      </c>
      <c r="PW1" t="s">
        <v>531</v>
      </c>
      <c r="PX1" t="s">
        <v>532</v>
      </c>
      <c r="PY1" t="s">
        <v>533</v>
      </c>
      <c r="PZ1" t="s">
        <v>534</v>
      </c>
      <c r="QA1" t="s">
        <v>535</v>
      </c>
      <c r="QB1" t="s">
        <v>536</v>
      </c>
      <c r="QC1" t="s">
        <v>537</v>
      </c>
      <c r="QD1" t="s">
        <v>538</v>
      </c>
      <c r="QE1" t="s">
        <v>539</v>
      </c>
      <c r="QF1" t="s">
        <v>540</v>
      </c>
      <c r="QG1" t="s">
        <v>541</v>
      </c>
      <c r="QH1" t="s">
        <v>542</v>
      </c>
      <c r="QI1" t="s">
        <v>543</v>
      </c>
      <c r="QJ1" t="s">
        <v>544</v>
      </c>
      <c r="QK1" t="s">
        <v>545</v>
      </c>
      <c r="QL1" t="s">
        <v>546</v>
      </c>
      <c r="QM1" t="s">
        <v>547</v>
      </c>
      <c r="QN1" t="s">
        <v>548</v>
      </c>
      <c r="QO1" t="s">
        <v>549</v>
      </c>
      <c r="QP1" t="s">
        <v>550</v>
      </c>
      <c r="QQ1" t="s">
        <v>551</v>
      </c>
      <c r="QR1" t="s">
        <v>552</v>
      </c>
      <c r="QS1" t="s">
        <v>553</v>
      </c>
      <c r="QT1" t="s">
        <v>554</v>
      </c>
      <c r="QU1" t="s">
        <v>555</v>
      </c>
      <c r="QV1" t="s">
        <v>556</v>
      </c>
      <c r="QW1" t="s">
        <v>557</v>
      </c>
      <c r="QX1" t="s">
        <v>558</v>
      </c>
      <c r="QY1" t="s">
        <v>559</v>
      </c>
      <c r="QZ1" t="s">
        <v>560</v>
      </c>
      <c r="RA1" t="s">
        <v>561</v>
      </c>
      <c r="RB1" t="s">
        <v>562</v>
      </c>
      <c r="RC1" t="s">
        <v>563</v>
      </c>
      <c r="RD1" t="s">
        <v>564</v>
      </c>
      <c r="RE1" t="s">
        <v>565</v>
      </c>
      <c r="RF1" t="s">
        <v>566</v>
      </c>
      <c r="RG1" t="s">
        <v>567</v>
      </c>
      <c r="RH1" t="s">
        <v>568</v>
      </c>
      <c r="RI1" t="s">
        <v>569</v>
      </c>
      <c r="RJ1" t="s">
        <v>570</v>
      </c>
      <c r="RK1" t="s">
        <v>571</v>
      </c>
      <c r="RL1" t="s">
        <v>572</v>
      </c>
      <c r="RM1" t="s">
        <v>573</v>
      </c>
      <c r="RN1" t="s">
        <v>574</v>
      </c>
      <c r="RO1" t="s">
        <v>575</v>
      </c>
      <c r="RP1" t="s">
        <v>576</v>
      </c>
      <c r="RQ1" t="s">
        <v>577</v>
      </c>
      <c r="RR1" t="s">
        <v>578</v>
      </c>
      <c r="RS1" t="s">
        <v>579</v>
      </c>
      <c r="RT1" t="s">
        <v>580</v>
      </c>
      <c r="RU1" t="s">
        <v>581</v>
      </c>
      <c r="RV1" t="s">
        <v>582</v>
      </c>
      <c r="RW1" t="s">
        <v>583</v>
      </c>
      <c r="RX1" t="s">
        <v>584</v>
      </c>
      <c r="RY1" t="s">
        <v>585</v>
      </c>
      <c r="RZ1" t="s">
        <v>586</v>
      </c>
      <c r="SA1" t="s">
        <v>587</v>
      </c>
      <c r="SB1" t="s">
        <v>588</v>
      </c>
      <c r="SC1" t="s">
        <v>589</v>
      </c>
      <c r="SD1" t="s">
        <v>590</v>
      </c>
      <c r="SE1" t="s">
        <v>591</v>
      </c>
      <c r="SF1" t="s">
        <v>592</v>
      </c>
      <c r="SG1" t="s">
        <v>593</v>
      </c>
      <c r="SH1" t="s">
        <v>594</v>
      </c>
      <c r="SI1" t="s">
        <v>595</v>
      </c>
      <c r="SJ1" t="s">
        <v>596</v>
      </c>
      <c r="SK1" t="s">
        <v>597</v>
      </c>
      <c r="SL1" t="s">
        <v>598</v>
      </c>
      <c r="SM1" t="s">
        <v>599</v>
      </c>
      <c r="SN1" t="s">
        <v>600</v>
      </c>
      <c r="SO1" t="s">
        <v>601</v>
      </c>
      <c r="SP1" t="s">
        <v>602</v>
      </c>
      <c r="SQ1" t="s">
        <v>603</v>
      </c>
      <c r="SR1" t="s">
        <v>604</v>
      </c>
      <c r="SS1" t="s">
        <v>605</v>
      </c>
      <c r="ST1" t="s">
        <v>606</v>
      </c>
      <c r="SU1" t="s">
        <v>607</v>
      </c>
      <c r="SV1" t="s">
        <v>608</v>
      </c>
      <c r="SW1" t="s">
        <v>609</v>
      </c>
      <c r="SX1" t="s">
        <v>610</v>
      </c>
      <c r="SY1" t="s">
        <v>611</v>
      </c>
      <c r="SZ1" t="s">
        <v>612</v>
      </c>
      <c r="TA1" t="s">
        <v>613</v>
      </c>
      <c r="TB1" t="s">
        <v>614</v>
      </c>
      <c r="TC1" t="s">
        <v>615</v>
      </c>
      <c r="TD1" t="s">
        <v>616</v>
      </c>
      <c r="TE1" t="s">
        <v>617</v>
      </c>
      <c r="TF1" t="s">
        <v>618</v>
      </c>
      <c r="TG1" t="s">
        <v>619</v>
      </c>
      <c r="TH1" t="s">
        <v>620</v>
      </c>
      <c r="TI1" t="s">
        <v>621</v>
      </c>
      <c r="TJ1" t="s">
        <v>622</v>
      </c>
      <c r="TK1" t="s">
        <v>623</v>
      </c>
      <c r="TL1" t="s">
        <v>624</v>
      </c>
      <c r="TM1" t="s">
        <v>625</v>
      </c>
      <c r="TN1" t="s">
        <v>626</v>
      </c>
      <c r="TO1" t="s">
        <v>627</v>
      </c>
      <c r="TP1" t="s">
        <v>628</v>
      </c>
      <c r="TQ1" t="s">
        <v>629</v>
      </c>
      <c r="TR1" t="s">
        <v>630</v>
      </c>
      <c r="TS1" t="s">
        <v>631</v>
      </c>
      <c r="TT1" t="s">
        <v>632</v>
      </c>
      <c r="TU1" t="s">
        <v>633</v>
      </c>
      <c r="TV1" t="s">
        <v>634</v>
      </c>
      <c r="TW1" t="s">
        <v>635</v>
      </c>
      <c r="TX1" t="s">
        <v>636</v>
      </c>
      <c r="TY1" t="s">
        <v>637</v>
      </c>
      <c r="TZ1" t="s">
        <v>638</v>
      </c>
      <c r="UA1" t="s">
        <v>639</v>
      </c>
      <c r="UB1" t="s">
        <v>640</v>
      </c>
      <c r="UC1" t="s">
        <v>641</v>
      </c>
      <c r="UD1" t="s">
        <v>642</v>
      </c>
      <c r="UE1" t="s">
        <v>643</v>
      </c>
      <c r="UF1" t="s">
        <v>644</v>
      </c>
      <c r="UG1" t="s">
        <v>645</v>
      </c>
      <c r="UH1" t="s">
        <v>646</v>
      </c>
      <c r="UI1" t="s">
        <v>647</v>
      </c>
      <c r="UJ1" t="s">
        <v>648</v>
      </c>
      <c r="UK1" t="s">
        <v>649</v>
      </c>
      <c r="UL1" t="s">
        <v>650</v>
      </c>
      <c r="UM1" t="s">
        <v>651</v>
      </c>
      <c r="UN1" t="s">
        <v>652</v>
      </c>
      <c r="UO1" t="s">
        <v>653</v>
      </c>
      <c r="UP1" t="s">
        <v>654</v>
      </c>
      <c r="UQ1" t="s">
        <v>655</v>
      </c>
      <c r="UR1" t="s">
        <v>656</v>
      </c>
      <c r="US1" t="s">
        <v>657</v>
      </c>
      <c r="UT1" t="s">
        <v>658</v>
      </c>
      <c r="UU1" t="s">
        <v>659</v>
      </c>
      <c r="UV1" t="s">
        <v>660</v>
      </c>
      <c r="UW1" t="s">
        <v>661</v>
      </c>
      <c r="UX1" t="s">
        <v>662</v>
      </c>
      <c r="UY1" t="s">
        <v>663</v>
      </c>
      <c r="UZ1" t="s">
        <v>664</v>
      </c>
      <c r="VA1" t="s">
        <v>665</v>
      </c>
      <c r="VB1" t="s">
        <v>666</v>
      </c>
      <c r="VC1" t="s">
        <v>667</v>
      </c>
      <c r="VD1" t="s">
        <v>668</v>
      </c>
      <c r="VE1" t="s">
        <v>669</v>
      </c>
      <c r="VF1" t="s">
        <v>670</v>
      </c>
      <c r="VG1" t="s">
        <v>671</v>
      </c>
      <c r="VH1" t="s">
        <v>672</v>
      </c>
      <c r="VI1" t="s">
        <v>673</v>
      </c>
      <c r="VJ1" t="s">
        <v>674</v>
      </c>
      <c r="VK1" t="s">
        <v>675</v>
      </c>
      <c r="VL1" t="s">
        <v>676</v>
      </c>
      <c r="VM1" t="s">
        <v>677</v>
      </c>
      <c r="VN1" t="s">
        <v>678</v>
      </c>
      <c r="VO1" t="s">
        <v>679</v>
      </c>
      <c r="VP1" t="s">
        <v>680</v>
      </c>
      <c r="VQ1" t="s">
        <v>681</v>
      </c>
      <c r="VR1" t="s">
        <v>682</v>
      </c>
      <c r="VS1" t="s">
        <v>683</v>
      </c>
      <c r="VT1" t="s">
        <v>684</v>
      </c>
      <c r="VU1" t="s">
        <v>685</v>
      </c>
      <c r="VV1" t="s">
        <v>686</v>
      </c>
      <c r="VW1" t="s">
        <v>687</v>
      </c>
      <c r="VX1" t="s">
        <v>688</v>
      </c>
      <c r="VY1" t="s">
        <v>689</v>
      </c>
      <c r="VZ1" t="s">
        <v>690</v>
      </c>
      <c r="WA1" t="s">
        <v>691</v>
      </c>
      <c r="WB1" t="s">
        <v>692</v>
      </c>
      <c r="WC1" t="s">
        <v>693</v>
      </c>
      <c r="WD1" t="s">
        <v>694</v>
      </c>
      <c r="WE1" t="s">
        <v>695</v>
      </c>
      <c r="WF1" t="s">
        <v>696</v>
      </c>
      <c r="WG1" t="s">
        <v>697</v>
      </c>
      <c r="WH1" t="s">
        <v>698</v>
      </c>
      <c r="WI1" t="s">
        <v>699</v>
      </c>
      <c r="WJ1" t="s">
        <v>700</v>
      </c>
      <c r="WK1" t="s">
        <v>701</v>
      </c>
      <c r="WL1" t="s">
        <v>702</v>
      </c>
      <c r="WM1" t="s">
        <v>703</v>
      </c>
      <c r="WN1" t="s">
        <v>704</v>
      </c>
      <c r="WO1" t="s">
        <v>705</v>
      </c>
      <c r="WP1" t="s">
        <v>706</v>
      </c>
      <c r="WQ1" t="s">
        <v>707</v>
      </c>
      <c r="WR1" t="s">
        <v>708</v>
      </c>
      <c r="WS1" t="s">
        <v>709</v>
      </c>
      <c r="WT1" t="s">
        <v>710</v>
      </c>
      <c r="WU1" t="s">
        <v>711</v>
      </c>
      <c r="WV1" t="s">
        <v>712</v>
      </c>
      <c r="WW1" t="s">
        <v>713</v>
      </c>
      <c r="WX1" t="s">
        <v>714</v>
      </c>
      <c r="WY1" t="s">
        <v>715</v>
      </c>
      <c r="WZ1" t="s">
        <v>716</v>
      </c>
      <c r="XA1" t="s">
        <v>717</v>
      </c>
      <c r="XB1" t="s">
        <v>718</v>
      </c>
      <c r="XC1" t="s">
        <v>719</v>
      </c>
      <c r="XD1" t="s">
        <v>720</v>
      </c>
      <c r="XE1" t="s">
        <v>721</v>
      </c>
      <c r="XF1" t="s">
        <v>722</v>
      </c>
      <c r="XG1" t="s">
        <v>723</v>
      </c>
      <c r="XH1" t="s">
        <v>724</v>
      </c>
      <c r="XI1" t="s">
        <v>725</v>
      </c>
      <c r="XJ1" t="s">
        <v>726</v>
      </c>
      <c r="XK1" t="s">
        <v>727</v>
      </c>
      <c r="XL1" t="s">
        <v>728</v>
      </c>
      <c r="XM1" t="s">
        <v>729</v>
      </c>
      <c r="XN1" t="s">
        <v>730</v>
      </c>
      <c r="XO1" t="s">
        <v>731</v>
      </c>
      <c r="XP1" t="s">
        <v>732</v>
      </c>
      <c r="XQ1" t="s">
        <v>733</v>
      </c>
      <c r="XR1" t="s">
        <v>734</v>
      </c>
      <c r="XS1" t="s">
        <v>735</v>
      </c>
      <c r="XT1" t="s">
        <v>736</v>
      </c>
      <c r="XU1" t="s">
        <v>737</v>
      </c>
      <c r="XV1" t="s">
        <v>738</v>
      </c>
      <c r="XW1" t="s">
        <v>739</v>
      </c>
      <c r="XX1" t="s">
        <v>740</v>
      </c>
      <c r="XY1" t="s">
        <v>741</v>
      </c>
      <c r="XZ1" t="s">
        <v>742</v>
      </c>
      <c r="YA1" t="s">
        <v>743</v>
      </c>
      <c r="YB1" t="s">
        <v>744</v>
      </c>
      <c r="YC1" t="s">
        <v>745</v>
      </c>
      <c r="YD1" t="s">
        <v>746</v>
      </c>
      <c r="YE1" t="s">
        <v>747</v>
      </c>
      <c r="YF1" t="s">
        <v>748</v>
      </c>
      <c r="YG1" t="s">
        <v>749</v>
      </c>
      <c r="YH1" t="s">
        <v>750</v>
      </c>
      <c r="YI1" t="s">
        <v>751</v>
      </c>
      <c r="YJ1" t="s">
        <v>752</v>
      </c>
      <c r="YK1" t="s">
        <v>753</v>
      </c>
      <c r="YL1" t="s">
        <v>754</v>
      </c>
      <c r="YM1" t="s">
        <v>755</v>
      </c>
      <c r="YN1" t="s">
        <v>756</v>
      </c>
      <c r="YO1" t="s">
        <v>757</v>
      </c>
      <c r="YP1" t="s">
        <v>758</v>
      </c>
      <c r="YQ1" t="s">
        <v>759</v>
      </c>
      <c r="YR1" t="s">
        <v>760</v>
      </c>
      <c r="YS1" t="s">
        <v>761</v>
      </c>
      <c r="YT1" t="s">
        <v>762</v>
      </c>
      <c r="YU1" t="s">
        <v>763</v>
      </c>
      <c r="YV1" t="s">
        <v>764</v>
      </c>
      <c r="YW1" t="s">
        <v>765</v>
      </c>
      <c r="YX1" t="s">
        <v>766</v>
      </c>
      <c r="YY1" t="s">
        <v>767</v>
      </c>
      <c r="YZ1" t="s">
        <v>768</v>
      </c>
      <c r="ZA1" t="s">
        <v>769</v>
      </c>
      <c r="ZB1" t="s">
        <v>770</v>
      </c>
      <c r="ZC1" t="s">
        <v>771</v>
      </c>
      <c r="ZD1" t="s">
        <v>772</v>
      </c>
      <c r="ZE1" t="s">
        <v>773</v>
      </c>
      <c r="ZF1" t="s">
        <v>774</v>
      </c>
      <c r="ZG1" t="s">
        <v>775</v>
      </c>
      <c r="ZH1" t="s">
        <v>776</v>
      </c>
      <c r="ZI1" t="s">
        <v>777</v>
      </c>
      <c r="ZJ1" t="s">
        <v>778</v>
      </c>
      <c r="ZK1" t="s">
        <v>779</v>
      </c>
      <c r="ZL1" t="s">
        <v>780</v>
      </c>
      <c r="ZM1" t="s">
        <v>781</v>
      </c>
      <c r="ZN1" t="s">
        <v>782</v>
      </c>
      <c r="ZO1" t="s">
        <v>783</v>
      </c>
      <c r="ZP1" t="s">
        <v>784</v>
      </c>
      <c r="ZQ1" t="s">
        <v>785</v>
      </c>
      <c r="ZR1" t="s">
        <v>786</v>
      </c>
      <c r="ZS1" t="s">
        <v>787</v>
      </c>
      <c r="ZT1" t="s">
        <v>788</v>
      </c>
      <c r="ZU1" t="s">
        <v>789</v>
      </c>
      <c r="ZV1" t="s">
        <v>790</v>
      </c>
      <c r="ZW1" t="s">
        <v>791</v>
      </c>
      <c r="ZX1" t="s">
        <v>792</v>
      </c>
      <c r="ZY1" t="s">
        <v>793</v>
      </c>
      <c r="ZZ1" t="s">
        <v>794</v>
      </c>
      <c r="AAA1" t="s">
        <v>1509</v>
      </c>
      <c r="AAB1" t="s">
        <v>1510</v>
      </c>
      <c r="AAC1" t="s">
        <v>1511</v>
      </c>
      <c r="AAD1" t="s">
        <v>1512</v>
      </c>
      <c r="AAE1" t="s">
        <v>1513</v>
      </c>
      <c r="AAF1" t="s">
        <v>1514</v>
      </c>
      <c r="AAG1" t="s">
        <v>1515</v>
      </c>
      <c r="AAH1" t="s">
        <v>1516</v>
      </c>
      <c r="AAI1" t="s">
        <v>1517</v>
      </c>
      <c r="AAJ1" t="s">
        <v>1518</v>
      </c>
      <c r="AAK1" t="s">
        <v>1519</v>
      </c>
      <c r="AAL1" t="s">
        <v>1520</v>
      </c>
      <c r="AAM1" t="s">
        <v>1521</v>
      </c>
      <c r="AAN1" t="s">
        <v>1522</v>
      </c>
      <c r="AAO1" t="s">
        <v>1523</v>
      </c>
      <c r="AAP1" t="s">
        <v>1524</v>
      </c>
      <c r="AAQ1" t="s">
        <v>1525</v>
      </c>
      <c r="AAR1" t="s">
        <v>1526</v>
      </c>
      <c r="AAS1" t="s">
        <v>1527</v>
      </c>
      <c r="AAT1" t="s">
        <v>1528</v>
      </c>
      <c r="AAU1" t="s">
        <v>1529</v>
      </c>
      <c r="AAV1" t="s">
        <v>1530</v>
      </c>
      <c r="AAW1" t="s">
        <v>1531</v>
      </c>
      <c r="AAX1" t="s">
        <v>1532</v>
      </c>
      <c r="AAY1" t="s">
        <v>1533</v>
      </c>
      <c r="AAZ1" t="s">
        <v>1534</v>
      </c>
      <c r="ABA1" t="s">
        <v>1535</v>
      </c>
      <c r="ABB1" t="s">
        <v>1536</v>
      </c>
      <c r="ABC1" t="s">
        <v>1537</v>
      </c>
      <c r="ABD1" t="s">
        <v>1538</v>
      </c>
      <c r="ABE1" t="s">
        <v>1539</v>
      </c>
      <c r="ABF1" t="s">
        <v>1540</v>
      </c>
      <c r="ABG1" t="s">
        <v>1541</v>
      </c>
      <c r="ABH1" t="s">
        <v>1542</v>
      </c>
      <c r="ABI1" t="s">
        <v>1543</v>
      </c>
      <c r="ABJ1" t="s">
        <v>1544</v>
      </c>
      <c r="ABK1" t="s">
        <v>1545</v>
      </c>
      <c r="ABL1" t="s">
        <v>1546</v>
      </c>
      <c r="ABM1" t="s">
        <v>1547</v>
      </c>
      <c r="ABN1" t="s">
        <v>1548</v>
      </c>
      <c r="ABO1" t="s">
        <v>1549</v>
      </c>
      <c r="ABP1" t="s">
        <v>1550</v>
      </c>
      <c r="ABQ1" t="s">
        <v>1551</v>
      </c>
      <c r="ABR1" t="s">
        <v>1552</v>
      </c>
      <c r="ABS1" t="s">
        <v>1553</v>
      </c>
      <c r="ABT1" t="s">
        <v>1554</v>
      </c>
      <c r="ABU1" t="s">
        <v>1555</v>
      </c>
      <c r="ABV1" t="s">
        <v>1556</v>
      </c>
      <c r="ABW1" t="s">
        <v>1557</v>
      </c>
      <c r="ABX1" t="s">
        <v>1558</v>
      </c>
      <c r="ABY1" t="s">
        <v>1559</v>
      </c>
      <c r="ABZ1" t="s">
        <v>1560</v>
      </c>
      <c r="ACA1" t="s">
        <v>1561</v>
      </c>
      <c r="ACB1" t="s">
        <v>1562</v>
      </c>
      <c r="ACC1" t="s">
        <v>1563</v>
      </c>
      <c r="ACD1" t="s">
        <v>1564</v>
      </c>
      <c r="ACE1" t="s">
        <v>1565</v>
      </c>
      <c r="ACF1" t="s">
        <v>1566</v>
      </c>
      <c r="ACG1" t="s">
        <v>1567</v>
      </c>
      <c r="ACH1" t="s">
        <v>1568</v>
      </c>
      <c r="ACI1" t="s">
        <v>1569</v>
      </c>
      <c r="ACJ1" t="s">
        <v>1570</v>
      </c>
      <c r="ACK1" t="s">
        <v>1571</v>
      </c>
      <c r="ACL1" t="s">
        <v>1572</v>
      </c>
      <c r="ACM1" t="s">
        <v>1573</v>
      </c>
      <c r="ACN1" t="s">
        <v>1574</v>
      </c>
      <c r="ACO1" t="s">
        <v>1575</v>
      </c>
      <c r="ACP1" t="s">
        <v>1576</v>
      </c>
      <c r="ACQ1" t="s">
        <v>1577</v>
      </c>
      <c r="ACR1" t="s">
        <v>1578</v>
      </c>
      <c r="ACS1" t="s">
        <v>1579</v>
      </c>
      <c r="ACT1" t="s">
        <v>1580</v>
      </c>
      <c r="ACU1" t="s">
        <v>1581</v>
      </c>
      <c r="ACV1" t="s">
        <v>1582</v>
      </c>
      <c r="ACW1" t="s">
        <v>1583</v>
      </c>
      <c r="ACX1" t="s">
        <v>1584</v>
      </c>
    </row>
    <row r="2" spans="1:778" x14ac:dyDescent="0.2">
      <c r="A2" s="1" t="s">
        <v>795</v>
      </c>
      <c r="B2" s="1" t="s">
        <v>796</v>
      </c>
      <c r="C2" s="1" t="s">
        <v>797</v>
      </c>
      <c r="D2" s="1" t="s">
        <v>798</v>
      </c>
      <c r="E2" s="1" t="s">
        <v>799</v>
      </c>
      <c r="F2" s="1" t="s">
        <v>800</v>
      </c>
      <c r="G2" s="1" t="s">
        <v>801</v>
      </c>
      <c r="H2" s="1" t="s">
        <v>802</v>
      </c>
      <c r="I2" s="1" t="s">
        <v>803</v>
      </c>
      <c r="J2" s="1" t="s">
        <v>804</v>
      </c>
      <c r="K2" s="1" t="s">
        <v>805</v>
      </c>
      <c r="L2" s="1" t="s">
        <v>806</v>
      </c>
      <c r="M2" s="1" t="s">
        <v>807</v>
      </c>
      <c r="N2" s="1" t="s">
        <v>808</v>
      </c>
      <c r="O2" s="1" t="s">
        <v>809</v>
      </c>
      <c r="P2" s="1" t="s">
        <v>810</v>
      </c>
      <c r="Q2" s="1" t="s">
        <v>811</v>
      </c>
      <c r="R2" s="1" t="s">
        <v>812</v>
      </c>
      <c r="S2" s="1" t="s">
        <v>813</v>
      </c>
      <c r="T2" s="1" t="s">
        <v>814</v>
      </c>
      <c r="U2" s="1" t="s">
        <v>815</v>
      </c>
      <c r="V2" s="1" t="s">
        <v>816</v>
      </c>
      <c r="W2" s="1" t="s">
        <v>817</v>
      </c>
      <c r="X2" s="1" t="s">
        <v>818</v>
      </c>
      <c r="Y2" s="1" t="s">
        <v>819</v>
      </c>
      <c r="Z2" s="1" t="s">
        <v>820</v>
      </c>
      <c r="AA2" s="1" t="s">
        <v>821</v>
      </c>
      <c r="AB2" s="1" t="s">
        <v>822</v>
      </c>
      <c r="AC2" s="1" t="s">
        <v>823</v>
      </c>
      <c r="AD2" s="1" t="s">
        <v>824</v>
      </c>
      <c r="AE2" s="1" t="s">
        <v>825</v>
      </c>
      <c r="AF2" s="1" t="s">
        <v>826</v>
      </c>
      <c r="AG2" s="1" t="s">
        <v>827</v>
      </c>
      <c r="AH2" s="1" t="s">
        <v>828</v>
      </c>
      <c r="AI2" s="1" t="s">
        <v>829</v>
      </c>
      <c r="AJ2" s="1" t="s">
        <v>830</v>
      </c>
      <c r="AK2" s="1" t="s">
        <v>831</v>
      </c>
      <c r="AL2" s="1" t="s">
        <v>832</v>
      </c>
      <c r="AM2" s="1" t="s">
        <v>833</v>
      </c>
      <c r="AN2" s="1" t="s">
        <v>834</v>
      </c>
      <c r="AO2" s="1" t="s">
        <v>835</v>
      </c>
      <c r="AP2" s="1" t="s">
        <v>836</v>
      </c>
      <c r="AQ2" s="1" t="s">
        <v>837</v>
      </c>
      <c r="AR2" s="1" t="s">
        <v>838</v>
      </c>
      <c r="AS2" s="1" t="s">
        <v>839</v>
      </c>
      <c r="AT2" s="1" t="s">
        <v>840</v>
      </c>
      <c r="AU2" s="1" t="s">
        <v>841</v>
      </c>
      <c r="AV2" s="1" t="s">
        <v>842</v>
      </c>
      <c r="AW2" s="1" t="s">
        <v>843</v>
      </c>
      <c r="AX2" s="1" t="s">
        <v>844</v>
      </c>
      <c r="AY2" s="1" t="s">
        <v>845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965</v>
      </c>
      <c r="FP2" s="1" t="s">
        <v>966</v>
      </c>
      <c r="FQ2" s="1" t="s">
        <v>967</v>
      </c>
      <c r="FR2" s="1" t="s">
        <v>968</v>
      </c>
      <c r="FS2" s="1" t="s">
        <v>969</v>
      </c>
      <c r="FT2" s="1" t="s">
        <v>970</v>
      </c>
      <c r="FU2" s="1" t="s">
        <v>971</v>
      </c>
      <c r="FV2" s="1" t="s">
        <v>972</v>
      </c>
      <c r="FW2" s="1" t="s">
        <v>973</v>
      </c>
      <c r="FX2" s="1" t="s">
        <v>974</v>
      </c>
      <c r="FY2" s="1" t="s">
        <v>975</v>
      </c>
      <c r="FZ2" s="1" t="s">
        <v>976</v>
      </c>
      <c r="GA2" s="1" t="s">
        <v>977</v>
      </c>
      <c r="GB2" s="1" t="s">
        <v>978</v>
      </c>
      <c r="GC2" s="1" t="s">
        <v>979</v>
      </c>
      <c r="GD2" s="1" t="s">
        <v>980</v>
      </c>
      <c r="GE2" s="1" t="s">
        <v>981</v>
      </c>
      <c r="GF2" s="1" t="s">
        <v>982</v>
      </c>
      <c r="GG2" s="1" t="s">
        <v>983</v>
      </c>
      <c r="GH2" s="1" t="s">
        <v>984</v>
      </c>
      <c r="GI2" s="1" t="s">
        <v>985</v>
      </c>
      <c r="GJ2" s="1" t="s">
        <v>986</v>
      </c>
      <c r="GK2" s="1" t="s">
        <v>987</v>
      </c>
      <c r="GL2" s="1" t="s">
        <v>988</v>
      </c>
      <c r="GM2" s="1" t="s">
        <v>989</v>
      </c>
      <c r="GN2" s="1" t="s">
        <v>990</v>
      </c>
      <c r="GO2" s="1" t="s">
        <v>991</v>
      </c>
      <c r="GP2" s="1" t="s">
        <v>992</v>
      </c>
      <c r="GQ2" s="1" t="s">
        <v>993</v>
      </c>
      <c r="GR2" s="1" t="s">
        <v>994</v>
      </c>
      <c r="GS2" s="1" t="s">
        <v>995</v>
      </c>
      <c r="GT2" s="1" t="s">
        <v>996</v>
      </c>
      <c r="GU2" s="1" t="s">
        <v>997</v>
      </c>
      <c r="GV2" s="1" t="s">
        <v>998</v>
      </c>
      <c r="GW2" s="1" t="s">
        <v>999</v>
      </c>
      <c r="GX2" s="1" t="s">
        <v>1000</v>
      </c>
      <c r="GY2" s="1" t="s">
        <v>1001</v>
      </c>
      <c r="GZ2" s="1" t="s">
        <v>1002</v>
      </c>
      <c r="HA2" s="1" t="s">
        <v>1003</v>
      </c>
      <c r="HB2" s="1" t="s">
        <v>1004</v>
      </c>
      <c r="HC2" s="1" t="s">
        <v>1005</v>
      </c>
      <c r="HD2" s="1" t="s">
        <v>1006</v>
      </c>
      <c r="HE2" s="1" t="s">
        <v>1007</v>
      </c>
      <c r="HF2" s="1" t="s">
        <v>1008</v>
      </c>
      <c r="HG2" s="1" t="s">
        <v>1009</v>
      </c>
      <c r="HH2" s="1" t="s">
        <v>1010</v>
      </c>
      <c r="HI2" s="1" t="s">
        <v>1011</v>
      </c>
      <c r="HJ2" s="1" t="s">
        <v>1012</v>
      </c>
      <c r="HK2" s="1" t="s">
        <v>1013</v>
      </c>
      <c r="HL2" s="1" t="s">
        <v>1014</v>
      </c>
      <c r="HM2" s="1" t="s">
        <v>1015</v>
      </c>
      <c r="HN2" s="1" t="s">
        <v>1016</v>
      </c>
      <c r="HO2" s="1" t="s">
        <v>1017</v>
      </c>
      <c r="HP2" s="1" t="s">
        <v>1018</v>
      </c>
      <c r="HQ2" s="1" t="s">
        <v>1019</v>
      </c>
      <c r="HR2" s="1" t="s">
        <v>1020</v>
      </c>
      <c r="HS2" s="1" t="s">
        <v>1021</v>
      </c>
      <c r="HT2" s="1" t="s">
        <v>1022</v>
      </c>
      <c r="HU2" s="1" t="s">
        <v>1023</v>
      </c>
      <c r="HV2" s="1" t="s">
        <v>1024</v>
      </c>
      <c r="HW2" s="1" t="s">
        <v>1025</v>
      </c>
      <c r="HX2" s="1" t="s">
        <v>1026</v>
      </c>
      <c r="HY2" s="1" t="s">
        <v>1027</v>
      </c>
      <c r="HZ2" s="1" t="s">
        <v>1028</v>
      </c>
      <c r="IA2" s="1" t="s">
        <v>1029</v>
      </c>
      <c r="IB2" s="1" t="s">
        <v>1030</v>
      </c>
      <c r="IC2" s="1" t="s">
        <v>1031</v>
      </c>
      <c r="ID2" s="1" t="s">
        <v>1032</v>
      </c>
      <c r="IE2" s="1" t="s">
        <v>1033</v>
      </c>
      <c r="IF2" s="1" t="s">
        <v>1034</v>
      </c>
      <c r="IG2" s="1" t="s">
        <v>1035</v>
      </c>
      <c r="IH2" s="1" t="s">
        <v>1036</v>
      </c>
      <c r="II2" s="1" t="s">
        <v>1037</v>
      </c>
      <c r="IJ2" s="1" t="s">
        <v>1038</v>
      </c>
      <c r="IK2" s="1" t="s">
        <v>1039</v>
      </c>
      <c r="IL2" s="1" t="s">
        <v>1040</v>
      </c>
      <c r="IM2" s="1" t="s">
        <v>1041</v>
      </c>
      <c r="IN2" s="1" t="s">
        <v>1042</v>
      </c>
      <c r="IO2" s="1" t="s">
        <v>1043</v>
      </c>
      <c r="IP2" s="1" t="s">
        <v>1044</v>
      </c>
      <c r="IQ2" s="1" t="s">
        <v>1045</v>
      </c>
      <c r="IR2" s="1" t="s">
        <v>1046</v>
      </c>
      <c r="IS2" s="1" t="s">
        <v>1047</v>
      </c>
      <c r="IT2" s="1" t="s">
        <v>1048</v>
      </c>
      <c r="IU2" s="1" t="s">
        <v>1049</v>
      </c>
      <c r="IV2" s="1" t="s">
        <v>1050</v>
      </c>
      <c r="IW2" s="1" t="s">
        <v>1051</v>
      </c>
      <c r="IX2" s="1" t="s">
        <v>1052</v>
      </c>
      <c r="IY2" s="1" t="s">
        <v>1053</v>
      </c>
      <c r="IZ2" s="1" t="s">
        <v>1054</v>
      </c>
      <c r="JA2" s="1" t="s">
        <v>1055</v>
      </c>
      <c r="JB2" s="1" t="s">
        <v>1056</v>
      </c>
      <c r="JC2" s="1" t="s">
        <v>1057</v>
      </c>
      <c r="JD2" s="1" t="s">
        <v>1058</v>
      </c>
      <c r="JE2" s="1" t="s">
        <v>1059</v>
      </c>
      <c r="JF2" s="1" t="s">
        <v>1060</v>
      </c>
      <c r="JG2" s="1" t="s">
        <v>1061</v>
      </c>
      <c r="JH2" s="1" t="s">
        <v>1062</v>
      </c>
      <c r="JI2" s="1" t="s">
        <v>1063</v>
      </c>
      <c r="JJ2" s="1" t="s">
        <v>1064</v>
      </c>
      <c r="JK2" s="1" t="s">
        <v>1065</v>
      </c>
      <c r="JL2" s="1" t="s">
        <v>1066</v>
      </c>
      <c r="JM2" s="1" t="s">
        <v>1067</v>
      </c>
      <c r="JN2" s="1" t="s">
        <v>1068</v>
      </c>
      <c r="JO2" s="1" t="s">
        <v>1069</v>
      </c>
      <c r="JP2" s="1" t="s">
        <v>1070</v>
      </c>
      <c r="JQ2" s="1" t="s">
        <v>1071</v>
      </c>
      <c r="JR2" s="1" t="s">
        <v>1072</v>
      </c>
      <c r="JS2" s="1" t="s">
        <v>1073</v>
      </c>
      <c r="JT2" s="1" t="s">
        <v>1074</v>
      </c>
      <c r="JU2" s="1" t="s">
        <v>1075</v>
      </c>
      <c r="JV2" s="1" t="s">
        <v>1076</v>
      </c>
      <c r="JW2" s="1" t="s">
        <v>1077</v>
      </c>
      <c r="JX2" s="1" t="s">
        <v>1078</v>
      </c>
      <c r="JY2" s="1" t="s">
        <v>1079</v>
      </c>
      <c r="JZ2" s="1" t="s">
        <v>1080</v>
      </c>
      <c r="KA2" s="1" t="s">
        <v>1081</v>
      </c>
      <c r="KB2" s="1" t="s">
        <v>1082</v>
      </c>
      <c r="KC2" s="1" t="s">
        <v>1083</v>
      </c>
      <c r="KD2" s="1" t="s">
        <v>1084</v>
      </c>
      <c r="KE2" s="1" t="s">
        <v>1085</v>
      </c>
      <c r="KF2" s="1" t="s">
        <v>1086</v>
      </c>
      <c r="KG2" s="1" t="s">
        <v>1087</v>
      </c>
      <c r="KH2" s="1" t="s">
        <v>1088</v>
      </c>
      <c r="KI2" s="1" t="s">
        <v>1089</v>
      </c>
      <c r="KJ2" s="1" t="s">
        <v>1090</v>
      </c>
      <c r="KK2" s="1" t="s">
        <v>1091</v>
      </c>
      <c r="KL2" s="1" t="s">
        <v>1092</v>
      </c>
      <c r="KM2" s="1" t="s">
        <v>1093</v>
      </c>
      <c r="KN2" s="1" t="s">
        <v>1094</v>
      </c>
      <c r="KO2" s="1" t="s">
        <v>1095</v>
      </c>
      <c r="KP2" s="1" t="s">
        <v>1096</v>
      </c>
      <c r="KQ2" s="1" t="s">
        <v>1097</v>
      </c>
      <c r="KR2" s="1" t="s">
        <v>1098</v>
      </c>
      <c r="KS2" s="1" t="s">
        <v>1099</v>
      </c>
      <c r="KT2" s="1" t="s">
        <v>1100</v>
      </c>
      <c r="KU2" s="1" t="s">
        <v>1101</v>
      </c>
      <c r="KV2" s="1" t="s">
        <v>1102</v>
      </c>
      <c r="KW2" s="1" t="s">
        <v>1103</v>
      </c>
      <c r="KX2" s="1" t="s">
        <v>1104</v>
      </c>
      <c r="KY2" s="1" t="s">
        <v>1105</v>
      </c>
      <c r="KZ2" s="1" t="s">
        <v>1106</v>
      </c>
      <c r="LA2" s="1" t="s">
        <v>1107</v>
      </c>
      <c r="LB2" s="1" t="s">
        <v>1108</v>
      </c>
      <c r="LC2" s="1" t="s">
        <v>1109</v>
      </c>
      <c r="LD2" s="1" t="s">
        <v>1110</v>
      </c>
      <c r="LE2" s="1" t="s">
        <v>1111</v>
      </c>
      <c r="LF2" s="1" t="s">
        <v>1112</v>
      </c>
      <c r="LG2" s="1" t="s">
        <v>1113</v>
      </c>
      <c r="LH2" s="1" t="s">
        <v>1114</v>
      </c>
      <c r="LI2" s="1" t="s">
        <v>1115</v>
      </c>
      <c r="LJ2" s="1" t="s">
        <v>1116</v>
      </c>
      <c r="LK2" s="1" t="s">
        <v>1117</v>
      </c>
      <c r="LL2" s="1" t="s">
        <v>1118</v>
      </c>
      <c r="LM2" s="1" t="s">
        <v>1119</v>
      </c>
      <c r="LN2" s="1" t="s">
        <v>1120</v>
      </c>
      <c r="LO2" s="1" t="s">
        <v>1121</v>
      </c>
      <c r="LP2" s="1" t="s">
        <v>1122</v>
      </c>
      <c r="LQ2" s="1" t="s">
        <v>1123</v>
      </c>
      <c r="LR2" s="1" t="s">
        <v>1124</v>
      </c>
      <c r="LS2" s="1" t="s">
        <v>1125</v>
      </c>
      <c r="LT2" s="1" t="s">
        <v>1126</v>
      </c>
      <c r="LU2" s="1" t="s">
        <v>1127</v>
      </c>
      <c r="LV2" s="1" t="s">
        <v>1128</v>
      </c>
      <c r="LW2" s="1" t="s">
        <v>1129</v>
      </c>
      <c r="LX2" s="1" t="s">
        <v>1130</v>
      </c>
      <c r="LY2" s="1" t="s">
        <v>1131</v>
      </c>
      <c r="LZ2" s="1" t="s">
        <v>1132</v>
      </c>
      <c r="MA2" s="1" t="s">
        <v>1133</v>
      </c>
      <c r="MB2" s="1" t="s">
        <v>1134</v>
      </c>
      <c r="MC2" s="1" t="s">
        <v>1135</v>
      </c>
      <c r="MD2" s="1" t="s">
        <v>1136</v>
      </c>
      <c r="ME2" s="1" t="s">
        <v>1137</v>
      </c>
      <c r="MF2" s="1" t="s">
        <v>1138</v>
      </c>
      <c r="MG2" s="1" t="s">
        <v>1139</v>
      </c>
      <c r="MH2" s="1" t="s">
        <v>1140</v>
      </c>
      <c r="MI2" s="1" t="s">
        <v>1141</v>
      </c>
      <c r="MJ2" s="1" t="s">
        <v>1142</v>
      </c>
      <c r="MK2" s="1" t="s">
        <v>1143</v>
      </c>
      <c r="ML2" s="1" t="s">
        <v>1144</v>
      </c>
      <c r="MM2" s="1" t="s">
        <v>1145</v>
      </c>
      <c r="MN2" s="1" t="s">
        <v>1146</v>
      </c>
      <c r="MO2" s="1" t="s">
        <v>1147</v>
      </c>
      <c r="MP2" s="1" t="s">
        <v>1148</v>
      </c>
      <c r="MQ2" s="1" t="s">
        <v>1149</v>
      </c>
      <c r="MR2" s="1" t="s">
        <v>1150</v>
      </c>
      <c r="MS2" s="1" t="s">
        <v>1151</v>
      </c>
      <c r="MT2" s="1" t="s">
        <v>1152</v>
      </c>
      <c r="MU2" s="1" t="s">
        <v>1153</v>
      </c>
      <c r="MV2" s="1" t="s">
        <v>1154</v>
      </c>
      <c r="MW2" s="1" t="s">
        <v>1155</v>
      </c>
      <c r="MX2" s="1" t="s">
        <v>1156</v>
      </c>
      <c r="MY2" s="1" t="s">
        <v>1157</v>
      </c>
      <c r="MZ2" s="1" t="s">
        <v>1158</v>
      </c>
      <c r="NA2" s="1" t="s">
        <v>1159</v>
      </c>
      <c r="NB2" s="1" t="s">
        <v>1160</v>
      </c>
      <c r="NC2" s="1" t="s">
        <v>1161</v>
      </c>
      <c r="ND2" s="1" t="s">
        <v>1162</v>
      </c>
      <c r="NE2" s="1" t="s">
        <v>1163</v>
      </c>
      <c r="NF2" s="1" t="s">
        <v>1164</v>
      </c>
      <c r="NG2" s="1" t="s">
        <v>1165</v>
      </c>
      <c r="NH2" s="1" t="s">
        <v>1166</v>
      </c>
      <c r="NI2" s="1" t="s">
        <v>1167</v>
      </c>
      <c r="NJ2" s="1" t="s">
        <v>1168</v>
      </c>
      <c r="NK2" s="1" t="s">
        <v>1169</v>
      </c>
      <c r="NL2" s="1" t="s">
        <v>1170</v>
      </c>
      <c r="NM2" s="1" t="s">
        <v>1171</v>
      </c>
      <c r="NN2" s="1" t="s">
        <v>1172</v>
      </c>
      <c r="NO2" s="1" t="s">
        <v>1173</v>
      </c>
      <c r="NP2" s="1" t="s">
        <v>1174</v>
      </c>
      <c r="NQ2" s="1" t="s">
        <v>1175</v>
      </c>
      <c r="NR2" s="1" t="s">
        <v>1176</v>
      </c>
      <c r="NS2" s="1" t="s">
        <v>1177</v>
      </c>
      <c r="NT2" s="1" t="s">
        <v>1178</v>
      </c>
      <c r="NU2" s="1" t="s">
        <v>1179</v>
      </c>
      <c r="NV2" s="1" t="s">
        <v>1180</v>
      </c>
      <c r="NW2" s="1" t="s">
        <v>1181</v>
      </c>
      <c r="NX2" s="1" t="s">
        <v>1182</v>
      </c>
      <c r="NY2" s="1" t="s">
        <v>1183</v>
      </c>
      <c r="NZ2" s="1" t="s">
        <v>1184</v>
      </c>
      <c r="OA2" s="1" t="s">
        <v>1185</v>
      </c>
      <c r="OB2" s="1" t="s">
        <v>1186</v>
      </c>
      <c r="OC2" s="1" t="s">
        <v>1187</v>
      </c>
      <c r="OD2" s="1" t="s">
        <v>1188</v>
      </c>
      <c r="OE2" s="1" t="s">
        <v>1189</v>
      </c>
      <c r="OF2" s="1" t="s">
        <v>1190</v>
      </c>
      <c r="OG2" s="1" t="s">
        <v>1191</v>
      </c>
      <c r="OH2" s="1" t="s">
        <v>1192</v>
      </c>
      <c r="OI2" s="1" t="s">
        <v>1193</v>
      </c>
      <c r="OJ2" s="1" t="s">
        <v>1194</v>
      </c>
      <c r="OK2" s="1" t="s">
        <v>1195</v>
      </c>
      <c r="OL2" s="1" t="s">
        <v>1196</v>
      </c>
      <c r="OM2" s="1" t="s">
        <v>1197</v>
      </c>
      <c r="ON2" s="1" t="s">
        <v>1198</v>
      </c>
      <c r="OO2" s="1" t="s">
        <v>1199</v>
      </c>
      <c r="OP2" s="1" t="s">
        <v>1200</v>
      </c>
      <c r="OQ2" s="1" t="s">
        <v>1201</v>
      </c>
      <c r="OR2" s="1" t="s">
        <v>1202</v>
      </c>
      <c r="OS2" s="1" t="s">
        <v>1203</v>
      </c>
      <c r="OT2" s="1" t="s">
        <v>1204</v>
      </c>
      <c r="OU2" s="1" t="s">
        <v>1205</v>
      </c>
      <c r="OV2" s="1" t="s">
        <v>1206</v>
      </c>
      <c r="OW2" s="1" t="s">
        <v>1207</v>
      </c>
      <c r="OX2" s="1" t="s">
        <v>1208</v>
      </c>
      <c r="OY2" s="1" t="s">
        <v>1209</v>
      </c>
      <c r="OZ2" s="1" t="s">
        <v>1210</v>
      </c>
      <c r="PA2" s="1" t="s">
        <v>1211</v>
      </c>
      <c r="PB2" s="1" t="s">
        <v>1212</v>
      </c>
      <c r="PC2" s="1" t="s">
        <v>1213</v>
      </c>
      <c r="PD2" s="1" t="s">
        <v>1214</v>
      </c>
      <c r="PE2" s="1" t="s">
        <v>1215</v>
      </c>
      <c r="PF2" s="1" t="s">
        <v>1216</v>
      </c>
      <c r="PG2" s="1" t="s">
        <v>1217</v>
      </c>
      <c r="PH2" s="1" t="s">
        <v>1218</v>
      </c>
      <c r="PI2" s="1" t="s">
        <v>1219</v>
      </c>
      <c r="PJ2" s="1" t="s">
        <v>1220</v>
      </c>
      <c r="PK2" s="1" t="s">
        <v>1221</v>
      </c>
      <c r="PL2" s="1" t="s">
        <v>1222</v>
      </c>
      <c r="PM2" s="1" t="s">
        <v>1223</v>
      </c>
      <c r="PN2" s="1" t="s">
        <v>1224</v>
      </c>
      <c r="PO2" s="1" t="s">
        <v>1225</v>
      </c>
      <c r="PP2" s="1" t="s">
        <v>1226</v>
      </c>
      <c r="PQ2" s="1" t="s">
        <v>1227</v>
      </c>
      <c r="PR2" s="1" t="s">
        <v>1228</v>
      </c>
      <c r="PS2" s="1" t="s">
        <v>1229</v>
      </c>
      <c r="PT2" s="1" t="s">
        <v>1230</v>
      </c>
      <c r="PU2" s="1" t="s">
        <v>1231</v>
      </c>
      <c r="PV2" s="1" t="s">
        <v>1232</v>
      </c>
      <c r="PW2" s="1" t="s">
        <v>1233</v>
      </c>
      <c r="PX2" s="1" t="s">
        <v>1234</v>
      </c>
      <c r="PY2" s="1" t="s">
        <v>1235</v>
      </c>
      <c r="PZ2" s="1" t="s">
        <v>1236</v>
      </c>
      <c r="QA2" s="1" t="s">
        <v>1237</v>
      </c>
      <c r="QB2" s="1" t="s">
        <v>1238</v>
      </c>
      <c r="QC2" s="1" t="s">
        <v>1239</v>
      </c>
      <c r="QD2" s="1" t="s">
        <v>1240</v>
      </c>
      <c r="QE2" s="1" t="s">
        <v>1241</v>
      </c>
      <c r="QF2" s="1" t="s">
        <v>1242</v>
      </c>
      <c r="QG2" s="1" t="s">
        <v>1243</v>
      </c>
      <c r="QH2" s="1" t="s">
        <v>1244</v>
      </c>
      <c r="QI2" s="1" t="s">
        <v>1245</v>
      </c>
      <c r="QJ2" s="1" t="s">
        <v>1246</v>
      </c>
      <c r="QK2" s="1" t="s">
        <v>1247</v>
      </c>
      <c r="QL2" s="1" t="s">
        <v>1248</v>
      </c>
      <c r="QM2" s="1" t="s">
        <v>1249</v>
      </c>
      <c r="QN2" s="1" t="s">
        <v>1250</v>
      </c>
      <c r="QO2" s="1" t="s">
        <v>1251</v>
      </c>
      <c r="QP2" s="1" t="s">
        <v>1252</v>
      </c>
      <c r="QQ2" s="1" t="s">
        <v>1253</v>
      </c>
      <c r="QR2" s="1" t="s">
        <v>1254</v>
      </c>
      <c r="QS2" s="1" t="s">
        <v>1255</v>
      </c>
      <c r="QT2" s="1" t="s">
        <v>1256</v>
      </c>
      <c r="QU2" s="1" t="s">
        <v>1257</v>
      </c>
      <c r="QV2" s="1" t="s">
        <v>1258</v>
      </c>
      <c r="QW2" s="1" t="s">
        <v>1259</v>
      </c>
      <c r="QX2" s="1" t="s">
        <v>1260</v>
      </c>
      <c r="QY2" s="1" t="s">
        <v>1261</v>
      </c>
      <c r="QZ2" s="1" t="s">
        <v>1262</v>
      </c>
      <c r="RA2" s="1" t="s">
        <v>1263</v>
      </c>
      <c r="RB2" s="1" t="s">
        <v>1264</v>
      </c>
      <c r="RC2" s="1" t="s">
        <v>1265</v>
      </c>
      <c r="RD2" s="1" t="s">
        <v>1266</v>
      </c>
      <c r="RE2" s="1" t="s">
        <v>1267</v>
      </c>
      <c r="RF2" s="1" t="s">
        <v>1268</v>
      </c>
      <c r="RG2" s="1" t="s">
        <v>1269</v>
      </c>
      <c r="RH2" s="1" t="s">
        <v>1270</v>
      </c>
      <c r="RI2" s="1" t="s">
        <v>1271</v>
      </c>
      <c r="RJ2" s="1" t="s">
        <v>1272</v>
      </c>
      <c r="RK2" s="1" t="s">
        <v>1273</v>
      </c>
      <c r="RL2" s="1" t="s">
        <v>1274</v>
      </c>
      <c r="RM2" s="1" t="s">
        <v>1275</v>
      </c>
      <c r="RN2" s="1" t="s">
        <v>1276</v>
      </c>
      <c r="RO2" s="1" t="s">
        <v>1277</v>
      </c>
      <c r="RP2" s="1" t="s">
        <v>1278</v>
      </c>
      <c r="RQ2" s="1" t="s">
        <v>1279</v>
      </c>
      <c r="RR2" s="1" t="s">
        <v>1280</v>
      </c>
      <c r="RS2" s="1" t="s">
        <v>1281</v>
      </c>
      <c r="RT2" s="1" t="s">
        <v>1282</v>
      </c>
      <c r="RU2" s="1" t="s">
        <v>1283</v>
      </c>
      <c r="RV2" s="1" t="s">
        <v>1284</v>
      </c>
      <c r="RW2" s="1" t="s">
        <v>1285</v>
      </c>
      <c r="RX2" s="1" t="s">
        <v>1286</v>
      </c>
      <c r="RY2" s="1" t="s">
        <v>1287</v>
      </c>
      <c r="RZ2" s="1" t="s">
        <v>1288</v>
      </c>
      <c r="SA2" s="1" t="s">
        <v>1289</v>
      </c>
      <c r="SB2" s="1" t="s">
        <v>1290</v>
      </c>
      <c r="SC2" s="1" t="s">
        <v>1291</v>
      </c>
      <c r="SD2" s="1" t="s">
        <v>1292</v>
      </c>
      <c r="SE2" s="1" t="s">
        <v>1293</v>
      </c>
      <c r="SF2" s="1" t="s">
        <v>1294</v>
      </c>
      <c r="SG2" s="1" t="s">
        <v>1295</v>
      </c>
      <c r="SH2" s="1" t="s">
        <v>1296</v>
      </c>
      <c r="SI2" s="1" t="s">
        <v>1297</v>
      </c>
      <c r="SJ2" s="1" t="s">
        <v>1298</v>
      </c>
      <c r="SK2" s="1" t="s">
        <v>1299</v>
      </c>
      <c r="SL2" s="1" t="s">
        <v>1300</v>
      </c>
      <c r="SM2" s="1" t="s">
        <v>1301</v>
      </c>
      <c r="SN2" s="1" t="s">
        <v>1302</v>
      </c>
      <c r="SO2" s="1" t="s">
        <v>1303</v>
      </c>
      <c r="SP2" s="1" t="s">
        <v>1304</v>
      </c>
      <c r="SQ2" s="1" t="s">
        <v>1305</v>
      </c>
      <c r="SR2" s="1" t="s">
        <v>1306</v>
      </c>
      <c r="SS2" s="1" t="s">
        <v>1307</v>
      </c>
      <c r="ST2" s="1" t="s">
        <v>1308</v>
      </c>
      <c r="SU2" s="1" t="s">
        <v>1309</v>
      </c>
      <c r="SV2" s="1" t="s">
        <v>1310</v>
      </c>
      <c r="SW2" s="1" t="s">
        <v>1311</v>
      </c>
      <c r="SX2" s="1" t="s">
        <v>1312</v>
      </c>
      <c r="SY2" s="1" t="s">
        <v>1313</v>
      </c>
      <c r="SZ2" s="1" t="s">
        <v>1314</v>
      </c>
      <c r="TA2" s="1" t="s">
        <v>1315</v>
      </c>
      <c r="TB2" s="1" t="s">
        <v>1316</v>
      </c>
      <c r="TC2" s="1" t="s">
        <v>1317</v>
      </c>
      <c r="TD2" s="1" t="s">
        <v>1318</v>
      </c>
      <c r="TE2" s="1" t="s">
        <v>1319</v>
      </c>
      <c r="TF2" s="1" t="s">
        <v>1320</v>
      </c>
      <c r="TG2" s="1" t="s">
        <v>1321</v>
      </c>
      <c r="TH2" s="1" t="s">
        <v>1322</v>
      </c>
      <c r="TI2" s="1" t="s">
        <v>1323</v>
      </c>
      <c r="TJ2" s="1" t="s">
        <v>1324</v>
      </c>
      <c r="TK2" s="1" t="s">
        <v>1325</v>
      </c>
      <c r="TL2" s="1" t="s">
        <v>1326</v>
      </c>
      <c r="TM2" s="1" t="s">
        <v>1327</v>
      </c>
      <c r="TN2" s="1" t="s">
        <v>1328</v>
      </c>
      <c r="TO2" s="1" t="s">
        <v>1329</v>
      </c>
      <c r="TP2" s="1" t="s">
        <v>1330</v>
      </c>
      <c r="TQ2" s="1" t="s">
        <v>1331</v>
      </c>
      <c r="TR2" s="1" t="s">
        <v>1332</v>
      </c>
      <c r="TS2" s="1" t="s">
        <v>1333</v>
      </c>
      <c r="TT2" s="1" t="s">
        <v>1334</v>
      </c>
      <c r="TU2" s="1" t="s">
        <v>1335</v>
      </c>
      <c r="TV2" s="1" t="s">
        <v>1336</v>
      </c>
      <c r="TW2" s="1" t="s">
        <v>1337</v>
      </c>
      <c r="TX2" s="1" t="s">
        <v>1338</v>
      </c>
      <c r="TY2" s="1" t="s">
        <v>1339</v>
      </c>
      <c r="TZ2" s="1" t="s">
        <v>1340</v>
      </c>
      <c r="UA2" s="1" t="s">
        <v>1341</v>
      </c>
      <c r="UB2" s="1" t="s">
        <v>1342</v>
      </c>
      <c r="UC2" s="1" t="s">
        <v>1343</v>
      </c>
      <c r="UD2" s="1" t="s">
        <v>1344</v>
      </c>
      <c r="UE2" s="1" t="s">
        <v>1345</v>
      </c>
      <c r="UF2" s="1" t="s">
        <v>1346</v>
      </c>
      <c r="UG2" s="1" t="s">
        <v>1347</v>
      </c>
      <c r="UH2" s="1" t="s">
        <v>1348</v>
      </c>
      <c r="UI2" s="1" t="s">
        <v>1349</v>
      </c>
      <c r="UJ2" s="1" t="s">
        <v>1350</v>
      </c>
      <c r="UK2" s="1" t="s">
        <v>1351</v>
      </c>
      <c r="UL2" s="1" t="s">
        <v>1352</v>
      </c>
      <c r="UM2" s="1" t="s">
        <v>1353</v>
      </c>
      <c r="UN2" s="1" t="s">
        <v>1354</v>
      </c>
      <c r="UO2" s="1" t="s">
        <v>1355</v>
      </c>
      <c r="UP2" s="1" t="s">
        <v>1356</v>
      </c>
      <c r="UQ2" s="1" t="s">
        <v>1357</v>
      </c>
      <c r="UR2" s="1" t="s">
        <v>1358</v>
      </c>
      <c r="US2" s="1" t="s">
        <v>1359</v>
      </c>
      <c r="UT2" s="1" t="s">
        <v>1360</v>
      </c>
      <c r="UU2" s="1" t="s">
        <v>1361</v>
      </c>
      <c r="UV2" s="1" t="s">
        <v>1362</v>
      </c>
      <c r="UW2" s="1" t="s">
        <v>1363</v>
      </c>
      <c r="UX2" s="1" t="s">
        <v>1364</v>
      </c>
      <c r="UY2" s="1" t="s">
        <v>1365</v>
      </c>
      <c r="UZ2" s="1" t="s">
        <v>1366</v>
      </c>
      <c r="VA2" s="1" t="s">
        <v>1367</v>
      </c>
      <c r="VB2" s="1" t="s">
        <v>1368</v>
      </c>
      <c r="VC2" s="1" t="s">
        <v>1369</v>
      </c>
      <c r="VD2" s="1" t="s">
        <v>1370</v>
      </c>
      <c r="VE2" s="1" t="s">
        <v>1371</v>
      </c>
      <c r="VF2" s="1" t="s">
        <v>1372</v>
      </c>
      <c r="VG2" s="1" t="s">
        <v>1373</v>
      </c>
      <c r="VH2" s="1" t="s">
        <v>1374</v>
      </c>
      <c r="VI2" s="1" t="s">
        <v>1375</v>
      </c>
      <c r="VJ2" s="1" t="s">
        <v>1376</v>
      </c>
      <c r="VK2" s="1" t="s">
        <v>1377</v>
      </c>
      <c r="VL2" s="1" t="s">
        <v>1378</v>
      </c>
      <c r="VM2" s="1" t="s">
        <v>1379</v>
      </c>
      <c r="VN2" s="1" t="s">
        <v>1380</v>
      </c>
      <c r="VO2" s="1" t="s">
        <v>1381</v>
      </c>
      <c r="VP2" s="1" t="s">
        <v>1382</v>
      </c>
      <c r="VQ2" s="1" t="s">
        <v>1383</v>
      </c>
      <c r="VR2" s="1" t="s">
        <v>1384</v>
      </c>
      <c r="VS2" s="1" t="s">
        <v>1385</v>
      </c>
      <c r="VT2" s="1" t="s">
        <v>1386</v>
      </c>
      <c r="VU2" s="1" t="s">
        <v>1387</v>
      </c>
      <c r="VV2" s="1" t="s">
        <v>1388</v>
      </c>
      <c r="VW2" s="1" t="s">
        <v>1389</v>
      </c>
      <c r="VX2" s="1" t="s">
        <v>1390</v>
      </c>
      <c r="VY2" s="1" t="s">
        <v>1391</v>
      </c>
      <c r="VZ2" s="1" t="s">
        <v>1392</v>
      </c>
      <c r="WA2" s="1" t="s">
        <v>1393</v>
      </c>
      <c r="WB2" s="1" t="s">
        <v>1394</v>
      </c>
      <c r="WC2" s="1" t="s">
        <v>1395</v>
      </c>
      <c r="WD2" s="1" t="s">
        <v>1396</v>
      </c>
      <c r="WE2" s="1" t="s">
        <v>1397</v>
      </c>
      <c r="WF2" s="1" t="s">
        <v>1398</v>
      </c>
      <c r="WG2" s="1" t="s">
        <v>1399</v>
      </c>
      <c r="WH2" s="1" t="s">
        <v>1400</v>
      </c>
      <c r="WI2" s="1" t="s">
        <v>1401</v>
      </c>
      <c r="WJ2" s="1" t="s">
        <v>1402</v>
      </c>
      <c r="WK2" s="1" t="s">
        <v>1403</v>
      </c>
      <c r="WL2" s="1" t="s">
        <v>1404</v>
      </c>
      <c r="WM2" s="1" t="s">
        <v>1405</v>
      </c>
      <c r="WN2" s="1" t="s">
        <v>1406</v>
      </c>
      <c r="WO2" s="1" t="s">
        <v>1407</v>
      </c>
      <c r="WP2" s="1" t="s">
        <v>1408</v>
      </c>
      <c r="WQ2" s="1" t="s">
        <v>1409</v>
      </c>
      <c r="WR2" s="1" t="s">
        <v>1410</v>
      </c>
      <c r="WS2" s="1" t="s">
        <v>1411</v>
      </c>
      <c r="WT2" s="1" t="s">
        <v>1412</v>
      </c>
      <c r="WU2" s="1" t="s">
        <v>1413</v>
      </c>
      <c r="WV2" s="1" t="s">
        <v>1414</v>
      </c>
      <c r="WW2" s="1" t="s">
        <v>1415</v>
      </c>
      <c r="WX2" s="1" t="s">
        <v>1416</v>
      </c>
      <c r="WY2" s="1" t="s">
        <v>1417</v>
      </c>
      <c r="WZ2" s="1" t="s">
        <v>1418</v>
      </c>
      <c r="XA2" s="1" t="s">
        <v>1419</v>
      </c>
      <c r="XB2" s="1" t="s">
        <v>1420</v>
      </c>
      <c r="XC2" s="1" t="s">
        <v>1421</v>
      </c>
      <c r="XD2" s="1" t="s">
        <v>1422</v>
      </c>
      <c r="XE2" s="1" t="s">
        <v>1423</v>
      </c>
      <c r="XF2" s="1" t="s">
        <v>1424</v>
      </c>
      <c r="XG2" s="1" t="s">
        <v>1425</v>
      </c>
      <c r="XH2" s="1" t="s">
        <v>1426</v>
      </c>
      <c r="XI2" s="1" t="s">
        <v>1427</v>
      </c>
      <c r="XJ2" s="1" t="s">
        <v>1428</v>
      </c>
      <c r="XK2" s="1" t="s">
        <v>1429</v>
      </c>
      <c r="XL2" s="1" t="s">
        <v>1430</v>
      </c>
      <c r="XM2" s="1" t="s">
        <v>1431</v>
      </c>
      <c r="XN2" s="1" t="s">
        <v>1432</v>
      </c>
      <c r="XO2" s="1" t="s">
        <v>1433</v>
      </c>
      <c r="XP2" s="1" t="s">
        <v>1434</v>
      </c>
      <c r="XQ2" s="1" t="s">
        <v>1435</v>
      </c>
      <c r="XR2" s="1" t="s">
        <v>1436</v>
      </c>
      <c r="XS2" s="1" t="s">
        <v>1437</v>
      </c>
      <c r="XT2" s="1" t="s">
        <v>1438</v>
      </c>
      <c r="XU2" s="1" t="s">
        <v>1439</v>
      </c>
      <c r="XV2" s="1" t="s">
        <v>1440</v>
      </c>
      <c r="XW2" s="1" t="s">
        <v>1441</v>
      </c>
      <c r="XX2" s="1" t="s">
        <v>1442</v>
      </c>
      <c r="XY2" s="1" t="s">
        <v>1443</v>
      </c>
      <c r="XZ2" s="1" t="s">
        <v>1444</v>
      </c>
      <c r="YA2" s="1" t="s">
        <v>1445</v>
      </c>
      <c r="YB2" s="1" t="s">
        <v>1446</v>
      </c>
      <c r="YC2" s="1" t="s">
        <v>1447</v>
      </c>
      <c r="YD2" s="1" t="s">
        <v>1448</v>
      </c>
      <c r="YE2" s="1" t="s">
        <v>1449</v>
      </c>
      <c r="YF2" s="1" t="s">
        <v>1450</v>
      </c>
      <c r="YG2" s="1" t="s">
        <v>1451</v>
      </c>
      <c r="YH2" s="1" t="s">
        <v>1452</v>
      </c>
      <c r="YI2" s="1" t="s">
        <v>1453</v>
      </c>
      <c r="YJ2" s="1" t="s">
        <v>1454</v>
      </c>
      <c r="YK2" s="1" t="s">
        <v>1455</v>
      </c>
      <c r="YL2" s="1" t="s">
        <v>1456</v>
      </c>
      <c r="YM2" s="1" t="s">
        <v>1457</v>
      </c>
      <c r="YN2" s="1" t="s">
        <v>1458</v>
      </c>
      <c r="YO2" s="1" t="s">
        <v>1459</v>
      </c>
      <c r="YP2" s="1" t="s">
        <v>1460</v>
      </c>
      <c r="YQ2" s="1" t="s">
        <v>1461</v>
      </c>
      <c r="YR2" s="1" t="s">
        <v>1462</v>
      </c>
      <c r="YS2" s="1" t="s">
        <v>1463</v>
      </c>
      <c r="YT2" s="1" t="s">
        <v>1464</v>
      </c>
      <c r="YU2" s="1" t="s">
        <v>1465</v>
      </c>
      <c r="YV2" s="1" t="s">
        <v>1466</v>
      </c>
      <c r="YW2" s="1" t="s">
        <v>1467</v>
      </c>
      <c r="YX2" s="1" t="s">
        <v>1468</v>
      </c>
      <c r="YY2" s="1" t="s">
        <v>1469</v>
      </c>
      <c r="YZ2" s="1" t="s">
        <v>1470</v>
      </c>
      <c r="ZA2" s="1" t="s">
        <v>1471</v>
      </c>
      <c r="ZB2" s="1" t="s">
        <v>1472</v>
      </c>
      <c r="ZC2" s="1" t="s">
        <v>1473</v>
      </c>
      <c r="ZD2" s="1" t="s">
        <v>1474</v>
      </c>
      <c r="ZE2" s="1" t="s">
        <v>1475</v>
      </c>
      <c r="ZF2" s="1" t="s">
        <v>1476</v>
      </c>
      <c r="ZG2" s="1" t="s">
        <v>1477</v>
      </c>
      <c r="ZH2" s="1" t="s">
        <v>1478</v>
      </c>
      <c r="ZI2" s="1" t="s">
        <v>1479</v>
      </c>
      <c r="ZJ2" s="1" t="s">
        <v>1480</v>
      </c>
      <c r="ZK2" s="1" t="s">
        <v>1481</v>
      </c>
      <c r="ZL2" s="1" t="s">
        <v>1482</v>
      </c>
      <c r="ZM2" s="1" t="s">
        <v>1483</v>
      </c>
      <c r="ZN2" s="1" t="s">
        <v>1484</v>
      </c>
      <c r="ZO2" s="1" t="s">
        <v>1485</v>
      </c>
      <c r="ZP2" s="1" t="s">
        <v>1486</v>
      </c>
      <c r="ZQ2" s="1" t="s">
        <v>1487</v>
      </c>
      <c r="ZR2" s="1" t="s">
        <v>1488</v>
      </c>
      <c r="ZS2" s="1" t="s">
        <v>1489</v>
      </c>
      <c r="ZT2" s="1" t="s">
        <v>1490</v>
      </c>
      <c r="ZU2" s="1" t="s">
        <v>1491</v>
      </c>
      <c r="ZV2" s="1" t="s">
        <v>1492</v>
      </c>
      <c r="ZW2" s="1" t="s">
        <v>1493</v>
      </c>
      <c r="ZX2" s="1" t="s">
        <v>1494</v>
      </c>
      <c r="ZY2" s="1" t="s">
        <v>1495</v>
      </c>
      <c r="ZZ2" s="1" t="s">
        <v>1585</v>
      </c>
      <c r="AAA2" s="1" t="s">
        <v>1586</v>
      </c>
      <c r="AAB2" s="1" t="s">
        <v>1587</v>
      </c>
      <c r="AAC2" s="1" t="s">
        <v>1588</v>
      </c>
      <c r="AAD2" s="1" t="s">
        <v>1589</v>
      </c>
      <c r="AAE2" s="1" t="s">
        <v>1590</v>
      </c>
      <c r="AAF2" s="1" t="s">
        <v>1591</v>
      </c>
      <c r="AAG2" s="1" t="s">
        <v>1592</v>
      </c>
      <c r="AAH2" s="1" t="s">
        <v>1593</v>
      </c>
      <c r="AAI2" s="1" t="s">
        <v>1594</v>
      </c>
      <c r="AAJ2" s="1" t="s">
        <v>1595</v>
      </c>
      <c r="AAK2" s="1" t="s">
        <v>1596</v>
      </c>
      <c r="AAL2" s="1" t="s">
        <v>1597</v>
      </c>
      <c r="AAM2" s="1" t="s">
        <v>1598</v>
      </c>
      <c r="AAN2" s="1" t="s">
        <v>1599</v>
      </c>
      <c r="AAO2" s="1" t="s">
        <v>1600</v>
      </c>
      <c r="AAP2" s="1" t="s">
        <v>1601</v>
      </c>
      <c r="AAQ2" s="1" t="s">
        <v>1602</v>
      </c>
      <c r="AAR2" s="1" t="s">
        <v>1603</v>
      </c>
      <c r="AAS2" s="1" t="s">
        <v>1604</v>
      </c>
      <c r="AAT2" s="1" t="s">
        <v>1605</v>
      </c>
      <c r="AAU2" s="1" t="s">
        <v>1606</v>
      </c>
      <c r="AAV2" s="1" t="s">
        <v>1607</v>
      </c>
      <c r="AAW2" s="1" t="s">
        <v>1608</v>
      </c>
      <c r="AAX2" s="1" t="s">
        <v>1609</v>
      </c>
      <c r="AAY2" s="1" t="s">
        <v>1610</v>
      </c>
      <c r="AAZ2" s="1" t="s">
        <v>1611</v>
      </c>
      <c r="ABA2" s="1" t="s">
        <v>1612</v>
      </c>
      <c r="ABB2" s="1" t="s">
        <v>1613</v>
      </c>
      <c r="ABC2" s="1" t="s">
        <v>1614</v>
      </c>
      <c r="ABD2" s="1" t="s">
        <v>1615</v>
      </c>
      <c r="ABE2" s="1" t="s">
        <v>1616</v>
      </c>
      <c r="ABF2" s="1" t="s">
        <v>1617</v>
      </c>
      <c r="ABG2" s="1" t="s">
        <v>1618</v>
      </c>
      <c r="ABH2" s="1" t="s">
        <v>1619</v>
      </c>
      <c r="ABI2" s="1" t="s">
        <v>1620</v>
      </c>
      <c r="ABJ2" s="1" t="s">
        <v>1621</v>
      </c>
      <c r="ABK2" s="1" t="s">
        <v>1622</v>
      </c>
      <c r="ABL2" s="1" t="s">
        <v>1623</v>
      </c>
      <c r="ABM2" s="1" t="s">
        <v>1624</v>
      </c>
      <c r="ABN2" s="1" t="s">
        <v>1625</v>
      </c>
      <c r="ABO2" s="1" t="s">
        <v>1626</v>
      </c>
      <c r="ABP2" s="1" t="s">
        <v>1627</v>
      </c>
      <c r="ABQ2" s="1" t="s">
        <v>1628</v>
      </c>
      <c r="ABR2" s="1" t="s">
        <v>1629</v>
      </c>
      <c r="ABS2" s="1" t="s">
        <v>1630</v>
      </c>
      <c r="ABT2" s="1" t="s">
        <v>1631</v>
      </c>
      <c r="ABU2" s="1" t="s">
        <v>1632</v>
      </c>
      <c r="ABV2" s="1" t="s">
        <v>1633</v>
      </c>
      <c r="ABW2" s="1" t="s">
        <v>1634</v>
      </c>
      <c r="ABX2" s="1" t="s">
        <v>1635</v>
      </c>
      <c r="ABY2" s="1" t="s">
        <v>1636</v>
      </c>
      <c r="ABZ2" s="1" t="s">
        <v>1637</v>
      </c>
      <c r="ACA2" s="1" t="s">
        <v>1638</v>
      </c>
      <c r="ACB2" s="1" t="s">
        <v>1639</v>
      </c>
      <c r="ACC2" s="1" t="s">
        <v>1640</v>
      </c>
      <c r="ACD2" s="1" t="s">
        <v>1641</v>
      </c>
      <c r="ACE2" s="1" t="s">
        <v>1642</v>
      </c>
      <c r="ACF2" s="1" t="s">
        <v>1643</v>
      </c>
      <c r="ACG2" s="1" t="s">
        <v>1644</v>
      </c>
      <c r="ACH2" s="1" t="s">
        <v>1645</v>
      </c>
      <c r="ACI2" s="1" t="s">
        <v>1646</v>
      </c>
      <c r="ACJ2" s="1" t="s">
        <v>1647</v>
      </c>
      <c r="ACK2" s="1" t="s">
        <v>1648</v>
      </c>
      <c r="ACL2" s="1" t="s">
        <v>1649</v>
      </c>
      <c r="ACM2" s="1" t="s">
        <v>1650</v>
      </c>
      <c r="ACN2" s="1" t="s">
        <v>1651</v>
      </c>
      <c r="ACO2" s="1" t="s">
        <v>1652</v>
      </c>
      <c r="ACP2" s="1" t="s">
        <v>1653</v>
      </c>
      <c r="ACQ2" s="1" t="s">
        <v>1654</v>
      </c>
      <c r="ACR2" s="1" t="s">
        <v>1655</v>
      </c>
      <c r="ACS2" s="1" t="s">
        <v>1656</v>
      </c>
      <c r="ACT2" s="1" t="s">
        <v>1657</v>
      </c>
      <c r="ACU2" s="1" t="s">
        <v>1658</v>
      </c>
      <c r="ACV2" s="1" t="s">
        <v>1659</v>
      </c>
      <c r="ACW2" s="1" t="s">
        <v>1</v>
      </c>
      <c r="ACX2" s="1" t="s">
        <v>1496</v>
      </c>
    </row>
    <row r="3" spans="1:778" x14ac:dyDescent="0.2">
      <c r="A3" s="1" t="s">
        <v>71</v>
      </c>
      <c r="B3" s="1" t="s">
        <v>1660</v>
      </c>
      <c r="C3" s="1" t="s">
        <v>1661</v>
      </c>
      <c r="D3" s="1" t="s">
        <v>1662</v>
      </c>
      <c r="E3" s="1" t="s">
        <v>1663</v>
      </c>
      <c r="F3" s="1" t="s">
        <v>1664</v>
      </c>
      <c r="G3" s="1" t="s">
        <v>1665</v>
      </c>
      <c r="H3" s="1" t="s">
        <v>1666</v>
      </c>
      <c r="I3" s="1" t="s">
        <v>1667</v>
      </c>
      <c r="J3" s="1" t="s">
        <v>1668</v>
      </c>
      <c r="K3" s="1" t="s">
        <v>1669</v>
      </c>
      <c r="L3" s="1" t="s">
        <v>1670</v>
      </c>
      <c r="M3" s="1" t="s">
        <v>1671</v>
      </c>
      <c r="N3" s="1" t="s">
        <v>1672</v>
      </c>
      <c r="O3" s="1" t="s">
        <v>1673</v>
      </c>
      <c r="P3" s="1" t="s">
        <v>1674</v>
      </c>
      <c r="Q3" s="1" t="s">
        <v>1675</v>
      </c>
      <c r="R3" s="1" t="s">
        <v>1676</v>
      </c>
      <c r="S3" s="1" t="s">
        <v>1677</v>
      </c>
      <c r="T3" s="1" t="s">
        <v>1678</v>
      </c>
      <c r="U3" s="1" t="s">
        <v>1679</v>
      </c>
      <c r="V3" s="1" t="s">
        <v>1680</v>
      </c>
      <c r="W3" s="1" t="s">
        <v>1681</v>
      </c>
      <c r="X3" s="1" t="s">
        <v>1682</v>
      </c>
      <c r="Y3" s="1" t="s">
        <v>1683</v>
      </c>
      <c r="Z3" s="1" t="s">
        <v>1684</v>
      </c>
      <c r="AA3" s="1" t="s">
        <v>1685</v>
      </c>
      <c r="AB3" s="1" t="s">
        <v>1686</v>
      </c>
      <c r="AC3" s="1" t="s">
        <v>1687</v>
      </c>
      <c r="AD3" s="1" t="s">
        <v>1688</v>
      </c>
      <c r="AE3" s="1" t="s">
        <v>1689</v>
      </c>
      <c r="AF3" s="1" t="s">
        <v>1690</v>
      </c>
      <c r="AG3" s="1" t="s">
        <v>1691</v>
      </c>
      <c r="AH3" s="1" t="s">
        <v>1692</v>
      </c>
      <c r="AI3" s="1" t="s">
        <v>1693</v>
      </c>
      <c r="AJ3" s="1" t="s">
        <v>1694</v>
      </c>
      <c r="AK3" s="1" t="s">
        <v>1695</v>
      </c>
      <c r="AL3" s="1" t="s">
        <v>1696</v>
      </c>
      <c r="AM3" s="1" t="s">
        <v>1697</v>
      </c>
      <c r="AN3" s="1" t="s">
        <v>1698</v>
      </c>
      <c r="AO3" s="1" t="s">
        <v>1699</v>
      </c>
      <c r="AP3" s="1" t="s">
        <v>1700</v>
      </c>
      <c r="AQ3" s="1" t="s">
        <v>1701</v>
      </c>
      <c r="AR3" s="1" t="s">
        <v>1702</v>
      </c>
      <c r="AS3" s="1" t="s">
        <v>1703</v>
      </c>
      <c r="AT3" s="1" t="s">
        <v>1704</v>
      </c>
      <c r="AU3" s="1" t="s">
        <v>1705</v>
      </c>
      <c r="AV3" s="1" t="s">
        <v>1706</v>
      </c>
      <c r="AW3" s="1" t="s">
        <v>1707</v>
      </c>
      <c r="AX3" s="1" t="s">
        <v>1708</v>
      </c>
      <c r="AY3" s="1" t="s">
        <v>1709</v>
      </c>
      <c r="AZ3" s="1" t="s">
        <v>1710</v>
      </c>
      <c r="BA3" s="1" t="s">
        <v>1711</v>
      </c>
      <c r="BB3" s="1" t="s">
        <v>1712</v>
      </c>
      <c r="BC3" s="1" t="s">
        <v>1713</v>
      </c>
      <c r="BD3" s="1" t="s">
        <v>1714</v>
      </c>
      <c r="BE3" s="1" t="s">
        <v>1715</v>
      </c>
      <c r="BF3" s="1" t="s">
        <v>1716</v>
      </c>
      <c r="BG3" s="1" t="s">
        <v>1717</v>
      </c>
      <c r="BH3" s="1" t="s">
        <v>1718</v>
      </c>
      <c r="BI3" s="1" t="s">
        <v>1719</v>
      </c>
      <c r="BJ3" s="1" t="s">
        <v>1720</v>
      </c>
      <c r="BK3" s="1" t="s">
        <v>1721</v>
      </c>
      <c r="BL3" s="1" t="s">
        <v>1722</v>
      </c>
      <c r="BM3" s="1" t="s">
        <v>1723</v>
      </c>
      <c r="BN3" s="1" t="s">
        <v>1724</v>
      </c>
      <c r="BO3" s="1" t="s">
        <v>1725</v>
      </c>
      <c r="BP3" s="1" t="s">
        <v>1726</v>
      </c>
      <c r="BQ3" s="1" t="s">
        <v>1727</v>
      </c>
      <c r="BR3" s="1" t="s">
        <v>1728</v>
      </c>
      <c r="BS3" s="1" t="s">
        <v>1729</v>
      </c>
      <c r="BT3" s="1" t="s">
        <v>1730</v>
      </c>
      <c r="BU3" s="1" t="s">
        <v>1731</v>
      </c>
      <c r="BV3" s="1" t="s">
        <v>1732</v>
      </c>
      <c r="BW3" s="1" t="s">
        <v>1733</v>
      </c>
      <c r="BX3" s="1" t="s">
        <v>1734</v>
      </c>
      <c r="BY3" s="1" t="s">
        <v>1735</v>
      </c>
      <c r="BZ3" s="1" t="s">
        <v>1736</v>
      </c>
      <c r="CA3" s="1" t="s">
        <v>1737</v>
      </c>
      <c r="CB3" s="1" t="s">
        <v>1738</v>
      </c>
      <c r="CC3" s="1" t="s">
        <v>1739</v>
      </c>
      <c r="CD3" s="1" t="s">
        <v>1740</v>
      </c>
      <c r="CE3" s="1" t="s">
        <v>1741</v>
      </c>
      <c r="CF3" s="1" t="s">
        <v>1742</v>
      </c>
      <c r="CG3" s="1" t="s">
        <v>1743</v>
      </c>
      <c r="CH3" s="1" t="s">
        <v>1744</v>
      </c>
      <c r="CI3" s="1" t="s">
        <v>1745</v>
      </c>
      <c r="CJ3" s="1" t="s">
        <v>1746</v>
      </c>
      <c r="CK3" s="1" t="s">
        <v>1747</v>
      </c>
      <c r="CL3" s="1" t="s">
        <v>1748</v>
      </c>
      <c r="CM3" s="1" t="s">
        <v>1749</v>
      </c>
      <c r="CN3" s="1" t="s">
        <v>1750</v>
      </c>
      <c r="CO3" s="1" t="s">
        <v>1751</v>
      </c>
      <c r="CP3" s="1" t="s">
        <v>1752</v>
      </c>
      <c r="CQ3" s="1" t="s">
        <v>1753</v>
      </c>
      <c r="CR3" s="1" t="s">
        <v>1754</v>
      </c>
      <c r="CS3" s="1" t="s">
        <v>1755</v>
      </c>
      <c r="CT3" s="1" t="s">
        <v>1756</v>
      </c>
      <c r="CU3" s="1" t="s">
        <v>1757</v>
      </c>
      <c r="CV3" s="1" t="s">
        <v>1758</v>
      </c>
      <c r="CW3" s="1" t="s">
        <v>1759</v>
      </c>
      <c r="CX3" s="1" t="s">
        <v>1760</v>
      </c>
      <c r="CY3" s="1" t="s">
        <v>1761</v>
      </c>
      <c r="CZ3" s="1" t="s">
        <v>1762</v>
      </c>
      <c r="DA3" s="1" t="s">
        <v>1763</v>
      </c>
      <c r="DB3" s="1" t="s">
        <v>1764</v>
      </c>
      <c r="DC3" s="1" t="s">
        <v>1765</v>
      </c>
      <c r="DD3" s="1" t="s">
        <v>1766</v>
      </c>
      <c r="DE3" s="1" t="s">
        <v>1767</v>
      </c>
      <c r="DF3" s="1" t="s">
        <v>1768</v>
      </c>
      <c r="DG3" s="1" t="s">
        <v>1769</v>
      </c>
      <c r="DH3" s="1" t="s">
        <v>1770</v>
      </c>
      <c r="DI3" s="1" t="s">
        <v>1771</v>
      </c>
      <c r="DJ3" s="1" t="s">
        <v>1772</v>
      </c>
      <c r="DK3" s="1" t="s">
        <v>1773</v>
      </c>
      <c r="DL3" s="1" t="s">
        <v>1774</v>
      </c>
      <c r="DM3" s="1" t="s">
        <v>1775</v>
      </c>
      <c r="DN3" s="1" t="s">
        <v>1776</v>
      </c>
      <c r="DO3" s="1" t="s">
        <v>1777</v>
      </c>
      <c r="DP3" s="1" t="s">
        <v>1778</v>
      </c>
      <c r="DQ3" s="1" t="s">
        <v>1779</v>
      </c>
      <c r="DR3" s="1" t="s">
        <v>1780</v>
      </c>
      <c r="DS3" s="1" t="s">
        <v>1781</v>
      </c>
      <c r="DT3" s="1" t="s">
        <v>1782</v>
      </c>
      <c r="DU3" s="1" t="s">
        <v>1783</v>
      </c>
      <c r="DV3" s="1" t="s">
        <v>1784</v>
      </c>
      <c r="DW3" s="1" t="s">
        <v>1785</v>
      </c>
      <c r="DX3" s="1" t="s">
        <v>1786</v>
      </c>
      <c r="DY3" s="1" t="s">
        <v>1787</v>
      </c>
      <c r="DZ3" s="1" t="s">
        <v>1788</v>
      </c>
      <c r="EA3" s="1" t="s">
        <v>1789</v>
      </c>
      <c r="EB3" s="1" t="s">
        <v>1790</v>
      </c>
      <c r="EC3" s="1" t="s">
        <v>1791</v>
      </c>
      <c r="ED3" s="1" t="s">
        <v>1792</v>
      </c>
      <c r="EE3" s="1" t="s">
        <v>1793</v>
      </c>
      <c r="EF3" s="1" t="s">
        <v>1794</v>
      </c>
      <c r="EG3" s="1" t="s">
        <v>1795</v>
      </c>
      <c r="EH3" s="1" t="s">
        <v>1796</v>
      </c>
      <c r="EI3" s="1" t="s">
        <v>1797</v>
      </c>
      <c r="EJ3" s="1" t="s">
        <v>1798</v>
      </c>
      <c r="EK3" s="1" t="s">
        <v>1799</v>
      </c>
      <c r="EL3" s="1" t="s">
        <v>1800</v>
      </c>
      <c r="EM3" s="1" t="s">
        <v>1801</v>
      </c>
      <c r="EN3" s="1" t="s">
        <v>1802</v>
      </c>
      <c r="EO3" s="1" t="s">
        <v>1803</v>
      </c>
      <c r="EP3" s="1" t="s">
        <v>1804</v>
      </c>
      <c r="EQ3" s="1" t="s">
        <v>1805</v>
      </c>
      <c r="ER3" s="1" t="s">
        <v>1806</v>
      </c>
      <c r="ES3" s="1" t="s">
        <v>1807</v>
      </c>
      <c r="ET3" s="1" t="s">
        <v>1808</v>
      </c>
      <c r="EU3" s="1" t="s">
        <v>1809</v>
      </c>
      <c r="EV3" s="1" t="s">
        <v>1810</v>
      </c>
      <c r="EW3" s="1" t="s">
        <v>1811</v>
      </c>
      <c r="EX3" s="1" t="s">
        <v>1812</v>
      </c>
      <c r="EY3" s="1" t="s">
        <v>1813</v>
      </c>
      <c r="EZ3" s="1" t="s">
        <v>1814</v>
      </c>
      <c r="FA3" s="1" t="s">
        <v>1815</v>
      </c>
      <c r="FB3" s="1" t="s">
        <v>1816</v>
      </c>
      <c r="FC3" s="1" t="s">
        <v>1817</v>
      </c>
      <c r="FD3" s="1" t="s">
        <v>1818</v>
      </c>
      <c r="FE3" s="1" t="s">
        <v>1819</v>
      </c>
      <c r="FF3" s="1" t="s">
        <v>1820</v>
      </c>
      <c r="FG3" s="1" t="s">
        <v>1821</v>
      </c>
      <c r="FH3" s="1" t="s">
        <v>1822</v>
      </c>
      <c r="FI3" s="1" t="s">
        <v>1823</v>
      </c>
      <c r="FJ3" s="1" t="s">
        <v>1824</v>
      </c>
      <c r="FK3" s="1" t="s">
        <v>1825</v>
      </c>
      <c r="FL3" s="1" t="s">
        <v>1826</v>
      </c>
      <c r="FM3" s="1" t="s">
        <v>1827</v>
      </c>
      <c r="FN3" s="1" t="s">
        <v>1828</v>
      </c>
      <c r="FO3" s="1" t="s">
        <v>1829</v>
      </c>
      <c r="FP3" s="1" t="s">
        <v>1830</v>
      </c>
      <c r="FQ3" s="1" t="s">
        <v>1831</v>
      </c>
      <c r="FR3" s="1" t="s">
        <v>1832</v>
      </c>
      <c r="FS3" s="1" t="s">
        <v>1833</v>
      </c>
      <c r="FT3" s="1" t="s">
        <v>1834</v>
      </c>
      <c r="FU3" s="1" t="s">
        <v>1835</v>
      </c>
      <c r="FV3" s="1" t="s">
        <v>1836</v>
      </c>
      <c r="FW3" s="1" t="s">
        <v>1837</v>
      </c>
      <c r="FX3" s="1" t="s">
        <v>1838</v>
      </c>
      <c r="FY3" s="1" t="s">
        <v>1839</v>
      </c>
      <c r="FZ3" s="1" t="s">
        <v>1840</v>
      </c>
      <c r="GA3" s="1" t="s">
        <v>1841</v>
      </c>
      <c r="GB3" s="1" t="s">
        <v>1842</v>
      </c>
      <c r="GC3" s="1" t="s">
        <v>1843</v>
      </c>
      <c r="GD3" s="1" t="s">
        <v>1844</v>
      </c>
      <c r="GE3" s="1" t="s">
        <v>1845</v>
      </c>
      <c r="GF3" s="1" t="s">
        <v>1846</v>
      </c>
      <c r="GG3" s="1" t="s">
        <v>1847</v>
      </c>
      <c r="GH3" s="1" t="s">
        <v>1848</v>
      </c>
      <c r="GI3" s="1" t="s">
        <v>1849</v>
      </c>
      <c r="GJ3" s="1" t="s">
        <v>1850</v>
      </c>
      <c r="GK3" s="1" t="s">
        <v>1851</v>
      </c>
      <c r="GL3" s="1" t="s">
        <v>1852</v>
      </c>
      <c r="GM3" s="1" t="s">
        <v>1853</v>
      </c>
      <c r="GN3" s="1" t="s">
        <v>1854</v>
      </c>
      <c r="GO3" s="1" t="s">
        <v>1855</v>
      </c>
      <c r="GP3" s="1" t="s">
        <v>1856</v>
      </c>
      <c r="GQ3" s="1" t="s">
        <v>1857</v>
      </c>
      <c r="GR3" s="1" t="s">
        <v>1858</v>
      </c>
      <c r="GS3" s="1" t="s">
        <v>1859</v>
      </c>
      <c r="GT3" s="1" t="s">
        <v>1860</v>
      </c>
      <c r="GU3" s="1" t="s">
        <v>1861</v>
      </c>
      <c r="GV3" s="1" t="s">
        <v>1862</v>
      </c>
      <c r="GW3" s="1" t="s">
        <v>1863</v>
      </c>
      <c r="GX3" s="1" t="s">
        <v>1864</v>
      </c>
      <c r="GY3" s="1" t="s">
        <v>1865</v>
      </c>
      <c r="GZ3" s="1" t="s">
        <v>1866</v>
      </c>
      <c r="HA3" s="1" t="s">
        <v>1867</v>
      </c>
      <c r="HB3" s="1" t="s">
        <v>1868</v>
      </c>
      <c r="HC3" s="1" t="s">
        <v>1869</v>
      </c>
      <c r="HD3" s="1" t="s">
        <v>1870</v>
      </c>
      <c r="HE3" s="1" t="s">
        <v>1871</v>
      </c>
      <c r="HF3" s="1" t="s">
        <v>1872</v>
      </c>
      <c r="HG3" s="1" t="s">
        <v>1873</v>
      </c>
      <c r="HH3" s="1" t="s">
        <v>1874</v>
      </c>
      <c r="HI3" s="1" t="s">
        <v>1875</v>
      </c>
      <c r="HJ3" s="1" t="s">
        <v>1876</v>
      </c>
      <c r="HK3" s="1" t="s">
        <v>1877</v>
      </c>
      <c r="HL3" s="1" t="s">
        <v>1878</v>
      </c>
      <c r="HM3" s="1" t="s">
        <v>1879</v>
      </c>
      <c r="HN3" s="1" t="s">
        <v>1880</v>
      </c>
      <c r="HO3" s="1" t="s">
        <v>1881</v>
      </c>
      <c r="HP3" s="1" t="s">
        <v>1882</v>
      </c>
      <c r="HQ3" s="1" t="s">
        <v>1883</v>
      </c>
      <c r="HR3" s="1" t="s">
        <v>1884</v>
      </c>
      <c r="HS3" s="1" t="s">
        <v>1885</v>
      </c>
      <c r="HT3" s="1" t="s">
        <v>1886</v>
      </c>
      <c r="HU3" s="1" t="s">
        <v>1887</v>
      </c>
      <c r="HV3" s="1" t="s">
        <v>1888</v>
      </c>
      <c r="HW3" s="1" t="s">
        <v>1889</v>
      </c>
      <c r="HX3" s="1" t="s">
        <v>1890</v>
      </c>
      <c r="HY3" s="1" t="s">
        <v>1891</v>
      </c>
      <c r="HZ3" s="1" t="s">
        <v>1892</v>
      </c>
      <c r="IA3" s="1" t="s">
        <v>1893</v>
      </c>
      <c r="IB3" s="1" t="s">
        <v>1894</v>
      </c>
      <c r="IC3" s="1" t="s">
        <v>1895</v>
      </c>
      <c r="ID3" s="1" t="s">
        <v>1896</v>
      </c>
      <c r="IE3" s="1" t="s">
        <v>1897</v>
      </c>
      <c r="IF3" s="1" t="s">
        <v>1898</v>
      </c>
      <c r="IG3" s="1" t="s">
        <v>1899</v>
      </c>
      <c r="IH3" s="1" t="s">
        <v>1900</v>
      </c>
      <c r="II3" s="1" t="s">
        <v>1901</v>
      </c>
      <c r="IJ3" s="1" t="s">
        <v>1902</v>
      </c>
      <c r="IK3" s="1" t="s">
        <v>1903</v>
      </c>
      <c r="IL3" s="1" t="s">
        <v>1904</v>
      </c>
      <c r="IM3" s="1" t="s">
        <v>1905</v>
      </c>
      <c r="IN3" s="1" t="s">
        <v>1906</v>
      </c>
      <c r="IO3" s="1" t="s">
        <v>1907</v>
      </c>
      <c r="IP3" s="1" t="s">
        <v>1908</v>
      </c>
      <c r="IQ3" s="1" t="s">
        <v>1909</v>
      </c>
      <c r="IR3" s="1" t="s">
        <v>1910</v>
      </c>
      <c r="IS3" s="1" t="s">
        <v>1911</v>
      </c>
      <c r="IT3" s="1" t="s">
        <v>1912</v>
      </c>
      <c r="IU3" s="1" t="s">
        <v>1913</v>
      </c>
      <c r="IV3" s="1" t="s">
        <v>1914</v>
      </c>
      <c r="IW3" s="1" t="s">
        <v>1915</v>
      </c>
      <c r="IX3" s="1" t="s">
        <v>1916</v>
      </c>
      <c r="IY3" s="1" t="s">
        <v>1917</v>
      </c>
      <c r="IZ3" s="1" t="s">
        <v>1918</v>
      </c>
      <c r="JA3" s="1" t="s">
        <v>1919</v>
      </c>
      <c r="JB3" s="1" t="s">
        <v>1920</v>
      </c>
      <c r="JC3" s="1" t="s">
        <v>1921</v>
      </c>
      <c r="JD3" s="1" t="s">
        <v>1922</v>
      </c>
      <c r="JE3" s="1" t="s">
        <v>1923</v>
      </c>
      <c r="JF3" s="1" t="s">
        <v>1924</v>
      </c>
      <c r="JG3" s="1" t="s">
        <v>1925</v>
      </c>
      <c r="JH3" s="1" t="s">
        <v>1926</v>
      </c>
      <c r="JI3" s="1" t="s">
        <v>1927</v>
      </c>
      <c r="JJ3" s="1" t="s">
        <v>1928</v>
      </c>
      <c r="JK3" s="1" t="s">
        <v>1929</v>
      </c>
      <c r="JL3" s="1" t="s">
        <v>1930</v>
      </c>
      <c r="JM3" s="1" t="s">
        <v>1931</v>
      </c>
      <c r="JN3" s="1" t="s">
        <v>1932</v>
      </c>
      <c r="JO3" s="1" t="s">
        <v>1933</v>
      </c>
      <c r="JP3" s="1" t="s">
        <v>1934</v>
      </c>
      <c r="JQ3" s="1" t="s">
        <v>1935</v>
      </c>
      <c r="JR3" s="1" t="s">
        <v>1936</v>
      </c>
      <c r="JS3" s="1" t="s">
        <v>1937</v>
      </c>
      <c r="JT3" s="1" t="s">
        <v>1938</v>
      </c>
      <c r="JU3" s="1" t="s">
        <v>1939</v>
      </c>
      <c r="JV3" s="1" t="s">
        <v>1940</v>
      </c>
      <c r="JW3" s="1" t="s">
        <v>1941</v>
      </c>
      <c r="JX3" s="1" t="s">
        <v>1942</v>
      </c>
      <c r="JY3" s="1" t="s">
        <v>1943</v>
      </c>
      <c r="JZ3" s="1" t="s">
        <v>1944</v>
      </c>
      <c r="KA3" s="1" t="s">
        <v>1945</v>
      </c>
      <c r="KB3" s="1" t="s">
        <v>1946</v>
      </c>
      <c r="KC3" s="1" t="s">
        <v>1947</v>
      </c>
      <c r="KD3" s="1" t="s">
        <v>1948</v>
      </c>
      <c r="KE3" s="1" t="s">
        <v>1949</v>
      </c>
      <c r="KF3" s="1" t="s">
        <v>1950</v>
      </c>
      <c r="KG3" s="1" t="s">
        <v>1951</v>
      </c>
      <c r="KH3" s="1" t="s">
        <v>1952</v>
      </c>
      <c r="KI3" s="1" t="s">
        <v>1953</v>
      </c>
      <c r="KJ3" s="1" t="s">
        <v>1954</v>
      </c>
      <c r="KK3" s="1" t="s">
        <v>1955</v>
      </c>
      <c r="KL3" s="1" t="s">
        <v>1956</v>
      </c>
      <c r="KM3" s="1" t="s">
        <v>1957</v>
      </c>
      <c r="KN3" s="1" t="s">
        <v>1958</v>
      </c>
      <c r="KO3" s="1" t="s">
        <v>1959</v>
      </c>
      <c r="KP3" s="1" t="s">
        <v>1960</v>
      </c>
      <c r="KQ3" s="1" t="s">
        <v>1961</v>
      </c>
      <c r="KR3" s="1" t="s">
        <v>1962</v>
      </c>
      <c r="KS3" s="1" t="s">
        <v>1963</v>
      </c>
      <c r="KT3" s="1" t="s">
        <v>1964</v>
      </c>
      <c r="KU3" s="1" t="s">
        <v>1965</v>
      </c>
      <c r="KV3" s="1" t="s">
        <v>1966</v>
      </c>
      <c r="KW3" s="1" t="s">
        <v>1967</v>
      </c>
      <c r="KX3" s="1" t="s">
        <v>1968</v>
      </c>
      <c r="KY3" s="1" t="s">
        <v>1969</v>
      </c>
      <c r="KZ3" s="1" t="s">
        <v>1970</v>
      </c>
      <c r="LA3" s="1" t="s">
        <v>1971</v>
      </c>
      <c r="LB3" s="1" t="s">
        <v>1972</v>
      </c>
      <c r="LC3" s="1" t="s">
        <v>1973</v>
      </c>
      <c r="LD3" s="1" t="s">
        <v>1974</v>
      </c>
      <c r="LE3" s="1" t="s">
        <v>1975</v>
      </c>
      <c r="LF3" s="1" t="s">
        <v>1976</v>
      </c>
      <c r="LG3" s="1" t="s">
        <v>1977</v>
      </c>
      <c r="LH3" s="1" t="s">
        <v>1978</v>
      </c>
      <c r="LI3" s="1" t="s">
        <v>1979</v>
      </c>
      <c r="LJ3" s="1" t="s">
        <v>1980</v>
      </c>
      <c r="LK3" s="1" t="s">
        <v>1981</v>
      </c>
      <c r="LL3" s="1" t="s">
        <v>1982</v>
      </c>
      <c r="LM3" s="1" t="s">
        <v>1983</v>
      </c>
      <c r="LN3" s="1" t="s">
        <v>1984</v>
      </c>
      <c r="LO3" s="1" t="s">
        <v>1985</v>
      </c>
      <c r="LP3" s="1" t="s">
        <v>1986</v>
      </c>
      <c r="LQ3" s="1" t="s">
        <v>1987</v>
      </c>
      <c r="LR3" s="1" t="s">
        <v>1988</v>
      </c>
      <c r="LS3" s="1" t="s">
        <v>1989</v>
      </c>
      <c r="LT3" s="1" t="s">
        <v>1990</v>
      </c>
      <c r="LU3" s="1" t="s">
        <v>1991</v>
      </c>
      <c r="LV3" s="1" t="s">
        <v>1992</v>
      </c>
      <c r="LW3" s="1" t="s">
        <v>1993</v>
      </c>
      <c r="LX3" s="1" t="s">
        <v>1994</v>
      </c>
      <c r="LY3" s="1" t="s">
        <v>1995</v>
      </c>
      <c r="LZ3" s="1" t="s">
        <v>1996</v>
      </c>
      <c r="MA3" s="1" t="s">
        <v>1997</v>
      </c>
      <c r="MB3" s="1" t="s">
        <v>1998</v>
      </c>
      <c r="MC3" s="1" t="s">
        <v>1999</v>
      </c>
      <c r="MD3" s="1" t="s">
        <v>2000</v>
      </c>
      <c r="ME3" s="1" t="s">
        <v>2001</v>
      </c>
      <c r="MF3" s="1" t="s">
        <v>2002</v>
      </c>
      <c r="MG3" s="1" t="s">
        <v>2003</v>
      </c>
      <c r="MH3" s="1" t="s">
        <v>2004</v>
      </c>
      <c r="MI3" s="1" t="s">
        <v>2005</v>
      </c>
      <c r="MJ3" s="1" t="s">
        <v>2006</v>
      </c>
      <c r="MK3" s="1" t="s">
        <v>2007</v>
      </c>
      <c r="ML3" s="1" t="s">
        <v>2008</v>
      </c>
      <c r="MM3" s="1" t="s">
        <v>2009</v>
      </c>
      <c r="MN3" s="1" t="s">
        <v>2010</v>
      </c>
      <c r="MO3" s="1" t="s">
        <v>2011</v>
      </c>
      <c r="MP3" s="1" t="s">
        <v>2012</v>
      </c>
      <c r="MQ3" s="1" t="s">
        <v>2013</v>
      </c>
      <c r="MR3" s="1" t="s">
        <v>2014</v>
      </c>
      <c r="MS3" s="1" t="s">
        <v>2015</v>
      </c>
      <c r="MT3" s="1" t="s">
        <v>2016</v>
      </c>
      <c r="MU3" s="1" t="s">
        <v>2017</v>
      </c>
      <c r="MV3" s="1" t="s">
        <v>2018</v>
      </c>
      <c r="MW3" s="1" t="s">
        <v>2019</v>
      </c>
      <c r="MX3" s="1" t="s">
        <v>2020</v>
      </c>
      <c r="MY3" s="1" t="s">
        <v>2021</v>
      </c>
      <c r="MZ3" s="1" t="s">
        <v>2022</v>
      </c>
      <c r="NA3" s="1" t="s">
        <v>2023</v>
      </c>
      <c r="NB3" s="1" t="s">
        <v>2024</v>
      </c>
      <c r="NC3" s="1" t="s">
        <v>2025</v>
      </c>
      <c r="ND3" s="1" t="s">
        <v>2026</v>
      </c>
      <c r="NE3" s="1" t="s">
        <v>2027</v>
      </c>
      <c r="NF3" s="1" t="s">
        <v>2028</v>
      </c>
      <c r="NG3" s="1" t="s">
        <v>2029</v>
      </c>
      <c r="NH3" s="1" t="s">
        <v>2030</v>
      </c>
      <c r="NI3" s="1" t="s">
        <v>2031</v>
      </c>
      <c r="NJ3" s="1" t="s">
        <v>2032</v>
      </c>
      <c r="NK3" s="1" t="s">
        <v>2033</v>
      </c>
      <c r="NL3" s="1" t="s">
        <v>2034</v>
      </c>
      <c r="NM3" s="1" t="s">
        <v>2035</v>
      </c>
      <c r="NN3" s="1" t="s">
        <v>2036</v>
      </c>
      <c r="NO3" s="1" t="s">
        <v>2037</v>
      </c>
      <c r="NP3" s="1" t="s">
        <v>2038</v>
      </c>
      <c r="NQ3" s="1" t="s">
        <v>2039</v>
      </c>
      <c r="NR3" s="1" t="s">
        <v>2040</v>
      </c>
      <c r="NS3" s="1" t="s">
        <v>2041</v>
      </c>
      <c r="NT3" s="1" t="s">
        <v>2042</v>
      </c>
      <c r="NU3" s="1" t="s">
        <v>2043</v>
      </c>
      <c r="NV3" s="1" t="s">
        <v>2044</v>
      </c>
      <c r="NW3" s="1" t="s">
        <v>2045</v>
      </c>
      <c r="NX3" s="1" t="s">
        <v>2046</v>
      </c>
      <c r="NY3" s="1" t="s">
        <v>2047</v>
      </c>
      <c r="NZ3" s="1" t="s">
        <v>2048</v>
      </c>
      <c r="OA3" s="1" t="s">
        <v>2049</v>
      </c>
      <c r="OB3" s="1" t="s">
        <v>2050</v>
      </c>
      <c r="OC3" s="1" t="s">
        <v>2051</v>
      </c>
      <c r="OD3" s="1" t="s">
        <v>2052</v>
      </c>
      <c r="OE3" s="1" t="s">
        <v>2053</v>
      </c>
      <c r="OF3" s="1" t="s">
        <v>2054</v>
      </c>
      <c r="OG3" s="1" t="s">
        <v>2055</v>
      </c>
      <c r="OH3" s="1" t="s">
        <v>2056</v>
      </c>
      <c r="OI3" s="1" t="s">
        <v>2057</v>
      </c>
      <c r="OJ3" s="1" t="s">
        <v>2058</v>
      </c>
      <c r="OK3" s="1" t="s">
        <v>2059</v>
      </c>
      <c r="OL3" s="1" t="s">
        <v>2060</v>
      </c>
      <c r="OM3" s="1" t="s">
        <v>2061</v>
      </c>
      <c r="ON3" s="1" t="s">
        <v>2062</v>
      </c>
      <c r="OO3" s="1" t="s">
        <v>2063</v>
      </c>
      <c r="OP3" s="1" t="s">
        <v>2064</v>
      </c>
      <c r="OQ3" s="1" t="s">
        <v>2065</v>
      </c>
      <c r="OR3" s="1" t="s">
        <v>2066</v>
      </c>
      <c r="OS3" s="1" t="s">
        <v>2067</v>
      </c>
      <c r="OT3" s="1" t="s">
        <v>2068</v>
      </c>
      <c r="OU3" s="1" t="s">
        <v>2069</v>
      </c>
      <c r="OV3" s="1" t="s">
        <v>2070</v>
      </c>
      <c r="OW3" s="1" t="s">
        <v>2071</v>
      </c>
      <c r="OX3" s="1" t="s">
        <v>2072</v>
      </c>
      <c r="OY3" s="1" t="s">
        <v>2073</v>
      </c>
      <c r="OZ3" s="1" t="s">
        <v>2074</v>
      </c>
      <c r="PA3" s="1" t="s">
        <v>2075</v>
      </c>
      <c r="PB3" s="1" t="s">
        <v>2076</v>
      </c>
      <c r="PC3" s="1" t="s">
        <v>2077</v>
      </c>
      <c r="PD3" s="1" t="s">
        <v>2078</v>
      </c>
      <c r="PE3" s="1" t="s">
        <v>2079</v>
      </c>
      <c r="PF3" s="1" t="s">
        <v>2080</v>
      </c>
      <c r="PG3" s="1" t="s">
        <v>2081</v>
      </c>
      <c r="PH3" s="1" t="s">
        <v>2082</v>
      </c>
      <c r="PI3" s="1" t="s">
        <v>2083</v>
      </c>
      <c r="PJ3" s="1" t="s">
        <v>2084</v>
      </c>
      <c r="PK3" s="1" t="s">
        <v>2085</v>
      </c>
      <c r="PL3" s="1" t="s">
        <v>2086</v>
      </c>
      <c r="PM3" s="1" t="s">
        <v>2087</v>
      </c>
      <c r="PN3" s="1" t="s">
        <v>2088</v>
      </c>
      <c r="PO3" s="1" t="s">
        <v>2089</v>
      </c>
      <c r="PP3" s="1" t="s">
        <v>2090</v>
      </c>
      <c r="PQ3" s="1" t="s">
        <v>2091</v>
      </c>
      <c r="PR3" s="1" t="s">
        <v>2092</v>
      </c>
      <c r="PS3" s="1" t="s">
        <v>2093</v>
      </c>
      <c r="PT3" s="1" t="s">
        <v>2094</v>
      </c>
      <c r="PU3" s="1" t="s">
        <v>2095</v>
      </c>
      <c r="PV3" s="1" t="s">
        <v>2096</v>
      </c>
      <c r="PW3" s="1" t="s">
        <v>2097</v>
      </c>
      <c r="PX3" s="1" t="s">
        <v>2098</v>
      </c>
      <c r="PY3" s="1" t="s">
        <v>2099</v>
      </c>
      <c r="PZ3" s="1" t="s">
        <v>2100</v>
      </c>
      <c r="QA3" s="1" t="s">
        <v>2101</v>
      </c>
      <c r="QB3" s="1" t="s">
        <v>2102</v>
      </c>
      <c r="QC3" s="1" t="s">
        <v>2103</v>
      </c>
      <c r="QD3" s="1" t="s">
        <v>2104</v>
      </c>
      <c r="QE3" s="1" t="s">
        <v>2105</v>
      </c>
      <c r="QF3" s="1" t="s">
        <v>2106</v>
      </c>
      <c r="QG3" s="1" t="s">
        <v>2107</v>
      </c>
      <c r="QH3" s="1" t="s">
        <v>2108</v>
      </c>
      <c r="QI3" s="1" t="s">
        <v>2109</v>
      </c>
      <c r="QJ3" s="1" t="s">
        <v>2110</v>
      </c>
      <c r="QK3" s="1" t="s">
        <v>2111</v>
      </c>
      <c r="QL3" s="1" t="s">
        <v>2112</v>
      </c>
      <c r="QM3" s="1" t="s">
        <v>2113</v>
      </c>
      <c r="QN3" s="1" t="s">
        <v>2114</v>
      </c>
      <c r="QO3" s="1" t="s">
        <v>2115</v>
      </c>
      <c r="QP3" s="1" t="s">
        <v>2116</v>
      </c>
      <c r="QQ3" s="1" t="s">
        <v>2117</v>
      </c>
      <c r="QR3" s="1" t="s">
        <v>2118</v>
      </c>
      <c r="QS3" s="1" t="s">
        <v>2119</v>
      </c>
      <c r="QT3" s="1" t="s">
        <v>2120</v>
      </c>
      <c r="QU3" s="1" t="s">
        <v>2121</v>
      </c>
      <c r="QV3" s="1" t="s">
        <v>2122</v>
      </c>
      <c r="QW3" s="1" t="s">
        <v>2123</v>
      </c>
      <c r="QX3" s="1" t="s">
        <v>2124</v>
      </c>
      <c r="QY3" s="1" t="s">
        <v>2125</v>
      </c>
      <c r="QZ3" s="1" t="s">
        <v>2126</v>
      </c>
      <c r="RA3" s="1" t="s">
        <v>2127</v>
      </c>
      <c r="RB3" s="1" t="s">
        <v>2128</v>
      </c>
      <c r="RC3" s="1" t="s">
        <v>2129</v>
      </c>
      <c r="RD3" s="1" t="s">
        <v>2130</v>
      </c>
      <c r="RE3" s="1" t="s">
        <v>2131</v>
      </c>
      <c r="RF3" s="1" t="s">
        <v>2132</v>
      </c>
      <c r="RG3" s="1" t="s">
        <v>2133</v>
      </c>
      <c r="RH3" s="1" t="s">
        <v>2134</v>
      </c>
      <c r="RI3" s="1" t="s">
        <v>2135</v>
      </c>
      <c r="RJ3" s="1" t="s">
        <v>2136</v>
      </c>
      <c r="RK3" s="1" t="s">
        <v>2137</v>
      </c>
      <c r="RL3" s="1" t="s">
        <v>2138</v>
      </c>
      <c r="RM3" s="1" t="s">
        <v>2139</v>
      </c>
      <c r="RN3" s="1" t="s">
        <v>2140</v>
      </c>
      <c r="RO3" s="1" t="s">
        <v>2141</v>
      </c>
      <c r="RP3" s="1" t="s">
        <v>2142</v>
      </c>
      <c r="RQ3" s="1" t="s">
        <v>2143</v>
      </c>
      <c r="RR3" s="1" t="s">
        <v>2144</v>
      </c>
      <c r="RS3" s="1" t="s">
        <v>2145</v>
      </c>
      <c r="RT3" s="1" t="s">
        <v>2146</v>
      </c>
      <c r="RU3" s="1" t="s">
        <v>2147</v>
      </c>
      <c r="RV3" s="1" t="s">
        <v>2148</v>
      </c>
      <c r="RW3" s="1" t="s">
        <v>2149</v>
      </c>
      <c r="RX3" s="1" t="s">
        <v>2150</v>
      </c>
      <c r="RY3" s="1" t="s">
        <v>2151</v>
      </c>
      <c r="RZ3" s="1" t="s">
        <v>2152</v>
      </c>
      <c r="SA3" s="1" t="s">
        <v>2153</v>
      </c>
      <c r="SB3" s="1" t="s">
        <v>2154</v>
      </c>
      <c r="SC3" s="1" t="s">
        <v>2155</v>
      </c>
      <c r="SD3" s="1" t="s">
        <v>2156</v>
      </c>
      <c r="SE3" s="1" t="s">
        <v>2157</v>
      </c>
      <c r="SF3" s="1" t="s">
        <v>2158</v>
      </c>
      <c r="SG3" s="1" t="s">
        <v>2159</v>
      </c>
      <c r="SH3" s="1" t="s">
        <v>2160</v>
      </c>
      <c r="SI3" s="1" t="s">
        <v>2161</v>
      </c>
      <c r="SJ3" s="1" t="s">
        <v>2162</v>
      </c>
      <c r="SK3" s="1" t="s">
        <v>2163</v>
      </c>
      <c r="SL3" s="1" t="s">
        <v>2164</v>
      </c>
      <c r="SM3" s="1" t="s">
        <v>2165</v>
      </c>
      <c r="SN3" s="1" t="s">
        <v>2166</v>
      </c>
      <c r="SO3" s="1" t="s">
        <v>2167</v>
      </c>
      <c r="SP3" s="1" t="s">
        <v>2168</v>
      </c>
      <c r="SQ3" s="1" t="s">
        <v>2169</v>
      </c>
      <c r="SR3" s="1" t="s">
        <v>2170</v>
      </c>
      <c r="SS3" s="1" t="s">
        <v>2171</v>
      </c>
      <c r="ST3" s="1" t="s">
        <v>2172</v>
      </c>
      <c r="SU3" s="1" t="s">
        <v>2173</v>
      </c>
      <c r="SV3" s="1" t="s">
        <v>2174</v>
      </c>
      <c r="SW3" s="1" t="s">
        <v>2175</v>
      </c>
      <c r="SX3" s="1" t="s">
        <v>2176</v>
      </c>
      <c r="SY3" s="1" t="s">
        <v>2177</v>
      </c>
      <c r="SZ3" s="1" t="s">
        <v>2178</v>
      </c>
      <c r="TA3" s="1" t="s">
        <v>2179</v>
      </c>
      <c r="TB3" s="1" t="s">
        <v>2180</v>
      </c>
      <c r="TC3" s="1" t="s">
        <v>2181</v>
      </c>
      <c r="TD3" s="1" t="s">
        <v>2182</v>
      </c>
      <c r="TE3" s="1" t="s">
        <v>2183</v>
      </c>
      <c r="TF3" s="1" t="s">
        <v>2184</v>
      </c>
      <c r="TG3" s="1" t="s">
        <v>2185</v>
      </c>
      <c r="TH3" s="1" t="s">
        <v>2186</v>
      </c>
      <c r="TI3" s="1" t="s">
        <v>2187</v>
      </c>
      <c r="TJ3" s="1" t="s">
        <v>2188</v>
      </c>
      <c r="TK3" s="1" t="s">
        <v>2189</v>
      </c>
      <c r="TL3" s="1" t="s">
        <v>2190</v>
      </c>
      <c r="TM3" s="1" t="s">
        <v>2191</v>
      </c>
      <c r="TN3" s="1" t="s">
        <v>2192</v>
      </c>
      <c r="TO3" s="1" t="s">
        <v>2193</v>
      </c>
      <c r="TP3" s="1" t="s">
        <v>2194</v>
      </c>
      <c r="TQ3" s="1" t="s">
        <v>2195</v>
      </c>
      <c r="TR3" s="1" t="s">
        <v>2196</v>
      </c>
      <c r="TS3" s="1" t="s">
        <v>2197</v>
      </c>
      <c r="TT3" s="1" t="s">
        <v>2198</v>
      </c>
      <c r="TU3" s="1" t="s">
        <v>2199</v>
      </c>
      <c r="TV3" s="1" t="s">
        <v>2200</v>
      </c>
      <c r="TW3" s="1" t="s">
        <v>2201</v>
      </c>
      <c r="TX3" s="1" t="s">
        <v>2202</v>
      </c>
      <c r="TY3" s="1" t="s">
        <v>2203</v>
      </c>
      <c r="TZ3" s="1" t="s">
        <v>2204</v>
      </c>
      <c r="UA3" s="1" t="s">
        <v>2205</v>
      </c>
      <c r="UB3" s="1" t="s">
        <v>2206</v>
      </c>
      <c r="UC3" s="1" t="s">
        <v>2207</v>
      </c>
      <c r="UD3" s="1" t="s">
        <v>2208</v>
      </c>
      <c r="UE3" s="1" t="s">
        <v>2209</v>
      </c>
      <c r="UF3" s="1" t="s">
        <v>2210</v>
      </c>
      <c r="UG3" s="1" t="s">
        <v>2211</v>
      </c>
      <c r="UH3" s="1" t="s">
        <v>2212</v>
      </c>
      <c r="UI3" s="1" t="s">
        <v>2213</v>
      </c>
      <c r="UJ3" s="1" t="s">
        <v>2214</v>
      </c>
      <c r="UK3" s="1" t="s">
        <v>2215</v>
      </c>
      <c r="UL3" s="1" t="s">
        <v>2216</v>
      </c>
      <c r="UM3" s="1" t="s">
        <v>2217</v>
      </c>
      <c r="UN3" s="1" t="s">
        <v>2218</v>
      </c>
      <c r="UO3" s="1" t="s">
        <v>2219</v>
      </c>
      <c r="UP3" s="1" t="s">
        <v>2220</v>
      </c>
      <c r="UQ3" s="1" t="s">
        <v>2221</v>
      </c>
      <c r="UR3" s="1" t="s">
        <v>2222</v>
      </c>
      <c r="US3" s="1" t="s">
        <v>2223</v>
      </c>
      <c r="UT3" s="1" t="s">
        <v>2224</v>
      </c>
      <c r="UU3" s="1" t="s">
        <v>2225</v>
      </c>
      <c r="UV3" s="1" t="s">
        <v>2226</v>
      </c>
      <c r="UW3" s="1" t="s">
        <v>2227</v>
      </c>
      <c r="UX3" s="1" t="s">
        <v>2228</v>
      </c>
      <c r="UY3" s="1" t="s">
        <v>2229</v>
      </c>
      <c r="UZ3" s="1" t="s">
        <v>2230</v>
      </c>
      <c r="VA3" s="1" t="s">
        <v>2231</v>
      </c>
      <c r="VB3" s="1" t="s">
        <v>2232</v>
      </c>
      <c r="VC3" s="1" t="s">
        <v>2233</v>
      </c>
      <c r="VD3" s="1" t="s">
        <v>2234</v>
      </c>
      <c r="VE3" s="1" t="s">
        <v>2235</v>
      </c>
      <c r="VF3" s="1" t="s">
        <v>2236</v>
      </c>
      <c r="VG3" s="1" t="s">
        <v>2237</v>
      </c>
      <c r="VH3" s="1" t="s">
        <v>2238</v>
      </c>
      <c r="VI3" s="1" t="s">
        <v>2239</v>
      </c>
      <c r="VJ3" s="1" t="s">
        <v>2240</v>
      </c>
      <c r="VK3" s="1" t="s">
        <v>2241</v>
      </c>
      <c r="VL3" s="1" t="s">
        <v>2242</v>
      </c>
      <c r="VM3" s="1" t="s">
        <v>2243</v>
      </c>
      <c r="VN3" s="1" t="s">
        <v>2244</v>
      </c>
      <c r="VO3" s="1" t="s">
        <v>2245</v>
      </c>
      <c r="VP3" s="1" t="s">
        <v>2246</v>
      </c>
      <c r="VQ3" s="1" t="s">
        <v>2247</v>
      </c>
      <c r="VR3" s="1" t="s">
        <v>2248</v>
      </c>
      <c r="VS3" s="1" t="s">
        <v>2249</v>
      </c>
      <c r="VT3" s="1" t="s">
        <v>2250</v>
      </c>
      <c r="VU3" s="1" t="s">
        <v>2251</v>
      </c>
      <c r="VV3" s="1" t="s">
        <v>2252</v>
      </c>
      <c r="VW3" s="1" t="s">
        <v>2253</v>
      </c>
      <c r="VX3" s="1" t="s">
        <v>2254</v>
      </c>
      <c r="VY3" s="1" t="s">
        <v>2255</v>
      </c>
      <c r="VZ3" s="1" t="s">
        <v>2256</v>
      </c>
      <c r="WA3" s="1" t="s">
        <v>2257</v>
      </c>
      <c r="WB3" s="1" t="s">
        <v>2258</v>
      </c>
      <c r="WC3" s="1" t="s">
        <v>2259</v>
      </c>
      <c r="WD3" s="1" t="s">
        <v>2260</v>
      </c>
      <c r="WE3" s="1" t="s">
        <v>2261</v>
      </c>
      <c r="WF3" s="1" t="s">
        <v>2262</v>
      </c>
      <c r="WG3" s="1" t="s">
        <v>2263</v>
      </c>
      <c r="WH3" s="1" t="s">
        <v>2264</v>
      </c>
      <c r="WI3" s="1" t="s">
        <v>2265</v>
      </c>
      <c r="WJ3" s="1" t="s">
        <v>2266</v>
      </c>
      <c r="WK3" s="1" t="s">
        <v>2267</v>
      </c>
      <c r="WL3" s="1" t="s">
        <v>2268</v>
      </c>
      <c r="WM3" s="1" t="s">
        <v>2269</v>
      </c>
      <c r="WN3" s="1" t="s">
        <v>2270</v>
      </c>
      <c r="WO3" s="1" t="s">
        <v>2271</v>
      </c>
      <c r="WP3" s="1" t="s">
        <v>2272</v>
      </c>
      <c r="WQ3" s="1" t="s">
        <v>2273</v>
      </c>
      <c r="WR3" s="1" t="s">
        <v>2274</v>
      </c>
      <c r="WS3" s="1" t="s">
        <v>2275</v>
      </c>
      <c r="WT3" s="1" t="s">
        <v>2276</v>
      </c>
      <c r="WU3" s="1" t="s">
        <v>2277</v>
      </c>
      <c r="WV3" s="1" t="s">
        <v>2278</v>
      </c>
      <c r="WW3" s="1" t="s">
        <v>2279</v>
      </c>
      <c r="WX3" s="1" t="s">
        <v>2280</v>
      </c>
      <c r="WY3" s="1" t="s">
        <v>2281</v>
      </c>
      <c r="WZ3" s="1" t="s">
        <v>2282</v>
      </c>
      <c r="XA3" s="1" t="s">
        <v>2283</v>
      </c>
      <c r="XB3" s="1" t="s">
        <v>2284</v>
      </c>
      <c r="XC3" s="1" t="s">
        <v>2285</v>
      </c>
      <c r="XD3" s="1" t="s">
        <v>2286</v>
      </c>
      <c r="XE3" s="1" t="s">
        <v>2287</v>
      </c>
      <c r="XF3" s="1" t="s">
        <v>2288</v>
      </c>
      <c r="XG3" s="1" t="s">
        <v>2289</v>
      </c>
      <c r="XH3" s="1" t="s">
        <v>2290</v>
      </c>
      <c r="XI3" s="1" t="s">
        <v>2291</v>
      </c>
      <c r="XJ3" s="1" t="s">
        <v>2292</v>
      </c>
      <c r="XK3" s="1" t="s">
        <v>2293</v>
      </c>
      <c r="XL3" s="1" t="s">
        <v>2294</v>
      </c>
      <c r="XM3" s="1" t="s">
        <v>2295</v>
      </c>
      <c r="XN3" s="1" t="s">
        <v>2296</v>
      </c>
      <c r="XO3" s="1" t="s">
        <v>2297</v>
      </c>
      <c r="XP3" s="1" t="s">
        <v>2298</v>
      </c>
      <c r="XQ3" s="1" t="s">
        <v>2299</v>
      </c>
      <c r="XR3" s="1" t="s">
        <v>2300</v>
      </c>
      <c r="XS3" s="1" t="s">
        <v>2301</v>
      </c>
      <c r="XT3" s="1" t="s">
        <v>2302</v>
      </c>
      <c r="XU3" s="1" t="s">
        <v>2303</v>
      </c>
      <c r="XV3" s="1" t="s">
        <v>2304</v>
      </c>
      <c r="XW3" s="1" t="s">
        <v>2305</v>
      </c>
      <c r="XX3" s="1" t="s">
        <v>2306</v>
      </c>
      <c r="XY3" s="1" t="s">
        <v>2307</v>
      </c>
      <c r="XZ3" s="1" t="s">
        <v>2308</v>
      </c>
      <c r="YA3" s="1" t="s">
        <v>2309</v>
      </c>
      <c r="YB3" s="1" t="s">
        <v>2310</v>
      </c>
      <c r="YC3" s="1" t="s">
        <v>2311</v>
      </c>
      <c r="YD3" s="1" t="s">
        <v>2312</v>
      </c>
      <c r="YE3" s="1" t="s">
        <v>2313</v>
      </c>
      <c r="YF3" s="1" t="s">
        <v>2314</v>
      </c>
      <c r="YG3" s="1" t="s">
        <v>2315</v>
      </c>
      <c r="YH3" s="1" t="s">
        <v>2316</v>
      </c>
      <c r="YI3" s="1" t="s">
        <v>2317</v>
      </c>
      <c r="YJ3" s="1" t="s">
        <v>2318</v>
      </c>
      <c r="YK3" s="1" t="s">
        <v>2319</v>
      </c>
      <c r="YL3" s="1" t="s">
        <v>2320</v>
      </c>
      <c r="YM3" s="1" t="s">
        <v>2321</v>
      </c>
      <c r="YN3" s="1" t="s">
        <v>2322</v>
      </c>
      <c r="YO3" s="1" t="s">
        <v>2323</v>
      </c>
      <c r="YP3" s="1" t="s">
        <v>2324</v>
      </c>
      <c r="YQ3" s="1" t="s">
        <v>2325</v>
      </c>
      <c r="YR3" s="1" t="s">
        <v>2326</v>
      </c>
      <c r="YS3" s="1" t="s">
        <v>2327</v>
      </c>
      <c r="YT3" s="1" t="s">
        <v>2328</v>
      </c>
      <c r="YU3" s="1" t="s">
        <v>2329</v>
      </c>
      <c r="YV3" s="1" t="s">
        <v>2330</v>
      </c>
      <c r="YW3" s="1" t="s">
        <v>2331</v>
      </c>
      <c r="YX3" s="1" t="s">
        <v>2332</v>
      </c>
      <c r="YY3" s="1" t="s">
        <v>2333</v>
      </c>
      <c r="YZ3" s="1" t="s">
        <v>2334</v>
      </c>
      <c r="ZA3" s="1" t="s">
        <v>2335</v>
      </c>
      <c r="ZB3" s="1" t="s">
        <v>2336</v>
      </c>
      <c r="ZC3" s="1" t="s">
        <v>2337</v>
      </c>
      <c r="ZD3" s="1" t="s">
        <v>2338</v>
      </c>
      <c r="ZE3" s="1" t="s">
        <v>2339</v>
      </c>
      <c r="ZF3" s="1" t="s">
        <v>2340</v>
      </c>
      <c r="ZG3" s="1" t="s">
        <v>2341</v>
      </c>
      <c r="ZH3" s="1" t="s">
        <v>2342</v>
      </c>
      <c r="ZI3" s="1" t="s">
        <v>2343</v>
      </c>
      <c r="ZJ3" s="1" t="s">
        <v>2344</v>
      </c>
      <c r="ZK3" s="1" t="s">
        <v>2345</v>
      </c>
      <c r="ZL3" s="1" t="s">
        <v>2346</v>
      </c>
      <c r="ZM3" s="1" t="s">
        <v>2347</v>
      </c>
      <c r="ZN3" s="1" t="s">
        <v>2348</v>
      </c>
      <c r="ZO3" s="1" t="s">
        <v>2349</v>
      </c>
      <c r="ZP3" s="1" t="s">
        <v>2350</v>
      </c>
      <c r="ZQ3" s="1" t="s">
        <v>2351</v>
      </c>
      <c r="ZR3" s="1" t="s">
        <v>2352</v>
      </c>
      <c r="ZS3" s="1" t="s">
        <v>2353</v>
      </c>
      <c r="ZT3" s="1" t="s">
        <v>2354</v>
      </c>
      <c r="ZU3" s="1" t="s">
        <v>2355</v>
      </c>
      <c r="ZV3" s="1" t="s">
        <v>2356</v>
      </c>
      <c r="ZW3" s="1" t="s">
        <v>2357</v>
      </c>
      <c r="ZX3" s="1" t="s">
        <v>2358</v>
      </c>
      <c r="ZY3" s="1" t="s">
        <v>2359</v>
      </c>
      <c r="ZZ3" s="1" t="s">
        <v>2360</v>
      </c>
      <c r="AAA3" s="1" t="s">
        <v>2361</v>
      </c>
      <c r="AAB3" s="1" t="s">
        <v>2362</v>
      </c>
      <c r="AAC3" s="1" t="s">
        <v>2363</v>
      </c>
      <c r="AAD3" s="1" t="s">
        <v>2364</v>
      </c>
      <c r="AAE3" s="1" t="s">
        <v>2365</v>
      </c>
      <c r="AAF3" s="1" t="s">
        <v>2366</v>
      </c>
      <c r="AAG3" s="1" t="s">
        <v>2367</v>
      </c>
      <c r="AAH3" s="1" t="s">
        <v>2368</v>
      </c>
      <c r="AAI3" s="1" t="s">
        <v>2369</v>
      </c>
      <c r="AAJ3" s="1" t="s">
        <v>2370</v>
      </c>
      <c r="AAK3" s="1" t="s">
        <v>2371</v>
      </c>
      <c r="AAL3" s="1" t="s">
        <v>2372</v>
      </c>
      <c r="AAM3" s="1" t="s">
        <v>2373</v>
      </c>
      <c r="AAN3" s="1" t="s">
        <v>2374</v>
      </c>
      <c r="AAO3" s="1" t="s">
        <v>2375</v>
      </c>
      <c r="AAP3" s="1" t="s">
        <v>2376</v>
      </c>
      <c r="AAQ3" s="1" t="s">
        <v>2377</v>
      </c>
      <c r="AAR3" s="1" t="s">
        <v>2378</v>
      </c>
      <c r="AAS3" s="1" t="s">
        <v>2379</v>
      </c>
      <c r="AAT3" s="1" t="s">
        <v>2380</v>
      </c>
      <c r="AAU3" s="1" t="s">
        <v>2381</v>
      </c>
      <c r="AAV3" s="1" t="s">
        <v>2382</v>
      </c>
      <c r="AAW3" s="1" t="s">
        <v>2383</v>
      </c>
      <c r="AAX3" s="1" t="s">
        <v>2384</v>
      </c>
      <c r="AAY3" s="1" t="s">
        <v>2385</v>
      </c>
      <c r="AAZ3" s="1" t="s">
        <v>2386</v>
      </c>
      <c r="ABA3" s="1" t="s">
        <v>2387</v>
      </c>
      <c r="ABB3" s="1" t="s">
        <v>2388</v>
      </c>
      <c r="ABC3" s="1" t="s">
        <v>2389</v>
      </c>
      <c r="ABD3" s="1" t="s">
        <v>2390</v>
      </c>
      <c r="ABE3" s="1" t="s">
        <v>2391</v>
      </c>
      <c r="ABF3" s="1" t="s">
        <v>2392</v>
      </c>
      <c r="ABG3" s="1" t="s">
        <v>2393</v>
      </c>
      <c r="ABH3" s="1" t="s">
        <v>2394</v>
      </c>
      <c r="ABI3" s="1" t="s">
        <v>2395</v>
      </c>
      <c r="ABJ3" s="1" t="s">
        <v>2396</v>
      </c>
      <c r="ABK3" s="1" t="s">
        <v>2397</v>
      </c>
      <c r="ABL3" s="1" t="s">
        <v>2398</v>
      </c>
      <c r="ABM3" s="1" t="s">
        <v>2399</v>
      </c>
      <c r="ABN3" s="1" t="s">
        <v>2400</v>
      </c>
      <c r="ABO3" s="1" t="s">
        <v>2401</v>
      </c>
      <c r="ABP3" s="1" t="s">
        <v>2402</v>
      </c>
      <c r="ABQ3" s="1" t="s">
        <v>2403</v>
      </c>
      <c r="ABR3" s="1" t="s">
        <v>2404</v>
      </c>
      <c r="ABS3" s="1" t="s">
        <v>2405</v>
      </c>
      <c r="ABT3" s="1" t="s">
        <v>2406</v>
      </c>
      <c r="ABU3" s="1" t="s">
        <v>2407</v>
      </c>
      <c r="ABV3" s="1" t="s">
        <v>2408</v>
      </c>
      <c r="ABW3" s="1" t="s">
        <v>2409</v>
      </c>
      <c r="ABX3" s="1" t="s">
        <v>2410</v>
      </c>
      <c r="ABY3" s="1" t="s">
        <v>2411</v>
      </c>
      <c r="ABZ3" s="1" t="s">
        <v>2412</v>
      </c>
      <c r="ACA3" s="1" t="s">
        <v>2413</v>
      </c>
      <c r="ACB3" s="1" t="s">
        <v>2414</v>
      </c>
      <c r="ACC3" s="1" t="s">
        <v>2415</v>
      </c>
      <c r="ACD3" s="1" t="s">
        <v>2416</v>
      </c>
      <c r="ACE3" s="1" t="s">
        <v>2417</v>
      </c>
      <c r="ACF3" s="1" t="s">
        <v>2418</v>
      </c>
      <c r="ACG3" s="1" t="s">
        <v>2419</v>
      </c>
      <c r="ACH3" s="1" t="s">
        <v>2420</v>
      </c>
      <c r="ACI3" s="1" t="s">
        <v>2421</v>
      </c>
      <c r="ACJ3" s="1" t="s">
        <v>2422</v>
      </c>
      <c r="ACK3" s="1" t="s">
        <v>2423</v>
      </c>
      <c r="ACL3" s="1" t="s">
        <v>2424</v>
      </c>
      <c r="ACM3" s="1" t="s">
        <v>2425</v>
      </c>
      <c r="ACN3" s="1" t="s">
        <v>2426</v>
      </c>
      <c r="ACO3" s="1" t="s">
        <v>2427</v>
      </c>
      <c r="ACP3" s="1" t="s">
        <v>2428</v>
      </c>
      <c r="ACQ3" s="1" t="s">
        <v>2429</v>
      </c>
      <c r="ACR3" s="1" t="s">
        <v>2430</v>
      </c>
      <c r="ACS3" s="1" t="s">
        <v>2431</v>
      </c>
      <c r="ACT3" s="1" t="s">
        <v>2432</v>
      </c>
      <c r="ACU3" s="1" t="s">
        <v>2433</v>
      </c>
      <c r="ACV3" s="1" t="s">
        <v>2434</v>
      </c>
      <c r="ACW3" s="1" t="s">
        <v>6</v>
      </c>
      <c r="ACX3" s="1" t="s">
        <v>1501</v>
      </c>
    </row>
    <row r="4" spans="1:778" x14ac:dyDescent="0.2">
      <c r="A4" s="1" t="s">
        <v>24</v>
      </c>
      <c r="B4" s="1" t="s">
        <v>2435</v>
      </c>
      <c r="C4" s="1" t="s">
        <v>2436</v>
      </c>
      <c r="D4" s="1" t="s">
        <v>2437</v>
      </c>
      <c r="E4" s="1" t="s">
        <v>2438</v>
      </c>
      <c r="F4" s="1" t="s">
        <v>2439</v>
      </c>
      <c r="G4" s="1" t="s">
        <v>2440</v>
      </c>
      <c r="H4" s="1" t="s">
        <v>2441</v>
      </c>
      <c r="I4" s="1" t="s">
        <v>2442</v>
      </c>
      <c r="J4" s="1" t="s">
        <v>2443</v>
      </c>
      <c r="K4" s="1" t="s">
        <v>2444</v>
      </c>
      <c r="L4" s="1" t="s">
        <v>2445</v>
      </c>
      <c r="M4" s="1" t="s">
        <v>2446</v>
      </c>
      <c r="N4" s="1" t="s">
        <v>2447</v>
      </c>
      <c r="O4" s="1" t="s">
        <v>2448</v>
      </c>
      <c r="P4" s="1" t="s">
        <v>2449</v>
      </c>
      <c r="Q4" s="1" t="s">
        <v>2450</v>
      </c>
      <c r="R4" s="1" t="s">
        <v>2451</v>
      </c>
      <c r="S4" s="1" t="s">
        <v>2452</v>
      </c>
      <c r="T4" s="1" t="s">
        <v>2453</v>
      </c>
      <c r="U4" s="1" t="s">
        <v>2454</v>
      </c>
      <c r="V4" s="1" t="s">
        <v>2455</v>
      </c>
      <c r="W4" s="1" t="s">
        <v>2456</v>
      </c>
      <c r="X4" s="1" t="s">
        <v>2457</v>
      </c>
      <c r="Y4" s="1" t="s">
        <v>2458</v>
      </c>
      <c r="Z4" s="1" t="s">
        <v>2459</v>
      </c>
      <c r="AA4" s="1" t="s">
        <v>2460</v>
      </c>
      <c r="AB4" s="1" t="s">
        <v>2461</v>
      </c>
      <c r="AC4" s="1" t="s">
        <v>2462</v>
      </c>
      <c r="AD4" s="1" t="s">
        <v>2463</v>
      </c>
      <c r="AE4" s="1" t="s">
        <v>2464</v>
      </c>
      <c r="AF4" s="1" t="s">
        <v>2465</v>
      </c>
      <c r="AG4" s="1" t="s">
        <v>2466</v>
      </c>
      <c r="AH4" s="1" t="s">
        <v>2467</v>
      </c>
      <c r="AI4" s="1" t="s">
        <v>2468</v>
      </c>
      <c r="AJ4" s="1" t="s">
        <v>2469</v>
      </c>
      <c r="AK4" s="1" t="s">
        <v>2470</v>
      </c>
      <c r="AL4" s="1" t="s">
        <v>2471</v>
      </c>
      <c r="AM4" s="1" t="s">
        <v>2472</v>
      </c>
      <c r="AN4" s="1" t="s">
        <v>2473</v>
      </c>
      <c r="AO4" s="1" t="s">
        <v>2474</v>
      </c>
      <c r="AP4" s="1" t="s">
        <v>2475</v>
      </c>
      <c r="AQ4" s="1" t="s">
        <v>2476</v>
      </c>
      <c r="AR4" s="1" t="s">
        <v>2477</v>
      </c>
      <c r="AS4" s="1" t="s">
        <v>2478</v>
      </c>
      <c r="AT4" s="1" t="s">
        <v>2479</v>
      </c>
      <c r="AU4" s="1" t="s">
        <v>2480</v>
      </c>
      <c r="AV4" s="1" t="s">
        <v>2481</v>
      </c>
      <c r="AW4" s="1" t="s">
        <v>2482</v>
      </c>
      <c r="AX4" s="1" t="s">
        <v>2483</v>
      </c>
      <c r="AY4" s="1" t="s">
        <v>2484</v>
      </c>
      <c r="AZ4" s="1" t="s">
        <v>2485</v>
      </c>
      <c r="BA4" s="1" t="s">
        <v>2486</v>
      </c>
      <c r="BB4" s="1" t="s">
        <v>2487</v>
      </c>
      <c r="BC4" s="1" t="s">
        <v>2488</v>
      </c>
      <c r="BD4" s="1" t="s">
        <v>2489</v>
      </c>
      <c r="BE4" s="1" t="s">
        <v>2490</v>
      </c>
      <c r="BF4" s="1" t="s">
        <v>2491</v>
      </c>
      <c r="BG4" s="1" t="s">
        <v>2492</v>
      </c>
      <c r="BH4" s="1" t="s">
        <v>2493</v>
      </c>
      <c r="BI4" s="1" t="s">
        <v>2494</v>
      </c>
      <c r="BJ4" s="1" t="s">
        <v>2495</v>
      </c>
      <c r="BK4" s="1" t="s">
        <v>2496</v>
      </c>
      <c r="BL4" s="1" t="s">
        <v>2497</v>
      </c>
      <c r="BM4" s="1" t="s">
        <v>2498</v>
      </c>
      <c r="BN4" s="1" t="s">
        <v>2499</v>
      </c>
      <c r="BO4" s="1" t="s">
        <v>2500</v>
      </c>
      <c r="BP4" s="1" t="s">
        <v>2501</v>
      </c>
      <c r="BQ4" s="1" t="s">
        <v>2502</v>
      </c>
      <c r="BR4" s="1" t="s">
        <v>2503</v>
      </c>
      <c r="BS4" s="1" t="s">
        <v>2504</v>
      </c>
      <c r="BT4" s="1" t="s">
        <v>2505</v>
      </c>
      <c r="BU4" s="1" t="s">
        <v>2506</v>
      </c>
      <c r="BV4" s="1" t="s">
        <v>2507</v>
      </c>
      <c r="BW4" s="1" t="s">
        <v>2508</v>
      </c>
      <c r="BX4" s="1" t="s">
        <v>2509</v>
      </c>
      <c r="BY4" s="1" t="s">
        <v>2510</v>
      </c>
      <c r="BZ4" s="1" t="s">
        <v>2511</v>
      </c>
      <c r="CA4" s="1" t="s">
        <v>2512</v>
      </c>
      <c r="CB4" s="1" t="s">
        <v>2513</v>
      </c>
      <c r="CC4" s="1" t="s">
        <v>2514</v>
      </c>
      <c r="CD4" s="1" t="s">
        <v>2515</v>
      </c>
      <c r="CE4" s="1" t="s">
        <v>2516</v>
      </c>
      <c r="CF4" s="1" t="s">
        <v>2517</v>
      </c>
      <c r="CG4" s="1" t="s">
        <v>2518</v>
      </c>
      <c r="CH4" s="1" t="s">
        <v>2519</v>
      </c>
      <c r="CI4" s="1" t="s">
        <v>2520</v>
      </c>
      <c r="CJ4" s="1" t="s">
        <v>2521</v>
      </c>
      <c r="CK4" s="1" t="s">
        <v>2522</v>
      </c>
      <c r="CL4" s="1" t="s">
        <v>2523</v>
      </c>
      <c r="CM4" s="1" t="s">
        <v>2524</v>
      </c>
      <c r="CN4" s="1" t="s">
        <v>2525</v>
      </c>
      <c r="CO4" s="1" t="s">
        <v>2526</v>
      </c>
      <c r="CP4" s="1" t="s">
        <v>2527</v>
      </c>
      <c r="CQ4" s="1" t="s">
        <v>2528</v>
      </c>
      <c r="CR4" s="1" t="s">
        <v>2529</v>
      </c>
      <c r="CS4" s="1" t="s">
        <v>2530</v>
      </c>
      <c r="CT4" s="1" t="s">
        <v>2531</v>
      </c>
      <c r="CU4" s="1" t="s">
        <v>2532</v>
      </c>
      <c r="CV4" s="1" t="s">
        <v>2533</v>
      </c>
      <c r="CW4" s="1" t="s">
        <v>2534</v>
      </c>
      <c r="CX4" s="1" t="s">
        <v>2535</v>
      </c>
      <c r="CY4" s="1" t="s">
        <v>2536</v>
      </c>
      <c r="CZ4" s="1" t="s">
        <v>2537</v>
      </c>
      <c r="DA4" s="1" t="s">
        <v>2538</v>
      </c>
      <c r="DB4" s="1" t="s">
        <v>2539</v>
      </c>
      <c r="DC4" s="1" t="s">
        <v>2540</v>
      </c>
      <c r="DD4" s="1" t="s">
        <v>2541</v>
      </c>
      <c r="DE4" s="1" t="s">
        <v>2542</v>
      </c>
      <c r="DF4" s="1" t="s">
        <v>2543</v>
      </c>
      <c r="DG4" s="1" t="s">
        <v>2544</v>
      </c>
      <c r="DH4" s="1" t="s">
        <v>2545</v>
      </c>
      <c r="DI4" s="1" t="s">
        <v>2546</v>
      </c>
      <c r="DJ4" s="1" t="s">
        <v>2547</v>
      </c>
      <c r="DK4" s="1" t="s">
        <v>2548</v>
      </c>
      <c r="DL4" s="1" t="s">
        <v>2549</v>
      </c>
      <c r="DM4" s="1" t="s">
        <v>2550</v>
      </c>
      <c r="DN4" s="1" t="s">
        <v>2551</v>
      </c>
      <c r="DO4" s="1" t="s">
        <v>2552</v>
      </c>
      <c r="DP4" s="1" t="s">
        <v>2553</v>
      </c>
      <c r="DQ4" s="1" t="s">
        <v>2554</v>
      </c>
      <c r="DR4" s="1" t="s">
        <v>2555</v>
      </c>
      <c r="DS4" s="1" t="s">
        <v>2556</v>
      </c>
      <c r="DT4" s="1" t="s">
        <v>2557</v>
      </c>
      <c r="DU4" s="1" t="s">
        <v>2558</v>
      </c>
      <c r="DV4" s="1" t="s">
        <v>2559</v>
      </c>
      <c r="DW4" s="1" t="s">
        <v>2560</v>
      </c>
      <c r="DX4" s="1" t="s">
        <v>2561</v>
      </c>
      <c r="DY4" s="1" t="s">
        <v>2562</v>
      </c>
      <c r="DZ4" s="1" t="s">
        <v>2563</v>
      </c>
      <c r="EA4" s="1" t="s">
        <v>2564</v>
      </c>
      <c r="EB4" s="1" t="s">
        <v>2565</v>
      </c>
      <c r="EC4" s="1" t="s">
        <v>2566</v>
      </c>
      <c r="ED4" s="1" t="s">
        <v>2567</v>
      </c>
      <c r="EE4" s="1" t="s">
        <v>2568</v>
      </c>
      <c r="EF4" s="1" t="s">
        <v>2569</v>
      </c>
      <c r="EG4" s="1" t="s">
        <v>2570</v>
      </c>
      <c r="EH4" s="1" t="s">
        <v>2571</v>
      </c>
      <c r="EI4" s="1" t="s">
        <v>2572</v>
      </c>
      <c r="EJ4" s="1" t="s">
        <v>2573</v>
      </c>
      <c r="EK4" s="1" t="s">
        <v>2574</v>
      </c>
      <c r="EL4" s="1" t="s">
        <v>2575</v>
      </c>
      <c r="EM4" s="1" t="s">
        <v>2576</v>
      </c>
      <c r="EN4" s="1" t="s">
        <v>2577</v>
      </c>
      <c r="EO4" s="1" t="s">
        <v>2578</v>
      </c>
      <c r="EP4" s="1" t="s">
        <v>2579</v>
      </c>
      <c r="EQ4" s="1" t="s">
        <v>2580</v>
      </c>
      <c r="ER4" s="1" t="s">
        <v>2581</v>
      </c>
      <c r="ES4" s="1" t="s">
        <v>2582</v>
      </c>
      <c r="ET4" s="1" t="s">
        <v>2583</v>
      </c>
      <c r="EU4" s="1" t="s">
        <v>2584</v>
      </c>
      <c r="EV4" s="1" t="s">
        <v>2585</v>
      </c>
      <c r="EW4" s="1" t="s">
        <v>2586</v>
      </c>
      <c r="EX4" s="1" t="s">
        <v>2587</v>
      </c>
      <c r="EY4" s="1" t="s">
        <v>2588</v>
      </c>
      <c r="EZ4" s="1" t="s">
        <v>2589</v>
      </c>
      <c r="FA4" s="1" t="s">
        <v>2590</v>
      </c>
      <c r="FB4" s="1" t="s">
        <v>2591</v>
      </c>
      <c r="FC4" s="1" t="s">
        <v>2592</v>
      </c>
      <c r="FD4" s="1" t="s">
        <v>2593</v>
      </c>
      <c r="FE4" s="1" t="s">
        <v>2594</v>
      </c>
      <c r="FF4" s="1" t="s">
        <v>2595</v>
      </c>
      <c r="FG4" s="1" t="s">
        <v>2596</v>
      </c>
      <c r="FH4" s="1" t="s">
        <v>2597</v>
      </c>
      <c r="FI4" s="1" t="s">
        <v>2598</v>
      </c>
      <c r="FJ4" s="1" t="s">
        <v>2599</v>
      </c>
      <c r="FK4" s="1" t="s">
        <v>2600</v>
      </c>
      <c r="FL4" s="1" t="s">
        <v>2601</v>
      </c>
      <c r="FM4" s="1" t="s">
        <v>2602</v>
      </c>
      <c r="FN4" s="1" t="s">
        <v>2603</v>
      </c>
      <c r="FO4" s="1" t="s">
        <v>2604</v>
      </c>
      <c r="FP4" s="1" t="s">
        <v>2605</v>
      </c>
      <c r="FQ4" s="1" t="s">
        <v>2606</v>
      </c>
      <c r="FR4" s="1" t="s">
        <v>2607</v>
      </c>
      <c r="FS4" s="1" t="s">
        <v>2608</v>
      </c>
      <c r="FT4" s="1" t="s">
        <v>2609</v>
      </c>
      <c r="FU4" s="1" t="s">
        <v>2610</v>
      </c>
      <c r="FV4" s="1" t="s">
        <v>2611</v>
      </c>
      <c r="FW4" s="1" t="s">
        <v>2612</v>
      </c>
      <c r="FX4" s="1" t="s">
        <v>2613</v>
      </c>
      <c r="FY4" s="1" t="s">
        <v>2614</v>
      </c>
      <c r="FZ4" s="1" t="s">
        <v>2615</v>
      </c>
      <c r="GA4" s="1" t="s">
        <v>2616</v>
      </c>
      <c r="GB4" s="1" t="s">
        <v>2617</v>
      </c>
      <c r="GC4" s="1" t="s">
        <v>2618</v>
      </c>
      <c r="GD4" s="1" t="s">
        <v>2619</v>
      </c>
      <c r="GE4" s="1" t="s">
        <v>2620</v>
      </c>
      <c r="GF4" s="1" t="s">
        <v>2621</v>
      </c>
      <c r="GG4" s="1" t="s">
        <v>2622</v>
      </c>
      <c r="GH4" s="1" t="s">
        <v>2623</v>
      </c>
      <c r="GI4" s="1" t="s">
        <v>2624</v>
      </c>
      <c r="GJ4" s="1" t="s">
        <v>2625</v>
      </c>
      <c r="GK4" s="1" t="s">
        <v>2626</v>
      </c>
      <c r="GL4" s="1" t="s">
        <v>2627</v>
      </c>
      <c r="GM4" s="1" t="s">
        <v>2628</v>
      </c>
      <c r="GN4" s="1" t="s">
        <v>2629</v>
      </c>
      <c r="GO4" s="1" t="s">
        <v>2630</v>
      </c>
      <c r="GP4" s="1" t="s">
        <v>2631</v>
      </c>
      <c r="GQ4" s="1" t="s">
        <v>2632</v>
      </c>
      <c r="GR4" s="1" t="s">
        <v>2633</v>
      </c>
      <c r="GS4" s="1" t="s">
        <v>2634</v>
      </c>
      <c r="GT4" s="1" t="s">
        <v>2635</v>
      </c>
      <c r="GU4" s="1" t="s">
        <v>2636</v>
      </c>
      <c r="GV4" s="1" t="s">
        <v>2637</v>
      </c>
      <c r="GW4" s="1" t="s">
        <v>2638</v>
      </c>
      <c r="GX4" s="1" t="s">
        <v>2639</v>
      </c>
      <c r="GY4" s="1" t="s">
        <v>2640</v>
      </c>
      <c r="GZ4" s="1" t="s">
        <v>2641</v>
      </c>
      <c r="HA4" s="1" t="s">
        <v>2642</v>
      </c>
      <c r="HB4" s="1" t="s">
        <v>2643</v>
      </c>
      <c r="HC4" s="1" t="s">
        <v>2644</v>
      </c>
      <c r="HD4" s="1" t="s">
        <v>2645</v>
      </c>
      <c r="HE4" s="1" t="s">
        <v>2646</v>
      </c>
      <c r="HF4" s="1" t="s">
        <v>2647</v>
      </c>
      <c r="HG4" s="1" t="s">
        <v>2648</v>
      </c>
      <c r="HH4" s="1" t="s">
        <v>2649</v>
      </c>
      <c r="HI4" s="1" t="s">
        <v>2650</v>
      </c>
      <c r="HJ4" s="1" t="s">
        <v>2651</v>
      </c>
      <c r="HK4" s="1" t="s">
        <v>2652</v>
      </c>
      <c r="HL4" s="1" t="s">
        <v>2653</v>
      </c>
      <c r="HM4" s="1" t="s">
        <v>2654</v>
      </c>
      <c r="HN4" s="1" t="s">
        <v>2655</v>
      </c>
      <c r="HO4" s="1" t="s">
        <v>2656</v>
      </c>
      <c r="HP4" s="1" t="s">
        <v>2657</v>
      </c>
      <c r="HQ4" s="1" t="s">
        <v>2658</v>
      </c>
      <c r="HR4" s="1" t="s">
        <v>2659</v>
      </c>
      <c r="HS4" s="1" t="s">
        <v>2660</v>
      </c>
      <c r="HT4" s="1" t="s">
        <v>2661</v>
      </c>
      <c r="HU4" s="1" t="s">
        <v>2662</v>
      </c>
      <c r="HV4" s="1" t="s">
        <v>2663</v>
      </c>
      <c r="HW4" s="1" t="s">
        <v>2664</v>
      </c>
      <c r="HX4" s="1" t="s">
        <v>2665</v>
      </c>
      <c r="HY4" s="1" t="s">
        <v>2666</v>
      </c>
      <c r="HZ4" s="1" t="s">
        <v>2667</v>
      </c>
      <c r="IA4" s="1" t="s">
        <v>2668</v>
      </c>
      <c r="IB4" s="1" t="s">
        <v>2669</v>
      </c>
      <c r="IC4" s="1" t="s">
        <v>2670</v>
      </c>
      <c r="ID4" s="1" t="s">
        <v>2671</v>
      </c>
      <c r="IE4" s="1" t="s">
        <v>2672</v>
      </c>
      <c r="IF4" s="1" t="s">
        <v>2673</v>
      </c>
      <c r="IG4" s="1" t="s">
        <v>2674</v>
      </c>
      <c r="IH4" s="1" t="s">
        <v>2675</v>
      </c>
      <c r="II4" s="1" t="s">
        <v>2676</v>
      </c>
      <c r="IJ4" s="1" t="s">
        <v>2677</v>
      </c>
      <c r="IK4" s="1" t="s">
        <v>2678</v>
      </c>
      <c r="IL4" s="1" t="s">
        <v>2679</v>
      </c>
      <c r="IM4" s="1" t="s">
        <v>2680</v>
      </c>
      <c r="IN4" s="1" t="s">
        <v>2681</v>
      </c>
      <c r="IO4" s="1" t="s">
        <v>2682</v>
      </c>
      <c r="IP4" s="1" t="s">
        <v>2683</v>
      </c>
      <c r="IQ4" s="1" t="s">
        <v>2684</v>
      </c>
      <c r="IR4" s="1" t="s">
        <v>2685</v>
      </c>
      <c r="IS4" s="1" t="s">
        <v>2686</v>
      </c>
      <c r="IT4" s="1" t="s">
        <v>2687</v>
      </c>
      <c r="IU4" s="1" t="s">
        <v>2688</v>
      </c>
      <c r="IV4" s="1" t="s">
        <v>2689</v>
      </c>
      <c r="IW4" s="1" t="s">
        <v>2690</v>
      </c>
      <c r="IX4" s="1" t="s">
        <v>2691</v>
      </c>
      <c r="IY4" s="1" t="s">
        <v>2692</v>
      </c>
      <c r="IZ4" s="1" t="s">
        <v>2693</v>
      </c>
      <c r="JA4" s="1" t="s">
        <v>2694</v>
      </c>
      <c r="JB4" s="1" t="s">
        <v>2695</v>
      </c>
      <c r="JC4" s="1" t="s">
        <v>2696</v>
      </c>
      <c r="JD4" s="1" t="s">
        <v>2697</v>
      </c>
      <c r="JE4" s="1" t="s">
        <v>2698</v>
      </c>
      <c r="JF4" s="1" t="s">
        <v>2699</v>
      </c>
      <c r="JG4" s="1" t="s">
        <v>2700</v>
      </c>
      <c r="JH4" s="1" t="s">
        <v>2701</v>
      </c>
      <c r="JI4" s="1" t="s">
        <v>2702</v>
      </c>
      <c r="JJ4" s="1" t="s">
        <v>2703</v>
      </c>
      <c r="JK4" s="1" t="s">
        <v>2704</v>
      </c>
      <c r="JL4" s="1" t="s">
        <v>2705</v>
      </c>
      <c r="JM4" s="1" t="s">
        <v>2706</v>
      </c>
      <c r="JN4" s="1" t="s">
        <v>2707</v>
      </c>
      <c r="JO4" s="1" t="s">
        <v>2708</v>
      </c>
      <c r="JP4" s="1" t="s">
        <v>2709</v>
      </c>
      <c r="JQ4" s="1" t="s">
        <v>2710</v>
      </c>
      <c r="JR4" s="1" t="s">
        <v>2711</v>
      </c>
      <c r="JS4" s="1" t="s">
        <v>2712</v>
      </c>
      <c r="JT4" s="1" t="s">
        <v>2713</v>
      </c>
      <c r="JU4" s="1" t="s">
        <v>2714</v>
      </c>
      <c r="JV4" s="1" t="s">
        <v>2715</v>
      </c>
      <c r="JW4" s="1" t="s">
        <v>2716</v>
      </c>
      <c r="JX4" s="1" t="s">
        <v>2717</v>
      </c>
      <c r="JY4" s="1" t="s">
        <v>2718</v>
      </c>
      <c r="JZ4" s="1" t="s">
        <v>2719</v>
      </c>
      <c r="KA4" s="1" t="s">
        <v>2720</v>
      </c>
      <c r="KB4" s="1" t="s">
        <v>2721</v>
      </c>
      <c r="KC4" s="1" t="s">
        <v>2722</v>
      </c>
      <c r="KD4" s="1" t="s">
        <v>2723</v>
      </c>
      <c r="KE4" s="1" t="s">
        <v>2724</v>
      </c>
      <c r="KF4" s="1" t="s">
        <v>2725</v>
      </c>
      <c r="KG4" s="1" t="s">
        <v>2726</v>
      </c>
      <c r="KH4" s="1" t="s">
        <v>2727</v>
      </c>
      <c r="KI4" s="1" t="s">
        <v>2728</v>
      </c>
      <c r="KJ4" s="1" t="s">
        <v>2729</v>
      </c>
      <c r="KK4" s="1" t="s">
        <v>2730</v>
      </c>
      <c r="KL4" s="1" t="s">
        <v>2731</v>
      </c>
      <c r="KM4" s="1" t="s">
        <v>2732</v>
      </c>
      <c r="KN4" s="1" t="s">
        <v>2733</v>
      </c>
      <c r="KO4" s="1" t="s">
        <v>2734</v>
      </c>
      <c r="KP4" s="1" t="s">
        <v>2735</v>
      </c>
      <c r="KQ4" s="1" t="s">
        <v>2736</v>
      </c>
      <c r="KR4" s="1" t="s">
        <v>2737</v>
      </c>
      <c r="KS4" s="1" t="s">
        <v>2738</v>
      </c>
      <c r="KT4" s="1" t="s">
        <v>2739</v>
      </c>
      <c r="KU4" s="1" t="s">
        <v>2740</v>
      </c>
      <c r="KV4" s="1" t="s">
        <v>2741</v>
      </c>
      <c r="KW4" s="1" t="s">
        <v>2742</v>
      </c>
      <c r="KX4" s="1" t="s">
        <v>2743</v>
      </c>
      <c r="KY4" s="1" t="s">
        <v>2744</v>
      </c>
      <c r="KZ4" s="1" t="s">
        <v>2745</v>
      </c>
      <c r="LA4" s="1" t="s">
        <v>2746</v>
      </c>
      <c r="LB4" s="1" t="s">
        <v>2747</v>
      </c>
      <c r="LC4" s="1" t="s">
        <v>2748</v>
      </c>
      <c r="LD4" s="1" t="s">
        <v>2749</v>
      </c>
      <c r="LE4" s="1" t="s">
        <v>2750</v>
      </c>
      <c r="LF4" s="1" t="s">
        <v>2751</v>
      </c>
      <c r="LG4" s="1" t="s">
        <v>2752</v>
      </c>
      <c r="LH4" s="1" t="s">
        <v>2753</v>
      </c>
      <c r="LI4" s="1" t="s">
        <v>2754</v>
      </c>
      <c r="LJ4" s="1" t="s">
        <v>2755</v>
      </c>
      <c r="LK4" s="1" t="s">
        <v>2756</v>
      </c>
      <c r="LL4" s="1" t="s">
        <v>2757</v>
      </c>
      <c r="LM4" s="1" t="s">
        <v>2758</v>
      </c>
      <c r="LN4" s="1" t="s">
        <v>2759</v>
      </c>
      <c r="LO4" s="1" t="s">
        <v>2760</v>
      </c>
      <c r="LP4" s="1" t="s">
        <v>2761</v>
      </c>
      <c r="LQ4" s="1" t="s">
        <v>2762</v>
      </c>
      <c r="LR4" s="1" t="s">
        <v>2763</v>
      </c>
      <c r="LS4" s="1" t="s">
        <v>2764</v>
      </c>
      <c r="LT4" s="1" t="s">
        <v>2765</v>
      </c>
      <c r="LU4" s="1" t="s">
        <v>2766</v>
      </c>
      <c r="LV4" s="1" t="s">
        <v>2767</v>
      </c>
      <c r="LW4" s="1" t="s">
        <v>2768</v>
      </c>
      <c r="LX4" s="1" t="s">
        <v>2769</v>
      </c>
      <c r="LY4" s="1" t="s">
        <v>2770</v>
      </c>
      <c r="LZ4" s="1" t="s">
        <v>2771</v>
      </c>
      <c r="MA4" s="1" t="s">
        <v>2772</v>
      </c>
      <c r="MB4" s="1" t="s">
        <v>2773</v>
      </c>
      <c r="MC4" s="1" t="s">
        <v>2774</v>
      </c>
      <c r="MD4" s="1" t="s">
        <v>2775</v>
      </c>
      <c r="ME4" s="1" t="s">
        <v>2776</v>
      </c>
      <c r="MF4" s="1" t="s">
        <v>2777</v>
      </c>
      <c r="MG4" s="1" t="s">
        <v>2778</v>
      </c>
      <c r="MH4" s="1" t="s">
        <v>2779</v>
      </c>
      <c r="MI4" s="1" t="s">
        <v>2780</v>
      </c>
      <c r="MJ4" s="1" t="s">
        <v>2781</v>
      </c>
      <c r="MK4" s="1" t="s">
        <v>2782</v>
      </c>
      <c r="ML4" s="1" t="s">
        <v>2783</v>
      </c>
      <c r="MM4" s="1" t="s">
        <v>2784</v>
      </c>
      <c r="MN4" s="1" t="s">
        <v>2785</v>
      </c>
      <c r="MO4" s="1" t="s">
        <v>2786</v>
      </c>
      <c r="MP4" s="1" t="s">
        <v>2787</v>
      </c>
      <c r="MQ4" s="1" t="s">
        <v>2788</v>
      </c>
      <c r="MR4" s="1" t="s">
        <v>2789</v>
      </c>
      <c r="MS4" s="1" t="s">
        <v>2790</v>
      </c>
      <c r="MT4" s="1" t="s">
        <v>2791</v>
      </c>
      <c r="MU4" s="1" t="s">
        <v>2792</v>
      </c>
      <c r="MV4" s="1" t="s">
        <v>2793</v>
      </c>
      <c r="MW4" s="1" t="s">
        <v>2794</v>
      </c>
      <c r="MX4" s="1" t="s">
        <v>2795</v>
      </c>
      <c r="MY4" s="1" t="s">
        <v>2796</v>
      </c>
      <c r="MZ4" s="1" t="s">
        <v>2797</v>
      </c>
      <c r="NA4" s="1" t="s">
        <v>2798</v>
      </c>
      <c r="NB4" s="1" t="s">
        <v>2799</v>
      </c>
      <c r="NC4" s="1" t="s">
        <v>2800</v>
      </c>
      <c r="ND4" s="1" t="s">
        <v>2801</v>
      </c>
      <c r="NE4" s="1" t="s">
        <v>2802</v>
      </c>
      <c r="NF4" s="1" t="s">
        <v>2803</v>
      </c>
      <c r="NG4" s="1" t="s">
        <v>2804</v>
      </c>
      <c r="NH4" s="1" t="s">
        <v>2805</v>
      </c>
      <c r="NI4" s="1" t="s">
        <v>2806</v>
      </c>
      <c r="NJ4" s="1" t="s">
        <v>2807</v>
      </c>
      <c r="NK4" s="1" t="s">
        <v>2808</v>
      </c>
      <c r="NL4" s="1" t="s">
        <v>2809</v>
      </c>
      <c r="NM4" s="1" t="s">
        <v>2810</v>
      </c>
      <c r="NN4" s="1" t="s">
        <v>2811</v>
      </c>
      <c r="NO4" s="1" t="s">
        <v>2812</v>
      </c>
      <c r="NP4" s="1" t="s">
        <v>2813</v>
      </c>
      <c r="NQ4" s="1" t="s">
        <v>2814</v>
      </c>
      <c r="NR4" s="1" t="s">
        <v>2815</v>
      </c>
      <c r="NS4" s="1" t="s">
        <v>2816</v>
      </c>
      <c r="NT4" s="1" t="s">
        <v>2817</v>
      </c>
      <c r="NU4" s="1" t="s">
        <v>2818</v>
      </c>
      <c r="NV4" s="1" t="s">
        <v>2819</v>
      </c>
      <c r="NW4" s="1" t="s">
        <v>2820</v>
      </c>
      <c r="NX4" s="1" t="s">
        <v>2821</v>
      </c>
      <c r="NY4" s="1" t="s">
        <v>2822</v>
      </c>
      <c r="NZ4" s="1" t="s">
        <v>2823</v>
      </c>
      <c r="OA4" s="1" t="s">
        <v>2824</v>
      </c>
      <c r="OB4" s="1" t="s">
        <v>2825</v>
      </c>
      <c r="OC4" s="1" t="s">
        <v>2826</v>
      </c>
      <c r="OD4" s="1" t="s">
        <v>2827</v>
      </c>
      <c r="OE4" s="1" t="s">
        <v>2828</v>
      </c>
      <c r="OF4" s="1" t="s">
        <v>2829</v>
      </c>
      <c r="OG4" s="1" t="s">
        <v>2830</v>
      </c>
      <c r="OH4" s="1" t="s">
        <v>2831</v>
      </c>
      <c r="OI4" s="1" t="s">
        <v>2832</v>
      </c>
      <c r="OJ4" s="1" t="s">
        <v>2833</v>
      </c>
      <c r="OK4" s="1" t="s">
        <v>2834</v>
      </c>
      <c r="OL4" s="1" t="s">
        <v>2835</v>
      </c>
      <c r="OM4" s="1" t="s">
        <v>2836</v>
      </c>
      <c r="ON4" s="1" t="s">
        <v>2837</v>
      </c>
      <c r="OO4" s="1" t="s">
        <v>2838</v>
      </c>
      <c r="OP4" s="1" t="s">
        <v>2839</v>
      </c>
      <c r="OQ4" s="1" t="s">
        <v>2840</v>
      </c>
      <c r="OR4" s="1" t="s">
        <v>2841</v>
      </c>
      <c r="OS4" s="1" t="s">
        <v>2842</v>
      </c>
      <c r="OT4" s="1" t="s">
        <v>2843</v>
      </c>
      <c r="OU4" s="1" t="s">
        <v>2844</v>
      </c>
      <c r="OV4" s="1" t="s">
        <v>2845</v>
      </c>
      <c r="OW4" s="1" t="s">
        <v>2846</v>
      </c>
      <c r="OX4" s="1" t="s">
        <v>2847</v>
      </c>
      <c r="OY4" s="1" t="s">
        <v>2848</v>
      </c>
      <c r="OZ4" s="1" t="s">
        <v>2849</v>
      </c>
      <c r="PA4" s="1" t="s">
        <v>2850</v>
      </c>
      <c r="PB4" s="1" t="s">
        <v>2851</v>
      </c>
      <c r="PC4" s="1" t="s">
        <v>2852</v>
      </c>
      <c r="PD4" s="1" t="s">
        <v>2853</v>
      </c>
      <c r="PE4" s="1" t="s">
        <v>2854</v>
      </c>
      <c r="PF4" s="1" t="s">
        <v>2855</v>
      </c>
      <c r="PG4" s="1" t="s">
        <v>2856</v>
      </c>
      <c r="PH4" s="1" t="s">
        <v>2857</v>
      </c>
      <c r="PI4" s="1" t="s">
        <v>2858</v>
      </c>
      <c r="PJ4" s="1" t="s">
        <v>2859</v>
      </c>
      <c r="PK4" s="1" t="s">
        <v>2860</v>
      </c>
      <c r="PL4" s="1" t="s">
        <v>2861</v>
      </c>
      <c r="PM4" s="1" t="s">
        <v>2862</v>
      </c>
      <c r="PN4" s="1" t="s">
        <v>2863</v>
      </c>
      <c r="PO4" s="1" t="s">
        <v>2864</v>
      </c>
      <c r="PP4" s="1" t="s">
        <v>2865</v>
      </c>
      <c r="PQ4" s="1" t="s">
        <v>2866</v>
      </c>
      <c r="PR4" s="1" t="s">
        <v>2867</v>
      </c>
      <c r="PS4" s="1" t="s">
        <v>2868</v>
      </c>
      <c r="PT4" s="1" t="s">
        <v>2869</v>
      </c>
      <c r="PU4" s="1" t="s">
        <v>2870</v>
      </c>
      <c r="PV4" s="1" t="s">
        <v>2871</v>
      </c>
      <c r="PW4" s="1" t="s">
        <v>2872</v>
      </c>
      <c r="PX4" s="1" t="s">
        <v>2873</v>
      </c>
      <c r="PY4" s="1" t="s">
        <v>2874</v>
      </c>
      <c r="PZ4" s="1" t="s">
        <v>2875</v>
      </c>
      <c r="QA4" s="1" t="s">
        <v>2876</v>
      </c>
      <c r="QB4" s="1" t="s">
        <v>2877</v>
      </c>
      <c r="QC4" s="1" t="s">
        <v>2878</v>
      </c>
      <c r="QD4" s="1" t="s">
        <v>2879</v>
      </c>
      <c r="QE4" s="1" t="s">
        <v>2880</v>
      </c>
      <c r="QF4" s="1" t="s">
        <v>2881</v>
      </c>
      <c r="QG4" s="1" t="s">
        <v>2882</v>
      </c>
      <c r="QH4" s="1" t="s">
        <v>2883</v>
      </c>
      <c r="QI4" s="1" t="s">
        <v>2884</v>
      </c>
      <c r="QJ4" s="1" t="s">
        <v>2885</v>
      </c>
      <c r="QK4" s="1" t="s">
        <v>2886</v>
      </c>
      <c r="QL4" s="1" t="s">
        <v>2887</v>
      </c>
      <c r="QM4" s="1" t="s">
        <v>2888</v>
      </c>
      <c r="QN4" s="1" t="s">
        <v>2889</v>
      </c>
      <c r="QO4" s="1" t="s">
        <v>2890</v>
      </c>
      <c r="QP4" s="1" t="s">
        <v>2891</v>
      </c>
      <c r="QQ4" s="1" t="s">
        <v>2892</v>
      </c>
      <c r="QR4" s="1" t="s">
        <v>2893</v>
      </c>
      <c r="QS4" s="1" t="s">
        <v>2894</v>
      </c>
      <c r="QT4" s="1" t="s">
        <v>2895</v>
      </c>
      <c r="QU4" s="1" t="s">
        <v>2896</v>
      </c>
      <c r="QV4" s="1" t="s">
        <v>2897</v>
      </c>
      <c r="QW4" s="1" t="s">
        <v>2898</v>
      </c>
      <c r="QX4" s="1" t="s">
        <v>2899</v>
      </c>
      <c r="QY4" s="1" t="s">
        <v>2900</v>
      </c>
      <c r="QZ4" s="1" t="s">
        <v>2901</v>
      </c>
      <c r="RA4" s="1" t="s">
        <v>2902</v>
      </c>
      <c r="RB4" s="1" t="s">
        <v>2903</v>
      </c>
      <c r="RC4" s="1" t="s">
        <v>2904</v>
      </c>
      <c r="RD4" s="1" t="s">
        <v>2905</v>
      </c>
      <c r="RE4" s="1" t="s">
        <v>2906</v>
      </c>
      <c r="RF4" s="1" t="s">
        <v>2907</v>
      </c>
      <c r="RG4" s="1" t="s">
        <v>2908</v>
      </c>
      <c r="RH4" s="1" t="s">
        <v>2909</v>
      </c>
      <c r="RI4" s="1" t="s">
        <v>2910</v>
      </c>
      <c r="RJ4" s="1" t="s">
        <v>2911</v>
      </c>
      <c r="RK4" s="1" t="s">
        <v>2912</v>
      </c>
      <c r="RL4" s="1" t="s">
        <v>2913</v>
      </c>
      <c r="RM4" s="1" t="s">
        <v>2914</v>
      </c>
      <c r="RN4" s="1" t="s">
        <v>2915</v>
      </c>
      <c r="RO4" s="1" t="s">
        <v>2916</v>
      </c>
      <c r="RP4" s="1" t="s">
        <v>2917</v>
      </c>
      <c r="RQ4" s="1" t="s">
        <v>2918</v>
      </c>
      <c r="RR4" s="1" t="s">
        <v>2919</v>
      </c>
      <c r="RS4" s="1" t="s">
        <v>2920</v>
      </c>
      <c r="RT4" s="1" t="s">
        <v>2921</v>
      </c>
      <c r="RU4" s="1" t="s">
        <v>2922</v>
      </c>
      <c r="RV4" s="1" t="s">
        <v>2923</v>
      </c>
      <c r="RW4" s="1" t="s">
        <v>2924</v>
      </c>
      <c r="RX4" s="1" t="s">
        <v>2925</v>
      </c>
      <c r="RY4" s="1" t="s">
        <v>2926</v>
      </c>
      <c r="RZ4" s="1" t="s">
        <v>2927</v>
      </c>
      <c r="SA4" s="1" t="s">
        <v>2928</v>
      </c>
      <c r="SB4" s="1" t="s">
        <v>2929</v>
      </c>
      <c r="SC4" s="1" t="s">
        <v>2930</v>
      </c>
      <c r="SD4" s="1" t="s">
        <v>2931</v>
      </c>
      <c r="SE4" s="1" t="s">
        <v>2932</v>
      </c>
      <c r="SF4" s="1" t="s">
        <v>2933</v>
      </c>
      <c r="SG4" s="1" t="s">
        <v>2934</v>
      </c>
      <c r="SH4" s="1" t="s">
        <v>2935</v>
      </c>
      <c r="SI4" s="1" t="s">
        <v>2936</v>
      </c>
      <c r="SJ4" s="1" t="s">
        <v>2937</v>
      </c>
      <c r="SK4" s="1" t="s">
        <v>2938</v>
      </c>
      <c r="SL4" s="1" t="s">
        <v>2939</v>
      </c>
      <c r="SM4" s="1" t="s">
        <v>2940</v>
      </c>
      <c r="SN4" s="1" t="s">
        <v>2941</v>
      </c>
      <c r="SO4" s="1" t="s">
        <v>2942</v>
      </c>
      <c r="SP4" s="1" t="s">
        <v>2943</v>
      </c>
      <c r="SQ4" s="1" t="s">
        <v>2944</v>
      </c>
      <c r="SR4" s="1" t="s">
        <v>2945</v>
      </c>
      <c r="SS4" s="1" t="s">
        <v>2946</v>
      </c>
      <c r="ST4" s="1" t="s">
        <v>2947</v>
      </c>
      <c r="SU4" s="1" t="s">
        <v>2948</v>
      </c>
      <c r="SV4" s="1" t="s">
        <v>2949</v>
      </c>
      <c r="SW4" s="1" t="s">
        <v>2950</v>
      </c>
      <c r="SX4" s="1" t="s">
        <v>2951</v>
      </c>
      <c r="SY4" s="1" t="s">
        <v>2952</v>
      </c>
      <c r="SZ4" s="1" t="s">
        <v>2953</v>
      </c>
      <c r="TA4" s="1" t="s">
        <v>2954</v>
      </c>
      <c r="TB4" s="1" t="s">
        <v>2955</v>
      </c>
      <c r="TC4" s="1" t="s">
        <v>2956</v>
      </c>
      <c r="TD4" s="1" t="s">
        <v>2957</v>
      </c>
      <c r="TE4" s="1" t="s">
        <v>2958</v>
      </c>
      <c r="TF4" s="1" t="s">
        <v>2959</v>
      </c>
      <c r="TG4" s="1" t="s">
        <v>2960</v>
      </c>
      <c r="TH4" s="1" t="s">
        <v>2961</v>
      </c>
      <c r="TI4" s="1" t="s">
        <v>2962</v>
      </c>
      <c r="TJ4" s="1" t="s">
        <v>2963</v>
      </c>
      <c r="TK4" s="1" t="s">
        <v>2964</v>
      </c>
      <c r="TL4" s="1" t="s">
        <v>2965</v>
      </c>
      <c r="TM4" s="1" t="s">
        <v>2966</v>
      </c>
      <c r="TN4" s="1" t="s">
        <v>2967</v>
      </c>
      <c r="TO4" s="1" t="s">
        <v>2968</v>
      </c>
      <c r="TP4" s="1" t="s">
        <v>2969</v>
      </c>
      <c r="TQ4" s="1" t="s">
        <v>2970</v>
      </c>
      <c r="TR4" s="1" t="s">
        <v>2971</v>
      </c>
      <c r="TS4" s="1" t="s">
        <v>2972</v>
      </c>
      <c r="TT4" s="1" t="s">
        <v>2973</v>
      </c>
      <c r="TU4" s="1" t="s">
        <v>2974</v>
      </c>
      <c r="TV4" s="1" t="s">
        <v>2975</v>
      </c>
      <c r="TW4" s="1" t="s">
        <v>2976</v>
      </c>
      <c r="TX4" s="1" t="s">
        <v>2977</v>
      </c>
      <c r="TY4" s="1" t="s">
        <v>2978</v>
      </c>
      <c r="TZ4" s="1" t="s">
        <v>2979</v>
      </c>
      <c r="UA4" s="1" t="s">
        <v>2980</v>
      </c>
      <c r="UB4" s="1" t="s">
        <v>2981</v>
      </c>
      <c r="UC4" s="1" t="s">
        <v>2982</v>
      </c>
      <c r="UD4" s="1" t="s">
        <v>2983</v>
      </c>
      <c r="UE4" s="1" t="s">
        <v>2984</v>
      </c>
      <c r="UF4" s="1" t="s">
        <v>2985</v>
      </c>
      <c r="UG4" s="1" t="s">
        <v>2986</v>
      </c>
      <c r="UH4" s="1" t="s">
        <v>2987</v>
      </c>
      <c r="UI4" s="1" t="s">
        <v>2988</v>
      </c>
      <c r="UJ4" s="1" t="s">
        <v>2989</v>
      </c>
      <c r="UK4" s="1" t="s">
        <v>2990</v>
      </c>
      <c r="UL4" s="1" t="s">
        <v>2991</v>
      </c>
      <c r="UM4" s="1" t="s">
        <v>2992</v>
      </c>
      <c r="UN4" s="1" t="s">
        <v>2993</v>
      </c>
      <c r="UO4" s="1" t="s">
        <v>2994</v>
      </c>
      <c r="UP4" s="1" t="s">
        <v>2995</v>
      </c>
      <c r="UQ4" s="1" t="s">
        <v>2996</v>
      </c>
      <c r="UR4" s="1" t="s">
        <v>2997</v>
      </c>
      <c r="US4" s="1" t="s">
        <v>2998</v>
      </c>
      <c r="UT4" s="1" t="s">
        <v>2999</v>
      </c>
      <c r="UU4" s="1" t="s">
        <v>3000</v>
      </c>
      <c r="UV4" s="1" t="s">
        <v>3001</v>
      </c>
      <c r="UW4" s="1" t="s">
        <v>3002</v>
      </c>
      <c r="UX4" s="1" t="s">
        <v>3003</v>
      </c>
      <c r="UY4" s="1" t="s">
        <v>3004</v>
      </c>
      <c r="UZ4" s="1" t="s">
        <v>3005</v>
      </c>
      <c r="VA4" s="1" t="s">
        <v>3006</v>
      </c>
      <c r="VB4" s="1" t="s">
        <v>3007</v>
      </c>
      <c r="VC4" s="1" t="s">
        <v>3008</v>
      </c>
      <c r="VD4" s="1" t="s">
        <v>3009</v>
      </c>
      <c r="VE4" s="1" t="s">
        <v>3010</v>
      </c>
      <c r="VF4" s="1" t="s">
        <v>3011</v>
      </c>
      <c r="VG4" s="1" t="s">
        <v>3012</v>
      </c>
      <c r="VH4" s="1" t="s">
        <v>3013</v>
      </c>
      <c r="VI4" s="1" t="s">
        <v>3014</v>
      </c>
      <c r="VJ4" s="1" t="s">
        <v>3015</v>
      </c>
      <c r="VK4" s="1" t="s">
        <v>3016</v>
      </c>
      <c r="VL4" s="1" t="s">
        <v>3017</v>
      </c>
      <c r="VM4" s="1" t="s">
        <v>3018</v>
      </c>
      <c r="VN4" s="1" t="s">
        <v>3019</v>
      </c>
      <c r="VO4" s="1" t="s">
        <v>3020</v>
      </c>
      <c r="VP4" s="1" t="s">
        <v>3021</v>
      </c>
      <c r="VQ4" s="1" t="s">
        <v>3022</v>
      </c>
      <c r="VR4" s="1" t="s">
        <v>3023</v>
      </c>
      <c r="VS4" s="1" t="s">
        <v>3024</v>
      </c>
      <c r="VT4" s="1" t="s">
        <v>3025</v>
      </c>
      <c r="VU4" s="1" t="s">
        <v>3026</v>
      </c>
      <c r="VV4" s="1" t="s">
        <v>3027</v>
      </c>
      <c r="VW4" s="1" t="s">
        <v>3028</v>
      </c>
      <c r="VX4" s="1" t="s">
        <v>3029</v>
      </c>
      <c r="VY4" s="1" t="s">
        <v>3030</v>
      </c>
      <c r="VZ4" s="1" t="s">
        <v>3031</v>
      </c>
      <c r="WA4" s="1" t="s">
        <v>3032</v>
      </c>
      <c r="WB4" s="1" t="s">
        <v>3033</v>
      </c>
      <c r="WC4" s="1" t="s">
        <v>3034</v>
      </c>
      <c r="WD4" s="1" t="s">
        <v>3035</v>
      </c>
      <c r="WE4" s="1" t="s">
        <v>3036</v>
      </c>
      <c r="WF4" s="1" t="s">
        <v>3037</v>
      </c>
      <c r="WG4" s="1" t="s">
        <v>3038</v>
      </c>
      <c r="WH4" s="1" t="s">
        <v>3039</v>
      </c>
      <c r="WI4" s="1" t="s">
        <v>3040</v>
      </c>
      <c r="WJ4" s="1" t="s">
        <v>3041</v>
      </c>
      <c r="WK4" s="1" t="s">
        <v>3042</v>
      </c>
      <c r="WL4" s="1" t="s">
        <v>3043</v>
      </c>
      <c r="WM4" s="1" t="s">
        <v>3044</v>
      </c>
      <c r="WN4" s="1" t="s">
        <v>3045</v>
      </c>
      <c r="WO4" s="1" t="s">
        <v>3046</v>
      </c>
      <c r="WP4" s="1" t="s">
        <v>3047</v>
      </c>
      <c r="WQ4" s="1" t="s">
        <v>3048</v>
      </c>
      <c r="WR4" s="1" t="s">
        <v>3049</v>
      </c>
      <c r="WS4" s="1" t="s">
        <v>3050</v>
      </c>
      <c r="WT4" s="1" t="s">
        <v>3051</v>
      </c>
      <c r="WU4" s="1" t="s">
        <v>3052</v>
      </c>
      <c r="WV4" s="1" t="s">
        <v>3053</v>
      </c>
      <c r="WW4" s="1" t="s">
        <v>3054</v>
      </c>
      <c r="WX4" s="1" t="s">
        <v>3055</v>
      </c>
      <c r="WY4" s="1" t="s">
        <v>3056</v>
      </c>
      <c r="WZ4" s="1" t="s">
        <v>3057</v>
      </c>
      <c r="XA4" s="1" t="s">
        <v>3058</v>
      </c>
      <c r="XB4" s="1" t="s">
        <v>3059</v>
      </c>
      <c r="XC4" s="1" t="s">
        <v>3060</v>
      </c>
      <c r="XD4" s="1" t="s">
        <v>3061</v>
      </c>
      <c r="XE4" s="1" t="s">
        <v>3062</v>
      </c>
      <c r="XF4" s="1" t="s">
        <v>3063</v>
      </c>
      <c r="XG4" s="1" t="s">
        <v>3064</v>
      </c>
      <c r="XH4" s="1" t="s">
        <v>3065</v>
      </c>
      <c r="XI4" s="1" t="s">
        <v>3066</v>
      </c>
      <c r="XJ4" s="1" t="s">
        <v>3067</v>
      </c>
      <c r="XK4" s="1" t="s">
        <v>3068</v>
      </c>
      <c r="XL4" s="1" t="s">
        <v>3069</v>
      </c>
      <c r="XM4" s="1" t="s">
        <v>3070</v>
      </c>
      <c r="XN4" s="1" t="s">
        <v>3071</v>
      </c>
      <c r="XO4" s="1" t="s">
        <v>3072</v>
      </c>
      <c r="XP4" s="1" t="s">
        <v>3073</v>
      </c>
      <c r="XQ4" s="1" t="s">
        <v>3074</v>
      </c>
      <c r="XR4" s="1" t="s">
        <v>3075</v>
      </c>
      <c r="XS4" s="1" t="s">
        <v>3076</v>
      </c>
      <c r="XT4" s="1" t="s">
        <v>3077</v>
      </c>
      <c r="XU4" s="1" t="s">
        <v>3078</v>
      </c>
      <c r="XV4" s="1" t="s">
        <v>3079</v>
      </c>
      <c r="XW4" s="1" t="s">
        <v>3080</v>
      </c>
      <c r="XX4" s="1" t="s">
        <v>3081</v>
      </c>
      <c r="XY4" s="1" t="s">
        <v>3082</v>
      </c>
      <c r="XZ4" s="1" t="s">
        <v>3083</v>
      </c>
      <c r="YA4" s="1" t="s">
        <v>3084</v>
      </c>
      <c r="YB4" s="1" t="s">
        <v>3085</v>
      </c>
      <c r="YC4" s="1" t="s">
        <v>3086</v>
      </c>
      <c r="YD4" s="1" t="s">
        <v>3087</v>
      </c>
      <c r="YE4" s="1" t="s">
        <v>3088</v>
      </c>
      <c r="YF4" s="1" t="s">
        <v>3089</v>
      </c>
      <c r="YG4" s="1" t="s">
        <v>3090</v>
      </c>
      <c r="YH4" s="1" t="s">
        <v>3091</v>
      </c>
      <c r="YI4" s="1" t="s">
        <v>3092</v>
      </c>
      <c r="YJ4" s="1" t="s">
        <v>3093</v>
      </c>
      <c r="YK4" s="1" t="s">
        <v>3094</v>
      </c>
      <c r="YL4" s="1" t="s">
        <v>3095</v>
      </c>
      <c r="YM4" s="1" t="s">
        <v>3096</v>
      </c>
      <c r="YN4" s="1" t="s">
        <v>3097</v>
      </c>
      <c r="YO4" s="1" t="s">
        <v>3098</v>
      </c>
      <c r="YP4" s="1" t="s">
        <v>3099</v>
      </c>
      <c r="YQ4" s="1" t="s">
        <v>3100</v>
      </c>
      <c r="YR4" s="1" t="s">
        <v>3101</v>
      </c>
      <c r="YS4" s="1" t="s">
        <v>3102</v>
      </c>
      <c r="YT4" s="1" t="s">
        <v>3103</v>
      </c>
      <c r="YU4" s="1" t="s">
        <v>3104</v>
      </c>
      <c r="YV4" s="1" t="s">
        <v>3105</v>
      </c>
      <c r="YW4" s="1" t="s">
        <v>3106</v>
      </c>
      <c r="YX4" s="1" t="s">
        <v>3107</v>
      </c>
      <c r="YY4" s="1" t="s">
        <v>3108</v>
      </c>
      <c r="YZ4" s="1" t="s">
        <v>3109</v>
      </c>
      <c r="ZA4" s="1" t="s">
        <v>3110</v>
      </c>
      <c r="ZB4" s="1" t="s">
        <v>3111</v>
      </c>
      <c r="ZC4" s="1" t="s">
        <v>3112</v>
      </c>
      <c r="ZD4" s="1" t="s">
        <v>3113</v>
      </c>
      <c r="ZE4" s="1" t="s">
        <v>3114</v>
      </c>
      <c r="ZF4" s="1" t="s">
        <v>3115</v>
      </c>
      <c r="ZG4" s="1" t="s">
        <v>3116</v>
      </c>
      <c r="ZH4" s="1" t="s">
        <v>3117</v>
      </c>
      <c r="ZI4" s="1" t="s">
        <v>3118</v>
      </c>
      <c r="ZJ4" s="1" t="s">
        <v>3119</v>
      </c>
      <c r="ZK4" s="1" t="s">
        <v>3120</v>
      </c>
      <c r="ZL4" s="1" t="s">
        <v>3121</v>
      </c>
      <c r="ZM4" s="1" t="s">
        <v>3122</v>
      </c>
      <c r="ZN4" s="1" t="s">
        <v>3123</v>
      </c>
      <c r="ZO4" s="1" t="s">
        <v>3124</v>
      </c>
      <c r="ZP4" s="1" t="s">
        <v>3125</v>
      </c>
      <c r="ZQ4" s="1" t="s">
        <v>3126</v>
      </c>
      <c r="ZR4" s="1" t="s">
        <v>3127</v>
      </c>
      <c r="ZS4" s="1" t="s">
        <v>3128</v>
      </c>
      <c r="ZT4" s="1" t="s">
        <v>3129</v>
      </c>
      <c r="ZU4" s="1" t="s">
        <v>3130</v>
      </c>
      <c r="ZV4" s="1" t="s">
        <v>3131</v>
      </c>
      <c r="ZW4" s="1" t="s">
        <v>3132</v>
      </c>
      <c r="ZX4" s="1" t="s">
        <v>3133</v>
      </c>
      <c r="ZY4" s="1" t="s">
        <v>3134</v>
      </c>
      <c r="ZZ4" s="1" t="s">
        <v>3135</v>
      </c>
      <c r="AAA4" s="1" t="s">
        <v>3136</v>
      </c>
      <c r="AAB4" s="1" t="s">
        <v>3137</v>
      </c>
      <c r="AAC4" s="1" t="s">
        <v>3138</v>
      </c>
      <c r="AAD4" s="1" t="s">
        <v>3139</v>
      </c>
      <c r="AAE4" s="1" t="s">
        <v>3140</v>
      </c>
      <c r="AAF4" s="1" t="s">
        <v>3141</v>
      </c>
      <c r="AAG4" s="1" t="s">
        <v>3142</v>
      </c>
      <c r="AAH4" s="1" t="s">
        <v>3143</v>
      </c>
      <c r="AAI4" s="1" t="s">
        <v>3144</v>
      </c>
      <c r="AAJ4" s="1" t="s">
        <v>3145</v>
      </c>
      <c r="AAK4" s="1" t="s">
        <v>3146</v>
      </c>
      <c r="AAL4" s="1" t="s">
        <v>3147</v>
      </c>
      <c r="AAM4" s="1" t="s">
        <v>3148</v>
      </c>
      <c r="AAN4" s="1" t="s">
        <v>3149</v>
      </c>
      <c r="AAO4" s="1" t="s">
        <v>3150</v>
      </c>
      <c r="AAP4" s="1" t="s">
        <v>3151</v>
      </c>
      <c r="AAQ4" s="1" t="s">
        <v>3152</v>
      </c>
      <c r="AAR4" s="1" t="s">
        <v>3153</v>
      </c>
      <c r="AAS4" s="1" t="s">
        <v>3154</v>
      </c>
      <c r="AAT4" s="1" t="s">
        <v>3155</v>
      </c>
      <c r="AAU4" s="1" t="s">
        <v>3156</v>
      </c>
      <c r="AAV4" s="1" t="s">
        <v>3157</v>
      </c>
      <c r="AAW4" s="1" t="s">
        <v>3158</v>
      </c>
      <c r="AAX4" s="1" t="s">
        <v>3159</v>
      </c>
      <c r="AAY4" s="1" t="s">
        <v>3160</v>
      </c>
      <c r="AAZ4" s="1" t="s">
        <v>3161</v>
      </c>
      <c r="ABA4" s="1" t="s">
        <v>3162</v>
      </c>
      <c r="ABB4" s="1" t="s">
        <v>3163</v>
      </c>
      <c r="ABC4" s="1" t="s">
        <v>3164</v>
      </c>
      <c r="ABD4" s="1" t="s">
        <v>3165</v>
      </c>
      <c r="ABE4" s="1" t="s">
        <v>3166</v>
      </c>
      <c r="ABF4" s="1" t="s">
        <v>3167</v>
      </c>
      <c r="ABG4" s="1" t="s">
        <v>3168</v>
      </c>
      <c r="ABH4" s="1" t="s">
        <v>3169</v>
      </c>
      <c r="ABI4" s="1" t="s">
        <v>3170</v>
      </c>
      <c r="ABJ4" s="1" t="s">
        <v>3171</v>
      </c>
      <c r="ABK4" s="1" t="s">
        <v>3172</v>
      </c>
      <c r="ABL4" s="1" t="s">
        <v>3173</v>
      </c>
      <c r="ABM4" s="1" t="s">
        <v>3174</v>
      </c>
      <c r="ABN4" s="1" t="s">
        <v>3175</v>
      </c>
      <c r="ABO4" s="1" t="s">
        <v>3176</v>
      </c>
      <c r="ABP4" s="1" t="s">
        <v>3177</v>
      </c>
      <c r="ABQ4" s="1" t="s">
        <v>3178</v>
      </c>
      <c r="ABR4" s="1" t="s">
        <v>3179</v>
      </c>
      <c r="ABS4" s="1" t="s">
        <v>3180</v>
      </c>
      <c r="ABT4" s="1" t="s">
        <v>3181</v>
      </c>
      <c r="ABU4" s="1" t="s">
        <v>3182</v>
      </c>
      <c r="ABV4" s="1" t="s">
        <v>3183</v>
      </c>
      <c r="ABW4" s="1" t="s">
        <v>3184</v>
      </c>
      <c r="ABX4" s="1" t="s">
        <v>3185</v>
      </c>
      <c r="ABY4" s="1" t="s">
        <v>3186</v>
      </c>
      <c r="ABZ4" s="1" t="s">
        <v>3187</v>
      </c>
      <c r="ACA4" s="1" t="s">
        <v>3188</v>
      </c>
      <c r="ACB4" s="1" t="s">
        <v>3189</v>
      </c>
      <c r="ACC4" s="1" t="s">
        <v>3190</v>
      </c>
      <c r="ACD4" s="1" t="s">
        <v>3191</v>
      </c>
      <c r="ACE4" s="1" t="s">
        <v>3192</v>
      </c>
      <c r="ACF4" s="1" t="s">
        <v>3193</v>
      </c>
      <c r="ACG4" s="1" t="s">
        <v>3194</v>
      </c>
      <c r="ACH4" s="1" t="s">
        <v>3195</v>
      </c>
      <c r="ACI4" s="1" t="s">
        <v>3196</v>
      </c>
      <c r="ACJ4" s="1" t="s">
        <v>3197</v>
      </c>
      <c r="ACK4" s="1" t="s">
        <v>3198</v>
      </c>
      <c r="ACL4" s="1" t="s">
        <v>3199</v>
      </c>
      <c r="ACM4" s="1" t="s">
        <v>3200</v>
      </c>
      <c r="ACN4" s="1" t="s">
        <v>3201</v>
      </c>
      <c r="ACO4" s="1" t="s">
        <v>3202</v>
      </c>
      <c r="ACP4" s="1" t="s">
        <v>3203</v>
      </c>
      <c r="ACQ4" s="1" t="s">
        <v>3204</v>
      </c>
      <c r="ACR4" s="1" t="s">
        <v>3205</v>
      </c>
      <c r="ACS4" s="1" t="s">
        <v>3206</v>
      </c>
      <c r="ACT4" s="1" t="s">
        <v>3207</v>
      </c>
      <c r="ACU4" s="1" t="s">
        <v>3208</v>
      </c>
      <c r="ACV4" s="1" t="s">
        <v>3209</v>
      </c>
      <c r="ACW4" s="1" t="s">
        <v>25</v>
      </c>
      <c r="ACX4" s="1" t="s">
        <v>1497</v>
      </c>
    </row>
    <row r="5" spans="1:778" x14ac:dyDescent="0.2">
      <c r="A5" s="1" t="s">
        <v>54</v>
      </c>
      <c r="B5" s="1" t="s">
        <v>3210</v>
      </c>
      <c r="C5" s="1" t="s">
        <v>3211</v>
      </c>
      <c r="D5" s="1" t="s">
        <v>3212</v>
      </c>
      <c r="E5" s="1" t="s">
        <v>3213</v>
      </c>
      <c r="F5" s="1" t="s">
        <v>3214</v>
      </c>
      <c r="G5" s="1" t="s">
        <v>3215</v>
      </c>
      <c r="H5" s="1" t="s">
        <v>3216</v>
      </c>
      <c r="I5" s="1" t="s">
        <v>3217</v>
      </c>
      <c r="J5" s="1" t="s">
        <v>3218</v>
      </c>
      <c r="K5" s="1" t="s">
        <v>3219</v>
      </c>
      <c r="L5" s="1" t="s">
        <v>3220</v>
      </c>
      <c r="M5" s="1" t="s">
        <v>3221</v>
      </c>
      <c r="N5" s="1" t="s">
        <v>3222</v>
      </c>
      <c r="O5" s="1" t="s">
        <v>3223</v>
      </c>
      <c r="P5" s="1" t="s">
        <v>3224</v>
      </c>
      <c r="Q5" s="1" t="s">
        <v>3225</v>
      </c>
      <c r="R5" s="1" t="s">
        <v>3226</v>
      </c>
      <c r="S5" s="1" t="s">
        <v>3227</v>
      </c>
      <c r="T5" s="1" t="s">
        <v>3228</v>
      </c>
      <c r="U5" s="1" t="s">
        <v>3229</v>
      </c>
      <c r="V5" s="1" t="s">
        <v>3230</v>
      </c>
      <c r="W5" s="1" t="s">
        <v>3231</v>
      </c>
      <c r="X5" s="1" t="s">
        <v>3232</v>
      </c>
      <c r="Y5" s="1" t="s">
        <v>3233</v>
      </c>
      <c r="Z5" s="1" t="s">
        <v>3234</v>
      </c>
      <c r="AA5" s="1" t="s">
        <v>3235</v>
      </c>
      <c r="AB5" s="1" t="s">
        <v>3236</v>
      </c>
      <c r="AC5" s="1" t="s">
        <v>3237</v>
      </c>
      <c r="AD5" s="1" t="s">
        <v>3238</v>
      </c>
      <c r="AE5" s="1" t="s">
        <v>3239</v>
      </c>
      <c r="AF5" s="1" t="s">
        <v>3240</v>
      </c>
      <c r="AG5" s="1" t="s">
        <v>3241</v>
      </c>
      <c r="AH5" s="1" t="s">
        <v>3242</v>
      </c>
      <c r="AI5" s="1" t="s">
        <v>3243</v>
      </c>
      <c r="AJ5" s="1" t="s">
        <v>3244</v>
      </c>
      <c r="AK5" s="1" t="s">
        <v>3245</v>
      </c>
      <c r="AL5" s="1" t="s">
        <v>3246</v>
      </c>
      <c r="AM5" s="1" t="s">
        <v>3247</v>
      </c>
      <c r="AN5" s="1" t="s">
        <v>3248</v>
      </c>
      <c r="AO5" s="1" t="s">
        <v>3249</v>
      </c>
      <c r="AP5" s="1" t="s">
        <v>3250</v>
      </c>
      <c r="AQ5" s="1" t="s">
        <v>3251</v>
      </c>
      <c r="AR5" s="1" t="s">
        <v>3252</v>
      </c>
      <c r="AS5" s="1" t="s">
        <v>3253</v>
      </c>
      <c r="AT5" s="1" t="s">
        <v>3254</v>
      </c>
      <c r="AU5" s="1" t="s">
        <v>3255</v>
      </c>
      <c r="AV5" s="1" t="s">
        <v>3256</v>
      </c>
      <c r="AW5" s="1" t="s">
        <v>3257</v>
      </c>
      <c r="AX5" s="1" t="s">
        <v>3258</v>
      </c>
      <c r="AY5" s="1" t="s">
        <v>3259</v>
      </c>
      <c r="AZ5" s="1" t="s">
        <v>3260</v>
      </c>
      <c r="BA5" s="1" t="s">
        <v>3261</v>
      </c>
      <c r="BB5" s="1" t="s">
        <v>3262</v>
      </c>
      <c r="BC5" s="1" t="s">
        <v>3263</v>
      </c>
      <c r="BD5" s="1" t="s">
        <v>3264</v>
      </c>
      <c r="BE5" s="1" t="s">
        <v>3265</v>
      </c>
      <c r="BF5" s="1" t="s">
        <v>3266</v>
      </c>
      <c r="BG5" s="1" t="s">
        <v>3267</v>
      </c>
      <c r="BH5" s="1" t="s">
        <v>3268</v>
      </c>
      <c r="BI5" s="1" t="s">
        <v>3269</v>
      </c>
      <c r="BJ5" s="1" t="s">
        <v>3270</v>
      </c>
      <c r="BK5" s="1" t="s">
        <v>3271</v>
      </c>
      <c r="BL5" s="1" t="s">
        <v>3272</v>
      </c>
      <c r="BM5" s="1" t="s">
        <v>3273</v>
      </c>
      <c r="BN5" s="1" t="s">
        <v>3274</v>
      </c>
      <c r="BO5" s="1" t="s">
        <v>3275</v>
      </c>
      <c r="BP5" s="1" t="s">
        <v>3276</v>
      </c>
      <c r="BQ5" s="1" t="s">
        <v>3277</v>
      </c>
      <c r="BR5" s="1" t="s">
        <v>3278</v>
      </c>
      <c r="BS5" s="1" t="s">
        <v>3279</v>
      </c>
      <c r="BT5" s="1" t="s">
        <v>3280</v>
      </c>
      <c r="BU5" s="1" t="s">
        <v>3281</v>
      </c>
      <c r="BV5" s="1" t="s">
        <v>3282</v>
      </c>
      <c r="BW5" s="1" t="s">
        <v>3283</v>
      </c>
      <c r="BX5" s="1" t="s">
        <v>3284</v>
      </c>
      <c r="BY5" s="1" t="s">
        <v>3285</v>
      </c>
      <c r="BZ5" s="1" t="s">
        <v>3286</v>
      </c>
      <c r="CA5" s="1" t="s">
        <v>3287</v>
      </c>
      <c r="CB5" s="1" t="s">
        <v>3288</v>
      </c>
      <c r="CC5" s="1" t="s">
        <v>3289</v>
      </c>
      <c r="CD5" s="1" t="s">
        <v>3290</v>
      </c>
      <c r="CE5" s="1" t="s">
        <v>3291</v>
      </c>
      <c r="CF5" s="1" t="s">
        <v>3292</v>
      </c>
      <c r="CG5" s="1" t="s">
        <v>3293</v>
      </c>
      <c r="CH5" s="1" t="s">
        <v>3294</v>
      </c>
      <c r="CI5" s="1" t="s">
        <v>3295</v>
      </c>
      <c r="CJ5" s="1" t="s">
        <v>3296</v>
      </c>
      <c r="CK5" s="1" t="s">
        <v>3297</v>
      </c>
      <c r="CL5" s="1" t="s">
        <v>3298</v>
      </c>
      <c r="CM5" s="1" t="s">
        <v>3299</v>
      </c>
      <c r="CN5" s="1" t="s">
        <v>3300</v>
      </c>
      <c r="CO5" s="1" t="s">
        <v>3301</v>
      </c>
      <c r="CP5" s="1" t="s">
        <v>3302</v>
      </c>
      <c r="CQ5" s="1" t="s">
        <v>3303</v>
      </c>
      <c r="CR5" s="1" t="s">
        <v>3304</v>
      </c>
      <c r="CS5" s="1" t="s">
        <v>3305</v>
      </c>
      <c r="CT5" s="1" t="s">
        <v>3306</v>
      </c>
      <c r="CU5" s="1" t="s">
        <v>3307</v>
      </c>
      <c r="CV5" s="1" t="s">
        <v>3308</v>
      </c>
      <c r="CW5" s="1" t="s">
        <v>3309</v>
      </c>
      <c r="CX5" s="1" t="s">
        <v>3310</v>
      </c>
      <c r="CY5" s="1" t="s">
        <v>3311</v>
      </c>
      <c r="CZ5" s="1" t="s">
        <v>3312</v>
      </c>
      <c r="DA5" s="1" t="s">
        <v>3313</v>
      </c>
      <c r="DB5" s="1" t="s">
        <v>3314</v>
      </c>
      <c r="DC5" s="1" t="s">
        <v>3315</v>
      </c>
      <c r="DD5" s="1" t="s">
        <v>3316</v>
      </c>
      <c r="DE5" s="1" t="s">
        <v>3317</v>
      </c>
      <c r="DF5" s="1" t="s">
        <v>3318</v>
      </c>
      <c r="DG5" s="1" t="s">
        <v>3319</v>
      </c>
      <c r="DH5" s="1" t="s">
        <v>3320</v>
      </c>
      <c r="DI5" s="1" t="s">
        <v>3321</v>
      </c>
      <c r="DJ5" s="1" t="s">
        <v>3322</v>
      </c>
      <c r="DK5" s="1" t="s">
        <v>3323</v>
      </c>
      <c r="DL5" s="1" t="s">
        <v>3324</v>
      </c>
      <c r="DM5" s="1" t="s">
        <v>3325</v>
      </c>
      <c r="DN5" s="1" t="s">
        <v>3326</v>
      </c>
      <c r="DO5" s="1" t="s">
        <v>3327</v>
      </c>
      <c r="DP5" s="1" t="s">
        <v>3328</v>
      </c>
      <c r="DQ5" s="1" t="s">
        <v>3329</v>
      </c>
      <c r="DR5" s="1" t="s">
        <v>3330</v>
      </c>
      <c r="DS5" s="1" t="s">
        <v>3331</v>
      </c>
      <c r="DT5" s="1" t="s">
        <v>3332</v>
      </c>
      <c r="DU5" s="1" t="s">
        <v>3333</v>
      </c>
      <c r="DV5" s="1" t="s">
        <v>3334</v>
      </c>
      <c r="DW5" s="1" t="s">
        <v>3335</v>
      </c>
      <c r="DX5" s="1" t="s">
        <v>3336</v>
      </c>
      <c r="DY5" s="1" t="s">
        <v>3337</v>
      </c>
      <c r="DZ5" s="1" t="s">
        <v>3338</v>
      </c>
      <c r="EA5" s="1" t="s">
        <v>3339</v>
      </c>
      <c r="EB5" s="1" t="s">
        <v>3340</v>
      </c>
      <c r="EC5" s="1" t="s">
        <v>3341</v>
      </c>
      <c r="ED5" s="1" t="s">
        <v>3342</v>
      </c>
      <c r="EE5" s="1" t="s">
        <v>3343</v>
      </c>
      <c r="EF5" s="1" t="s">
        <v>3344</v>
      </c>
      <c r="EG5" s="1" t="s">
        <v>3345</v>
      </c>
      <c r="EH5" s="1" t="s">
        <v>3346</v>
      </c>
      <c r="EI5" s="1" t="s">
        <v>3347</v>
      </c>
      <c r="EJ5" s="1" t="s">
        <v>3348</v>
      </c>
      <c r="EK5" s="1" t="s">
        <v>3349</v>
      </c>
      <c r="EL5" s="1" t="s">
        <v>3350</v>
      </c>
      <c r="EM5" s="1" t="s">
        <v>3351</v>
      </c>
      <c r="EN5" s="1" t="s">
        <v>3352</v>
      </c>
      <c r="EO5" s="1" t="s">
        <v>3353</v>
      </c>
      <c r="EP5" s="1" t="s">
        <v>3354</v>
      </c>
      <c r="EQ5" s="1" t="s">
        <v>3355</v>
      </c>
      <c r="ER5" s="1" t="s">
        <v>3356</v>
      </c>
      <c r="ES5" s="1" t="s">
        <v>3357</v>
      </c>
      <c r="ET5" s="1" t="s">
        <v>3358</v>
      </c>
      <c r="EU5" s="1" t="s">
        <v>3359</v>
      </c>
      <c r="EV5" s="1" t="s">
        <v>3360</v>
      </c>
      <c r="EW5" s="1" t="s">
        <v>3361</v>
      </c>
      <c r="EX5" s="1" t="s">
        <v>3362</v>
      </c>
      <c r="EY5" s="1" t="s">
        <v>3363</v>
      </c>
      <c r="EZ5" s="1" t="s">
        <v>3364</v>
      </c>
      <c r="FA5" s="1" t="s">
        <v>3365</v>
      </c>
      <c r="FB5" s="1" t="s">
        <v>3366</v>
      </c>
      <c r="FC5" s="1" t="s">
        <v>3367</v>
      </c>
      <c r="FD5" s="1" t="s">
        <v>3368</v>
      </c>
      <c r="FE5" s="1" t="s">
        <v>3369</v>
      </c>
      <c r="FF5" s="1" t="s">
        <v>3370</v>
      </c>
      <c r="FG5" s="1" t="s">
        <v>3371</v>
      </c>
      <c r="FH5" s="1" t="s">
        <v>3372</v>
      </c>
      <c r="FI5" s="1" t="s">
        <v>3373</v>
      </c>
      <c r="FJ5" s="1" t="s">
        <v>3374</v>
      </c>
      <c r="FK5" s="1" t="s">
        <v>3375</v>
      </c>
      <c r="FL5" s="1" t="s">
        <v>3376</v>
      </c>
      <c r="FM5" s="1" t="s">
        <v>3377</v>
      </c>
      <c r="FN5" s="1" t="s">
        <v>3378</v>
      </c>
      <c r="FO5" s="1" t="s">
        <v>3379</v>
      </c>
      <c r="FP5" s="1" t="s">
        <v>3380</v>
      </c>
      <c r="FQ5" s="1" t="s">
        <v>3381</v>
      </c>
      <c r="FR5" s="1" t="s">
        <v>3382</v>
      </c>
      <c r="FS5" s="1" t="s">
        <v>3383</v>
      </c>
      <c r="FT5" s="1" t="s">
        <v>3384</v>
      </c>
      <c r="FU5" s="1" t="s">
        <v>3385</v>
      </c>
      <c r="FV5" s="1" t="s">
        <v>3386</v>
      </c>
      <c r="FW5" s="1" t="s">
        <v>3387</v>
      </c>
      <c r="FX5" s="1" t="s">
        <v>3388</v>
      </c>
      <c r="FY5" s="1" t="s">
        <v>3389</v>
      </c>
      <c r="FZ5" s="1" t="s">
        <v>3390</v>
      </c>
      <c r="GA5" s="1" t="s">
        <v>3391</v>
      </c>
      <c r="GB5" s="1" t="s">
        <v>3392</v>
      </c>
      <c r="GC5" s="1" t="s">
        <v>3393</v>
      </c>
      <c r="GD5" s="1" t="s">
        <v>3394</v>
      </c>
      <c r="GE5" s="1" t="s">
        <v>3395</v>
      </c>
      <c r="GF5" s="1" t="s">
        <v>3396</v>
      </c>
      <c r="GG5" s="1" t="s">
        <v>3397</v>
      </c>
      <c r="GH5" s="1" t="s">
        <v>3398</v>
      </c>
      <c r="GI5" s="1" t="s">
        <v>3399</v>
      </c>
      <c r="GJ5" s="1" t="s">
        <v>3400</v>
      </c>
      <c r="GK5" s="1" t="s">
        <v>3401</v>
      </c>
      <c r="GL5" s="1" t="s">
        <v>3402</v>
      </c>
      <c r="GM5" s="1" t="s">
        <v>3403</v>
      </c>
      <c r="GN5" s="1" t="s">
        <v>3404</v>
      </c>
      <c r="GO5" s="1" t="s">
        <v>3405</v>
      </c>
      <c r="GP5" s="1" t="s">
        <v>3406</v>
      </c>
      <c r="GQ5" s="1" t="s">
        <v>3407</v>
      </c>
      <c r="GR5" s="1" t="s">
        <v>3408</v>
      </c>
      <c r="GS5" s="1" t="s">
        <v>3409</v>
      </c>
      <c r="GT5" s="1" t="s">
        <v>3410</v>
      </c>
      <c r="GU5" s="1" t="s">
        <v>3411</v>
      </c>
      <c r="GV5" s="1" t="s">
        <v>3412</v>
      </c>
      <c r="GW5" s="1" t="s">
        <v>3413</v>
      </c>
      <c r="GX5" s="1" t="s">
        <v>3414</v>
      </c>
      <c r="GY5" s="1" t="s">
        <v>3415</v>
      </c>
      <c r="GZ5" s="1" t="s">
        <v>3416</v>
      </c>
      <c r="HA5" s="1" t="s">
        <v>3417</v>
      </c>
      <c r="HB5" s="1" t="s">
        <v>3418</v>
      </c>
      <c r="HC5" s="1" t="s">
        <v>3419</v>
      </c>
      <c r="HD5" s="1" t="s">
        <v>3420</v>
      </c>
      <c r="HE5" s="1" t="s">
        <v>3421</v>
      </c>
      <c r="HF5" s="1" t="s">
        <v>3422</v>
      </c>
      <c r="HG5" s="1" t="s">
        <v>3423</v>
      </c>
      <c r="HH5" s="1" t="s">
        <v>3424</v>
      </c>
      <c r="HI5" s="1" t="s">
        <v>3425</v>
      </c>
      <c r="HJ5" s="1" t="s">
        <v>3426</v>
      </c>
      <c r="HK5" s="1" t="s">
        <v>3427</v>
      </c>
      <c r="HL5" s="1" t="s">
        <v>3428</v>
      </c>
      <c r="HM5" s="1" t="s">
        <v>3429</v>
      </c>
      <c r="HN5" s="1" t="s">
        <v>3430</v>
      </c>
      <c r="HO5" s="1" t="s">
        <v>3431</v>
      </c>
      <c r="HP5" s="1" t="s">
        <v>3432</v>
      </c>
      <c r="HQ5" s="1" t="s">
        <v>3433</v>
      </c>
      <c r="HR5" s="1" t="s">
        <v>3434</v>
      </c>
      <c r="HS5" s="1" t="s">
        <v>3435</v>
      </c>
      <c r="HT5" s="1" t="s">
        <v>3436</v>
      </c>
      <c r="HU5" s="1" t="s">
        <v>3437</v>
      </c>
      <c r="HV5" s="1" t="s">
        <v>3438</v>
      </c>
      <c r="HW5" s="1" t="s">
        <v>3439</v>
      </c>
      <c r="HX5" s="1" t="s">
        <v>3440</v>
      </c>
      <c r="HY5" s="1" t="s">
        <v>3441</v>
      </c>
      <c r="HZ5" s="1" t="s">
        <v>3442</v>
      </c>
      <c r="IA5" s="1" t="s">
        <v>3443</v>
      </c>
      <c r="IB5" s="1" t="s">
        <v>3444</v>
      </c>
      <c r="IC5" s="1" t="s">
        <v>3445</v>
      </c>
      <c r="ID5" s="1" t="s">
        <v>3446</v>
      </c>
      <c r="IE5" s="1" t="s">
        <v>3447</v>
      </c>
      <c r="IF5" s="1" t="s">
        <v>3448</v>
      </c>
      <c r="IG5" s="1" t="s">
        <v>3449</v>
      </c>
      <c r="IH5" s="1" t="s">
        <v>3450</v>
      </c>
      <c r="II5" s="1" t="s">
        <v>3451</v>
      </c>
      <c r="IJ5" s="1" t="s">
        <v>3452</v>
      </c>
      <c r="IK5" s="1" t="s">
        <v>3453</v>
      </c>
      <c r="IL5" s="1" t="s">
        <v>3454</v>
      </c>
      <c r="IM5" s="1" t="s">
        <v>3455</v>
      </c>
      <c r="IN5" s="1" t="s">
        <v>3456</v>
      </c>
      <c r="IO5" s="1" t="s">
        <v>3457</v>
      </c>
      <c r="IP5" s="1" t="s">
        <v>3458</v>
      </c>
      <c r="IQ5" s="1" t="s">
        <v>3459</v>
      </c>
      <c r="IR5" s="1" t="s">
        <v>3460</v>
      </c>
      <c r="IS5" s="1" t="s">
        <v>3461</v>
      </c>
      <c r="IT5" s="1" t="s">
        <v>3462</v>
      </c>
      <c r="IU5" s="1" t="s">
        <v>3463</v>
      </c>
      <c r="IV5" s="1" t="s">
        <v>3464</v>
      </c>
      <c r="IW5" s="1" t="s">
        <v>3465</v>
      </c>
      <c r="IX5" s="1" t="s">
        <v>3466</v>
      </c>
      <c r="IY5" s="1" t="s">
        <v>3467</v>
      </c>
      <c r="IZ5" s="1" t="s">
        <v>3468</v>
      </c>
      <c r="JA5" s="1" t="s">
        <v>3469</v>
      </c>
      <c r="JB5" s="1" t="s">
        <v>3470</v>
      </c>
      <c r="JC5" s="1" t="s">
        <v>3471</v>
      </c>
      <c r="JD5" s="1" t="s">
        <v>3472</v>
      </c>
      <c r="JE5" s="1" t="s">
        <v>3473</v>
      </c>
      <c r="JF5" s="1" t="s">
        <v>3474</v>
      </c>
      <c r="JG5" s="1" t="s">
        <v>3475</v>
      </c>
      <c r="JH5" s="1" t="s">
        <v>3476</v>
      </c>
      <c r="JI5" s="1" t="s">
        <v>3477</v>
      </c>
      <c r="JJ5" s="1" t="s">
        <v>3478</v>
      </c>
      <c r="JK5" s="1" t="s">
        <v>3479</v>
      </c>
      <c r="JL5" s="1" t="s">
        <v>3480</v>
      </c>
      <c r="JM5" s="1" t="s">
        <v>3481</v>
      </c>
      <c r="JN5" s="1" t="s">
        <v>3482</v>
      </c>
      <c r="JO5" s="1" t="s">
        <v>3483</v>
      </c>
      <c r="JP5" s="1" t="s">
        <v>3484</v>
      </c>
      <c r="JQ5" s="1" t="s">
        <v>3485</v>
      </c>
      <c r="JR5" s="1" t="s">
        <v>3486</v>
      </c>
      <c r="JS5" s="1" t="s">
        <v>3487</v>
      </c>
      <c r="JT5" s="1" t="s">
        <v>3488</v>
      </c>
      <c r="JU5" s="1" t="s">
        <v>3489</v>
      </c>
      <c r="JV5" s="1" t="s">
        <v>3490</v>
      </c>
      <c r="JW5" s="1" t="s">
        <v>3491</v>
      </c>
      <c r="JX5" s="1" t="s">
        <v>3492</v>
      </c>
      <c r="JY5" s="1" t="s">
        <v>3493</v>
      </c>
      <c r="JZ5" s="1" t="s">
        <v>3494</v>
      </c>
      <c r="KA5" s="1" t="s">
        <v>3495</v>
      </c>
      <c r="KB5" s="1" t="s">
        <v>3496</v>
      </c>
      <c r="KC5" s="1" t="s">
        <v>3497</v>
      </c>
      <c r="KD5" s="1" t="s">
        <v>3498</v>
      </c>
      <c r="KE5" s="1" t="s">
        <v>3499</v>
      </c>
      <c r="KF5" s="1" t="s">
        <v>3500</v>
      </c>
      <c r="KG5" s="1" t="s">
        <v>3501</v>
      </c>
      <c r="KH5" s="1" t="s">
        <v>3502</v>
      </c>
      <c r="KI5" s="1" t="s">
        <v>3503</v>
      </c>
      <c r="KJ5" s="1" t="s">
        <v>3504</v>
      </c>
      <c r="KK5" s="1" t="s">
        <v>3505</v>
      </c>
      <c r="KL5" s="1" t="s">
        <v>3506</v>
      </c>
      <c r="KM5" s="1" t="s">
        <v>3507</v>
      </c>
      <c r="KN5" s="1" t="s">
        <v>3508</v>
      </c>
      <c r="KO5" s="1" t="s">
        <v>3509</v>
      </c>
      <c r="KP5" s="1" t="s">
        <v>3510</v>
      </c>
      <c r="KQ5" s="1" t="s">
        <v>3511</v>
      </c>
      <c r="KR5" s="1" t="s">
        <v>3512</v>
      </c>
      <c r="KS5" s="1" t="s">
        <v>3513</v>
      </c>
      <c r="KT5" s="1" t="s">
        <v>3514</v>
      </c>
      <c r="KU5" s="1" t="s">
        <v>3515</v>
      </c>
      <c r="KV5" s="1" t="s">
        <v>3516</v>
      </c>
      <c r="KW5" s="1" t="s">
        <v>3517</v>
      </c>
      <c r="KX5" s="1" t="s">
        <v>3518</v>
      </c>
      <c r="KY5" s="1" t="s">
        <v>3519</v>
      </c>
      <c r="KZ5" s="1" t="s">
        <v>3520</v>
      </c>
      <c r="LA5" s="1" t="s">
        <v>3521</v>
      </c>
      <c r="LB5" s="1" t="s">
        <v>3522</v>
      </c>
      <c r="LC5" s="1" t="s">
        <v>3523</v>
      </c>
      <c r="LD5" s="1" t="s">
        <v>3524</v>
      </c>
      <c r="LE5" s="1" t="s">
        <v>3525</v>
      </c>
      <c r="LF5" s="1" t="s">
        <v>3526</v>
      </c>
      <c r="LG5" s="1" t="s">
        <v>3527</v>
      </c>
      <c r="LH5" s="1" t="s">
        <v>3528</v>
      </c>
      <c r="LI5" s="1" t="s">
        <v>3529</v>
      </c>
      <c r="LJ5" s="1" t="s">
        <v>3530</v>
      </c>
      <c r="LK5" s="1" t="s">
        <v>3531</v>
      </c>
      <c r="LL5" s="1" t="s">
        <v>3532</v>
      </c>
      <c r="LM5" s="1" t="s">
        <v>3533</v>
      </c>
      <c r="LN5" s="1" t="s">
        <v>3534</v>
      </c>
      <c r="LO5" s="1" t="s">
        <v>3535</v>
      </c>
      <c r="LP5" s="1" t="s">
        <v>3536</v>
      </c>
      <c r="LQ5" s="1" t="s">
        <v>3537</v>
      </c>
      <c r="LR5" s="1" t="s">
        <v>3538</v>
      </c>
      <c r="LS5" s="1" t="s">
        <v>3539</v>
      </c>
      <c r="LT5" s="1" t="s">
        <v>3540</v>
      </c>
      <c r="LU5" s="1" t="s">
        <v>3541</v>
      </c>
      <c r="LV5" s="1" t="s">
        <v>3542</v>
      </c>
      <c r="LW5" s="1" t="s">
        <v>3543</v>
      </c>
      <c r="LX5" s="1" t="s">
        <v>3544</v>
      </c>
      <c r="LY5" s="1" t="s">
        <v>3545</v>
      </c>
      <c r="LZ5" s="1" t="s">
        <v>3546</v>
      </c>
      <c r="MA5" s="1" t="s">
        <v>3547</v>
      </c>
      <c r="MB5" s="1" t="s">
        <v>3548</v>
      </c>
      <c r="MC5" s="1" t="s">
        <v>3549</v>
      </c>
      <c r="MD5" s="1" t="s">
        <v>3550</v>
      </c>
      <c r="ME5" s="1" t="s">
        <v>3551</v>
      </c>
      <c r="MF5" s="1" t="s">
        <v>3552</v>
      </c>
      <c r="MG5" s="1" t="s">
        <v>3553</v>
      </c>
      <c r="MH5" s="1" t="s">
        <v>3554</v>
      </c>
      <c r="MI5" s="1" t="s">
        <v>3555</v>
      </c>
      <c r="MJ5" s="1" t="s">
        <v>3556</v>
      </c>
      <c r="MK5" s="1" t="s">
        <v>3557</v>
      </c>
      <c r="ML5" s="1" t="s">
        <v>3558</v>
      </c>
      <c r="MM5" s="1" t="s">
        <v>3559</v>
      </c>
      <c r="MN5" s="1" t="s">
        <v>3560</v>
      </c>
      <c r="MO5" s="1" t="s">
        <v>3561</v>
      </c>
      <c r="MP5" s="1" t="s">
        <v>3562</v>
      </c>
      <c r="MQ5" s="1" t="s">
        <v>3563</v>
      </c>
      <c r="MR5" s="1" t="s">
        <v>3564</v>
      </c>
      <c r="MS5" s="1" t="s">
        <v>3565</v>
      </c>
      <c r="MT5" s="1" t="s">
        <v>3566</v>
      </c>
      <c r="MU5" s="1" t="s">
        <v>3567</v>
      </c>
      <c r="MV5" s="1" t="s">
        <v>3568</v>
      </c>
      <c r="MW5" s="1" t="s">
        <v>3569</v>
      </c>
      <c r="MX5" s="1" t="s">
        <v>3570</v>
      </c>
      <c r="MY5" s="1" t="s">
        <v>3571</v>
      </c>
      <c r="MZ5" s="1" t="s">
        <v>3572</v>
      </c>
      <c r="NA5" s="1" t="s">
        <v>3573</v>
      </c>
      <c r="NB5" s="1" t="s">
        <v>3574</v>
      </c>
      <c r="NC5" s="1" t="s">
        <v>3575</v>
      </c>
      <c r="ND5" s="1" t="s">
        <v>3576</v>
      </c>
      <c r="NE5" s="1" t="s">
        <v>3577</v>
      </c>
      <c r="NF5" s="1" t="s">
        <v>3578</v>
      </c>
      <c r="NG5" s="1" t="s">
        <v>3579</v>
      </c>
      <c r="NH5" s="1" t="s">
        <v>3580</v>
      </c>
      <c r="NI5" s="1" t="s">
        <v>3581</v>
      </c>
      <c r="NJ5" s="1" t="s">
        <v>3582</v>
      </c>
      <c r="NK5" s="1" t="s">
        <v>3583</v>
      </c>
      <c r="NL5" s="1" t="s">
        <v>3584</v>
      </c>
      <c r="NM5" s="1" t="s">
        <v>3585</v>
      </c>
      <c r="NN5" s="1" t="s">
        <v>3586</v>
      </c>
      <c r="NO5" s="1" t="s">
        <v>3587</v>
      </c>
      <c r="NP5" s="1" t="s">
        <v>3588</v>
      </c>
      <c r="NQ5" s="1" t="s">
        <v>3589</v>
      </c>
      <c r="NR5" s="1" t="s">
        <v>3590</v>
      </c>
      <c r="NS5" s="1" t="s">
        <v>3591</v>
      </c>
      <c r="NT5" s="1" t="s">
        <v>3592</v>
      </c>
      <c r="NU5" s="1" t="s">
        <v>3593</v>
      </c>
      <c r="NV5" s="1" t="s">
        <v>3594</v>
      </c>
      <c r="NW5" s="1" t="s">
        <v>3595</v>
      </c>
      <c r="NX5" s="1" t="s">
        <v>3596</v>
      </c>
      <c r="NY5" s="1" t="s">
        <v>3597</v>
      </c>
      <c r="NZ5" s="1" t="s">
        <v>3598</v>
      </c>
      <c r="OA5" s="1" t="s">
        <v>3599</v>
      </c>
      <c r="OB5" s="1" t="s">
        <v>3600</v>
      </c>
      <c r="OC5" s="1" t="s">
        <v>3601</v>
      </c>
      <c r="OD5" s="1" t="s">
        <v>3602</v>
      </c>
      <c r="OE5" s="1" t="s">
        <v>3603</v>
      </c>
      <c r="OF5" s="1" t="s">
        <v>3604</v>
      </c>
      <c r="OG5" s="1" t="s">
        <v>3605</v>
      </c>
      <c r="OH5" s="1" t="s">
        <v>3606</v>
      </c>
      <c r="OI5" s="1" t="s">
        <v>3607</v>
      </c>
      <c r="OJ5" s="1" t="s">
        <v>3608</v>
      </c>
      <c r="OK5" s="1" t="s">
        <v>3609</v>
      </c>
      <c r="OL5" s="1" t="s">
        <v>3610</v>
      </c>
      <c r="OM5" s="1" t="s">
        <v>3611</v>
      </c>
      <c r="ON5" s="1" t="s">
        <v>3612</v>
      </c>
      <c r="OO5" s="1" t="s">
        <v>3613</v>
      </c>
      <c r="OP5" s="1" t="s">
        <v>3614</v>
      </c>
      <c r="OQ5" s="1" t="s">
        <v>3615</v>
      </c>
      <c r="OR5" s="1" t="s">
        <v>3616</v>
      </c>
      <c r="OS5" s="1" t="s">
        <v>3617</v>
      </c>
      <c r="OT5" s="1" t="s">
        <v>3618</v>
      </c>
      <c r="OU5" s="1" t="s">
        <v>3619</v>
      </c>
      <c r="OV5" s="1" t="s">
        <v>3620</v>
      </c>
      <c r="OW5" s="1" t="s">
        <v>3621</v>
      </c>
      <c r="OX5" s="1" t="s">
        <v>3622</v>
      </c>
      <c r="OY5" s="1" t="s">
        <v>3623</v>
      </c>
      <c r="OZ5" s="1" t="s">
        <v>3624</v>
      </c>
      <c r="PA5" s="1" t="s">
        <v>3625</v>
      </c>
      <c r="PB5" s="1" t="s">
        <v>3626</v>
      </c>
      <c r="PC5" s="1" t="s">
        <v>3627</v>
      </c>
      <c r="PD5" s="1" t="s">
        <v>3628</v>
      </c>
      <c r="PE5" s="1" t="s">
        <v>3629</v>
      </c>
      <c r="PF5" s="1" t="s">
        <v>3630</v>
      </c>
      <c r="PG5" s="1" t="s">
        <v>3631</v>
      </c>
      <c r="PH5" s="1" t="s">
        <v>3632</v>
      </c>
      <c r="PI5" s="1" t="s">
        <v>3633</v>
      </c>
      <c r="PJ5" s="1" t="s">
        <v>3634</v>
      </c>
      <c r="PK5" s="1" t="s">
        <v>3635</v>
      </c>
      <c r="PL5" s="1" t="s">
        <v>3636</v>
      </c>
      <c r="PM5" s="1" t="s">
        <v>3637</v>
      </c>
      <c r="PN5" s="1" t="s">
        <v>3638</v>
      </c>
      <c r="PO5" s="1" t="s">
        <v>3639</v>
      </c>
      <c r="PP5" s="1" t="s">
        <v>3640</v>
      </c>
      <c r="PQ5" s="1" t="s">
        <v>3641</v>
      </c>
      <c r="PR5" s="1" t="s">
        <v>3642</v>
      </c>
      <c r="PS5" s="1" t="s">
        <v>3643</v>
      </c>
      <c r="PT5" s="1" t="s">
        <v>3644</v>
      </c>
      <c r="PU5" s="1" t="s">
        <v>3645</v>
      </c>
      <c r="PV5" s="1" t="s">
        <v>3646</v>
      </c>
      <c r="PW5" s="1" t="s">
        <v>3647</v>
      </c>
      <c r="PX5" s="1" t="s">
        <v>3648</v>
      </c>
      <c r="PY5" s="1" t="s">
        <v>3649</v>
      </c>
      <c r="PZ5" s="1" t="s">
        <v>3650</v>
      </c>
      <c r="QA5" s="1" t="s">
        <v>3651</v>
      </c>
      <c r="QB5" s="1" t="s">
        <v>3652</v>
      </c>
      <c r="QC5" s="1" t="s">
        <v>3653</v>
      </c>
      <c r="QD5" s="1" t="s">
        <v>3654</v>
      </c>
      <c r="QE5" s="1" t="s">
        <v>3655</v>
      </c>
      <c r="QF5" s="1" t="s">
        <v>3656</v>
      </c>
      <c r="QG5" s="1" t="s">
        <v>3657</v>
      </c>
      <c r="QH5" s="1" t="s">
        <v>3658</v>
      </c>
      <c r="QI5" s="1" t="s">
        <v>3659</v>
      </c>
      <c r="QJ5" s="1" t="s">
        <v>3660</v>
      </c>
      <c r="QK5" s="1" t="s">
        <v>3661</v>
      </c>
      <c r="QL5" s="1" t="s">
        <v>3662</v>
      </c>
      <c r="QM5" s="1" t="s">
        <v>3663</v>
      </c>
      <c r="QN5" s="1" t="s">
        <v>3664</v>
      </c>
      <c r="QO5" s="1" t="s">
        <v>3665</v>
      </c>
      <c r="QP5" s="1" t="s">
        <v>3666</v>
      </c>
      <c r="QQ5" s="1" t="s">
        <v>3667</v>
      </c>
      <c r="QR5" s="1" t="s">
        <v>3668</v>
      </c>
      <c r="QS5" s="1" t="s">
        <v>3669</v>
      </c>
      <c r="QT5" s="1" t="s">
        <v>3670</v>
      </c>
      <c r="QU5" s="1" t="s">
        <v>3671</v>
      </c>
      <c r="QV5" s="1" t="s">
        <v>3672</v>
      </c>
      <c r="QW5" s="1" t="s">
        <v>3673</v>
      </c>
      <c r="QX5" s="1" t="s">
        <v>3674</v>
      </c>
      <c r="QY5" s="1" t="s">
        <v>3675</v>
      </c>
      <c r="QZ5" s="1" t="s">
        <v>3676</v>
      </c>
      <c r="RA5" s="1" t="s">
        <v>3677</v>
      </c>
      <c r="RB5" s="1" t="s">
        <v>3678</v>
      </c>
      <c r="RC5" s="1" t="s">
        <v>3679</v>
      </c>
      <c r="RD5" s="1" t="s">
        <v>3680</v>
      </c>
      <c r="RE5" s="1" t="s">
        <v>3681</v>
      </c>
      <c r="RF5" s="1" t="s">
        <v>3682</v>
      </c>
      <c r="RG5" s="1" t="s">
        <v>3683</v>
      </c>
      <c r="RH5" s="1" t="s">
        <v>3684</v>
      </c>
      <c r="RI5" s="1" t="s">
        <v>3685</v>
      </c>
      <c r="RJ5" s="1" t="s">
        <v>3686</v>
      </c>
      <c r="RK5" s="1" t="s">
        <v>3687</v>
      </c>
      <c r="RL5" s="1" t="s">
        <v>3688</v>
      </c>
      <c r="RM5" s="1" t="s">
        <v>3689</v>
      </c>
      <c r="RN5" s="1" t="s">
        <v>3690</v>
      </c>
      <c r="RO5" s="1" t="s">
        <v>3691</v>
      </c>
      <c r="RP5" s="1" t="s">
        <v>3692</v>
      </c>
      <c r="RQ5" s="1" t="s">
        <v>3693</v>
      </c>
      <c r="RR5" s="1" t="s">
        <v>3694</v>
      </c>
      <c r="RS5" s="1" t="s">
        <v>3695</v>
      </c>
      <c r="RT5" s="1" t="s">
        <v>3696</v>
      </c>
      <c r="RU5" s="1" t="s">
        <v>3697</v>
      </c>
      <c r="RV5" s="1" t="s">
        <v>3698</v>
      </c>
      <c r="RW5" s="1" t="s">
        <v>3699</v>
      </c>
      <c r="RX5" s="1" t="s">
        <v>3700</v>
      </c>
      <c r="RY5" s="1" t="s">
        <v>3701</v>
      </c>
      <c r="RZ5" s="1" t="s">
        <v>3702</v>
      </c>
      <c r="SA5" s="1" t="s">
        <v>3703</v>
      </c>
      <c r="SB5" s="1" t="s">
        <v>3704</v>
      </c>
      <c r="SC5" s="1" t="s">
        <v>3705</v>
      </c>
      <c r="SD5" s="1" t="s">
        <v>3706</v>
      </c>
      <c r="SE5" s="1" t="s">
        <v>3707</v>
      </c>
      <c r="SF5" s="1" t="s">
        <v>3708</v>
      </c>
      <c r="SG5" s="1" t="s">
        <v>3709</v>
      </c>
      <c r="SH5" s="1" t="s">
        <v>3710</v>
      </c>
      <c r="SI5" s="1" t="s">
        <v>3711</v>
      </c>
      <c r="SJ5" s="1" t="s">
        <v>3712</v>
      </c>
      <c r="SK5" s="1" t="s">
        <v>3713</v>
      </c>
      <c r="SL5" s="1" t="s">
        <v>3714</v>
      </c>
      <c r="SM5" s="1" t="s">
        <v>3715</v>
      </c>
      <c r="SN5" s="1" t="s">
        <v>3716</v>
      </c>
      <c r="SO5" s="1" t="s">
        <v>3717</v>
      </c>
      <c r="SP5" s="1" t="s">
        <v>3718</v>
      </c>
      <c r="SQ5" s="1" t="s">
        <v>3719</v>
      </c>
      <c r="SR5" s="1" t="s">
        <v>3720</v>
      </c>
      <c r="SS5" s="1" t="s">
        <v>3721</v>
      </c>
      <c r="ST5" s="1" t="s">
        <v>3722</v>
      </c>
      <c r="SU5" s="1" t="s">
        <v>3723</v>
      </c>
      <c r="SV5" s="1" t="s">
        <v>3724</v>
      </c>
      <c r="SW5" s="1" t="s">
        <v>3725</v>
      </c>
      <c r="SX5" s="1" t="s">
        <v>3726</v>
      </c>
      <c r="SY5" s="1" t="s">
        <v>3727</v>
      </c>
      <c r="SZ5" s="1" t="s">
        <v>3728</v>
      </c>
      <c r="TA5" s="1" t="s">
        <v>3729</v>
      </c>
      <c r="TB5" s="1" t="s">
        <v>3730</v>
      </c>
      <c r="TC5" s="1" t="s">
        <v>3731</v>
      </c>
      <c r="TD5" s="1" t="s">
        <v>3732</v>
      </c>
      <c r="TE5" s="1" t="s">
        <v>3733</v>
      </c>
      <c r="TF5" s="1" t="s">
        <v>3734</v>
      </c>
      <c r="TG5" s="1" t="s">
        <v>3735</v>
      </c>
      <c r="TH5" s="1" t="s">
        <v>3736</v>
      </c>
      <c r="TI5" s="1" t="s">
        <v>3737</v>
      </c>
      <c r="TJ5" s="1" t="s">
        <v>3738</v>
      </c>
      <c r="TK5" s="1" t="s">
        <v>3739</v>
      </c>
      <c r="TL5" s="1" t="s">
        <v>3740</v>
      </c>
      <c r="TM5" s="1" t="s">
        <v>3741</v>
      </c>
      <c r="TN5" s="1" t="s">
        <v>3742</v>
      </c>
      <c r="TO5" s="1" t="s">
        <v>3743</v>
      </c>
      <c r="TP5" s="1" t="s">
        <v>3744</v>
      </c>
      <c r="TQ5" s="1" t="s">
        <v>3745</v>
      </c>
      <c r="TR5" s="1" t="s">
        <v>3746</v>
      </c>
      <c r="TS5" s="1" t="s">
        <v>3747</v>
      </c>
      <c r="TT5" s="1" t="s">
        <v>3748</v>
      </c>
      <c r="TU5" s="1" t="s">
        <v>3749</v>
      </c>
      <c r="TV5" s="1" t="s">
        <v>3750</v>
      </c>
      <c r="TW5" s="1" t="s">
        <v>3751</v>
      </c>
      <c r="TX5" s="1" t="s">
        <v>3752</v>
      </c>
      <c r="TY5" s="1" t="s">
        <v>3753</v>
      </c>
      <c r="TZ5" s="1" t="s">
        <v>3754</v>
      </c>
      <c r="UA5" s="1" t="s">
        <v>3755</v>
      </c>
      <c r="UB5" s="1" t="s">
        <v>3756</v>
      </c>
      <c r="UC5" s="1" t="s">
        <v>3757</v>
      </c>
      <c r="UD5" s="1" t="s">
        <v>3758</v>
      </c>
      <c r="UE5" s="1" t="s">
        <v>3759</v>
      </c>
      <c r="UF5" s="1" t="s">
        <v>3760</v>
      </c>
      <c r="UG5" s="1" t="s">
        <v>3761</v>
      </c>
      <c r="UH5" s="1" t="s">
        <v>3762</v>
      </c>
      <c r="UI5" s="1" t="s">
        <v>3763</v>
      </c>
      <c r="UJ5" s="1" t="s">
        <v>3764</v>
      </c>
      <c r="UK5" s="1" t="s">
        <v>3765</v>
      </c>
      <c r="UL5" s="1" t="s">
        <v>3766</v>
      </c>
      <c r="UM5" s="1" t="s">
        <v>3767</v>
      </c>
      <c r="UN5" s="1" t="s">
        <v>3768</v>
      </c>
      <c r="UO5" s="1" t="s">
        <v>3769</v>
      </c>
      <c r="UP5" s="1" t="s">
        <v>3770</v>
      </c>
      <c r="UQ5" s="1" t="s">
        <v>3771</v>
      </c>
      <c r="UR5" s="1" t="s">
        <v>3772</v>
      </c>
      <c r="US5" s="1" t="s">
        <v>3773</v>
      </c>
      <c r="UT5" s="1" t="s">
        <v>3774</v>
      </c>
      <c r="UU5" s="1" t="s">
        <v>3775</v>
      </c>
      <c r="UV5" s="1" t="s">
        <v>3776</v>
      </c>
      <c r="UW5" s="1" t="s">
        <v>3777</v>
      </c>
      <c r="UX5" s="1" t="s">
        <v>3778</v>
      </c>
      <c r="UY5" s="1" t="s">
        <v>3779</v>
      </c>
      <c r="UZ5" s="1" t="s">
        <v>3780</v>
      </c>
      <c r="VA5" s="1" t="s">
        <v>3781</v>
      </c>
      <c r="VB5" s="1" t="s">
        <v>3782</v>
      </c>
      <c r="VC5" s="1" t="s">
        <v>3783</v>
      </c>
      <c r="VD5" s="1" t="s">
        <v>3784</v>
      </c>
      <c r="VE5" s="1" t="s">
        <v>3785</v>
      </c>
      <c r="VF5" s="1" t="s">
        <v>3786</v>
      </c>
      <c r="VG5" s="1" t="s">
        <v>3787</v>
      </c>
      <c r="VH5" s="1" t="s">
        <v>3788</v>
      </c>
      <c r="VI5" s="1" t="s">
        <v>3789</v>
      </c>
      <c r="VJ5" s="1" t="s">
        <v>3790</v>
      </c>
      <c r="VK5" s="1" t="s">
        <v>3791</v>
      </c>
      <c r="VL5" s="1" t="s">
        <v>3792</v>
      </c>
      <c r="VM5" s="1" t="s">
        <v>3793</v>
      </c>
      <c r="VN5" s="1" t="s">
        <v>3794</v>
      </c>
      <c r="VO5" s="1" t="s">
        <v>3795</v>
      </c>
      <c r="VP5" s="1" t="s">
        <v>3796</v>
      </c>
      <c r="VQ5" s="1" t="s">
        <v>3797</v>
      </c>
      <c r="VR5" s="1" t="s">
        <v>3798</v>
      </c>
      <c r="VS5" s="1" t="s">
        <v>3799</v>
      </c>
      <c r="VT5" s="1" t="s">
        <v>3800</v>
      </c>
      <c r="VU5" s="1" t="s">
        <v>3801</v>
      </c>
      <c r="VV5" s="1" t="s">
        <v>3802</v>
      </c>
      <c r="VW5" s="1" t="s">
        <v>3803</v>
      </c>
      <c r="VX5" s="1" t="s">
        <v>3804</v>
      </c>
      <c r="VY5" s="1" t="s">
        <v>3805</v>
      </c>
      <c r="VZ5" s="1" t="s">
        <v>3806</v>
      </c>
      <c r="WA5" s="1" t="s">
        <v>3807</v>
      </c>
      <c r="WB5" s="1" t="s">
        <v>3808</v>
      </c>
      <c r="WC5" s="1" t="s">
        <v>3809</v>
      </c>
      <c r="WD5" s="1" t="s">
        <v>3810</v>
      </c>
      <c r="WE5" s="1" t="s">
        <v>3811</v>
      </c>
      <c r="WF5" s="1" t="s">
        <v>3812</v>
      </c>
      <c r="WG5" s="1" t="s">
        <v>3813</v>
      </c>
      <c r="WH5" s="1" t="s">
        <v>3814</v>
      </c>
      <c r="WI5" s="1" t="s">
        <v>3815</v>
      </c>
      <c r="WJ5" s="1" t="s">
        <v>3816</v>
      </c>
      <c r="WK5" s="1" t="s">
        <v>3817</v>
      </c>
      <c r="WL5" s="1" t="s">
        <v>3818</v>
      </c>
      <c r="WM5" s="1" t="s">
        <v>3819</v>
      </c>
      <c r="WN5" s="1" t="s">
        <v>3820</v>
      </c>
      <c r="WO5" s="1" t="s">
        <v>3821</v>
      </c>
      <c r="WP5" s="1" t="s">
        <v>3822</v>
      </c>
      <c r="WQ5" s="1" t="s">
        <v>3823</v>
      </c>
      <c r="WR5" s="1" t="s">
        <v>3824</v>
      </c>
      <c r="WS5" s="1" t="s">
        <v>3825</v>
      </c>
      <c r="WT5" s="1" t="s">
        <v>3826</v>
      </c>
      <c r="WU5" s="1" t="s">
        <v>3827</v>
      </c>
      <c r="WV5" s="1" t="s">
        <v>3828</v>
      </c>
      <c r="WW5" s="1" t="s">
        <v>3829</v>
      </c>
      <c r="WX5" s="1" t="s">
        <v>3830</v>
      </c>
      <c r="WY5" s="1" t="s">
        <v>3831</v>
      </c>
      <c r="WZ5" s="1" t="s">
        <v>3832</v>
      </c>
      <c r="XA5" s="1" t="s">
        <v>3833</v>
      </c>
      <c r="XB5" s="1" t="s">
        <v>3834</v>
      </c>
      <c r="XC5" s="1" t="s">
        <v>3835</v>
      </c>
      <c r="XD5" s="1" t="s">
        <v>3836</v>
      </c>
      <c r="XE5" s="1" t="s">
        <v>3837</v>
      </c>
      <c r="XF5" s="1" t="s">
        <v>3838</v>
      </c>
      <c r="XG5" s="1" t="s">
        <v>3839</v>
      </c>
      <c r="XH5" s="1" t="s">
        <v>3840</v>
      </c>
      <c r="XI5" s="1" t="s">
        <v>3841</v>
      </c>
      <c r="XJ5" s="1" t="s">
        <v>3842</v>
      </c>
      <c r="XK5" s="1" t="s">
        <v>3843</v>
      </c>
      <c r="XL5" s="1" t="s">
        <v>3844</v>
      </c>
      <c r="XM5" s="1" t="s">
        <v>3845</v>
      </c>
      <c r="XN5" s="1" t="s">
        <v>3846</v>
      </c>
      <c r="XO5" s="1" t="s">
        <v>3847</v>
      </c>
      <c r="XP5" s="1" t="s">
        <v>3848</v>
      </c>
      <c r="XQ5" s="1" t="s">
        <v>3849</v>
      </c>
      <c r="XR5" s="1" t="s">
        <v>3850</v>
      </c>
      <c r="XS5" s="1" t="s">
        <v>3851</v>
      </c>
      <c r="XT5" s="1" t="s">
        <v>3852</v>
      </c>
      <c r="XU5" s="1" t="s">
        <v>3853</v>
      </c>
      <c r="XV5" s="1" t="s">
        <v>3854</v>
      </c>
      <c r="XW5" s="1" t="s">
        <v>3855</v>
      </c>
      <c r="XX5" s="1" t="s">
        <v>3856</v>
      </c>
      <c r="XY5" s="1" t="s">
        <v>3857</v>
      </c>
      <c r="XZ5" s="1" t="s">
        <v>3858</v>
      </c>
      <c r="YA5" s="1" t="s">
        <v>3859</v>
      </c>
      <c r="YB5" s="1" t="s">
        <v>3860</v>
      </c>
      <c r="YC5" s="1" t="s">
        <v>3861</v>
      </c>
      <c r="YD5" s="1" t="s">
        <v>3862</v>
      </c>
      <c r="YE5" s="1" t="s">
        <v>3863</v>
      </c>
      <c r="YF5" s="1" t="s">
        <v>3864</v>
      </c>
      <c r="YG5" s="1" t="s">
        <v>3865</v>
      </c>
      <c r="YH5" s="1" t="s">
        <v>3866</v>
      </c>
      <c r="YI5" s="1" t="s">
        <v>3867</v>
      </c>
      <c r="YJ5" s="1" t="s">
        <v>3868</v>
      </c>
      <c r="YK5" s="1" t="s">
        <v>3869</v>
      </c>
      <c r="YL5" s="1" t="s">
        <v>3870</v>
      </c>
      <c r="YM5" s="1" t="s">
        <v>3871</v>
      </c>
      <c r="YN5" s="1" t="s">
        <v>3872</v>
      </c>
      <c r="YO5" s="1" t="s">
        <v>3873</v>
      </c>
      <c r="YP5" s="1" t="s">
        <v>3874</v>
      </c>
      <c r="YQ5" s="1" t="s">
        <v>3875</v>
      </c>
      <c r="YR5" s="1" t="s">
        <v>3876</v>
      </c>
      <c r="YS5" s="1" t="s">
        <v>3877</v>
      </c>
      <c r="YT5" s="1" t="s">
        <v>3878</v>
      </c>
      <c r="YU5" s="1" t="s">
        <v>3879</v>
      </c>
      <c r="YV5" s="1" t="s">
        <v>3880</v>
      </c>
      <c r="YW5" s="1" t="s">
        <v>3881</v>
      </c>
      <c r="YX5" s="1" t="s">
        <v>3882</v>
      </c>
      <c r="YY5" s="1" t="s">
        <v>3883</v>
      </c>
      <c r="YZ5" s="1" t="s">
        <v>3884</v>
      </c>
      <c r="ZA5" s="1" t="s">
        <v>3885</v>
      </c>
      <c r="ZB5" s="1" t="s">
        <v>3886</v>
      </c>
      <c r="ZC5" s="1" t="s">
        <v>3887</v>
      </c>
      <c r="ZD5" s="1" t="s">
        <v>3888</v>
      </c>
      <c r="ZE5" s="1" t="s">
        <v>3889</v>
      </c>
      <c r="ZF5" s="1" t="s">
        <v>3890</v>
      </c>
      <c r="ZG5" s="1" t="s">
        <v>3891</v>
      </c>
      <c r="ZH5" s="1" t="s">
        <v>3892</v>
      </c>
      <c r="ZI5" s="1" t="s">
        <v>3893</v>
      </c>
      <c r="ZJ5" s="1" t="s">
        <v>3894</v>
      </c>
      <c r="ZK5" s="1" t="s">
        <v>3895</v>
      </c>
      <c r="ZL5" s="1" t="s">
        <v>3896</v>
      </c>
      <c r="ZM5" s="1" t="s">
        <v>3897</v>
      </c>
      <c r="ZN5" s="1" t="s">
        <v>3898</v>
      </c>
      <c r="ZO5" s="1" t="s">
        <v>3899</v>
      </c>
      <c r="ZP5" s="1" t="s">
        <v>3900</v>
      </c>
      <c r="ZQ5" s="1" t="s">
        <v>3901</v>
      </c>
      <c r="ZR5" s="1" t="s">
        <v>3902</v>
      </c>
      <c r="ZS5" s="1" t="s">
        <v>3903</v>
      </c>
      <c r="ZT5" s="1" t="s">
        <v>3904</v>
      </c>
      <c r="ZU5" s="1" t="s">
        <v>3905</v>
      </c>
      <c r="ZV5" s="1" t="s">
        <v>3906</v>
      </c>
      <c r="ZW5" s="1" t="s">
        <v>3907</v>
      </c>
      <c r="ZX5" s="1" t="s">
        <v>3908</v>
      </c>
      <c r="ZY5" s="1" t="s">
        <v>3909</v>
      </c>
      <c r="ZZ5" s="1" t="s">
        <v>3910</v>
      </c>
      <c r="AAA5" s="1" t="s">
        <v>3911</v>
      </c>
      <c r="AAB5" s="1" t="s">
        <v>3912</v>
      </c>
      <c r="AAC5" s="1" t="s">
        <v>3913</v>
      </c>
      <c r="AAD5" s="1" t="s">
        <v>3914</v>
      </c>
      <c r="AAE5" s="1" t="s">
        <v>3915</v>
      </c>
      <c r="AAF5" s="1" t="s">
        <v>3916</v>
      </c>
      <c r="AAG5" s="1" t="s">
        <v>3917</v>
      </c>
      <c r="AAH5" s="1" t="s">
        <v>3918</v>
      </c>
      <c r="AAI5" s="1" t="s">
        <v>3919</v>
      </c>
      <c r="AAJ5" s="1" t="s">
        <v>3920</v>
      </c>
      <c r="AAK5" s="1" t="s">
        <v>3921</v>
      </c>
      <c r="AAL5" s="1" t="s">
        <v>3922</v>
      </c>
      <c r="AAM5" s="1" t="s">
        <v>3923</v>
      </c>
      <c r="AAN5" s="1" t="s">
        <v>3924</v>
      </c>
      <c r="AAO5" s="1" t="s">
        <v>3925</v>
      </c>
      <c r="AAP5" s="1" t="s">
        <v>3926</v>
      </c>
      <c r="AAQ5" s="1" t="s">
        <v>3927</v>
      </c>
      <c r="AAR5" s="1" t="s">
        <v>3928</v>
      </c>
      <c r="AAS5" s="1" t="s">
        <v>3929</v>
      </c>
      <c r="AAT5" s="1" t="s">
        <v>3930</v>
      </c>
      <c r="AAU5" s="1" t="s">
        <v>3931</v>
      </c>
      <c r="AAV5" s="1" t="s">
        <v>3932</v>
      </c>
      <c r="AAW5" s="1" t="s">
        <v>3933</v>
      </c>
      <c r="AAX5" s="1" t="s">
        <v>3934</v>
      </c>
      <c r="AAY5" s="1" t="s">
        <v>3935</v>
      </c>
      <c r="AAZ5" s="1" t="s">
        <v>3936</v>
      </c>
      <c r="ABA5" s="1" t="s">
        <v>3937</v>
      </c>
      <c r="ABB5" s="1" t="s">
        <v>3938</v>
      </c>
      <c r="ABC5" s="1" t="s">
        <v>3939</v>
      </c>
      <c r="ABD5" s="1" t="s">
        <v>3940</v>
      </c>
      <c r="ABE5" s="1" t="s">
        <v>3941</v>
      </c>
      <c r="ABF5" s="1" t="s">
        <v>3942</v>
      </c>
      <c r="ABG5" s="1" t="s">
        <v>3943</v>
      </c>
      <c r="ABH5" s="1" t="s">
        <v>3944</v>
      </c>
      <c r="ABI5" s="1" t="s">
        <v>3945</v>
      </c>
      <c r="ABJ5" s="1" t="s">
        <v>3946</v>
      </c>
      <c r="ABK5" s="1" t="s">
        <v>3947</v>
      </c>
      <c r="ABL5" s="1" t="s">
        <v>3948</v>
      </c>
      <c r="ABM5" s="1" t="s">
        <v>3949</v>
      </c>
      <c r="ABN5" s="1" t="s">
        <v>3950</v>
      </c>
      <c r="ABO5" s="1" t="s">
        <v>3951</v>
      </c>
      <c r="ABP5" s="1" t="s">
        <v>3952</v>
      </c>
      <c r="ABQ5" s="1" t="s">
        <v>3953</v>
      </c>
      <c r="ABR5" s="1" t="s">
        <v>3954</v>
      </c>
      <c r="ABS5" s="1" t="s">
        <v>3955</v>
      </c>
      <c r="ABT5" s="1" t="s">
        <v>3956</v>
      </c>
      <c r="ABU5" s="1" t="s">
        <v>3957</v>
      </c>
      <c r="ABV5" s="1" t="s">
        <v>3958</v>
      </c>
      <c r="ABW5" s="1" t="s">
        <v>3959</v>
      </c>
      <c r="ABX5" s="1" t="s">
        <v>3960</v>
      </c>
      <c r="ABY5" s="1" t="s">
        <v>3961</v>
      </c>
      <c r="ABZ5" s="1" t="s">
        <v>3962</v>
      </c>
      <c r="ACA5" s="1" t="s">
        <v>3963</v>
      </c>
      <c r="ACB5" s="1" t="s">
        <v>3964</v>
      </c>
      <c r="ACC5" s="1" t="s">
        <v>3965</v>
      </c>
      <c r="ACD5" s="1" t="s">
        <v>3966</v>
      </c>
      <c r="ACE5" s="1" t="s">
        <v>3967</v>
      </c>
      <c r="ACF5" s="1" t="s">
        <v>3968</v>
      </c>
      <c r="ACG5" s="1" t="s">
        <v>3969</v>
      </c>
      <c r="ACH5" s="1" t="s">
        <v>3970</v>
      </c>
      <c r="ACI5" s="1" t="s">
        <v>3971</v>
      </c>
      <c r="ACJ5" s="1" t="s">
        <v>3972</v>
      </c>
      <c r="ACK5" s="1" t="s">
        <v>3973</v>
      </c>
      <c r="ACL5" s="1" t="s">
        <v>3974</v>
      </c>
      <c r="ACM5" s="1" t="s">
        <v>3975</v>
      </c>
      <c r="ACN5" s="1" t="s">
        <v>3976</v>
      </c>
      <c r="ACO5" s="1" t="s">
        <v>3977</v>
      </c>
      <c r="ACP5" s="1" t="s">
        <v>3978</v>
      </c>
      <c r="ACQ5" s="1" t="s">
        <v>3979</v>
      </c>
      <c r="ACR5" s="1" t="s">
        <v>3980</v>
      </c>
      <c r="ACS5" s="1" t="s">
        <v>3981</v>
      </c>
      <c r="ACT5" s="1" t="s">
        <v>3982</v>
      </c>
      <c r="ACU5" s="1" t="s">
        <v>3983</v>
      </c>
      <c r="ACV5" s="1" t="s">
        <v>3984</v>
      </c>
      <c r="ACW5" s="1" t="s">
        <v>17</v>
      </c>
      <c r="ACX5" s="1" t="s">
        <v>1502</v>
      </c>
    </row>
    <row r="6" spans="1:778" x14ac:dyDescent="0.2">
      <c r="A6" s="1" t="s">
        <v>2</v>
      </c>
      <c r="B6" s="1" t="s">
        <v>3985</v>
      </c>
      <c r="C6" s="1" t="s">
        <v>3986</v>
      </c>
      <c r="D6" s="1" t="s">
        <v>3987</v>
      </c>
      <c r="E6" s="1" t="s">
        <v>3988</v>
      </c>
      <c r="F6" s="1" t="s">
        <v>3989</v>
      </c>
      <c r="G6" s="1" t="s">
        <v>3990</v>
      </c>
      <c r="H6" s="1" t="s">
        <v>3991</v>
      </c>
      <c r="I6" s="1" t="s">
        <v>3992</v>
      </c>
      <c r="J6" s="1" t="s">
        <v>3993</v>
      </c>
      <c r="K6" s="1" t="s">
        <v>3994</v>
      </c>
      <c r="L6" s="1" t="s">
        <v>3995</v>
      </c>
      <c r="M6" s="1" t="s">
        <v>3996</v>
      </c>
      <c r="N6" s="1" t="s">
        <v>3997</v>
      </c>
      <c r="O6" s="1" t="s">
        <v>3998</v>
      </c>
      <c r="P6" s="1" t="s">
        <v>3999</v>
      </c>
      <c r="Q6" s="1" t="s">
        <v>4000</v>
      </c>
      <c r="R6" s="1" t="s">
        <v>4001</v>
      </c>
      <c r="S6" s="1" t="s">
        <v>4002</v>
      </c>
      <c r="T6" s="1" t="s">
        <v>4003</v>
      </c>
      <c r="U6" s="1" t="s">
        <v>4004</v>
      </c>
      <c r="V6" s="1" t="s">
        <v>4005</v>
      </c>
      <c r="W6" s="1" t="s">
        <v>4006</v>
      </c>
      <c r="X6" s="1" t="s">
        <v>4007</v>
      </c>
      <c r="Y6" s="1" t="s">
        <v>4008</v>
      </c>
      <c r="Z6" s="1" t="s">
        <v>4009</v>
      </c>
      <c r="AA6" s="1" t="s">
        <v>4010</v>
      </c>
      <c r="AB6" s="1" t="s">
        <v>4011</v>
      </c>
      <c r="AC6" s="1" t="s">
        <v>4012</v>
      </c>
      <c r="AD6" s="1" t="s">
        <v>4013</v>
      </c>
      <c r="AE6" s="1" t="s">
        <v>4014</v>
      </c>
      <c r="AF6" s="1" t="s">
        <v>4015</v>
      </c>
      <c r="AG6" s="1" t="s">
        <v>4016</v>
      </c>
      <c r="AH6" s="1" t="s">
        <v>4017</v>
      </c>
      <c r="AI6" s="1" t="s">
        <v>4018</v>
      </c>
      <c r="AJ6" s="1" t="s">
        <v>4019</v>
      </c>
      <c r="AK6" s="1" t="s">
        <v>4020</v>
      </c>
      <c r="AL6" s="1" t="s">
        <v>4021</v>
      </c>
      <c r="AM6" s="1" t="s">
        <v>4022</v>
      </c>
      <c r="AN6" s="1" t="s">
        <v>4023</v>
      </c>
      <c r="AO6" s="1" t="s">
        <v>4024</v>
      </c>
      <c r="AP6" s="1" t="s">
        <v>4025</v>
      </c>
      <c r="AQ6" s="1" t="s">
        <v>4026</v>
      </c>
      <c r="AR6" s="1" t="s">
        <v>4027</v>
      </c>
      <c r="AS6" s="1" t="s">
        <v>4028</v>
      </c>
      <c r="AT6" s="1" t="s">
        <v>4029</v>
      </c>
      <c r="AU6" s="1" t="s">
        <v>4030</v>
      </c>
      <c r="AV6" s="1" t="s">
        <v>4031</v>
      </c>
      <c r="AW6" s="1" t="s">
        <v>4032</v>
      </c>
      <c r="AX6" s="1" t="s">
        <v>4033</v>
      </c>
      <c r="AY6" s="1" t="s">
        <v>4034</v>
      </c>
      <c r="AZ6" s="1" t="s">
        <v>4035</v>
      </c>
      <c r="BA6" s="1" t="s">
        <v>4036</v>
      </c>
      <c r="BB6" s="1" t="s">
        <v>4037</v>
      </c>
      <c r="BC6" s="1" t="s">
        <v>4038</v>
      </c>
      <c r="BD6" s="1" t="s">
        <v>4039</v>
      </c>
      <c r="BE6" s="1" t="s">
        <v>4040</v>
      </c>
      <c r="BF6" s="1" t="s">
        <v>4041</v>
      </c>
      <c r="BG6" s="1" t="s">
        <v>4042</v>
      </c>
      <c r="BH6" s="1" t="s">
        <v>4043</v>
      </c>
      <c r="BI6" s="1" t="s">
        <v>4044</v>
      </c>
      <c r="BJ6" s="1" t="s">
        <v>4045</v>
      </c>
      <c r="BK6" s="1" t="s">
        <v>4046</v>
      </c>
      <c r="BL6" s="1" t="s">
        <v>4047</v>
      </c>
      <c r="BM6" s="1" t="s">
        <v>4048</v>
      </c>
      <c r="BN6" s="1" t="s">
        <v>4049</v>
      </c>
      <c r="BO6" s="1" t="s">
        <v>4050</v>
      </c>
      <c r="BP6" s="1" t="s">
        <v>4051</v>
      </c>
      <c r="BQ6" s="1" t="s">
        <v>4052</v>
      </c>
      <c r="BR6" s="1" t="s">
        <v>4053</v>
      </c>
      <c r="BS6" s="1" t="s">
        <v>4054</v>
      </c>
      <c r="BT6" s="1" t="s">
        <v>4055</v>
      </c>
      <c r="BU6" s="1" t="s">
        <v>4056</v>
      </c>
      <c r="BV6" s="1" t="s">
        <v>4057</v>
      </c>
      <c r="BW6" s="1" t="s">
        <v>4058</v>
      </c>
      <c r="BX6" s="1" t="s">
        <v>4059</v>
      </c>
      <c r="BY6" s="1" t="s">
        <v>4060</v>
      </c>
      <c r="BZ6" s="1" t="s">
        <v>4061</v>
      </c>
      <c r="CA6" s="1" t="s">
        <v>4062</v>
      </c>
      <c r="CB6" s="1" t="s">
        <v>4063</v>
      </c>
      <c r="CC6" s="1" t="s">
        <v>4064</v>
      </c>
      <c r="CD6" s="1" t="s">
        <v>4065</v>
      </c>
      <c r="CE6" s="1" t="s">
        <v>4066</v>
      </c>
      <c r="CF6" s="1" t="s">
        <v>4067</v>
      </c>
      <c r="CG6" s="1" t="s">
        <v>4068</v>
      </c>
      <c r="CH6" s="1" t="s">
        <v>4069</v>
      </c>
      <c r="CI6" s="1" t="s">
        <v>4070</v>
      </c>
      <c r="CJ6" s="1" t="s">
        <v>4071</v>
      </c>
      <c r="CK6" s="1" t="s">
        <v>4072</v>
      </c>
      <c r="CL6" s="1" t="s">
        <v>4073</v>
      </c>
      <c r="CM6" s="1" t="s">
        <v>4074</v>
      </c>
      <c r="CN6" s="1" t="s">
        <v>4075</v>
      </c>
      <c r="CO6" s="1" t="s">
        <v>4076</v>
      </c>
      <c r="CP6" s="1" t="s">
        <v>4077</v>
      </c>
      <c r="CQ6" s="1" t="s">
        <v>4078</v>
      </c>
      <c r="CR6" s="1" t="s">
        <v>4079</v>
      </c>
      <c r="CS6" s="1" t="s">
        <v>4080</v>
      </c>
      <c r="CT6" s="1" t="s">
        <v>4081</v>
      </c>
      <c r="CU6" s="1" t="s">
        <v>4082</v>
      </c>
      <c r="CV6" s="1" t="s">
        <v>4083</v>
      </c>
      <c r="CW6" s="1" t="s">
        <v>4084</v>
      </c>
      <c r="CX6" s="1" t="s">
        <v>4085</v>
      </c>
      <c r="CY6" s="1" t="s">
        <v>4086</v>
      </c>
      <c r="CZ6" s="1" t="s">
        <v>4087</v>
      </c>
      <c r="DA6" s="1" t="s">
        <v>4088</v>
      </c>
      <c r="DB6" s="1" t="s">
        <v>4089</v>
      </c>
      <c r="DC6" s="1" t="s">
        <v>4090</v>
      </c>
      <c r="DD6" s="1" t="s">
        <v>4091</v>
      </c>
      <c r="DE6" s="1" t="s">
        <v>4092</v>
      </c>
      <c r="DF6" s="1" t="s">
        <v>4093</v>
      </c>
      <c r="DG6" s="1" t="s">
        <v>4094</v>
      </c>
      <c r="DH6" s="1" t="s">
        <v>4095</v>
      </c>
      <c r="DI6" s="1" t="s">
        <v>4096</v>
      </c>
      <c r="DJ6" s="1" t="s">
        <v>4097</v>
      </c>
      <c r="DK6" s="1" t="s">
        <v>4098</v>
      </c>
      <c r="DL6" s="1" t="s">
        <v>4099</v>
      </c>
      <c r="DM6" s="1" t="s">
        <v>4100</v>
      </c>
      <c r="DN6" s="1" t="s">
        <v>4101</v>
      </c>
      <c r="DO6" s="1" t="s">
        <v>4102</v>
      </c>
      <c r="DP6" s="1" t="s">
        <v>4103</v>
      </c>
      <c r="DQ6" s="1" t="s">
        <v>4104</v>
      </c>
      <c r="DR6" s="1" t="s">
        <v>4105</v>
      </c>
      <c r="DS6" s="1" t="s">
        <v>4106</v>
      </c>
      <c r="DT6" s="1" t="s">
        <v>4107</v>
      </c>
      <c r="DU6" s="1" t="s">
        <v>4108</v>
      </c>
      <c r="DV6" s="1" t="s">
        <v>4109</v>
      </c>
      <c r="DW6" s="1" t="s">
        <v>4110</v>
      </c>
      <c r="DX6" s="1" t="s">
        <v>4111</v>
      </c>
      <c r="DY6" s="1" t="s">
        <v>4112</v>
      </c>
      <c r="DZ6" s="1" t="s">
        <v>4113</v>
      </c>
      <c r="EA6" s="1" t="s">
        <v>4114</v>
      </c>
      <c r="EB6" s="1" t="s">
        <v>4115</v>
      </c>
      <c r="EC6" s="1" t="s">
        <v>4116</v>
      </c>
      <c r="ED6" s="1" t="s">
        <v>4117</v>
      </c>
      <c r="EE6" s="1" t="s">
        <v>4118</v>
      </c>
      <c r="EF6" s="1" t="s">
        <v>4119</v>
      </c>
      <c r="EG6" s="1" t="s">
        <v>4120</v>
      </c>
      <c r="EH6" s="1" t="s">
        <v>4121</v>
      </c>
      <c r="EI6" s="1" t="s">
        <v>4122</v>
      </c>
      <c r="EJ6" s="1" t="s">
        <v>4123</v>
      </c>
      <c r="EK6" s="1" t="s">
        <v>4124</v>
      </c>
      <c r="EL6" s="1" t="s">
        <v>4125</v>
      </c>
      <c r="EM6" s="1" t="s">
        <v>4126</v>
      </c>
      <c r="EN6" s="1" t="s">
        <v>4127</v>
      </c>
      <c r="EO6" s="1" t="s">
        <v>4128</v>
      </c>
      <c r="EP6" s="1" t="s">
        <v>4129</v>
      </c>
      <c r="EQ6" s="1" t="s">
        <v>4130</v>
      </c>
      <c r="ER6" s="1" t="s">
        <v>4131</v>
      </c>
      <c r="ES6" s="1" t="s">
        <v>4132</v>
      </c>
      <c r="ET6" s="1" t="s">
        <v>4133</v>
      </c>
      <c r="EU6" s="1" t="s">
        <v>4134</v>
      </c>
      <c r="EV6" s="1" t="s">
        <v>4135</v>
      </c>
      <c r="EW6" s="1" t="s">
        <v>4136</v>
      </c>
      <c r="EX6" s="1" t="s">
        <v>4137</v>
      </c>
      <c r="EY6" s="1" t="s">
        <v>4138</v>
      </c>
      <c r="EZ6" s="1" t="s">
        <v>4139</v>
      </c>
      <c r="FA6" s="1" t="s">
        <v>4140</v>
      </c>
      <c r="FB6" s="1" t="s">
        <v>4141</v>
      </c>
      <c r="FC6" s="1" t="s">
        <v>4142</v>
      </c>
      <c r="FD6" s="1" t="s">
        <v>4143</v>
      </c>
      <c r="FE6" s="1" t="s">
        <v>4144</v>
      </c>
      <c r="FF6" s="1" t="s">
        <v>4145</v>
      </c>
      <c r="FG6" s="1" t="s">
        <v>4146</v>
      </c>
      <c r="FH6" s="1" t="s">
        <v>4147</v>
      </c>
      <c r="FI6" s="1" t="s">
        <v>4148</v>
      </c>
      <c r="FJ6" s="1" t="s">
        <v>4149</v>
      </c>
      <c r="FK6" s="1" t="s">
        <v>4150</v>
      </c>
      <c r="FL6" s="1" t="s">
        <v>4151</v>
      </c>
      <c r="FM6" s="1" t="s">
        <v>4152</v>
      </c>
      <c r="FN6" s="1" t="s">
        <v>4153</v>
      </c>
      <c r="FO6" s="1" t="s">
        <v>4154</v>
      </c>
      <c r="FP6" s="1" t="s">
        <v>4155</v>
      </c>
      <c r="FQ6" s="1" t="s">
        <v>4156</v>
      </c>
      <c r="FR6" s="1" t="s">
        <v>4157</v>
      </c>
      <c r="FS6" s="1" t="s">
        <v>4158</v>
      </c>
      <c r="FT6" s="1" t="s">
        <v>4159</v>
      </c>
      <c r="FU6" s="1" t="s">
        <v>4160</v>
      </c>
      <c r="FV6" s="1" t="s">
        <v>4161</v>
      </c>
      <c r="FW6" s="1" t="s">
        <v>4162</v>
      </c>
      <c r="FX6" s="1" t="s">
        <v>4163</v>
      </c>
      <c r="FY6" s="1" t="s">
        <v>4164</v>
      </c>
      <c r="FZ6" s="1" t="s">
        <v>4165</v>
      </c>
      <c r="GA6" s="1" t="s">
        <v>4166</v>
      </c>
      <c r="GB6" s="1" t="s">
        <v>4167</v>
      </c>
      <c r="GC6" s="1" t="s">
        <v>4168</v>
      </c>
      <c r="GD6" s="1" t="s">
        <v>4169</v>
      </c>
      <c r="GE6" s="1" t="s">
        <v>4170</v>
      </c>
      <c r="GF6" s="1" t="s">
        <v>4171</v>
      </c>
      <c r="GG6" s="1" t="s">
        <v>4172</v>
      </c>
      <c r="GH6" s="1" t="s">
        <v>4173</v>
      </c>
      <c r="GI6" s="1" t="s">
        <v>4174</v>
      </c>
      <c r="GJ6" s="1" t="s">
        <v>4175</v>
      </c>
      <c r="GK6" s="1" t="s">
        <v>4176</v>
      </c>
      <c r="GL6" s="1" t="s">
        <v>4177</v>
      </c>
      <c r="GM6" s="1" t="s">
        <v>4178</v>
      </c>
      <c r="GN6" s="1" t="s">
        <v>4179</v>
      </c>
      <c r="GO6" s="1" t="s">
        <v>4180</v>
      </c>
      <c r="GP6" s="1" t="s">
        <v>4181</v>
      </c>
      <c r="GQ6" s="1" t="s">
        <v>4182</v>
      </c>
      <c r="GR6" s="1" t="s">
        <v>4183</v>
      </c>
      <c r="GS6" s="1" t="s">
        <v>4184</v>
      </c>
      <c r="GT6" s="1" t="s">
        <v>4185</v>
      </c>
      <c r="GU6" s="1" t="s">
        <v>4186</v>
      </c>
      <c r="GV6" s="1" t="s">
        <v>4187</v>
      </c>
      <c r="GW6" s="1" t="s">
        <v>4188</v>
      </c>
      <c r="GX6" s="1" t="s">
        <v>4189</v>
      </c>
      <c r="GY6" s="1" t="s">
        <v>4190</v>
      </c>
      <c r="GZ6" s="1" t="s">
        <v>4191</v>
      </c>
      <c r="HA6" s="1" t="s">
        <v>4192</v>
      </c>
      <c r="HB6" s="1" t="s">
        <v>4193</v>
      </c>
      <c r="HC6" s="1" t="s">
        <v>4194</v>
      </c>
      <c r="HD6" s="1" t="s">
        <v>4195</v>
      </c>
      <c r="HE6" s="1" t="s">
        <v>4196</v>
      </c>
      <c r="HF6" s="1" t="s">
        <v>4197</v>
      </c>
      <c r="HG6" s="1" t="s">
        <v>4198</v>
      </c>
      <c r="HH6" s="1" t="s">
        <v>4199</v>
      </c>
      <c r="HI6" s="1" t="s">
        <v>4200</v>
      </c>
      <c r="HJ6" s="1" t="s">
        <v>4201</v>
      </c>
      <c r="HK6" s="1" t="s">
        <v>4202</v>
      </c>
      <c r="HL6" s="1" t="s">
        <v>4203</v>
      </c>
      <c r="HM6" s="1" t="s">
        <v>4204</v>
      </c>
      <c r="HN6" s="1" t="s">
        <v>4205</v>
      </c>
      <c r="HO6" s="1" t="s">
        <v>4206</v>
      </c>
      <c r="HP6" s="1" t="s">
        <v>4207</v>
      </c>
      <c r="HQ6" s="1" t="s">
        <v>4208</v>
      </c>
      <c r="HR6" s="1" t="s">
        <v>4209</v>
      </c>
      <c r="HS6" s="1" t="s">
        <v>4210</v>
      </c>
      <c r="HT6" s="1" t="s">
        <v>4211</v>
      </c>
      <c r="HU6" s="1" t="s">
        <v>4212</v>
      </c>
      <c r="HV6" s="1" t="s">
        <v>4213</v>
      </c>
      <c r="HW6" s="1" t="s">
        <v>4214</v>
      </c>
      <c r="HX6" s="1" t="s">
        <v>4215</v>
      </c>
      <c r="HY6" s="1" t="s">
        <v>4216</v>
      </c>
      <c r="HZ6" s="1" t="s">
        <v>4217</v>
      </c>
      <c r="IA6" s="1" t="s">
        <v>4218</v>
      </c>
      <c r="IB6" s="1" t="s">
        <v>4219</v>
      </c>
      <c r="IC6" s="1" t="s">
        <v>4220</v>
      </c>
      <c r="ID6" s="1" t="s">
        <v>4221</v>
      </c>
      <c r="IE6" s="1" t="s">
        <v>4222</v>
      </c>
      <c r="IF6" s="1" t="s">
        <v>4223</v>
      </c>
      <c r="IG6" s="1" t="s">
        <v>4224</v>
      </c>
      <c r="IH6" s="1" t="s">
        <v>4225</v>
      </c>
      <c r="II6" s="1" t="s">
        <v>4226</v>
      </c>
      <c r="IJ6" s="1" t="s">
        <v>4227</v>
      </c>
      <c r="IK6" s="1" t="s">
        <v>4228</v>
      </c>
      <c r="IL6" s="1" t="s">
        <v>4229</v>
      </c>
      <c r="IM6" s="1" t="s">
        <v>4230</v>
      </c>
      <c r="IN6" s="1" t="s">
        <v>4231</v>
      </c>
      <c r="IO6" s="1" t="s">
        <v>4232</v>
      </c>
      <c r="IP6" s="1" t="s">
        <v>4233</v>
      </c>
      <c r="IQ6" s="1" t="s">
        <v>4234</v>
      </c>
      <c r="IR6" s="1" t="s">
        <v>4235</v>
      </c>
      <c r="IS6" s="1" t="s">
        <v>4236</v>
      </c>
      <c r="IT6" s="1" t="s">
        <v>4237</v>
      </c>
      <c r="IU6" s="1" t="s">
        <v>4238</v>
      </c>
      <c r="IV6" s="1" t="s">
        <v>4239</v>
      </c>
      <c r="IW6" s="1" t="s">
        <v>4240</v>
      </c>
      <c r="IX6" s="1" t="s">
        <v>4241</v>
      </c>
      <c r="IY6" s="1" t="s">
        <v>4242</v>
      </c>
      <c r="IZ6" s="1" t="s">
        <v>4243</v>
      </c>
      <c r="JA6" s="1" t="s">
        <v>4244</v>
      </c>
      <c r="JB6" s="1" t="s">
        <v>4245</v>
      </c>
      <c r="JC6" s="1" t="s">
        <v>4246</v>
      </c>
      <c r="JD6" s="1" t="s">
        <v>4247</v>
      </c>
      <c r="JE6" s="1" t="s">
        <v>4248</v>
      </c>
      <c r="JF6" s="1" t="s">
        <v>4249</v>
      </c>
      <c r="JG6" s="1" t="s">
        <v>4250</v>
      </c>
      <c r="JH6" s="1" t="s">
        <v>4251</v>
      </c>
      <c r="JI6" s="1" t="s">
        <v>4252</v>
      </c>
      <c r="JJ6" s="1" t="s">
        <v>4253</v>
      </c>
      <c r="JK6" s="1" t="s">
        <v>4254</v>
      </c>
      <c r="JL6" s="1" t="s">
        <v>4255</v>
      </c>
      <c r="JM6" s="1" t="s">
        <v>4256</v>
      </c>
      <c r="JN6" s="1" t="s">
        <v>4257</v>
      </c>
      <c r="JO6" s="1" t="s">
        <v>4258</v>
      </c>
      <c r="JP6" s="1" t="s">
        <v>4259</v>
      </c>
      <c r="JQ6" s="1" t="s">
        <v>4260</v>
      </c>
      <c r="JR6" s="1" t="s">
        <v>4261</v>
      </c>
      <c r="JS6" s="1" t="s">
        <v>4262</v>
      </c>
      <c r="JT6" s="1" t="s">
        <v>4263</v>
      </c>
      <c r="JU6" s="1" t="s">
        <v>4264</v>
      </c>
      <c r="JV6" s="1" t="s">
        <v>4265</v>
      </c>
      <c r="JW6" s="1" t="s">
        <v>4266</v>
      </c>
      <c r="JX6" s="1" t="s">
        <v>4267</v>
      </c>
      <c r="JY6" s="1" t="s">
        <v>4268</v>
      </c>
      <c r="JZ6" s="1" t="s">
        <v>4269</v>
      </c>
      <c r="KA6" s="1" t="s">
        <v>4270</v>
      </c>
      <c r="KB6" s="1" t="s">
        <v>4271</v>
      </c>
      <c r="KC6" s="1" t="s">
        <v>4272</v>
      </c>
      <c r="KD6" s="1" t="s">
        <v>4273</v>
      </c>
      <c r="KE6" s="1" t="s">
        <v>4274</v>
      </c>
      <c r="KF6" s="1" t="s">
        <v>4275</v>
      </c>
      <c r="KG6" s="1" t="s">
        <v>4276</v>
      </c>
      <c r="KH6" s="1" t="s">
        <v>4277</v>
      </c>
      <c r="KI6" s="1" t="s">
        <v>4278</v>
      </c>
      <c r="KJ6" s="1" t="s">
        <v>4279</v>
      </c>
      <c r="KK6" s="1" t="s">
        <v>4280</v>
      </c>
      <c r="KL6" s="1" t="s">
        <v>4281</v>
      </c>
      <c r="KM6" s="1" t="s">
        <v>4282</v>
      </c>
      <c r="KN6" s="1" t="s">
        <v>4283</v>
      </c>
      <c r="KO6" s="1" t="s">
        <v>4284</v>
      </c>
      <c r="KP6" s="1" t="s">
        <v>4285</v>
      </c>
      <c r="KQ6" s="1" t="s">
        <v>4286</v>
      </c>
      <c r="KR6" s="1" t="s">
        <v>4287</v>
      </c>
      <c r="KS6" s="1" t="s">
        <v>4288</v>
      </c>
      <c r="KT6" s="1" t="s">
        <v>4289</v>
      </c>
      <c r="KU6" s="1" t="s">
        <v>4290</v>
      </c>
      <c r="KV6" s="1" t="s">
        <v>4291</v>
      </c>
      <c r="KW6" s="1" t="s">
        <v>4292</v>
      </c>
      <c r="KX6" s="1" t="s">
        <v>4293</v>
      </c>
      <c r="KY6" s="1" t="s">
        <v>4294</v>
      </c>
      <c r="KZ6" s="1" t="s">
        <v>4295</v>
      </c>
      <c r="LA6" s="1" t="s">
        <v>4296</v>
      </c>
      <c r="LB6" s="1" t="s">
        <v>4297</v>
      </c>
      <c r="LC6" s="1" t="s">
        <v>4298</v>
      </c>
      <c r="LD6" s="1" t="s">
        <v>4299</v>
      </c>
      <c r="LE6" s="1" t="s">
        <v>4300</v>
      </c>
      <c r="LF6" s="1" t="s">
        <v>4301</v>
      </c>
      <c r="LG6" s="1" t="s">
        <v>4302</v>
      </c>
      <c r="LH6" s="1" t="s">
        <v>4303</v>
      </c>
      <c r="LI6" s="1" t="s">
        <v>4304</v>
      </c>
      <c r="LJ6" s="1" t="s">
        <v>4305</v>
      </c>
      <c r="LK6" s="1" t="s">
        <v>4306</v>
      </c>
      <c r="LL6" s="1" t="s">
        <v>4307</v>
      </c>
      <c r="LM6" s="1" t="s">
        <v>4308</v>
      </c>
      <c r="LN6" s="1" t="s">
        <v>4309</v>
      </c>
      <c r="LO6" s="1" t="s">
        <v>4310</v>
      </c>
      <c r="LP6" s="1" t="s">
        <v>4311</v>
      </c>
      <c r="LQ6" s="1" t="s">
        <v>4312</v>
      </c>
      <c r="LR6" s="1" t="s">
        <v>4313</v>
      </c>
      <c r="LS6" s="1" t="s">
        <v>4314</v>
      </c>
      <c r="LT6" s="1" t="s">
        <v>4315</v>
      </c>
      <c r="LU6" s="1" t="s">
        <v>4316</v>
      </c>
      <c r="LV6" s="1" t="s">
        <v>4317</v>
      </c>
      <c r="LW6" s="1" t="s">
        <v>4318</v>
      </c>
      <c r="LX6" s="1" t="s">
        <v>4319</v>
      </c>
      <c r="LY6" s="1" t="s">
        <v>4320</v>
      </c>
      <c r="LZ6" s="1" t="s">
        <v>4321</v>
      </c>
      <c r="MA6" s="1" t="s">
        <v>4322</v>
      </c>
      <c r="MB6" s="1" t="s">
        <v>4323</v>
      </c>
      <c r="MC6" s="1" t="s">
        <v>4324</v>
      </c>
      <c r="MD6" s="1" t="s">
        <v>4325</v>
      </c>
      <c r="ME6" s="1" t="s">
        <v>4326</v>
      </c>
      <c r="MF6" s="1" t="s">
        <v>4327</v>
      </c>
      <c r="MG6" s="1" t="s">
        <v>4328</v>
      </c>
      <c r="MH6" s="1" t="s">
        <v>4329</v>
      </c>
      <c r="MI6" s="1" t="s">
        <v>4330</v>
      </c>
      <c r="MJ6" s="1" t="s">
        <v>4331</v>
      </c>
      <c r="MK6" s="1" t="s">
        <v>4332</v>
      </c>
      <c r="ML6" s="1" t="s">
        <v>4333</v>
      </c>
      <c r="MM6" s="1" t="s">
        <v>4334</v>
      </c>
      <c r="MN6" s="1" t="s">
        <v>4335</v>
      </c>
      <c r="MO6" s="1" t="s">
        <v>4336</v>
      </c>
      <c r="MP6" s="1" t="s">
        <v>4337</v>
      </c>
      <c r="MQ6" s="1" t="s">
        <v>4338</v>
      </c>
      <c r="MR6" s="1" t="s">
        <v>4339</v>
      </c>
      <c r="MS6" s="1" t="s">
        <v>4340</v>
      </c>
      <c r="MT6" s="1" t="s">
        <v>4341</v>
      </c>
      <c r="MU6" s="1" t="s">
        <v>4342</v>
      </c>
      <c r="MV6" s="1" t="s">
        <v>4343</v>
      </c>
      <c r="MW6" s="1" t="s">
        <v>4344</v>
      </c>
      <c r="MX6" s="1" t="s">
        <v>4345</v>
      </c>
      <c r="MY6" s="1" t="s">
        <v>4346</v>
      </c>
      <c r="MZ6" s="1" t="s">
        <v>4347</v>
      </c>
      <c r="NA6" s="1" t="s">
        <v>4348</v>
      </c>
      <c r="NB6" s="1" t="s">
        <v>4349</v>
      </c>
      <c r="NC6" s="1" t="s">
        <v>4350</v>
      </c>
      <c r="ND6" s="1" t="s">
        <v>4351</v>
      </c>
      <c r="NE6" s="1" t="s">
        <v>4352</v>
      </c>
      <c r="NF6" s="1" t="s">
        <v>4353</v>
      </c>
      <c r="NG6" s="1" t="s">
        <v>4354</v>
      </c>
      <c r="NH6" s="1" t="s">
        <v>4355</v>
      </c>
      <c r="NI6" s="1" t="s">
        <v>4356</v>
      </c>
      <c r="NJ6" s="1" t="s">
        <v>4357</v>
      </c>
      <c r="NK6" s="1" t="s">
        <v>4358</v>
      </c>
      <c r="NL6" s="1" t="s">
        <v>4359</v>
      </c>
      <c r="NM6" s="1" t="s">
        <v>4360</v>
      </c>
      <c r="NN6" s="1" t="s">
        <v>4361</v>
      </c>
      <c r="NO6" s="1" t="s">
        <v>4362</v>
      </c>
      <c r="NP6" s="1" t="s">
        <v>4363</v>
      </c>
      <c r="NQ6" s="1" t="s">
        <v>4364</v>
      </c>
      <c r="NR6" s="1" t="s">
        <v>4365</v>
      </c>
      <c r="NS6" s="1" t="s">
        <v>4366</v>
      </c>
      <c r="NT6" s="1" t="s">
        <v>4367</v>
      </c>
      <c r="NU6" s="1" t="s">
        <v>4368</v>
      </c>
      <c r="NV6" s="1" t="s">
        <v>4369</v>
      </c>
      <c r="NW6" s="1" t="s">
        <v>4370</v>
      </c>
      <c r="NX6" s="1" t="s">
        <v>4371</v>
      </c>
      <c r="NY6" s="1" t="s">
        <v>4372</v>
      </c>
      <c r="NZ6" s="1" t="s">
        <v>4373</v>
      </c>
      <c r="OA6" s="1" t="s">
        <v>4374</v>
      </c>
      <c r="OB6" s="1" t="s">
        <v>4375</v>
      </c>
      <c r="OC6" s="1" t="s">
        <v>4376</v>
      </c>
      <c r="OD6" s="1" t="s">
        <v>4377</v>
      </c>
      <c r="OE6" s="1" t="s">
        <v>4378</v>
      </c>
      <c r="OF6" s="1" t="s">
        <v>4379</v>
      </c>
      <c r="OG6" s="1" t="s">
        <v>4380</v>
      </c>
      <c r="OH6" s="1" t="s">
        <v>4381</v>
      </c>
      <c r="OI6" s="1" t="s">
        <v>4382</v>
      </c>
      <c r="OJ6" s="1" t="s">
        <v>4383</v>
      </c>
      <c r="OK6" s="1" t="s">
        <v>4384</v>
      </c>
      <c r="OL6" s="1" t="s">
        <v>4385</v>
      </c>
      <c r="OM6" s="1" t="s">
        <v>4386</v>
      </c>
      <c r="ON6" s="1" t="s">
        <v>4387</v>
      </c>
      <c r="OO6" s="1" t="s">
        <v>4388</v>
      </c>
      <c r="OP6" s="1" t="s">
        <v>4389</v>
      </c>
      <c r="OQ6" s="1" t="s">
        <v>4390</v>
      </c>
      <c r="OR6" s="1" t="s">
        <v>4391</v>
      </c>
      <c r="OS6" s="1" t="s">
        <v>4392</v>
      </c>
      <c r="OT6" s="1" t="s">
        <v>4393</v>
      </c>
      <c r="OU6" s="1" t="s">
        <v>4394</v>
      </c>
      <c r="OV6" s="1" t="s">
        <v>4395</v>
      </c>
      <c r="OW6" s="1" t="s">
        <v>4396</v>
      </c>
      <c r="OX6" s="1" t="s">
        <v>4397</v>
      </c>
      <c r="OY6" s="1" t="s">
        <v>4398</v>
      </c>
      <c r="OZ6" s="1" t="s">
        <v>4399</v>
      </c>
      <c r="PA6" s="1" t="s">
        <v>4400</v>
      </c>
      <c r="PB6" s="1" t="s">
        <v>4401</v>
      </c>
      <c r="PC6" s="1" t="s">
        <v>4402</v>
      </c>
      <c r="PD6" s="1" t="s">
        <v>4403</v>
      </c>
      <c r="PE6" s="1" t="s">
        <v>4404</v>
      </c>
      <c r="PF6" s="1" t="s">
        <v>4405</v>
      </c>
      <c r="PG6" s="1" t="s">
        <v>4406</v>
      </c>
      <c r="PH6" s="1" t="s">
        <v>4407</v>
      </c>
      <c r="PI6" s="1" t="s">
        <v>4408</v>
      </c>
      <c r="PJ6" s="1" t="s">
        <v>4409</v>
      </c>
      <c r="PK6" s="1" t="s">
        <v>4410</v>
      </c>
      <c r="PL6" s="1" t="s">
        <v>4411</v>
      </c>
      <c r="PM6" s="1" t="s">
        <v>4412</v>
      </c>
      <c r="PN6" s="1" t="s">
        <v>4413</v>
      </c>
      <c r="PO6" s="1" t="s">
        <v>4414</v>
      </c>
      <c r="PP6" s="1" t="s">
        <v>4415</v>
      </c>
      <c r="PQ6" s="1" t="s">
        <v>4416</v>
      </c>
      <c r="PR6" s="1" t="s">
        <v>4417</v>
      </c>
      <c r="PS6" s="1" t="s">
        <v>4418</v>
      </c>
      <c r="PT6" s="1" t="s">
        <v>4419</v>
      </c>
      <c r="PU6" s="1" t="s">
        <v>4420</v>
      </c>
      <c r="PV6" s="1" t="s">
        <v>4421</v>
      </c>
      <c r="PW6" s="1" t="s">
        <v>4422</v>
      </c>
      <c r="PX6" s="1" t="s">
        <v>4423</v>
      </c>
      <c r="PY6" s="1" t="s">
        <v>4424</v>
      </c>
      <c r="PZ6" s="1" t="s">
        <v>4425</v>
      </c>
      <c r="QA6" s="1" t="s">
        <v>4426</v>
      </c>
      <c r="QB6" s="1" t="s">
        <v>4427</v>
      </c>
      <c r="QC6" s="1" t="s">
        <v>4428</v>
      </c>
      <c r="QD6" s="1" t="s">
        <v>4429</v>
      </c>
      <c r="QE6" s="1" t="s">
        <v>4430</v>
      </c>
      <c r="QF6" s="1" t="s">
        <v>4431</v>
      </c>
      <c r="QG6" s="1" t="s">
        <v>4432</v>
      </c>
      <c r="QH6" s="1" t="s">
        <v>4433</v>
      </c>
      <c r="QI6" s="1" t="s">
        <v>4434</v>
      </c>
      <c r="QJ6" s="1" t="s">
        <v>4435</v>
      </c>
      <c r="QK6" s="1" t="s">
        <v>4436</v>
      </c>
      <c r="QL6" s="1" t="s">
        <v>4437</v>
      </c>
      <c r="QM6" s="1" t="s">
        <v>4438</v>
      </c>
      <c r="QN6" s="1" t="s">
        <v>4439</v>
      </c>
      <c r="QO6" s="1" t="s">
        <v>4440</v>
      </c>
      <c r="QP6" s="1" t="s">
        <v>4441</v>
      </c>
      <c r="QQ6" s="1" t="s">
        <v>4442</v>
      </c>
      <c r="QR6" s="1" t="s">
        <v>4443</v>
      </c>
      <c r="QS6" s="1" t="s">
        <v>4444</v>
      </c>
      <c r="QT6" s="1" t="s">
        <v>4445</v>
      </c>
      <c r="QU6" s="1" t="s">
        <v>4446</v>
      </c>
      <c r="QV6" s="1" t="s">
        <v>4447</v>
      </c>
      <c r="QW6" s="1" t="s">
        <v>4448</v>
      </c>
      <c r="QX6" s="1" t="s">
        <v>4449</v>
      </c>
      <c r="QY6" s="1" t="s">
        <v>4450</v>
      </c>
      <c r="QZ6" s="1" t="s">
        <v>4451</v>
      </c>
      <c r="RA6" s="1" t="s">
        <v>4452</v>
      </c>
      <c r="RB6" s="1" t="s">
        <v>4453</v>
      </c>
      <c r="RC6" s="1" t="s">
        <v>4454</v>
      </c>
      <c r="RD6" s="1" t="s">
        <v>4455</v>
      </c>
      <c r="RE6" s="1" t="s">
        <v>4456</v>
      </c>
      <c r="RF6" s="1" t="s">
        <v>4457</v>
      </c>
      <c r="RG6" s="1" t="s">
        <v>4458</v>
      </c>
      <c r="RH6" s="1" t="s">
        <v>4459</v>
      </c>
      <c r="RI6" s="1" t="s">
        <v>4460</v>
      </c>
      <c r="RJ6" s="1" t="s">
        <v>4461</v>
      </c>
      <c r="RK6" s="1" t="s">
        <v>4462</v>
      </c>
      <c r="RL6" s="1" t="s">
        <v>4463</v>
      </c>
      <c r="RM6" s="1" t="s">
        <v>4464</v>
      </c>
      <c r="RN6" s="1" t="s">
        <v>4465</v>
      </c>
      <c r="RO6" s="1" t="s">
        <v>4466</v>
      </c>
      <c r="RP6" s="1" t="s">
        <v>4467</v>
      </c>
      <c r="RQ6" s="1" t="s">
        <v>4468</v>
      </c>
      <c r="RR6" s="1" t="s">
        <v>4469</v>
      </c>
      <c r="RS6" s="1" t="s">
        <v>4470</v>
      </c>
      <c r="RT6" s="1" t="s">
        <v>4471</v>
      </c>
      <c r="RU6" s="1" t="s">
        <v>4472</v>
      </c>
      <c r="RV6" s="1" t="s">
        <v>4473</v>
      </c>
      <c r="RW6" s="1" t="s">
        <v>4474</v>
      </c>
      <c r="RX6" s="1" t="s">
        <v>4475</v>
      </c>
      <c r="RY6" s="1" t="s">
        <v>4476</v>
      </c>
      <c r="RZ6" s="1" t="s">
        <v>4477</v>
      </c>
      <c r="SA6" s="1" t="s">
        <v>4478</v>
      </c>
      <c r="SB6" s="1" t="s">
        <v>4479</v>
      </c>
      <c r="SC6" s="1" t="s">
        <v>4480</v>
      </c>
      <c r="SD6" s="1" t="s">
        <v>4481</v>
      </c>
      <c r="SE6" s="1" t="s">
        <v>4482</v>
      </c>
      <c r="SF6" s="1" t="s">
        <v>4483</v>
      </c>
      <c r="SG6" s="1" t="s">
        <v>4484</v>
      </c>
      <c r="SH6" s="1" t="s">
        <v>4485</v>
      </c>
      <c r="SI6" s="1" t="s">
        <v>4486</v>
      </c>
      <c r="SJ6" s="1" t="s">
        <v>4487</v>
      </c>
      <c r="SK6" s="1" t="s">
        <v>4488</v>
      </c>
      <c r="SL6" s="1" t="s">
        <v>4489</v>
      </c>
      <c r="SM6" s="1" t="s">
        <v>4490</v>
      </c>
      <c r="SN6" s="1" t="s">
        <v>4491</v>
      </c>
      <c r="SO6" s="1" t="s">
        <v>4492</v>
      </c>
      <c r="SP6" s="1" t="s">
        <v>4493</v>
      </c>
      <c r="SQ6" s="1" t="s">
        <v>4494</v>
      </c>
      <c r="SR6" s="1" t="s">
        <v>4495</v>
      </c>
      <c r="SS6" s="1" t="s">
        <v>4496</v>
      </c>
      <c r="ST6" s="1" t="s">
        <v>4497</v>
      </c>
      <c r="SU6" s="1" t="s">
        <v>4498</v>
      </c>
      <c r="SV6" s="1" t="s">
        <v>4499</v>
      </c>
      <c r="SW6" s="1" t="s">
        <v>4500</v>
      </c>
      <c r="SX6" s="1" t="s">
        <v>4501</v>
      </c>
      <c r="SY6" s="1" t="s">
        <v>4502</v>
      </c>
      <c r="SZ6" s="1" t="s">
        <v>4503</v>
      </c>
      <c r="TA6" s="1" t="s">
        <v>4504</v>
      </c>
      <c r="TB6" s="1" t="s">
        <v>4505</v>
      </c>
      <c r="TC6" s="1" t="s">
        <v>4506</v>
      </c>
      <c r="TD6" s="1" t="s">
        <v>4507</v>
      </c>
      <c r="TE6" s="1" t="s">
        <v>4508</v>
      </c>
      <c r="TF6" s="1" t="s">
        <v>4509</v>
      </c>
      <c r="TG6" s="1" t="s">
        <v>4510</v>
      </c>
      <c r="TH6" s="1" t="s">
        <v>4511</v>
      </c>
      <c r="TI6" s="1" t="s">
        <v>4512</v>
      </c>
      <c r="TJ6" s="1" t="s">
        <v>4513</v>
      </c>
      <c r="TK6" s="1" t="s">
        <v>4514</v>
      </c>
      <c r="TL6" s="1" t="s">
        <v>4515</v>
      </c>
      <c r="TM6" s="1" t="s">
        <v>4516</v>
      </c>
      <c r="TN6" s="1" t="s">
        <v>4517</v>
      </c>
      <c r="TO6" s="1" t="s">
        <v>4518</v>
      </c>
      <c r="TP6" s="1" t="s">
        <v>4519</v>
      </c>
      <c r="TQ6" s="1" t="s">
        <v>4520</v>
      </c>
      <c r="TR6" s="1" t="s">
        <v>4521</v>
      </c>
      <c r="TS6" s="1" t="s">
        <v>4522</v>
      </c>
      <c r="TT6" s="1" t="s">
        <v>4523</v>
      </c>
      <c r="TU6" s="1" t="s">
        <v>4524</v>
      </c>
      <c r="TV6" s="1" t="s">
        <v>4525</v>
      </c>
      <c r="TW6" s="1" t="s">
        <v>4526</v>
      </c>
      <c r="TX6" s="1" t="s">
        <v>4527</v>
      </c>
      <c r="TY6" s="1" t="s">
        <v>4528</v>
      </c>
      <c r="TZ6" s="1" t="s">
        <v>4529</v>
      </c>
      <c r="UA6" s="1" t="s">
        <v>4530</v>
      </c>
      <c r="UB6" s="1" t="s">
        <v>4531</v>
      </c>
      <c r="UC6" s="1" t="s">
        <v>4532</v>
      </c>
      <c r="UD6" s="1" t="s">
        <v>4533</v>
      </c>
      <c r="UE6" s="1" t="s">
        <v>4534</v>
      </c>
      <c r="UF6" s="1" t="s">
        <v>4535</v>
      </c>
      <c r="UG6" s="1" t="s">
        <v>4536</v>
      </c>
      <c r="UH6" s="1" t="s">
        <v>4537</v>
      </c>
      <c r="UI6" s="1" t="s">
        <v>4538</v>
      </c>
      <c r="UJ6" s="1" t="s">
        <v>4539</v>
      </c>
      <c r="UK6" s="1" t="s">
        <v>4540</v>
      </c>
      <c r="UL6" s="1" t="s">
        <v>4541</v>
      </c>
      <c r="UM6" s="1" t="s">
        <v>4542</v>
      </c>
      <c r="UN6" s="1" t="s">
        <v>4543</v>
      </c>
      <c r="UO6" s="1" t="s">
        <v>4544</v>
      </c>
      <c r="UP6" s="1" t="s">
        <v>4545</v>
      </c>
      <c r="UQ6" s="1" t="s">
        <v>4546</v>
      </c>
      <c r="UR6" s="1" t="s">
        <v>4547</v>
      </c>
      <c r="US6" s="1" t="s">
        <v>4548</v>
      </c>
      <c r="UT6" s="1" t="s">
        <v>4549</v>
      </c>
      <c r="UU6" s="1" t="s">
        <v>4550</v>
      </c>
      <c r="UV6" s="1" t="s">
        <v>4551</v>
      </c>
      <c r="UW6" s="1" t="s">
        <v>4552</v>
      </c>
      <c r="UX6" s="1" t="s">
        <v>4553</v>
      </c>
      <c r="UY6" s="1" t="s">
        <v>4554</v>
      </c>
      <c r="UZ6" s="1" t="s">
        <v>4555</v>
      </c>
      <c r="VA6" s="1" t="s">
        <v>4556</v>
      </c>
      <c r="VB6" s="1" t="s">
        <v>4557</v>
      </c>
      <c r="VC6" s="1" t="s">
        <v>4558</v>
      </c>
      <c r="VD6" s="1" t="s">
        <v>4559</v>
      </c>
      <c r="VE6" s="1" t="s">
        <v>4560</v>
      </c>
      <c r="VF6" s="1" t="s">
        <v>4561</v>
      </c>
      <c r="VG6" s="1" t="s">
        <v>4562</v>
      </c>
      <c r="VH6" s="1" t="s">
        <v>4563</v>
      </c>
      <c r="VI6" s="1" t="s">
        <v>4564</v>
      </c>
      <c r="VJ6" s="1" t="s">
        <v>4565</v>
      </c>
      <c r="VK6" s="1" t="s">
        <v>4566</v>
      </c>
      <c r="VL6" s="1" t="s">
        <v>4567</v>
      </c>
      <c r="VM6" s="1" t="s">
        <v>4568</v>
      </c>
      <c r="VN6" s="1" t="s">
        <v>4569</v>
      </c>
      <c r="VO6" s="1" t="s">
        <v>4570</v>
      </c>
      <c r="VP6" s="1" t="s">
        <v>4571</v>
      </c>
      <c r="VQ6" s="1" t="s">
        <v>4572</v>
      </c>
      <c r="VR6" s="1" t="s">
        <v>4573</v>
      </c>
      <c r="VS6" s="1" t="s">
        <v>4574</v>
      </c>
      <c r="VT6" s="1" t="s">
        <v>4575</v>
      </c>
      <c r="VU6" s="1" t="s">
        <v>4576</v>
      </c>
      <c r="VV6" s="1" t="s">
        <v>4577</v>
      </c>
      <c r="VW6" s="1" t="s">
        <v>4578</v>
      </c>
      <c r="VX6" s="1" t="s">
        <v>4579</v>
      </c>
      <c r="VY6" s="1" t="s">
        <v>4580</v>
      </c>
      <c r="VZ6" s="1" t="s">
        <v>4581</v>
      </c>
      <c r="WA6" s="1" t="s">
        <v>4582</v>
      </c>
      <c r="WB6" s="1" t="s">
        <v>4583</v>
      </c>
      <c r="WC6" s="1" t="s">
        <v>4584</v>
      </c>
      <c r="WD6" s="1" t="s">
        <v>4585</v>
      </c>
      <c r="WE6" s="1" t="s">
        <v>4586</v>
      </c>
      <c r="WF6" s="1" t="s">
        <v>4587</v>
      </c>
      <c r="WG6" s="1" t="s">
        <v>4588</v>
      </c>
      <c r="WH6" s="1" t="s">
        <v>4589</v>
      </c>
      <c r="WI6" s="1" t="s">
        <v>4590</v>
      </c>
      <c r="WJ6" s="1" t="s">
        <v>4591</v>
      </c>
      <c r="WK6" s="1" t="s">
        <v>4592</v>
      </c>
      <c r="WL6" s="1" t="s">
        <v>4593</v>
      </c>
      <c r="WM6" s="1" t="s">
        <v>4594</v>
      </c>
      <c r="WN6" s="1" t="s">
        <v>4595</v>
      </c>
      <c r="WO6" s="1" t="s">
        <v>4596</v>
      </c>
      <c r="WP6" s="1" t="s">
        <v>4597</v>
      </c>
      <c r="WQ6" s="1" t="s">
        <v>4598</v>
      </c>
      <c r="WR6" s="1" t="s">
        <v>4599</v>
      </c>
      <c r="WS6" s="1" t="s">
        <v>4600</v>
      </c>
      <c r="WT6" s="1" t="s">
        <v>4601</v>
      </c>
      <c r="WU6" s="1" t="s">
        <v>4602</v>
      </c>
      <c r="WV6" s="1" t="s">
        <v>4603</v>
      </c>
      <c r="WW6" s="1" t="s">
        <v>4604</v>
      </c>
      <c r="WX6" s="1" t="s">
        <v>4605</v>
      </c>
      <c r="WY6" s="1" t="s">
        <v>4606</v>
      </c>
      <c r="WZ6" s="1" t="s">
        <v>4607</v>
      </c>
      <c r="XA6" s="1" t="s">
        <v>4608</v>
      </c>
      <c r="XB6" s="1" t="s">
        <v>4609</v>
      </c>
      <c r="XC6" s="1" t="s">
        <v>4610</v>
      </c>
      <c r="XD6" s="1" t="s">
        <v>4611</v>
      </c>
      <c r="XE6" s="1" t="s">
        <v>4612</v>
      </c>
      <c r="XF6" s="1" t="s">
        <v>4613</v>
      </c>
      <c r="XG6" s="1" t="s">
        <v>4614</v>
      </c>
      <c r="XH6" s="1" t="s">
        <v>4615</v>
      </c>
      <c r="XI6" s="1" t="s">
        <v>4616</v>
      </c>
      <c r="XJ6" s="1" t="s">
        <v>4617</v>
      </c>
      <c r="XK6" s="1" t="s">
        <v>4618</v>
      </c>
      <c r="XL6" s="1" t="s">
        <v>4619</v>
      </c>
      <c r="XM6" s="1" t="s">
        <v>4620</v>
      </c>
      <c r="XN6" s="1" t="s">
        <v>4621</v>
      </c>
      <c r="XO6" s="1" t="s">
        <v>4622</v>
      </c>
      <c r="XP6" s="1" t="s">
        <v>4623</v>
      </c>
      <c r="XQ6" s="1" t="s">
        <v>4624</v>
      </c>
      <c r="XR6" s="1" t="s">
        <v>4625</v>
      </c>
      <c r="XS6" s="1" t="s">
        <v>4626</v>
      </c>
      <c r="XT6" s="1" t="s">
        <v>4627</v>
      </c>
      <c r="XU6" s="1" t="s">
        <v>4628</v>
      </c>
      <c r="XV6" s="1" t="s">
        <v>4629</v>
      </c>
      <c r="XW6" s="1" t="s">
        <v>4630</v>
      </c>
      <c r="XX6" s="1" t="s">
        <v>4631</v>
      </c>
      <c r="XY6" s="1" t="s">
        <v>4632</v>
      </c>
      <c r="XZ6" s="1" t="s">
        <v>4633</v>
      </c>
      <c r="YA6" s="1" t="s">
        <v>4634</v>
      </c>
      <c r="YB6" s="1" t="s">
        <v>4635</v>
      </c>
      <c r="YC6" s="1" t="s">
        <v>4636</v>
      </c>
      <c r="YD6" s="1" t="s">
        <v>4637</v>
      </c>
      <c r="YE6" s="1" t="s">
        <v>4638</v>
      </c>
      <c r="YF6" s="1" t="s">
        <v>4639</v>
      </c>
      <c r="YG6" s="1" t="s">
        <v>4640</v>
      </c>
      <c r="YH6" s="1" t="s">
        <v>4641</v>
      </c>
      <c r="YI6" s="1" t="s">
        <v>4642</v>
      </c>
      <c r="YJ6" s="1" t="s">
        <v>4643</v>
      </c>
      <c r="YK6" s="1" t="s">
        <v>4644</v>
      </c>
      <c r="YL6" s="1" t="s">
        <v>4645</v>
      </c>
      <c r="YM6" s="1" t="s">
        <v>4646</v>
      </c>
      <c r="YN6" s="1" t="s">
        <v>4647</v>
      </c>
      <c r="YO6" s="1" t="s">
        <v>4648</v>
      </c>
      <c r="YP6" s="1" t="s">
        <v>4649</v>
      </c>
      <c r="YQ6" s="1" t="s">
        <v>4650</v>
      </c>
      <c r="YR6" s="1" t="s">
        <v>4651</v>
      </c>
      <c r="YS6" s="1" t="s">
        <v>4652</v>
      </c>
      <c r="YT6" s="1" t="s">
        <v>4653</v>
      </c>
      <c r="YU6" s="1" t="s">
        <v>4654</v>
      </c>
      <c r="YV6" s="1" t="s">
        <v>4655</v>
      </c>
      <c r="YW6" s="1" t="s">
        <v>4656</v>
      </c>
      <c r="YX6" s="1" t="s">
        <v>4657</v>
      </c>
      <c r="YY6" s="1" t="s">
        <v>4658</v>
      </c>
      <c r="YZ6" s="1" t="s">
        <v>4659</v>
      </c>
      <c r="ZA6" s="1" t="s">
        <v>4660</v>
      </c>
      <c r="ZB6" s="1" t="s">
        <v>4661</v>
      </c>
      <c r="ZC6" s="1" t="s">
        <v>4662</v>
      </c>
      <c r="ZD6" s="1" t="s">
        <v>4663</v>
      </c>
      <c r="ZE6" s="1" t="s">
        <v>4664</v>
      </c>
      <c r="ZF6" s="1" t="s">
        <v>4665</v>
      </c>
      <c r="ZG6" s="1" t="s">
        <v>4666</v>
      </c>
      <c r="ZH6" s="1" t="s">
        <v>4667</v>
      </c>
      <c r="ZI6" s="1" t="s">
        <v>4668</v>
      </c>
      <c r="ZJ6" s="1" t="s">
        <v>4669</v>
      </c>
      <c r="ZK6" s="1" t="s">
        <v>4670</v>
      </c>
      <c r="ZL6" s="1" t="s">
        <v>4671</v>
      </c>
      <c r="ZM6" s="1" t="s">
        <v>4672</v>
      </c>
      <c r="ZN6" s="1" t="s">
        <v>4673</v>
      </c>
      <c r="ZO6" s="1" t="s">
        <v>4674</v>
      </c>
      <c r="ZP6" s="1" t="s">
        <v>4675</v>
      </c>
      <c r="ZQ6" s="1" t="s">
        <v>4676</v>
      </c>
      <c r="ZR6" s="1" t="s">
        <v>4677</v>
      </c>
      <c r="ZS6" s="1" t="s">
        <v>4678</v>
      </c>
      <c r="ZT6" s="1" t="s">
        <v>4679</v>
      </c>
      <c r="ZU6" s="1" t="s">
        <v>4680</v>
      </c>
      <c r="ZV6" s="1" t="s">
        <v>4681</v>
      </c>
      <c r="ZW6" s="1" t="s">
        <v>4682</v>
      </c>
      <c r="ZX6" s="1" t="s">
        <v>4683</v>
      </c>
      <c r="ZY6" s="1" t="s">
        <v>4684</v>
      </c>
      <c r="ZZ6" s="1" t="s">
        <v>4685</v>
      </c>
      <c r="AAA6" s="1" t="s">
        <v>4686</v>
      </c>
      <c r="AAB6" s="1" t="s">
        <v>4687</v>
      </c>
      <c r="AAC6" s="1" t="s">
        <v>4688</v>
      </c>
      <c r="AAD6" s="1" t="s">
        <v>4689</v>
      </c>
      <c r="AAE6" s="1" t="s">
        <v>4690</v>
      </c>
      <c r="AAF6" s="1" t="s">
        <v>4691</v>
      </c>
      <c r="AAG6" s="1" t="s">
        <v>4692</v>
      </c>
      <c r="AAH6" s="1" t="s">
        <v>4693</v>
      </c>
      <c r="AAI6" s="1" t="s">
        <v>4694</v>
      </c>
      <c r="AAJ6" s="1" t="s">
        <v>4695</v>
      </c>
      <c r="AAK6" s="1" t="s">
        <v>4696</v>
      </c>
      <c r="AAL6" s="1" t="s">
        <v>4697</v>
      </c>
      <c r="AAM6" s="1" t="s">
        <v>4698</v>
      </c>
      <c r="AAN6" s="1" t="s">
        <v>4699</v>
      </c>
      <c r="AAO6" s="1" t="s">
        <v>4700</v>
      </c>
      <c r="AAP6" s="1" t="s">
        <v>4701</v>
      </c>
      <c r="AAQ6" s="1" t="s">
        <v>4702</v>
      </c>
      <c r="AAR6" s="1" t="s">
        <v>4703</v>
      </c>
      <c r="AAS6" s="1" t="s">
        <v>4704</v>
      </c>
      <c r="AAT6" s="1" t="s">
        <v>4705</v>
      </c>
      <c r="AAU6" s="1" t="s">
        <v>4706</v>
      </c>
      <c r="AAV6" s="1" t="s">
        <v>4707</v>
      </c>
      <c r="AAW6" s="1" t="s">
        <v>4708</v>
      </c>
      <c r="AAX6" s="1" t="s">
        <v>4709</v>
      </c>
      <c r="AAY6" s="1" t="s">
        <v>4710</v>
      </c>
      <c r="AAZ6" s="1" t="s">
        <v>4711</v>
      </c>
      <c r="ABA6" s="1" t="s">
        <v>4712</v>
      </c>
      <c r="ABB6" s="1" t="s">
        <v>4713</v>
      </c>
      <c r="ABC6" s="1" t="s">
        <v>4714</v>
      </c>
      <c r="ABD6" s="1" t="s">
        <v>4715</v>
      </c>
      <c r="ABE6" s="1" t="s">
        <v>4716</v>
      </c>
      <c r="ABF6" s="1" t="s">
        <v>4717</v>
      </c>
      <c r="ABG6" s="1" t="s">
        <v>4718</v>
      </c>
      <c r="ABH6" s="1" t="s">
        <v>4719</v>
      </c>
      <c r="ABI6" s="1" t="s">
        <v>4720</v>
      </c>
      <c r="ABJ6" s="1" t="s">
        <v>4721</v>
      </c>
      <c r="ABK6" s="1" t="s">
        <v>4722</v>
      </c>
      <c r="ABL6" s="1" t="s">
        <v>4723</v>
      </c>
      <c r="ABM6" s="1" t="s">
        <v>4724</v>
      </c>
      <c r="ABN6" s="1" t="s">
        <v>4725</v>
      </c>
      <c r="ABO6" s="1" t="s">
        <v>4726</v>
      </c>
      <c r="ABP6" s="1" t="s">
        <v>4727</v>
      </c>
      <c r="ABQ6" s="1" t="s">
        <v>4728</v>
      </c>
      <c r="ABR6" s="1" t="s">
        <v>4729</v>
      </c>
      <c r="ABS6" s="1" t="s">
        <v>4730</v>
      </c>
      <c r="ABT6" s="1" t="s">
        <v>4731</v>
      </c>
      <c r="ABU6" s="1" t="s">
        <v>4732</v>
      </c>
      <c r="ABV6" s="1" t="s">
        <v>4733</v>
      </c>
      <c r="ABW6" s="1" t="s">
        <v>4734</v>
      </c>
      <c r="ABX6" s="1" t="s">
        <v>4735</v>
      </c>
      <c r="ABY6" s="1" t="s">
        <v>4736</v>
      </c>
      <c r="ABZ6" s="1" t="s">
        <v>4737</v>
      </c>
      <c r="ACA6" s="1" t="s">
        <v>4738</v>
      </c>
      <c r="ACB6" s="1" t="s">
        <v>4739</v>
      </c>
      <c r="ACC6" s="1" t="s">
        <v>4740</v>
      </c>
      <c r="ACD6" s="1" t="s">
        <v>4741</v>
      </c>
      <c r="ACE6" s="1" t="s">
        <v>4742</v>
      </c>
      <c r="ACF6" s="1" t="s">
        <v>4743</v>
      </c>
      <c r="ACG6" s="1" t="s">
        <v>4744</v>
      </c>
      <c r="ACH6" s="1" t="s">
        <v>4745</v>
      </c>
      <c r="ACI6" s="1" t="s">
        <v>4746</v>
      </c>
      <c r="ACJ6" s="1" t="s">
        <v>4747</v>
      </c>
      <c r="ACK6" s="1" t="s">
        <v>4748</v>
      </c>
      <c r="ACL6" s="1" t="s">
        <v>4749</v>
      </c>
      <c r="ACM6" s="1" t="s">
        <v>4750</v>
      </c>
      <c r="ACN6" s="1" t="s">
        <v>4751</v>
      </c>
      <c r="ACO6" s="1" t="s">
        <v>4752</v>
      </c>
      <c r="ACP6" s="1" t="s">
        <v>4753</v>
      </c>
      <c r="ACQ6" s="1" t="s">
        <v>4754</v>
      </c>
      <c r="ACR6" s="1" t="s">
        <v>4755</v>
      </c>
      <c r="ACS6" s="1" t="s">
        <v>4756</v>
      </c>
      <c r="ACT6" s="1" t="s">
        <v>4757</v>
      </c>
      <c r="ACU6" s="1" t="s">
        <v>4758</v>
      </c>
      <c r="ACV6" s="1" t="s">
        <v>4759</v>
      </c>
      <c r="ACW6" s="1" t="s">
        <v>3</v>
      </c>
      <c r="ACX6" s="1" t="s">
        <v>1503</v>
      </c>
    </row>
    <row r="7" spans="1:778" x14ac:dyDescent="0.2">
      <c r="A7" s="1" t="s">
        <v>60</v>
      </c>
      <c r="B7" s="1" t="s">
        <v>4760</v>
      </c>
      <c r="C7" s="1" t="s">
        <v>4761</v>
      </c>
      <c r="D7" s="1" t="s">
        <v>4762</v>
      </c>
      <c r="E7" s="1" t="s">
        <v>4763</v>
      </c>
      <c r="F7" s="1" t="s">
        <v>4764</v>
      </c>
      <c r="G7" s="1" t="s">
        <v>4765</v>
      </c>
      <c r="H7" s="1" t="s">
        <v>4766</v>
      </c>
      <c r="I7" s="1" t="s">
        <v>4767</v>
      </c>
      <c r="J7" s="1" t="s">
        <v>4768</v>
      </c>
      <c r="K7" s="1" t="s">
        <v>4769</v>
      </c>
      <c r="L7" s="1" t="s">
        <v>4770</v>
      </c>
      <c r="M7" s="1" t="s">
        <v>4771</v>
      </c>
      <c r="N7" s="1" t="s">
        <v>4772</v>
      </c>
      <c r="O7" s="1" t="s">
        <v>4773</v>
      </c>
      <c r="P7" s="1" t="s">
        <v>4774</v>
      </c>
      <c r="Q7" s="1" t="s">
        <v>4775</v>
      </c>
      <c r="R7" s="1" t="s">
        <v>4776</v>
      </c>
      <c r="S7" s="1" t="s">
        <v>4777</v>
      </c>
      <c r="T7" s="1" t="s">
        <v>4778</v>
      </c>
      <c r="U7" s="1" t="s">
        <v>4779</v>
      </c>
      <c r="V7" s="1" t="s">
        <v>4780</v>
      </c>
      <c r="W7" s="1" t="s">
        <v>4781</v>
      </c>
      <c r="X7" s="1" t="s">
        <v>4782</v>
      </c>
      <c r="Y7" s="1" t="s">
        <v>4783</v>
      </c>
      <c r="Z7" s="1" t="s">
        <v>4784</v>
      </c>
      <c r="AA7" s="1" t="s">
        <v>4785</v>
      </c>
      <c r="AB7" s="1" t="s">
        <v>4786</v>
      </c>
      <c r="AC7" s="1" t="s">
        <v>4787</v>
      </c>
      <c r="AD7" s="1" t="s">
        <v>4788</v>
      </c>
      <c r="AE7" s="1" t="s">
        <v>4789</v>
      </c>
      <c r="AF7" s="1" t="s">
        <v>4790</v>
      </c>
      <c r="AG7" s="1" t="s">
        <v>4791</v>
      </c>
      <c r="AH7" s="1" t="s">
        <v>4792</v>
      </c>
      <c r="AI7" s="1" t="s">
        <v>4793</v>
      </c>
      <c r="AJ7" s="1" t="s">
        <v>4794</v>
      </c>
      <c r="AK7" s="1" t="s">
        <v>4795</v>
      </c>
      <c r="AL7" s="1" t="s">
        <v>4796</v>
      </c>
      <c r="AM7" s="1" t="s">
        <v>4797</v>
      </c>
      <c r="AN7" s="1" t="s">
        <v>4798</v>
      </c>
      <c r="AO7" s="1" t="s">
        <v>4799</v>
      </c>
      <c r="AP7" s="1" t="s">
        <v>4800</v>
      </c>
      <c r="AQ7" s="1" t="s">
        <v>4801</v>
      </c>
      <c r="AR7" s="1" t="s">
        <v>4802</v>
      </c>
      <c r="AS7" s="1" t="s">
        <v>4803</v>
      </c>
      <c r="AT7" s="1" t="s">
        <v>4804</v>
      </c>
      <c r="AU7" s="1" t="s">
        <v>4805</v>
      </c>
      <c r="AV7" s="1" t="s">
        <v>4806</v>
      </c>
      <c r="AW7" s="1" t="s">
        <v>4807</v>
      </c>
      <c r="AX7" s="1" t="s">
        <v>4808</v>
      </c>
      <c r="AY7" s="1" t="s">
        <v>4809</v>
      </c>
      <c r="AZ7" s="1" t="s">
        <v>4810</v>
      </c>
      <c r="BA7" s="1" t="s">
        <v>4811</v>
      </c>
      <c r="BB7" s="1" t="s">
        <v>4812</v>
      </c>
      <c r="BC7" s="1" t="s">
        <v>4813</v>
      </c>
      <c r="BD7" s="1" t="s">
        <v>4814</v>
      </c>
      <c r="BE7" s="1" t="s">
        <v>4815</v>
      </c>
      <c r="BF7" s="1" t="s">
        <v>4816</v>
      </c>
      <c r="BG7" s="1" t="s">
        <v>4817</v>
      </c>
      <c r="BH7" s="1" t="s">
        <v>4818</v>
      </c>
      <c r="BI7" s="1" t="s">
        <v>4819</v>
      </c>
      <c r="BJ7" s="1" t="s">
        <v>4820</v>
      </c>
      <c r="BK7" s="1" t="s">
        <v>4821</v>
      </c>
      <c r="BL7" s="1" t="s">
        <v>4822</v>
      </c>
      <c r="BM7" s="1" t="s">
        <v>4823</v>
      </c>
      <c r="BN7" s="1" t="s">
        <v>4824</v>
      </c>
      <c r="BO7" s="1" t="s">
        <v>4825</v>
      </c>
      <c r="BP7" s="1" t="s">
        <v>4826</v>
      </c>
      <c r="BQ7" s="1" t="s">
        <v>4827</v>
      </c>
      <c r="BR7" s="1" t="s">
        <v>4828</v>
      </c>
      <c r="BS7" s="1" t="s">
        <v>4829</v>
      </c>
      <c r="BT7" s="1" t="s">
        <v>4830</v>
      </c>
      <c r="BU7" s="1" t="s">
        <v>4831</v>
      </c>
      <c r="BV7" s="1" t="s">
        <v>4832</v>
      </c>
      <c r="BW7" s="1" t="s">
        <v>4833</v>
      </c>
      <c r="BX7" s="1" t="s">
        <v>4834</v>
      </c>
      <c r="BY7" s="1" t="s">
        <v>4835</v>
      </c>
      <c r="BZ7" s="1" t="s">
        <v>4836</v>
      </c>
      <c r="CA7" s="1" t="s">
        <v>4837</v>
      </c>
      <c r="CB7" s="1" t="s">
        <v>4838</v>
      </c>
      <c r="CC7" s="1" t="s">
        <v>4839</v>
      </c>
      <c r="CD7" s="1" t="s">
        <v>4840</v>
      </c>
      <c r="CE7" s="1" t="s">
        <v>4841</v>
      </c>
      <c r="CF7" s="1" t="s">
        <v>4842</v>
      </c>
      <c r="CG7" s="1" t="s">
        <v>4843</v>
      </c>
      <c r="CH7" s="1" t="s">
        <v>4844</v>
      </c>
      <c r="CI7" s="1" t="s">
        <v>4845</v>
      </c>
      <c r="CJ7" s="1" t="s">
        <v>4846</v>
      </c>
      <c r="CK7" s="1" t="s">
        <v>4847</v>
      </c>
      <c r="CL7" s="1" t="s">
        <v>4848</v>
      </c>
      <c r="CM7" s="1" t="s">
        <v>4849</v>
      </c>
      <c r="CN7" s="1" t="s">
        <v>4850</v>
      </c>
      <c r="CO7" s="1" t="s">
        <v>4851</v>
      </c>
      <c r="CP7" s="1" t="s">
        <v>4852</v>
      </c>
      <c r="CQ7" s="1" t="s">
        <v>4853</v>
      </c>
      <c r="CR7" s="1" t="s">
        <v>4854</v>
      </c>
      <c r="CS7" s="1" t="s">
        <v>4855</v>
      </c>
      <c r="CT7" s="1" t="s">
        <v>4856</v>
      </c>
      <c r="CU7" s="1" t="s">
        <v>4857</v>
      </c>
      <c r="CV7" s="1" t="s">
        <v>4858</v>
      </c>
      <c r="CW7" s="1" t="s">
        <v>4859</v>
      </c>
      <c r="CX7" s="1" t="s">
        <v>4860</v>
      </c>
      <c r="CY7" s="1" t="s">
        <v>4861</v>
      </c>
      <c r="CZ7" s="1" t="s">
        <v>4862</v>
      </c>
      <c r="DA7" s="1" t="s">
        <v>4863</v>
      </c>
      <c r="DB7" s="1" t="s">
        <v>4864</v>
      </c>
      <c r="DC7" s="1" t="s">
        <v>4865</v>
      </c>
      <c r="DD7" s="1" t="s">
        <v>4866</v>
      </c>
      <c r="DE7" s="1" t="s">
        <v>4867</v>
      </c>
      <c r="DF7" s="1" t="s">
        <v>4868</v>
      </c>
      <c r="DG7" s="1" t="s">
        <v>4869</v>
      </c>
      <c r="DH7" s="1" t="s">
        <v>4870</v>
      </c>
      <c r="DI7" s="1" t="s">
        <v>4871</v>
      </c>
      <c r="DJ7" s="1" t="s">
        <v>4872</v>
      </c>
      <c r="DK7" s="1" t="s">
        <v>4873</v>
      </c>
      <c r="DL7" s="1" t="s">
        <v>4874</v>
      </c>
      <c r="DM7" s="1" t="s">
        <v>4875</v>
      </c>
      <c r="DN7" s="1" t="s">
        <v>4876</v>
      </c>
      <c r="DO7" s="1" t="s">
        <v>4877</v>
      </c>
      <c r="DP7" s="1" t="s">
        <v>4878</v>
      </c>
      <c r="DQ7" s="1" t="s">
        <v>4879</v>
      </c>
      <c r="DR7" s="1" t="s">
        <v>4880</v>
      </c>
      <c r="DS7" s="1" t="s">
        <v>4881</v>
      </c>
      <c r="DT7" s="1" t="s">
        <v>4882</v>
      </c>
      <c r="DU7" s="1" t="s">
        <v>4883</v>
      </c>
      <c r="DV7" s="1" t="s">
        <v>4884</v>
      </c>
      <c r="DW7" s="1" t="s">
        <v>4885</v>
      </c>
      <c r="DX7" s="1" t="s">
        <v>4886</v>
      </c>
      <c r="DY7" s="1" t="s">
        <v>4887</v>
      </c>
      <c r="DZ7" s="1" t="s">
        <v>4888</v>
      </c>
      <c r="EA7" s="1" t="s">
        <v>4889</v>
      </c>
      <c r="EB7" s="1" t="s">
        <v>4890</v>
      </c>
      <c r="EC7" s="1" t="s">
        <v>4891</v>
      </c>
      <c r="ED7" s="1" t="s">
        <v>4892</v>
      </c>
      <c r="EE7" s="1" t="s">
        <v>4893</v>
      </c>
      <c r="EF7" s="1" t="s">
        <v>4894</v>
      </c>
      <c r="EG7" s="1" t="s">
        <v>4895</v>
      </c>
      <c r="EH7" s="1" t="s">
        <v>4896</v>
      </c>
      <c r="EI7" s="1" t="s">
        <v>4897</v>
      </c>
      <c r="EJ7" s="1" t="s">
        <v>4898</v>
      </c>
      <c r="EK7" s="1" t="s">
        <v>4899</v>
      </c>
      <c r="EL7" s="1" t="s">
        <v>4900</v>
      </c>
      <c r="EM7" s="1" t="s">
        <v>4901</v>
      </c>
      <c r="EN7" s="1" t="s">
        <v>4902</v>
      </c>
      <c r="EO7" s="1" t="s">
        <v>4903</v>
      </c>
      <c r="EP7" s="1" t="s">
        <v>4904</v>
      </c>
      <c r="EQ7" s="1" t="s">
        <v>4905</v>
      </c>
      <c r="ER7" s="1" t="s">
        <v>4906</v>
      </c>
      <c r="ES7" s="1" t="s">
        <v>4907</v>
      </c>
      <c r="ET7" s="1" t="s">
        <v>4908</v>
      </c>
      <c r="EU7" s="1" t="s">
        <v>4909</v>
      </c>
      <c r="EV7" s="1" t="s">
        <v>4910</v>
      </c>
      <c r="EW7" s="1" t="s">
        <v>4911</v>
      </c>
      <c r="EX7" s="1" t="s">
        <v>4912</v>
      </c>
      <c r="EY7" s="1" t="s">
        <v>4913</v>
      </c>
      <c r="EZ7" s="1" t="s">
        <v>4914</v>
      </c>
      <c r="FA7" s="1" t="s">
        <v>4915</v>
      </c>
      <c r="FB7" s="1" t="s">
        <v>4916</v>
      </c>
      <c r="FC7" s="1" t="s">
        <v>4917</v>
      </c>
      <c r="FD7" s="1" t="s">
        <v>4918</v>
      </c>
      <c r="FE7" s="1" t="s">
        <v>4919</v>
      </c>
      <c r="FF7" s="1" t="s">
        <v>4920</v>
      </c>
      <c r="FG7" s="1" t="s">
        <v>4921</v>
      </c>
      <c r="FH7" s="1" t="s">
        <v>4922</v>
      </c>
      <c r="FI7" s="1" t="s">
        <v>4923</v>
      </c>
      <c r="FJ7" s="1" t="s">
        <v>4924</v>
      </c>
      <c r="FK7" s="1" t="s">
        <v>4925</v>
      </c>
      <c r="FL7" s="1" t="s">
        <v>4926</v>
      </c>
      <c r="FM7" s="1" t="s">
        <v>4927</v>
      </c>
      <c r="FN7" s="1" t="s">
        <v>4928</v>
      </c>
      <c r="FO7" s="1" t="s">
        <v>4929</v>
      </c>
      <c r="FP7" s="1" t="s">
        <v>4930</v>
      </c>
      <c r="FQ7" s="1" t="s">
        <v>4931</v>
      </c>
      <c r="FR7" s="1" t="s">
        <v>4932</v>
      </c>
      <c r="FS7" s="1" t="s">
        <v>4933</v>
      </c>
      <c r="FT7" s="1" t="s">
        <v>4934</v>
      </c>
      <c r="FU7" s="1" t="s">
        <v>4935</v>
      </c>
      <c r="FV7" s="1" t="s">
        <v>4936</v>
      </c>
      <c r="FW7" s="1" t="s">
        <v>4937</v>
      </c>
      <c r="FX7" s="1" t="s">
        <v>4938</v>
      </c>
      <c r="FY7" s="1" t="s">
        <v>4939</v>
      </c>
      <c r="FZ7" s="1" t="s">
        <v>4940</v>
      </c>
      <c r="GA7" s="1" t="s">
        <v>4941</v>
      </c>
      <c r="GB7" s="1" t="s">
        <v>4942</v>
      </c>
      <c r="GC7" s="1" t="s">
        <v>4943</v>
      </c>
      <c r="GD7" s="1" t="s">
        <v>4944</v>
      </c>
      <c r="GE7" s="1" t="s">
        <v>4945</v>
      </c>
      <c r="GF7" s="1" t="s">
        <v>4946</v>
      </c>
      <c r="GG7" s="1" t="s">
        <v>4947</v>
      </c>
      <c r="GH7" s="1" t="s">
        <v>4948</v>
      </c>
      <c r="GI7" s="1" t="s">
        <v>4949</v>
      </c>
      <c r="GJ7" s="1" t="s">
        <v>4950</v>
      </c>
      <c r="GK7" s="1" t="s">
        <v>4951</v>
      </c>
      <c r="GL7" s="1" t="s">
        <v>4952</v>
      </c>
      <c r="GM7" s="1" t="s">
        <v>4953</v>
      </c>
      <c r="GN7" s="1" t="s">
        <v>4954</v>
      </c>
      <c r="GO7" s="1" t="s">
        <v>4955</v>
      </c>
      <c r="GP7" s="1" t="s">
        <v>4956</v>
      </c>
      <c r="GQ7" s="1" t="s">
        <v>4957</v>
      </c>
      <c r="GR7" s="1" t="s">
        <v>4958</v>
      </c>
      <c r="GS7" s="1" t="s">
        <v>4959</v>
      </c>
      <c r="GT7" s="1" t="s">
        <v>4960</v>
      </c>
      <c r="GU7" s="1" t="s">
        <v>4961</v>
      </c>
      <c r="GV7" s="1" t="s">
        <v>4962</v>
      </c>
      <c r="GW7" s="1" t="s">
        <v>4963</v>
      </c>
      <c r="GX7" s="1" t="s">
        <v>4964</v>
      </c>
      <c r="GY7" s="1" t="s">
        <v>4965</v>
      </c>
      <c r="GZ7" s="1" t="s">
        <v>4966</v>
      </c>
      <c r="HA7" s="1" t="s">
        <v>4967</v>
      </c>
      <c r="HB7" s="1" t="s">
        <v>4968</v>
      </c>
      <c r="HC7" s="1" t="s">
        <v>4969</v>
      </c>
      <c r="HD7" s="1" t="s">
        <v>4970</v>
      </c>
      <c r="HE7" s="1" t="s">
        <v>4971</v>
      </c>
      <c r="HF7" s="1" t="s">
        <v>4972</v>
      </c>
      <c r="HG7" s="1" t="s">
        <v>4973</v>
      </c>
      <c r="HH7" s="1" t="s">
        <v>4974</v>
      </c>
      <c r="HI7" s="1" t="s">
        <v>4975</v>
      </c>
      <c r="HJ7" s="1" t="s">
        <v>4976</v>
      </c>
      <c r="HK7" s="1" t="s">
        <v>4977</v>
      </c>
      <c r="HL7" s="1" t="s">
        <v>4978</v>
      </c>
      <c r="HM7" s="1" t="s">
        <v>4979</v>
      </c>
      <c r="HN7" s="1" t="s">
        <v>4980</v>
      </c>
      <c r="HO7" s="1" t="s">
        <v>4981</v>
      </c>
      <c r="HP7" s="1" t="s">
        <v>4982</v>
      </c>
      <c r="HQ7" s="1" t="s">
        <v>4983</v>
      </c>
      <c r="HR7" s="1" t="s">
        <v>4984</v>
      </c>
      <c r="HS7" s="1" t="s">
        <v>4985</v>
      </c>
      <c r="HT7" s="1" t="s">
        <v>4986</v>
      </c>
      <c r="HU7" s="1" t="s">
        <v>4987</v>
      </c>
      <c r="HV7" s="1" t="s">
        <v>4988</v>
      </c>
      <c r="HW7" s="1" t="s">
        <v>4989</v>
      </c>
      <c r="HX7" s="1" t="s">
        <v>4990</v>
      </c>
      <c r="HY7" s="1" t="s">
        <v>4991</v>
      </c>
      <c r="HZ7" s="1" t="s">
        <v>4992</v>
      </c>
      <c r="IA7" s="1" t="s">
        <v>4993</v>
      </c>
      <c r="IB7" s="1" t="s">
        <v>4994</v>
      </c>
      <c r="IC7" s="1" t="s">
        <v>4995</v>
      </c>
      <c r="ID7" s="1" t="s">
        <v>4996</v>
      </c>
      <c r="IE7" s="1" t="s">
        <v>4997</v>
      </c>
      <c r="IF7" s="1" t="s">
        <v>4998</v>
      </c>
      <c r="IG7" s="1" t="s">
        <v>4999</v>
      </c>
      <c r="IH7" s="1" t="s">
        <v>5000</v>
      </c>
      <c r="II7" s="1" t="s">
        <v>5001</v>
      </c>
      <c r="IJ7" s="1" t="s">
        <v>5002</v>
      </c>
      <c r="IK7" s="1" t="s">
        <v>5003</v>
      </c>
      <c r="IL7" s="1" t="s">
        <v>5004</v>
      </c>
      <c r="IM7" s="1" t="s">
        <v>5005</v>
      </c>
      <c r="IN7" s="1" t="s">
        <v>5006</v>
      </c>
      <c r="IO7" s="1" t="s">
        <v>5007</v>
      </c>
      <c r="IP7" s="1" t="s">
        <v>5008</v>
      </c>
      <c r="IQ7" s="1" t="s">
        <v>5009</v>
      </c>
      <c r="IR7" s="1" t="s">
        <v>5010</v>
      </c>
      <c r="IS7" s="1" t="s">
        <v>5011</v>
      </c>
      <c r="IT7" s="1" t="s">
        <v>5012</v>
      </c>
      <c r="IU7" s="1" t="s">
        <v>5013</v>
      </c>
      <c r="IV7" s="1" t="s">
        <v>5014</v>
      </c>
      <c r="IW7" s="1" t="s">
        <v>5015</v>
      </c>
      <c r="IX7" s="1" t="s">
        <v>5016</v>
      </c>
      <c r="IY7" s="1" t="s">
        <v>5017</v>
      </c>
      <c r="IZ7" s="1" t="s">
        <v>5018</v>
      </c>
      <c r="JA7" s="1" t="s">
        <v>5019</v>
      </c>
      <c r="JB7" s="1" t="s">
        <v>5020</v>
      </c>
      <c r="JC7" s="1" t="s">
        <v>5021</v>
      </c>
      <c r="JD7" s="1" t="s">
        <v>5022</v>
      </c>
      <c r="JE7" s="1" t="s">
        <v>5023</v>
      </c>
      <c r="JF7" s="1" t="s">
        <v>5024</v>
      </c>
      <c r="JG7" s="1" t="s">
        <v>5025</v>
      </c>
      <c r="JH7" s="1" t="s">
        <v>5026</v>
      </c>
      <c r="JI7" s="1" t="s">
        <v>5027</v>
      </c>
      <c r="JJ7" s="1" t="s">
        <v>5028</v>
      </c>
      <c r="JK7" s="1" t="s">
        <v>5029</v>
      </c>
      <c r="JL7" s="1" t="s">
        <v>5030</v>
      </c>
      <c r="JM7" s="1" t="s">
        <v>5031</v>
      </c>
      <c r="JN7" s="1" t="s">
        <v>5032</v>
      </c>
      <c r="JO7" s="1" t="s">
        <v>5033</v>
      </c>
      <c r="JP7" s="1" t="s">
        <v>5034</v>
      </c>
      <c r="JQ7" s="1" t="s">
        <v>5035</v>
      </c>
      <c r="JR7" s="1" t="s">
        <v>5036</v>
      </c>
      <c r="JS7" s="1" t="s">
        <v>5037</v>
      </c>
      <c r="JT7" s="1" t="s">
        <v>5038</v>
      </c>
      <c r="JU7" s="1" t="s">
        <v>5039</v>
      </c>
      <c r="JV7" s="1" t="s">
        <v>5040</v>
      </c>
      <c r="JW7" s="1" t="s">
        <v>5041</v>
      </c>
      <c r="JX7" s="1" t="s">
        <v>5042</v>
      </c>
      <c r="JY7" s="1" t="s">
        <v>5043</v>
      </c>
      <c r="JZ7" s="1" t="s">
        <v>5044</v>
      </c>
      <c r="KA7" s="1" t="s">
        <v>5045</v>
      </c>
      <c r="KB7" s="1" t="s">
        <v>5046</v>
      </c>
      <c r="KC7" s="1" t="s">
        <v>5047</v>
      </c>
      <c r="KD7" s="1" t="s">
        <v>5048</v>
      </c>
      <c r="KE7" s="1" t="s">
        <v>5049</v>
      </c>
      <c r="KF7" s="1" t="s">
        <v>5050</v>
      </c>
      <c r="KG7" s="1" t="s">
        <v>5051</v>
      </c>
      <c r="KH7" s="1" t="s">
        <v>5052</v>
      </c>
      <c r="KI7" s="1" t="s">
        <v>5053</v>
      </c>
      <c r="KJ7" s="1" t="s">
        <v>5054</v>
      </c>
      <c r="KK7" s="1" t="s">
        <v>5055</v>
      </c>
      <c r="KL7" s="1" t="s">
        <v>5056</v>
      </c>
      <c r="KM7" s="1" t="s">
        <v>5057</v>
      </c>
      <c r="KN7" s="1" t="s">
        <v>5058</v>
      </c>
      <c r="KO7" s="1" t="s">
        <v>5059</v>
      </c>
      <c r="KP7" s="1" t="s">
        <v>5060</v>
      </c>
      <c r="KQ7" s="1" t="s">
        <v>5061</v>
      </c>
      <c r="KR7" s="1" t="s">
        <v>5062</v>
      </c>
      <c r="KS7" s="1" t="s">
        <v>5063</v>
      </c>
      <c r="KT7" s="1" t="s">
        <v>5064</v>
      </c>
      <c r="KU7" s="1" t="s">
        <v>5065</v>
      </c>
      <c r="KV7" s="1" t="s">
        <v>5066</v>
      </c>
      <c r="KW7" s="1" t="s">
        <v>5067</v>
      </c>
      <c r="KX7" s="1" t="s">
        <v>5068</v>
      </c>
      <c r="KY7" s="1" t="s">
        <v>5069</v>
      </c>
      <c r="KZ7" s="1" t="s">
        <v>5070</v>
      </c>
      <c r="LA7" s="1" t="s">
        <v>5071</v>
      </c>
      <c r="LB7" s="1" t="s">
        <v>5072</v>
      </c>
      <c r="LC7" s="1" t="s">
        <v>5073</v>
      </c>
      <c r="LD7" s="1" t="s">
        <v>5074</v>
      </c>
      <c r="LE7" s="1" t="s">
        <v>5075</v>
      </c>
      <c r="LF7" s="1" t="s">
        <v>5076</v>
      </c>
      <c r="LG7" s="1" t="s">
        <v>5077</v>
      </c>
      <c r="LH7" s="1" t="s">
        <v>5078</v>
      </c>
      <c r="LI7" s="1" t="s">
        <v>5079</v>
      </c>
      <c r="LJ7" s="1" t="s">
        <v>5080</v>
      </c>
      <c r="LK7" s="1" t="s">
        <v>5081</v>
      </c>
      <c r="LL7" s="1" t="s">
        <v>5082</v>
      </c>
      <c r="LM7" s="1" t="s">
        <v>5083</v>
      </c>
      <c r="LN7" s="1" t="s">
        <v>5084</v>
      </c>
      <c r="LO7" s="1" t="s">
        <v>5085</v>
      </c>
      <c r="LP7" s="1" t="s">
        <v>5086</v>
      </c>
      <c r="LQ7" s="1" t="s">
        <v>5087</v>
      </c>
      <c r="LR7" s="1" t="s">
        <v>5088</v>
      </c>
      <c r="LS7" s="1" t="s">
        <v>5089</v>
      </c>
      <c r="LT7" s="1" t="s">
        <v>5090</v>
      </c>
      <c r="LU7" s="1" t="s">
        <v>5091</v>
      </c>
      <c r="LV7" s="1" t="s">
        <v>5092</v>
      </c>
      <c r="LW7" s="1" t="s">
        <v>5093</v>
      </c>
      <c r="LX7" s="1" t="s">
        <v>5094</v>
      </c>
      <c r="LY7" s="1" t="s">
        <v>5095</v>
      </c>
      <c r="LZ7" s="1" t="s">
        <v>5096</v>
      </c>
      <c r="MA7" s="1" t="s">
        <v>5097</v>
      </c>
      <c r="MB7" s="1" t="s">
        <v>5098</v>
      </c>
      <c r="MC7" s="1" t="s">
        <v>5099</v>
      </c>
      <c r="MD7" s="1" t="s">
        <v>5100</v>
      </c>
      <c r="ME7" s="1" t="s">
        <v>5101</v>
      </c>
      <c r="MF7" s="1" t="s">
        <v>5102</v>
      </c>
      <c r="MG7" s="1" t="s">
        <v>5103</v>
      </c>
      <c r="MH7" s="1" t="s">
        <v>5104</v>
      </c>
      <c r="MI7" s="1" t="s">
        <v>5105</v>
      </c>
      <c r="MJ7" s="1" t="s">
        <v>5106</v>
      </c>
      <c r="MK7" s="1" t="s">
        <v>5107</v>
      </c>
      <c r="ML7" s="1" t="s">
        <v>5108</v>
      </c>
      <c r="MM7" s="1" t="s">
        <v>5109</v>
      </c>
      <c r="MN7" s="1" t="s">
        <v>5110</v>
      </c>
      <c r="MO7" s="1" t="s">
        <v>5111</v>
      </c>
      <c r="MP7" s="1" t="s">
        <v>5112</v>
      </c>
      <c r="MQ7" s="1" t="s">
        <v>5113</v>
      </c>
      <c r="MR7" s="1" t="s">
        <v>5114</v>
      </c>
      <c r="MS7" s="1" t="s">
        <v>5115</v>
      </c>
      <c r="MT7" s="1" t="s">
        <v>5116</v>
      </c>
      <c r="MU7" s="1" t="s">
        <v>5117</v>
      </c>
      <c r="MV7" s="1" t="s">
        <v>5118</v>
      </c>
      <c r="MW7" s="1" t="s">
        <v>5119</v>
      </c>
      <c r="MX7" s="1" t="s">
        <v>5120</v>
      </c>
      <c r="MY7" s="1" t="s">
        <v>5121</v>
      </c>
      <c r="MZ7" s="1" t="s">
        <v>5122</v>
      </c>
      <c r="NA7" s="1" t="s">
        <v>5123</v>
      </c>
      <c r="NB7" s="1" t="s">
        <v>5124</v>
      </c>
      <c r="NC7" s="1" t="s">
        <v>5125</v>
      </c>
      <c r="ND7" s="1" t="s">
        <v>5126</v>
      </c>
      <c r="NE7" s="1" t="s">
        <v>5127</v>
      </c>
      <c r="NF7" s="1" t="s">
        <v>5128</v>
      </c>
      <c r="NG7" s="1" t="s">
        <v>5129</v>
      </c>
      <c r="NH7" s="1" t="s">
        <v>5130</v>
      </c>
      <c r="NI7" s="1" t="s">
        <v>5131</v>
      </c>
      <c r="NJ7" s="1" t="s">
        <v>5132</v>
      </c>
      <c r="NK7" s="1" t="s">
        <v>5133</v>
      </c>
      <c r="NL7" s="1" t="s">
        <v>5134</v>
      </c>
      <c r="NM7" s="1" t="s">
        <v>5135</v>
      </c>
      <c r="NN7" s="1" t="s">
        <v>5136</v>
      </c>
      <c r="NO7" s="1" t="s">
        <v>5137</v>
      </c>
      <c r="NP7" s="1" t="s">
        <v>5138</v>
      </c>
      <c r="NQ7" s="1" t="s">
        <v>5139</v>
      </c>
      <c r="NR7" s="1" t="s">
        <v>5140</v>
      </c>
      <c r="NS7" s="1" t="s">
        <v>5141</v>
      </c>
      <c r="NT7" s="1" t="s">
        <v>5142</v>
      </c>
      <c r="NU7" s="1" t="s">
        <v>5143</v>
      </c>
      <c r="NV7" s="1" t="s">
        <v>5144</v>
      </c>
      <c r="NW7" s="1" t="s">
        <v>5145</v>
      </c>
      <c r="NX7" s="1" t="s">
        <v>5146</v>
      </c>
      <c r="NY7" s="1" t="s">
        <v>5147</v>
      </c>
      <c r="NZ7" s="1" t="s">
        <v>5148</v>
      </c>
      <c r="OA7" s="1" t="s">
        <v>5149</v>
      </c>
      <c r="OB7" s="1" t="s">
        <v>5150</v>
      </c>
      <c r="OC7" s="1" t="s">
        <v>5151</v>
      </c>
      <c r="OD7" s="1" t="s">
        <v>5152</v>
      </c>
      <c r="OE7" s="1" t="s">
        <v>5153</v>
      </c>
      <c r="OF7" s="1" t="s">
        <v>5154</v>
      </c>
      <c r="OG7" s="1" t="s">
        <v>5155</v>
      </c>
      <c r="OH7" s="1" t="s">
        <v>5156</v>
      </c>
      <c r="OI7" s="1" t="s">
        <v>5157</v>
      </c>
      <c r="OJ7" s="1" t="s">
        <v>5158</v>
      </c>
      <c r="OK7" s="1" t="s">
        <v>5159</v>
      </c>
      <c r="OL7" s="1" t="s">
        <v>5160</v>
      </c>
      <c r="OM7" s="1" t="s">
        <v>5161</v>
      </c>
      <c r="ON7" s="1" t="s">
        <v>5162</v>
      </c>
      <c r="OO7" s="1" t="s">
        <v>5163</v>
      </c>
      <c r="OP7" s="1" t="s">
        <v>5164</v>
      </c>
      <c r="OQ7" s="1" t="s">
        <v>5165</v>
      </c>
      <c r="OR7" s="1" t="s">
        <v>5166</v>
      </c>
      <c r="OS7" s="1" t="s">
        <v>5167</v>
      </c>
      <c r="OT7" s="1" t="s">
        <v>5168</v>
      </c>
      <c r="OU7" s="1" t="s">
        <v>5169</v>
      </c>
      <c r="OV7" s="1" t="s">
        <v>5170</v>
      </c>
      <c r="OW7" s="1" t="s">
        <v>5171</v>
      </c>
      <c r="OX7" s="1" t="s">
        <v>5172</v>
      </c>
      <c r="OY7" s="1" t="s">
        <v>5173</v>
      </c>
      <c r="OZ7" s="1" t="s">
        <v>5174</v>
      </c>
      <c r="PA7" s="1" t="s">
        <v>5175</v>
      </c>
      <c r="PB7" s="1" t="s">
        <v>5176</v>
      </c>
      <c r="PC7" s="1" t="s">
        <v>5177</v>
      </c>
      <c r="PD7" s="1" t="s">
        <v>5178</v>
      </c>
      <c r="PE7" s="1" t="s">
        <v>5179</v>
      </c>
      <c r="PF7" s="1" t="s">
        <v>5180</v>
      </c>
      <c r="PG7" s="1" t="s">
        <v>5181</v>
      </c>
      <c r="PH7" s="1" t="s">
        <v>5182</v>
      </c>
      <c r="PI7" s="1" t="s">
        <v>5183</v>
      </c>
      <c r="PJ7" s="1" t="s">
        <v>5184</v>
      </c>
      <c r="PK7" s="1" t="s">
        <v>5185</v>
      </c>
      <c r="PL7" s="1" t="s">
        <v>5186</v>
      </c>
      <c r="PM7" s="1" t="s">
        <v>5187</v>
      </c>
      <c r="PN7" s="1" t="s">
        <v>5188</v>
      </c>
      <c r="PO7" s="1" t="s">
        <v>5189</v>
      </c>
      <c r="PP7" s="1" t="s">
        <v>5190</v>
      </c>
      <c r="PQ7" s="1" t="s">
        <v>5191</v>
      </c>
      <c r="PR7" s="1" t="s">
        <v>5192</v>
      </c>
      <c r="PS7" s="1" t="s">
        <v>5193</v>
      </c>
      <c r="PT7" s="1" t="s">
        <v>5194</v>
      </c>
      <c r="PU7" s="1" t="s">
        <v>5195</v>
      </c>
      <c r="PV7" s="1" t="s">
        <v>5196</v>
      </c>
      <c r="PW7" s="1" t="s">
        <v>5197</v>
      </c>
      <c r="PX7" s="1" t="s">
        <v>5198</v>
      </c>
      <c r="PY7" s="1" t="s">
        <v>5199</v>
      </c>
      <c r="PZ7" s="1" t="s">
        <v>5200</v>
      </c>
      <c r="QA7" s="1" t="s">
        <v>5201</v>
      </c>
      <c r="QB7" s="1" t="s">
        <v>5202</v>
      </c>
      <c r="QC7" s="1" t="s">
        <v>5203</v>
      </c>
      <c r="QD7" s="1" t="s">
        <v>5204</v>
      </c>
      <c r="QE7" s="1" t="s">
        <v>5205</v>
      </c>
      <c r="QF7" s="1" t="s">
        <v>5206</v>
      </c>
      <c r="QG7" s="1" t="s">
        <v>5207</v>
      </c>
      <c r="QH7" s="1" t="s">
        <v>5208</v>
      </c>
      <c r="QI7" s="1" t="s">
        <v>5209</v>
      </c>
      <c r="QJ7" s="1" t="s">
        <v>5210</v>
      </c>
      <c r="QK7" s="1" t="s">
        <v>5211</v>
      </c>
      <c r="QL7" s="1" t="s">
        <v>5212</v>
      </c>
      <c r="QM7" s="1" t="s">
        <v>5213</v>
      </c>
      <c r="QN7" s="1" t="s">
        <v>5214</v>
      </c>
      <c r="QO7" s="1" t="s">
        <v>5215</v>
      </c>
      <c r="QP7" s="1" t="s">
        <v>5216</v>
      </c>
      <c r="QQ7" s="1" t="s">
        <v>5217</v>
      </c>
      <c r="QR7" s="1" t="s">
        <v>5218</v>
      </c>
      <c r="QS7" s="1" t="s">
        <v>5219</v>
      </c>
      <c r="QT7" s="1" t="s">
        <v>5220</v>
      </c>
      <c r="QU7" s="1" t="s">
        <v>5221</v>
      </c>
      <c r="QV7" s="1" t="s">
        <v>5222</v>
      </c>
      <c r="QW7" s="1" t="s">
        <v>5223</v>
      </c>
      <c r="QX7" s="1" t="s">
        <v>5224</v>
      </c>
      <c r="QY7" s="1" t="s">
        <v>5225</v>
      </c>
      <c r="QZ7" s="1" t="s">
        <v>5226</v>
      </c>
      <c r="RA7" s="1" t="s">
        <v>5227</v>
      </c>
      <c r="RB7" s="1" t="s">
        <v>5228</v>
      </c>
      <c r="RC7" s="1" t="s">
        <v>5229</v>
      </c>
      <c r="RD7" s="1" t="s">
        <v>5230</v>
      </c>
      <c r="RE7" s="1" t="s">
        <v>5231</v>
      </c>
      <c r="RF7" s="1" t="s">
        <v>5232</v>
      </c>
      <c r="RG7" s="1" t="s">
        <v>5233</v>
      </c>
      <c r="RH7" s="1" t="s">
        <v>5234</v>
      </c>
      <c r="RI7" s="1" t="s">
        <v>5235</v>
      </c>
      <c r="RJ7" s="1" t="s">
        <v>5236</v>
      </c>
      <c r="RK7" s="1" t="s">
        <v>5237</v>
      </c>
      <c r="RL7" s="1" t="s">
        <v>5238</v>
      </c>
      <c r="RM7" s="1" t="s">
        <v>5239</v>
      </c>
      <c r="RN7" s="1" t="s">
        <v>5240</v>
      </c>
      <c r="RO7" s="1" t="s">
        <v>5241</v>
      </c>
      <c r="RP7" s="1" t="s">
        <v>5242</v>
      </c>
      <c r="RQ7" s="1" t="s">
        <v>5243</v>
      </c>
      <c r="RR7" s="1" t="s">
        <v>5244</v>
      </c>
      <c r="RS7" s="1" t="s">
        <v>5245</v>
      </c>
      <c r="RT7" s="1" t="s">
        <v>5246</v>
      </c>
      <c r="RU7" s="1" t="s">
        <v>5247</v>
      </c>
      <c r="RV7" s="1" t="s">
        <v>5248</v>
      </c>
      <c r="RW7" s="1" t="s">
        <v>5249</v>
      </c>
      <c r="RX7" s="1" t="s">
        <v>5250</v>
      </c>
      <c r="RY7" s="1" t="s">
        <v>5251</v>
      </c>
      <c r="RZ7" s="1" t="s">
        <v>5252</v>
      </c>
      <c r="SA7" s="1" t="s">
        <v>5253</v>
      </c>
      <c r="SB7" s="1" t="s">
        <v>5254</v>
      </c>
      <c r="SC7" s="1" t="s">
        <v>5255</v>
      </c>
      <c r="SD7" s="1" t="s">
        <v>5256</v>
      </c>
      <c r="SE7" s="1" t="s">
        <v>5257</v>
      </c>
      <c r="SF7" s="1" t="s">
        <v>5258</v>
      </c>
      <c r="SG7" s="1" t="s">
        <v>5259</v>
      </c>
      <c r="SH7" s="1" t="s">
        <v>5260</v>
      </c>
      <c r="SI7" s="1" t="s">
        <v>5261</v>
      </c>
      <c r="SJ7" s="1" t="s">
        <v>5262</v>
      </c>
      <c r="SK7" s="1" t="s">
        <v>5263</v>
      </c>
      <c r="SL7" s="1" t="s">
        <v>5264</v>
      </c>
      <c r="SM7" s="1" t="s">
        <v>5265</v>
      </c>
      <c r="SN7" s="1" t="s">
        <v>5266</v>
      </c>
      <c r="SO7" s="1" t="s">
        <v>5267</v>
      </c>
      <c r="SP7" s="1" t="s">
        <v>5268</v>
      </c>
      <c r="SQ7" s="1" t="s">
        <v>5269</v>
      </c>
      <c r="SR7" s="1" t="s">
        <v>5270</v>
      </c>
      <c r="SS7" s="1" t="s">
        <v>5271</v>
      </c>
      <c r="ST7" s="1" t="s">
        <v>5272</v>
      </c>
      <c r="SU7" s="1" t="s">
        <v>5273</v>
      </c>
      <c r="SV7" s="1" t="s">
        <v>5274</v>
      </c>
      <c r="SW7" s="1" t="s">
        <v>5275</v>
      </c>
      <c r="SX7" s="1" t="s">
        <v>5276</v>
      </c>
      <c r="SY7" s="1" t="s">
        <v>5277</v>
      </c>
      <c r="SZ7" s="1" t="s">
        <v>5278</v>
      </c>
      <c r="TA7" s="1" t="s">
        <v>5279</v>
      </c>
      <c r="TB7" s="1" t="s">
        <v>5280</v>
      </c>
      <c r="TC7" s="1" t="s">
        <v>5281</v>
      </c>
      <c r="TD7" s="1" t="s">
        <v>5282</v>
      </c>
      <c r="TE7" s="1" t="s">
        <v>5283</v>
      </c>
      <c r="TF7" s="1" t="s">
        <v>5284</v>
      </c>
      <c r="TG7" s="1" t="s">
        <v>5285</v>
      </c>
      <c r="TH7" s="1" t="s">
        <v>5286</v>
      </c>
      <c r="TI7" s="1" t="s">
        <v>5287</v>
      </c>
      <c r="TJ7" s="1" t="s">
        <v>5288</v>
      </c>
      <c r="TK7" s="1" t="s">
        <v>5289</v>
      </c>
      <c r="TL7" s="1" t="s">
        <v>5290</v>
      </c>
      <c r="TM7" s="1" t="s">
        <v>5291</v>
      </c>
      <c r="TN7" s="1" t="s">
        <v>5292</v>
      </c>
      <c r="TO7" s="1" t="s">
        <v>5293</v>
      </c>
      <c r="TP7" s="1" t="s">
        <v>5294</v>
      </c>
      <c r="TQ7" s="1" t="s">
        <v>5295</v>
      </c>
      <c r="TR7" s="1" t="s">
        <v>5296</v>
      </c>
      <c r="TS7" s="1" t="s">
        <v>5297</v>
      </c>
      <c r="TT7" s="1" t="s">
        <v>5298</v>
      </c>
      <c r="TU7" s="1" t="s">
        <v>5299</v>
      </c>
      <c r="TV7" s="1" t="s">
        <v>5300</v>
      </c>
      <c r="TW7" s="1" t="s">
        <v>5301</v>
      </c>
      <c r="TX7" s="1" t="s">
        <v>5302</v>
      </c>
      <c r="TY7" s="1" t="s">
        <v>5303</v>
      </c>
      <c r="TZ7" s="1" t="s">
        <v>5304</v>
      </c>
      <c r="UA7" s="1" t="s">
        <v>5305</v>
      </c>
      <c r="UB7" s="1" t="s">
        <v>5306</v>
      </c>
      <c r="UC7" s="1" t="s">
        <v>5307</v>
      </c>
      <c r="UD7" s="1" t="s">
        <v>5308</v>
      </c>
      <c r="UE7" s="1" t="s">
        <v>5309</v>
      </c>
      <c r="UF7" s="1" t="s">
        <v>5310</v>
      </c>
      <c r="UG7" s="1" t="s">
        <v>5311</v>
      </c>
      <c r="UH7" s="1" t="s">
        <v>5312</v>
      </c>
      <c r="UI7" s="1" t="s">
        <v>5313</v>
      </c>
      <c r="UJ7" s="1" t="s">
        <v>5314</v>
      </c>
      <c r="UK7" s="1" t="s">
        <v>5315</v>
      </c>
      <c r="UL7" s="1" t="s">
        <v>5316</v>
      </c>
      <c r="UM7" s="1" t="s">
        <v>5317</v>
      </c>
      <c r="UN7" s="1" t="s">
        <v>5318</v>
      </c>
      <c r="UO7" s="1" t="s">
        <v>5319</v>
      </c>
      <c r="UP7" s="1" t="s">
        <v>5320</v>
      </c>
      <c r="UQ7" s="1" t="s">
        <v>5321</v>
      </c>
      <c r="UR7" s="1" t="s">
        <v>5322</v>
      </c>
      <c r="US7" s="1" t="s">
        <v>5323</v>
      </c>
      <c r="UT7" s="1" t="s">
        <v>5324</v>
      </c>
      <c r="UU7" s="1" t="s">
        <v>5325</v>
      </c>
      <c r="UV7" s="1" t="s">
        <v>5326</v>
      </c>
      <c r="UW7" s="1" t="s">
        <v>5327</v>
      </c>
      <c r="UX7" s="1" t="s">
        <v>5328</v>
      </c>
      <c r="UY7" s="1" t="s">
        <v>5329</v>
      </c>
      <c r="UZ7" s="1" t="s">
        <v>5330</v>
      </c>
      <c r="VA7" s="1" t="s">
        <v>5331</v>
      </c>
      <c r="VB7" s="1" t="s">
        <v>5332</v>
      </c>
      <c r="VC7" s="1" t="s">
        <v>5333</v>
      </c>
      <c r="VD7" s="1" t="s">
        <v>5334</v>
      </c>
      <c r="VE7" s="1" t="s">
        <v>5335</v>
      </c>
      <c r="VF7" s="1" t="s">
        <v>5336</v>
      </c>
      <c r="VG7" s="1" t="s">
        <v>5337</v>
      </c>
      <c r="VH7" s="1" t="s">
        <v>5338</v>
      </c>
      <c r="VI7" s="1" t="s">
        <v>5339</v>
      </c>
      <c r="VJ7" s="1" t="s">
        <v>5340</v>
      </c>
      <c r="VK7" s="1" t="s">
        <v>5341</v>
      </c>
      <c r="VL7" s="1" t="s">
        <v>5342</v>
      </c>
      <c r="VM7" s="1" t="s">
        <v>5343</v>
      </c>
      <c r="VN7" s="1" t="s">
        <v>5344</v>
      </c>
      <c r="VO7" s="1" t="s">
        <v>5345</v>
      </c>
      <c r="VP7" s="1" t="s">
        <v>5346</v>
      </c>
      <c r="VQ7" s="1" t="s">
        <v>5347</v>
      </c>
      <c r="VR7" s="1" t="s">
        <v>5348</v>
      </c>
      <c r="VS7" s="1" t="s">
        <v>5349</v>
      </c>
      <c r="VT7" s="1" t="s">
        <v>5350</v>
      </c>
      <c r="VU7" s="1" t="s">
        <v>5351</v>
      </c>
      <c r="VV7" s="1" t="s">
        <v>5352</v>
      </c>
      <c r="VW7" s="1" t="s">
        <v>5353</v>
      </c>
      <c r="VX7" s="1" t="s">
        <v>5354</v>
      </c>
      <c r="VY7" s="1" t="s">
        <v>5355</v>
      </c>
      <c r="VZ7" s="1" t="s">
        <v>5356</v>
      </c>
      <c r="WA7" s="1" t="s">
        <v>5357</v>
      </c>
      <c r="WB7" s="1" t="s">
        <v>5358</v>
      </c>
      <c r="WC7" s="1" t="s">
        <v>5359</v>
      </c>
      <c r="WD7" s="1" t="s">
        <v>5360</v>
      </c>
      <c r="WE7" s="1" t="s">
        <v>5361</v>
      </c>
      <c r="WF7" s="1" t="s">
        <v>5362</v>
      </c>
      <c r="WG7" s="1" t="s">
        <v>5363</v>
      </c>
      <c r="WH7" s="1" t="s">
        <v>5364</v>
      </c>
      <c r="WI7" s="1" t="s">
        <v>5365</v>
      </c>
      <c r="WJ7" s="1" t="s">
        <v>5366</v>
      </c>
      <c r="WK7" s="1" t="s">
        <v>5367</v>
      </c>
      <c r="WL7" s="1" t="s">
        <v>5368</v>
      </c>
      <c r="WM7" s="1" t="s">
        <v>5369</v>
      </c>
      <c r="WN7" s="1" t="s">
        <v>5370</v>
      </c>
      <c r="WO7" s="1" t="s">
        <v>5371</v>
      </c>
      <c r="WP7" s="1" t="s">
        <v>5372</v>
      </c>
      <c r="WQ7" s="1" t="s">
        <v>5373</v>
      </c>
      <c r="WR7" s="1" t="s">
        <v>5374</v>
      </c>
      <c r="WS7" s="1" t="s">
        <v>5375</v>
      </c>
      <c r="WT7" s="1" t="s">
        <v>5376</v>
      </c>
      <c r="WU7" s="1" t="s">
        <v>5377</v>
      </c>
      <c r="WV7" s="1" t="s">
        <v>5378</v>
      </c>
      <c r="WW7" s="1" t="s">
        <v>5379</v>
      </c>
      <c r="WX7" s="1" t="s">
        <v>5380</v>
      </c>
      <c r="WY7" s="1" t="s">
        <v>5381</v>
      </c>
      <c r="WZ7" s="1" t="s">
        <v>5382</v>
      </c>
      <c r="XA7" s="1" t="s">
        <v>5383</v>
      </c>
      <c r="XB7" s="1" t="s">
        <v>5384</v>
      </c>
      <c r="XC7" s="1" t="s">
        <v>5385</v>
      </c>
      <c r="XD7" s="1" t="s">
        <v>5386</v>
      </c>
      <c r="XE7" s="1" t="s">
        <v>5387</v>
      </c>
      <c r="XF7" s="1" t="s">
        <v>5388</v>
      </c>
      <c r="XG7" s="1" t="s">
        <v>5389</v>
      </c>
      <c r="XH7" s="1" t="s">
        <v>5390</v>
      </c>
      <c r="XI7" s="1" t="s">
        <v>5391</v>
      </c>
      <c r="XJ7" s="1" t="s">
        <v>5392</v>
      </c>
      <c r="XK7" s="1" t="s">
        <v>5393</v>
      </c>
      <c r="XL7" s="1" t="s">
        <v>5394</v>
      </c>
      <c r="XM7" s="1" t="s">
        <v>5395</v>
      </c>
      <c r="XN7" s="1" t="s">
        <v>5396</v>
      </c>
      <c r="XO7" s="1" t="s">
        <v>5397</v>
      </c>
      <c r="XP7" s="1" t="s">
        <v>5398</v>
      </c>
      <c r="XQ7" s="1" t="s">
        <v>5399</v>
      </c>
      <c r="XR7" s="1" t="s">
        <v>5400</v>
      </c>
      <c r="XS7" s="1" t="s">
        <v>5401</v>
      </c>
      <c r="XT7" s="1" t="s">
        <v>5402</v>
      </c>
      <c r="XU7" s="1" t="s">
        <v>5403</v>
      </c>
      <c r="XV7" s="1" t="s">
        <v>5404</v>
      </c>
      <c r="XW7" s="1" t="s">
        <v>5405</v>
      </c>
      <c r="XX7" s="1" t="s">
        <v>5406</v>
      </c>
      <c r="XY7" s="1" t="s">
        <v>5407</v>
      </c>
      <c r="XZ7" s="1" t="s">
        <v>5408</v>
      </c>
      <c r="YA7" s="1" t="s">
        <v>5409</v>
      </c>
      <c r="YB7" s="1" t="s">
        <v>5410</v>
      </c>
      <c r="YC7" s="1" t="s">
        <v>5411</v>
      </c>
      <c r="YD7" s="1" t="s">
        <v>5412</v>
      </c>
      <c r="YE7" s="1" t="s">
        <v>5413</v>
      </c>
      <c r="YF7" s="1" t="s">
        <v>5414</v>
      </c>
      <c r="YG7" s="1" t="s">
        <v>5415</v>
      </c>
      <c r="YH7" s="1" t="s">
        <v>5416</v>
      </c>
      <c r="YI7" s="1" t="s">
        <v>5417</v>
      </c>
      <c r="YJ7" s="1" t="s">
        <v>5418</v>
      </c>
      <c r="YK7" s="1" t="s">
        <v>5419</v>
      </c>
      <c r="YL7" s="1" t="s">
        <v>5420</v>
      </c>
      <c r="YM7" s="1" t="s">
        <v>5421</v>
      </c>
      <c r="YN7" s="1" t="s">
        <v>5422</v>
      </c>
      <c r="YO7" s="1" t="s">
        <v>5423</v>
      </c>
      <c r="YP7" s="1" t="s">
        <v>5424</v>
      </c>
      <c r="YQ7" s="1" t="s">
        <v>5425</v>
      </c>
      <c r="YR7" s="1" t="s">
        <v>5426</v>
      </c>
      <c r="YS7" s="1" t="s">
        <v>5427</v>
      </c>
      <c r="YT7" s="1" t="s">
        <v>5428</v>
      </c>
      <c r="YU7" s="1" t="s">
        <v>5429</v>
      </c>
      <c r="YV7" s="1" t="s">
        <v>5430</v>
      </c>
      <c r="YW7" s="1" t="s">
        <v>5431</v>
      </c>
      <c r="YX7" s="1" t="s">
        <v>5432</v>
      </c>
      <c r="YY7" s="1" t="s">
        <v>5433</v>
      </c>
      <c r="YZ7" s="1" t="s">
        <v>5434</v>
      </c>
      <c r="ZA7" s="1" t="s">
        <v>5435</v>
      </c>
      <c r="ZB7" s="1" t="s">
        <v>5436</v>
      </c>
      <c r="ZC7" s="1" t="s">
        <v>5437</v>
      </c>
      <c r="ZD7" s="1" t="s">
        <v>5438</v>
      </c>
      <c r="ZE7" s="1" t="s">
        <v>5439</v>
      </c>
      <c r="ZF7" s="1" t="s">
        <v>5440</v>
      </c>
      <c r="ZG7" s="1" t="s">
        <v>5441</v>
      </c>
      <c r="ZH7" s="1" t="s">
        <v>5442</v>
      </c>
      <c r="ZI7" s="1" t="s">
        <v>5443</v>
      </c>
      <c r="ZJ7" s="1" t="s">
        <v>5444</v>
      </c>
      <c r="ZK7" s="1" t="s">
        <v>5445</v>
      </c>
      <c r="ZL7" s="1" t="s">
        <v>5446</v>
      </c>
      <c r="ZM7" s="1" t="s">
        <v>5447</v>
      </c>
      <c r="ZN7" s="1" t="s">
        <v>5448</v>
      </c>
      <c r="ZO7" s="1" t="s">
        <v>5449</v>
      </c>
      <c r="ZP7" s="1" t="s">
        <v>5450</v>
      </c>
      <c r="ZQ7" s="1" t="s">
        <v>5451</v>
      </c>
      <c r="ZR7" s="1" t="s">
        <v>5452</v>
      </c>
      <c r="ZS7" s="1" t="s">
        <v>5453</v>
      </c>
      <c r="ZT7" s="1" t="s">
        <v>5454</v>
      </c>
      <c r="ZU7" s="1" t="s">
        <v>5455</v>
      </c>
      <c r="ZV7" s="1" t="s">
        <v>5456</v>
      </c>
      <c r="ZW7" s="1" t="s">
        <v>5457</v>
      </c>
      <c r="ZX7" s="1" t="s">
        <v>5458</v>
      </c>
      <c r="ZY7" s="1" t="s">
        <v>5459</v>
      </c>
      <c r="ZZ7" s="1" t="s">
        <v>5460</v>
      </c>
      <c r="AAA7" s="1" t="s">
        <v>5461</v>
      </c>
      <c r="AAB7" s="1" t="s">
        <v>5462</v>
      </c>
      <c r="AAC7" s="1" t="s">
        <v>5463</v>
      </c>
      <c r="AAD7" s="1" t="s">
        <v>5464</v>
      </c>
      <c r="AAE7" s="1" t="s">
        <v>5465</v>
      </c>
      <c r="AAF7" s="1" t="s">
        <v>5466</v>
      </c>
      <c r="AAG7" s="1" t="s">
        <v>5467</v>
      </c>
      <c r="AAH7" s="1" t="s">
        <v>5468</v>
      </c>
      <c r="AAI7" s="1" t="s">
        <v>5469</v>
      </c>
      <c r="AAJ7" s="1" t="s">
        <v>5470</v>
      </c>
      <c r="AAK7" s="1" t="s">
        <v>5471</v>
      </c>
      <c r="AAL7" s="1" t="s">
        <v>5472</v>
      </c>
      <c r="AAM7" s="1" t="s">
        <v>5473</v>
      </c>
      <c r="AAN7" s="1" t="s">
        <v>5474</v>
      </c>
      <c r="AAO7" s="1" t="s">
        <v>5475</v>
      </c>
      <c r="AAP7" s="1" t="s">
        <v>5476</v>
      </c>
      <c r="AAQ7" s="1" t="s">
        <v>5477</v>
      </c>
      <c r="AAR7" s="1" t="s">
        <v>5478</v>
      </c>
      <c r="AAS7" s="1" t="s">
        <v>5479</v>
      </c>
      <c r="AAT7" s="1" t="s">
        <v>5480</v>
      </c>
      <c r="AAU7" s="1" t="s">
        <v>5481</v>
      </c>
      <c r="AAV7" s="1" t="s">
        <v>5482</v>
      </c>
      <c r="AAW7" s="1" t="s">
        <v>5483</v>
      </c>
      <c r="AAX7" s="1" t="s">
        <v>5484</v>
      </c>
      <c r="AAY7" s="1" t="s">
        <v>5485</v>
      </c>
      <c r="AAZ7" s="1" t="s">
        <v>5486</v>
      </c>
      <c r="ABA7" s="1" t="s">
        <v>5487</v>
      </c>
      <c r="ABB7" s="1" t="s">
        <v>5488</v>
      </c>
      <c r="ABC7" s="1" t="s">
        <v>5489</v>
      </c>
      <c r="ABD7" s="1" t="s">
        <v>5490</v>
      </c>
      <c r="ABE7" s="1" t="s">
        <v>5491</v>
      </c>
      <c r="ABF7" s="1" t="s">
        <v>5492</v>
      </c>
      <c r="ABG7" s="1" t="s">
        <v>5493</v>
      </c>
      <c r="ABH7" s="1" t="s">
        <v>5494</v>
      </c>
      <c r="ABI7" s="1" t="s">
        <v>5495</v>
      </c>
      <c r="ABJ7" s="1" t="s">
        <v>5496</v>
      </c>
      <c r="ABK7" s="1" t="s">
        <v>5497</v>
      </c>
      <c r="ABL7" s="1" t="s">
        <v>5498</v>
      </c>
      <c r="ABM7" s="1" t="s">
        <v>5499</v>
      </c>
      <c r="ABN7" s="1" t="s">
        <v>5500</v>
      </c>
      <c r="ABO7" s="1" t="s">
        <v>5501</v>
      </c>
      <c r="ABP7" s="1" t="s">
        <v>5502</v>
      </c>
      <c r="ABQ7" s="1" t="s">
        <v>5503</v>
      </c>
      <c r="ABR7" s="1" t="s">
        <v>5504</v>
      </c>
      <c r="ABS7" s="1" t="s">
        <v>5505</v>
      </c>
      <c r="ABT7" s="1" t="s">
        <v>5506</v>
      </c>
      <c r="ABU7" s="1" t="s">
        <v>5507</v>
      </c>
      <c r="ABV7" s="1" t="s">
        <v>5508</v>
      </c>
      <c r="ABW7" s="1" t="s">
        <v>5509</v>
      </c>
      <c r="ABX7" s="1" t="s">
        <v>5510</v>
      </c>
      <c r="ABY7" s="1" t="s">
        <v>5511</v>
      </c>
      <c r="ABZ7" s="1" t="s">
        <v>5512</v>
      </c>
      <c r="ACA7" s="1" t="s">
        <v>5513</v>
      </c>
      <c r="ACB7" s="1" t="s">
        <v>5514</v>
      </c>
      <c r="ACC7" s="1" t="s">
        <v>5515</v>
      </c>
      <c r="ACD7" s="1" t="s">
        <v>5516</v>
      </c>
      <c r="ACE7" s="1" t="s">
        <v>5517</v>
      </c>
      <c r="ACF7" s="1" t="s">
        <v>5518</v>
      </c>
      <c r="ACG7" s="1" t="s">
        <v>5519</v>
      </c>
      <c r="ACH7" s="1" t="s">
        <v>5520</v>
      </c>
      <c r="ACI7" s="1" t="s">
        <v>5521</v>
      </c>
      <c r="ACJ7" s="1" t="s">
        <v>5522</v>
      </c>
      <c r="ACK7" s="1" t="s">
        <v>5523</v>
      </c>
      <c r="ACL7" s="1" t="s">
        <v>5524</v>
      </c>
      <c r="ACM7" s="1" t="s">
        <v>5525</v>
      </c>
      <c r="ACN7" s="1" t="s">
        <v>5526</v>
      </c>
      <c r="ACO7" s="1" t="s">
        <v>5527</v>
      </c>
      <c r="ACP7" s="1" t="s">
        <v>5528</v>
      </c>
      <c r="ACQ7" s="1" t="s">
        <v>5529</v>
      </c>
      <c r="ACR7" s="1" t="s">
        <v>5530</v>
      </c>
      <c r="ACS7" s="1" t="s">
        <v>5531</v>
      </c>
      <c r="ACT7" s="1" t="s">
        <v>5532</v>
      </c>
      <c r="ACU7" s="1" t="s">
        <v>5533</v>
      </c>
      <c r="ACV7" s="1" t="s">
        <v>5534</v>
      </c>
      <c r="ACW7" s="1" t="s">
        <v>12</v>
      </c>
      <c r="ACX7" s="1" t="s">
        <v>1500</v>
      </c>
    </row>
    <row r="8" spans="1:778" x14ac:dyDescent="0.2">
      <c r="A8" s="1" t="s">
        <v>90</v>
      </c>
      <c r="B8" s="1" t="s">
        <v>5535</v>
      </c>
      <c r="C8" s="1" t="s">
        <v>5536</v>
      </c>
      <c r="D8" s="1" t="s">
        <v>5537</v>
      </c>
      <c r="E8" s="1" t="s">
        <v>5538</v>
      </c>
      <c r="F8" s="1" t="s">
        <v>5539</v>
      </c>
      <c r="G8" s="1" t="s">
        <v>5540</v>
      </c>
      <c r="H8" s="1" t="s">
        <v>5541</v>
      </c>
      <c r="I8" s="1" t="s">
        <v>5542</v>
      </c>
      <c r="J8" s="1" t="s">
        <v>5543</v>
      </c>
      <c r="K8" s="1" t="s">
        <v>5544</v>
      </c>
      <c r="L8" s="1" t="s">
        <v>5545</v>
      </c>
      <c r="M8" s="1" t="s">
        <v>5546</v>
      </c>
      <c r="N8" s="1" t="s">
        <v>5547</v>
      </c>
      <c r="O8" s="1" t="s">
        <v>5548</v>
      </c>
      <c r="P8" s="1" t="s">
        <v>5549</v>
      </c>
      <c r="Q8" s="1" t="s">
        <v>5550</v>
      </c>
      <c r="R8" s="1" t="s">
        <v>5551</v>
      </c>
      <c r="S8" s="1" t="s">
        <v>5552</v>
      </c>
      <c r="T8" s="1" t="s">
        <v>5553</v>
      </c>
      <c r="U8" s="1" t="s">
        <v>5554</v>
      </c>
      <c r="V8" s="1" t="s">
        <v>5555</v>
      </c>
      <c r="W8" s="1" t="s">
        <v>5556</v>
      </c>
      <c r="X8" s="1" t="s">
        <v>5557</v>
      </c>
      <c r="Y8" s="1" t="s">
        <v>5558</v>
      </c>
      <c r="Z8" s="1" t="s">
        <v>5559</v>
      </c>
      <c r="AA8" s="1" t="s">
        <v>5560</v>
      </c>
      <c r="AB8" s="1" t="s">
        <v>5561</v>
      </c>
      <c r="AC8" s="1" t="s">
        <v>5562</v>
      </c>
      <c r="AD8" s="1" t="s">
        <v>5563</v>
      </c>
      <c r="AE8" s="1" t="s">
        <v>5564</v>
      </c>
      <c r="AF8" s="1" t="s">
        <v>5565</v>
      </c>
      <c r="AG8" s="1" t="s">
        <v>5566</v>
      </c>
      <c r="AH8" s="1" t="s">
        <v>5567</v>
      </c>
      <c r="AI8" s="1" t="s">
        <v>5568</v>
      </c>
      <c r="AJ8" s="1" t="s">
        <v>5569</v>
      </c>
      <c r="AK8" s="1" t="s">
        <v>5570</v>
      </c>
      <c r="AL8" s="1" t="s">
        <v>5571</v>
      </c>
      <c r="AM8" s="1" t="s">
        <v>5572</v>
      </c>
      <c r="AN8" s="1" t="s">
        <v>5573</v>
      </c>
      <c r="AO8" s="1" t="s">
        <v>5574</v>
      </c>
      <c r="AP8" s="1" t="s">
        <v>5575</v>
      </c>
      <c r="AQ8" s="1" t="s">
        <v>5576</v>
      </c>
      <c r="AR8" s="1" t="s">
        <v>5577</v>
      </c>
      <c r="AS8" s="1" t="s">
        <v>5578</v>
      </c>
      <c r="AT8" s="1" t="s">
        <v>5579</v>
      </c>
      <c r="AU8" s="1" t="s">
        <v>5580</v>
      </c>
      <c r="AV8" s="1" t="s">
        <v>5581</v>
      </c>
      <c r="AW8" s="1" t="s">
        <v>5582</v>
      </c>
      <c r="AX8" s="1" t="s">
        <v>5583</v>
      </c>
      <c r="AY8" s="1" t="s">
        <v>5584</v>
      </c>
      <c r="AZ8" s="1" t="s">
        <v>5585</v>
      </c>
      <c r="BA8" s="1" t="s">
        <v>5586</v>
      </c>
      <c r="BB8" s="1" t="s">
        <v>5587</v>
      </c>
      <c r="BC8" s="1" t="s">
        <v>5588</v>
      </c>
      <c r="BD8" s="1" t="s">
        <v>5589</v>
      </c>
      <c r="BE8" s="1" t="s">
        <v>5590</v>
      </c>
      <c r="BF8" s="1" t="s">
        <v>5591</v>
      </c>
      <c r="BG8" s="1" t="s">
        <v>5592</v>
      </c>
      <c r="BH8" s="1" t="s">
        <v>5593</v>
      </c>
      <c r="BI8" s="1" t="s">
        <v>5594</v>
      </c>
      <c r="BJ8" s="1" t="s">
        <v>5595</v>
      </c>
      <c r="BK8" s="1" t="s">
        <v>5596</v>
      </c>
      <c r="BL8" s="1" t="s">
        <v>5597</v>
      </c>
      <c r="BM8" s="1" t="s">
        <v>5598</v>
      </c>
      <c r="BN8" s="1" t="s">
        <v>5599</v>
      </c>
      <c r="BO8" s="1" t="s">
        <v>5600</v>
      </c>
      <c r="BP8" s="1" t="s">
        <v>5601</v>
      </c>
      <c r="BQ8" s="1" t="s">
        <v>5602</v>
      </c>
      <c r="BR8" s="1" t="s">
        <v>5603</v>
      </c>
      <c r="BS8" s="1" t="s">
        <v>5604</v>
      </c>
      <c r="BT8" s="1" t="s">
        <v>5605</v>
      </c>
      <c r="BU8" s="1" t="s">
        <v>5606</v>
      </c>
      <c r="BV8" s="1" t="s">
        <v>5607</v>
      </c>
      <c r="BW8" s="1" t="s">
        <v>5608</v>
      </c>
      <c r="BX8" s="1" t="s">
        <v>5609</v>
      </c>
      <c r="BY8" s="1" t="s">
        <v>5610</v>
      </c>
      <c r="BZ8" s="1" t="s">
        <v>5611</v>
      </c>
      <c r="CA8" s="1" t="s">
        <v>5612</v>
      </c>
      <c r="CB8" s="1" t="s">
        <v>5613</v>
      </c>
      <c r="CC8" s="1" t="s">
        <v>5614</v>
      </c>
      <c r="CD8" s="1" t="s">
        <v>5615</v>
      </c>
      <c r="CE8" s="1" t="s">
        <v>5616</v>
      </c>
      <c r="CF8" s="1" t="s">
        <v>5617</v>
      </c>
      <c r="CG8" s="1" t="s">
        <v>5618</v>
      </c>
      <c r="CH8" s="1" t="s">
        <v>5619</v>
      </c>
      <c r="CI8" s="1" t="s">
        <v>5620</v>
      </c>
      <c r="CJ8" s="1" t="s">
        <v>5621</v>
      </c>
      <c r="CK8" s="1" t="s">
        <v>5622</v>
      </c>
      <c r="CL8" s="1" t="s">
        <v>5623</v>
      </c>
      <c r="CM8" s="1" t="s">
        <v>5624</v>
      </c>
      <c r="CN8" s="1" t="s">
        <v>5625</v>
      </c>
      <c r="CO8" s="1" t="s">
        <v>5626</v>
      </c>
      <c r="CP8" s="1" t="s">
        <v>5627</v>
      </c>
      <c r="CQ8" s="1" t="s">
        <v>5628</v>
      </c>
      <c r="CR8" s="1" t="s">
        <v>5629</v>
      </c>
      <c r="CS8" s="1" t="s">
        <v>5630</v>
      </c>
      <c r="CT8" s="1" t="s">
        <v>5631</v>
      </c>
      <c r="CU8" s="1" t="s">
        <v>5632</v>
      </c>
      <c r="CV8" s="1" t="s">
        <v>5633</v>
      </c>
      <c r="CW8" s="1" t="s">
        <v>5634</v>
      </c>
      <c r="CX8" s="1" t="s">
        <v>5635</v>
      </c>
      <c r="CY8" s="1" t="s">
        <v>5636</v>
      </c>
      <c r="CZ8" s="1" t="s">
        <v>5637</v>
      </c>
      <c r="DA8" s="1" t="s">
        <v>5638</v>
      </c>
      <c r="DB8" s="1" t="s">
        <v>5639</v>
      </c>
      <c r="DC8" s="1" t="s">
        <v>5640</v>
      </c>
      <c r="DD8" s="1" t="s">
        <v>5641</v>
      </c>
      <c r="DE8" s="1" t="s">
        <v>5642</v>
      </c>
      <c r="DF8" s="1" t="s">
        <v>5643</v>
      </c>
      <c r="DG8" s="1" t="s">
        <v>5644</v>
      </c>
      <c r="DH8" s="1" t="s">
        <v>5645</v>
      </c>
      <c r="DI8" s="1" t="s">
        <v>5646</v>
      </c>
      <c r="DJ8" s="1" t="s">
        <v>5647</v>
      </c>
      <c r="DK8" s="1" t="s">
        <v>5648</v>
      </c>
      <c r="DL8" s="1" t="s">
        <v>5649</v>
      </c>
      <c r="DM8" s="1" t="s">
        <v>5650</v>
      </c>
      <c r="DN8" s="1" t="s">
        <v>5651</v>
      </c>
      <c r="DO8" s="1" t="s">
        <v>5652</v>
      </c>
      <c r="DP8" s="1" t="s">
        <v>5653</v>
      </c>
      <c r="DQ8" s="1" t="s">
        <v>5654</v>
      </c>
      <c r="DR8" s="1" t="s">
        <v>5655</v>
      </c>
      <c r="DS8" s="1" t="s">
        <v>5656</v>
      </c>
      <c r="DT8" s="1" t="s">
        <v>5657</v>
      </c>
      <c r="DU8" s="1" t="s">
        <v>5658</v>
      </c>
      <c r="DV8" s="1" t="s">
        <v>5659</v>
      </c>
      <c r="DW8" s="1" t="s">
        <v>5660</v>
      </c>
      <c r="DX8" s="1" t="s">
        <v>5661</v>
      </c>
      <c r="DY8" s="1" t="s">
        <v>5662</v>
      </c>
      <c r="DZ8" s="1" t="s">
        <v>5663</v>
      </c>
      <c r="EA8" s="1" t="s">
        <v>5664</v>
      </c>
      <c r="EB8" s="1" t="s">
        <v>5665</v>
      </c>
      <c r="EC8" s="1" t="s">
        <v>5666</v>
      </c>
      <c r="ED8" s="1" t="s">
        <v>5667</v>
      </c>
      <c r="EE8" s="1" t="s">
        <v>5668</v>
      </c>
      <c r="EF8" s="1" t="s">
        <v>5669</v>
      </c>
      <c r="EG8" s="1" t="s">
        <v>5670</v>
      </c>
      <c r="EH8" s="1" t="s">
        <v>5671</v>
      </c>
      <c r="EI8" s="1" t="s">
        <v>5672</v>
      </c>
      <c r="EJ8" s="1" t="s">
        <v>5673</v>
      </c>
      <c r="EK8" s="1" t="s">
        <v>5674</v>
      </c>
      <c r="EL8" s="1" t="s">
        <v>5675</v>
      </c>
      <c r="EM8" s="1" t="s">
        <v>5676</v>
      </c>
      <c r="EN8" s="1" t="s">
        <v>5677</v>
      </c>
      <c r="EO8" s="1" t="s">
        <v>5678</v>
      </c>
      <c r="EP8" s="1" t="s">
        <v>5679</v>
      </c>
      <c r="EQ8" s="1" t="s">
        <v>5680</v>
      </c>
      <c r="ER8" s="1" t="s">
        <v>5681</v>
      </c>
      <c r="ES8" s="1" t="s">
        <v>5682</v>
      </c>
      <c r="ET8" s="1" t="s">
        <v>5683</v>
      </c>
      <c r="EU8" s="1" t="s">
        <v>5684</v>
      </c>
      <c r="EV8" s="1" t="s">
        <v>5685</v>
      </c>
      <c r="EW8" s="1" t="s">
        <v>5686</v>
      </c>
      <c r="EX8" s="1" t="s">
        <v>5687</v>
      </c>
      <c r="EY8" s="1" t="s">
        <v>5688</v>
      </c>
      <c r="EZ8" s="1" t="s">
        <v>5689</v>
      </c>
      <c r="FA8" s="1" t="s">
        <v>5690</v>
      </c>
      <c r="FB8" s="1" t="s">
        <v>5691</v>
      </c>
      <c r="FC8" s="1" t="s">
        <v>5692</v>
      </c>
      <c r="FD8" s="1" t="s">
        <v>5693</v>
      </c>
      <c r="FE8" s="1" t="s">
        <v>5694</v>
      </c>
      <c r="FF8" s="1" t="s">
        <v>5695</v>
      </c>
      <c r="FG8" s="1" t="s">
        <v>5696</v>
      </c>
      <c r="FH8" s="1" t="s">
        <v>5697</v>
      </c>
      <c r="FI8" s="1" t="s">
        <v>5698</v>
      </c>
      <c r="FJ8" s="1" t="s">
        <v>5699</v>
      </c>
      <c r="FK8" s="1" t="s">
        <v>5700</v>
      </c>
      <c r="FL8" s="1" t="s">
        <v>5701</v>
      </c>
      <c r="FM8" s="1" t="s">
        <v>5702</v>
      </c>
      <c r="FN8" s="1" t="s">
        <v>5703</v>
      </c>
      <c r="FO8" s="1" t="s">
        <v>5704</v>
      </c>
      <c r="FP8" s="1" t="s">
        <v>5705</v>
      </c>
      <c r="FQ8" s="1" t="s">
        <v>5706</v>
      </c>
      <c r="FR8" s="1" t="s">
        <v>5707</v>
      </c>
      <c r="FS8" s="1" t="s">
        <v>5708</v>
      </c>
      <c r="FT8" s="1" t="s">
        <v>5709</v>
      </c>
      <c r="FU8" s="1" t="s">
        <v>5710</v>
      </c>
      <c r="FV8" s="1" t="s">
        <v>5711</v>
      </c>
      <c r="FW8" s="1" t="s">
        <v>5712</v>
      </c>
      <c r="FX8" s="1" t="s">
        <v>5713</v>
      </c>
      <c r="FY8" s="1" t="s">
        <v>5714</v>
      </c>
      <c r="FZ8" s="1" t="s">
        <v>5715</v>
      </c>
      <c r="GA8" s="1" t="s">
        <v>5716</v>
      </c>
      <c r="GB8" s="1" t="s">
        <v>5717</v>
      </c>
      <c r="GC8" s="1" t="s">
        <v>5718</v>
      </c>
      <c r="GD8" s="1" t="s">
        <v>5719</v>
      </c>
      <c r="GE8" s="1" t="s">
        <v>5720</v>
      </c>
      <c r="GF8" s="1" t="s">
        <v>5721</v>
      </c>
      <c r="GG8" s="1" t="s">
        <v>5722</v>
      </c>
      <c r="GH8" s="1" t="s">
        <v>5723</v>
      </c>
      <c r="GI8" s="1" t="s">
        <v>5724</v>
      </c>
      <c r="GJ8" s="1" t="s">
        <v>5725</v>
      </c>
      <c r="GK8" s="1" t="s">
        <v>5726</v>
      </c>
      <c r="GL8" s="1" t="s">
        <v>5727</v>
      </c>
      <c r="GM8" s="1" t="s">
        <v>5728</v>
      </c>
      <c r="GN8" s="1" t="s">
        <v>5729</v>
      </c>
      <c r="GO8" s="1" t="s">
        <v>5730</v>
      </c>
      <c r="GP8" s="1" t="s">
        <v>5731</v>
      </c>
      <c r="GQ8" s="1" t="s">
        <v>5732</v>
      </c>
      <c r="GR8" s="1" t="s">
        <v>5733</v>
      </c>
      <c r="GS8" s="1" t="s">
        <v>5734</v>
      </c>
      <c r="GT8" s="1" t="s">
        <v>5735</v>
      </c>
      <c r="GU8" s="1" t="s">
        <v>5736</v>
      </c>
      <c r="GV8" s="1" t="s">
        <v>5737</v>
      </c>
      <c r="GW8" s="1" t="s">
        <v>5738</v>
      </c>
      <c r="GX8" s="1" t="s">
        <v>5739</v>
      </c>
      <c r="GY8" s="1" t="s">
        <v>5740</v>
      </c>
      <c r="GZ8" s="1" t="s">
        <v>5741</v>
      </c>
      <c r="HA8" s="1" t="s">
        <v>5742</v>
      </c>
      <c r="HB8" s="1" t="s">
        <v>5743</v>
      </c>
      <c r="HC8" s="1" t="s">
        <v>5744</v>
      </c>
      <c r="HD8" s="1" t="s">
        <v>5745</v>
      </c>
      <c r="HE8" s="1" t="s">
        <v>5746</v>
      </c>
      <c r="HF8" s="1" t="s">
        <v>5747</v>
      </c>
      <c r="HG8" s="1" t="s">
        <v>5748</v>
      </c>
      <c r="HH8" s="1" t="s">
        <v>5749</v>
      </c>
      <c r="HI8" s="1" t="s">
        <v>5750</v>
      </c>
      <c r="HJ8" s="1" t="s">
        <v>5751</v>
      </c>
      <c r="HK8" s="1" t="s">
        <v>5752</v>
      </c>
      <c r="HL8" s="1" t="s">
        <v>5753</v>
      </c>
      <c r="HM8" s="1" t="s">
        <v>5754</v>
      </c>
      <c r="HN8" s="1" t="s">
        <v>5755</v>
      </c>
      <c r="HO8" s="1" t="s">
        <v>5756</v>
      </c>
      <c r="HP8" s="1" t="s">
        <v>5757</v>
      </c>
      <c r="HQ8" s="1" t="s">
        <v>5758</v>
      </c>
      <c r="HR8" s="1" t="s">
        <v>5759</v>
      </c>
      <c r="HS8" s="1" t="s">
        <v>5760</v>
      </c>
      <c r="HT8" s="1" t="s">
        <v>5761</v>
      </c>
      <c r="HU8" s="1" t="s">
        <v>5762</v>
      </c>
      <c r="HV8" s="1" t="s">
        <v>5763</v>
      </c>
      <c r="HW8" s="1" t="s">
        <v>5764</v>
      </c>
      <c r="HX8" s="1" t="s">
        <v>5765</v>
      </c>
      <c r="HY8" s="1" t="s">
        <v>5766</v>
      </c>
      <c r="HZ8" s="1" t="s">
        <v>5767</v>
      </c>
      <c r="IA8" s="1" t="s">
        <v>5768</v>
      </c>
      <c r="IB8" s="1" t="s">
        <v>5769</v>
      </c>
      <c r="IC8" s="1" t="s">
        <v>5770</v>
      </c>
      <c r="ID8" s="1" t="s">
        <v>5771</v>
      </c>
      <c r="IE8" s="1" t="s">
        <v>5772</v>
      </c>
      <c r="IF8" s="1" t="s">
        <v>5773</v>
      </c>
      <c r="IG8" s="1" t="s">
        <v>5774</v>
      </c>
      <c r="IH8" s="1" t="s">
        <v>5775</v>
      </c>
      <c r="II8" s="1" t="s">
        <v>5776</v>
      </c>
      <c r="IJ8" s="1" t="s">
        <v>5777</v>
      </c>
      <c r="IK8" s="1" t="s">
        <v>5778</v>
      </c>
      <c r="IL8" s="1" t="s">
        <v>5779</v>
      </c>
      <c r="IM8" s="1" t="s">
        <v>5780</v>
      </c>
      <c r="IN8" s="1" t="s">
        <v>5781</v>
      </c>
      <c r="IO8" s="1" t="s">
        <v>5782</v>
      </c>
      <c r="IP8" s="1" t="s">
        <v>5783</v>
      </c>
      <c r="IQ8" s="1" t="s">
        <v>5784</v>
      </c>
      <c r="IR8" s="1" t="s">
        <v>5785</v>
      </c>
      <c r="IS8" s="1" t="s">
        <v>5786</v>
      </c>
      <c r="IT8" s="1" t="s">
        <v>5787</v>
      </c>
      <c r="IU8" s="1" t="s">
        <v>5788</v>
      </c>
      <c r="IV8" s="1" t="s">
        <v>5789</v>
      </c>
      <c r="IW8" s="1" t="s">
        <v>5790</v>
      </c>
      <c r="IX8" s="1" t="s">
        <v>5791</v>
      </c>
      <c r="IY8" s="1" t="s">
        <v>5792</v>
      </c>
      <c r="IZ8" s="1" t="s">
        <v>5793</v>
      </c>
      <c r="JA8" s="1" t="s">
        <v>5794</v>
      </c>
      <c r="JB8" s="1" t="s">
        <v>5795</v>
      </c>
      <c r="JC8" s="1" t="s">
        <v>5796</v>
      </c>
      <c r="JD8" s="1" t="s">
        <v>5797</v>
      </c>
      <c r="JE8" s="1" t="s">
        <v>5798</v>
      </c>
      <c r="JF8" s="1" t="s">
        <v>5799</v>
      </c>
      <c r="JG8" s="1" t="s">
        <v>5800</v>
      </c>
      <c r="JH8" s="1" t="s">
        <v>5801</v>
      </c>
      <c r="JI8" s="1" t="s">
        <v>5802</v>
      </c>
      <c r="JJ8" s="1" t="s">
        <v>5803</v>
      </c>
      <c r="JK8" s="1" t="s">
        <v>5804</v>
      </c>
      <c r="JL8" s="1" t="s">
        <v>5805</v>
      </c>
      <c r="JM8" s="1" t="s">
        <v>5806</v>
      </c>
      <c r="JN8" s="1" t="s">
        <v>5807</v>
      </c>
      <c r="JO8" s="1" t="s">
        <v>5808</v>
      </c>
      <c r="JP8" s="1" t="s">
        <v>5809</v>
      </c>
      <c r="JQ8" s="1" t="s">
        <v>5810</v>
      </c>
      <c r="JR8" s="1" t="s">
        <v>5811</v>
      </c>
      <c r="JS8" s="1" t="s">
        <v>5812</v>
      </c>
      <c r="JT8" s="1" t="s">
        <v>5813</v>
      </c>
      <c r="JU8" s="1" t="s">
        <v>5814</v>
      </c>
      <c r="JV8" s="1" t="s">
        <v>5815</v>
      </c>
      <c r="JW8" s="1" t="s">
        <v>5816</v>
      </c>
      <c r="JX8" s="1" t="s">
        <v>5817</v>
      </c>
      <c r="JY8" s="1" t="s">
        <v>5818</v>
      </c>
      <c r="JZ8" s="1" t="s">
        <v>5819</v>
      </c>
      <c r="KA8" s="1" t="s">
        <v>5820</v>
      </c>
      <c r="KB8" s="1" t="s">
        <v>5821</v>
      </c>
      <c r="KC8" s="1" t="s">
        <v>5822</v>
      </c>
      <c r="KD8" s="1" t="s">
        <v>5823</v>
      </c>
      <c r="KE8" s="1" t="s">
        <v>5824</v>
      </c>
      <c r="KF8" s="1" t="s">
        <v>5825</v>
      </c>
      <c r="KG8" s="1" t="s">
        <v>5826</v>
      </c>
      <c r="KH8" s="1" t="s">
        <v>5827</v>
      </c>
      <c r="KI8" s="1" t="s">
        <v>5828</v>
      </c>
      <c r="KJ8" s="1" t="s">
        <v>5829</v>
      </c>
      <c r="KK8" s="1" t="s">
        <v>5830</v>
      </c>
      <c r="KL8" s="1" t="s">
        <v>5831</v>
      </c>
      <c r="KM8" s="1" t="s">
        <v>5832</v>
      </c>
      <c r="KN8" s="1" t="s">
        <v>5833</v>
      </c>
      <c r="KO8" s="1" t="s">
        <v>5834</v>
      </c>
      <c r="KP8" s="1" t="s">
        <v>5835</v>
      </c>
      <c r="KQ8" s="1" t="s">
        <v>5836</v>
      </c>
      <c r="KR8" s="1" t="s">
        <v>5837</v>
      </c>
      <c r="KS8" s="1" t="s">
        <v>5838</v>
      </c>
      <c r="KT8" s="1" t="s">
        <v>5839</v>
      </c>
      <c r="KU8" s="1" t="s">
        <v>5840</v>
      </c>
      <c r="KV8" s="1" t="s">
        <v>5841</v>
      </c>
      <c r="KW8" s="1" t="s">
        <v>5842</v>
      </c>
      <c r="KX8" s="1" t="s">
        <v>5843</v>
      </c>
      <c r="KY8" s="1" t="s">
        <v>5844</v>
      </c>
      <c r="KZ8" s="1" t="s">
        <v>5845</v>
      </c>
      <c r="LA8" s="1" t="s">
        <v>5846</v>
      </c>
      <c r="LB8" s="1" t="s">
        <v>5847</v>
      </c>
      <c r="LC8" s="1" t="s">
        <v>5848</v>
      </c>
      <c r="LD8" s="1" t="s">
        <v>5849</v>
      </c>
      <c r="LE8" s="1" t="s">
        <v>5850</v>
      </c>
      <c r="LF8" s="1" t="s">
        <v>5851</v>
      </c>
      <c r="LG8" s="1" t="s">
        <v>5852</v>
      </c>
      <c r="LH8" s="1" t="s">
        <v>5853</v>
      </c>
      <c r="LI8" s="1" t="s">
        <v>5854</v>
      </c>
      <c r="LJ8" s="1" t="s">
        <v>5855</v>
      </c>
      <c r="LK8" s="1" t="s">
        <v>5856</v>
      </c>
      <c r="LL8" s="1" t="s">
        <v>5857</v>
      </c>
      <c r="LM8" s="1" t="s">
        <v>5858</v>
      </c>
      <c r="LN8" s="1" t="s">
        <v>5859</v>
      </c>
      <c r="LO8" s="1" t="s">
        <v>5860</v>
      </c>
      <c r="LP8" s="1" t="s">
        <v>5861</v>
      </c>
      <c r="LQ8" s="1" t="s">
        <v>5862</v>
      </c>
      <c r="LR8" s="1" t="s">
        <v>5863</v>
      </c>
      <c r="LS8" s="1" t="s">
        <v>5864</v>
      </c>
      <c r="LT8" s="1" t="s">
        <v>5865</v>
      </c>
      <c r="LU8" s="1" t="s">
        <v>5866</v>
      </c>
      <c r="LV8" s="1" t="s">
        <v>5867</v>
      </c>
      <c r="LW8" s="1" t="s">
        <v>5868</v>
      </c>
      <c r="LX8" s="1" t="s">
        <v>5869</v>
      </c>
      <c r="LY8" s="1" t="s">
        <v>5870</v>
      </c>
      <c r="LZ8" s="1" t="s">
        <v>5871</v>
      </c>
      <c r="MA8" s="1" t="s">
        <v>5872</v>
      </c>
      <c r="MB8" s="1" t="s">
        <v>5873</v>
      </c>
      <c r="MC8" s="1" t="s">
        <v>5874</v>
      </c>
      <c r="MD8" s="1" t="s">
        <v>5875</v>
      </c>
      <c r="ME8" s="1" t="s">
        <v>5876</v>
      </c>
      <c r="MF8" s="1" t="s">
        <v>5877</v>
      </c>
      <c r="MG8" s="1" t="s">
        <v>5878</v>
      </c>
      <c r="MH8" s="1" t="s">
        <v>5879</v>
      </c>
      <c r="MI8" s="1" t="s">
        <v>5880</v>
      </c>
      <c r="MJ8" s="1" t="s">
        <v>5881</v>
      </c>
      <c r="MK8" s="1" t="s">
        <v>5882</v>
      </c>
      <c r="ML8" s="1" t="s">
        <v>5883</v>
      </c>
      <c r="MM8" s="1" t="s">
        <v>5884</v>
      </c>
      <c r="MN8" s="1" t="s">
        <v>5885</v>
      </c>
      <c r="MO8" s="1" t="s">
        <v>5886</v>
      </c>
      <c r="MP8" s="1" t="s">
        <v>5887</v>
      </c>
      <c r="MQ8" s="1" t="s">
        <v>5888</v>
      </c>
      <c r="MR8" s="1" t="s">
        <v>5889</v>
      </c>
      <c r="MS8" s="1" t="s">
        <v>5890</v>
      </c>
      <c r="MT8" s="1" t="s">
        <v>5891</v>
      </c>
      <c r="MU8" s="1" t="s">
        <v>5892</v>
      </c>
      <c r="MV8" s="1" t="s">
        <v>5893</v>
      </c>
      <c r="MW8" s="1" t="s">
        <v>5894</v>
      </c>
      <c r="MX8" s="1" t="s">
        <v>5895</v>
      </c>
      <c r="MY8" s="1" t="s">
        <v>5896</v>
      </c>
      <c r="MZ8" s="1" t="s">
        <v>5897</v>
      </c>
      <c r="NA8" s="1" t="s">
        <v>5898</v>
      </c>
      <c r="NB8" s="1" t="s">
        <v>5899</v>
      </c>
      <c r="NC8" s="1" t="s">
        <v>5900</v>
      </c>
      <c r="ND8" s="1" t="s">
        <v>5901</v>
      </c>
      <c r="NE8" s="1" t="s">
        <v>5902</v>
      </c>
      <c r="NF8" s="1" t="s">
        <v>5903</v>
      </c>
      <c r="NG8" s="1" t="s">
        <v>5904</v>
      </c>
      <c r="NH8" s="1" t="s">
        <v>5905</v>
      </c>
      <c r="NI8" s="1" t="s">
        <v>5906</v>
      </c>
      <c r="NJ8" s="1" t="s">
        <v>5907</v>
      </c>
      <c r="NK8" s="1" t="s">
        <v>5908</v>
      </c>
      <c r="NL8" s="1" t="s">
        <v>5909</v>
      </c>
      <c r="NM8" s="1" t="s">
        <v>5910</v>
      </c>
      <c r="NN8" s="1" t="s">
        <v>5911</v>
      </c>
      <c r="NO8" s="1" t="s">
        <v>5912</v>
      </c>
      <c r="NP8" s="1" t="s">
        <v>5913</v>
      </c>
      <c r="NQ8" s="1" t="s">
        <v>5914</v>
      </c>
      <c r="NR8" s="1" t="s">
        <v>5915</v>
      </c>
      <c r="NS8" s="1" t="s">
        <v>5916</v>
      </c>
      <c r="NT8" s="1" t="s">
        <v>5917</v>
      </c>
      <c r="NU8" s="1" t="s">
        <v>5918</v>
      </c>
      <c r="NV8" s="1" t="s">
        <v>5919</v>
      </c>
      <c r="NW8" s="1" t="s">
        <v>5920</v>
      </c>
      <c r="NX8" s="1" t="s">
        <v>5921</v>
      </c>
      <c r="NY8" s="1" t="s">
        <v>5922</v>
      </c>
      <c r="NZ8" s="1" t="s">
        <v>5923</v>
      </c>
      <c r="OA8" s="1" t="s">
        <v>5924</v>
      </c>
      <c r="OB8" s="1" t="s">
        <v>5925</v>
      </c>
      <c r="OC8" s="1" t="s">
        <v>5926</v>
      </c>
      <c r="OD8" s="1" t="s">
        <v>5927</v>
      </c>
      <c r="OE8" s="1" t="s">
        <v>5928</v>
      </c>
      <c r="OF8" s="1" t="s">
        <v>5929</v>
      </c>
      <c r="OG8" s="1" t="s">
        <v>5930</v>
      </c>
      <c r="OH8" s="1" t="s">
        <v>5931</v>
      </c>
      <c r="OI8" s="1" t="s">
        <v>5932</v>
      </c>
      <c r="OJ8" s="1" t="s">
        <v>5933</v>
      </c>
      <c r="OK8" s="1" t="s">
        <v>5934</v>
      </c>
      <c r="OL8" s="1" t="s">
        <v>5935</v>
      </c>
      <c r="OM8" s="1" t="s">
        <v>5936</v>
      </c>
      <c r="ON8" s="1" t="s">
        <v>5937</v>
      </c>
      <c r="OO8" s="1" t="s">
        <v>5938</v>
      </c>
      <c r="OP8" s="1" t="s">
        <v>5939</v>
      </c>
      <c r="OQ8" s="1" t="s">
        <v>5940</v>
      </c>
      <c r="OR8" s="1" t="s">
        <v>5941</v>
      </c>
      <c r="OS8" s="1" t="s">
        <v>5942</v>
      </c>
      <c r="OT8" s="1" t="s">
        <v>5943</v>
      </c>
      <c r="OU8" s="1" t="s">
        <v>5944</v>
      </c>
      <c r="OV8" s="1" t="s">
        <v>5945</v>
      </c>
      <c r="OW8" s="1" t="s">
        <v>5946</v>
      </c>
      <c r="OX8" s="1" t="s">
        <v>5947</v>
      </c>
      <c r="OY8" s="1" t="s">
        <v>5948</v>
      </c>
      <c r="OZ8" s="1" t="s">
        <v>5949</v>
      </c>
      <c r="PA8" s="1" t="s">
        <v>5950</v>
      </c>
      <c r="PB8" s="1" t="s">
        <v>5951</v>
      </c>
      <c r="PC8" s="1" t="s">
        <v>5952</v>
      </c>
      <c r="PD8" s="1" t="s">
        <v>5953</v>
      </c>
      <c r="PE8" s="1" t="s">
        <v>5954</v>
      </c>
      <c r="PF8" s="1" t="s">
        <v>5955</v>
      </c>
      <c r="PG8" s="1" t="s">
        <v>5956</v>
      </c>
      <c r="PH8" s="1" t="s">
        <v>5957</v>
      </c>
      <c r="PI8" s="1" t="s">
        <v>5958</v>
      </c>
      <c r="PJ8" s="1" t="s">
        <v>5959</v>
      </c>
      <c r="PK8" s="1" t="s">
        <v>5960</v>
      </c>
      <c r="PL8" s="1" t="s">
        <v>5961</v>
      </c>
      <c r="PM8" s="1" t="s">
        <v>5962</v>
      </c>
      <c r="PN8" s="1" t="s">
        <v>5963</v>
      </c>
      <c r="PO8" s="1" t="s">
        <v>5964</v>
      </c>
      <c r="PP8" s="1" t="s">
        <v>5965</v>
      </c>
      <c r="PQ8" s="1" t="s">
        <v>5966</v>
      </c>
      <c r="PR8" s="1" t="s">
        <v>5967</v>
      </c>
      <c r="PS8" s="1" t="s">
        <v>5968</v>
      </c>
      <c r="PT8" s="1" t="s">
        <v>5969</v>
      </c>
      <c r="PU8" s="1" t="s">
        <v>5970</v>
      </c>
      <c r="PV8" s="1" t="s">
        <v>5971</v>
      </c>
      <c r="PW8" s="1" t="s">
        <v>5972</v>
      </c>
      <c r="PX8" s="1" t="s">
        <v>5973</v>
      </c>
      <c r="PY8" s="1" t="s">
        <v>5974</v>
      </c>
      <c r="PZ8" s="1" t="s">
        <v>5975</v>
      </c>
      <c r="QA8" s="1" t="s">
        <v>5976</v>
      </c>
      <c r="QB8" s="1" t="s">
        <v>5977</v>
      </c>
      <c r="QC8" s="1" t="s">
        <v>5978</v>
      </c>
      <c r="QD8" s="1" t="s">
        <v>5979</v>
      </c>
      <c r="QE8" s="1" t="s">
        <v>5980</v>
      </c>
      <c r="QF8" s="1" t="s">
        <v>5981</v>
      </c>
      <c r="QG8" s="1" t="s">
        <v>5982</v>
      </c>
      <c r="QH8" s="1" t="s">
        <v>5983</v>
      </c>
      <c r="QI8" s="1" t="s">
        <v>5984</v>
      </c>
      <c r="QJ8" s="1" t="s">
        <v>5985</v>
      </c>
      <c r="QK8" s="1" t="s">
        <v>5986</v>
      </c>
      <c r="QL8" s="1" t="s">
        <v>5987</v>
      </c>
      <c r="QM8" s="1" t="s">
        <v>5988</v>
      </c>
      <c r="QN8" s="1" t="s">
        <v>5989</v>
      </c>
      <c r="QO8" s="1" t="s">
        <v>5990</v>
      </c>
      <c r="QP8" s="1" t="s">
        <v>5991</v>
      </c>
      <c r="QQ8" s="1" t="s">
        <v>5992</v>
      </c>
      <c r="QR8" s="1" t="s">
        <v>5993</v>
      </c>
      <c r="QS8" s="1" t="s">
        <v>5994</v>
      </c>
      <c r="QT8" s="1" t="s">
        <v>5995</v>
      </c>
      <c r="QU8" s="1" t="s">
        <v>5996</v>
      </c>
      <c r="QV8" s="1" t="s">
        <v>5997</v>
      </c>
      <c r="QW8" s="1" t="s">
        <v>5998</v>
      </c>
      <c r="QX8" s="1" t="s">
        <v>5999</v>
      </c>
      <c r="QY8" s="1" t="s">
        <v>6000</v>
      </c>
      <c r="QZ8" s="1" t="s">
        <v>6001</v>
      </c>
      <c r="RA8" s="1" t="s">
        <v>6002</v>
      </c>
      <c r="RB8" s="1" t="s">
        <v>6003</v>
      </c>
      <c r="RC8" s="1" t="s">
        <v>6004</v>
      </c>
      <c r="RD8" s="1" t="s">
        <v>6005</v>
      </c>
      <c r="RE8" s="1" t="s">
        <v>6006</v>
      </c>
      <c r="RF8" s="1" t="s">
        <v>6007</v>
      </c>
      <c r="RG8" s="1" t="s">
        <v>6008</v>
      </c>
      <c r="RH8" s="1" t="s">
        <v>6009</v>
      </c>
      <c r="RI8" s="1" t="s">
        <v>6010</v>
      </c>
      <c r="RJ8" s="1" t="s">
        <v>6011</v>
      </c>
      <c r="RK8" s="1" t="s">
        <v>6012</v>
      </c>
      <c r="RL8" s="1" t="s">
        <v>6013</v>
      </c>
      <c r="RM8" s="1" t="s">
        <v>6014</v>
      </c>
      <c r="RN8" s="1" t="s">
        <v>6015</v>
      </c>
      <c r="RO8" s="1" t="s">
        <v>6016</v>
      </c>
      <c r="RP8" s="1" t="s">
        <v>6017</v>
      </c>
      <c r="RQ8" s="1" t="s">
        <v>6018</v>
      </c>
      <c r="RR8" s="1" t="s">
        <v>6019</v>
      </c>
      <c r="RS8" s="1" t="s">
        <v>6020</v>
      </c>
      <c r="RT8" s="1" t="s">
        <v>6021</v>
      </c>
      <c r="RU8" s="1" t="s">
        <v>6022</v>
      </c>
      <c r="RV8" s="1" t="s">
        <v>6023</v>
      </c>
      <c r="RW8" s="1" t="s">
        <v>6024</v>
      </c>
      <c r="RX8" s="1" t="s">
        <v>6025</v>
      </c>
      <c r="RY8" s="1" t="s">
        <v>6026</v>
      </c>
      <c r="RZ8" s="1" t="s">
        <v>6027</v>
      </c>
      <c r="SA8" s="1" t="s">
        <v>6028</v>
      </c>
      <c r="SB8" s="1" t="s">
        <v>6029</v>
      </c>
      <c r="SC8" s="1" t="s">
        <v>6030</v>
      </c>
      <c r="SD8" s="1" t="s">
        <v>6031</v>
      </c>
      <c r="SE8" s="1" t="s">
        <v>6032</v>
      </c>
      <c r="SF8" s="1" t="s">
        <v>6033</v>
      </c>
      <c r="SG8" s="1" t="s">
        <v>6034</v>
      </c>
      <c r="SH8" s="1" t="s">
        <v>6035</v>
      </c>
      <c r="SI8" s="1" t="s">
        <v>6036</v>
      </c>
      <c r="SJ8" s="1" t="s">
        <v>6037</v>
      </c>
      <c r="SK8" s="1" t="s">
        <v>6038</v>
      </c>
      <c r="SL8" s="1" t="s">
        <v>6039</v>
      </c>
      <c r="SM8" s="1" t="s">
        <v>6040</v>
      </c>
      <c r="SN8" s="1" t="s">
        <v>6041</v>
      </c>
      <c r="SO8" s="1" t="s">
        <v>6042</v>
      </c>
      <c r="SP8" s="1" t="s">
        <v>6043</v>
      </c>
      <c r="SQ8" s="1" t="s">
        <v>6044</v>
      </c>
      <c r="SR8" s="1" t="s">
        <v>6045</v>
      </c>
      <c r="SS8" s="1" t="s">
        <v>6046</v>
      </c>
      <c r="ST8" s="1" t="s">
        <v>6047</v>
      </c>
      <c r="SU8" s="1" t="s">
        <v>6048</v>
      </c>
      <c r="SV8" s="1" t="s">
        <v>6049</v>
      </c>
      <c r="SW8" s="1" t="s">
        <v>6050</v>
      </c>
      <c r="SX8" s="1" t="s">
        <v>6051</v>
      </c>
      <c r="SY8" s="1" t="s">
        <v>6052</v>
      </c>
      <c r="SZ8" s="1" t="s">
        <v>6053</v>
      </c>
      <c r="TA8" s="1" t="s">
        <v>6054</v>
      </c>
      <c r="TB8" s="1" t="s">
        <v>6055</v>
      </c>
      <c r="TC8" s="1" t="s">
        <v>6056</v>
      </c>
      <c r="TD8" s="1" t="s">
        <v>6057</v>
      </c>
      <c r="TE8" s="1" t="s">
        <v>6058</v>
      </c>
      <c r="TF8" s="1" t="s">
        <v>6059</v>
      </c>
      <c r="TG8" s="1" t="s">
        <v>6060</v>
      </c>
      <c r="TH8" s="1" t="s">
        <v>6061</v>
      </c>
      <c r="TI8" s="1" t="s">
        <v>6062</v>
      </c>
      <c r="TJ8" s="1" t="s">
        <v>6063</v>
      </c>
      <c r="TK8" s="1" t="s">
        <v>6064</v>
      </c>
      <c r="TL8" s="1" t="s">
        <v>6065</v>
      </c>
      <c r="TM8" s="1" t="s">
        <v>6066</v>
      </c>
      <c r="TN8" s="1" t="s">
        <v>6067</v>
      </c>
      <c r="TO8" s="1" t="s">
        <v>6068</v>
      </c>
      <c r="TP8" s="1" t="s">
        <v>6069</v>
      </c>
      <c r="TQ8" s="1" t="s">
        <v>6070</v>
      </c>
      <c r="TR8" s="1" t="s">
        <v>6071</v>
      </c>
      <c r="TS8" s="1" t="s">
        <v>6072</v>
      </c>
      <c r="TT8" s="1" t="s">
        <v>6073</v>
      </c>
      <c r="TU8" s="1" t="s">
        <v>6074</v>
      </c>
      <c r="TV8" s="1" t="s">
        <v>6075</v>
      </c>
      <c r="TW8" s="1" t="s">
        <v>6076</v>
      </c>
      <c r="TX8" s="1" t="s">
        <v>6077</v>
      </c>
      <c r="TY8" s="1" t="s">
        <v>6078</v>
      </c>
      <c r="TZ8" s="1" t="s">
        <v>6079</v>
      </c>
      <c r="UA8" s="1" t="s">
        <v>6080</v>
      </c>
      <c r="UB8" s="1" t="s">
        <v>6081</v>
      </c>
      <c r="UC8" s="1" t="s">
        <v>6082</v>
      </c>
      <c r="UD8" s="1" t="s">
        <v>6083</v>
      </c>
      <c r="UE8" s="1" t="s">
        <v>6084</v>
      </c>
      <c r="UF8" s="1" t="s">
        <v>6085</v>
      </c>
      <c r="UG8" s="1" t="s">
        <v>6086</v>
      </c>
      <c r="UH8" s="1" t="s">
        <v>6087</v>
      </c>
      <c r="UI8" s="1" t="s">
        <v>6088</v>
      </c>
      <c r="UJ8" s="1" t="s">
        <v>6089</v>
      </c>
      <c r="UK8" s="1" t="s">
        <v>6090</v>
      </c>
      <c r="UL8" s="1" t="s">
        <v>6091</v>
      </c>
      <c r="UM8" s="1" t="s">
        <v>6092</v>
      </c>
      <c r="UN8" s="1" t="s">
        <v>6093</v>
      </c>
      <c r="UO8" s="1" t="s">
        <v>6094</v>
      </c>
      <c r="UP8" s="1" t="s">
        <v>6095</v>
      </c>
      <c r="UQ8" s="1" t="s">
        <v>6096</v>
      </c>
      <c r="UR8" s="1" t="s">
        <v>6097</v>
      </c>
      <c r="US8" s="1" t="s">
        <v>6098</v>
      </c>
      <c r="UT8" s="1" t="s">
        <v>6099</v>
      </c>
      <c r="UU8" s="1" t="s">
        <v>6100</v>
      </c>
      <c r="UV8" s="1" t="s">
        <v>6101</v>
      </c>
      <c r="UW8" s="1" t="s">
        <v>6102</v>
      </c>
      <c r="UX8" s="1" t="s">
        <v>6103</v>
      </c>
      <c r="UY8" s="1" t="s">
        <v>6104</v>
      </c>
      <c r="UZ8" s="1" t="s">
        <v>6105</v>
      </c>
      <c r="VA8" s="1" t="s">
        <v>6106</v>
      </c>
      <c r="VB8" s="1" t="s">
        <v>6107</v>
      </c>
      <c r="VC8" s="1" t="s">
        <v>6108</v>
      </c>
      <c r="VD8" s="1" t="s">
        <v>6109</v>
      </c>
      <c r="VE8" s="1" t="s">
        <v>6110</v>
      </c>
      <c r="VF8" s="1" t="s">
        <v>6111</v>
      </c>
      <c r="VG8" s="1" t="s">
        <v>6112</v>
      </c>
      <c r="VH8" s="1" t="s">
        <v>6113</v>
      </c>
      <c r="VI8" s="1" t="s">
        <v>6114</v>
      </c>
      <c r="VJ8" s="1" t="s">
        <v>6115</v>
      </c>
      <c r="VK8" s="1" t="s">
        <v>6116</v>
      </c>
      <c r="VL8" s="1" t="s">
        <v>6117</v>
      </c>
      <c r="VM8" s="1" t="s">
        <v>6118</v>
      </c>
      <c r="VN8" s="1" t="s">
        <v>6119</v>
      </c>
      <c r="VO8" s="1" t="s">
        <v>6120</v>
      </c>
      <c r="VP8" s="1" t="s">
        <v>6121</v>
      </c>
      <c r="VQ8" s="1" t="s">
        <v>6122</v>
      </c>
      <c r="VR8" s="1" t="s">
        <v>6123</v>
      </c>
      <c r="VS8" s="1" t="s">
        <v>6124</v>
      </c>
      <c r="VT8" s="1" t="s">
        <v>6125</v>
      </c>
      <c r="VU8" s="1" t="s">
        <v>6126</v>
      </c>
      <c r="VV8" s="1" t="s">
        <v>6127</v>
      </c>
      <c r="VW8" s="1" t="s">
        <v>6128</v>
      </c>
      <c r="VX8" s="1" t="s">
        <v>6129</v>
      </c>
      <c r="VY8" s="1" t="s">
        <v>6130</v>
      </c>
      <c r="VZ8" s="1" t="s">
        <v>6131</v>
      </c>
      <c r="WA8" s="1" t="s">
        <v>6132</v>
      </c>
      <c r="WB8" s="1" t="s">
        <v>6133</v>
      </c>
      <c r="WC8" s="1" t="s">
        <v>6134</v>
      </c>
      <c r="WD8" s="1" t="s">
        <v>6135</v>
      </c>
      <c r="WE8" s="1" t="s">
        <v>6136</v>
      </c>
      <c r="WF8" s="1" t="s">
        <v>6137</v>
      </c>
      <c r="WG8" s="1" t="s">
        <v>6138</v>
      </c>
      <c r="WH8" s="1" t="s">
        <v>6139</v>
      </c>
      <c r="WI8" s="1" t="s">
        <v>6140</v>
      </c>
      <c r="WJ8" s="1" t="s">
        <v>6141</v>
      </c>
      <c r="WK8" s="1" t="s">
        <v>6142</v>
      </c>
      <c r="WL8" s="1" t="s">
        <v>6143</v>
      </c>
      <c r="WM8" s="1" t="s">
        <v>6144</v>
      </c>
      <c r="WN8" s="1" t="s">
        <v>6145</v>
      </c>
      <c r="WO8" s="1" t="s">
        <v>6146</v>
      </c>
      <c r="WP8" s="1" t="s">
        <v>6147</v>
      </c>
      <c r="WQ8" s="1" t="s">
        <v>6148</v>
      </c>
      <c r="WR8" s="1" t="s">
        <v>6149</v>
      </c>
      <c r="WS8" s="1" t="s">
        <v>6150</v>
      </c>
      <c r="WT8" s="1" t="s">
        <v>6151</v>
      </c>
      <c r="WU8" s="1" t="s">
        <v>6152</v>
      </c>
      <c r="WV8" s="1" t="s">
        <v>6153</v>
      </c>
      <c r="WW8" s="1" t="s">
        <v>6154</v>
      </c>
      <c r="WX8" s="1" t="s">
        <v>6155</v>
      </c>
      <c r="WY8" s="1" t="s">
        <v>6156</v>
      </c>
      <c r="WZ8" s="1" t="s">
        <v>6157</v>
      </c>
      <c r="XA8" s="1" t="s">
        <v>6158</v>
      </c>
      <c r="XB8" s="1" t="s">
        <v>6159</v>
      </c>
      <c r="XC8" s="1" t="s">
        <v>6160</v>
      </c>
      <c r="XD8" s="1" t="s">
        <v>6161</v>
      </c>
      <c r="XE8" s="1" t="s">
        <v>6162</v>
      </c>
      <c r="XF8" s="1" t="s">
        <v>6163</v>
      </c>
      <c r="XG8" s="1" t="s">
        <v>6164</v>
      </c>
      <c r="XH8" s="1" t="s">
        <v>6165</v>
      </c>
      <c r="XI8" s="1" t="s">
        <v>6166</v>
      </c>
      <c r="XJ8" s="1" t="s">
        <v>6167</v>
      </c>
      <c r="XK8" s="1" t="s">
        <v>6168</v>
      </c>
      <c r="XL8" s="1" t="s">
        <v>6169</v>
      </c>
      <c r="XM8" s="1" t="s">
        <v>6170</v>
      </c>
      <c r="XN8" s="1" t="s">
        <v>6171</v>
      </c>
      <c r="XO8" s="1" t="s">
        <v>6172</v>
      </c>
      <c r="XP8" s="1" t="s">
        <v>6173</v>
      </c>
      <c r="XQ8" s="1" t="s">
        <v>6174</v>
      </c>
      <c r="XR8" s="1" t="s">
        <v>6175</v>
      </c>
      <c r="XS8" s="1" t="s">
        <v>6176</v>
      </c>
      <c r="XT8" s="1" t="s">
        <v>6177</v>
      </c>
      <c r="XU8" s="1" t="s">
        <v>6178</v>
      </c>
      <c r="XV8" s="1" t="s">
        <v>6179</v>
      </c>
      <c r="XW8" s="1" t="s">
        <v>6180</v>
      </c>
      <c r="XX8" s="1" t="s">
        <v>6181</v>
      </c>
      <c r="XY8" s="1" t="s">
        <v>6182</v>
      </c>
      <c r="XZ8" s="1" t="s">
        <v>6183</v>
      </c>
      <c r="YA8" s="1" t="s">
        <v>6184</v>
      </c>
      <c r="YB8" s="1" t="s">
        <v>6185</v>
      </c>
      <c r="YC8" s="1" t="s">
        <v>6186</v>
      </c>
      <c r="YD8" s="1" t="s">
        <v>6187</v>
      </c>
      <c r="YE8" s="1" t="s">
        <v>6188</v>
      </c>
      <c r="YF8" s="1" t="s">
        <v>6189</v>
      </c>
      <c r="YG8" s="1" t="s">
        <v>6190</v>
      </c>
      <c r="YH8" s="1" t="s">
        <v>6191</v>
      </c>
      <c r="YI8" s="1" t="s">
        <v>6192</v>
      </c>
      <c r="YJ8" s="1" t="s">
        <v>6193</v>
      </c>
      <c r="YK8" s="1" t="s">
        <v>6194</v>
      </c>
      <c r="YL8" s="1" t="s">
        <v>6195</v>
      </c>
      <c r="YM8" s="1" t="s">
        <v>6196</v>
      </c>
      <c r="YN8" s="1" t="s">
        <v>6197</v>
      </c>
      <c r="YO8" s="1" t="s">
        <v>6198</v>
      </c>
      <c r="YP8" s="1" t="s">
        <v>6199</v>
      </c>
      <c r="YQ8" s="1" t="s">
        <v>6200</v>
      </c>
      <c r="YR8" s="1" t="s">
        <v>6201</v>
      </c>
      <c r="YS8" s="1" t="s">
        <v>6202</v>
      </c>
      <c r="YT8" s="1" t="s">
        <v>6203</v>
      </c>
      <c r="YU8" s="1" t="s">
        <v>6204</v>
      </c>
      <c r="YV8" s="1" t="s">
        <v>6205</v>
      </c>
      <c r="YW8" s="1" t="s">
        <v>6206</v>
      </c>
      <c r="YX8" s="1" t="s">
        <v>6207</v>
      </c>
      <c r="YY8" s="1" t="s">
        <v>6208</v>
      </c>
      <c r="YZ8" s="1" t="s">
        <v>6209</v>
      </c>
      <c r="ZA8" s="1" t="s">
        <v>6210</v>
      </c>
      <c r="ZB8" s="1" t="s">
        <v>6211</v>
      </c>
      <c r="ZC8" s="1" t="s">
        <v>6212</v>
      </c>
      <c r="ZD8" s="1" t="s">
        <v>6213</v>
      </c>
      <c r="ZE8" s="1" t="s">
        <v>6214</v>
      </c>
      <c r="ZF8" s="1" t="s">
        <v>6215</v>
      </c>
      <c r="ZG8" s="1" t="s">
        <v>6216</v>
      </c>
      <c r="ZH8" s="1" t="s">
        <v>6217</v>
      </c>
      <c r="ZI8" s="1" t="s">
        <v>6218</v>
      </c>
      <c r="ZJ8" s="1" t="s">
        <v>6219</v>
      </c>
      <c r="ZK8" s="1" t="s">
        <v>6220</v>
      </c>
      <c r="ZL8" s="1" t="s">
        <v>6221</v>
      </c>
      <c r="ZM8" s="1" t="s">
        <v>6222</v>
      </c>
      <c r="ZN8" s="1" t="s">
        <v>6223</v>
      </c>
      <c r="ZO8" s="1" t="s">
        <v>6224</v>
      </c>
      <c r="ZP8" s="1" t="s">
        <v>6225</v>
      </c>
      <c r="ZQ8" s="1" t="s">
        <v>6226</v>
      </c>
      <c r="ZR8" s="1" t="s">
        <v>6227</v>
      </c>
      <c r="ZS8" s="1" t="s">
        <v>6228</v>
      </c>
      <c r="ZT8" s="1" t="s">
        <v>6229</v>
      </c>
      <c r="ZU8" s="1" t="s">
        <v>6230</v>
      </c>
      <c r="ZV8" s="1" t="s">
        <v>6231</v>
      </c>
      <c r="ZW8" s="1" t="s">
        <v>6232</v>
      </c>
      <c r="ZX8" s="1" t="s">
        <v>6233</v>
      </c>
      <c r="ZY8" s="1" t="s">
        <v>6234</v>
      </c>
      <c r="ZZ8" s="1" t="s">
        <v>6235</v>
      </c>
      <c r="AAA8" s="1" t="s">
        <v>6236</v>
      </c>
      <c r="AAB8" s="1" t="s">
        <v>6237</v>
      </c>
      <c r="AAC8" s="1" t="s">
        <v>6238</v>
      </c>
      <c r="AAD8" s="1" t="s">
        <v>6239</v>
      </c>
      <c r="AAE8" s="1" t="s">
        <v>6240</v>
      </c>
      <c r="AAF8" s="1" t="s">
        <v>6241</v>
      </c>
      <c r="AAG8" s="1" t="s">
        <v>6242</v>
      </c>
      <c r="AAH8" s="1" t="s">
        <v>6243</v>
      </c>
      <c r="AAI8" s="1" t="s">
        <v>6244</v>
      </c>
      <c r="AAJ8" s="1" t="s">
        <v>6245</v>
      </c>
      <c r="AAK8" s="1" t="s">
        <v>6246</v>
      </c>
      <c r="AAL8" s="1" t="s">
        <v>6247</v>
      </c>
      <c r="AAM8" s="1" t="s">
        <v>6248</v>
      </c>
      <c r="AAN8" s="1" t="s">
        <v>6249</v>
      </c>
      <c r="AAO8" s="1" t="s">
        <v>6250</v>
      </c>
      <c r="AAP8" s="1" t="s">
        <v>6251</v>
      </c>
      <c r="AAQ8" s="1" t="s">
        <v>6252</v>
      </c>
      <c r="AAR8" s="1" t="s">
        <v>6253</v>
      </c>
      <c r="AAS8" s="1" t="s">
        <v>6254</v>
      </c>
      <c r="AAT8" s="1" t="s">
        <v>6255</v>
      </c>
      <c r="AAU8" s="1" t="s">
        <v>6256</v>
      </c>
      <c r="AAV8" s="1" t="s">
        <v>6257</v>
      </c>
      <c r="AAW8" s="1" t="s">
        <v>6258</v>
      </c>
      <c r="AAX8" s="1" t="s">
        <v>6259</v>
      </c>
      <c r="AAY8" s="1" t="s">
        <v>6260</v>
      </c>
      <c r="AAZ8" s="1" t="s">
        <v>6261</v>
      </c>
      <c r="ABA8" s="1" t="s">
        <v>6262</v>
      </c>
      <c r="ABB8" s="1" t="s">
        <v>6263</v>
      </c>
      <c r="ABC8" s="1" t="s">
        <v>6264</v>
      </c>
      <c r="ABD8" s="1" t="s">
        <v>6265</v>
      </c>
      <c r="ABE8" s="1" t="s">
        <v>6266</v>
      </c>
      <c r="ABF8" s="1" t="s">
        <v>6267</v>
      </c>
      <c r="ABG8" s="1" t="s">
        <v>6268</v>
      </c>
      <c r="ABH8" s="1" t="s">
        <v>6269</v>
      </c>
      <c r="ABI8" s="1" t="s">
        <v>6270</v>
      </c>
      <c r="ABJ8" s="1" t="s">
        <v>6271</v>
      </c>
      <c r="ABK8" s="1" t="s">
        <v>6272</v>
      </c>
      <c r="ABL8" s="1" t="s">
        <v>6273</v>
      </c>
      <c r="ABM8" s="1" t="s">
        <v>6274</v>
      </c>
      <c r="ABN8" s="1" t="s">
        <v>6275</v>
      </c>
      <c r="ABO8" s="1" t="s">
        <v>6276</v>
      </c>
      <c r="ABP8" s="1" t="s">
        <v>6277</v>
      </c>
      <c r="ABQ8" s="1" t="s">
        <v>6278</v>
      </c>
      <c r="ABR8" s="1" t="s">
        <v>6279</v>
      </c>
      <c r="ABS8" s="1" t="s">
        <v>6280</v>
      </c>
      <c r="ABT8" s="1" t="s">
        <v>6281</v>
      </c>
      <c r="ABU8" s="1" t="s">
        <v>6282</v>
      </c>
      <c r="ABV8" s="1" t="s">
        <v>6283</v>
      </c>
      <c r="ABW8" s="1" t="s">
        <v>6284</v>
      </c>
      <c r="ABX8" s="1" t="s">
        <v>6285</v>
      </c>
      <c r="ABY8" s="1" t="s">
        <v>6286</v>
      </c>
      <c r="ABZ8" s="1" t="s">
        <v>6287</v>
      </c>
      <c r="ACA8" s="1" t="s">
        <v>6288</v>
      </c>
      <c r="ACB8" s="1" t="s">
        <v>6289</v>
      </c>
      <c r="ACC8" s="1" t="s">
        <v>6290</v>
      </c>
      <c r="ACD8" s="1" t="s">
        <v>6291</v>
      </c>
      <c r="ACE8" s="1" t="s">
        <v>6292</v>
      </c>
      <c r="ACF8" s="1" t="s">
        <v>6293</v>
      </c>
      <c r="ACG8" s="1" t="s">
        <v>6294</v>
      </c>
      <c r="ACH8" s="1" t="s">
        <v>6295</v>
      </c>
      <c r="ACI8" s="1" t="s">
        <v>6296</v>
      </c>
      <c r="ACJ8" s="1" t="s">
        <v>6297</v>
      </c>
      <c r="ACK8" s="1" t="s">
        <v>6298</v>
      </c>
      <c r="ACL8" s="1" t="s">
        <v>6299</v>
      </c>
      <c r="ACM8" s="1" t="s">
        <v>6300</v>
      </c>
      <c r="ACN8" s="1" t="s">
        <v>6301</v>
      </c>
      <c r="ACO8" s="1" t="s">
        <v>6302</v>
      </c>
      <c r="ACP8" s="1" t="s">
        <v>6303</v>
      </c>
      <c r="ACQ8" s="1" t="s">
        <v>6304</v>
      </c>
      <c r="ACR8" s="1" t="s">
        <v>6305</v>
      </c>
      <c r="ACS8" s="1" t="s">
        <v>6306</v>
      </c>
      <c r="ACT8" s="1" t="s">
        <v>6307</v>
      </c>
      <c r="ACU8" s="1" t="s">
        <v>6308</v>
      </c>
      <c r="ACV8" s="1" t="s">
        <v>6309</v>
      </c>
      <c r="ACW8" s="1" t="s">
        <v>23</v>
      </c>
      <c r="ACX8" s="1" t="s">
        <v>6310</v>
      </c>
    </row>
    <row r="9" spans="1:778" x14ac:dyDescent="0.2">
      <c r="A9" s="1" t="s">
        <v>74</v>
      </c>
      <c r="B9" s="1" t="s">
        <v>6311</v>
      </c>
      <c r="C9" s="1" t="s">
        <v>6312</v>
      </c>
      <c r="D9" s="1" t="s">
        <v>6313</v>
      </c>
      <c r="E9" s="1" t="s">
        <v>6314</v>
      </c>
      <c r="F9" s="1" t="s">
        <v>6315</v>
      </c>
      <c r="G9" s="1" t="s">
        <v>6316</v>
      </c>
      <c r="H9" s="1" t="s">
        <v>6317</v>
      </c>
      <c r="I9" s="1" t="s">
        <v>6318</v>
      </c>
      <c r="J9" s="1" t="s">
        <v>6319</v>
      </c>
      <c r="K9" s="1" t="s">
        <v>6320</v>
      </c>
      <c r="L9" s="1" t="s">
        <v>6321</v>
      </c>
      <c r="M9" s="1" t="s">
        <v>6322</v>
      </c>
      <c r="N9" s="1" t="s">
        <v>6323</v>
      </c>
      <c r="O9" s="1" t="s">
        <v>6324</v>
      </c>
      <c r="P9" s="1" t="s">
        <v>6325</v>
      </c>
      <c r="Q9" s="1" t="s">
        <v>6326</v>
      </c>
      <c r="R9" s="1" t="s">
        <v>6327</v>
      </c>
      <c r="S9" s="1" t="s">
        <v>6328</v>
      </c>
      <c r="T9" s="1" t="s">
        <v>6329</v>
      </c>
      <c r="U9" s="1" t="s">
        <v>6330</v>
      </c>
      <c r="V9" s="1" t="s">
        <v>6331</v>
      </c>
      <c r="W9" s="1" t="s">
        <v>6332</v>
      </c>
      <c r="X9" s="1" t="s">
        <v>6333</v>
      </c>
      <c r="Y9" s="1" t="s">
        <v>6334</v>
      </c>
      <c r="Z9" s="1" t="s">
        <v>6335</v>
      </c>
      <c r="AA9" s="1" t="s">
        <v>6336</v>
      </c>
      <c r="AB9" s="1" t="s">
        <v>6337</v>
      </c>
      <c r="AC9" s="1" t="s">
        <v>6338</v>
      </c>
      <c r="AD9" s="1" t="s">
        <v>6339</v>
      </c>
      <c r="AE9" s="1" t="s">
        <v>6340</v>
      </c>
      <c r="AF9" s="1" t="s">
        <v>6341</v>
      </c>
      <c r="AG9" s="1" t="s">
        <v>6342</v>
      </c>
      <c r="AH9" s="1" t="s">
        <v>6343</v>
      </c>
      <c r="AI9" s="1" t="s">
        <v>6344</v>
      </c>
      <c r="AJ9" s="1" t="s">
        <v>6345</v>
      </c>
      <c r="AK9" s="1" t="s">
        <v>6346</v>
      </c>
      <c r="AL9" s="1" t="s">
        <v>6347</v>
      </c>
      <c r="AM9" s="1" t="s">
        <v>6348</v>
      </c>
      <c r="AN9" s="1" t="s">
        <v>6349</v>
      </c>
      <c r="AO9" s="1" t="s">
        <v>6350</v>
      </c>
      <c r="AP9" s="1" t="s">
        <v>6351</v>
      </c>
      <c r="AQ9" s="1" t="s">
        <v>6352</v>
      </c>
      <c r="AR9" s="1" t="s">
        <v>6353</v>
      </c>
      <c r="AS9" s="1" t="s">
        <v>6354</v>
      </c>
      <c r="AT9" s="1" t="s">
        <v>6355</v>
      </c>
      <c r="AU9" s="1" t="s">
        <v>6356</v>
      </c>
      <c r="AV9" s="1" t="s">
        <v>6357</v>
      </c>
      <c r="AW9" s="1" t="s">
        <v>6358</v>
      </c>
      <c r="AX9" s="1" t="s">
        <v>6359</v>
      </c>
      <c r="AY9" s="1" t="s">
        <v>6360</v>
      </c>
      <c r="AZ9" s="1" t="s">
        <v>6361</v>
      </c>
      <c r="BA9" s="1" t="s">
        <v>6362</v>
      </c>
      <c r="BB9" s="1" t="s">
        <v>6363</v>
      </c>
      <c r="BC9" s="1" t="s">
        <v>6364</v>
      </c>
      <c r="BD9" s="1" t="s">
        <v>6365</v>
      </c>
      <c r="BE9" s="1" t="s">
        <v>6366</v>
      </c>
      <c r="BF9" s="1" t="s">
        <v>6367</v>
      </c>
      <c r="BG9" s="1" t="s">
        <v>6368</v>
      </c>
      <c r="BH9" s="1" t="s">
        <v>6369</v>
      </c>
      <c r="BI9" s="1" t="s">
        <v>6370</v>
      </c>
      <c r="BJ9" s="1" t="s">
        <v>6371</v>
      </c>
      <c r="BK9" s="1" t="s">
        <v>6372</v>
      </c>
      <c r="BL9" s="1" t="s">
        <v>6373</v>
      </c>
      <c r="BM9" s="1" t="s">
        <v>6374</v>
      </c>
      <c r="BN9" s="1" t="s">
        <v>6375</v>
      </c>
      <c r="BO9" s="1" t="s">
        <v>6376</v>
      </c>
      <c r="BP9" s="1" t="s">
        <v>6377</v>
      </c>
      <c r="BQ9" s="1" t="s">
        <v>6378</v>
      </c>
      <c r="BR9" s="1" t="s">
        <v>6379</v>
      </c>
      <c r="BS9" s="1" t="s">
        <v>6380</v>
      </c>
      <c r="BT9" s="1" t="s">
        <v>6381</v>
      </c>
      <c r="BU9" s="1" t="s">
        <v>6382</v>
      </c>
      <c r="BV9" s="1" t="s">
        <v>6383</v>
      </c>
      <c r="BW9" s="1" t="s">
        <v>6384</v>
      </c>
      <c r="BX9" s="1" t="s">
        <v>6385</v>
      </c>
      <c r="BY9" s="1" t="s">
        <v>6386</v>
      </c>
      <c r="BZ9" s="1" t="s">
        <v>6387</v>
      </c>
      <c r="CA9" s="1" t="s">
        <v>6388</v>
      </c>
      <c r="CB9" s="1" t="s">
        <v>6389</v>
      </c>
      <c r="CC9" s="1" t="s">
        <v>6390</v>
      </c>
      <c r="CD9" s="1" t="s">
        <v>6391</v>
      </c>
      <c r="CE9" s="1" t="s">
        <v>6392</v>
      </c>
      <c r="CF9" s="1" t="s">
        <v>6393</v>
      </c>
      <c r="CG9" s="1" t="s">
        <v>6394</v>
      </c>
      <c r="CH9" s="1" t="s">
        <v>6395</v>
      </c>
      <c r="CI9" s="1" t="s">
        <v>6396</v>
      </c>
      <c r="CJ9" s="1" t="s">
        <v>6397</v>
      </c>
      <c r="CK9" s="1" t="s">
        <v>6398</v>
      </c>
      <c r="CL9" s="1" t="s">
        <v>6399</v>
      </c>
      <c r="CM9" s="1" t="s">
        <v>6400</v>
      </c>
      <c r="CN9" s="1" t="s">
        <v>6401</v>
      </c>
      <c r="CO9" s="1" t="s">
        <v>6402</v>
      </c>
      <c r="CP9" s="1" t="s">
        <v>6403</v>
      </c>
      <c r="CQ9" s="1" t="s">
        <v>6404</v>
      </c>
      <c r="CR9" s="1" t="s">
        <v>6405</v>
      </c>
      <c r="CS9" s="1" t="s">
        <v>6406</v>
      </c>
      <c r="CT9" s="1" t="s">
        <v>6407</v>
      </c>
      <c r="CU9" s="1" t="s">
        <v>6408</v>
      </c>
      <c r="CV9" s="1" t="s">
        <v>6409</v>
      </c>
      <c r="CW9" s="1" t="s">
        <v>6410</v>
      </c>
      <c r="CX9" s="1" t="s">
        <v>6411</v>
      </c>
      <c r="CY9" s="1" t="s">
        <v>6412</v>
      </c>
      <c r="CZ9" s="1" t="s">
        <v>6413</v>
      </c>
      <c r="DA9" s="1" t="s">
        <v>6414</v>
      </c>
      <c r="DB9" s="1" t="s">
        <v>6415</v>
      </c>
      <c r="DC9" s="1" t="s">
        <v>6416</v>
      </c>
      <c r="DD9" s="1" t="s">
        <v>6417</v>
      </c>
      <c r="DE9" s="1" t="s">
        <v>6418</v>
      </c>
      <c r="DF9" s="1" t="s">
        <v>6419</v>
      </c>
      <c r="DG9" s="1" t="s">
        <v>6420</v>
      </c>
      <c r="DH9" s="1" t="s">
        <v>6421</v>
      </c>
      <c r="DI9" s="1" t="s">
        <v>6422</v>
      </c>
      <c r="DJ9" s="1" t="s">
        <v>6423</v>
      </c>
      <c r="DK9" s="1" t="s">
        <v>6424</v>
      </c>
      <c r="DL9" s="1" t="s">
        <v>6425</v>
      </c>
      <c r="DM9" s="1" t="s">
        <v>6426</v>
      </c>
      <c r="DN9" s="1" t="s">
        <v>6427</v>
      </c>
      <c r="DO9" s="1" t="s">
        <v>6428</v>
      </c>
      <c r="DP9" s="1" t="s">
        <v>6429</v>
      </c>
      <c r="DQ9" s="1" t="s">
        <v>6430</v>
      </c>
      <c r="DR9" s="1" t="s">
        <v>6431</v>
      </c>
      <c r="DS9" s="1" t="s">
        <v>6432</v>
      </c>
      <c r="DT9" s="1" t="s">
        <v>6433</v>
      </c>
      <c r="DU9" s="1" t="s">
        <v>6434</v>
      </c>
      <c r="DV9" s="1" t="s">
        <v>6435</v>
      </c>
      <c r="DW9" s="1" t="s">
        <v>6436</v>
      </c>
      <c r="DX9" s="1" t="s">
        <v>6437</v>
      </c>
      <c r="DY9" s="1" t="s">
        <v>6438</v>
      </c>
      <c r="DZ9" s="1" t="s">
        <v>6439</v>
      </c>
      <c r="EA9" s="1" t="s">
        <v>6440</v>
      </c>
      <c r="EB9" s="1" t="s">
        <v>6441</v>
      </c>
      <c r="EC9" s="1" t="s">
        <v>6442</v>
      </c>
      <c r="ED9" s="1" t="s">
        <v>6443</v>
      </c>
      <c r="EE9" s="1" t="s">
        <v>6444</v>
      </c>
      <c r="EF9" s="1" t="s">
        <v>6445</v>
      </c>
      <c r="EG9" s="1" t="s">
        <v>6446</v>
      </c>
      <c r="EH9" s="1" t="s">
        <v>6447</v>
      </c>
      <c r="EI9" s="1" t="s">
        <v>6448</v>
      </c>
      <c r="EJ9" s="1" t="s">
        <v>6449</v>
      </c>
      <c r="EK9" s="1" t="s">
        <v>6450</v>
      </c>
      <c r="EL9" s="1" t="s">
        <v>6451</v>
      </c>
      <c r="EM9" s="1" t="s">
        <v>6452</v>
      </c>
      <c r="EN9" s="1" t="s">
        <v>6453</v>
      </c>
      <c r="EO9" s="1" t="s">
        <v>6454</v>
      </c>
      <c r="EP9" s="1" t="s">
        <v>6455</v>
      </c>
      <c r="EQ9" s="1" t="s">
        <v>6456</v>
      </c>
      <c r="ER9" s="1" t="s">
        <v>6457</v>
      </c>
      <c r="ES9" s="1" t="s">
        <v>6458</v>
      </c>
      <c r="ET9" s="1" t="s">
        <v>6459</v>
      </c>
      <c r="EU9" s="1" t="s">
        <v>6460</v>
      </c>
      <c r="EV9" s="1" t="s">
        <v>6461</v>
      </c>
      <c r="EW9" s="1" t="s">
        <v>6462</v>
      </c>
      <c r="EX9" s="1" t="s">
        <v>6463</v>
      </c>
      <c r="EY9" s="1" t="s">
        <v>6464</v>
      </c>
      <c r="EZ9" s="1" t="s">
        <v>6465</v>
      </c>
      <c r="FA9" s="1" t="s">
        <v>6466</v>
      </c>
      <c r="FB9" s="1" t="s">
        <v>6467</v>
      </c>
      <c r="FC9" s="1" t="s">
        <v>6468</v>
      </c>
      <c r="FD9" s="1" t="s">
        <v>6469</v>
      </c>
      <c r="FE9" s="1" t="s">
        <v>6470</v>
      </c>
      <c r="FF9" s="1" t="s">
        <v>6471</v>
      </c>
      <c r="FG9" s="1" t="s">
        <v>6472</v>
      </c>
      <c r="FH9" s="1" t="s">
        <v>6473</v>
      </c>
      <c r="FI9" s="1" t="s">
        <v>6474</v>
      </c>
      <c r="FJ9" s="1" t="s">
        <v>6475</v>
      </c>
      <c r="FK9" s="1" t="s">
        <v>6476</v>
      </c>
      <c r="FL9" s="1" t="s">
        <v>6477</v>
      </c>
      <c r="FM9" s="1" t="s">
        <v>6478</v>
      </c>
      <c r="FN9" s="1" t="s">
        <v>6479</v>
      </c>
      <c r="FO9" s="1" t="s">
        <v>6480</v>
      </c>
      <c r="FP9" s="1" t="s">
        <v>6481</v>
      </c>
      <c r="FQ9" s="1" t="s">
        <v>6482</v>
      </c>
      <c r="FR9" s="1" t="s">
        <v>6483</v>
      </c>
      <c r="FS9" s="1" t="s">
        <v>6484</v>
      </c>
      <c r="FT9" s="1" t="s">
        <v>6485</v>
      </c>
      <c r="FU9" s="1" t="s">
        <v>6486</v>
      </c>
      <c r="FV9" s="1" t="s">
        <v>6487</v>
      </c>
      <c r="FW9" s="1" t="s">
        <v>6488</v>
      </c>
      <c r="FX9" s="1" t="s">
        <v>6489</v>
      </c>
      <c r="FY9" s="1" t="s">
        <v>6490</v>
      </c>
      <c r="FZ9" s="1" t="s">
        <v>6491</v>
      </c>
      <c r="GA9" s="1" t="s">
        <v>6492</v>
      </c>
      <c r="GB9" s="1" t="s">
        <v>6493</v>
      </c>
      <c r="GC9" s="1" t="s">
        <v>6494</v>
      </c>
      <c r="GD9" s="1" t="s">
        <v>6495</v>
      </c>
      <c r="GE9" s="1" t="s">
        <v>6496</v>
      </c>
      <c r="GF9" s="1" t="s">
        <v>6497</v>
      </c>
      <c r="GG9" s="1" t="s">
        <v>6498</v>
      </c>
      <c r="GH9" s="1" t="s">
        <v>6499</v>
      </c>
      <c r="GI9" s="1" t="s">
        <v>6500</v>
      </c>
      <c r="GJ9" s="1" t="s">
        <v>6501</v>
      </c>
      <c r="GK9" s="1" t="s">
        <v>6502</v>
      </c>
      <c r="GL9" s="1" t="s">
        <v>6503</v>
      </c>
      <c r="GM9" s="1" t="s">
        <v>6504</v>
      </c>
      <c r="GN9" s="1" t="s">
        <v>6505</v>
      </c>
      <c r="GO9" s="1" t="s">
        <v>6506</v>
      </c>
      <c r="GP9" s="1" t="s">
        <v>6507</v>
      </c>
      <c r="GQ9" s="1" t="s">
        <v>6508</v>
      </c>
      <c r="GR9" s="1" t="s">
        <v>6509</v>
      </c>
      <c r="GS9" s="1" t="s">
        <v>6510</v>
      </c>
      <c r="GT9" s="1" t="s">
        <v>6511</v>
      </c>
      <c r="GU9" s="1" t="s">
        <v>6512</v>
      </c>
      <c r="GV9" s="1" t="s">
        <v>6513</v>
      </c>
      <c r="GW9" s="1" t="s">
        <v>6514</v>
      </c>
      <c r="GX9" s="1" t="s">
        <v>6515</v>
      </c>
      <c r="GY9" s="1" t="s">
        <v>6516</v>
      </c>
      <c r="GZ9" s="1" t="s">
        <v>6517</v>
      </c>
      <c r="HA9" s="1" t="s">
        <v>6518</v>
      </c>
      <c r="HB9" s="1" t="s">
        <v>6519</v>
      </c>
      <c r="HC9" s="1" t="s">
        <v>6520</v>
      </c>
      <c r="HD9" s="1" t="s">
        <v>6521</v>
      </c>
      <c r="HE9" s="1" t="s">
        <v>6522</v>
      </c>
      <c r="HF9" s="1" t="s">
        <v>6523</v>
      </c>
      <c r="HG9" s="1" t="s">
        <v>6524</v>
      </c>
      <c r="HH9" s="1" t="s">
        <v>6525</v>
      </c>
      <c r="HI9" s="1" t="s">
        <v>6526</v>
      </c>
      <c r="HJ9" s="1" t="s">
        <v>6527</v>
      </c>
      <c r="HK9" s="1" t="s">
        <v>6528</v>
      </c>
      <c r="HL9" s="1" t="s">
        <v>6529</v>
      </c>
      <c r="HM9" s="1" t="s">
        <v>6530</v>
      </c>
      <c r="HN9" s="1" t="s">
        <v>6531</v>
      </c>
      <c r="HO9" s="1" t="s">
        <v>6532</v>
      </c>
      <c r="HP9" s="1" t="s">
        <v>6533</v>
      </c>
      <c r="HQ9" s="1" t="s">
        <v>6534</v>
      </c>
      <c r="HR9" s="1" t="s">
        <v>6535</v>
      </c>
      <c r="HS9" s="1" t="s">
        <v>6536</v>
      </c>
      <c r="HT9" s="1" t="s">
        <v>6537</v>
      </c>
      <c r="HU9" s="1" t="s">
        <v>6538</v>
      </c>
      <c r="HV9" s="1" t="s">
        <v>6539</v>
      </c>
      <c r="HW9" s="1" t="s">
        <v>6540</v>
      </c>
      <c r="HX9" s="1" t="s">
        <v>6541</v>
      </c>
      <c r="HY9" s="1" t="s">
        <v>6542</v>
      </c>
      <c r="HZ9" s="1" t="s">
        <v>6543</v>
      </c>
      <c r="IA9" s="1" t="s">
        <v>6544</v>
      </c>
      <c r="IB9" s="1" t="s">
        <v>6545</v>
      </c>
      <c r="IC9" s="1" t="s">
        <v>6546</v>
      </c>
      <c r="ID9" s="1" t="s">
        <v>6547</v>
      </c>
      <c r="IE9" s="1" t="s">
        <v>6548</v>
      </c>
      <c r="IF9" s="1" t="s">
        <v>6549</v>
      </c>
      <c r="IG9" s="1" t="s">
        <v>6550</v>
      </c>
      <c r="IH9" s="1" t="s">
        <v>6551</v>
      </c>
      <c r="II9" s="1" t="s">
        <v>6552</v>
      </c>
      <c r="IJ9" s="1" t="s">
        <v>6553</v>
      </c>
      <c r="IK9" s="1" t="s">
        <v>6554</v>
      </c>
      <c r="IL9" s="1" t="s">
        <v>6555</v>
      </c>
      <c r="IM9" s="1" t="s">
        <v>6556</v>
      </c>
      <c r="IN9" s="1" t="s">
        <v>6557</v>
      </c>
      <c r="IO9" s="1" t="s">
        <v>6558</v>
      </c>
      <c r="IP9" s="1" t="s">
        <v>6559</v>
      </c>
      <c r="IQ9" s="1" t="s">
        <v>6560</v>
      </c>
      <c r="IR9" s="1" t="s">
        <v>6561</v>
      </c>
      <c r="IS9" s="1" t="s">
        <v>6562</v>
      </c>
      <c r="IT9" s="1" t="s">
        <v>6563</v>
      </c>
      <c r="IU9" s="1" t="s">
        <v>6564</v>
      </c>
      <c r="IV9" s="1" t="s">
        <v>6565</v>
      </c>
      <c r="IW9" s="1" t="s">
        <v>6566</v>
      </c>
      <c r="IX9" s="1" t="s">
        <v>6567</v>
      </c>
      <c r="IY9" s="1" t="s">
        <v>6568</v>
      </c>
      <c r="IZ9" s="1" t="s">
        <v>6569</v>
      </c>
      <c r="JA9" s="1" t="s">
        <v>6570</v>
      </c>
      <c r="JB9" s="1" t="s">
        <v>6571</v>
      </c>
      <c r="JC9" s="1" t="s">
        <v>6572</v>
      </c>
      <c r="JD9" s="1" t="s">
        <v>6573</v>
      </c>
      <c r="JE9" s="1" t="s">
        <v>6574</v>
      </c>
      <c r="JF9" s="1" t="s">
        <v>6575</v>
      </c>
      <c r="JG9" s="1" t="s">
        <v>6576</v>
      </c>
      <c r="JH9" s="1" t="s">
        <v>6577</v>
      </c>
      <c r="JI9" s="1" t="s">
        <v>6578</v>
      </c>
      <c r="JJ9" s="1" t="s">
        <v>6579</v>
      </c>
      <c r="JK9" s="1" t="s">
        <v>6580</v>
      </c>
      <c r="JL9" s="1" t="s">
        <v>6581</v>
      </c>
      <c r="JM9" s="1" t="s">
        <v>6582</v>
      </c>
      <c r="JN9" s="1" t="s">
        <v>6583</v>
      </c>
      <c r="JO9" s="1" t="s">
        <v>6584</v>
      </c>
      <c r="JP9" s="1" t="s">
        <v>6585</v>
      </c>
      <c r="JQ9" s="1" t="s">
        <v>6586</v>
      </c>
      <c r="JR9" s="1" t="s">
        <v>6587</v>
      </c>
      <c r="JS9" s="1" t="s">
        <v>6588</v>
      </c>
      <c r="JT9" s="1" t="s">
        <v>6589</v>
      </c>
      <c r="JU9" s="1" t="s">
        <v>6590</v>
      </c>
      <c r="JV9" s="1" t="s">
        <v>6591</v>
      </c>
      <c r="JW9" s="1" t="s">
        <v>6592</v>
      </c>
      <c r="JX9" s="1" t="s">
        <v>6593</v>
      </c>
      <c r="JY9" s="1" t="s">
        <v>6594</v>
      </c>
      <c r="JZ9" s="1" t="s">
        <v>6595</v>
      </c>
      <c r="KA9" s="1" t="s">
        <v>6596</v>
      </c>
      <c r="KB9" s="1" t="s">
        <v>6597</v>
      </c>
      <c r="KC9" s="1" t="s">
        <v>6598</v>
      </c>
      <c r="KD9" s="1" t="s">
        <v>6599</v>
      </c>
      <c r="KE9" s="1" t="s">
        <v>6600</v>
      </c>
      <c r="KF9" s="1" t="s">
        <v>6601</v>
      </c>
      <c r="KG9" s="1" t="s">
        <v>6602</v>
      </c>
      <c r="KH9" s="1" t="s">
        <v>6603</v>
      </c>
      <c r="KI9" s="1" t="s">
        <v>6604</v>
      </c>
      <c r="KJ9" s="1" t="s">
        <v>6605</v>
      </c>
      <c r="KK9" s="1" t="s">
        <v>6606</v>
      </c>
      <c r="KL9" s="1" t="s">
        <v>6607</v>
      </c>
      <c r="KM9" s="1" t="s">
        <v>6608</v>
      </c>
      <c r="KN9" s="1" t="s">
        <v>6609</v>
      </c>
      <c r="KO9" s="1" t="s">
        <v>6610</v>
      </c>
      <c r="KP9" s="1" t="s">
        <v>6611</v>
      </c>
      <c r="KQ9" s="1" t="s">
        <v>6612</v>
      </c>
      <c r="KR9" s="1" t="s">
        <v>6613</v>
      </c>
      <c r="KS9" s="1" t="s">
        <v>6614</v>
      </c>
      <c r="KT9" s="1" t="s">
        <v>6615</v>
      </c>
      <c r="KU9" s="1" t="s">
        <v>6616</v>
      </c>
      <c r="KV9" s="1" t="s">
        <v>6617</v>
      </c>
      <c r="KW9" s="1" t="s">
        <v>6618</v>
      </c>
      <c r="KX9" s="1" t="s">
        <v>6619</v>
      </c>
      <c r="KY9" s="1" t="s">
        <v>6620</v>
      </c>
      <c r="KZ9" s="1" t="s">
        <v>6621</v>
      </c>
      <c r="LA9" s="1" t="s">
        <v>6622</v>
      </c>
      <c r="LB9" s="1" t="s">
        <v>6623</v>
      </c>
      <c r="LC9" s="1" t="s">
        <v>6624</v>
      </c>
      <c r="LD9" s="1" t="s">
        <v>6625</v>
      </c>
      <c r="LE9" s="1" t="s">
        <v>6626</v>
      </c>
      <c r="LF9" s="1" t="s">
        <v>6627</v>
      </c>
      <c r="LG9" s="1" t="s">
        <v>6628</v>
      </c>
      <c r="LH9" s="1" t="s">
        <v>6629</v>
      </c>
      <c r="LI9" s="1" t="s">
        <v>6630</v>
      </c>
      <c r="LJ9" s="1" t="s">
        <v>6631</v>
      </c>
      <c r="LK9" s="1" t="s">
        <v>6632</v>
      </c>
      <c r="LL9" s="1" t="s">
        <v>6633</v>
      </c>
      <c r="LM9" s="1" t="s">
        <v>6634</v>
      </c>
      <c r="LN9" s="1" t="s">
        <v>6635</v>
      </c>
      <c r="LO9" s="1" t="s">
        <v>6636</v>
      </c>
      <c r="LP9" s="1" t="s">
        <v>6637</v>
      </c>
      <c r="LQ9" s="1" t="s">
        <v>6638</v>
      </c>
      <c r="LR9" s="1" t="s">
        <v>6639</v>
      </c>
      <c r="LS9" s="1" t="s">
        <v>6640</v>
      </c>
      <c r="LT9" s="1" t="s">
        <v>6641</v>
      </c>
      <c r="LU9" s="1" t="s">
        <v>6642</v>
      </c>
      <c r="LV9" s="1" t="s">
        <v>6643</v>
      </c>
      <c r="LW9" s="1" t="s">
        <v>6644</v>
      </c>
      <c r="LX9" s="1" t="s">
        <v>6645</v>
      </c>
      <c r="LY9" s="1" t="s">
        <v>6646</v>
      </c>
      <c r="LZ9" s="1" t="s">
        <v>6647</v>
      </c>
      <c r="MA9" s="1" t="s">
        <v>6648</v>
      </c>
      <c r="MB9" s="1" t="s">
        <v>6649</v>
      </c>
      <c r="MC9" s="1" t="s">
        <v>6650</v>
      </c>
      <c r="MD9" s="1" t="s">
        <v>6651</v>
      </c>
      <c r="ME9" s="1" t="s">
        <v>6652</v>
      </c>
      <c r="MF9" s="1" t="s">
        <v>6653</v>
      </c>
      <c r="MG9" s="1" t="s">
        <v>6654</v>
      </c>
      <c r="MH9" s="1" t="s">
        <v>6655</v>
      </c>
      <c r="MI9" s="1" t="s">
        <v>6656</v>
      </c>
      <c r="MJ9" s="1" t="s">
        <v>6657</v>
      </c>
      <c r="MK9" s="1" t="s">
        <v>6658</v>
      </c>
      <c r="ML9" s="1" t="s">
        <v>6659</v>
      </c>
      <c r="MM9" s="1" t="s">
        <v>6660</v>
      </c>
      <c r="MN9" s="1" t="s">
        <v>6661</v>
      </c>
      <c r="MO9" s="1" t="s">
        <v>6662</v>
      </c>
      <c r="MP9" s="1" t="s">
        <v>6663</v>
      </c>
      <c r="MQ9" s="1" t="s">
        <v>6664</v>
      </c>
      <c r="MR9" s="1" t="s">
        <v>6665</v>
      </c>
      <c r="MS9" s="1" t="s">
        <v>6666</v>
      </c>
      <c r="MT9" s="1" t="s">
        <v>6667</v>
      </c>
      <c r="MU9" s="1" t="s">
        <v>6668</v>
      </c>
      <c r="MV9" s="1" t="s">
        <v>6669</v>
      </c>
      <c r="MW9" s="1" t="s">
        <v>6670</v>
      </c>
      <c r="MX9" s="1" t="s">
        <v>6671</v>
      </c>
      <c r="MY9" s="1" t="s">
        <v>6672</v>
      </c>
      <c r="MZ9" s="1" t="s">
        <v>6673</v>
      </c>
      <c r="NA9" s="1" t="s">
        <v>6674</v>
      </c>
      <c r="NB9" s="1" t="s">
        <v>6675</v>
      </c>
      <c r="NC9" s="1" t="s">
        <v>6676</v>
      </c>
      <c r="ND9" s="1" t="s">
        <v>6677</v>
      </c>
      <c r="NE9" s="1" t="s">
        <v>6678</v>
      </c>
      <c r="NF9" s="1" t="s">
        <v>6679</v>
      </c>
      <c r="NG9" s="1" t="s">
        <v>6680</v>
      </c>
      <c r="NH9" s="1" t="s">
        <v>6681</v>
      </c>
      <c r="NI9" s="1" t="s">
        <v>6682</v>
      </c>
      <c r="NJ9" s="1" t="s">
        <v>6683</v>
      </c>
      <c r="NK9" s="1" t="s">
        <v>6684</v>
      </c>
      <c r="NL9" s="1" t="s">
        <v>6685</v>
      </c>
      <c r="NM9" s="1" t="s">
        <v>6686</v>
      </c>
      <c r="NN9" s="1" t="s">
        <v>6687</v>
      </c>
      <c r="NO9" s="1" t="s">
        <v>6688</v>
      </c>
      <c r="NP9" s="1" t="s">
        <v>6689</v>
      </c>
      <c r="NQ9" s="1" t="s">
        <v>6690</v>
      </c>
      <c r="NR9" s="1" t="s">
        <v>6691</v>
      </c>
      <c r="NS9" s="1" t="s">
        <v>6692</v>
      </c>
      <c r="NT9" s="1" t="s">
        <v>6693</v>
      </c>
      <c r="NU9" s="1" t="s">
        <v>6694</v>
      </c>
      <c r="NV9" s="1" t="s">
        <v>6695</v>
      </c>
      <c r="NW9" s="1" t="s">
        <v>6696</v>
      </c>
      <c r="NX9" s="1" t="s">
        <v>6697</v>
      </c>
      <c r="NY9" s="1" t="s">
        <v>6698</v>
      </c>
      <c r="NZ9" s="1" t="s">
        <v>6699</v>
      </c>
      <c r="OA9" s="1" t="s">
        <v>6700</v>
      </c>
      <c r="OB9" s="1" t="s">
        <v>6701</v>
      </c>
      <c r="OC9" s="1" t="s">
        <v>6702</v>
      </c>
      <c r="OD9" s="1" t="s">
        <v>6703</v>
      </c>
      <c r="OE9" s="1" t="s">
        <v>6704</v>
      </c>
      <c r="OF9" s="1" t="s">
        <v>6705</v>
      </c>
      <c r="OG9" s="1" t="s">
        <v>6706</v>
      </c>
      <c r="OH9" s="1" t="s">
        <v>6707</v>
      </c>
      <c r="OI9" s="1" t="s">
        <v>6708</v>
      </c>
      <c r="OJ9" s="1" t="s">
        <v>6709</v>
      </c>
      <c r="OK9" s="1" t="s">
        <v>6710</v>
      </c>
      <c r="OL9" s="1" t="s">
        <v>6711</v>
      </c>
      <c r="OM9" s="1" t="s">
        <v>6712</v>
      </c>
      <c r="ON9" s="1" t="s">
        <v>6713</v>
      </c>
      <c r="OO9" s="1" t="s">
        <v>6714</v>
      </c>
      <c r="OP9" s="1" t="s">
        <v>6715</v>
      </c>
      <c r="OQ9" s="1" t="s">
        <v>6716</v>
      </c>
      <c r="OR9" s="1" t="s">
        <v>6717</v>
      </c>
      <c r="OS9" s="1" t="s">
        <v>6718</v>
      </c>
      <c r="OT9" s="1" t="s">
        <v>6719</v>
      </c>
      <c r="OU9" s="1" t="s">
        <v>6720</v>
      </c>
      <c r="OV9" s="1" t="s">
        <v>6721</v>
      </c>
      <c r="OW9" s="1" t="s">
        <v>6722</v>
      </c>
      <c r="OX9" s="1" t="s">
        <v>6723</v>
      </c>
      <c r="OY9" s="1" t="s">
        <v>6724</v>
      </c>
      <c r="OZ9" s="1" t="s">
        <v>6725</v>
      </c>
      <c r="PA9" s="1" t="s">
        <v>6726</v>
      </c>
      <c r="PB9" s="1" t="s">
        <v>6727</v>
      </c>
      <c r="PC9" s="1" t="s">
        <v>6728</v>
      </c>
      <c r="PD9" s="1" t="s">
        <v>6729</v>
      </c>
      <c r="PE9" s="1" t="s">
        <v>6730</v>
      </c>
      <c r="PF9" s="1" t="s">
        <v>6731</v>
      </c>
      <c r="PG9" s="1" t="s">
        <v>6732</v>
      </c>
      <c r="PH9" s="1" t="s">
        <v>6733</v>
      </c>
      <c r="PI9" s="1" t="s">
        <v>6734</v>
      </c>
      <c r="PJ9" s="1" t="s">
        <v>6735</v>
      </c>
      <c r="PK9" s="1" t="s">
        <v>6736</v>
      </c>
      <c r="PL9" s="1" t="s">
        <v>6737</v>
      </c>
      <c r="PM9" s="1" t="s">
        <v>6738</v>
      </c>
      <c r="PN9" s="1" t="s">
        <v>6739</v>
      </c>
      <c r="PO9" s="1" t="s">
        <v>6740</v>
      </c>
      <c r="PP9" s="1" t="s">
        <v>6741</v>
      </c>
      <c r="PQ9" s="1" t="s">
        <v>6742</v>
      </c>
      <c r="PR9" s="1" t="s">
        <v>6743</v>
      </c>
      <c r="PS9" s="1" t="s">
        <v>6744</v>
      </c>
      <c r="PT9" s="1" t="s">
        <v>6745</v>
      </c>
      <c r="PU9" s="1" t="s">
        <v>6746</v>
      </c>
      <c r="PV9" s="1" t="s">
        <v>6747</v>
      </c>
      <c r="PW9" s="1" t="s">
        <v>6748</v>
      </c>
      <c r="PX9" s="1" t="s">
        <v>6749</v>
      </c>
      <c r="PY9" s="1" t="s">
        <v>6750</v>
      </c>
      <c r="PZ9" s="1" t="s">
        <v>6751</v>
      </c>
      <c r="QA9" s="1" t="s">
        <v>6752</v>
      </c>
      <c r="QB9" s="1" t="s">
        <v>6753</v>
      </c>
      <c r="QC9" s="1" t="s">
        <v>6754</v>
      </c>
      <c r="QD9" s="1" t="s">
        <v>6755</v>
      </c>
      <c r="QE9" s="1" t="s">
        <v>6756</v>
      </c>
      <c r="QF9" s="1" t="s">
        <v>6757</v>
      </c>
      <c r="QG9" s="1" t="s">
        <v>6758</v>
      </c>
      <c r="QH9" s="1" t="s">
        <v>6759</v>
      </c>
      <c r="QI9" s="1" t="s">
        <v>6760</v>
      </c>
      <c r="QJ9" s="1" t="s">
        <v>6761</v>
      </c>
      <c r="QK9" s="1" t="s">
        <v>6762</v>
      </c>
      <c r="QL9" s="1" t="s">
        <v>6763</v>
      </c>
      <c r="QM9" s="1" t="s">
        <v>6764</v>
      </c>
      <c r="QN9" s="1" t="s">
        <v>6765</v>
      </c>
      <c r="QO9" s="1" t="s">
        <v>6766</v>
      </c>
      <c r="QP9" s="1" t="s">
        <v>6767</v>
      </c>
      <c r="QQ9" s="1" t="s">
        <v>6768</v>
      </c>
      <c r="QR9" s="1" t="s">
        <v>6769</v>
      </c>
      <c r="QS9" s="1" t="s">
        <v>6770</v>
      </c>
      <c r="QT9" s="1" t="s">
        <v>6771</v>
      </c>
      <c r="QU9" s="1" t="s">
        <v>6772</v>
      </c>
      <c r="QV9" s="1" t="s">
        <v>6773</v>
      </c>
      <c r="QW9" s="1" t="s">
        <v>6774</v>
      </c>
      <c r="QX9" s="1" t="s">
        <v>6775</v>
      </c>
      <c r="QY9" s="1" t="s">
        <v>6776</v>
      </c>
      <c r="QZ9" s="1" t="s">
        <v>6777</v>
      </c>
      <c r="RA9" s="1" t="s">
        <v>6778</v>
      </c>
      <c r="RB9" s="1" t="s">
        <v>6779</v>
      </c>
      <c r="RC9" s="1" t="s">
        <v>6780</v>
      </c>
      <c r="RD9" s="1" t="s">
        <v>6781</v>
      </c>
      <c r="RE9" s="1" t="s">
        <v>6782</v>
      </c>
      <c r="RF9" s="1" t="s">
        <v>6783</v>
      </c>
      <c r="RG9" s="1" t="s">
        <v>6784</v>
      </c>
      <c r="RH9" s="1" t="s">
        <v>6785</v>
      </c>
      <c r="RI9" s="1" t="s">
        <v>6786</v>
      </c>
      <c r="RJ9" s="1" t="s">
        <v>6787</v>
      </c>
      <c r="RK9" s="1" t="s">
        <v>6788</v>
      </c>
      <c r="RL9" s="1" t="s">
        <v>6789</v>
      </c>
      <c r="RM9" s="1" t="s">
        <v>6790</v>
      </c>
      <c r="RN9" s="1" t="s">
        <v>6791</v>
      </c>
      <c r="RO9" s="1" t="s">
        <v>6792</v>
      </c>
      <c r="RP9" s="1" t="s">
        <v>6793</v>
      </c>
      <c r="RQ9" s="1" t="s">
        <v>6794</v>
      </c>
      <c r="RR9" s="1" t="s">
        <v>6795</v>
      </c>
      <c r="RS9" s="1" t="s">
        <v>6796</v>
      </c>
      <c r="RT9" s="1" t="s">
        <v>6797</v>
      </c>
      <c r="RU9" s="1" t="s">
        <v>6798</v>
      </c>
      <c r="RV9" s="1" t="s">
        <v>6799</v>
      </c>
      <c r="RW9" s="1" t="s">
        <v>6800</v>
      </c>
      <c r="RX9" s="1" t="s">
        <v>6801</v>
      </c>
      <c r="RY9" s="1" t="s">
        <v>6802</v>
      </c>
      <c r="RZ9" s="1" t="s">
        <v>6803</v>
      </c>
      <c r="SA9" s="1" t="s">
        <v>6804</v>
      </c>
      <c r="SB9" s="1" t="s">
        <v>6805</v>
      </c>
      <c r="SC9" s="1" t="s">
        <v>6806</v>
      </c>
      <c r="SD9" s="1" t="s">
        <v>6807</v>
      </c>
      <c r="SE9" s="1" t="s">
        <v>6808</v>
      </c>
      <c r="SF9" s="1" t="s">
        <v>6809</v>
      </c>
      <c r="SG9" s="1" t="s">
        <v>6810</v>
      </c>
      <c r="SH9" s="1" t="s">
        <v>6811</v>
      </c>
      <c r="SI9" s="1" t="s">
        <v>6812</v>
      </c>
      <c r="SJ9" s="1" t="s">
        <v>6813</v>
      </c>
      <c r="SK9" s="1" t="s">
        <v>6814</v>
      </c>
      <c r="SL9" s="1" t="s">
        <v>6815</v>
      </c>
      <c r="SM9" s="1" t="s">
        <v>6816</v>
      </c>
      <c r="SN9" s="1" t="s">
        <v>6817</v>
      </c>
      <c r="SO9" s="1" t="s">
        <v>6818</v>
      </c>
      <c r="SP9" s="1" t="s">
        <v>6819</v>
      </c>
      <c r="SQ9" s="1" t="s">
        <v>6820</v>
      </c>
      <c r="SR9" s="1" t="s">
        <v>6821</v>
      </c>
      <c r="SS9" s="1" t="s">
        <v>6822</v>
      </c>
      <c r="ST9" s="1" t="s">
        <v>6823</v>
      </c>
      <c r="SU9" s="1" t="s">
        <v>6824</v>
      </c>
      <c r="SV9" s="1" t="s">
        <v>6825</v>
      </c>
      <c r="SW9" s="1" t="s">
        <v>6826</v>
      </c>
      <c r="SX9" s="1" t="s">
        <v>6827</v>
      </c>
      <c r="SY9" s="1" t="s">
        <v>6828</v>
      </c>
      <c r="SZ9" s="1" t="s">
        <v>6829</v>
      </c>
      <c r="TA9" s="1" t="s">
        <v>6830</v>
      </c>
      <c r="TB9" s="1" t="s">
        <v>6831</v>
      </c>
      <c r="TC9" s="1" t="s">
        <v>6832</v>
      </c>
      <c r="TD9" s="1" t="s">
        <v>6833</v>
      </c>
      <c r="TE9" s="1" t="s">
        <v>6834</v>
      </c>
      <c r="TF9" s="1" t="s">
        <v>6835</v>
      </c>
      <c r="TG9" s="1" t="s">
        <v>6836</v>
      </c>
      <c r="TH9" s="1" t="s">
        <v>6837</v>
      </c>
      <c r="TI9" s="1" t="s">
        <v>6838</v>
      </c>
      <c r="TJ9" s="1" t="s">
        <v>6839</v>
      </c>
      <c r="TK9" s="1" t="s">
        <v>6840</v>
      </c>
      <c r="TL9" s="1" t="s">
        <v>6841</v>
      </c>
      <c r="TM9" s="1" t="s">
        <v>6842</v>
      </c>
      <c r="TN9" s="1" t="s">
        <v>6843</v>
      </c>
      <c r="TO9" s="1" t="s">
        <v>6844</v>
      </c>
      <c r="TP9" s="1" t="s">
        <v>6845</v>
      </c>
      <c r="TQ9" s="1" t="s">
        <v>6846</v>
      </c>
      <c r="TR9" s="1" t="s">
        <v>6847</v>
      </c>
      <c r="TS9" s="1" t="s">
        <v>6848</v>
      </c>
      <c r="TT9" s="1" t="s">
        <v>6849</v>
      </c>
      <c r="TU9" s="1" t="s">
        <v>6850</v>
      </c>
      <c r="TV9" s="1" t="s">
        <v>6851</v>
      </c>
      <c r="TW9" s="1" t="s">
        <v>6852</v>
      </c>
      <c r="TX9" s="1" t="s">
        <v>6853</v>
      </c>
      <c r="TY9" s="1" t="s">
        <v>6854</v>
      </c>
      <c r="TZ9" s="1" t="s">
        <v>6855</v>
      </c>
      <c r="UA9" s="1" t="s">
        <v>6856</v>
      </c>
      <c r="UB9" s="1" t="s">
        <v>6857</v>
      </c>
      <c r="UC9" s="1" t="s">
        <v>6858</v>
      </c>
      <c r="UD9" s="1" t="s">
        <v>6859</v>
      </c>
      <c r="UE9" s="1" t="s">
        <v>6860</v>
      </c>
      <c r="UF9" s="1" t="s">
        <v>6861</v>
      </c>
      <c r="UG9" s="1" t="s">
        <v>6862</v>
      </c>
      <c r="UH9" s="1" t="s">
        <v>6863</v>
      </c>
      <c r="UI9" s="1" t="s">
        <v>6864</v>
      </c>
      <c r="UJ9" s="1" t="s">
        <v>6865</v>
      </c>
      <c r="UK9" s="1" t="s">
        <v>6866</v>
      </c>
      <c r="UL9" s="1" t="s">
        <v>6867</v>
      </c>
      <c r="UM9" s="1" t="s">
        <v>6868</v>
      </c>
      <c r="UN9" s="1" t="s">
        <v>6869</v>
      </c>
      <c r="UO9" s="1" t="s">
        <v>6870</v>
      </c>
      <c r="UP9" s="1" t="s">
        <v>6871</v>
      </c>
      <c r="UQ9" s="1" t="s">
        <v>6872</v>
      </c>
      <c r="UR9" s="1" t="s">
        <v>6873</v>
      </c>
      <c r="US9" s="1" t="s">
        <v>6874</v>
      </c>
      <c r="UT9" s="1" t="s">
        <v>6875</v>
      </c>
      <c r="UU9" s="1" t="s">
        <v>6876</v>
      </c>
      <c r="UV9" s="1" t="s">
        <v>6877</v>
      </c>
      <c r="UW9" s="1" t="s">
        <v>6878</v>
      </c>
      <c r="UX9" s="1" t="s">
        <v>6879</v>
      </c>
      <c r="UY9" s="1" t="s">
        <v>6880</v>
      </c>
      <c r="UZ9" s="1" t="s">
        <v>6881</v>
      </c>
      <c r="VA9" s="1" t="s">
        <v>6882</v>
      </c>
      <c r="VB9" s="1" t="s">
        <v>6883</v>
      </c>
      <c r="VC9" s="1" t="s">
        <v>6884</v>
      </c>
      <c r="VD9" s="1" t="s">
        <v>6885</v>
      </c>
      <c r="VE9" s="1" t="s">
        <v>6886</v>
      </c>
      <c r="VF9" s="1" t="s">
        <v>6887</v>
      </c>
      <c r="VG9" s="1" t="s">
        <v>6888</v>
      </c>
      <c r="VH9" s="1" t="s">
        <v>6889</v>
      </c>
      <c r="VI9" s="1" t="s">
        <v>6890</v>
      </c>
      <c r="VJ9" s="1" t="s">
        <v>6891</v>
      </c>
      <c r="VK9" s="1" t="s">
        <v>6892</v>
      </c>
      <c r="VL9" s="1" t="s">
        <v>6893</v>
      </c>
      <c r="VM9" s="1" t="s">
        <v>6894</v>
      </c>
      <c r="VN9" s="1" t="s">
        <v>6895</v>
      </c>
      <c r="VO9" s="1" t="s">
        <v>6896</v>
      </c>
      <c r="VP9" s="1" t="s">
        <v>6897</v>
      </c>
      <c r="VQ9" s="1" t="s">
        <v>6898</v>
      </c>
      <c r="VR9" s="1" t="s">
        <v>6899</v>
      </c>
      <c r="VS9" s="1" t="s">
        <v>6900</v>
      </c>
      <c r="VT9" s="1" t="s">
        <v>6901</v>
      </c>
      <c r="VU9" s="1" t="s">
        <v>6902</v>
      </c>
      <c r="VV9" s="1" t="s">
        <v>6903</v>
      </c>
      <c r="VW9" s="1" t="s">
        <v>6904</v>
      </c>
      <c r="VX9" s="1" t="s">
        <v>6905</v>
      </c>
      <c r="VY9" s="1" t="s">
        <v>6906</v>
      </c>
      <c r="VZ9" s="1" t="s">
        <v>6907</v>
      </c>
      <c r="WA9" s="1" t="s">
        <v>6908</v>
      </c>
      <c r="WB9" s="1" t="s">
        <v>6909</v>
      </c>
      <c r="WC9" s="1" t="s">
        <v>6910</v>
      </c>
      <c r="WD9" s="1" t="s">
        <v>6911</v>
      </c>
      <c r="WE9" s="1" t="s">
        <v>6912</v>
      </c>
      <c r="WF9" s="1" t="s">
        <v>6913</v>
      </c>
      <c r="WG9" s="1" t="s">
        <v>6914</v>
      </c>
      <c r="WH9" s="1" t="s">
        <v>6915</v>
      </c>
      <c r="WI9" s="1" t="s">
        <v>6916</v>
      </c>
      <c r="WJ9" s="1" t="s">
        <v>6917</v>
      </c>
      <c r="WK9" s="1" t="s">
        <v>6918</v>
      </c>
      <c r="WL9" s="1" t="s">
        <v>6919</v>
      </c>
      <c r="WM9" s="1" t="s">
        <v>6920</v>
      </c>
      <c r="WN9" s="1" t="s">
        <v>6921</v>
      </c>
      <c r="WO9" s="1" t="s">
        <v>6922</v>
      </c>
      <c r="WP9" s="1" t="s">
        <v>6923</v>
      </c>
      <c r="WQ9" s="1" t="s">
        <v>6924</v>
      </c>
      <c r="WR9" s="1" t="s">
        <v>6925</v>
      </c>
      <c r="WS9" s="1" t="s">
        <v>6926</v>
      </c>
      <c r="WT9" s="1" t="s">
        <v>6927</v>
      </c>
      <c r="WU9" s="1" t="s">
        <v>6928</v>
      </c>
      <c r="WV9" s="1" t="s">
        <v>6929</v>
      </c>
      <c r="WW9" s="1" t="s">
        <v>6930</v>
      </c>
      <c r="WX9" s="1" t="s">
        <v>6931</v>
      </c>
      <c r="WY9" s="1" t="s">
        <v>6932</v>
      </c>
      <c r="WZ9" s="1" t="s">
        <v>6933</v>
      </c>
      <c r="XA9" s="1" t="s">
        <v>6934</v>
      </c>
      <c r="XB9" s="1" t="s">
        <v>6935</v>
      </c>
      <c r="XC9" s="1" t="s">
        <v>6936</v>
      </c>
      <c r="XD9" s="1" t="s">
        <v>6937</v>
      </c>
      <c r="XE9" s="1" t="s">
        <v>6938</v>
      </c>
      <c r="XF9" s="1" t="s">
        <v>6939</v>
      </c>
      <c r="XG9" s="1" t="s">
        <v>6940</v>
      </c>
      <c r="XH9" s="1" t="s">
        <v>6941</v>
      </c>
      <c r="XI9" s="1" t="s">
        <v>6942</v>
      </c>
      <c r="XJ9" s="1" t="s">
        <v>6943</v>
      </c>
      <c r="XK9" s="1" t="s">
        <v>6944</v>
      </c>
      <c r="XL9" s="1" t="s">
        <v>6945</v>
      </c>
      <c r="XM9" s="1" t="s">
        <v>6946</v>
      </c>
      <c r="XN9" s="1" t="s">
        <v>6947</v>
      </c>
      <c r="XO9" s="1" t="s">
        <v>6948</v>
      </c>
      <c r="XP9" s="1" t="s">
        <v>6949</v>
      </c>
      <c r="XQ9" s="1" t="s">
        <v>6950</v>
      </c>
      <c r="XR9" s="1" t="s">
        <v>6951</v>
      </c>
      <c r="XS9" s="1" t="s">
        <v>6952</v>
      </c>
      <c r="XT9" s="1" t="s">
        <v>6953</v>
      </c>
      <c r="XU9" s="1" t="s">
        <v>6954</v>
      </c>
      <c r="XV9" s="1" t="s">
        <v>6955</v>
      </c>
      <c r="XW9" s="1" t="s">
        <v>6956</v>
      </c>
      <c r="XX9" s="1" t="s">
        <v>6957</v>
      </c>
      <c r="XY9" s="1" t="s">
        <v>6958</v>
      </c>
      <c r="XZ9" s="1" t="s">
        <v>6959</v>
      </c>
      <c r="YA9" s="1" t="s">
        <v>6960</v>
      </c>
      <c r="YB9" s="1" t="s">
        <v>6961</v>
      </c>
      <c r="YC9" s="1" t="s">
        <v>6962</v>
      </c>
      <c r="YD9" s="1" t="s">
        <v>6963</v>
      </c>
      <c r="YE9" s="1" t="s">
        <v>6964</v>
      </c>
      <c r="YF9" s="1" t="s">
        <v>6965</v>
      </c>
      <c r="YG9" s="1" t="s">
        <v>6966</v>
      </c>
      <c r="YH9" s="1" t="s">
        <v>6967</v>
      </c>
      <c r="YI9" s="1" t="s">
        <v>6968</v>
      </c>
      <c r="YJ9" s="1" t="s">
        <v>6969</v>
      </c>
      <c r="YK9" s="1" t="s">
        <v>6970</v>
      </c>
      <c r="YL9" s="1" t="s">
        <v>6971</v>
      </c>
      <c r="YM9" s="1" t="s">
        <v>6972</v>
      </c>
      <c r="YN9" s="1" t="s">
        <v>6973</v>
      </c>
      <c r="YO9" s="1" t="s">
        <v>6974</v>
      </c>
      <c r="YP9" s="1" t="s">
        <v>6975</v>
      </c>
      <c r="YQ9" s="1" t="s">
        <v>6976</v>
      </c>
      <c r="YR9" s="1" t="s">
        <v>6977</v>
      </c>
      <c r="YS9" s="1" t="s">
        <v>6978</v>
      </c>
      <c r="YT9" s="1" t="s">
        <v>6979</v>
      </c>
      <c r="YU9" s="1" t="s">
        <v>6980</v>
      </c>
      <c r="YV9" s="1" t="s">
        <v>6981</v>
      </c>
      <c r="YW9" s="1" t="s">
        <v>6982</v>
      </c>
      <c r="YX9" s="1" t="s">
        <v>6983</v>
      </c>
      <c r="YY9" s="1" t="s">
        <v>6984</v>
      </c>
      <c r="YZ9" s="1" t="s">
        <v>6985</v>
      </c>
      <c r="ZA9" s="1" t="s">
        <v>6986</v>
      </c>
      <c r="ZB9" s="1" t="s">
        <v>6987</v>
      </c>
      <c r="ZC9" s="1" t="s">
        <v>6988</v>
      </c>
      <c r="ZD9" s="1" t="s">
        <v>6989</v>
      </c>
      <c r="ZE9" s="1" t="s">
        <v>6990</v>
      </c>
      <c r="ZF9" s="1" t="s">
        <v>6991</v>
      </c>
      <c r="ZG9" s="1" t="s">
        <v>6992</v>
      </c>
      <c r="ZH9" s="1" t="s">
        <v>6993</v>
      </c>
      <c r="ZI9" s="1" t="s">
        <v>6994</v>
      </c>
      <c r="ZJ9" s="1" t="s">
        <v>6995</v>
      </c>
      <c r="ZK9" s="1" t="s">
        <v>6996</v>
      </c>
      <c r="ZL9" s="1" t="s">
        <v>6997</v>
      </c>
      <c r="ZM9" s="1" t="s">
        <v>6998</v>
      </c>
      <c r="ZN9" s="1" t="s">
        <v>6999</v>
      </c>
      <c r="ZO9" s="1" t="s">
        <v>7000</v>
      </c>
      <c r="ZP9" s="1" t="s">
        <v>7001</v>
      </c>
      <c r="ZQ9" s="1" t="s">
        <v>7002</v>
      </c>
      <c r="ZR9" s="1" t="s">
        <v>7003</v>
      </c>
      <c r="ZS9" s="1" t="s">
        <v>7004</v>
      </c>
      <c r="ZT9" s="1" t="s">
        <v>7005</v>
      </c>
      <c r="ZU9" s="1" t="s">
        <v>7006</v>
      </c>
      <c r="ZV9" s="1" t="s">
        <v>7007</v>
      </c>
      <c r="ZW9" s="1" t="s">
        <v>7008</v>
      </c>
      <c r="ZX9" s="1" t="s">
        <v>7009</v>
      </c>
      <c r="ZY9" s="1" t="s">
        <v>7010</v>
      </c>
      <c r="ZZ9" s="1" t="s">
        <v>7011</v>
      </c>
      <c r="AAA9" s="1" t="s">
        <v>7012</v>
      </c>
      <c r="AAB9" s="1" t="s">
        <v>7013</v>
      </c>
      <c r="AAC9" s="1" t="s">
        <v>7014</v>
      </c>
      <c r="AAD9" s="1" t="s">
        <v>7015</v>
      </c>
      <c r="AAE9" s="1" t="s">
        <v>7016</v>
      </c>
      <c r="AAF9" s="1" t="s">
        <v>7017</v>
      </c>
      <c r="AAG9" s="1" t="s">
        <v>7018</v>
      </c>
      <c r="AAH9" s="1" t="s">
        <v>7019</v>
      </c>
      <c r="AAI9" s="1" t="s">
        <v>7020</v>
      </c>
      <c r="AAJ9" s="1" t="s">
        <v>7021</v>
      </c>
      <c r="AAK9" s="1" t="s">
        <v>7022</v>
      </c>
      <c r="AAL9" s="1" t="s">
        <v>7023</v>
      </c>
      <c r="AAM9" s="1" t="s">
        <v>7024</v>
      </c>
      <c r="AAN9" s="1" t="s">
        <v>7025</v>
      </c>
      <c r="AAO9" s="1" t="s">
        <v>7026</v>
      </c>
      <c r="AAP9" s="1" t="s">
        <v>7027</v>
      </c>
      <c r="AAQ9" s="1" t="s">
        <v>7028</v>
      </c>
      <c r="AAR9" s="1" t="s">
        <v>7029</v>
      </c>
      <c r="AAS9" s="1" t="s">
        <v>7030</v>
      </c>
      <c r="AAT9" s="1" t="s">
        <v>7031</v>
      </c>
      <c r="AAU9" s="1" t="s">
        <v>7032</v>
      </c>
      <c r="AAV9" s="1" t="s">
        <v>7033</v>
      </c>
      <c r="AAW9" s="1" t="s">
        <v>7034</v>
      </c>
      <c r="AAX9" s="1" t="s">
        <v>7035</v>
      </c>
      <c r="AAY9" s="1" t="s">
        <v>7036</v>
      </c>
      <c r="AAZ9" s="1" t="s">
        <v>7037</v>
      </c>
      <c r="ABA9" s="1" t="s">
        <v>7038</v>
      </c>
      <c r="ABB9" s="1" t="s">
        <v>7039</v>
      </c>
      <c r="ABC9" s="1" t="s">
        <v>7040</v>
      </c>
      <c r="ABD9" s="1" t="s">
        <v>7041</v>
      </c>
      <c r="ABE9" s="1" t="s">
        <v>7042</v>
      </c>
      <c r="ABF9" s="1" t="s">
        <v>7043</v>
      </c>
      <c r="ABG9" s="1" t="s">
        <v>7044</v>
      </c>
      <c r="ABH9" s="1" t="s">
        <v>7045</v>
      </c>
      <c r="ABI9" s="1" t="s">
        <v>7046</v>
      </c>
      <c r="ABJ9" s="1" t="s">
        <v>7047</v>
      </c>
      <c r="ABK9" s="1" t="s">
        <v>7048</v>
      </c>
      <c r="ABL9" s="1" t="s">
        <v>7049</v>
      </c>
      <c r="ABM9" s="1" t="s">
        <v>7050</v>
      </c>
      <c r="ABN9" s="1" t="s">
        <v>7051</v>
      </c>
      <c r="ABO9" s="1" t="s">
        <v>7052</v>
      </c>
      <c r="ABP9" s="1" t="s">
        <v>7053</v>
      </c>
      <c r="ABQ9" s="1" t="s">
        <v>7054</v>
      </c>
      <c r="ABR9" s="1" t="s">
        <v>7055</v>
      </c>
      <c r="ABS9" s="1" t="s">
        <v>7056</v>
      </c>
      <c r="ABT9" s="1" t="s">
        <v>7057</v>
      </c>
      <c r="ABU9" s="1" t="s">
        <v>7058</v>
      </c>
      <c r="ABV9" s="1" t="s">
        <v>7059</v>
      </c>
      <c r="ABW9" s="1" t="s">
        <v>7060</v>
      </c>
      <c r="ABX9" s="1" t="s">
        <v>7061</v>
      </c>
      <c r="ABY9" s="1" t="s">
        <v>7062</v>
      </c>
      <c r="ABZ9" s="1" t="s">
        <v>7063</v>
      </c>
      <c r="ACA9" s="1" t="s">
        <v>7064</v>
      </c>
      <c r="ACB9" s="1" t="s">
        <v>7065</v>
      </c>
      <c r="ACC9" s="1" t="s">
        <v>7066</v>
      </c>
      <c r="ACD9" s="1" t="s">
        <v>7067</v>
      </c>
      <c r="ACE9" s="1" t="s">
        <v>7068</v>
      </c>
      <c r="ACF9" s="1" t="s">
        <v>7069</v>
      </c>
      <c r="ACG9" s="1" t="s">
        <v>7070</v>
      </c>
      <c r="ACH9" s="1" t="s">
        <v>7071</v>
      </c>
      <c r="ACI9" s="1" t="s">
        <v>7072</v>
      </c>
      <c r="ACJ9" s="1" t="s">
        <v>7073</v>
      </c>
      <c r="ACK9" s="1" t="s">
        <v>7074</v>
      </c>
      <c r="ACL9" s="1" t="s">
        <v>7075</v>
      </c>
      <c r="ACM9" s="1" t="s">
        <v>7076</v>
      </c>
      <c r="ACN9" s="1" t="s">
        <v>7077</v>
      </c>
      <c r="ACO9" s="1" t="s">
        <v>7078</v>
      </c>
      <c r="ACP9" s="1" t="s">
        <v>7079</v>
      </c>
      <c r="ACQ9" s="1" t="s">
        <v>7080</v>
      </c>
      <c r="ACR9" s="1" t="s">
        <v>7081</v>
      </c>
      <c r="ACS9" s="1" t="s">
        <v>7082</v>
      </c>
      <c r="ACT9" s="1" t="s">
        <v>7083</v>
      </c>
      <c r="ACU9" s="1" t="s">
        <v>7084</v>
      </c>
      <c r="ACV9" s="1" t="s">
        <v>7085</v>
      </c>
      <c r="ACW9" s="1" t="s">
        <v>6</v>
      </c>
      <c r="ACX9" s="1" t="s">
        <v>1501</v>
      </c>
    </row>
    <row r="10" spans="1:778" x14ac:dyDescent="0.2">
      <c r="A10" s="1" t="s">
        <v>14</v>
      </c>
      <c r="B10" s="1" t="s">
        <v>7086</v>
      </c>
      <c r="C10" s="1" t="s">
        <v>7087</v>
      </c>
      <c r="D10" s="1" t="s">
        <v>7088</v>
      </c>
      <c r="E10" s="1" t="s">
        <v>7089</v>
      </c>
      <c r="F10" s="1" t="s">
        <v>7090</v>
      </c>
      <c r="G10" s="1" t="s">
        <v>7091</v>
      </c>
      <c r="H10" s="1" t="s">
        <v>7092</v>
      </c>
      <c r="I10" s="1" t="s">
        <v>7093</v>
      </c>
      <c r="J10" s="1" t="s">
        <v>7094</v>
      </c>
      <c r="K10" s="1" t="s">
        <v>7095</v>
      </c>
      <c r="L10" s="1" t="s">
        <v>7096</v>
      </c>
      <c r="M10" s="1" t="s">
        <v>7097</v>
      </c>
      <c r="N10" s="1" t="s">
        <v>7098</v>
      </c>
      <c r="O10" s="1" t="s">
        <v>7099</v>
      </c>
      <c r="P10" s="1" t="s">
        <v>7100</v>
      </c>
      <c r="Q10" s="1" t="s">
        <v>7101</v>
      </c>
      <c r="R10" s="1" t="s">
        <v>7102</v>
      </c>
      <c r="S10" s="1" t="s">
        <v>7103</v>
      </c>
      <c r="T10" s="1" t="s">
        <v>7104</v>
      </c>
      <c r="U10" s="1" t="s">
        <v>7105</v>
      </c>
      <c r="V10" s="1" t="s">
        <v>7106</v>
      </c>
      <c r="W10" s="1" t="s">
        <v>7107</v>
      </c>
      <c r="X10" s="1" t="s">
        <v>7108</v>
      </c>
      <c r="Y10" s="1" t="s">
        <v>7109</v>
      </c>
      <c r="Z10" s="1" t="s">
        <v>7110</v>
      </c>
      <c r="AA10" s="1" t="s">
        <v>7111</v>
      </c>
      <c r="AB10" s="1" t="s">
        <v>7112</v>
      </c>
      <c r="AC10" s="1" t="s">
        <v>7113</v>
      </c>
      <c r="AD10" s="1" t="s">
        <v>7114</v>
      </c>
      <c r="AE10" s="1" t="s">
        <v>7115</v>
      </c>
      <c r="AF10" s="1" t="s">
        <v>7116</v>
      </c>
      <c r="AG10" s="1" t="s">
        <v>7117</v>
      </c>
      <c r="AH10" s="1" t="s">
        <v>7118</v>
      </c>
      <c r="AI10" s="1" t="s">
        <v>7119</v>
      </c>
      <c r="AJ10" s="1" t="s">
        <v>7120</v>
      </c>
      <c r="AK10" s="1" t="s">
        <v>7121</v>
      </c>
      <c r="AL10" s="1" t="s">
        <v>7122</v>
      </c>
      <c r="AM10" s="1" t="s">
        <v>7123</v>
      </c>
      <c r="AN10" s="1" t="s">
        <v>7124</v>
      </c>
      <c r="AO10" s="1" t="s">
        <v>7125</v>
      </c>
      <c r="AP10" s="1" t="s">
        <v>7126</v>
      </c>
      <c r="AQ10" s="1" t="s">
        <v>7127</v>
      </c>
      <c r="AR10" s="1" t="s">
        <v>7128</v>
      </c>
      <c r="AS10" s="1" t="s">
        <v>7129</v>
      </c>
      <c r="AT10" s="1" t="s">
        <v>7130</v>
      </c>
      <c r="AU10" s="1" t="s">
        <v>7131</v>
      </c>
      <c r="AV10" s="1" t="s">
        <v>7132</v>
      </c>
      <c r="AW10" s="1" t="s">
        <v>7133</v>
      </c>
      <c r="AX10" s="1" t="s">
        <v>7134</v>
      </c>
      <c r="AY10" s="1" t="s">
        <v>7135</v>
      </c>
      <c r="AZ10" s="1" t="s">
        <v>7136</v>
      </c>
      <c r="BA10" s="1" t="s">
        <v>7137</v>
      </c>
      <c r="BB10" s="1" t="s">
        <v>7138</v>
      </c>
      <c r="BC10" s="1" t="s">
        <v>7139</v>
      </c>
      <c r="BD10" s="1" t="s">
        <v>7140</v>
      </c>
      <c r="BE10" s="1" t="s">
        <v>7141</v>
      </c>
      <c r="BF10" s="1" t="s">
        <v>7142</v>
      </c>
      <c r="BG10" s="1" t="s">
        <v>7143</v>
      </c>
      <c r="BH10" s="1" t="s">
        <v>7144</v>
      </c>
      <c r="BI10" s="1" t="s">
        <v>7145</v>
      </c>
      <c r="BJ10" s="1" t="s">
        <v>7146</v>
      </c>
      <c r="BK10" s="1" t="s">
        <v>7147</v>
      </c>
      <c r="BL10" s="1" t="s">
        <v>7148</v>
      </c>
      <c r="BM10" s="1" t="s">
        <v>7149</v>
      </c>
      <c r="BN10" s="1" t="s">
        <v>7150</v>
      </c>
      <c r="BO10" s="1" t="s">
        <v>7151</v>
      </c>
      <c r="BP10" s="1" t="s">
        <v>7152</v>
      </c>
      <c r="BQ10" s="1" t="s">
        <v>7153</v>
      </c>
      <c r="BR10" s="1" t="s">
        <v>7154</v>
      </c>
      <c r="BS10" s="1" t="s">
        <v>7155</v>
      </c>
      <c r="BT10" s="1" t="s">
        <v>7156</v>
      </c>
      <c r="BU10" s="1" t="s">
        <v>7157</v>
      </c>
      <c r="BV10" s="1" t="s">
        <v>7158</v>
      </c>
      <c r="BW10" s="1" t="s">
        <v>7159</v>
      </c>
      <c r="BX10" s="1" t="s">
        <v>7160</v>
      </c>
      <c r="BY10" s="1" t="s">
        <v>7161</v>
      </c>
      <c r="BZ10" s="1" t="s">
        <v>7162</v>
      </c>
      <c r="CA10" s="1" t="s">
        <v>7163</v>
      </c>
      <c r="CB10" s="1" t="s">
        <v>7164</v>
      </c>
      <c r="CC10" s="1" t="s">
        <v>7165</v>
      </c>
      <c r="CD10" s="1" t="s">
        <v>7166</v>
      </c>
      <c r="CE10" s="1" t="s">
        <v>7167</v>
      </c>
      <c r="CF10" s="1" t="s">
        <v>7168</v>
      </c>
      <c r="CG10" s="1" t="s">
        <v>7169</v>
      </c>
      <c r="CH10" s="1" t="s">
        <v>7170</v>
      </c>
      <c r="CI10" s="1" t="s">
        <v>7171</v>
      </c>
      <c r="CJ10" s="1" t="s">
        <v>7172</v>
      </c>
      <c r="CK10" s="1" t="s">
        <v>7173</v>
      </c>
      <c r="CL10" s="1" t="s">
        <v>7174</v>
      </c>
      <c r="CM10" s="1" t="s">
        <v>7175</v>
      </c>
      <c r="CN10" s="1" t="s">
        <v>7176</v>
      </c>
      <c r="CO10" s="1" t="s">
        <v>7177</v>
      </c>
      <c r="CP10" s="1" t="s">
        <v>7178</v>
      </c>
      <c r="CQ10" s="1" t="s">
        <v>7179</v>
      </c>
      <c r="CR10" s="1" t="s">
        <v>7180</v>
      </c>
      <c r="CS10" s="1" t="s">
        <v>7181</v>
      </c>
      <c r="CT10" s="1" t="s">
        <v>7182</v>
      </c>
      <c r="CU10" s="1" t="s">
        <v>7183</v>
      </c>
      <c r="CV10" s="1" t="s">
        <v>7184</v>
      </c>
      <c r="CW10" s="1" t="s">
        <v>7185</v>
      </c>
      <c r="CX10" s="1" t="s">
        <v>7186</v>
      </c>
      <c r="CY10" s="1" t="s">
        <v>7187</v>
      </c>
      <c r="CZ10" s="1" t="s">
        <v>7188</v>
      </c>
      <c r="DA10" s="1" t="s">
        <v>7189</v>
      </c>
      <c r="DB10" s="1" t="s">
        <v>7190</v>
      </c>
      <c r="DC10" s="1" t="s">
        <v>7191</v>
      </c>
      <c r="DD10" s="1" t="s">
        <v>7192</v>
      </c>
      <c r="DE10" s="1" t="s">
        <v>7193</v>
      </c>
      <c r="DF10" s="1" t="s">
        <v>7194</v>
      </c>
      <c r="DG10" s="1" t="s">
        <v>7195</v>
      </c>
      <c r="DH10" s="1" t="s">
        <v>7196</v>
      </c>
      <c r="DI10" s="1" t="s">
        <v>7197</v>
      </c>
      <c r="DJ10" s="1" t="s">
        <v>7198</v>
      </c>
      <c r="DK10" s="1" t="s">
        <v>7199</v>
      </c>
      <c r="DL10" s="1" t="s">
        <v>7200</v>
      </c>
      <c r="DM10" s="1" t="s">
        <v>7201</v>
      </c>
      <c r="DN10" s="1" t="s">
        <v>7202</v>
      </c>
      <c r="DO10" s="1" t="s">
        <v>7203</v>
      </c>
      <c r="DP10" s="1" t="s">
        <v>7204</v>
      </c>
      <c r="DQ10" s="1" t="s">
        <v>7205</v>
      </c>
      <c r="DR10" s="1" t="s">
        <v>7206</v>
      </c>
      <c r="DS10" s="1" t="s">
        <v>7207</v>
      </c>
      <c r="DT10" s="1" t="s">
        <v>7208</v>
      </c>
      <c r="DU10" s="1" t="s">
        <v>7209</v>
      </c>
      <c r="DV10" s="1" t="s">
        <v>7210</v>
      </c>
      <c r="DW10" s="1" t="s">
        <v>7211</v>
      </c>
      <c r="DX10" s="1" t="s">
        <v>7212</v>
      </c>
      <c r="DY10" s="1" t="s">
        <v>7213</v>
      </c>
      <c r="DZ10" s="1" t="s">
        <v>7214</v>
      </c>
      <c r="EA10" s="1" t="s">
        <v>7215</v>
      </c>
      <c r="EB10" s="1" t="s">
        <v>7216</v>
      </c>
      <c r="EC10" s="1" t="s">
        <v>7217</v>
      </c>
      <c r="ED10" s="1" t="s">
        <v>7218</v>
      </c>
      <c r="EE10" s="1" t="s">
        <v>7219</v>
      </c>
      <c r="EF10" s="1" t="s">
        <v>7220</v>
      </c>
      <c r="EG10" s="1" t="s">
        <v>7221</v>
      </c>
      <c r="EH10" s="1" t="s">
        <v>7222</v>
      </c>
      <c r="EI10" s="1" t="s">
        <v>7223</v>
      </c>
      <c r="EJ10" s="1" t="s">
        <v>7224</v>
      </c>
      <c r="EK10" s="1" t="s">
        <v>7225</v>
      </c>
      <c r="EL10" s="1" t="s">
        <v>7226</v>
      </c>
      <c r="EM10" s="1" t="s">
        <v>7227</v>
      </c>
      <c r="EN10" s="1" t="s">
        <v>7228</v>
      </c>
      <c r="EO10" s="1" t="s">
        <v>7229</v>
      </c>
      <c r="EP10" s="1" t="s">
        <v>7230</v>
      </c>
      <c r="EQ10" s="1" t="s">
        <v>7231</v>
      </c>
      <c r="ER10" s="1" t="s">
        <v>7232</v>
      </c>
      <c r="ES10" s="1" t="s">
        <v>7233</v>
      </c>
      <c r="ET10" s="1" t="s">
        <v>7234</v>
      </c>
      <c r="EU10" s="1" t="s">
        <v>7235</v>
      </c>
      <c r="EV10" s="1" t="s">
        <v>7236</v>
      </c>
      <c r="EW10" s="1" t="s">
        <v>7237</v>
      </c>
      <c r="EX10" s="1" t="s">
        <v>7238</v>
      </c>
      <c r="EY10" s="1" t="s">
        <v>7239</v>
      </c>
      <c r="EZ10" s="1" t="s">
        <v>7240</v>
      </c>
      <c r="FA10" s="1" t="s">
        <v>7241</v>
      </c>
      <c r="FB10" s="1" t="s">
        <v>7242</v>
      </c>
      <c r="FC10" s="1" t="s">
        <v>7243</v>
      </c>
      <c r="FD10" s="1" t="s">
        <v>7244</v>
      </c>
      <c r="FE10" s="1" t="s">
        <v>7245</v>
      </c>
      <c r="FF10" s="1" t="s">
        <v>7246</v>
      </c>
      <c r="FG10" s="1" t="s">
        <v>7247</v>
      </c>
      <c r="FH10" s="1" t="s">
        <v>7248</v>
      </c>
      <c r="FI10" s="1" t="s">
        <v>7249</v>
      </c>
      <c r="FJ10" s="1" t="s">
        <v>7250</v>
      </c>
      <c r="FK10" s="1" t="s">
        <v>7251</v>
      </c>
      <c r="FL10" s="1" t="s">
        <v>7252</v>
      </c>
      <c r="FM10" s="1" t="s">
        <v>7253</v>
      </c>
      <c r="FN10" s="1" t="s">
        <v>7254</v>
      </c>
      <c r="FO10" s="1" t="s">
        <v>7255</v>
      </c>
      <c r="FP10" s="1" t="s">
        <v>7256</v>
      </c>
      <c r="FQ10" s="1" t="s">
        <v>7257</v>
      </c>
      <c r="FR10" s="1" t="s">
        <v>7258</v>
      </c>
      <c r="FS10" s="1" t="s">
        <v>7259</v>
      </c>
      <c r="FT10" s="1" t="s">
        <v>7260</v>
      </c>
      <c r="FU10" s="1" t="s">
        <v>7261</v>
      </c>
      <c r="FV10" s="1" t="s">
        <v>7262</v>
      </c>
      <c r="FW10" s="1" t="s">
        <v>7263</v>
      </c>
      <c r="FX10" s="1" t="s">
        <v>7264</v>
      </c>
      <c r="FY10" s="1" t="s">
        <v>7265</v>
      </c>
      <c r="FZ10" s="1" t="s">
        <v>7266</v>
      </c>
      <c r="GA10" s="1" t="s">
        <v>7267</v>
      </c>
      <c r="GB10" s="1" t="s">
        <v>7268</v>
      </c>
      <c r="GC10" s="1" t="s">
        <v>7269</v>
      </c>
      <c r="GD10" s="1" t="s">
        <v>7270</v>
      </c>
      <c r="GE10" s="1" t="s">
        <v>7271</v>
      </c>
      <c r="GF10" s="1" t="s">
        <v>7272</v>
      </c>
      <c r="GG10" s="1" t="s">
        <v>7273</v>
      </c>
      <c r="GH10" s="1" t="s">
        <v>7274</v>
      </c>
      <c r="GI10" s="1" t="s">
        <v>7275</v>
      </c>
      <c r="GJ10" s="1" t="s">
        <v>7276</v>
      </c>
      <c r="GK10" s="1" t="s">
        <v>7277</v>
      </c>
      <c r="GL10" s="1" t="s">
        <v>7278</v>
      </c>
      <c r="GM10" s="1" t="s">
        <v>7279</v>
      </c>
      <c r="GN10" s="1" t="s">
        <v>7280</v>
      </c>
      <c r="GO10" s="1" t="s">
        <v>7281</v>
      </c>
      <c r="GP10" s="1" t="s">
        <v>7282</v>
      </c>
      <c r="GQ10" s="1" t="s">
        <v>7283</v>
      </c>
      <c r="GR10" s="1" t="s">
        <v>7284</v>
      </c>
      <c r="GS10" s="1" t="s">
        <v>7285</v>
      </c>
      <c r="GT10" s="1" t="s">
        <v>7286</v>
      </c>
      <c r="GU10" s="1" t="s">
        <v>7287</v>
      </c>
      <c r="GV10" s="1" t="s">
        <v>7288</v>
      </c>
      <c r="GW10" s="1" t="s">
        <v>7289</v>
      </c>
      <c r="GX10" s="1" t="s">
        <v>7290</v>
      </c>
      <c r="GY10" s="1" t="s">
        <v>7291</v>
      </c>
      <c r="GZ10" s="1" t="s">
        <v>7292</v>
      </c>
      <c r="HA10" s="1" t="s">
        <v>7293</v>
      </c>
      <c r="HB10" s="1" t="s">
        <v>7294</v>
      </c>
      <c r="HC10" s="1" t="s">
        <v>7295</v>
      </c>
      <c r="HD10" s="1" t="s">
        <v>7296</v>
      </c>
      <c r="HE10" s="1" t="s">
        <v>7297</v>
      </c>
      <c r="HF10" s="1" t="s">
        <v>7298</v>
      </c>
      <c r="HG10" s="1" t="s">
        <v>7299</v>
      </c>
      <c r="HH10" s="1" t="s">
        <v>7300</v>
      </c>
      <c r="HI10" s="1" t="s">
        <v>7301</v>
      </c>
      <c r="HJ10" s="1" t="s">
        <v>7302</v>
      </c>
      <c r="HK10" s="1" t="s">
        <v>7303</v>
      </c>
      <c r="HL10" s="1" t="s">
        <v>7304</v>
      </c>
      <c r="HM10" s="1" t="s">
        <v>7305</v>
      </c>
      <c r="HN10" s="1" t="s">
        <v>7306</v>
      </c>
      <c r="HO10" s="1" t="s">
        <v>7307</v>
      </c>
      <c r="HP10" s="1" t="s">
        <v>7308</v>
      </c>
      <c r="HQ10" s="1" t="s">
        <v>7309</v>
      </c>
      <c r="HR10" s="1" t="s">
        <v>7310</v>
      </c>
      <c r="HS10" s="1" t="s">
        <v>7311</v>
      </c>
      <c r="HT10" s="1" t="s">
        <v>7312</v>
      </c>
      <c r="HU10" s="1" t="s">
        <v>7313</v>
      </c>
      <c r="HV10" s="1" t="s">
        <v>7314</v>
      </c>
      <c r="HW10" s="1" t="s">
        <v>7315</v>
      </c>
      <c r="HX10" s="1" t="s">
        <v>7316</v>
      </c>
      <c r="HY10" s="1" t="s">
        <v>7317</v>
      </c>
      <c r="HZ10" s="1" t="s">
        <v>7318</v>
      </c>
      <c r="IA10" s="1" t="s">
        <v>7319</v>
      </c>
      <c r="IB10" s="1" t="s">
        <v>7320</v>
      </c>
      <c r="IC10" s="1" t="s">
        <v>7321</v>
      </c>
      <c r="ID10" s="1" t="s">
        <v>7322</v>
      </c>
      <c r="IE10" s="1" t="s">
        <v>7323</v>
      </c>
      <c r="IF10" s="1" t="s">
        <v>7324</v>
      </c>
      <c r="IG10" s="1" t="s">
        <v>7325</v>
      </c>
      <c r="IH10" s="1" t="s">
        <v>7326</v>
      </c>
      <c r="II10" s="1" t="s">
        <v>7327</v>
      </c>
      <c r="IJ10" s="1" t="s">
        <v>7328</v>
      </c>
      <c r="IK10" s="1" t="s">
        <v>7329</v>
      </c>
      <c r="IL10" s="1" t="s">
        <v>7330</v>
      </c>
      <c r="IM10" s="1" t="s">
        <v>7331</v>
      </c>
      <c r="IN10" s="1" t="s">
        <v>7332</v>
      </c>
      <c r="IO10" s="1" t="s">
        <v>7333</v>
      </c>
      <c r="IP10" s="1" t="s">
        <v>7334</v>
      </c>
      <c r="IQ10" s="1" t="s">
        <v>7335</v>
      </c>
      <c r="IR10" s="1" t="s">
        <v>7336</v>
      </c>
      <c r="IS10" s="1" t="s">
        <v>7337</v>
      </c>
      <c r="IT10" s="1" t="s">
        <v>7338</v>
      </c>
      <c r="IU10" s="1" t="s">
        <v>7339</v>
      </c>
      <c r="IV10" s="1" t="s">
        <v>7340</v>
      </c>
      <c r="IW10" s="1" t="s">
        <v>7341</v>
      </c>
      <c r="IX10" s="1" t="s">
        <v>7342</v>
      </c>
      <c r="IY10" s="1" t="s">
        <v>7343</v>
      </c>
      <c r="IZ10" s="1" t="s">
        <v>7344</v>
      </c>
      <c r="JA10" s="1" t="s">
        <v>7345</v>
      </c>
      <c r="JB10" s="1" t="s">
        <v>7346</v>
      </c>
      <c r="JC10" s="1" t="s">
        <v>7347</v>
      </c>
      <c r="JD10" s="1" t="s">
        <v>7348</v>
      </c>
      <c r="JE10" s="1" t="s">
        <v>7349</v>
      </c>
      <c r="JF10" s="1" t="s">
        <v>7350</v>
      </c>
      <c r="JG10" s="1" t="s">
        <v>7351</v>
      </c>
      <c r="JH10" s="1" t="s">
        <v>7352</v>
      </c>
      <c r="JI10" s="1" t="s">
        <v>7353</v>
      </c>
      <c r="JJ10" s="1" t="s">
        <v>7354</v>
      </c>
      <c r="JK10" s="1" t="s">
        <v>7355</v>
      </c>
      <c r="JL10" s="1" t="s">
        <v>7356</v>
      </c>
      <c r="JM10" s="1" t="s">
        <v>7357</v>
      </c>
      <c r="JN10" s="1" t="s">
        <v>7358</v>
      </c>
      <c r="JO10" s="1" t="s">
        <v>7359</v>
      </c>
      <c r="JP10" s="1" t="s">
        <v>7360</v>
      </c>
      <c r="JQ10" s="1" t="s">
        <v>7361</v>
      </c>
      <c r="JR10" s="1" t="s">
        <v>7362</v>
      </c>
      <c r="JS10" s="1" t="s">
        <v>7363</v>
      </c>
      <c r="JT10" s="1" t="s">
        <v>7364</v>
      </c>
      <c r="JU10" s="1" t="s">
        <v>7365</v>
      </c>
      <c r="JV10" s="1" t="s">
        <v>7366</v>
      </c>
      <c r="JW10" s="1" t="s">
        <v>7367</v>
      </c>
      <c r="JX10" s="1" t="s">
        <v>7368</v>
      </c>
      <c r="JY10" s="1" t="s">
        <v>7369</v>
      </c>
      <c r="JZ10" s="1" t="s">
        <v>7370</v>
      </c>
      <c r="KA10" s="1" t="s">
        <v>7371</v>
      </c>
      <c r="KB10" s="1" t="s">
        <v>7372</v>
      </c>
      <c r="KC10" s="1" t="s">
        <v>7373</v>
      </c>
      <c r="KD10" s="1" t="s">
        <v>7374</v>
      </c>
      <c r="KE10" s="1" t="s">
        <v>7375</v>
      </c>
      <c r="KF10" s="1" t="s">
        <v>7376</v>
      </c>
      <c r="KG10" s="1" t="s">
        <v>7377</v>
      </c>
      <c r="KH10" s="1" t="s">
        <v>7378</v>
      </c>
      <c r="KI10" s="1" t="s">
        <v>7379</v>
      </c>
      <c r="KJ10" s="1" t="s">
        <v>7380</v>
      </c>
      <c r="KK10" s="1" t="s">
        <v>7381</v>
      </c>
      <c r="KL10" s="1" t="s">
        <v>7382</v>
      </c>
      <c r="KM10" s="1" t="s">
        <v>7383</v>
      </c>
      <c r="KN10" s="1" t="s">
        <v>7384</v>
      </c>
      <c r="KO10" s="1" t="s">
        <v>7385</v>
      </c>
      <c r="KP10" s="1" t="s">
        <v>7386</v>
      </c>
      <c r="KQ10" s="1" t="s">
        <v>7387</v>
      </c>
      <c r="KR10" s="1" t="s">
        <v>7388</v>
      </c>
      <c r="KS10" s="1" t="s">
        <v>7389</v>
      </c>
      <c r="KT10" s="1" t="s">
        <v>7390</v>
      </c>
      <c r="KU10" s="1" t="s">
        <v>7391</v>
      </c>
      <c r="KV10" s="1" t="s">
        <v>7392</v>
      </c>
      <c r="KW10" s="1" t="s">
        <v>7393</v>
      </c>
      <c r="KX10" s="1" t="s">
        <v>7394</v>
      </c>
      <c r="KY10" s="1" t="s">
        <v>7395</v>
      </c>
      <c r="KZ10" s="1" t="s">
        <v>7396</v>
      </c>
      <c r="LA10" s="1" t="s">
        <v>7397</v>
      </c>
      <c r="LB10" s="1" t="s">
        <v>7398</v>
      </c>
      <c r="LC10" s="1" t="s">
        <v>7399</v>
      </c>
      <c r="LD10" s="1" t="s">
        <v>7400</v>
      </c>
      <c r="LE10" s="1" t="s">
        <v>7401</v>
      </c>
      <c r="LF10" s="1" t="s">
        <v>7402</v>
      </c>
      <c r="LG10" s="1" t="s">
        <v>7403</v>
      </c>
      <c r="LH10" s="1" t="s">
        <v>7404</v>
      </c>
      <c r="LI10" s="1" t="s">
        <v>7405</v>
      </c>
      <c r="LJ10" s="1" t="s">
        <v>7406</v>
      </c>
      <c r="LK10" s="1" t="s">
        <v>7407</v>
      </c>
      <c r="LL10" s="1" t="s">
        <v>7408</v>
      </c>
      <c r="LM10" s="1" t="s">
        <v>7409</v>
      </c>
      <c r="LN10" s="1" t="s">
        <v>7410</v>
      </c>
      <c r="LO10" s="1" t="s">
        <v>7411</v>
      </c>
      <c r="LP10" s="1" t="s">
        <v>7412</v>
      </c>
      <c r="LQ10" s="1" t="s">
        <v>7413</v>
      </c>
      <c r="LR10" s="1" t="s">
        <v>7414</v>
      </c>
      <c r="LS10" s="1" t="s">
        <v>7415</v>
      </c>
      <c r="LT10" s="1" t="s">
        <v>7416</v>
      </c>
      <c r="LU10" s="1" t="s">
        <v>7417</v>
      </c>
      <c r="LV10" s="1" t="s">
        <v>7418</v>
      </c>
      <c r="LW10" s="1" t="s">
        <v>7419</v>
      </c>
      <c r="LX10" s="1" t="s">
        <v>7420</v>
      </c>
      <c r="LY10" s="1" t="s">
        <v>7421</v>
      </c>
      <c r="LZ10" s="1" t="s">
        <v>7422</v>
      </c>
      <c r="MA10" s="1" t="s">
        <v>7423</v>
      </c>
      <c r="MB10" s="1" t="s">
        <v>7424</v>
      </c>
      <c r="MC10" s="1" t="s">
        <v>7425</v>
      </c>
      <c r="MD10" s="1" t="s">
        <v>7426</v>
      </c>
      <c r="ME10" s="1" t="s">
        <v>7427</v>
      </c>
      <c r="MF10" s="1" t="s">
        <v>7428</v>
      </c>
      <c r="MG10" s="1" t="s">
        <v>7429</v>
      </c>
      <c r="MH10" s="1" t="s">
        <v>7430</v>
      </c>
      <c r="MI10" s="1" t="s">
        <v>7431</v>
      </c>
      <c r="MJ10" s="1" t="s">
        <v>7432</v>
      </c>
      <c r="MK10" s="1" t="s">
        <v>7433</v>
      </c>
      <c r="ML10" s="1" t="s">
        <v>7434</v>
      </c>
      <c r="MM10" s="1" t="s">
        <v>7435</v>
      </c>
      <c r="MN10" s="1" t="s">
        <v>7436</v>
      </c>
      <c r="MO10" s="1" t="s">
        <v>7437</v>
      </c>
      <c r="MP10" s="1" t="s">
        <v>7438</v>
      </c>
      <c r="MQ10" s="1" t="s">
        <v>7439</v>
      </c>
      <c r="MR10" s="1" t="s">
        <v>7440</v>
      </c>
      <c r="MS10" s="1" t="s">
        <v>7441</v>
      </c>
      <c r="MT10" s="1" t="s">
        <v>7442</v>
      </c>
      <c r="MU10" s="1" t="s">
        <v>7443</v>
      </c>
      <c r="MV10" s="1" t="s">
        <v>7444</v>
      </c>
      <c r="MW10" s="1" t="s">
        <v>7445</v>
      </c>
      <c r="MX10" s="1" t="s">
        <v>7446</v>
      </c>
      <c r="MY10" s="1" t="s">
        <v>7447</v>
      </c>
      <c r="MZ10" s="1" t="s">
        <v>7448</v>
      </c>
      <c r="NA10" s="1" t="s">
        <v>7449</v>
      </c>
      <c r="NB10" s="1" t="s">
        <v>7450</v>
      </c>
      <c r="NC10" s="1" t="s">
        <v>7451</v>
      </c>
      <c r="ND10" s="1" t="s">
        <v>7452</v>
      </c>
      <c r="NE10" s="1" t="s">
        <v>7453</v>
      </c>
      <c r="NF10" s="1" t="s">
        <v>7454</v>
      </c>
      <c r="NG10" s="1" t="s">
        <v>7455</v>
      </c>
      <c r="NH10" s="1" t="s">
        <v>7456</v>
      </c>
      <c r="NI10" s="1" t="s">
        <v>7457</v>
      </c>
      <c r="NJ10" s="1" t="s">
        <v>7458</v>
      </c>
      <c r="NK10" s="1" t="s">
        <v>7459</v>
      </c>
      <c r="NL10" s="1" t="s">
        <v>7460</v>
      </c>
      <c r="NM10" s="1" t="s">
        <v>7461</v>
      </c>
      <c r="NN10" s="1" t="s">
        <v>7462</v>
      </c>
      <c r="NO10" s="1" t="s">
        <v>7463</v>
      </c>
      <c r="NP10" s="1" t="s">
        <v>7464</v>
      </c>
      <c r="NQ10" s="1" t="s">
        <v>7465</v>
      </c>
      <c r="NR10" s="1" t="s">
        <v>7466</v>
      </c>
      <c r="NS10" s="1" t="s">
        <v>7467</v>
      </c>
      <c r="NT10" s="1" t="s">
        <v>7468</v>
      </c>
      <c r="NU10" s="1" t="s">
        <v>7469</v>
      </c>
      <c r="NV10" s="1" t="s">
        <v>7470</v>
      </c>
      <c r="NW10" s="1" t="s">
        <v>7471</v>
      </c>
      <c r="NX10" s="1" t="s">
        <v>7472</v>
      </c>
      <c r="NY10" s="1" t="s">
        <v>7473</v>
      </c>
      <c r="NZ10" s="1" t="s">
        <v>7474</v>
      </c>
      <c r="OA10" s="1" t="s">
        <v>7475</v>
      </c>
      <c r="OB10" s="1" t="s">
        <v>7476</v>
      </c>
      <c r="OC10" s="1" t="s">
        <v>7477</v>
      </c>
      <c r="OD10" s="1" t="s">
        <v>7478</v>
      </c>
      <c r="OE10" s="1" t="s">
        <v>7479</v>
      </c>
      <c r="OF10" s="1" t="s">
        <v>7480</v>
      </c>
      <c r="OG10" s="1" t="s">
        <v>7481</v>
      </c>
      <c r="OH10" s="1" t="s">
        <v>7482</v>
      </c>
      <c r="OI10" s="1" t="s">
        <v>7483</v>
      </c>
      <c r="OJ10" s="1" t="s">
        <v>7484</v>
      </c>
      <c r="OK10" s="1" t="s">
        <v>7485</v>
      </c>
      <c r="OL10" s="1" t="s">
        <v>7486</v>
      </c>
      <c r="OM10" s="1" t="s">
        <v>7487</v>
      </c>
      <c r="ON10" s="1" t="s">
        <v>7488</v>
      </c>
      <c r="OO10" s="1" t="s">
        <v>7489</v>
      </c>
      <c r="OP10" s="1" t="s">
        <v>7490</v>
      </c>
      <c r="OQ10" s="1" t="s">
        <v>7491</v>
      </c>
      <c r="OR10" s="1" t="s">
        <v>7492</v>
      </c>
      <c r="OS10" s="1" t="s">
        <v>7493</v>
      </c>
      <c r="OT10" s="1" t="s">
        <v>7494</v>
      </c>
      <c r="OU10" s="1" t="s">
        <v>7495</v>
      </c>
      <c r="OV10" s="1" t="s">
        <v>7496</v>
      </c>
      <c r="OW10" s="1" t="s">
        <v>7497</v>
      </c>
      <c r="OX10" s="1" t="s">
        <v>7498</v>
      </c>
      <c r="OY10" s="1" t="s">
        <v>7499</v>
      </c>
      <c r="OZ10" s="1" t="s">
        <v>7500</v>
      </c>
      <c r="PA10" s="1" t="s">
        <v>7501</v>
      </c>
      <c r="PB10" s="1" t="s">
        <v>7502</v>
      </c>
      <c r="PC10" s="1" t="s">
        <v>7503</v>
      </c>
      <c r="PD10" s="1" t="s">
        <v>7504</v>
      </c>
      <c r="PE10" s="1" t="s">
        <v>7505</v>
      </c>
      <c r="PF10" s="1" t="s">
        <v>7506</v>
      </c>
      <c r="PG10" s="1" t="s">
        <v>7507</v>
      </c>
      <c r="PH10" s="1" t="s">
        <v>7508</v>
      </c>
      <c r="PI10" s="1" t="s">
        <v>7509</v>
      </c>
      <c r="PJ10" s="1" t="s">
        <v>7510</v>
      </c>
      <c r="PK10" s="1" t="s">
        <v>7511</v>
      </c>
      <c r="PL10" s="1" t="s">
        <v>7512</v>
      </c>
      <c r="PM10" s="1" t="s">
        <v>7513</v>
      </c>
      <c r="PN10" s="1" t="s">
        <v>7514</v>
      </c>
      <c r="PO10" s="1" t="s">
        <v>7515</v>
      </c>
      <c r="PP10" s="1" t="s">
        <v>7516</v>
      </c>
      <c r="PQ10" s="1" t="s">
        <v>7517</v>
      </c>
      <c r="PR10" s="1" t="s">
        <v>7518</v>
      </c>
      <c r="PS10" s="1" t="s">
        <v>7519</v>
      </c>
      <c r="PT10" s="1" t="s">
        <v>7520</v>
      </c>
      <c r="PU10" s="1" t="s">
        <v>7521</v>
      </c>
      <c r="PV10" s="1" t="s">
        <v>7522</v>
      </c>
      <c r="PW10" s="1" t="s">
        <v>7523</v>
      </c>
      <c r="PX10" s="1" t="s">
        <v>7524</v>
      </c>
      <c r="PY10" s="1" t="s">
        <v>7525</v>
      </c>
      <c r="PZ10" s="1" t="s">
        <v>7526</v>
      </c>
      <c r="QA10" s="1" t="s">
        <v>7527</v>
      </c>
      <c r="QB10" s="1" t="s">
        <v>7528</v>
      </c>
      <c r="QC10" s="1" t="s">
        <v>7529</v>
      </c>
      <c r="QD10" s="1" t="s">
        <v>7530</v>
      </c>
      <c r="QE10" s="1" t="s">
        <v>7531</v>
      </c>
      <c r="QF10" s="1" t="s">
        <v>7532</v>
      </c>
      <c r="QG10" s="1" t="s">
        <v>7533</v>
      </c>
      <c r="QH10" s="1" t="s">
        <v>7534</v>
      </c>
      <c r="QI10" s="1" t="s">
        <v>7535</v>
      </c>
      <c r="QJ10" s="1" t="s">
        <v>7536</v>
      </c>
      <c r="QK10" s="1" t="s">
        <v>7537</v>
      </c>
      <c r="QL10" s="1" t="s">
        <v>7538</v>
      </c>
      <c r="QM10" s="1" t="s">
        <v>7539</v>
      </c>
      <c r="QN10" s="1" t="s">
        <v>7540</v>
      </c>
      <c r="QO10" s="1" t="s">
        <v>7541</v>
      </c>
      <c r="QP10" s="1" t="s">
        <v>7542</v>
      </c>
      <c r="QQ10" s="1" t="s">
        <v>7543</v>
      </c>
      <c r="QR10" s="1" t="s">
        <v>7544</v>
      </c>
      <c r="QS10" s="1" t="s">
        <v>7545</v>
      </c>
      <c r="QT10" s="1" t="s">
        <v>7546</v>
      </c>
      <c r="QU10" s="1" t="s">
        <v>7547</v>
      </c>
      <c r="QV10" s="1" t="s">
        <v>7548</v>
      </c>
      <c r="QW10" s="1" t="s">
        <v>7549</v>
      </c>
      <c r="QX10" s="1" t="s">
        <v>7550</v>
      </c>
      <c r="QY10" s="1" t="s">
        <v>7551</v>
      </c>
      <c r="QZ10" s="1" t="s">
        <v>7552</v>
      </c>
      <c r="RA10" s="1" t="s">
        <v>7553</v>
      </c>
      <c r="RB10" s="1" t="s">
        <v>7554</v>
      </c>
      <c r="RC10" s="1" t="s">
        <v>7555</v>
      </c>
      <c r="RD10" s="1" t="s">
        <v>7556</v>
      </c>
      <c r="RE10" s="1" t="s">
        <v>7557</v>
      </c>
      <c r="RF10" s="1" t="s">
        <v>7558</v>
      </c>
      <c r="RG10" s="1" t="s">
        <v>7559</v>
      </c>
      <c r="RH10" s="1" t="s">
        <v>7560</v>
      </c>
      <c r="RI10" s="1" t="s">
        <v>7561</v>
      </c>
      <c r="RJ10" s="1" t="s">
        <v>7562</v>
      </c>
      <c r="RK10" s="1" t="s">
        <v>7563</v>
      </c>
      <c r="RL10" s="1" t="s">
        <v>7564</v>
      </c>
      <c r="RM10" s="1" t="s">
        <v>7565</v>
      </c>
      <c r="RN10" s="1" t="s">
        <v>7566</v>
      </c>
      <c r="RO10" s="1" t="s">
        <v>7567</v>
      </c>
      <c r="RP10" s="1" t="s">
        <v>7568</v>
      </c>
      <c r="RQ10" s="1" t="s">
        <v>7569</v>
      </c>
      <c r="RR10" s="1" t="s">
        <v>7570</v>
      </c>
      <c r="RS10" s="1" t="s">
        <v>7571</v>
      </c>
      <c r="RT10" s="1" t="s">
        <v>7572</v>
      </c>
      <c r="RU10" s="1" t="s">
        <v>7573</v>
      </c>
      <c r="RV10" s="1" t="s">
        <v>7574</v>
      </c>
      <c r="RW10" s="1" t="s">
        <v>7575</v>
      </c>
      <c r="RX10" s="1" t="s">
        <v>7576</v>
      </c>
      <c r="RY10" s="1" t="s">
        <v>7577</v>
      </c>
      <c r="RZ10" s="1" t="s">
        <v>7578</v>
      </c>
      <c r="SA10" s="1" t="s">
        <v>7579</v>
      </c>
      <c r="SB10" s="1" t="s">
        <v>7580</v>
      </c>
      <c r="SC10" s="1" t="s">
        <v>7581</v>
      </c>
      <c r="SD10" s="1" t="s">
        <v>7582</v>
      </c>
      <c r="SE10" s="1" t="s">
        <v>7583</v>
      </c>
      <c r="SF10" s="1" t="s">
        <v>7584</v>
      </c>
      <c r="SG10" s="1" t="s">
        <v>7585</v>
      </c>
      <c r="SH10" s="1" t="s">
        <v>7586</v>
      </c>
      <c r="SI10" s="1" t="s">
        <v>7587</v>
      </c>
      <c r="SJ10" s="1" t="s">
        <v>7588</v>
      </c>
      <c r="SK10" s="1" t="s">
        <v>7589</v>
      </c>
      <c r="SL10" s="1" t="s">
        <v>7590</v>
      </c>
      <c r="SM10" s="1" t="s">
        <v>7591</v>
      </c>
      <c r="SN10" s="1" t="s">
        <v>7592</v>
      </c>
      <c r="SO10" s="1" t="s">
        <v>7593</v>
      </c>
      <c r="SP10" s="1" t="s">
        <v>7594</v>
      </c>
      <c r="SQ10" s="1" t="s">
        <v>7595</v>
      </c>
      <c r="SR10" s="1" t="s">
        <v>7596</v>
      </c>
      <c r="SS10" s="1" t="s">
        <v>7597</v>
      </c>
      <c r="ST10" s="1" t="s">
        <v>7598</v>
      </c>
      <c r="SU10" s="1" t="s">
        <v>7599</v>
      </c>
      <c r="SV10" s="1" t="s">
        <v>7600</v>
      </c>
      <c r="SW10" s="1" t="s">
        <v>7601</v>
      </c>
      <c r="SX10" s="1" t="s">
        <v>7602</v>
      </c>
      <c r="SY10" s="1" t="s">
        <v>7603</v>
      </c>
      <c r="SZ10" s="1" t="s">
        <v>7604</v>
      </c>
      <c r="TA10" s="1" t="s">
        <v>7605</v>
      </c>
      <c r="TB10" s="1" t="s">
        <v>7606</v>
      </c>
      <c r="TC10" s="1" t="s">
        <v>7607</v>
      </c>
      <c r="TD10" s="1" t="s">
        <v>7608</v>
      </c>
      <c r="TE10" s="1" t="s">
        <v>7609</v>
      </c>
      <c r="TF10" s="1" t="s">
        <v>7610</v>
      </c>
      <c r="TG10" s="1" t="s">
        <v>7611</v>
      </c>
      <c r="TH10" s="1" t="s">
        <v>7612</v>
      </c>
      <c r="TI10" s="1" t="s">
        <v>7613</v>
      </c>
      <c r="TJ10" s="1" t="s">
        <v>7614</v>
      </c>
      <c r="TK10" s="1" t="s">
        <v>7615</v>
      </c>
      <c r="TL10" s="1" t="s">
        <v>7616</v>
      </c>
      <c r="TM10" s="1" t="s">
        <v>7617</v>
      </c>
      <c r="TN10" s="1" t="s">
        <v>7618</v>
      </c>
      <c r="TO10" s="1" t="s">
        <v>7619</v>
      </c>
      <c r="TP10" s="1" t="s">
        <v>7620</v>
      </c>
      <c r="TQ10" s="1" t="s">
        <v>7621</v>
      </c>
      <c r="TR10" s="1" t="s">
        <v>7622</v>
      </c>
      <c r="TS10" s="1" t="s">
        <v>7623</v>
      </c>
      <c r="TT10" s="1" t="s">
        <v>7624</v>
      </c>
      <c r="TU10" s="1" t="s">
        <v>7625</v>
      </c>
      <c r="TV10" s="1" t="s">
        <v>7626</v>
      </c>
      <c r="TW10" s="1" t="s">
        <v>7627</v>
      </c>
      <c r="TX10" s="1" t="s">
        <v>7628</v>
      </c>
      <c r="TY10" s="1" t="s">
        <v>7629</v>
      </c>
      <c r="TZ10" s="1" t="s">
        <v>7630</v>
      </c>
      <c r="UA10" s="1" t="s">
        <v>7631</v>
      </c>
      <c r="UB10" s="1" t="s">
        <v>7632</v>
      </c>
      <c r="UC10" s="1" t="s">
        <v>7633</v>
      </c>
      <c r="UD10" s="1" t="s">
        <v>7634</v>
      </c>
      <c r="UE10" s="1" t="s">
        <v>7635</v>
      </c>
      <c r="UF10" s="1" t="s">
        <v>7636</v>
      </c>
      <c r="UG10" s="1" t="s">
        <v>7637</v>
      </c>
      <c r="UH10" s="1" t="s">
        <v>7638</v>
      </c>
      <c r="UI10" s="1" t="s">
        <v>7639</v>
      </c>
      <c r="UJ10" s="1" t="s">
        <v>7640</v>
      </c>
      <c r="UK10" s="1" t="s">
        <v>7641</v>
      </c>
      <c r="UL10" s="1" t="s">
        <v>7642</v>
      </c>
      <c r="UM10" s="1" t="s">
        <v>7643</v>
      </c>
      <c r="UN10" s="1" t="s">
        <v>7644</v>
      </c>
      <c r="UO10" s="1" t="s">
        <v>7645</v>
      </c>
      <c r="UP10" s="1" t="s">
        <v>7646</v>
      </c>
      <c r="UQ10" s="1" t="s">
        <v>7647</v>
      </c>
      <c r="UR10" s="1" t="s">
        <v>7648</v>
      </c>
      <c r="US10" s="1" t="s">
        <v>7649</v>
      </c>
      <c r="UT10" s="1" t="s">
        <v>7650</v>
      </c>
      <c r="UU10" s="1" t="s">
        <v>7651</v>
      </c>
      <c r="UV10" s="1" t="s">
        <v>7652</v>
      </c>
      <c r="UW10" s="1" t="s">
        <v>7653</v>
      </c>
      <c r="UX10" s="1" t="s">
        <v>7654</v>
      </c>
      <c r="UY10" s="1" t="s">
        <v>7655</v>
      </c>
      <c r="UZ10" s="1" t="s">
        <v>7656</v>
      </c>
      <c r="VA10" s="1" t="s">
        <v>7657</v>
      </c>
      <c r="VB10" s="1" t="s">
        <v>7658</v>
      </c>
      <c r="VC10" s="1" t="s">
        <v>7659</v>
      </c>
      <c r="VD10" s="1" t="s">
        <v>7660</v>
      </c>
      <c r="VE10" s="1" t="s">
        <v>7661</v>
      </c>
      <c r="VF10" s="1" t="s">
        <v>7662</v>
      </c>
      <c r="VG10" s="1" t="s">
        <v>7663</v>
      </c>
      <c r="VH10" s="1" t="s">
        <v>7664</v>
      </c>
      <c r="VI10" s="1" t="s">
        <v>7665</v>
      </c>
      <c r="VJ10" s="1" t="s">
        <v>7666</v>
      </c>
      <c r="VK10" s="1" t="s">
        <v>7667</v>
      </c>
      <c r="VL10" s="1" t="s">
        <v>7668</v>
      </c>
      <c r="VM10" s="1" t="s">
        <v>7669</v>
      </c>
      <c r="VN10" s="1" t="s">
        <v>7670</v>
      </c>
      <c r="VO10" s="1" t="s">
        <v>7671</v>
      </c>
      <c r="VP10" s="1" t="s">
        <v>7672</v>
      </c>
      <c r="VQ10" s="1" t="s">
        <v>7673</v>
      </c>
      <c r="VR10" s="1" t="s">
        <v>7674</v>
      </c>
      <c r="VS10" s="1" t="s">
        <v>7675</v>
      </c>
      <c r="VT10" s="1" t="s">
        <v>7676</v>
      </c>
      <c r="VU10" s="1" t="s">
        <v>7677</v>
      </c>
      <c r="VV10" s="1" t="s">
        <v>7678</v>
      </c>
      <c r="VW10" s="1" t="s">
        <v>7679</v>
      </c>
      <c r="VX10" s="1" t="s">
        <v>7680</v>
      </c>
      <c r="VY10" s="1" t="s">
        <v>7681</v>
      </c>
      <c r="VZ10" s="1" t="s">
        <v>7682</v>
      </c>
      <c r="WA10" s="1" t="s">
        <v>7683</v>
      </c>
      <c r="WB10" s="1" t="s">
        <v>7684</v>
      </c>
      <c r="WC10" s="1" t="s">
        <v>7685</v>
      </c>
      <c r="WD10" s="1" t="s">
        <v>7686</v>
      </c>
      <c r="WE10" s="1" t="s">
        <v>7687</v>
      </c>
      <c r="WF10" s="1" t="s">
        <v>7688</v>
      </c>
      <c r="WG10" s="1" t="s">
        <v>7689</v>
      </c>
      <c r="WH10" s="1" t="s">
        <v>7690</v>
      </c>
      <c r="WI10" s="1" t="s">
        <v>7691</v>
      </c>
      <c r="WJ10" s="1" t="s">
        <v>7692</v>
      </c>
      <c r="WK10" s="1" t="s">
        <v>7693</v>
      </c>
      <c r="WL10" s="1" t="s">
        <v>7694</v>
      </c>
      <c r="WM10" s="1" t="s">
        <v>7695</v>
      </c>
      <c r="WN10" s="1" t="s">
        <v>7696</v>
      </c>
      <c r="WO10" s="1" t="s">
        <v>7697</v>
      </c>
      <c r="WP10" s="1" t="s">
        <v>7698</v>
      </c>
      <c r="WQ10" s="1" t="s">
        <v>7699</v>
      </c>
      <c r="WR10" s="1" t="s">
        <v>7700</v>
      </c>
      <c r="WS10" s="1" t="s">
        <v>7701</v>
      </c>
      <c r="WT10" s="1" t="s">
        <v>7702</v>
      </c>
      <c r="WU10" s="1" t="s">
        <v>7703</v>
      </c>
      <c r="WV10" s="1" t="s">
        <v>7704</v>
      </c>
      <c r="WW10" s="1" t="s">
        <v>7705</v>
      </c>
      <c r="WX10" s="1" t="s">
        <v>7706</v>
      </c>
      <c r="WY10" s="1" t="s">
        <v>7707</v>
      </c>
      <c r="WZ10" s="1" t="s">
        <v>7708</v>
      </c>
      <c r="XA10" s="1" t="s">
        <v>7709</v>
      </c>
      <c r="XB10" s="1" t="s">
        <v>7710</v>
      </c>
      <c r="XC10" s="1" t="s">
        <v>7711</v>
      </c>
      <c r="XD10" s="1" t="s">
        <v>7712</v>
      </c>
      <c r="XE10" s="1" t="s">
        <v>7713</v>
      </c>
      <c r="XF10" s="1" t="s">
        <v>7714</v>
      </c>
      <c r="XG10" s="1" t="s">
        <v>7715</v>
      </c>
      <c r="XH10" s="1" t="s">
        <v>7716</v>
      </c>
      <c r="XI10" s="1" t="s">
        <v>7717</v>
      </c>
      <c r="XJ10" s="1" t="s">
        <v>7718</v>
      </c>
      <c r="XK10" s="1" t="s">
        <v>7719</v>
      </c>
      <c r="XL10" s="1" t="s">
        <v>7720</v>
      </c>
      <c r="XM10" s="1" t="s">
        <v>7721</v>
      </c>
      <c r="XN10" s="1" t="s">
        <v>7722</v>
      </c>
      <c r="XO10" s="1" t="s">
        <v>7723</v>
      </c>
      <c r="XP10" s="1" t="s">
        <v>7724</v>
      </c>
      <c r="XQ10" s="1" t="s">
        <v>7725</v>
      </c>
      <c r="XR10" s="1" t="s">
        <v>7726</v>
      </c>
      <c r="XS10" s="1" t="s">
        <v>7727</v>
      </c>
      <c r="XT10" s="1" t="s">
        <v>7728</v>
      </c>
      <c r="XU10" s="1" t="s">
        <v>7729</v>
      </c>
      <c r="XV10" s="1" t="s">
        <v>7730</v>
      </c>
      <c r="XW10" s="1" t="s">
        <v>7731</v>
      </c>
      <c r="XX10" s="1" t="s">
        <v>7732</v>
      </c>
      <c r="XY10" s="1" t="s">
        <v>7733</v>
      </c>
      <c r="XZ10" s="1" t="s">
        <v>7734</v>
      </c>
      <c r="YA10" s="1" t="s">
        <v>7735</v>
      </c>
      <c r="YB10" s="1" t="s">
        <v>7736</v>
      </c>
      <c r="YC10" s="1" t="s">
        <v>7737</v>
      </c>
      <c r="YD10" s="1" t="s">
        <v>7738</v>
      </c>
      <c r="YE10" s="1" t="s">
        <v>7739</v>
      </c>
      <c r="YF10" s="1" t="s">
        <v>7740</v>
      </c>
      <c r="YG10" s="1" t="s">
        <v>7741</v>
      </c>
      <c r="YH10" s="1" t="s">
        <v>7742</v>
      </c>
      <c r="YI10" s="1" t="s">
        <v>7743</v>
      </c>
      <c r="YJ10" s="1" t="s">
        <v>7744</v>
      </c>
      <c r="YK10" s="1" t="s">
        <v>7745</v>
      </c>
      <c r="YL10" s="1" t="s">
        <v>7746</v>
      </c>
      <c r="YM10" s="1" t="s">
        <v>7747</v>
      </c>
      <c r="YN10" s="1" t="s">
        <v>7748</v>
      </c>
      <c r="YO10" s="1" t="s">
        <v>7749</v>
      </c>
      <c r="YP10" s="1" t="s">
        <v>7750</v>
      </c>
      <c r="YQ10" s="1" t="s">
        <v>7751</v>
      </c>
      <c r="YR10" s="1" t="s">
        <v>7752</v>
      </c>
      <c r="YS10" s="1" t="s">
        <v>7753</v>
      </c>
      <c r="YT10" s="1" t="s">
        <v>7754</v>
      </c>
      <c r="YU10" s="1" t="s">
        <v>7755</v>
      </c>
      <c r="YV10" s="1" t="s">
        <v>7756</v>
      </c>
      <c r="YW10" s="1" t="s">
        <v>7757</v>
      </c>
      <c r="YX10" s="1" t="s">
        <v>7758</v>
      </c>
      <c r="YY10" s="1" t="s">
        <v>7759</v>
      </c>
      <c r="YZ10" s="1" t="s">
        <v>7760</v>
      </c>
      <c r="ZA10" s="1" t="s">
        <v>7761</v>
      </c>
      <c r="ZB10" s="1" t="s">
        <v>7762</v>
      </c>
      <c r="ZC10" s="1" t="s">
        <v>7763</v>
      </c>
      <c r="ZD10" s="1" t="s">
        <v>7764</v>
      </c>
      <c r="ZE10" s="1" t="s">
        <v>7765</v>
      </c>
      <c r="ZF10" s="1" t="s">
        <v>7766</v>
      </c>
      <c r="ZG10" s="1" t="s">
        <v>7767</v>
      </c>
      <c r="ZH10" s="1" t="s">
        <v>7768</v>
      </c>
      <c r="ZI10" s="1" t="s">
        <v>7769</v>
      </c>
      <c r="ZJ10" s="1" t="s">
        <v>7770</v>
      </c>
      <c r="ZK10" s="1" t="s">
        <v>7771</v>
      </c>
      <c r="ZL10" s="1" t="s">
        <v>7772</v>
      </c>
      <c r="ZM10" s="1" t="s">
        <v>7773</v>
      </c>
      <c r="ZN10" s="1" t="s">
        <v>7774</v>
      </c>
      <c r="ZO10" s="1" t="s">
        <v>7775</v>
      </c>
      <c r="ZP10" s="1" t="s">
        <v>7776</v>
      </c>
      <c r="ZQ10" s="1" t="s">
        <v>7777</v>
      </c>
      <c r="ZR10" s="1" t="s">
        <v>7778</v>
      </c>
      <c r="ZS10" s="1" t="s">
        <v>7779</v>
      </c>
      <c r="ZT10" s="1" t="s">
        <v>7780</v>
      </c>
      <c r="ZU10" s="1" t="s">
        <v>7781</v>
      </c>
      <c r="ZV10" s="1" t="s">
        <v>7782</v>
      </c>
      <c r="ZW10" s="1" t="s">
        <v>7783</v>
      </c>
      <c r="ZX10" s="1" t="s">
        <v>7784</v>
      </c>
      <c r="ZY10" s="1" t="s">
        <v>7785</v>
      </c>
      <c r="ZZ10" s="1" t="s">
        <v>7786</v>
      </c>
      <c r="AAA10" s="1" t="s">
        <v>7787</v>
      </c>
      <c r="AAB10" s="1" t="s">
        <v>7788</v>
      </c>
      <c r="AAC10" s="1" t="s">
        <v>7789</v>
      </c>
      <c r="AAD10" s="1" t="s">
        <v>7790</v>
      </c>
      <c r="AAE10" s="1" t="s">
        <v>7791</v>
      </c>
      <c r="AAF10" s="1" t="s">
        <v>7792</v>
      </c>
      <c r="AAG10" s="1" t="s">
        <v>7793</v>
      </c>
      <c r="AAH10" s="1" t="s">
        <v>7794</v>
      </c>
      <c r="AAI10" s="1" t="s">
        <v>7795</v>
      </c>
      <c r="AAJ10" s="1" t="s">
        <v>7796</v>
      </c>
      <c r="AAK10" s="1" t="s">
        <v>7797</v>
      </c>
      <c r="AAL10" s="1" t="s">
        <v>7798</v>
      </c>
      <c r="AAM10" s="1" t="s">
        <v>7799</v>
      </c>
      <c r="AAN10" s="1" t="s">
        <v>7800</v>
      </c>
      <c r="AAO10" s="1" t="s">
        <v>7801</v>
      </c>
      <c r="AAP10" s="1" t="s">
        <v>7802</v>
      </c>
      <c r="AAQ10" s="1" t="s">
        <v>7803</v>
      </c>
      <c r="AAR10" s="1" t="s">
        <v>7804</v>
      </c>
      <c r="AAS10" s="1" t="s">
        <v>7805</v>
      </c>
      <c r="AAT10" s="1" t="s">
        <v>7806</v>
      </c>
      <c r="AAU10" s="1" t="s">
        <v>7807</v>
      </c>
      <c r="AAV10" s="1" t="s">
        <v>7808</v>
      </c>
      <c r="AAW10" s="1" t="s">
        <v>7809</v>
      </c>
      <c r="AAX10" s="1" t="s">
        <v>7810</v>
      </c>
      <c r="AAY10" s="1" t="s">
        <v>7811</v>
      </c>
      <c r="AAZ10" s="1" t="s">
        <v>7812</v>
      </c>
      <c r="ABA10" s="1" t="s">
        <v>7813</v>
      </c>
      <c r="ABB10" s="1" t="s">
        <v>7814</v>
      </c>
      <c r="ABC10" s="1" t="s">
        <v>7815</v>
      </c>
      <c r="ABD10" s="1" t="s">
        <v>7816</v>
      </c>
      <c r="ABE10" s="1" t="s">
        <v>7817</v>
      </c>
      <c r="ABF10" s="1" t="s">
        <v>7818</v>
      </c>
      <c r="ABG10" s="1" t="s">
        <v>7819</v>
      </c>
      <c r="ABH10" s="1" t="s">
        <v>7820</v>
      </c>
      <c r="ABI10" s="1" t="s">
        <v>7821</v>
      </c>
      <c r="ABJ10" s="1" t="s">
        <v>7822</v>
      </c>
      <c r="ABK10" s="1" t="s">
        <v>7823</v>
      </c>
      <c r="ABL10" s="1" t="s">
        <v>7824</v>
      </c>
      <c r="ABM10" s="1" t="s">
        <v>7825</v>
      </c>
      <c r="ABN10" s="1" t="s">
        <v>7826</v>
      </c>
      <c r="ABO10" s="1" t="s">
        <v>7827</v>
      </c>
      <c r="ABP10" s="1" t="s">
        <v>7828</v>
      </c>
      <c r="ABQ10" s="1" t="s">
        <v>7829</v>
      </c>
      <c r="ABR10" s="1" t="s">
        <v>7830</v>
      </c>
      <c r="ABS10" s="1" t="s">
        <v>7831</v>
      </c>
      <c r="ABT10" s="1" t="s">
        <v>7832</v>
      </c>
      <c r="ABU10" s="1" t="s">
        <v>7833</v>
      </c>
      <c r="ABV10" s="1" t="s">
        <v>7834</v>
      </c>
      <c r="ABW10" s="1" t="s">
        <v>7835</v>
      </c>
      <c r="ABX10" s="1" t="s">
        <v>7836</v>
      </c>
      <c r="ABY10" s="1" t="s">
        <v>7837</v>
      </c>
      <c r="ABZ10" s="1" t="s">
        <v>7838</v>
      </c>
      <c r="ACA10" s="1" t="s">
        <v>7839</v>
      </c>
      <c r="ACB10" s="1" t="s">
        <v>7840</v>
      </c>
      <c r="ACC10" s="1" t="s">
        <v>7841</v>
      </c>
      <c r="ACD10" s="1" t="s">
        <v>7842</v>
      </c>
      <c r="ACE10" s="1" t="s">
        <v>7843</v>
      </c>
      <c r="ACF10" s="1" t="s">
        <v>7844</v>
      </c>
      <c r="ACG10" s="1" t="s">
        <v>7845</v>
      </c>
      <c r="ACH10" s="1" t="s">
        <v>7846</v>
      </c>
      <c r="ACI10" s="1" t="s">
        <v>7847</v>
      </c>
      <c r="ACJ10" s="1" t="s">
        <v>7848</v>
      </c>
      <c r="ACK10" s="1" t="s">
        <v>7849</v>
      </c>
      <c r="ACL10" s="1" t="s">
        <v>7850</v>
      </c>
      <c r="ACM10" s="1" t="s">
        <v>7851</v>
      </c>
      <c r="ACN10" s="1" t="s">
        <v>7852</v>
      </c>
      <c r="ACO10" s="1" t="s">
        <v>7853</v>
      </c>
      <c r="ACP10" s="1" t="s">
        <v>7854</v>
      </c>
      <c r="ACQ10" s="1" t="s">
        <v>7855</v>
      </c>
      <c r="ACR10" s="1" t="s">
        <v>7856</v>
      </c>
      <c r="ACS10" s="1" t="s">
        <v>7857</v>
      </c>
      <c r="ACT10" s="1" t="s">
        <v>7858</v>
      </c>
      <c r="ACU10" s="1" t="s">
        <v>7859</v>
      </c>
      <c r="ACV10" s="1" t="s">
        <v>7860</v>
      </c>
      <c r="ACW10" s="1" t="s">
        <v>3</v>
      </c>
      <c r="ACX10" s="1" t="s">
        <v>1503</v>
      </c>
    </row>
    <row r="11" spans="1:778" x14ac:dyDescent="0.2">
      <c r="A11" s="1" t="s">
        <v>86</v>
      </c>
      <c r="B11" s="1" t="s">
        <v>7861</v>
      </c>
      <c r="C11" s="1" t="s">
        <v>7862</v>
      </c>
      <c r="D11" s="1" t="s">
        <v>7863</v>
      </c>
      <c r="E11" s="1" t="s">
        <v>7864</v>
      </c>
      <c r="F11" s="1" t="s">
        <v>7865</v>
      </c>
      <c r="G11" s="1" t="s">
        <v>7866</v>
      </c>
      <c r="H11" s="1" t="s">
        <v>7867</v>
      </c>
      <c r="I11" s="1" t="s">
        <v>7868</v>
      </c>
      <c r="J11" s="1" t="s">
        <v>7869</v>
      </c>
      <c r="K11" s="1" t="s">
        <v>7870</v>
      </c>
      <c r="L11" s="1" t="s">
        <v>7871</v>
      </c>
      <c r="M11" s="1" t="s">
        <v>7872</v>
      </c>
      <c r="N11" s="1" t="s">
        <v>7873</v>
      </c>
      <c r="O11" s="1" t="s">
        <v>7874</v>
      </c>
      <c r="P11" s="1" t="s">
        <v>7875</v>
      </c>
      <c r="Q11" s="1" t="s">
        <v>7876</v>
      </c>
      <c r="R11" s="1" t="s">
        <v>7877</v>
      </c>
      <c r="S11" s="1" t="s">
        <v>7878</v>
      </c>
      <c r="T11" s="1" t="s">
        <v>7879</v>
      </c>
      <c r="U11" s="1" t="s">
        <v>7880</v>
      </c>
      <c r="V11" s="1" t="s">
        <v>7881</v>
      </c>
      <c r="W11" s="1" t="s">
        <v>7882</v>
      </c>
      <c r="X11" s="1" t="s">
        <v>7883</v>
      </c>
      <c r="Y11" s="1" t="s">
        <v>7884</v>
      </c>
      <c r="Z11" s="1" t="s">
        <v>7885</v>
      </c>
      <c r="AA11" s="1" t="s">
        <v>7886</v>
      </c>
      <c r="AB11" s="1" t="s">
        <v>7887</v>
      </c>
      <c r="AC11" s="1" t="s">
        <v>7888</v>
      </c>
      <c r="AD11" s="1" t="s">
        <v>7889</v>
      </c>
      <c r="AE11" s="1" t="s">
        <v>7890</v>
      </c>
      <c r="AF11" s="1" t="s">
        <v>7891</v>
      </c>
      <c r="AG11" s="1" t="s">
        <v>7892</v>
      </c>
      <c r="AH11" s="1" t="s">
        <v>7893</v>
      </c>
      <c r="AI11" s="1" t="s">
        <v>7894</v>
      </c>
      <c r="AJ11" s="1" t="s">
        <v>7895</v>
      </c>
      <c r="AK11" s="1" t="s">
        <v>7896</v>
      </c>
      <c r="AL11" s="1" t="s">
        <v>7897</v>
      </c>
      <c r="AM11" s="1" t="s">
        <v>7898</v>
      </c>
      <c r="AN11" s="1" t="s">
        <v>7899</v>
      </c>
      <c r="AO11" s="1" t="s">
        <v>7900</v>
      </c>
      <c r="AP11" s="1" t="s">
        <v>7901</v>
      </c>
      <c r="AQ11" s="1" t="s">
        <v>7902</v>
      </c>
      <c r="AR11" s="1" t="s">
        <v>7903</v>
      </c>
      <c r="AS11" s="1" t="s">
        <v>7904</v>
      </c>
      <c r="AT11" s="1" t="s">
        <v>7905</v>
      </c>
      <c r="AU11" s="1" t="s">
        <v>7906</v>
      </c>
      <c r="AV11" s="1" t="s">
        <v>7907</v>
      </c>
      <c r="AW11" s="1" t="s">
        <v>7908</v>
      </c>
      <c r="AX11" s="1" t="s">
        <v>7909</v>
      </c>
      <c r="AY11" s="1" t="s">
        <v>7910</v>
      </c>
      <c r="AZ11" s="1" t="s">
        <v>7911</v>
      </c>
      <c r="BA11" s="1" t="s">
        <v>7912</v>
      </c>
      <c r="BB11" s="1" t="s">
        <v>7913</v>
      </c>
      <c r="BC11" s="1" t="s">
        <v>7914</v>
      </c>
      <c r="BD11" s="1" t="s">
        <v>7915</v>
      </c>
      <c r="BE11" s="1" t="s">
        <v>7916</v>
      </c>
      <c r="BF11" s="1" t="s">
        <v>7917</v>
      </c>
      <c r="BG11" s="1" t="s">
        <v>7918</v>
      </c>
      <c r="BH11" s="1" t="s">
        <v>7919</v>
      </c>
      <c r="BI11" s="1" t="s">
        <v>7920</v>
      </c>
      <c r="BJ11" s="1" t="s">
        <v>7921</v>
      </c>
      <c r="BK11" s="1" t="s">
        <v>7922</v>
      </c>
      <c r="BL11" s="1" t="s">
        <v>7923</v>
      </c>
      <c r="BM11" s="1" t="s">
        <v>7924</v>
      </c>
      <c r="BN11" s="1" t="s">
        <v>7925</v>
      </c>
      <c r="BO11" s="1" t="s">
        <v>7926</v>
      </c>
      <c r="BP11" s="1" t="s">
        <v>7927</v>
      </c>
      <c r="BQ11" s="1" t="s">
        <v>7928</v>
      </c>
      <c r="BR11" s="1" t="s">
        <v>7929</v>
      </c>
      <c r="BS11" s="1" t="s">
        <v>7930</v>
      </c>
      <c r="BT11" s="1" t="s">
        <v>7931</v>
      </c>
      <c r="BU11" s="1" t="s">
        <v>7932</v>
      </c>
      <c r="BV11" s="1" t="s">
        <v>7933</v>
      </c>
      <c r="BW11" s="1" t="s">
        <v>7934</v>
      </c>
      <c r="BX11" s="1" t="s">
        <v>7935</v>
      </c>
      <c r="BY11" s="1" t="s">
        <v>7936</v>
      </c>
      <c r="BZ11" s="1" t="s">
        <v>7937</v>
      </c>
      <c r="CA11" s="1" t="s">
        <v>7938</v>
      </c>
      <c r="CB11" s="1" t="s">
        <v>7939</v>
      </c>
      <c r="CC11" s="1" t="s">
        <v>7940</v>
      </c>
      <c r="CD11" s="1" t="s">
        <v>7941</v>
      </c>
      <c r="CE11" s="1" t="s">
        <v>7942</v>
      </c>
      <c r="CF11" s="1" t="s">
        <v>7943</v>
      </c>
      <c r="CG11" s="1" t="s">
        <v>7944</v>
      </c>
      <c r="CH11" s="1" t="s">
        <v>7945</v>
      </c>
      <c r="CI11" s="1" t="s">
        <v>7946</v>
      </c>
      <c r="CJ11" s="1" t="s">
        <v>7947</v>
      </c>
      <c r="CK11" s="1" t="s">
        <v>7948</v>
      </c>
      <c r="CL11" s="1" t="s">
        <v>7949</v>
      </c>
      <c r="CM11" s="1" t="s">
        <v>7950</v>
      </c>
      <c r="CN11" s="1" t="s">
        <v>7951</v>
      </c>
      <c r="CO11" s="1" t="s">
        <v>7952</v>
      </c>
      <c r="CP11" s="1" t="s">
        <v>7953</v>
      </c>
      <c r="CQ11" s="1" t="s">
        <v>7954</v>
      </c>
      <c r="CR11" s="1" t="s">
        <v>7955</v>
      </c>
      <c r="CS11" s="1" t="s">
        <v>7956</v>
      </c>
      <c r="CT11" s="1" t="s">
        <v>7957</v>
      </c>
      <c r="CU11" s="1" t="s">
        <v>7958</v>
      </c>
      <c r="CV11" s="1" t="s">
        <v>7959</v>
      </c>
      <c r="CW11" s="1" t="s">
        <v>7960</v>
      </c>
      <c r="CX11" s="1" t="s">
        <v>7961</v>
      </c>
      <c r="CY11" s="1" t="s">
        <v>7962</v>
      </c>
      <c r="CZ11" s="1" t="s">
        <v>7963</v>
      </c>
      <c r="DA11" s="1" t="s">
        <v>7964</v>
      </c>
      <c r="DB11" s="1" t="s">
        <v>7965</v>
      </c>
      <c r="DC11" s="1" t="s">
        <v>7966</v>
      </c>
      <c r="DD11" s="1" t="s">
        <v>7967</v>
      </c>
      <c r="DE11" s="1" t="s">
        <v>7968</v>
      </c>
      <c r="DF11" s="1" t="s">
        <v>7969</v>
      </c>
      <c r="DG11" s="1" t="s">
        <v>7970</v>
      </c>
      <c r="DH11" s="1" t="s">
        <v>7971</v>
      </c>
      <c r="DI11" s="1" t="s">
        <v>7972</v>
      </c>
      <c r="DJ11" s="1" t="s">
        <v>7973</v>
      </c>
      <c r="DK11" s="1" t="s">
        <v>7974</v>
      </c>
      <c r="DL11" s="1" t="s">
        <v>7975</v>
      </c>
      <c r="DM11" s="1" t="s">
        <v>7976</v>
      </c>
      <c r="DN11" s="1" t="s">
        <v>7977</v>
      </c>
      <c r="DO11" s="1" t="s">
        <v>7978</v>
      </c>
      <c r="DP11" s="1" t="s">
        <v>7979</v>
      </c>
      <c r="DQ11" s="1" t="s">
        <v>7980</v>
      </c>
      <c r="DR11" s="1" t="s">
        <v>7981</v>
      </c>
      <c r="DS11" s="1" t="s">
        <v>7982</v>
      </c>
      <c r="DT11" s="1" t="s">
        <v>7983</v>
      </c>
      <c r="DU11" s="1" t="s">
        <v>7984</v>
      </c>
      <c r="DV11" s="1" t="s">
        <v>7985</v>
      </c>
      <c r="DW11" s="1" t="s">
        <v>7986</v>
      </c>
      <c r="DX11" s="1" t="s">
        <v>7987</v>
      </c>
      <c r="DY11" s="1" t="s">
        <v>7988</v>
      </c>
      <c r="DZ11" s="1" t="s">
        <v>7989</v>
      </c>
      <c r="EA11" s="1" t="s">
        <v>7990</v>
      </c>
      <c r="EB11" s="1" t="s">
        <v>7991</v>
      </c>
      <c r="EC11" s="1" t="s">
        <v>7992</v>
      </c>
      <c r="ED11" s="1" t="s">
        <v>7993</v>
      </c>
      <c r="EE11" s="1" t="s">
        <v>7994</v>
      </c>
      <c r="EF11" s="1" t="s">
        <v>7995</v>
      </c>
      <c r="EG11" s="1" t="s">
        <v>7996</v>
      </c>
      <c r="EH11" s="1" t="s">
        <v>7997</v>
      </c>
      <c r="EI11" s="1" t="s">
        <v>7998</v>
      </c>
      <c r="EJ11" s="1" t="s">
        <v>7999</v>
      </c>
      <c r="EK11" s="1" t="s">
        <v>8000</v>
      </c>
      <c r="EL11" s="1" t="s">
        <v>8001</v>
      </c>
      <c r="EM11" s="1" t="s">
        <v>8002</v>
      </c>
      <c r="EN11" s="1" t="s">
        <v>8003</v>
      </c>
      <c r="EO11" s="1" t="s">
        <v>8004</v>
      </c>
      <c r="EP11" s="1" t="s">
        <v>8005</v>
      </c>
      <c r="EQ11" s="1" t="s">
        <v>8006</v>
      </c>
      <c r="ER11" s="1" t="s">
        <v>8007</v>
      </c>
      <c r="ES11" s="1" t="s">
        <v>8008</v>
      </c>
      <c r="ET11" s="1" t="s">
        <v>8009</v>
      </c>
      <c r="EU11" s="1" t="s">
        <v>8010</v>
      </c>
      <c r="EV11" s="1" t="s">
        <v>8011</v>
      </c>
      <c r="EW11" s="1" t="s">
        <v>8012</v>
      </c>
      <c r="EX11" s="1" t="s">
        <v>8013</v>
      </c>
      <c r="EY11" s="1" t="s">
        <v>8014</v>
      </c>
      <c r="EZ11" s="1" t="s">
        <v>8015</v>
      </c>
      <c r="FA11" s="1" t="s">
        <v>8016</v>
      </c>
      <c r="FB11" s="1" t="s">
        <v>8017</v>
      </c>
      <c r="FC11" s="1" t="s">
        <v>8018</v>
      </c>
      <c r="FD11" s="1" t="s">
        <v>8019</v>
      </c>
      <c r="FE11" s="1" t="s">
        <v>8020</v>
      </c>
      <c r="FF11" s="1" t="s">
        <v>8021</v>
      </c>
      <c r="FG11" s="1" t="s">
        <v>8022</v>
      </c>
      <c r="FH11" s="1" t="s">
        <v>8023</v>
      </c>
      <c r="FI11" s="1" t="s">
        <v>8024</v>
      </c>
      <c r="FJ11" s="1" t="s">
        <v>8025</v>
      </c>
      <c r="FK11" s="1" t="s">
        <v>8026</v>
      </c>
      <c r="FL11" s="1" t="s">
        <v>8027</v>
      </c>
      <c r="FM11" s="1" t="s">
        <v>8028</v>
      </c>
      <c r="FN11" s="1" t="s">
        <v>8029</v>
      </c>
      <c r="FO11" s="1" t="s">
        <v>8030</v>
      </c>
      <c r="FP11" s="1" t="s">
        <v>8031</v>
      </c>
      <c r="FQ11" s="1" t="s">
        <v>8032</v>
      </c>
      <c r="FR11" s="1" t="s">
        <v>8033</v>
      </c>
      <c r="FS11" s="1" t="s">
        <v>8034</v>
      </c>
      <c r="FT11" s="1" t="s">
        <v>8035</v>
      </c>
      <c r="FU11" s="1" t="s">
        <v>8036</v>
      </c>
      <c r="FV11" s="1" t="s">
        <v>8037</v>
      </c>
      <c r="FW11" s="1" t="s">
        <v>8038</v>
      </c>
      <c r="FX11" s="1" t="s">
        <v>8039</v>
      </c>
      <c r="FY11" s="1" t="s">
        <v>8040</v>
      </c>
      <c r="FZ11" s="1" t="s">
        <v>8041</v>
      </c>
      <c r="GA11" s="1" t="s">
        <v>8042</v>
      </c>
      <c r="GB11" s="1" t="s">
        <v>8043</v>
      </c>
      <c r="GC11" s="1" t="s">
        <v>8044</v>
      </c>
      <c r="GD11" s="1" t="s">
        <v>8045</v>
      </c>
      <c r="GE11" s="1" t="s">
        <v>8046</v>
      </c>
      <c r="GF11" s="1" t="s">
        <v>8047</v>
      </c>
      <c r="GG11" s="1" t="s">
        <v>8048</v>
      </c>
      <c r="GH11" s="1" t="s">
        <v>8049</v>
      </c>
      <c r="GI11" s="1" t="s">
        <v>8050</v>
      </c>
      <c r="GJ11" s="1" t="s">
        <v>8051</v>
      </c>
      <c r="GK11" s="1" t="s">
        <v>8052</v>
      </c>
      <c r="GL11" s="1" t="s">
        <v>8053</v>
      </c>
      <c r="GM11" s="1" t="s">
        <v>8054</v>
      </c>
      <c r="GN11" s="1" t="s">
        <v>8055</v>
      </c>
      <c r="GO11" s="1" t="s">
        <v>8056</v>
      </c>
      <c r="GP11" s="1" t="s">
        <v>8057</v>
      </c>
      <c r="GQ11" s="1" t="s">
        <v>8058</v>
      </c>
      <c r="GR11" s="1" t="s">
        <v>8059</v>
      </c>
      <c r="GS11" s="1" t="s">
        <v>8060</v>
      </c>
      <c r="GT11" s="1" t="s">
        <v>8061</v>
      </c>
      <c r="GU11" s="1" t="s">
        <v>8062</v>
      </c>
      <c r="GV11" s="1" t="s">
        <v>8063</v>
      </c>
      <c r="GW11" s="1" t="s">
        <v>8064</v>
      </c>
      <c r="GX11" s="1" t="s">
        <v>8065</v>
      </c>
      <c r="GY11" s="1" t="s">
        <v>8066</v>
      </c>
      <c r="GZ11" s="1" t="s">
        <v>8067</v>
      </c>
      <c r="HA11" s="1" t="s">
        <v>8068</v>
      </c>
      <c r="HB11" s="1" t="s">
        <v>8069</v>
      </c>
      <c r="HC11" s="1" t="s">
        <v>8070</v>
      </c>
      <c r="HD11" s="1" t="s">
        <v>8071</v>
      </c>
      <c r="HE11" s="1" t="s">
        <v>8072</v>
      </c>
      <c r="HF11" s="1" t="s">
        <v>8073</v>
      </c>
      <c r="HG11" s="1" t="s">
        <v>8074</v>
      </c>
      <c r="HH11" s="1" t="s">
        <v>8075</v>
      </c>
      <c r="HI11" s="1" t="s">
        <v>8076</v>
      </c>
      <c r="HJ11" s="1" t="s">
        <v>8077</v>
      </c>
      <c r="HK11" s="1" t="s">
        <v>8078</v>
      </c>
      <c r="HL11" s="1" t="s">
        <v>8079</v>
      </c>
      <c r="HM11" s="1" t="s">
        <v>8080</v>
      </c>
      <c r="HN11" s="1" t="s">
        <v>8081</v>
      </c>
      <c r="HO11" s="1" t="s">
        <v>8082</v>
      </c>
      <c r="HP11" s="1" t="s">
        <v>8083</v>
      </c>
      <c r="HQ11" s="1" t="s">
        <v>8084</v>
      </c>
      <c r="HR11" s="1" t="s">
        <v>8085</v>
      </c>
      <c r="HS11" s="1" t="s">
        <v>8086</v>
      </c>
      <c r="HT11" s="1" t="s">
        <v>8087</v>
      </c>
      <c r="HU11" s="1" t="s">
        <v>8088</v>
      </c>
      <c r="HV11" s="1" t="s">
        <v>8089</v>
      </c>
      <c r="HW11" s="1" t="s">
        <v>8090</v>
      </c>
      <c r="HX11" s="1" t="s">
        <v>8091</v>
      </c>
      <c r="HY11" s="1" t="s">
        <v>8092</v>
      </c>
      <c r="HZ11" s="1" t="s">
        <v>8093</v>
      </c>
      <c r="IA11" s="1" t="s">
        <v>8094</v>
      </c>
      <c r="IB11" s="1" t="s">
        <v>8095</v>
      </c>
      <c r="IC11" s="1" t="s">
        <v>8096</v>
      </c>
      <c r="ID11" s="1" t="s">
        <v>8097</v>
      </c>
      <c r="IE11" s="1" t="s">
        <v>8098</v>
      </c>
      <c r="IF11" s="1" t="s">
        <v>8099</v>
      </c>
      <c r="IG11" s="1" t="s">
        <v>8100</v>
      </c>
      <c r="IH11" s="1" t="s">
        <v>8101</v>
      </c>
      <c r="II11" s="1" t="s">
        <v>8102</v>
      </c>
      <c r="IJ11" s="1" t="s">
        <v>8103</v>
      </c>
      <c r="IK11" s="1" t="s">
        <v>8104</v>
      </c>
      <c r="IL11" s="1" t="s">
        <v>8105</v>
      </c>
      <c r="IM11" s="1" t="s">
        <v>8106</v>
      </c>
      <c r="IN11" s="1" t="s">
        <v>8107</v>
      </c>
      <c r="IO11" s="1" t="s">
        <v>8108</v>
      </c>
      <c r="IP11" s="1" t="s">
        <v>8109</v>
      </c>
      <c r="IQ11" s="1" t="s">
        <v>8110</v>
      </c>
      <c r="IR11" s="1" t="s">
        <v>8111</v>
      </c>
      <c r="IS11" s="1" t="s">
        <v>8112</v>
      </c>
      <c r="IT11" s="1" t="s">
        <v>8113</v>
      </c>
      <c r="IU11" s="1" t="s">
        <v>8114</v>
      </c>
      <c r="IV11" s="1" t="s">
        <v>8115</v>
      </c>
      <c r="IW11" s="1" t="s">
        <v>8116</v>
      </c>
      <c r="IX11" s="1" t="s">
        <v>8117</v>
      </c>
      <c r="IY11" s="1" t="s">
        <v>8118</v>
      </c>
      <c r="IZ11" s="1" t="s">
        <v>8119</v>
      </c>
      <c r="JA11" s="1" t="s">
        <v>8120</v>
      </c>
      <c r="JB11" s="1" t="s">
        <v>8121</v>
      </c>
      <c r="JC11" s="1" t="s">
        <v>8122</v>
      </c>
      <c r="JD11" s="1" t="s">
        <v>8123</v>
      </c>
      <c r="JE11" s="1" t="s">
        <v>8124</v>
      </c>
      <c r="JF11" s="1" t="s">
        <v>8125</v>
      </c>
      <c r="JG11" s="1" t="s">
        <v>8126</v>
      </c>
      <c r="JH11" s="1" t="s">
        <v>8127</v>
      </c>
      <c r="JI11" s="1" t="s">
        <v>8128</v>
      </c>
      <c r="JJ11" s="1" t="s">
        <v>8129</v>
      </c>
      <c r="JK11" s="1" t="s">
        <v>8130</v>
      </c>
      <c r="JL11" s="1" t="s">
        <v>8131</v>
      </c>
      <c r="JM11" s="1" t="s">
        <v>8132</v>
      </c>
      <c r="JN11" s="1" t="s">
        <v>8133</v>
      </c>
      <c r="JO11" s="1" t="s">
        <v>8134</v>
      </c>
      <c r="JP11" s="1" t="s">
        <v>8135</v>
      </c>
      <c r="JQ11" s="1" t="s">
        <v>8136</v>
      </c>
      <c r="JR11" s="1" t="s">
        <v>8137</v>
      </c>
      <c r="JS11" s="1" t="s">
        <v>8138</v>
      </c>
      <c r="JT11" s="1" t="s">
        <v>8139</v>
      </c>
      <c r="JU11" s="1" t="s">
        <v>8140</v>
      </c>
      <c r="JV11" s="1" t="s">
        <v>8141</v>
      </c>
      <c r="JW11" s="1" t="s">
        <v>8142</v>
      </c>
      <c r="JX11" s="1" t="s">
        <v>8143</v>
      </c>
      <c r="JY11" s="1" t="s">
        <v>8144</v>
      </c>
      <c r="JZ11" s="1" t="s">
        <v>8145</v>
      </c>
      <c r="KA11" s="1" t="s">
        <v>8146</v>
      </c>
      <c r="KB11" s="1" t="s">
        <v>8147</v>
      </c>
      <c r="KC11" s="1" t="s">
        <v>8148</v>
      </c>
      <c r="KD11" s="1" t="s">
        <v>8149</v>
      </c>
      <c r="KE11" s="1" t="s">
        <v>8150</v>
      </c>
      <c r="KF11" s="1" t="s">
        <v>8151</v>
      </c>
      <c r="KG11" s="1" t="s">
        <v>8152</v>
      </c>
      <c r="KH11" s="1" t="s">
        <v>8153</v>
      </c>
      <c r="KI11" s="1" t="s">
        <v>8154</v>
      </c>
      <c r="KJ11" s="1" t="s">
        <v>8155</v>
      </c>
      <c r="KK11" s="1" t="s">
        <v>8156</v>
      </c>
      <c r="KL11" s="1" t="s">
        <v>8157</v>
      </c>
      <c r="KM11" s="1" t="s">
        <v>8158</v>
      </c>
      <c r="KN11" s="1" t="s">
        <v>8159</v>
      </c>
      <c r="KO11" s="1" t="s">
        <v>8160</v>
      </c>
      <c r="KP11" s="1" t="s">
        <v>8161</v>
      </c>
      <c r="KQ11" s="1" t="s">
        <v>8162</v>
      </c>
      <c r="KR11" s="1" t="s">
        <v>8163</v>
      </c>
      <c r="KS11" s="1" t="s">
        <v>8164</v>
      </c>
      <c r="KT11" s="1" t="s">
        <v>8165</v>
      </c>
      <c r="KU11" s="1" t="s">
        <v>8166</v>
      </c>
      <c r="KV11" s="1" t="s">
        <v>8167</v>
      </c>
      <c r="KW11" s="1" t="s">
        <v>8168</v>
      </c>
      <c r="KX11" s="1" t="s">
        <v>8169</v>
      </c>
      <c r="KY11" s="1" t="s">
        <v>8170</v>
      </c>
      <c r="KZ11" s="1" t="s">
        <v>8171</v>
      </c>
      <c r="LA11" s="1" t="s">
        <v>8172</v>
      </c>
      <c r="LB11" s="1" t="s">
        <v>8173</v>
      </c>
      <c r="LC11" s="1" t="s">
        <v>8174</v>
      </c>
      <c r="LD11" s="1" t="s">
        <v>8175</v>
      </c>
      <c r="LE11" s="1" t="s">
        <v>8176</v>
      </c>
      <c r="LF11" s="1" t="s">
        <v>8177</v>
      </c>
      <c r="LG11" s="1" t="s">
        <v>8178</v>
      </c>
      <c r="LH11" s="1" t="s">
        <v>8179</v>
      </c>
      <c r="LI11" s="1" t="s">
        <v>8180</v>
      </c>
      <c r="LJ11" s="1" t="s">
        <v>8181</v>
      </c>
      <c r="LK11" s="1" t="s">
        <v>8182</v>
      </c>
      <c r="LL11" s="1" t="s">
        <v>8183</v>
      </c>
      <c r="LM11" s="1" t="s">
        <v>8184</v>
      </c>
      <c r="LN11" s="1" t="s">
        <v>8185</v>
      </c>
      <c r="LO11" s="1" t="s">
        <v>8186</v>
      </c>
      <c r="LP11" s="1" t="s">
        <v>8187</v>
      </c>
      <c r="LQ11" s="1" t="s">
        <v>8188</v>
      </c>
      <c r="LR11" s="1" t="s">
        <v>8189</v>
      </c>
      <c r="LS11" s="1" t="s">
        <v>8190</v>
      </c>
      <c r="LT11" s="1" t="s">
        <v>8191</v>
      </c>
      <c r="LU11" s="1" t="s">
        <v>8192</v>
      </c>
      <c r="LV11" s="1" t="s">
        <v>8193</v>
      </c>
      <c r="LW11" s="1" t="s">
        <v>8194</v>
      </c>
      <c r="LX11" s="1" t="s">
        <v>8195</v>
      </c>
      <c r="LY11" s="1" t="s">
        <v>8196</v>
      </c>
      <c r="LZ11" s="1" t="s">
        <v>8197</v>
      </c>
      <c r="MA11" s="1" t="s">
        <v>8198</v>
      </c>
      <c r="MB11" s="1" t="s">
        <v>8199</v>
      </c>
      <c r="MC11" s="1" t="s">
        <v>8200</v>
      </c>
      <c r="MD11" s="1" t="s">
        <v>8201</v>
      </c>
      <c r="ME11" s="1" t="s">
        <v>8202</v>
      </c>
      <c r="MF11" s="1" t="s">
        <v>8203</v>
      </c>
      <c r="MG11" s="1" t="s">
        <v>8204</v>
      </c>
      <c r="MH11" s="1" t="s">
        <v>8205</v>
      </c>
      <c r="MI11" s="1" t="s">
        <v>8206</v>
      </c>
      <c r="MJ11" s="1" t="s">
        <v>8207</v>
      </c>
      <c r="MK11" s="1" t="s">
        <v>8208</v>
      </c>
      <c r="ML11" s="1" t="s">
        <v>8209</v>
      </c>
      <c r="MM11" s="1" t="s">
        <v>8210</v>
      </c>
      <c r="MN11" s="1" t="s">
        <v>8211</v>
      </c>
      <c r="MO11" s="1" t="s">
        <v>8212</v>
      </c>
      <c r="MP11" s="1" t="s">
        <v>8213</v>
      </c>
      <c r="MQ11" s="1" t="s">
        <v>8214</v>
      </c>
      <c r="MR11" s="1" t="s">
        <v>8215</v>
      </c>
      <c r="MS11" s="1" t="s">
        <v>8216</v>
      </c>
      <c r="MT11" s="1" t="s">
        <v>8217</v>
      </c>
      <c r="MU11" s="1" t="s">
        <v>8218</v>
      </c>
      <c r="MV11" s="1" t="s">
        <v>8219</v>
      </c>
      <c r="MW11" s="1" t="s">
        <v>8220</v>
      </c>
      <c r="MX11" s="1" t="s">
        <v>8221</v>
      </c>
      <c r="MY11" s="1" t="s">
        <v>8222</v>
      </c>
      <c r="MZ11" s="1" t="s">
        <v>8223</v>
      </c>
      <c r="NA11" s="1" t="s">
        <v>8224</v>
      </c>
      <c r="NB11" s="1" t="s">
        <v>8225</v>
      </c>
      <c r="NC11" s="1" t="s">
        <v>8226</v>
      </c>
      <c r="ND11" s="1" t="s">
        <v>8227</v>
      </c>
      <c r="NE11" s="1" t="s">
        <v>8228</v>
      </c>
      <c r="NF11" s="1" t="s">
        <v>8229</v>
      </c>
      <c r="NG11" s="1" t="s">
        <v>8230</v>
      </c>
      <c r="NH11" s="1" t="s">
        <v>8231</v>
      </c>
      <c r="NI11" s="1" t="s">
        <v>8232</v>
      </c>
      <c r="NJ11" s="1" t="s">
        <v>8233</v>
      </c>
      <c r="NK11" s="1" t="s">
        <v>8234</v>
      </c>
      <c r="NL11" s="1" t="s">
        <v>8235</v>
      </c>
      <c r="NM11" s="1" t="s">
        <v>8236</v>
      </c>
      <c r="NN11" s="1" t="s">
        <v>8237</v>
      </c>
      <c r="NO11" s="1" t="s">
        <v>8238</v>
      </c>
      <c r="NP11" s="1" t="s">
        <v>8239</v>
      </c>
      <c r="NQ11" s="1" t="s">
        <v>8240</v>
      </c>
      <c r="NR11" s="1" t="s">
        <v>8241</v>
      </c>
      <c r="NS11" s="1" t="s">
        <v>8242</v>
      </c>
      <c r="NT11" s="1" t="s">
        <v>8243</v>
      </c>
      <c r="NU11" s="1" t="s">
        <v>8244</v>
      </c>
      <c r="NV11" s="1" t="s">
        <v>8245</v>
      </c>
      <c r="NW11" s="1" t="s">
        <v>8246</v>
      </c>
      <c r="NX11" s="1" t="s">
        <v>8247</v>
      </c>
      <c r="NY11" s="1" t="s">
        <v>8248</v>
      </c>
      <c r="NZ11" s="1" t="s">
        <v>8249</v>
      </c>
      <c r="OA11" s="1" t="s">
        <v>8250</v>
      </c>
      <c r="OB11" s="1" t="s">
        <v>8251</v>
      </c>
      <c r="OC11" s="1" t="s">
        <v>8252</v>
      </c>
      <c r="OD11" s="1" t="s">
        <v>8253</v>
      </c>
      <c r="OE11" s="1" t="s">
        <v>8254</v>
      </c>
      <c r="OF11" s="1" t="s">
        <v>8255</v>
      </c>
      <c r="OG11" s="1" t="s">
        <v>8256</v>
      </c>
      <c r="OH11" s="1" t="s">
        <v>8257</v>
      </c>
      <c r="OI11" s="1" t="s">
        <v>8258</v>
      </c>
      <c r="OJ11" s="1" t="s">
        <v>8259</v>
      </c>
      <c r="OK11" s="1" t="s">
        <v>8260</v>
      </c>
      <c r="OL11" s="1" t="s">
        <v>8261</v>
      </c>
      <c r="OM11" s="1" t="s">
        <v>8262</v>
      </c>
      <c r="ON11" s="1" t="s">
        <v>8263</v>
      </c>
      <c r="OO11" s="1" t="s">
        <v>8264</v>
      </c>
      <c r="OP11" s="1" t="s">
        <v>8265</v>
      </c>
      <c r="OQ11" s="1" t="s">
        <v>8266</v>
      </c>
      <c r="OR11" s="1" t="s">
        <v>8267</v>
      </c>
      <c r="OS11" s="1" t="s">
        <v>8268</v>
      </c>
      <c r="OT11" s="1" t="s">
        <v>8269</v>
      </c>
      <c r="OU11" s="1" t="s">
        <v>8270</v>
      </c>
      <c r="OV11" s="1" t="s">
        <v>8271</v>
      </c>
      <c r="OW11" s="1" t="s">
        <v>8272</v>
      </c>
      <c r="OX11" s="1" t="s">
        <v>8273</v>
      </c>
      <c r="OY11" s="1" t="s">
        <v>8274</v>
      </c>
      <c r="OZ11" s="1" t="s">
        <v>8275</v>
      </c>
      <c r="PA11" s="1" t="s">
        <v>8276</v>
      </c>
      <c r="PB11" s="1" t="s">
        <v>8277</v>
      </c>
      <c r="PC11" s="1" t="s">
        <v>8278</v>
      </c>
      <c r="PD11" s="1" t="s">
        <v>8279</v>
      </c>
      <c r="PE11" s="1" t="s">
        <v>8280</v>
      </c>
      <c r="PF11" s="1" t="s">
        <v>8281</v>
      </c>
      <c r="PG11" s="1" t="s">
        <v>8282</v>
      </c>
      <c r="PH11" s="1" t="s">
        <v>8283</v>
      </c>
      <c r="PI11" s="1" t="s">
        <v>8284</v>
      </c>
      <c r="PJ11" s="1" t="s">
        <v>8285</v>
      </c>
      <c r="PK11" s="1" t="s">
        <v>8286</v>
      </c>
      <c r="PL11" s="1" t="s">
        <v>8287</v>
      </c>
      <c r="PM11" s="1" t="s">
        <v>8288</v>
      </c>
      <c r="PN11" s="1" t="s">
        <v>8289</v>
      </c>
      <c r="PO11" s="1" t="s">
        <v>8290</v>
      </c>
      <c r="PP11" s="1" t="s">
        <v>8291</v>
      </c>
      <c r="PQ11" s="1" t="s">
        <v>8292</v>
      </c>
      <c r="PR11" s="1" t="s">
        <v>8293</v>
      </c>
      <c r="PS11" s="1" t="s">
        <v>8294</v>
      </c>
      <c r="PT11" s="1" t="s">
        <v>8295</v>
      </c>
      <c r="PU11" s="1" t="s">
        <v>8296</v>
      </c>
      <c r="PV11" s="1" t="s">
        <v>8297</v>
      </c>
      <c r="PW11" s="1" t="s">
        <v>8298</v>
      </c>
      <c r="PX11" s="1" t="s">
        <v>8299</v>
      </c>
      <c r="PY11" s="1" t="s">
        <v>8300</v>
      </c>
      <c r="PZ11" s="1" t="s">
        <v>8301</v>
      </c>
      <c r="QA11" s="1" t="s">
        <v>8302</v>
      </c>
      <c r="QB11" s="1" t="s">
        <v>8303</v>
      </c>
      <c r="QC11" s="1" t="s">
        <v>8304</v>
      </c>
      <c r="QD11" s="1" t="s">
        <v>8305</v>
      </c>
      <c r="QE11" s="1" t="s">
        <v>8306</v>
      </c>
      <c r="QF11" s="1" t="s">
        <v>8307</v>
      </c>
      <c r="QG11" s="1" t="s">
        <v>8308</v>
      </c>
      <c r="QH11" s="1" t="s">
        <v>8309</v>
      </c>
      <c r="QI11" s="1" t="s">
        <v>8310</v>
      </c>
      <c r="QJ11" s="1" t="s">
        <v>8311</v>
      </c>
      <c r="QK11" s="1" t="s">
        <v>8312</v>
      </c>
      <c r="QL11" s="1" t="s">
        <v>8313</v>
      </c>
      <c r="QM11" s="1" t="s">
        <v>8314</v>
      </c>
      <c r="QN11" s="1" t="s">
        <v>8315</v>
      </c>
      <c r="QO11" s="1" t="s">
        <v>8316</v>
      </c>
      <c r="QP11" s="1" t="s">
        <v>8317</v>
      </c>
      <c r="QQ11" s="1" t="s">
        <v>8318</v>
      </c>
      <c r="QR11" s="1" t="s">
        <v>8319</v>
      </c>
      <c r="QS11" s="1" t="s">
        <v>8320</v>
      </c>
      <c r="QT11" s="1" t="s">
        <v>8321</v>
      </c>
      <c r="QU11" s="1" t="s">
        <v>8322</v>
      </c>
      <c r="QV11" s="1" t="s">
        <v>8323</v>
      </c>
      <c r="QW11" s="1" t="s">
        <v>8324</v>
      </c>
      <c r="QX11" s="1" t="s">
        <v>8325</v>
      </c>
      <c r="QY11" s="1" t="s">
        <v>8326</v>
      </c>
      <c r="QZ11" s="1" t="s">
        <v>8327</v>
      </c>
      <c r="RA11" s="1" t="s">
        <v>8328</v>
      </c>
      <c r="RB11" s="1" t="s">
        <v>8329</v>
      </c>
      <c r="RC11" s="1" t="s">
        <v>8330</v>
      </c>
      <c r="RD11" s="1" t="s">
        <v>8331</v>
      </c>
      <c r="RE11" s="1" t="s">
        <v>8332</v>
      </c>
      <c r="RF11" s="1" t="s">
        <v>8333</v>
      </c>
      <c r="RG11" s="1" t="s">
        <v>8334</v>
      </c>
      <c r="RH11" s="1" t="s">
        <v>8335</v>
      </c>
      <c r="RI11" s="1" t="s">
        <v>8336</v>
      </c>
      <c r="RJ11" s="1" t="s">
        <v>8337</v>
      </c>
      <c r="RK11" s="1" t="s">
        <v>8338</v>
      </c>
      <c r="RL11" s="1" t="s">
        <v>8339</v>
      </c>
      <c r="RM11" s="1" t="s">
        <v>8340</v>
      </c>
      <c r="RN11" s="1" t="s">
        <v>8341</v>
      </c>
      <c r="RO11" s="1" t="s">
        <v>8342</v>
      </c>
      <c r="RP11" s="1" t="s">
        <v>8343</v>
      </c>
      <c r="RQ11" s="1" t="s">
        <v>8344</v>
      </c>
      <c r="RR11" s="1" t="s">
        <v>8345</v>
      </c>
      <c r="RS11" s="1" t="s">
        <v>8346</v>
      </c>
      <c r="RT11" s="1" t="s">
        <v>8347</v>
      </c>
      <c r="RU11" s="1" t="s">
        <v>8348</v>
      </c>
      <c r="RV11" s="1" t="s">
        <v>8349</v>
      </c>
      <c r="RW11" s="1" t="s">
        <v>8350</v>
      </c>
      <c r="RX11" s="1" t="s">
        <v>8351</v>
      </c>
      <c r="RY11" s="1" t="s">
        <v>8352</v>
      </c>
      <c r="RZ11" s="1" t="s">
        <v>8353</v>
      </c>
      <c r="SA11" s="1" t="s">
        <v>8354</v>
      </c>
      <c r="SB11" s="1" t="s">
        <v>8355</v>
      </c>
      <c r="SC11" s="1" t="s">
        <v>8356</v>
      </c>
      <c r="SD11" s="1" t="s">
        <v>8357</v>
      </c>
      <c r="SE11" s="1" t="s">
        <v>8358</v>
      </c>
      <c r="SF11" s="1" t="s">
        <v>8359</v>
      </c>
      <c r="SG11" s="1" t="s">
        <v>8360</v>
      </c>
      <c r="SH11" s="1" t="s">
        <v>8361</v>
      </c>
      <c r="SI11" s="1" t="s">
        <v>8362</v>
      </c>
      <c r="SJ11" s="1" t="s">
        <v>8363</v>
      </c>
      <c r="SK11" s="1" t="s">
        <v>8364</v>
      </c>
      <c r="SL11" s="1" t="s">
        <v>8365</v>
      </c>
      <c r="SM11" s="1" t="s">
        <v>8366</v>
      </c>
      <c r="SN11" s="1" t="s">
        <v>8367</v>
      </c>
      <c r="SO11" s="1" t="s">
        <v>8368</v>
      </c>
      <c r="SP11" s="1" t="s">
        <v>8369</v>
      </c>
      <c r="SQ11" s="1" t="s">
        <v>8370</v>
      </c>
      <c r="SR11" s="1" t="s">
        <v>8371</v>
      </c>
      <c r="SS11" s="1" t="s">
        <v>8372</v>
      </c>
      <c r="ST11" s="1" t="s">
        <v>8373</v>
      </c>
      <c r="SU11" s="1" t="s">
        <v>8374</v>
      </c>
      <c r="SV11" s="1" t="s">
        <v>8375</v>
      </c>
      <c r="SW11" s="1" t="s">
        <v>8376</v>
      </c>
      <c r="SX11" s="1" t="s">
        <v>8377</v>
      </c>
      <c r="SY11" s="1" t="s">
        <v>8378</v>
      </c>
      <c r="SZ11" s="1" t="s">
        <v>8379</v>
      </c>
      <c r="TA11" s="1" t="s">
        <v>8380</v>
      </c>
      <c r="TB11" s="1" t="s">
        <v>8381</v>
      </c>
      <c r="TC11" s="1" t="s">
        <v>8382</v>
      </c>
      <c r="TD11" s="1" t="s">
        <v>8383</v>
      </c>
      <c r="TE11" s="1" t="s">
        <v>8384</v>
      </c>
      <c r="TF11" s="1" t="s">
        <v>8385</v>
      </c>
      <c r="TG11" s="1" t="s">
        <v>8386</v>
      </c>
      <c r="TH11" s="1" t="s">
        <v>8387</v>
      </c>
      <c r="TI11" s="1" t="s">
        <v>8388</v>
      </c>
      <c r="TJ11" s="1" t="s">
        <v>8389</v>
      </c>
      <c r="TK11" s="1" t="s">
        <v>8390</v>
      </c>
      <c r="TL11" s="1" t="s">
        <v>8391</v>
      </c>
      <c r="TM11" s="1" t="s">
        <v>8392</v>
      </c>
      <c r="TN11" s="1" t="s">
        <v>8393</v>
      </c>
      <c r="TO11" s="1" t="s">
        <v>8394</v>
      </c>
      <c r="TP11" s="1" t="s">
        <v>8395</v>
      </c>
      <c r="TQ11" s="1" t="s">
        <v>8396</v>
      </c>
      <c r="TR11" s="1" t="s">
        <v>8397</v>
      </c>
      <c r="TS11" s="1" t="s">
        <v>8398</v>
      </c>
      <c r="TT11" s="1" t="s">
        <v>8399</v>
      </c>
      <c r="TU11" s="1" t="s">
        <v>8400</v>
      </c>
      <c r="TV11" s="1" t="s">
        <v>8401</v>
      </c>
      <c r="TW11" s="1" t="s">
        <v>8402</v>
      </c>
      <c r="TX11" s="1" t="s">
        <v>8403</v>
      </c>
      <c r="TY11" s="1" t="s">
        <v>8404</v>
      </c>
      <c r="TZ11" s="1" t="s">
        <v>8405</v>
      </c>
      <c r="UA11" s="1" t="s">
        <v>8406</v>
      </c>
      <c r="UB11" s="1" t="s">
        <v>8407</v>
      </c>
      <c r="UC11" s="1" t="s">
        <v>8408</v>
      </c>
      <c r="UD11" s="1" t="s">
        <v>8409</v>
      </c>
      <c r="UE11" s="1" t="s">
        <v>8410</v>
      </c>
      <c r="UF11" s="1" t="s">
        <v>8411</v>
      </c>
      <c r="UG11" s="1" t="s">
        <v>8412</v>
      </c>
      <c r="UH11" s="1" t="s">
        <v>8413</v>
      </c>
      <c r="UI11" s="1" t="s">
        <v>8414</v>
      </c>
      <c r="UJ11" s="1" t="s">
        <v>8415</v>
      </c>
      <c r="UK11" s="1" t="s">
        <v>8416</v>
      </c>
      <c r="UL11" s="1" t="s">
        <v>8417</v>
      </c>
      <c r="UM11" s="1" t="s">
        <v>8418</v>
      </c>
      <c r="UN11" s="1" t="s">
        <v>8419</v>
      </c>
      <c r="UO11" s="1" t="s">
        <v>8420</v>
      </c>
      <c r="UP11" s="1" t="s">
        <v>8421</v>
      </c>
      <c r="UQ11" s="1" t="s">
        <v>8422</v>
      </c>
      <c r="UR11" s="1" t="s">
        <v>8423</v>
      </c>
      <c r="US11" s="1" t="s">
        <v>8424</v>
      </c>
      <c r="UT11" s="1" t="s">
        <v>8425</v>
      </c>
      <c r="UU11" s="1" t="s">
        <v>8426</v>
      </c>
      <c r="UV11" s="1" t="s">
        <v>8427</v>
      </c>
      <c r="UW11" s="1" t="s">
        <v>8428</v>
      </c>
      <c r="UX11" s="1" t="s">
        <v>8429</v>
      </c>
      <c r="UY11" s="1" t="s">
        <v>8430</v>
      </c>
      <c r="UZ11" s="1" t="s">
        <v>8431</v>
      </c>
      <c r="VA11" s="1" t="s">
        <v>8432</v>
      </c>
      <c r="VB11" s="1" t="s">
        <v>8433</v>
      </c>
      <c r="VC11" s="1" t="s">
        <v>8434</v>
      </c>
      <c r="VD11" s="1" t="s">
        <v>8435</v>
      </c>
      <c r="VE11" s="1" t="s">
        <v>8436</v>
      </c>
      <c r="VF11" s="1" t="s">
        <v>8437</v>
      </c>
      <c r="VG11" s="1" t="s">
        <v>8438</v>
      </c>
      <c r="VH11" s="1" t="s">
        <v>8439</v>
      </c>
      <c r="VI11" s="1" t="s">
        <v>8440</v>
      </c>
      <c r="VJ11" s="1" t="s">
        <v>8441</v>
      </c>
      <c r="VK11" s="1" t="s">
        <v>8442</v>
      </c>
      <c r="VL11" s="1" t="s">
        <v>8443</v>
      </c>
      <c r="VM11" s="1" t="s">
        <v>8444</v>
      </c>
      <c r="VN11" s="1" t="s">
        <v>8445</v>
      </c>
      <c r="VO11" s="1" t="s">
        <v>8446</v>
      </c>
      <c r="VP11" s="1" t="s">
        <v>8447</v>
      </c>
      <c r="VQ11" s="1" t="s">
        <v>8448</v>
      </c>
      <c r="VR11" s="1" t="s">
        <v>8449</v>
      </c>
      <c r="VS11" s="1" t="s">
        <v>8450</v>
      </c>
      <c r="VT11" s="1" t="s">
        <v>8451</v>
      </c>
      <c r="VU11" s="1" t="s">
        <v>8452</v>
      </c>
      <c r="VV11" s="1" t="s">
        <v>8453</v>
      </c>
      <c r="VW11" s="1" t="s">
        <v>8454</v>
      </c>
      <c r="VX11" s="1" t="s">
        <v>8455</v>
      </c>
      <c r="VY11" s="1" t="s">
        <v>8456</v>
      </c>
      <c r="VZ11" s="1" t="s">
        <v>8457</v>
      </c>
      <c r="WA11" s="1" t="s">
        <v>8458</v>
      </c>
      <c r="WB11" s="1" t="s">
        <v>8459</v>
      </c>
      <c r="WC11" s="1" t="s">
        <v>8460</v>
      </c>
      <c r="WD11" s="1" t="s">
        <v>8461</v>
      </c>
      <c r="WE11" s="1" t="s">
        <v>8462</v>
      </c>
      <c r="WF11" s="1" t="s">
        <v>8463</v>
      </c>
      <c r="WG11" s="1" t="s">
        <v>8464</v>
      </c>
      <c r="WH11" s="1" t="s">
        <v>8465</v>
      </c>
      <c r="WI11" s="1" t="s">
        <v>8466</v>
      </c>
      <c r="WJ11" s="1" t="s">
        <v>8467</v>
      </c>
      <c r="WK11" s="1" t="s">
        <v>8468</v>
      </c>
      <c r="WL11" s="1" t="s">
        <v>8469</v>
      </c>
      <c r="WM11" s="1" t="s">
        <v>8470</v>
      </c>
      <c r="WN11" s="1" t="s">
        <v>8471</v>
      </c>
      <c r="WO11" s="1" t="s">
        <v>8472</v>
      </c>
      <c r="WP11" s="1" t="s">
        <v>8473</v>
      </c>
      <c r="WQ11" s="1" t="s">
        <v>8474</v>
      </c>
      <c r="WR11" s="1" t="s">
        <v>8475</v>
      </c>
      <c r="WS11" s="1" t="s">
        <v>8476</v>
      </c>
      <c r="WT11" s="1" t="s">
        <v>8477</v>
      </c>
      <c r="WU11" s="1" t="s">
        <v>8478</v>
      </c>
      <c r="WV11" s="1" t="s">
        <v>8479</v>
      </c>
      <c r="WW11" s="1" t="s">
        <v>8480</v>
      </c>
      <c r="WX11" s="1" t="s">
        <v>8481</v>
      </c>
      <c r="WY11" s="1" t="s">
        <v>8482</v>
      </c>
      <c r="WZ11" s="1" t="s">
        <v>8483</v>
      </c>
      <c r="XA11" s="1" t="s">
        <v>8484</v>
      </c>
      <c r="XB11" s="1" t="s">
        <v>8485</v>
      </c>
      <c r="XC11" s="1" t="s">
        <v>8486</v>
      </c>
      <c r="XD11" s="1" t="s">
        <v>8487</v>
      </c>
      <c r="XE11" s="1" t="s">
        <v>8488</v>
      </c>
      <c r="XF11" s="1" t="s">
        <v>8489</v>
      </c>
      <c r="XG11" s="1" t="s">
        <v>8490</v>
      </c>
      <c r="XH11" s="1" t="s">
        <v>8491</v>
      </c>
      <c r="XI11" s="1" t="s">
        <v>8492</v>
      </c>
      <c r="XJ11" s="1" t="s">
        <v>8493</v>
      </c>
      <c r="XK11" s="1" t="s">
        <v>8494</v>
      </c>
      <c r="XL11" s="1" t="s">
        <v>8495</v>
      </c>
      <c r="XM11" s="1" t="s">
        <v>8496</v>
      </c>
      <c r="XN11" s="1" t="s">
        <v>8497</v>
      </c>
      <c r="XO11" s="1" t="s">
        <v>8498</v>
      </c>
      <c r="XP11" s="1" t="s">
        <v>8499</v>
      </c>
      <c r="XQ11" s="1" t="s">
        <v>8500</v>
      </c>
      <c r="XR11" s="1" t="s">
        <v>8501</v>
      </c>
      <c r="XS11" s="1" t="s">
        <v>8502</v>
      </c>
      <c r="XT11" s="1" t="s">
        <v>8503</v>
      </c>
      <c r="XU11" s="1" t="s">
        <v>8504</v>
      </c>
      <c r="XV11" s="1" t="s">
        <v>8505</v>
      </c>
      <c r="XW11" s="1" t="s">
        <v>8506</v>
      </c>
      <c r="XX11" s="1" t="s">
        <v>8507</v>
      </c>
      <c r="XY11" s="1" t="s">
        <v>8508</v>
      </c>
      <c r="XZ11" s="1" t="s">
        <v>8509</v>
      </c>
      <c r="YA11" s="1" t="s">
        <v>8510</v>
      </c>
      <c r="YB11" s="1" t="s">
        <v>8511</v>
      </c>
      <c r="YC11" s="1" t="s">
        <v>8512</v>
      </c>
      <c r="YD11" s="1" t="s">
        <v>8513</v>
      </c>
      <c r="YE11" s="1" t="s">
        <v>8514</v>
      </c>
      <c r="YF11" s="1" t="s">
        <v>8515</v>
      </c>
      <c r="YG11" s="1" t="s">
        <v>8516</v>
      </c>
      <c r="YH11" s="1" t="s">
        <v>8517</v>
      </c>
      <c r="YI11" s="1" t="s">
        <v>8518</v>
      </c>
      <c r="YJ11" s="1" t="s">
        <v>8519</v>
      </c>
      <c r="YK11" s="1" t="s">
        <v>8520</v>
      </c>
      <c r="YL11" s="1" t="s">
        <v>8521</v>
      </c>
      <c r="YM11" s="1" t="s">
        <v>8522</v>
      </c>
      <c r="YN11" s="1" t="s">
        <v>8523</v>
      </c>
      <c r="YO11" s="1" t="s">
        <v>8524</v>
      </c>
      <c r="YP11" s="1" t="s">
        <v>8525</v>
      </c>
      <c r="YQ11" s="1" t="s">
        <v>8526</v>
      </c>
      <c r="YR11" s="1" t="s">
        <v>8527</v>
      </c>
      <c r="YS11" s="1" t="s">
        <v>8528</v>
      </c>
      <c r="YT11" s="1" t="s">
        <v>8529</v>
      </c>
      <c r="YU11" s="1" t="s">
        <v>8530</v>
      </c>
      <c r="YV11" s="1" t="s">
        <v>8531</v>
      </c>
      <c r="YW11" s="1" t="s">
        <v>8532</v>
      </c>
      <c r="YX11" s="1" t="s">
        <v>8533</v>
      </c>
      <c r="YY11" s="1" t="s">
        <v>8534</v>
      </c>
      <c r="YZ11" s="1" t="s">
        <v>8535</v>
      </c>
      <c r="ZA11" s="1" t="s">
        <v>8536</v>
      </c>
      <c r="ZB11" s="1" t="s">
        <v>8537</v>
      </c>
      <c r="ZC11" s="1" t="s">
        <v>8538</v>
      </c>
      <c r="ZD11" s="1" t="s">
        <v>8539</v>
      </c>
      <c r="ZE11" s="1" t="s">
        <v>8540</v>
      </c>
      <c r="ZF11" s="1" t="s">
        <v>8541</v>
      </c>
      <c r="ZG11" s="1" t="s">
        <v>8542</v>
      </c>
      <c r="ZH11" s="1" t="s">
        <v>8543</v>
      </c>
      <c r="ZI11" s="1" t="s">
        <v>8544</v>
      </c>
      <c r="ZJ11" s="1" t="s">
        <v>8545</v>
      </c>
      <c r="ZK11" s="1" t="s">
        <v>8546</v>
      </c>
      <c r="ZL11" s="1" t="s">
        <v>8547</v>
      </c>
      <c r="ZM11" s="1" t="s">
        <v>8548</v>
      </c>
      <c r="ZN11" s="1" t="s">
        <v>8549</v>
      </c>
      <c r="ZO11" s="1" t="s">
        <v>8550</v>
      </c>
      <c r="ZP11" s="1" t="s">
        <v>8551</v>
      </c>
      <c r="ZQ11" s="1" t="s">
        <v>8552</v>
      </c>
      <c r="ZR11" s="1" t="s">
        <v>8553</v>
      </c>
      <c r="ZS11" s="1" t="s">
        <v>8554</v>
      </c>
      <c r="ZT11" s="1" t="s">
        <v>8555</v>
      </c>
      <c r="ZU11" s="1" t="s">
        <v>8556</v>
      </c>
      <c r="ZV11" s="1" t="s">
        <v>8557</v>
      </c>
      <c r="ZW11" s="1" t="s">
        <v>8558</v>
      </c>
      <c r="ZX11" s="1" t="s">
        <v>8559</v>
      </c>
      <c r="ZY11" s="1" t="s">
        <v>8560</v>
      </c>
      <c r="ZZ11" s="1" t="s">
        <v>8561</v>
      </c>
      <c r="AAA11" s="1" t="s">
        <v>8562</v>
      </c>
      <c r="AAB11" s="1" t="s">
        <v>8563</v>
      </c>
      <c r="AAC11" s="1" t="s">
        <v>8564</v>
      </c>
      <c r="AAD11" s="1" t="s">
        <v>8565</v>
      </c>
      <c r="AAE11" s="1" t="s">
        <v>8566</v>
      </c>
      <c r="AAF11" s="1" t="s">
        <v>8567</v>
      </c>
      <c r="AAG11" s="1" t="s">
        <v>8568</v>
      </c>
      <c r="AAH11" s="1" t="s">
        <v>8569</v>
      </c>
      <c r="AAI11" s="1" t="s">
        <v>8570</v>
      </c>
      <c r="AAJ11" s="1" t="s">
        <v>8571</v>
      </c>
      <c r="AAK11" s="1" t="s">
        <v>8572</v>
      </c>
      <c r="AAL11" s="1" t="s">
        <v>8573</v>
      </c>
      <c r="AAM11" s="1" t="s">
        <v>8574</v>
      </c>
      <c r="AAN11" s="1" t="s">
        <v>8575</v>
      </c>
      <c r="AAO11" s="1" t="s">
        <v>8576</v>
      </c>
      <c r="AAP11" s="1" t="s">
        <v>8577</v>
      </c>
      <c r="AAQ11" s="1" t="s">
        <v>8578</v>
      </c>
      <c r="AAR11" s="1" t="s">
        <v>8579</v>
      </c>
      <c r="AAS11" s="1" t="s">
        <v>8580</v>
      </c>
      <c r="AAT11" s="1" t="s">
        <v>8581</v>
      </c>
      <c r="AAU11" s="1" t="s">
        <v>8582</v>
      </c>
      <c r="AAV11" s="1" t="s">
        <v>8583</v>
      </c>
      <c r="AAW11" s="1" t="s">
        <v>8584</v>
      </c>
      <c r="AAX11" s="1" t="s">
        <v>8585</v>
      </c>
      <c r="AAY11" s="1" t="s">
        <v>8586</v>
      </c>
      <c r="AAZ11" s="1" t="s">
        <v>8587</v>
      </c>
      <c r="ABA11" s="1" t="s">
        <v>8588</v>
      </c>
      <c r="ABB11" s="1" t="s">
        <v>8589</v>
      </c>
      <c r="ABC11" s="1" t="s">
        <v>8590</v>
      </c>
      <c r="ABD11" s="1" t="s">
        <v>8591</v>
      </c>
      <c r="ABE11" s="1" t="s">
        <v>8592</v>
      </c>
      <c r="ABF11" s="1" t="s">
        <v>8593</v>
      </c>
      <c r="ABG11" s="1" t="s">
        <v>8594</v>
      </c>
      <c r="ABH11" s="1" t="s">
        <v>8595</v>
      </c>
      <c r="ABI11" s="1" t="s">
        <v>8596</v>
      </c>
      <c r="ABJ11" s="1" t="s">
        <v>8597</v>
      </c>
      <c r="ABK11" s="1" t="s">
        <v>8598</v>
      </c>
      <c r="ABL11" s="1" t="s">
        <v>8599</v>
      </c>
      <c r="ABM11" s="1" t="s">
        <v>8600</v>
      </c>
      <c r="ABN11" s="1" t="s">
        <v>8601</v>
      </c>
      <c r="ABO11" s="1" t="s">
        <v>8602</v>
      </c>
      <c r="ABP11" s="1" t="s">
        <v>8603</v>
      </c>
      <c r="ABQ11" s="1" t="s">
        <v>8604</v>
      </c>
      <c r="ABR11" s="1" t="s">
        <v>8605</v>
      </c>
      <c r="ABS11" s="1" t="s">
        <v>8606</v>
      </c>
      <c r="ABT11" s="1" t="s">
        <v>8607</v>
      </c>
      <c r="ABU11" s="1" t="s">
        <v>8608</v>
      </c>
      <c r="ABV11" s="1" t="s">
        <v>8609</v>
      </c>
      <c r="ABW11" s="1" t="s">
        <v>8610</v>
      </c>
      <c r="ABX11" s="1" t="s">
        <v>8611</v>
      </c>
      <c r="ABY11" s="1" t="s">
        <v>8612</v>
      </c>
      <c r="ABZ11" s="1" t="s">
        <v>8613</v>
      </c>
      <c r="ACA11" s="1" t="s">
        <v>8614</v>
      </c>
      <c r="ACB11" s="1" t="s">
        <v>8615</v>
      </c>
      <c r="ACC11" s="1" t="s">
        <v>8616</v>
      </c>
      <c r="ACD11" s="1" t="s">
        <v>8617</v>
      </c>
      <c r="ACE11" s="1" t="s">
        <v>8618</v>
      </c>
      <c r="ACF11" s="1" t="s">
        <v>8619</v>
      </c>
      <c r="ACG11" s="1" t="s">
        <v>8620</v>
      </c>
      <c r="ACH11" s="1" t="s">
        <v>8621</v>
      </c>
      <c r="ACI11" s="1" t="s">
        <v>8622</v>
      </c>
      <c r="ACJ11" s="1" t="s">
        <v>8623</v>
      </c>
      <c r="ACK11" s="1" t="s">
        <v>8624</v>
      </c>
      <c r="ACL11" s="1" t="s">
        <v>8625</v>
      </c>
      <c r="ACM11" s="1" t="s">
        <v>8626</v>
      </c>
      <c r="ACN11" s="1" t="s">
        <v>8627</v>
      </c>
      <c r="ACO11" s="1" t="s">
        <v>8628</v>
      </c>
      <c r="ACP11" s="1" t="s">
        <v>8629</v>
      </c>
      <c r="ACQ11" s="1" t="s">
        <v>8630</v>
      </c>
      <c r="ACR11" s="1" t="s">
        <v>8631</v>
      </c>
      <c r="ACS11" s="1" t="s">
        <v>8632</v>
      </c>
      <c r="ACT11" s="1" t="s">
        <v>8633</v>
      </c>
      <c r="ACU11" s="1" t="s">
        <v>8634</v>
      </c>
      <c r="ACV11" s="1" t="s">
        <v>8635</v>
      </c>
      <c r="ACW11" s="1" t="s">
        <v>23</v>
      </c>
      <c r="ACX11" s="1" t="s">
        <v>6310</v>
      </c>
    </row>
    <row r="12" spans="1:778" x14ac:dyDescent="0.2">
      <c r="A12" s="1" t="s">
        <v>72</v>
      </c>
      <c r="B12" s="1" t="s">
        <v>8636</v>
      </c>
      <c r="C12" s="1" t="s">
        <v>8637</v>
      </c>
      <c r="D12" s="1" t="s">
        <v>8638</v>
      </c>
      <c r="E12" s="1" t="s">
        <v>8639</v>
      </c>
      <c r="F12" s="1" t="s">
        <v>8640</v>
      </c>
      <c r="G12" s="1" t="s">
        <v>8641</v>
      </c>
      <c r="H12" s="1" t="s">
        <v>8642</v>
      </c>
      <c r="I12" s="1" t="s">
        <v>8643</v>
      </c>
      <c r="J12" s="1" t="s">
        <v>8644</v>
      </c>
      <c r="K12" s="1" t="s">
        <v>8645</v>
      </c>
      <c r="L12" s="1" t="s">
        <v>8646</v>
      </c>
      <c r="M12" s="1" t="s">
        <v>8647</v>
      </c>
      <c r="N12" s="1" t="s">
        <v>8648</v>
      </c>
      <c r="O12" s="1" t="s">
        <v>8649</v>
      </c>
      <c r="P12" s="1" t="s">
        <v>8650</v>
      </c>
      <c r="Q12" s="1" t="s">
        <v>8651</v>
      </c>
      <c r="R12" s="1" t="s">
        <v>8652</v>
      </c>
      <c r="S12" s="1" t="s">
        <v>8653</v>
      </c>
      <c r="T12" s="1" t="s">
        <v>8654</v>
      </c>
      <c r="U12" s="1" t="s">
        <v>8655</v>
      </c>
      <c r="V12" s="1" t="s">
        <v>8656</v>
      </c>
      <c r="W12" s="1" t="s">
        <v>8657</v>
      </c>
      <c r="X12" s="1" t="s">
        <v>8658</v>
      </c>
      <c r="Y12" s="1" t="s">
        <v>8659</v>
      </c>
      <c r="Z12" s="1" t="s">
        <v>8660</v>
      </c>
      <c r="AA12" s="1" t="s">
        <v>8661</v>
      </c>
      <c r="AB12" s="1" t="s">
        <v>8662</v>
      </c>
      <c r="AC12" s="1" t="s">
        <v>8663</v>
      </c>
      <c r="AD12" s="1" t="s">
        <v>8664</v>
      </c>
      <c r="AE12" s="1" t="s">
        <v>8665</v>
      </c>
      <c r="AF12" s="1" t="s">
        <v>8666</v>
      </c>
      <c r="AG12" s="1" t="s">
        <v>8667</v>
      </c>
      <c r="AH12" s="1" t="s">
        <v>8668</v>
      </c>
      <c r="AI12" s="1" t="s">
        <v>8669</v>
      </c>
      <c r="AJ12" s="1" t="s">
        <v>8670</v>
      </c>
      <c r="AK12" s="1" t="s">
        <v>8671</v>
      </c>
      <c r="AL12" s="1" t="s">
        <v>8672</v>
      </c>
      <c r="AM12" s="1" t="s">
        <v>8673</v>
      </c>
      <c r="AN12" s="1" t="s">
        <v>8674</v>
      </c>
      <c r="AO12" s="1" t="s">
        <v>8675</v>
      </c>
      <c r="AP12" s="1" t="s">
        <v>8676</v>
      </c>
      <c r="AQ12" s="1" t="s">
        <v>8677</v>
      </c>
      <c r="AR12" s="1" t="s">
        <v>8678</v>
      </c>
      <c r="AS12" s="1" t="s">
        <v>8679</v>
      </c>
      <c r="AT12" s="1" t="s">
        <v>8680</v>
      </c>
      <c r="AU12" s="1" t="s">
        <v>8681</v>
      </c>
      <c r="AV12" s="1" t="s">
        <v>8682</v>
      </c>
      <c r="AW12" s="1" t="s">
        <v>8683</v>
      </c>
      <c r="AX12" s="1" t="s">
        <v>8684</v>
      </c>
      <c r="AY12" s="1" t="s">
        <v>8685</v>
      </c>
      <c r="AZ12" s="1" t="s">
        <v>8686</v>
      </c>
      <c r="BA12" s="1" t="s">
        <v>8687</v>
      </c>
      <c r="BB12" s="1" t="s">
        <v>8688</v>
      </c>
      <c r="BC12" s="1" t="s">
        <v>8689</v>
      </c>
      <c r="BD12" s="1" t="s">
        <v>8690</v>
      </c>
      <c r="BE12" s="1" t="s">
        <v>8691</v>
      </c>
      <c r="BF12" s="1" t="s">
        <v>8692</v>
      </c>
      <c r="BG12" s="1" t="s">
        <v>8693</v>
      </c>
      <c r="BH12" s="1" t="s">
        <v>8694</v>
      </c>
      <c r="BI12" s="1" t="s">
        <v>8695</v>
      </c>
      <c r="BJ12" s="1" t="s">
        <v>8696</v>
      </c>
      <c r="BK12" s="1" t="s">
        <v>8697</v>
      </c>
      <c r="BL12" s="1" t="s">
        <v>8698</v>
      </c>
      <c r="BM12" s="1" t="s">
        <v>8699</v>
      </c>
      <c r="BN12" s="1" t="s">
        <v>8700</v>
      </c>
      <c r="BO12" s="1" t="s">
        <v>8701</v>
      </c>
      <c r="BP12" s="1" t="s">
        <v>8702</v>
      </c>
      <c r="BQ12" s="1" t="s">
        <v>8703</v>
      </c>
      <c r="BR12" s="1" t="s">
        <v>8704</v>
      </c>
      <c r="BS12" s="1" t="s">
        <v>8705</v>
      </c>
      <c r="BT12" s="1" t="s">
        <v>8706</v>
      </c>
      <c r="BU12" s="1" t="s">
        <v>8707</v>
      </c>
      <c r="BV12" s="1" t="s">
        <v>8708</v>
      </c>
      <c r="BW12" s="1" t="s">
        <v>8709</v>
      </c>
      <c r="BX12" s="1" t="s">
        <v>8710</v>
      </c>
      <c r="BY12" s="1" t="s">
        <v>8711</v>
      </c>
      <c r="BZ12" s="1" t="s">
        <v>8712</v>
      </c>
      <c r="CA12" s="1" t="s">
        <v>8713</v>
      </c>
      <c r="CB12" s="1" t="s">
        <v>8714</v>
      </c>
      <c r="CC12" s="1" t="s">
        <v>8715</v>
      </c>
      <c r="CD12" s="1" t="s">
        <v>8716</v>
      </c>
      <c r="CE12" s="1" t="s">
        <v>8717</v>
      </c>
      <c r="CF12" s="1" t="s">
        <v>8718</v>
      </c>
      <c r="CG12" s="1" t="s">
        <v>8719</v>
      </c>
      <c r="CH12" s="1" t="s">
        <v>8720</v>
      </c>
      <c r="CI12" s="1" t="s">
        <v>8721</v>
      </c>
      <c r="CJ12" s="1" t="s">
        <v>8722</v>
      </c>
      <c r="CK12" s="1" t="s">
        <v>8723</v>
      </c>
      <c r="CL12" s="1" t="s">
        <v>8724</v>
      </c>
      <c r="CM12" s="1" t="s">
        <v>8725</v>
      </c>
      <c r="CN12" s="1" t="s">
        <v>8726</v>
      </c>
      <c r="CO12" s="1" t="s">
        <v>8727</v>
      </c>
      <c r="CP12" s="1" t="s">
        <v>8728</v>
      </c>
      <c r="CQ12" s="1" t="s">
        <v>8729</v>
      </c>
      <c r="CR12" s="1" t="s">
        <v>8730</v>
      </c>
      <c r="CS12" s="1" t="s">
        <v>8731</v>
      </c>
      <c r="CT12" s="1" t="s">
        <v>8732</v>
      </c>
      <c r="CU12" s="1" t="s">
        <v>8733</v>
      </c>
      <c r="CV12" s="1" t="s">
        <v>8734</v>
      </c>
      <c r="CW12" s="1" t="s">
        <v>8735</v>
      </c>
      <c r="CX12" s="1" t="s">
        <v>8736</v>
      </c>
      <c r="CY12" s="1" t="s">
        <v>8737</v>
      </c>
      <c r="CZ12" s="1" t="s">
        <v>8738</v>
      </c>
      <c r="DA12" s="1" t="s">
        <v>8739</v>
      </c>
      <c r="DB12" s="1" t="s">
        <v>8740</v>
      </c>
      <c r="DC12" s="1" t="s">
        <v>8741</v>
      </c>
      <c r="DD12" s="1" t="s">
        <v>8742</v>
      </c>
      <c r="DE12" s="1" t="s">
        <v>8743</v>
      </c>
      <c r="DF12" s="1" t="s">
        <v>8744</v>
      </c>
      <c r="DG12" s="1" t="s">
        <v>8745</v>
      </c>
      <c r="DH12" s="1" t="s">
        <v>8746</v>
      </c>
      <c r="DI12" s="1" t="s">
        <v>8747</v>
      </c>
      <c r="DJ12" s="1" t="s">
        <v>8748</v>
      </c>
      <c r="DK12" s="1" t="s">
        <v>8749</v>
      </c>
      <c r="DL12" s="1" t="s">
        <v>8750</v>
      </c>
      <c r="DM12" s="1" t="s">
        <v>8751</v>
      </c>
      <c r="DN12" s="1" t="s">
        <v>8752</v>
      </c>
      <c r="DO12" s="1" t="s">
        <v>8753</v>
      </c>
      <c r="DP12" s="1" t="s">
        <v>8754</v>
      </c>
      <c r="DQ12" s="1" t="s">
        <v>8755</v>
      </c>
      <c r="DR12" s="1" t="s">
        <v>8756</v>
      </c>
      <c r="DS12" s="1" t="s">
        <v>8757</v>
      </c>
      <c r="DT12" s="1" t="s">
        <v>8758</v>
      </c>
      <c r="DU12" s="1" t="s">
        <v>8759</v>
      </c>
      <c r="DV12" s="1" t="s">
        <v>8760</v>
      </c>
      <c r="DW12" s="1" t="s">
        <v>8761</v>
      </c>
      <c r="DX12" s="1" t="s">
        <v>8762</v>
      </c>
      <c r="DY12" s="1" t="s">
        <v>8763</v>
      </c>
      <c r="DZ12" s="1" t="s">
        <v>8764</v>
      </c>
      <c r="EA12" s="1" t="s">
        <v>8765</v>
      </c>
      <c r="EB12" s="1" t="s">
        <v>8766</v>
      </c>
      <c r="EC12" s="1" t="s">
        <v>8767</v>
      </c>
      <c r="ED12" s="1" t="s">
        <v>8768</v>
      </c>
      <c r="EE12" s="1" t="s">
        <v>8769</v>
      </c>
      <c r="EF12" s="1" t="s">
        <v>8770</v>
      </c>
      <c r="EG12" s="1" t="s">
        <v>8771</v>
      </c>
      <c r="EH12" s="1" t="s">
        <v>8772</v>
      </c>
      <c r="EI12" s="1" t="s">
        <v>8773</v>
      </c>
      <c r="EJ12" s="1" t="s">
        <v>8774</v>
      </c>
      <c r="EK12" s="1" t="s">
        <v>8775</v>
      </c>
      <c r="EL12" s="1" t="s">
        <v>8776</v>
      </c>
      <c r="EM12" s="1" t="s">
        <v>8777</v>
      </c>
      <c r="EN12" s="1" t="s">
        <v>8778</v>
      </c>
      <c r="EO12" s="1" t="s">
        <v>8779</v>
      </c>
      <c r="EP12" s="1" t="s">
        <v>8780</v>
      </c>
      <c r="EQ12" s="1" t="s">
        <v>8781</v>
      </c>
      <c r="ER12" s="1" t="s">
        <v>8782</v>
      </c>
      <c r="ES12" s="1" t="s">
        <v>8783</v>
      </c>
      <c r="ET12" s="1" t="s">
        <v>8784</v>
      </c>
      <c r="EU12" s="1" t="s">
        <v>8785</v>
      </c>
      <c r="EV12" s="1" t="s">
        <v>8786</v>
      </c>
      <c r="EW12" s="1" t="s">
        <v>8787</v>
      </c>
      <c r="EX12" s="1" t="s">
        <v>8788</v>
      </c>
      <c r="EY12" s="1" t="s">
        <v>8789</v>
      </c>
      <c r="EZ12" s="1" t="s">
        <v>8790</v>
      </c>
      <c r="FA12" s="1" t="s">
        <v>8791</v>
      </c>
      <c r="FB12" s="1" t="s">
        <v>8792</v>
      </c>
      <c r="FC12" s="1" t="s">
        <v>8793</v>
      </c>
      <c r="FD12" s="1" t="s">
        <v>8794</v>
      </c>
      <c r="FE12" s="1" t="s">
        <v>8795</v>
      </c>
      <c r="FF12" s="1" t="s">
        <v>8796</v>
      </c>
      <c r="FG12" s="1" t="s">
        <v>8797</v>
      </c>
      <c r="FH12" s="1" t="s">
        <v>8798</v>
      </c>
      <c r="FI12" s="1" t="s">
        <v>8799</v>
      </c>
      <c r="FJ12" s="1" t="s">
        <v>8800</v>
      </c>
      <c r="FK12" s="1" t="s">
        <v>8801</v>
      </c>
      <c r="FL12" s="1" t="s">
        <v>8802</v>
      </c>
      <c r="FM12" s="1" t="s">
        <v>8803</v>
      </c>
      <c r="FN12" s="1" t="s">
        <v>8804</v>
      </c>
      <c r="FO12" s="1" t="s">
        <v>8805</v>
      </c>
      <c r="FP12" s="1" t="s">
        <v>8806</v>
      </c>
      <c r="FQ12" s="1" t="s">
        <v>8807</v>
      </c>
      <c r="FR12" s="1" t="s">
        <v>8808</v>
      </c>
      <c r="FS12" s="1" t="s">
        <v>8809</v>
      </c>
      <c r="FT12" s="1" t="s">
        <v>8810</v>
      </c>
      <c r="FU12" s="1" t="s">
        <v>8811</v>
      </c>
      <c r="FV12" s="1" t="s">
        <v>8812</v>
      </c>
      <c r="FW12" s="1" t="s">
        <v>8813</v>
      </c>
      <c r="FX12" s="1" t="s">
        <v>8814</v>
      </c>
      <c r="FY12" s="1" t="s">
        <v>8815</v>
      </c>
      <c r="FZ12" s="1" t="s">
        <v>8816</v>
      </c>
      <c r="GA12" s="1" t="s">
        <v>8817</v>
      </c>
      <c r="GB12" s="1" t="s">
        <v>8818</v>
      </c>
      <c r="GC12" s="1" t="s">
        <v>8819</v>
      </c>
      <c r="GD12" s="1" t="s">
        <v>8820</v>
      </c>
      <c r="GE12" s="1" t="s">
        <v>8821</v>
      </c>
      <c r="GF12" s="1" t="s">
        <v>8822</v>
      </c>
      <c r="GG12" s="1" t="s">
        <v>8823</v>
      </c>
      <c r="GH12" s="1" t="s">
        <v>8824</v>
      </c>
      <c r="GI12" s="1" t="s">
        <v>8825</v>
      </c>
      <c r="GJ12" s="1" t="s">
        <v>8826</v>
      </c>
      <c r="GK12" s="1" t="s">
        <v>8827</v>
      </c>
      <c r="GL12" s="1" t="s">
        <v>8828</v>
      </c>
      <c r="GM12" s="1" t="s">
        <v>8829</v>
      </c>
      <c r="GN12" s="1" t="s">
        <v>8830</v>
      </c>
      <c r="GO12" s="1" t="s">
        <v>8831</v>
      </c>
      <c r="GP12" s="1" t="s">
        <v>8832</v>
      </c>
      <c r="GQ12" s="1" t="s">
        <v>8833</v>
      </c>
      <c r="GR12" s="1" t="s">
        <v>8834</v>
      </c>
      <c r="GS12" s="1" t="s">
        <v>8835</v>
      </c>
      <c r="GT12" s="1" t="s">
        <v>8836</v>
      </c>
      <c r="GU12" s="1" t="s">
        <v>8837</v>
      </c>
      <c r="GV12" s="1" t="s">
        <v>8838</v>
      </c>
      <c r="GW12" s="1" t="s">
        <v>8839</v>
      </c>
      <c r="GX12" s="1" t="s">
        <v>8840</v>
      </c>
      <c r="GY12" s="1" t="s">
        <v>8841</v>
      </c>
      <c r="GZ12" s="1" t="s">
        <v>8842</v>
      </c>
      <c r="HA12" s="1" t="s">
        <v>8843</v>
      </c>
      <c r="HB12" s="1" t="s">
        <v>8844</v>
      </c>
      <c r="HC12" s="1" t="s">
        <v>8845</v>
      </c>
      <c r="HD12" s="1" t="s">
        <v>8846</v>
      </c>
      <c r="HE12" s="1" t="s">
        <v>8847</v>
      </c>
      <c r="HF12" s="1" t="s">
        <v>8848</v>
      </c>
      <c r="HG12" s="1" t="s">
        <v>8849</v>
      </c>
      <c r="HH12" s="1" t="s">
        <v>8850</v>
      </c>
      <c r="HI12" s="1" t="s">
        <v>8851</v>
      </c>
      <c r="HJ12" s="1" t="s">
        <v>8852</v>
      </c>
      <c r="HK12" s="1" t="s">
        <v>8853</v>
      </c>
      <c r="HL12" s="1" t="s">
        <v>8854</v>
      </c>
      <c r="HM12" s="1" t="s">
        <v>8855</v>
      </c>
      <c r="HN12" s="1" t="s">
        <v>8856</v>
      </c>
      <c r="HO12" s="1" t="s">
        <v>8857</v>
      </c>
      <c r="HP12" s="1" t="s">
        <v>8858</v>
      </c>
      <c r="HQ12" s="1" t="s">
        <v>8859</v>
      </c>
      <c r="HR12" s="1" t="s">
        <v>8860</v>
      </c>
      <c r="HS12" s="1" t="s">
        <v>8861</v>
      </c>
      <c r="HT12" s="1" t="s">
        <v>8862</v>
      </c>
      <c r="HU12" s="1" t="s">
        <v>8863</v>
      </c>
      <c r="HV12" s="1" t="s">
        <v>8864</v>
      </c>
      <c r="HW12" s="1" t="s">
        <v>8865</v>
      </c>
      <c r="HX12" s="1" t="s">
        <v>8866</v>
      </c>
      <c r="HY12" s="1" t="s">
        <v>8867</v>
      </c>
      <c r="HZ12" s="1" t="s">
        <v>8868</v>
      </c>
      <c r="IA12" s="1" t="s">
        <v>8869</v>
      </c>
      <c r="IB12" s="1" t="s">
        <v>8870</v>
      </c>
      <c r="IC12" s="1" t="s">
        <v>8871</v>
      </c>
      <c r="ID12" s="1" t="s">
        <v>8872</v>
      </c>
      <c r="IE12" s="1" t="s">
        <v>8873</v>
      </c>
      <c r="IF12" s="1" t="s">
        <v>8874</v>
      </c>
      <c r="IG12" s="1" t="s">
        <v>8875</v>
      </c>
      <c r="IH12" s="1" t="s">
        <v>8876</v>
      </c>
      <c r="II12" s="1" t="s">
        <v>8877</v>
      </c>
      <c r="IJ12" s="1" t="s">
        <v>8878</v>
      </c>
      <c r="IK12" s="1" t="s">
        <v>8879</v>
      </c>
      <c r="IL12" s="1" t="s">
        <v>8880</v>
      </c>
      <c r="IM12" s="1" t="s">
        <v>8881</v>
      </c>
      <c r="IN12" s="1" t="s">
        <v>8882</v>
      </c>
      <c r="IO12" s="1" t="s">
        <v>8883</v>
      </c>
      <c r="IP12" s="1" t="s">
        <v>8884</v>
      </c>
      <c r="IQ12" s="1" t="s">
        <v>8885</v>
      </c>
      <c r="IR12" s="1" t="s">
        <v>8886</v>
      </c>
      <c r="IS12" s="1" t="s">
        <v>8887</v>
      </c>
      <c r="IT12" s="1" t="s">
        <v>8888</v>
      </c>
      <c r="IU12" s="1" t="s">
        <v>8889</v>
      </c>
      <c r="IV12" s="1" t="s">
        <v>8890</v>
      </c>
      <c r="IW12" s="1" t="s">
        <v>8891</v>
      </c>
      <c r="IX12" s="1" t="s">
        <v>8892</v>
      </c>
      <c r="IY12" s="1" t="s">
        <v>8893</v>
      </c>
      <c r="IZ12" s="1" t="s">
        <v>8894</v>
      </c>
      <c r="JA12" s="1" t="s">
        <v>8895</v>
      </c>
      <c r="JB12" s="1" t="s">
        <v>8896</v>
      </c>
      <c r="JC12" s="1" t="s">
        <v>8897</v>
      </c>
      <c r="JD12" s="1" t="s">
        <v>8898</v>
      </c>
      <c r="JE12" s="1" t="s">
        <v>8899</v>
      </c>
      <c r="JF12" s="1" t="s">
        <v>8900</v>
      </c>
      <c r="JG12" s="1" t="s">
        <v>8901</v>
      </c>
      <c r="JH12" s="1" t="s">
        <v>8902</v>
      </c>
      <c r="JI12" s="1" t="s">
        <v>8903</v>
      </c>
      <c r="JJ12" s="1" t="s">
        <v>8904</v>
      </c>
      <c r="JK12" s="1" t="s">
        <v>8905</v>
      </c>
      <c r="JL12" s="1" t="s">
        <v>8906</v>
      </c>
      <c r="JM12" s="1" t="s">
        <v>8907</v>
      </c>
      <c r="JN12" s="1" t="s">
        <v>8908</v>
      </c>
      <c r="JO12" s="1" t="s">
        <v>8909</v>
      </c>
      <c r="JP12" s="1" t="s">
        <v>8910</v>
      </c>
      <c r="JQ12" s="1" t="s">
        <v>8911</v>
      </c>
      <c r="JR12" s="1" t="s">
        <v>8912</v>
      </c>
      <c r="JS12" s="1" t="s">
        <v>8913</v>
      </c>
      <c r="JT12" s="1" t="s">
        <v>8914</v>
      </c>
      <c r="JU12" s="1" t="s">
        <v>8915</v>
      </c>
      <c r="JV12" s="1" t="s">
        <v>8916</v>
      </c>
      <c r="JW12" s="1" t="s">
        <v>8917</v>
      </c>
      <c r="JX12" s="1" t="s">
        <v>8918</v>
      </c>
      <c r="JY12" s="1" t="s">
        <v>8919</v>
      </c>
      <c r="JZ12" s="1" t="s">
        <v>8920</v>
      </c>
      <c r="KA12" s="1" t="s">
        <v>8921</v>
      </c>
      <c r="KB12" s="1" t="s">
        <v>8922</v>
      </c>
      <c r="KC12" s="1" t="s">
        <v>8923</v>
      </c>
      <c r="KD12" s="1" t="s">
        <v>8924</v>
      </c>
      <c r="KE12" s="1" t="s">
        <v>8925</v>
      </c>
      <c r="KF12" s="1" t="s">
        <v>8926</v>
      </c>
      <c r="KG12" s="1" t="s">
        <v>8927</v>
      </c>
      <c r="KH12" s="1" t="s">
        <v>8928</v>
      </c>
      <c r="KI12" s="1" t="s">
        <v>8929</v>
      </c>
      <c r="KJ12" s="1" t="s">
        <v>8930</v>
      </c>
      <c r="KK12" s="1" t="s">
        <v>8931</v>
      </c>
      <c r="KL12" s="1" t="s">
        <v>8932</v>
      </c>
      <c r="KM12" s="1" t="s">
        <v>8933</v>
      </c>
      <c r="KN12" s="1" t="s">
        <v>8934</v>
      </c>
      <c r="KO12" s="1" t="s">
        <v>8935</v>
      </c>
      <c r="KP12" s="1" t="s">
        <v>8936</v>
      </c>
      <c r="KQ12" s="1" t="s">
        <v>8937</v>
      </c>
      <c r="KR12" s="1" t="s">
        <v>8938</v>
      </c>
      <c r="KS12" s="1" t="s">
        <v>8939</v>
      </c>
      <c r="KT12" s="1" t="s">
        <v>8940</v>
      </c>
      <c r="KU12" s="1" t="s">
        <v>8941</v>
      </c>
      <c r="KV12" s="1" t="s">
        <v>8942</v>
      </c>
      <c r="KW12" s="1" t="s">
        <v>8943</v>
      </c>
      <c r="KX12" s="1" t="s">
        <v>8944</v>
      </c>
      <c r="KY12" s="1" t="s">
        <v>8945</v>
      </c>
      <c r="KZ12" s="1" t="s">
        <v>8946</v>
      </c>
      <c r="LA12" s="1" t="s">
        <v>8947</v>
      </c>
      <c r="LB12" s="1" t="s">
        <v>8948</v>
      </c>
      <c r="LC12" s="1" t="s">
        <v>8949</v>
      </c>
      <c r="LD12" s="1" t="s">
        <v>8950</v>
      </c>
      <c r="LE12" s="1" t="s">
        <v>8951</v>
      </c>
      <c r="LF12" s="1" t="s">
        <v>8952</v>
      </c>
      <c r="LG12" s="1" t="s">
        <v>8953</v>
      </c>
      <c r="LH12" s="1" t="s">
        <v>8954</v>
      </c>
      <c r="LI12" s="1" t="s">
        <v>8955</v>
      </c>
      <c r="LJ12" s="1" t="s">
        <v>8956</v>
      </c>
      <c r="LK12" s="1" t="s">
        <v>8957</v>
      </c>
      <c r="LL12" s="1" t="s">
        <v>8958</v>
      </c>
      <c r="LM12" s="1" t="s">
        <v>8959</v>
      </c>
      <c r="LN12" s="1" t="s">
        <v>8960</v>
      </c>
      <c r="LO12" s="1" t="s">
        <v>8961</v>
      </c>
      <c r="LP12" s="1" t="s">
        <v>8962</v>
      </c>
      <c r="LQ12" s="1" t="s">
        <v>8963</v>
      </c>
      <c r="LR12" s="1" t="s">
        <v>8964</v>
      </c>
      <c r="LS12" s="1" t="s">
        <v>8965</v>
      </c>
      <c r="LT12" s="1" t="s">
        <v>8966</v>
      </c>
      <c r="LU12" s="1" t="s">
        <v>8967</v>
      </c>
      <c r="LV12" s="1" t="s">
        <v>8968</v>
      </c>
      <c r="LW12" s="1" t="s">
        <v>8969</v>
      </c>
      <c r="LX12" s="1" t="s">
        <v>8970</v>
      </c>
      <c r="LY12" s="1" t="s">
        <v>8971</v>
      </c>
      <c r="LZ12" s="1" t="s">
        <v>8972</v>
      </c>
      <c r="MA12" s="1" t="s">
        <v>8973</v>
      </c>
      <c r="MB12" s="1" t="s">
        <v>8974</v>
      </c>
      <c r="MC12" s="1" t="s">
        <v>8975</v>
      </c>
      <c r="MD12" s="1" t="s">
        <v>8976</v>
      </c>
      <c r="ME12" s="1" t="s">
        <v>8977</v>
      </c>
      <c r="MF12" s="1" t="s">
        <v>8978</v>
      </c>
      <c r="MG12" s="1" t="s">
        <v>8979</v>
      </c>
      <c r="MH12" s="1" t="s">
        <v>8980</v>
      </c>
      <c r="MI12" s="1" t="s">
        <v>8981</v>
      </c>
      <c r="MJ12" s="1" t="s">
        <v>8982</v>
      </c>
      <c r="MK12" s="1" t="s">
        <v>8983</v>
      </c>
      <c r="ML12" s="1" t="s">
        <v>8984</v>
      </c>
      <c r="MM12" s="1" t="s">
        <v>8985</v>
      </c>
      <c r="MN12" s="1" t="s">
        <v>8986</v>
      </c>
      <c r="MO12" s="1" t="s">
        <v>8987</v>
      </c>
      <c r="MP12" s="1" t="s">
        <v>8988</v>
      </c>
      <c r="MQ12" s="1" t="s">
        <v>8989</v>
      </c>
      <c r="MR12" s="1" t="s">
        <v>8990</v>
      </c>
      <c r="MS12" s="1" t="s">
        <v>8991</v>
      </c>
      <c r="MT12" s="1" t="s">
        <v>8992</v>
      </c>
      <c r="MU12" s="1" t="s">
        <v>8993</v>
      </c>
      <c r="MV12" s="1" t="s">
        <v>8994</v>
      </c>
      <c r="MW12" s="1" t="s">
        <v>8995</v>
      </c>
      <c r="MX12" s="1" t="s">
        <v>8996</v>
      </c>
      <c r="MY12" s="1" t="s">
        <v>8997</v>
      </c>
      <c r="MZ12" s="1" t="s">
        <v>8998</v>
      </c>
      <c r="NA12" s="1" t="s">
        <v>8999</v>
      </c>
      <c r="NB12" s="1" t="s">
        <v>9000</v>
      </c>
      <c r="NC12" s="1" t="s">
        <v>9001</v>
      </c>
      <c r="ND12" s="1" t="s">
        <v>9002</v>
      </c>
      <c r="NE12" s="1" t="s">
        <v>9003</v>
      </c>
      <c r="NF12" s="1" t="s">
        <v>9004</v>
      </c>
      <c r="NG12" s="1" t="s">
        <v>9005</v>
      </c>
      <c r="NH12" s="1" t="s">
        <v>9006</v>
      </c>
      <c r="NI12" s="1" t="s">
        <v>9007</v>
      </c>
      <c r="NJ12" s="1" t="s">
        <v>9008</v>
      </c>
      <c r="NK12" s="1" t="s">
        <v>9009</v>
      </c>
      <c r="NL12" s="1" t="s">
        <v>9010</v>
      </c>
      <c r="NM12" s="1" t="s">
        <v>9011</v>
      </c>
      <c r="NN12" s="1" t="s">
        <v>9012</v>
      </c>
      <c r="NO12" s="1" t="s">
        <v>9013</v>
      </c>
      <c r="NP12" s="1" t="s">
        <v>9014</v>
      </c>
      <c r="NQ12" s="1" t="s">
        <v>9015</v>
      </c>
      <c r="NR12" s="1" t="s">
        <v>9016</v>
      </c>
      <c r="NS12" s="1" t="s">
        <v>9017</v>
      </c>
      <c r="NT12" s="1" t="s">
        <v>9018</v>
      </c>
      <c r="NU12" s="1" t="s">
        <v>9019</v>
      </c>
      <c r="NV12" s="1" t="s">
        <v>9020</v>
      </c>
      <c r="NW12" s="1" t="s">
        <v>9021</v>
      </c>
      <c r="NX12" s="1" t="s">
        <v>9022</v>
      </c>
      <c r="NY12" s="1" t="s">
        <v>9023</v>
      </c>
      <c r="NZ12" s="1" t="s">
        <v>9024</v>
      </c>
      <c r="OA12" s="1" t="s">
        <v>9025</v>
      </c>
      <c r="OB12" s="1" t="s">
        <v>9026</v>
      </c>
      <c r="OC12" s="1" t="s">
        <v>9027</v>
      </c>
      <c r="OD12" s="1" t="s">
        <v>9028</v>
      </c>
      <c r="OE12" s="1" t="s">
        <v>9029</v>
      </c>
      <c r="OF12" s="1" t="s">
        <v>9030</v>
      </c>
      <c r="OG12" s="1" t="s">
        <v>9031</v>
      </c>
      <c r="OH12" s="1" t="s">
        <v>9032</v>
      </c>
      <c r="OI12" s="1" t="s">
        <v>9033</v>
      </c>
      <c r="OJ12" s="1" t="s">
        <v>9034</v>
      </c>
      <c r="OK12" s="1" t="s">
        <v>9035</v>
      </c>
      <c r="OL12" s="1" t="s">
        <v>9036</v>
      </c>
      <c r="OM12" s="1" t="s">
        <v>9037</v>
      </c>
      <c r="ON12" s="1" t="s">
        <v>9038</v>
      </c>
      <c r="OO12" s="1" t="s">
        <v>9039</v>
      </c>
      <c r="OP12" s="1" t="s">
        <v>9040</v>
      </c>
      <c r="OQ12" s="1" t="s">
        <v>9041</v>
      </c>
      <c r="OR12" s="1" t="s">
        <v>9042</v>
      </c>
      <c r="OS12" s="1" t="s">
        <v>9043</v>
      </c>
      <c r="OT12" s="1" t="s">
        <v>9044</v>
      </c>
      <c r="OU12" s="1" t="s">
        <v>9045</v>
      </c>
      <c r="OV12" s="1" t="s">
        <v>9046</v>
      </c>
      <c r="OW12" s="1" t="s">
        <v>9047</v>
      </c>
      <c r="OX12" s="1" t="s">
        <v>9048</v>
      </c>
      <c r="OY12" s="1" t="s">
        <v>9049</v>
      </c>
      <c r="OZ12" s="1" t="s">
        <v>9050</v>
      </c>
      <c r="PA12" s="1" t="s">
        <v>9051</v>
      </c>
      <c r="PB12" s="1" t="s">
        <v>9052</v>
      </c>
      <c r="PC12" s="1" t="s">
        <v>9053</v>
      </c>
      <c r="PD12" s="1" t="s">
        <v>9054</v>
      </c>
      <c r="PE12" s="1" t="s">
        <v>9055</v>
      </c>
      <c r="PF12" s="1" t="s">
        <v>9056</v>
      </c>
      <c r="PG12" s="1" t="s">
        <v>9057</v>
      </c>
      <c r="PH12" s="1" t="s">
        <v>9058</v>
      </c>
      <c r="PI12" s="1" t="s">
        <v>9059</v>
      </c>
      <c r="PJ12" s="1" t="s">
        <v>9060</v>
      </c>
      <c r="PK12" s="1" t="s">
        <v>9061</v>
      </c>
      <c r="PL12" s="1" t="s">
        <v>9062</v>
      </c>
      <c r="PM12" s="1" t="s">
        <v>9063</v>
      </c>
      <c r="PN12" s="1" t="s">
        <v>9064</v>
      </c>
      <c r="PO12" s="1" t="s">
        <v>9065</v>
      </c>
      <c r="PP12" s="1" t="s">
        <v>9066</v>
      </c>
      <c r="PQ12" s="1" t="s">
        <v>9067</v>
      </c>
      <c r="PR12" s="1" t="s">
        <v>9068</v>
      </c>
      <c r="PS12" s="1" t="s">
        <v>9069</v>
      </c>
      <c r="PT12" s="1" t="s">
        <v>9070</v>
      </c>
      <c r="PU12" s="1" t="s">
        <v>9071</v>
      </c>
      <c r="PV12" s="1" t="s">
        <v>9072</v>
      </c>
      <c r="PW12" s="1" t="s">
        <v>9073</v>
      </c>
      <c r="PX12" s="1" t="s">
        <v>9074</v>
      </c>
      <c r="PY12" s="1" t="s">
        <v>9075</v>
      </c>
      <c r="PZ12" s="1" t="s">
        <v>9076</v>
      </c>
      <c r="QA12" s="1" t="s">
        <v>9077</v>
      </c>
      <c r="QB12" s="1" t="s">
        <v>9078</v>
      </c>
      <c r="QC12" s="1" t="s">
        <v>9079</v>
      </c>
      <c r="QD12" s="1" t="s">
        <v>9080</v>
      </c>
      <c r="QE12" s="1" t="s">
        <v>9081</v>
      </c>
      <c r="QF12" s="1" t="s">
        <v>9082</v>
      </c>
      <c r="QG12" s="1" t="s">
        <v>9083</v>
      </c>
      <c r="QH12" s="1" t="s">
        <v>9084</v>
      </c>
      <c r="QI12" s="1" t="s">
        <v>9085</v>
      </c>
      <c r="QJ12" s="1" t="s">
        <v>9086</v>
      </c>
      <c r="QK12" s="1" t="s">
        <v>9087</v>
      </c>
      <c r="QL12" s="1" t="s">
        <v>9088</v>
      </c>
      <c r="QM12" s="1" t="s">
        <v>9089</v>
      </c>
      <c r="QN12" s="1" t="s">
        <v>9090</v>
      </c>
      <c r="QO12" s="1" t="s">
        <v>9091</v>
      </c>
      <c r="QP12" s="1" t="s">
        <v>9092</v>
      </c>
      <c r="QQ12" s="1" t="s">
        <v>9093</v>
      </c>
      <c r="QR12" s="1" t="s">
        <v>9094</v>
      </c>
      <c r="QS12" s="1" t="s">
        <v>9095</v>
      </c>
      <c r="QT12" s="1" t="s">
        <v>9096</v>
      </c>
      <c r="QU12" s="1" t="s">
        <v>9097</v>
      </c>
      <c r="QV12" s="1" t="s">
        <v>9098</v>
      </c>
      <c r="QW12" s="1" t="s">
        <v>9099</v>
      </c>
      <c r="QX12" s="1" t="s">
        <v>9100</v>
      </c>
      <c r="QY12" s="1" t="s">
        <v>9101</v>
      </c>
      <c r="QZ12" s="1" t="s">
        <v>9102</v>
      </c>
      <c r="RA12" s="1" t="s">
        <v>9103</v>
      </c>
      <c r="RB12" s="1" t="s">
        <v>9104</v>
      </c>
      <c r="RC12" s="1" t="s">
        <v>9105</v>
      </c>
      <c r="RD12" s="1" t="s">
        <v>9106</v>
      </c>
      <c r="RE12" s="1" t="s">
        <v>9107</v>
      </c>
      <c r="RF12" s="1" t="s">
        <v>9108</v>
      </c>
      <c r="RG12" s="1" t="s">
        <v>9109</v>
      </c>
      <c r="RH12" s="1" t="s">
        <v>9110</v>
      </c>
      <c r="RI12" s="1" t="s">
        <v>9111</v>
      </c>
      <c r="RJ12" s="1" t="s">
        <v>9112</v>
      </c>
      <c r="RK12" s="1" t="s">
        <v>9113</v>
      </c>
      <c r="RL12" s="1" t="s">
        <v>9114</v>
      </c>
      <c r="RM12" s="1" t="s">
        <v>9115</v>
      </c>
      <c r="RN12" s="1" t="s">
        <v>9116</v>
      </c>
      <c r="RO12" s="1" t="s">
        <v>9117</v>
      </c>
      <c r="RP12" s="1" t="s">
        <v>9118</v>
      </c>
      <c r="RQ12" s="1" t="s">
        <v>9119</v>
      </c>
      <c r="RR12" s="1" t="s">
        <v>9120</v>
      </c>
      <c r="RS12" s="1" t="s">
        <v>9121</v>
      </c>
      <c r="RT12" s="1" t="s">
        <v>9122</v>
      </c>
      <c r="RU12" s="1" t="s">
        <v>9123</v>
      </c>
      <c r="RV12" s="1" t="s">
        <v>9124</v>
      </c>
      <c r="RW12" s="1" t="s">
        <v>9125</v>
      </c>
      <c r="RX12" s="1" t="s">
        <v>9126</v>
      </c>
      <c r="RY12" s="1" t="s">
        <v>9127</v>
      </c>
      <c r="RZ12" s="1" t="s">
        <v>9128</v>
      </c>
      <c r="SA12" s="1" t="s">
        <v>9129</v>
      </c>
      <c r="SB12" s="1" t="s">
        <v>9130</v>
      </c>
      <c r="SC12" s="1" t="s">
        <v>9131</v>
      </c>
      <c r="SD12" s="1" t="s">
        <v>9132</v>
      </c>
      <c r="SE12" s="1" t="s">
        <v>9133</v>
      </c>
      <c r="SF12" s="1" t="s">
        <v>9134</v>
      </c>
      <c r="SG12" s="1" t="s">
        <v>9135</v>
      </c>
      <c r="SH12" s="1" t="s">
        <v>9136</v>
      </c>
      <c r="SI12" s="1" t="s">
        <v>9137</v>
      </c>
      <c r="SJ12" s="1" t="s">
        <v>9138</v>
      </c>
      <c r="SK12" s="1" t="s">
        <v>9139</v>
      </c>
      <c r="SL12" s="1" t="s">
        <v>9140</v>
      </c>
      <c r="SM12" s="1" t="s">
        <v>9141</v>
      </c>
      <c r="SN12" s="1" t="s">
        <v>9142</v>
      </c>
      <c r="SO12" s="1" t="s">
        <v>9143</v>
      </c>
      <c r="SP12" s="1" t="s">
        <v>9144</v>
      </c>
      <c r="SQ12" s="1" t="s">
        <v>9145</v>
      </c>
      <c r="SR12" s="1" t="s">
        <v>9146</v>
      </c>
      <c r="SS12" s="1" t="s">
        <v>9147</v>
      </c>
      <c r="ST12" s="1" t="s">
        <v>9148</v>
      </c>
      <c r="SU12" s="1" t="s">
        <v>9149</v>
      </c>
      <c r="SV12" s="1" t="s">
        <v>9150</v>
      </c>
      <c r="SW12" s="1" t="s">
        <v>9151</v>
      </c>
      <c r="SX12" s="1" t="s">
        <v>9152</v>
      </c>
      <c r="SY12" s="1" t="s">
        <v>9153</v>
      </c>
      <c r="SZ12" s="1" t="s">
        <v>9154</v>
      </c>
      <c r="TA12" s="1" t="s">
        <v>9155</v>
      </c>
      <c r="TB12" s="1" t="s">
        <v>9156</v>
      </c>
      <c r="TC12" s="1" t="s">
        <v>9157</v>
      </c>
      <c r="TD12" s="1" t="s">
        <v>9158</v>
      </c>
      <c r="TE12" s="1" t="s">
        <v>9159</v>
      </c>
      <c r="TF12" s="1" t="s">
        <v>9160</v>
      </c>
      <c r="TG12" s="1" t="s">
        <v>9161</v>
      </c>
      <c r="TH12" s="1" t="s">
        <v>9162</v>
      </c>
      <c r="TI12" s="1" t="s">
        <v>9163</v>
      </c>
      <c r="TJ12" s="1" t="s">
        <v>9164</v>
      </c>
      <c r="TK12" s="1" t="s">
        <v>9165</v>
      </c>
      <c r="TL12" s="1" t="s">
        <v>9166</v>
      </c>
      <c r="TM12" s="1" t="s">
        <v>9167</v>
      </c>
      <c r="TN12" s="1" t="s">
        <v>9168</v>
      </c>
      <c r="TO12" s="1" t="s">
        <v>9169</v>
      </c>
      <c r="TP12" s="1" t="s">
        <v>9170</v>
      </c>
      <c r="TQ12" s="1" t="s">
        <v>9171</v>
      </c>
      <c r="TR12" s="1" t="s">
        <v>9172</v>
      </c>
      <c r="TS12" s="1" t="s">
        <v>9173</v>
      </c>
      <c r="TT12" s="1" t="s">
        <v>9174</v>
      </c>
      <c r="TU12" s="1" t="s">
        <v>9175</v>
      </c>
      <c r="TV12" s="1" t="s">
        <v>9176</v>
      </c>
      <c r="TW12" s="1" t="s">
        <v>9177</v>
      </c>
      <c r="TX12" s="1" t="s">
        <v>9178</v>
      </c>
      <c r="TY12" s="1" t="s">
        <v>9179</v>
      </c>
      <c r="TZ12" s="1" t="s">
        <v>9180</v>
      </c>
      <c r="UA12" s="1" t="s">
        <v>9181</v>
      </c>
      <c r="UB12" s="1" t="s">
        <v>9182</v>
      </c>
      <c r="UC12" s="1" t="s">
        <v>9183</v>
      </c>
      <c r="UD12" s="1" t="s">
        <v>9184</v>
      </c>
      <c r="UE12" s="1" t="s">
        <v>9185</v>
      </c>
      <c r="UF12" s="1" t="s">
        <v>9186</v>
      </c>
      <c r="UG12" s="1" t="s">
        <v>9187</v>
      </c>
      <c r="UH12" s="1" t="s">
        <v>9188</v>
      </c>
      <c r="UI12" s="1" t="s">
        <v>9189</v>
      </c>
      <c r="UJ12" s="1" t="s">
        <v>9190</v>
      </c>
      <c r="UK12" s="1" t="s">
        <v>9191</v>
      </c>
      <c r="UL12" s="1" t="s">
        <v>9192</v>
      </c>
      <c r="UM12" s="1" t="s">
        <v>9193</v>
      </c>
      <c r="UN12" s="1" t="s">
        <v>9194</v>
      </c>
      <c r="UO12" s="1" t="s">
        <v>9195</v>
      </c>
      <c r="UP12" s="1" t="s">
        <v>9196</v>
      </c>
      <c r="UQ12" s="1" t="s">
        <v>9197</v>
      </c>
      <c r="UR12" s="1" t="s">
        <v>9198</v>
      </c>
      <c r="US12" s="1" t="s">
        <v>9199</v>
      </c>
      <c r="UT12" s="1" t="s">
        <v>9200</v>
      </c>
      <c r="UU12" s="1" t="s">
        <v>9201</v>
      </c>
      <c r="UV12" s="1" t="s">
        <v>9202</v>
      </c>
      <c r="UW12" s="1" t="s">
        <v>9203</v>
      </c>
      <c r="UX12" s="1" t="s">
        <v>9204</v>
      </c>
      <c r="UY12" s="1" t="s">
        <v>9205</v>
      </c>
      <c r="UZ12" s="1" t="s">
        <v>9206</v>
      </c>
      <c r="VA12" s="1" t="s">
        <v>9207</v>
      </c>
      <c r="VB12" s="1" t="s">
        <v>9208</v>
      </c>
      <c r="VC12" s="1" t="s">
        <v>9209</v>
      </c>
      <c r="VD12" s="1" t="s">
        <v>9210</v>
      </c>
      <c r="VE12" s="1" t="s">
        <v>9211</v>
      </c>
      <c r="VF12" s="1" t="s">
        <v>9212</v>
      </c>
      <c r="VG12" s="1" t="s">
        <v>9213</v>
      </c>
      <c r="VH12" s="1" t="s">
        <v>9214</v>
      </c>
      <c r="VI12" s="1" t="s">
        <v>9215</v>
      </c>
      <c r="VJ12" s="1" t="s">
        <v>9216</v>
      </c>
      <c r="VK12" s="1" t="s">
        <v>9217</v>
      </c>
      <c r="VL12" s="1" t="s">
        <v>9218</v>
      </c>
      <c r="VM12" s="1" t="s">
        <v>9219</v>
      </c>
      <c r="VN12" s="1" t="s">
        <v>9220</v>
      </c>
      <c r="VO12" s="1" t="s">
        <v>9221</v>
      </c>
      <c r="VP12" s="1" t="s">
        <v>9222</v>
      </c>
      <c r="VQ12" s="1" t="s">
        <v>9223</v>
      </c>
      <c r="VR12" s="1" t="s">
        <v>9224</v>
      </c>
      <c r="VS12" s="1" t="s">
        <v>9225</v>
      </c>
      <c r="VT12" s="1" t="s">
        <v>9226</v>
      </c>
      <c r="VU12" s="1" t="s">
        <v>9227</v>
      </c>
      <c r="VV12" s="1" t="s">
        <v>9228</v>
      </c>
      <c r="VW12" s="1" t="s">
        <v>9229</v>
      </c>
      <c r="VX12" s="1" t="s">
        <v>9230</v>
      </c>
      <c r="VY12" s="1" t="s">
        <v>9231</v>
      </c>
      <c r="VZ12" s="1" t="s">
        <v>9232</v>
      </c>
      <c r="WA12" s="1" t="s">
        <v>9233</v>
      </c>
      <c r="WB12" s="1" t="s">
        <v>9234</v>
      </c>
      <c r="WC12" s="1" t="s">
        <v>9235</v>
      </c>
      <c r="WD12" s="1" t="s">
        <v>9236</v>
      </c>
      <c r="WE12" s="1" t="s">
        <v>9237</v>
      </c>
      <c r="WF12" s="1" t="s">
        <v>9238</v>
      </c>
      <c r="WG12" s="1" t="s">
        <v>9239</v>
      </c>
      <c r="WH12" s="1" t="s">
        <v>9240</v>
      </c>
      <c r="WI12" s="1" t="s">
        <v>9241</v>
      </c>
      <c r="WJ12" s="1" t="s">
        <v>9242</v>
      </c>
      <c r="WK12" s="1" t="s">
        <v>9243</v>
      </c>
      <c r="WL12" s="1" t="s">
        <v>9244</v>
      </c>
      <c r="WM12" s="1" t="s">
        <v>9245</v>
      </c>
      <c r="WN12" s="1" t="s">
        <v>9246</v>
      </c>
      <c r="WO12" s="1" t="s">
        <v>9247</v>
      </c>
      <c r="WP12" s="1" t="s">
        <v>9248</v>
      </c>
      <c r="WQ12" s="1" t="s">
        <v>9249</v>
      </c>
      <c r="WR12" s="1" t="s">
        <v>9250</v>
      </c>
      <c r="WS12" s="1" t="s">
        <v>9251</v>
      </c>
      <c r="WT12" s="1" t="s">
        <v>9252</v>
      </c>
      <c r="WU12" s="1" t="s">
        <v>9253</v>
      </c>
      <c r="WV12" s="1" t="s">
        <v>9254</v>
      </c>
      <c r="WW12" s="1" t="s">
        <v>9255</v>
      </c>
      <c r="WX12" s="1" t="s">
        <v>9256</v>
      </c>
      <c r="WY12" s="1" t="s">
        <v>9257</v>
      </c>
      <c r="WZ12" s="1" t="s">
        <v>9258</v>
      </c>
      <c r="XA12" s="1" t="s">
        <v>9259</v>
      </c>
      <c r="XB12" s="1" t="s">
        <v>9260</v>
      </c>
      <c r="XC12" s="1" t="s">
        <v>9261</v>
      </c>
      <c r="XD12" s="1" t="s">
        <v>9262</v>
      </c>
      <c r="XE12" s="1" t="s">
        <v>9263</v>
      </c>
      <c r="XF12" s="1" t="s">
        <v>9264</v>
      </c>
      <c r="XG12" s="1" t="s">
        <v>9265</v>
      </c>
      <c r="XH12" s="1" t="s">
        <v>9266</v>
      </c>
      <c r="XI12" s="1" t="s">
        <v>9267</v>
      </c>
      <c r="XJ12" s="1" t="s">
        <v>9268</v>
      </c>
      <c r="XK12" s="1" t="s">
        <v>9269</v>
      </c>
      <c r="XL12" s="1" t="s">
        <v>9270</v>
      </c>
      <c r="XM12" s="1" t="s">
        <v>9271</v>
      </c>
      <c r="XN12" s="1" t="s">
        <v>9272</v>
      </c>
      <c r="XO12" s="1" t="s">
        <v>9273</v>
      </c>
      <c r="XP12" s="1" t="s">
        <v>9274</v>
      </c>
      <c r="XQ12" s="1" t="s">
        <v>9275</v>
      </c>
      <c r="XR12" s="1" t="s">
        <v>9276</v>
      </c>
      <c r="XS12" s="1" t="s">
        <v>9277</v>
      </c>
      <c r="XT12" s="1" t="s">
        <v>9278</v>
      </c>
      <c r="XU12" s="1" t="s">
        <v>9279</v>
      </c>
      <c r="XV12" s="1" t="s">
        <v>9280</v>
      </c>
      <c r="XW12" s="1" t="s">
        <v>9281</v>
      </c>
      <c r="XX12" s="1" t="s">
        <v>9282</v>
      </c>
      <c r="XY12" s="1" t="s">
        <v>9283</v>
      </c>
      <c r="XZ12" s="1" t="s">
        <v>9284</v>
      </c>
      <c r="YA12" s="1" t="s">
        <v>9285</v>
      </c>
      <c r="YB12" s="1" t="s">
        <v>9286</v>
      </c>
      <c r="YC12" s="1" t="s">
        <v>9287</v>
      </c>
      <c r="YD12" s="1" t="s">
        <v>9288</v>
      </c>
      <c r="YE12" s="1" t="s">
        <v>9289</v>
      </c>
      <c r="YF12" s="1" t="s">
        <v>9290</v>
      </c>
      <c r="YG12" s="1" t="s">
        <v>9291</v>
      </c>
      <c r="YH12" s="1" t="s">
        <v>9292</v>
      </c>
      <c r="YI12" s="1" t="s">
        <v>9293</v>
      </c>
      <c r="YJ12" s="1" t="s">
        <v>9294</v>
      </c>
      <c r="YK12" s="1" t="s">
        <v>9295</v>
      </c>
      <c r="YL12" s="1" t="s">
        <v>9296</v>
      </c>
      <c r="YM12" s="1" t="s">
        <v>9297</v>
      </c>
      <c r="YN12" s="1" t="s">
        <v>9298</v>
      </c>
      <c r="YO12" s="1" t="s">
        <v>9299</v>
      </c>
      <c r="YP12" s="1" t="s">
        <v>9300</v>
      </c>
      <c r="YQ12" s="1" t="s">
        <v>9301</v>
      </c>
      <c r="YR12" s="1" t="s">
        <v>9302</v>
      </c>
      <c r="YS12" s="1" t="s">
        <v>9303</v>
      </c>
      <c r="YT12" s="1" t="s">
        <v>9304</v>
      </c>
      <c r="YU12" s="1" t="s">
        <v>9305</v>
      </c>
      <c r="YV12" s="1" t="s">
        <v>9306</v>
      </c>
      <c r="YW12" s="1" t="s">
        <v>9307</v>
      </c>
      <c r="YX12" s="1" t="s">
        <v>9308</v>
      </c>
      <c r="YY12" s="1" t="s">
        <v>9309</v>
      </c>
      <c r="YZ12" s="1" t="s">
        <v>9310</v>
      </c>
      <c r="ZA12" s="1" t="s">
        <v>9311</v>
      </c>
      <c r="ZB12" s="1" t="s">
        <v>9312</v>
      </c>
      <c r="ZC12" s="1" t="s">
        <v>9313</v>
      </c>
      <c r="ZD12" s="1" t="s">
        <v>9314</v>
      </c>
      <c r="ZE12" s="1" t="s">
        <v>9315</v>
      </c>
      <c r="ZF12" s="1" t="s">
        <v>9316</v>
      </c>
      <c r="ZG12" s="1" t="s">
        <v>9317</v>
      </c>
      <c r="ZH12" s="1" t="s">
        <v>9318</v>
      </c>
      <c r="ZI12" s="1" t="s">
        <v>9319</v>
      </c>
      <c r="ZJ12" s="1" t="s">
        <v>9320</v>
      </c>
      <c r="ZK12" s="1" t="s">
        <v>9321</v>
      </c>
      <c r="ZL12" s="1" t="s">
        <v>9322</v>
      </c>
      <c r="ZM12" s="1" t="s">
        <v>9323</v>
      </c>
      <c r="ZN12" s="1" t="s">
        <v>9324</v>
      </c>
      <c r="ZO12" s="1" t="s">
        <v>9325</v>
      </c>
      <c r="ZP12" s="1" t="s">
        <v>9326</v>
      </c>
      <c r="ZQ12" s="1" t="s">
        <v>9327</v>
      </c>
      <c r="ZR12" s="1" t="s">
        <v>9328</v>
      </c>
      <c r="ZS12" s="1" t="s">
        <v>9329</v>
      </c>
      <c r="ZT12" s="1" t="s">
        <v>9330</v>
      </c>
      <c r="ZU12" s="1" t="s">
        <v>9331</v>
      </c>
      <c r="ZV12" s="1" t="s">
        <v>9332</v>
      </c>
      <c r="ZW12" s="1" t="s">
        <v>9333</v>
      </c>
      <c r="ZX12" s="1" t="s">
        <v>9334</v>
      </c>
      <c r="ZY12" s="1" t="s">
        <v>9335</v>
      </c>
      <c r="ZZ12" s="1" t="s">
        <v>9336</v>
      </c>
      <c r="AAA12" s="1" t="s">
        <v>9337</v>
      </c>
      <c r="AAB12" s="1" t="s">
        <v>9338</v>
      </c>
      <c r="AAC12" s="1" t="s">
        <v>9339</v>
      </c>
      <c r="AAD12" s="1" t="s">
        <v>9340</v>
      </c>
      <c r="AAE12" s="1" t="s">
        <v>9341</v>
      </c>
      <c r="AAF12" s="1" t="s">
        <v>9342</v>
      </c>
      <c r="AAG12" s="1" t="s">
        <v>9343</v>
      </c>
      <c r="AAH12" s="1" t="s">
        <v>9344</v>
      </c>
      <c r="AAI12" s="1" t="s">
        <v>9345</v>
      </c>
      <c r="AAJ12" s="1" t="s">
        <v>9346</v>
      </c>
      <c r="AAK12" s="1" t="s">
        <v>9347</v>
      </c>
      <c r="AAL12" s="1" t="s">
        <v>9348</v>
      </c>
      <c r="AAM12" s="1" t="s">
        <v>9349</v>
      </c>
      <c r="AAN12" s="1" t="s">
        <v>9350</v>
      </c>
      <c r="AAO12" s="1" t="s">
        <v>9351</v>
      </c>
      <c r="AAP12" s="1" t="s">
        <v>9352</v>
      </c>
      <c r="AAQ12" s="1" t="s">
        <v>9353</v>
      </c>
      <c r="AAR12" s="1" t="s">
        <v>9354</v>
      </c>
      <c r="AAS12" s="1" t="s">
        <v>9355</v>
      </c>
      <c r="AAT12" s="1" t="s">
        <v>9356</v>
      </c>
      <c r="AAU12" s="1" t="s">
        <v>9357</v>
      </c>
      <c r="AAV12" s="1" t="s">
        <v>9358</v>
      </c>
      <c r="AAW12" s="1" t="s">
        <v>9359</v>
      </c>
      <c r="AAX12" s="1" t="s">
        <v>9360</v>
      </c>
      <c r="AAY12" s="1" t="s">
        <v>9361</v>
      </c>
      <c r="AAZ12" s="1" t="s">
        <v>9362</v>
      </c>
      <c r="ABA12" s="1" t="s">
        <v>9363</v>
      </c>
      <c r="ABB12" s="1" t="s">
        <v>9364</v>
      </c>
      <c r="ABC12" s="1" t="s">
        <v>9365</v>
      </c>
      <c r="ABD12" s="1" t="s">
        <v>9366</v>
      </c>
      <c r="ABE12" s="1" t="s">
        <v>9367</v>
      </c>
      <c r="ABF12" s="1" t="s">
        <v>9368</v>
      </c>
      <c r="ABG12" s="1" t="s">
        <v>9369</v>
      </c>
      <c r="ABH12" s="1" t="s">
        <v>9370</v>
      </c>
      <c r="ABI12" s="1" t="s">
        <v>9371</v>
      </c>
      <c r="ABJ12" s="1" t="s">
        <v>9372</v>
      </c>
      <c r="ABK12" s="1" t="s">
        <v>9373</v>
      </c>
      <c r="ABL12" s="1" t="s">
        <v>9374</v>
      </c>
      <c r="ABM12" s="1" t="s">
        <v>9375</v>
      </c>
      <c r="ABN12" s="1" t="s">
        <v>9376</v>
      </c>
      <c r="ABO12" s="1" t="s">
        <v>9377</v>
      </c>
      <c r="ABP12" s="1" t="s">
        <v>9378</v>
      </c>
      <c r="ABQ12" s="1" t="s">
        <v>9379</v>
      </c>
      <c r="ABR12" s="1" t="s">
        <v>9380</v>
      </c>
      <c r="ABS12" s="1" t="s">
        <v>9381</v>
      </c>
      <c r="ABT12" s="1" t="s">
        <v>9382</v>
      </c>
      <c r="ABU12" s="1" t="s">
        <v>9383</v>
      </c>
      <c r="ABV12" s="1" t="s">
        <v>9384</v>
      </c>
      <c r="ABW12" s="1" t="s">
        <v>9385</v>
      </c>
      <c r="ABX12" s="1" t="s">
        <v>9386</v>
      </c>
      <c r="ABY12" s="1" t="s">
        <v>9387</v>
      </c>
      <c r="ABZ12" s="1" t="s">
        <v>9388</v>
      </c>
      <c r="ACA12" s="1" t="s">
        <v>9389</v>
      </c>
      <c r="ACB12" s="1" t="s">
        <v>9390</v>
      </c>
      <c r="ACC12" s="1" t="s">
        <v>9391</v>
      </c>
      <c r="ACD12" s="1" t="s">
        <v>9392</v>
      </c>
      <c r="ACE12" s="1" t="s">
        <v>9393</v>
      </c>
      <c r="ACF12" s="1" t="s">
        <v>9394</v>
      </c>
      <c r="ACG12" s="1" t="s">
        <v>9395</v>
      </c>
      <c r="ACH12" s="1" t="s">
        <v>9396</v>
      </c>
      <c r="ACI12" s="1" t="s">
        <v>9397</v>
      </c>
      <c r="ACJ12" s="1" t="s">
        <v>9398</v>
      </c>
      <c r="ACK12" s="1" t="s">
        <v>9399</v>
      </c>
      <c r="ACL12" s="1" t="s">
        <v>9400</v>
      </c>
      <c r="ACM12" s="1" t="s">
        <v>9401</v>
      </c>
      <c r="ACN12" s="1" t="s">
        <v>9402</v>
      </c>
      <c r="ACO12" s="1" t="s">
        <v>9403</v>
      </c>
      <c r="ACP12" s="1" t="s">
        <v>9404</v>
      </c>
      <c r="ACQ12" s="1" t="s">
        <v>9405</v>
      </c>
      <c r="ACR12" s="1" t="s">
        <v>9406</v>
      </c>
      <c r="ACS12" s="1" t="s">
        <v>9407</v>
      </c>
      <c r="ACT12" s="1" t="s">
        <v>9408</v>
      </c>
      <c r="ACU12" s="1" t="s">
        <v>9409</v>
      </c>
      <c r="ACV12" s="1" t="s">
        <v>9410</v>
      </c>
      <c r="ACW12" s="1" t="s">
        <v>6</v>
      </c>
      <c r="ACX12" s="1" t="s">
        <v>1501</v>
      </c>
    </row>
    <row r="13" spans="1:778" x14ac:dyDescent="0.2">
      <c r="A13" s="1" t="s">
        <v>70</v>
      </c>
      <c r="B13" s="1" t="s">
        <v>9411</v>
      </c>
      <c r="C13" s="1" t="s">
        <v>9412</v>
      </c>
      <c r="D13" s="1" t="s">
        <v>9413</v>
      </c>
      <c r="E13" s="1" t="s">
        <v>9414</v>
      </c>
      <c r="F13" s="1" t="s">
        <v>9415</v>
      </c>
      <c r="G13" s="1" t="s">
        <v>9416</v>
      </c>
      <c r="H13" s="1" t="s">
        <v>9417</v>
      </c>
      <c r="I13" s="1" t="s">
        <v>9418</v>
      </c>
      <c r="J13" s="1" t="s">
        <v>9419</v>
      </c>
      <c r="K13" s="1" t="s">
        <v>9420</v>
      </c>
      <c r="L13" s="1" t="s">
        <v>9421</v>
      </c>
      <c r="M13" s="1" t="s">
        <v>9422</v>
      </c>
      <c r="N13" s="1" t="s">
        <v>9423</v>
      </c>
      <c r="O13" s="1" t="s">
        <v>9424</v>
      </c>
      <c r="P13" s="1" t="s">
        <v>9425</v>
      </c>
      <c r="Q13" s="1" t="s">
        <v>9426</v>
      </c>
      <c r="R13" s="1" t="s">
        <v>9427</v>
      </c>
      <c r="S13" s="1" t="s">
        <v>9428</v>
      </c>
      <c r="T13" s="1" t="s">
        <v>9429</v>
      </c>
      <c r="U13" s="1" t="s">
        <v>9430</v>
      </c>
      <c r="V13" s="1" t="s">
        <v>9431</v>
      </c>
      <c r="W13" s="1" t="s">
        <v>9432</v>
      </c>
      <c r="X13" s="1" t="s">
        <v>9433</v>
      </c>
      <c r="Y13" s="1" t="s">
        <v>9434</v>
      </c>
      <c r="Z13" s="1" t="s">
        <v>9435</v>
      </c>
      <c r="AA13" s="1" t="s">
        <v>9436</v>
      </c>
      <c r="AB13" s="1" t="s">
        <v>9437</v>
      </c>
      <c r="AC13" s="1" t="s">
        <v>9438</v>
      </c>
      <c r="AD13" s="1" t="s">
        <v>9439</v>
      </c>
      <c r="AE13" s="1" t="s">
        <v>9440</v>
      </c>
      <c r="AF13" s="1" t="s">
        <v>9441</v>
      </c>
      <c r="AG13" s="1" t="s">
        <v>9442</v>
      </c>
      <c r="AH13" s="1" t="s">
        <v>9443</v>
      </c>
      <c r="AI13" s="1" t="s">
        <v>9444</v>
      </c>
      <c r="AJ13" s="1" t="s">
        <v>9445</v>
      </c>
      <c r="AK13" s="1" t="s">
        <v>9446</v>
      </c>
      <c r="AL13" s="1" t="s">
        <v>9447</v>
      </c>
      <c r="AM13" s="1" t="s">
        <v>9448</v>
      </c>
      <c r="AN13" s="1" t="s">
        <v>9449</v>
      </c>
      <c r="AO13" s="1" t="s">
        <v>9450</v>
      </c>
      <c r="AP13" s="1" t="s">
        <v>9451</v>
      </c>
      <c r="AQ13" s="1" t="s">
        <v>9452</v>
      </c>
      <c r="AR13" s="1" t="s">
        <v>9453</v>
      </c>
      <c r="AS13" s="1" t="s">
        <v>9454</v>
      </c>
      <c r="AT13" s="1" t="s">
        <v>9455</v>
      </c>
      <c r="AU13" s="1" t="s">
        <v>9456</v>
      </c>
      <c r="AV13" s="1" t="s">
        <v>9457</v>
      </c>
      <c r="AW13" s="1" t="s">
        <v>9458</v>
      </c>
      <c r="AX13" s="1" t="s">
        <v>9459</v>
      </c>
      <c r="AY13" s="1" t="s">
        <v>9460</v>
      </c>
      <c r="AZ13" s="1" t="s">
        <v>9461</v>
      </c>
      <c r="BA13" s="1" t="s">
        <v>9462</v>
      </c>
      <c r="BB13" s="1" t="s">
        <v>9463</v>
      </c>
      <c r="BC13" s="1" t="s">
        <v>9464</v>
      </c>
      <c r="BD13" s="1" t="s">
        <v>9465</v>
      </c>
      <c r="BE13" s="1" t="s">
        <v>9466</v>
      </c>
      <c r="BF13" s="1" t="s">
        <v>9467</v>
      </c>
      <c r="BG13" s="1" t="s">
        <v>9468</v>
      </c>
      <c r="BH13" s="1" t="s">
        <v>9469</v>
      </c>
      <c r="BI13" s="1" t="s">
        <v>9470</v>
      </c>
      <c r="BJ13" s="1" t="s">
        <v>9471</v>
      </c>
      <c r="BK13" s="1" t="s">
        <v>9472</v>
      </c>
      <c r="BL13" s="1" t="s">
        <v>9473</v>
      </c>
      <c r="BM13" s="1" t="s">
        <v>9474</v>
      </c>
      <c r="BN13" s="1" t="s">
        <v>9475</v>
      </c>
      <c r="BO13" s="1" t="s">
        <v>9476</v>
      </c>
      <c r="BP13" s="1" t="s">
        <v>9477</v>
      </c>
      <c r="BQ13" s="1" t="s">
        <v>9478</v>
      </c>
      <c r="BR13" s="1" t="s">
        <v>9479</v>
      </c>
      <c r="BS13" s="1" t="s">
        <v>9480</v>
      </c>
      <c r="BT13" s="1" t="s">
        <v>9481</v>
      </c>
      <c r="BU13" s="1" t="s">
        <v>9482</v>
      </c>
      <c r="BV13" s="1" t="s">
        <v>9483</v>
      </c>
      <c r="BW13" s="1" t="s">
        <v>9484</v>
      </c>
      <c r="BX13" s="1" t="s">
        <v>9485</v>
      </c>
      <c r="BY13" s="1" t="s">
        <v>9486</v>
      </c>
      <c r="BZ13" s="1" t="s">
        <v>9487</v>
      </c>
      <c r="CA13" s="1" t="s">
        <v>9488</v>
      </c>
      <c r="CB13" s="1" t="s">
        <v>9489</v>
      </c>
      <c r="CC13" s="1" t="s">
        <v>9490</v>
      </c>
      <c r="CD13" s="1" t="s">
        <v>9491</v>
      </c>
      <c r="CE13" s="1" t="s">
        <v>9492</v>
      </c>
      <c r="CF13" s="1" t="s">
        <v>9493</v>
      </c>
      <c r="CG13" s="1" t="s">
        <v>9494</v>
      </c>
      <c r="CH13" s="1" t="s">
        <v>9495</v>
      </c>
      <c r="CI13" s="1" t="s">
        <v>9496</v>
      </c>
      <c r="CJ13" s="1" t="s">
        <v>9497</v>
      </c>
      <c r="CK13" s="1" t="s">
        <v>9498</v>
      </c>
      <c r="CL13" s="1" t="s">
        <v>9499</v>
      </c>
      <c r="CM13" s="1" t="s">
        <v>9500</v>
      </c>
      <c r="CN13" s="1" t="s">
        <v>9501</v>
      </c>
      <c r="CO13" s="1" t="s">
        <v>9502</v>
      </c>
      <c r="CP13" s="1" t="s">
        <v>9503</v>
      </c>
      <c r="CQ13" s="1" t="s">
        <v>9504</v>
      </c>
      <c r="CR13" s="1" t="s">
        <v>9505</v>
      </c>
      <c r="CS13" s="1" t="s">
        <v>9506</v>
      </c>
      <c r="CT13" s="1" t="s">
        <v>9507</v>
      </c>
      <c r="CU13" s="1" t="s">
        <v>9508</v>
      </c>
      <c r="CV13" s="1" t="s">
        <v>9509</v>
      </c>
      <c r="CW13" s="1" t="s">
        <v>9510</v>
      </c>
      <c r="CX13" s="1" t="s">
        <v>9511</v>
      </c>
      <c r="CY13" s="1" t="s">
        <v>9512</v>
      </c>
      <c r="CZ13" s="1" t="s">
        <v>9513</v>
      </c>
      <c r="DA13" s="1" t="s">
        <v>9514</v>
      </c>
      <c r="DB13" s="1" t="s">
        <v>9515</v>
      </c>
      <c r="DC13" s="1" t="s">
        <v>9516</v>
      </c>
      <c r="DD13" s="1" t="s">
        <v>9517</v>
      </c>
      <c r="DE13" s="1" t="s">
        <v>9518</v>
      </c>
      <c r="DF13" s="1" t="s">
        <v>9519</v>
      </c>
      <c r="DG13" s="1" t="s">
        <v>9520</v>
      </c>
      <c r="DH13" s="1" t="s">
        <v>9521</v>
      </c>
      <c r="DI13" s="1" t="s">
        <v>9522</v>
      </c>
      <c r="DJ13" s="1" t="s">
        <v>9523</v>
      </c>
      <c r="DK13" s="1" t="s">
        <v>9524</v>
      </c>
      <c r="DL13" s="1" t="s">
        <v>9525</v>
      </c>
      <c r="DM13" s="1" t="s">
        <v>9526</v>
      </c>
      <c r="DN13" s="1" t="s">
        <v>9527</v>
      </c>
      <c r="DO13" s="1" t="s">
        <v>9528</v>
      </c>
      <c r="DP13" s="1" t="s">
        <v>9529</v>
      </c>
      <c r="DQ13" s="1" t="s">
        <v>9530</v>
      </c>
      <c r="DR13" s="1" t="s">
        <v>9531</v>
      </c>
      <c r="DS13" s="1" t="s">
        <v>9532</v>
      </c>
      <c r="DT13" s="1" t="s">
        <v>9533</v>
      </c>
      <c r="DU13" s="1" t="s">
        <v>9534</v>
      </c>
      <c r="DV13" s="1" t="s">
        <v>9535</v>
      </c>
      <c r="DW13" s="1" t="s">
        <v>9536</v>
      </c>
      <c r="DX13" s="1" t="s">
        <v>9537</v>
      </c>
      <c r="DY13" s="1" t="s">
        <v>9538</v>
      </c>
      <c r="DZ13" s="1" t="s">
        <v>9539</v>
      </c>
      <c r="EA13" s="1" t="s">
        <v>9540</v>
      </c>
      <c r="EB13" s="1" t="s">
        <v>9541</v>
      </c>
      <c r="EC13" s="1" t="s">
        <v>9542</v>
      </c>
      <c r="ED13" s="1" t="s">
        <v>9543</v>
      </c>
      <c r="EE13" s="1" t="s">
        <v>9544</v>
      </c>
      <c r="EF13" s="1" t="s">
        <v>9545</v>
      </c>
      <c r="EG13" s="1" t="s">
        <v>9546</v>
      </c>
      <c r="EH13" s="1" t="s">
        <v>9547</v>
      </c>
      <c r="EI13" s="1" t="s">
        <v>9548</v>
      </c>
      <c r="EJ13" s="1" t="s">
        <v>9549</v>
      </c>
      <c r="EK13" s="1" t="s">
        <v>9550</v>
      </c>
      <c r="EL13" s="1" t="s">
        <v>9551</v>
      </c>
      <c r="EM13" s="1" t="s">
        <v>9552</v>
      </c>
      <c r="EN13" s="1" t="s">
        <v>9553</v>
      </c>
      <c r="EO13" s="1" t="s">
        <v>9554</v>
      </c>
      <c r="EP13" s="1" t="s">
        <v>9555</v>
      </c>
      <c r="EQ13" s="1" t="s">
        <v>9556</v>
      </c>
      <c r="ER13" s="1" t="s">
        <v>9557</v>
      </c>
      <c r="ES13" s="1" t="s">
        <v>9558</v>
      </c>
      <c r="ET13" s="1" t="s">
        <v>9559</v>
      </c>
      <c r="EU13" s="1" t="s">
        <v>9560</v>
      </c>
      <c r="EV13" s="1" t="s">
        <v>9561</v>
      </c>
      <c r="EW13" s="1" t="s">
        <v>9562</v>
      </c>
      <c r="EX13" s="1" t="s">
        <v>9563</v>
      </c>
      <c r="EY13" s="1" t="s">
        <v>9564</v>
      </c>
      <c r="EZ13" s="1" t="s">
        <v>9565</v>
      </c>
      <c r="FA13" s="1" t="s">
        <v>9566</v>
      </c>
      <c r="FB13" s="1" t="s">
        <v>9567</v>
      </c>
      <c r="FC13" s="1" t="s">
        <v>9568</v>
      </c>
      <c r="FD13" s="1" t="s">
        <v>9569</v>
      </c>
      <c r="FE13" s="1" t="s">
        <v>9570</v>
      </c>
      <c r="FF13" s="1" t="s">
        <v>9571</v>
      </c>
      <c r="FG13" s="1" t="s">
        <v>9572</v>
      </c>
      <c r="FH13" s="1" t="s">
        <v>9573</v>
      </c>
      <c r="FI13" s="1" t="s">
        <v>9574</v>
      </c>
      <c r="FJ13" s="1" t="s">
        <v>9575</v>
      </c>
      <c r="FK13" s="1" t="s">
        <v>9576</v>
      </c>
      <c r="FL13" s="1" t="s">
        <v>9577</v>
      </c>
      <c r="FM13" s="1" t="s">
        <v>9578</v>
      </c>
      <c r="FN13" s="1" t="s">
        <v>9579</v>
      </c>
      <c r="FO13" s="1" t="s">
        <v>9580</v>
      </c>
      <c r="FP13" s="1" t="s">
        <v>9581</v>
      </c>
      <c r="FQ13" s="1" t="s">
        <v>9582</v>
      </c>
      <c r="FR13" s="1" t="s">
        <v>9583</v>
      </c>
      <c r="FS13" s="1" t="s">
        <v>9584</v>
      </c>
      <c r="FT13" s="1" t="s">
        <v>9585</v>
      </c>
      <c r="FU13" s="1" t="s">
        <v>9586</v>
      </c>
      <c r="FV13" s="1" t="s">
        <v>9587</v>
      </c>
      <c r="FW13" s="1" t="s">
        <v>9588</v>
      </c>
      <c r="FX13" s="1" t="s">
        <v>9589</v>
      </c>
      <c r="FY13" s="1" t="s">
        <v>9590</v>
      </c>
      <c r="FZ13" s="1" t="s">
        <v>9591</v>
      </c>
      <c r="GA13" s="1" t="s">
        <v>9592</v>
      </c>
      <c r="GB13" s="1" t="s">
        <v>9593</v>
      </c>
      <c r="GC13" s="1" t="s">
        <v>9594</v>
      </c>
      <c r="GD13" s="1" t="s">
        <v>9595</v>
      </c>
      <c r="GE13" s="1" t="s">
        <v>9596</v>
      </c>
      <c r="GF13" s="1" t="s">
        <v>9597</v>
      </c>
      <c r="GG13" s="1" t="s">
        <v>9598</v>
      </c>
      <c r="GH13" s="1" t="s">
        <v>9599</v>
      </c>
      <c r="GI13" s="1" t="s">
        <v>9600</v>
      </c>
      <c r="GJ13" s="1" t="s">
        <v>9601</v>
      </c>
      <c r="GK13" s="1" t="s">
        <v>9602</v>
      </c>
      <c r="GL13" s="1" t="s">
        <v>9603</v>
      </c>
      <c r="GM13" s="1" t="s">
        <v>9604</v>
      </c>
      <c r="GN13" s="1" t="s">
        <v>9605</v>
      </c>
      <c r="GO13" s="1" t="s">
        <v>9606</v>
      </c>
      <c r="GP13" s="1" t="s">
        <v>9607</v>
      </c>
      <c r="GQ13" s="1" t="s">
        <v>9608</v>
      </c>
      <c r="GR13" s="1" t="s">
        <v>9609</v>
      </c>
      <c r="GS13" s="1" t="s">
        <v>9610</v>
      </c>
      <c r="GT13" s="1" t="s">
        <v>9611</v>
      </c>
      <c r="GU13" s="1" t="s">
        <v>9612</v>
      </c>
      <c r="GV13" s="1" t="s">
        <v>9613</v>
      </c>
      <c r="GW13" s="1" t="s">
        <v>9614</v>
      </c>
      <c r="GX13" s="1" t="s">
        <v>9615</v>
      </c>
      <c r="GY13" s="1" t="s">
        <v>9616</v>
      </c>
      <c r="GZ13" s="1" t="s">
        <v>9617</v>
      </c>
      <c r="HA13" s="1" t="s">
        <v>9618</v>
      </c>
      <c r="HB13" s="1" t="s">
        <v>9619</v>
      </c>
      <c r="HC13" s="1" t="s">
        <v>9620</v>
      </c>
      <c r="HD13" s="1" t="s">
        <v>9621</v>
      </c>
      <c r="HE13" s="1" t="s">
        <v>9622</v>
      </c>
      <c r="HF13" s="1" t="s">
        <v>9623</v>
      </c>
      <c r="HG13" s="1" t="s">
        <v>9624</v>
      </c>
      <c r="HH13" s="1" t="s">
        <v>9625</v>
      </c>
      <c r="HI13" s="1" t="s">
        <v>9626</v>
      </c>
      <c r="HJ13" s="1" t="s">
        <v>9627</v>
      </c>
      <c r="HK13" s="1" t="s">
        <v>9628</v>
      </c>
      <c r="HL13" s="1" t="s">
        <v>9629</v>
      </c>
      <c r="HM13" s="1" t="s">
        <v>9630</v>
      </c>
      <c r="HN13" s="1" t="s">
        <v>9631</v>
      </c>
      <c r="HO13" s="1" t="s">
        <v>9632</v>
      </c>
      <c r="HP13" s="1" t="s">
        <v>9633</v>
      </c>
      <c r="HQ13" s="1" t="s">
        <v>9634</v>
      </c>
      <c r="HR13" s="1" t="s">
        <v>9635</v>
      </c>
      <c r="HS13" s="1" t="s">
        <v>9636</v>
      </c>
      <c r="HT13" s="1" t="s">
        <v>9637</v>
      </c>
      <c r="HU13" s="1" t="s">
        <v>9638</v>
      </c>
      <c r="HV13" s="1" t="s">
        <v>9639</v>
      </c>
      <c r="HW13" s="1" t="s">
        <v>9640</v>
      </c>
      <c r="HX13" s="1" t="s">
        <v>9641</v>
      </c>
      <c r="HY13" s="1" t="s">
        <v>9642</v>
      </c>
      <c r="HZ13" s="1" t="s">
        <v>9643</v>
      </c>
      <c r="IA13" s="1" t="s">
        <v>9644</v>
      </c>
      <c r="IB13" s="1" t="s">
        <v>9645</v>
      </c>
      <c r="IC13" s="1" t="s">
        <v>9646</v>
      </c>
      <c r="ID13" s="1" t="s">
        <v>9647</v>
      </c>
      <c r="IE13" s="1" t="s">
        <v>9648</v>
      </c>
      <c r="IF13" s="1" t="s">
        <v>9649</v>
      </c>
      <c r="IG13" s="1" t="s">
        <v>9650</v>
      </c>
      <c r="IH13" s="1" t="s">
        <v>9651</v>
      </c>
      <c r="II13" s="1" t="s">
        <v>9652</v>
      </c>
      <c r="IJ13" s="1" t="s">
        <v>9653</v>
      </c>
      <c r="IK13" s="1" t="s">
        <v>9654</v>
      </c>
      <c r="IL13" s="1" t="s">
        <v>9655</v>
      </c>
      <c r="IM13" s="1" t="s">
        <v>9656</v>
      </c>
      <c r="IN13" s="1" t="s">
        <v>9657</v>
      </c>
      <c r="IO13" s="1" t="s">
        <v>9658</v>
      </c>
      <c r="IP13" s="1" t="s">
        <v>9659</v>
      </c>
      <c r="IQ13" s="1" t="s">
        <v>9660</v>
      </c>
      <c r="IR13" s="1" t="s">
        <v>9661</v>
      </c>
      <c r="IS13" s="1" t="s">
        <v>9662</v>
      </c>
      <c r="IT13" s="1" t="s">
        <v>9663</v>
      </c>
      <c r="IU13" s="1" t="s">
        <v>9664</v>
      </c>
      <c r="IV13" s="1" t="s">
        <v>9665</v>
      </c>
      <c r="IW13" s="1" t="s">
        <v>9666</v>
      </c>
      <c r="IX13" s="1" t="s">
        <v>9667</v>
      </c>
      <c r="IY13" s="1" t="s">
        <v>9668</v>
      </c>
      <c r="IZ13" s="1" t="s">
        <v>9669</v>
      </c>
      <c r="JA13" s="1" t="s">
        <v>9670</v>
      </c>
      <c r="JB13" s="1" t="s">
        <v>9671</v>
      </c>
      <c r="JC13" s="1" t="s">
        <v>9672</v>
      </c>
      <c r="JD13" s="1" t="s">
        <v>9673</v>
      </c>
      <c r="JE13" s="1" t="s">
        <v>9674</v>
      </c>
      <c r="JF13" s="1" t="s">
        <v>9675</v>
      </c>
      <c r="JG13" s="1" t="s">
        <v>9676</v>
      </c>
      <c r="JH13" s="1" t="s">
        <v>9677</v>
      </c>
      <c r="JI13" s="1" t="s">
        <v>9678</v>
      </c>
      <c r="JJ13" s="1" t="s">
        <v>9679</v>
      </c>
      <c r="JK13" s="1" t="s">
        <v>9680</v>
      </c>
      <c r="JL13" s="1" t="s">
        <v>9681</v>
      </c>
      <c r="JM13" s="1" t="s">
        <v>9682</v>
      </c>
      <c r="JN13" s="1" t="s">
        <v>9683</v>
      </c>
      <c r="JO13" s="1" t="s">
        <v>9684</v>
      </c>
      <c r="JP13" s="1" t="s">
        <v>9685</v>
      </c>
      <c r="JQ13" s="1" t="s">
        <v>9686</v>
      </c>
      <c r="JR13" s="1" t="s">
        <v>9687</v>
      </c>
      <c r="JS13" s="1" t="s">
        <v>9688</v>
      </c>
      <c r="JT13" s="1" t="s">
        <v>9689</v>
      </c>
      <c r="JU13" s="1" t="s">
        <v>9690</v>
      </c>
      <c r="JV13" s="1" t="s">
        <v>9691</v>
      </c>
      <c r="JW13" s="1" t="s">
        <v>9692</v>
      </c>
      <c r="JX13" s="1" t="s">
        <v>9693</v>
      </c>
      <c r="JY13" s="1" t="s">
        <v>9694</v>
      </c>
      <c r="JZ13" s="1" t="s">
        <v>9695</v>
      </c>
      <c r="KA13" s="1" t="s">
        <v>9696</v>
      </c>
      <c r="KB13" s="1" t="s">
        <v>9697</v>
      </c>
      <c r="KC13" s="1" t="s">
        <v>9698</v>
      </c>
      <c r="KD13" s="1" t="s">
        <v>9699</v>
      </c>
      <c r="KE13" s="1" t="s">
        <v>9700</v>
      </c>
      <c r="KF13" s="1" t="s">
        <v>9701</v>
      </c>
      <c r="KG13" s="1" t="s">
        <v>9702</v>
      </c>
      <c r="KH13" s="1" t="s">
        <v>9703</v>
      </c>
      <c r="KI13" s="1" t="s">
        <v>9704</v>
      </c>
      <c r="KJ13" s="1" t="s">
        <v>9705</v>
      </c>
      <c r="KK13" s="1" t="s">
        <v>9706</v>
      </c>
      <c r="KL13" s="1" t="s">
        <v>9707</v>
      </c>
      <c r="KM13" s="1" t="s">
        <v>9708</v>
      </c>
      <c r="KN13" s="1" t="s">
        <v>9709</v>
      </c>
      <c r="KO13" s="1" t="s">
        <v>9710</v>
      </c>
      <c r="KP13" s="1" t="s">
        <v>9711</v>
      </c>
      <c r="KQ13" s="1" t="s">
        <v>9712</v>
      </c>
      <c r="KR13" s="1" t="s">
        <v>9713</v>
      </c>
      <c r="KS13" s="1" t="s">
        <v>9714</v>
      </c>
      <c r="KT13" s="1" t="s">
        <v>9715</v>
      </c>
      <c r="KU13" s="1" t="s">
        <v>9716</v>
      </c>
      <c r="KV13" s="1" t="s">
        <v>9717</v>
      </c>
      <c r="KW13" s="1" t="s">
        <v>9718</v>
      </c>
      <c r="KX13" s="1" t="s">
        <v>9719</v>
      </c>
      <c r="KY13" s="1" t="s">
        <v>9720</v>
      </c>
      <c r="KZ13" s="1" t="s">
        <v>9721</v>
      </c>
      <c r="LA13" s="1" t="s">
        <v>9722</v>
      </c>
      <c r="LB13" s="1" t="s">
        <v>9723</v>
      </c>
      <c r="LC13" s="1" t="s">
        <v>9724</v>
      </c>
      <c r="LD13" s="1" t="s">
        <v>9725</v>
      </c>
      <c r="LE13" s="1" t="s">
        <v>9726</v>
      </c>
      <c r="LF13" s="1" t="s">
        <v>9727</v>
      </c>
      <c r="LG13" s="1" t="s">
        <v>9728</v>
      </c>
      <c r="LH13" s="1" t="s">
        <v>9729</v>
      </c>
      <c r="LI13" s="1" t="s">
        <v>9730</v>
      </c>
      <c r="LJ13" s="1" t="s">
        <v>9731</v>
      </c>
      <c r="LK13" s="1" t="s">
        <v>9732</v>
      </c>
      <c r="LL13" s="1" t="s">
        <v>9733</v>
      </c>
      <c r="LM13" s="1" t="s">
        <v>9734</v>
      </c>
      <c r="LN13" s="1" t="s">
        <v>9735</v>
      </c>
      <c r="LO13" s="1" t="s">
        <v>9736</v>
      </c>
      <c r="LP13" s="1" t="s">
        <v>9737</v>
      </c>
      <c r="LQ13" s="1" t="s">
        <v>9738</v>
      </c>
      <c r="LR13" s="1" t="s">
        <v>9739</v>
      </c>
      <c r="LS13" s="1" t="s">
        <v>9740</v>
      </c>
      <c r="LT13" s="1" t="s">
        <v>9741</v>
      </c>
      <c r="LU13" s="1" t="s">
        <v>9742</v>
      </c>
      <c r="LV13" s="1" t="s">
        <v>9743</v>
      </c>
      <c r="LW13" s="1" t="s">
        <v>9744</v>
      </c>
      <c r="LX13" s="1" t="s">
        <v>9745</v>
      </c>
      <c r="LY13" s="1" t="s">
        <v>9746</v>
      </c>
      <c r="LZ13" s="1" t="s">
        <v>9747</v>
      </c>
      <c r="MA13" s="1" t="s">
        <v>9748</v>
      </c>
      <c r="MB13" s="1" t="s">
        <v>9749</v>
      </c>
      <c r="MC13" s="1" t="s">
        <v>9750</v>
      </c>
      <c r="MD13" s="1" t="s">
        <v>9751</v>
      </c>
      <c r="ME13" s="1" t="s">
        <v>9752</v>
      </c>
      <c r="MF13" s="1" t="s">
        <v>9753</v>
      </c>
      <c r="MG13" s="1" t="s">
        <v>9754</v>
      </c>
      <c r="MH13" s="1" t="s">
        <v>9755</v>
      </c>
      <c r="MI13" s="1" t="s">
        <v>9756</v>
      </c>
      <c r="MJ13" s="1" t="s">
        <v>9757</v>
      </c>
      <c r="MK13" s="1" t="s">
        <v>9758</v>
      </c>
      <c r="ML13" s="1" t="s">
        <v>9759</v>
      </c>
      <c r="MM13" s="1" t="s">
        <v>9760</v>
      </c>
      <c r="MN13" s="1" t="s">
        <v>9761</v>
      </c>
      <c r="MO13" s="1" t="s">
        <v>9762</v>
      </c>
      <c r="MP13" s="1" t="s">
        <v>9763</v>
      </c>
      <c r="MQ13" s="1" t="s">
        <v>9764</v>
      </c>
      <c r="MR13" s="1" t="s">
        <v>9765</v>
      </c>
      <c r="MS13" s="1" t="s">
        <v>9766</v>
      </c>
      <c r="MT13" s="1" t="s">
        <v>9767</v>
      </c>
      <c r="MU13" s="1" t="s">
        <v>9768</v>
      </c>
      <c r="MV13" s="1" t="s">
        <v>9769</v>
      </c>
      <c r="MW13" s="1" t="s">
        <v>9770</v>
      </c>
      <c r="MX13" s="1" t="s">
        <v>9771</v>
      </c>
      <c r="MY13" s="1" t="s">
        <v>9772</v>
      </c>
      <c r="MZ13" s="1" t="s">
        <v>9773</v>
      </c>
      <c r="NA13" s="1" t="s">
        <v>9774</v>
      </c>
      <c r="NB13" s="1" t="s">
        <v>9775</v>
      </c>
      <c r="NC13" s="1" t="s">
        <v>9776</v>
      </c>
      <c r="ND13" s="1" t="s">
        <v>9777</v>
      </c>
      <c r="NE13" s="1" t="s">
        <v>9778</v>
      </c>
      <c r="NF13" s="1" t="s">
        <v>9779</v>
      </c>
      <c r="NG13" s="1" t="s">
        <v>9780</v>
      </c>
      <c r="NH13" s="1" t="s">
        <v>9781</v>
      </c>
      <c r="NI13" s="1" t="s">
        <v>9782</v>
      </c>
      <c r="NJ13" s="1" t="s">
        <v>9783</v>
      </c>
      <c r="NK13" s="1" t="s">
        <v>9784</v>
      </c>
      <c r="NL13" s="1" t="s">
        <v>9785</v>
      </c>
      <c r="NM13" s="1" t="s">
        <v>9786</v>
      </c>
      <c r="NN13" s="1" t="s">
        <v>9787</v>
      </c>
      <c r="NO13" s="1" t="s">
        <v>9788</v>
      </c>
      <c r="NP13" s="1" t="s">
        <v>9789</v>
      </c>
      <c r="NQ13" s="1" t="s">
        <v>9790</v>
      </c>
      <c r="NR13" s="1" t="s">
        <v>9791</v>
      </c>
      <c r="NS13" s="1" t="s">
        <v>9792</v>
      </c>
      <c r="NT13" s="1" t="s">
        <v>9793</v>
      </c>
      <c r="NU13" s="1" t="s">
        <v>9794</v>
      </c>
      <c r="NV13" s="1" t="s">
        <v>9795</v>
      </c>
      <c r="NW13" s="1" t="s">
        <v>9796</v>
      </c>
      <c r="NX13" s="1" t="s">
        <v>9797</v>
      </c>
      <c r="NY13" s="1" t="s">
        <v>9798</v>
      </c>
      <c r="NZ13" s="1" t="s">
        <v>9799</v>
      </c>
      <c r="OA13" s="1" t="s">
        <v>9800</v>
      </c>
      <c r="OB13" s="1" t="s">
        <v>9801</v>
      </c>
      <c r="OC13" s="1" t="s">
        <v>9802</v>
      </c>
      <c r="OD13" s="1" t="s">
        <v>9803</v>
      </c>
      <c r="OE13" s="1" t="s">
        <v>9804</v>
      </c>
      <c r="OF13" s="1" t="s">
        <v>9805</v>
      </c>
      <c r="OG13" s="1" t="s">
        <v>9806</v>
      </c>
      <c r="OH13" s="1" t="s">
        <v>9807</v>
      </c>
      <c r="OI13" s="1" t="s">
        <v>9808</v>
      </c>
      <c r="OJ13" s="1" t="s">
        <v>9809</v>
      </c>
      <c r="OK13" s="1" t="s">
        <v>9810</v>
      </c>
      <c r="OL13" s="1" t="s">
        <v>9811</v>
      </c>
      <c r="OM13" s="1" t="s">
        <v>9812</v>
      </c>
      <c r="ON13" s="1" t="s">
        <v>9813</v>
      </c>
      <c r="OO13" s="1" t="s">
        <v>9814</v>
      </c>
      <c r="OP13" s="1" t="s">
        <v>9815</v>
      </c>
      <c r="OQ13" s="1" t="s">
        <v>9816</v>
      </c>
      <c r="OR13" s="1" t="s">
        <v>9817</v>
      </c>
      <c r="OS13" s="1" t="s">
        <v>9818</v>
      </c>
      <c r="OT13" s="1" t="s">
        <v>9819</v>
      </c>
      <c r="OU13" s="1" t="s">
        <v>9820</v>
      </c>
      <c r="OV13" s="1" t="s">
        <v>9821</v>
      </c>
      <c r="OW13" s="1" t="s">
        <v>9822</v>
      </c>
      <c r="OX13" s="1" t="s">
        <v>9823</v>
      </c>
      <c r="OY13" s="1" t="s">
        <v>9824</v>
      </c>
      <c r="OZ13" s="1" t="s">
        <v>9825</v>
      </c>
      <c r="PA13" s="1" t="s">
        <v>9826</v>
      </c>
      <c r="PB13" s="1" t="s">
        <v>9827</v>
      </c>
      <c r="PC13" s="1" t="s">
        <v>9828</v>
      </c>
      <c r="PD13" s="1" t="s">
        <v>9829</v>
      </c>
      <c r="PE13" s="1" t="s">
        <v>9830</v>
      </c>
      <c r="PF13" s="1" t="s">
        <v>9831</v>
      </c>
      <c r="PG13" s="1" t="s">
        <v>9832</v>
      </c>
      <c r="PH13" s="1" t="s">
        <v>9833</v>
      </c>
      <c r="PI13" s="1" t="s">
        <v>9834</v>
      </c>
      <c r="PJ13" s="1" t="s">
        <v>9835</v>
      </c>
      <c r="PK13" s="1" t="s">
        <v>9836</v>
      </c>
      <c r="PL13" s="1" t="s">
        <v>9837</v>
      </c>
      <c r="PM13" s="1" t="s">
        <v>9838</v>
      </c>
      <c r="PN13" s="1" t="s">
        <v>9839</v>
      </c>
      <c r="PO13" s="1" t="s">
        <v>9840</v>
      </c>
      <c r="PP13" s="1" t="s">
        <v>9841</v>
      </c>
      <c r="PQ13" s="1" t="s">
        <v>9842</v>
      </c>
      <c r="PR13" s="1" t="s">
        <v>9843</v>
      </c>
      <c r="PS13" s="1" t="s">
        <v>9844</v>
      </c>
      <c r="PT13" s="1" t="s">
        <v>9845</v>
      </c>
      <c r="PU13" s="1" t="s">
        <v>9846</v>
      </c>
      <c r="PV13" s="1" t="s">
        <v>9847</v>
      </c>
      <c r="PW13" s="1" t="s">
        <v>9848</v>
      </c>
      <c r="PX13" s="1" t="s">
        <v>9849</v>
      </c>
      <c r="PY13" s="1" t="s">
        <v>9850</v>
      </c>
      <c r="PZ13" s="1" t="s">
        <v>9851</v>
      </c>
      <c r="QA13" s="1" t="s">
        <v>9852</v>
      </c>
      <c r="QB13" s="1" t="s">
        <v>9853</v>
      </c>
      <c r="QC13" s="1" t="s">
        <v>9854</v>
      </c>
      <c r="QD13" s="1" t="s">
        <v>9855</v>
      </c>
      <c r="QE13" s="1" t="s">
        <v>9856</v>
      </c>
      <c r="QF13" s="1" t="s">
        <v>9857</v>
      </c>
      <c r="QG13" s="1" t="s">
        <v>9858</v>
      </c>
      <c r="QH13" s="1" t="s">
        <v>9859</v>
      </c>
      <c r="QI13" s="1" t="s">
        <v>9860</v>
      </c>
      <c r="QJ13" s="1" t="s">
        <v>9861</v>
      </c>
      <c r="QK13" s="1" t="s">
        <v>9862</v>
      </c>
      <c r="QL13" s="1" t="s">
        <v>9863</v>
      </c>
      <c r="QM13" s="1" t="s">
        <v>9864</v>
      </c>
      <c r="QN13" s="1" t="s">
        <v>9865</v>
      </c>
      <c r="QO13" s="1" t="s">
        <v>9866</v>
      </c>
      <c r="QP13" s="1" t="s">
        <v>9867</v>
      </c>
      <c r="QQ13" s="1" t="s">
        <v>9868</v>
      </c>
      <c r="QR13" s="1" t="s">
        <v>9869</v>
      </c>
      <c r="QS13" s="1" t="s">
        <v>9870</v>
      </c>
      <c r="QT13" s="1" t="s">
        <v>9871</v>
      </c>
      <c r="QU13" s="1" t="s">
        <v>9872</v>
      </c>
      <c r="QV13" s="1" t="s">
        <v>9873</v>
      </c>
      <c r="QW13" s="1" t="s">
        <v>9874</v>
      </c>
      <c r="QX13" s="1" t="s">
        <v>9875</v>
      </c>
      <c r="QY13" s="1" t="s">
        <v>9876</v>
      </c>
      <c r="QZ13" s="1" t="s">
        <v>9877</v>
      </c>
      <c r="RA13" s="1" t="s">
        <v>9878</v>
      </c>
      <c r="RB13" s="1" t="s">
        <v>9879</v>
      </c>
      <c r="RC13" s="1" t="s">
        <v>9880</v>
      </c>
      <c r="RD13" s="1" t="s">
        <v>9881</v>
      </c>
      <c r="RE13" s="1" t="s">
        <v>9882</v>
      </c>
      <c r="RF13" s="1" t="s">
        <v>9883</v>
      </c>
      <c r="RG13" s="1" t="s">
        <v>9884</v>
      </c>
      <c r="RH13" s="1" t="s">
        <v>9885</v>
      </c>
      <c r="RI13" s="1" t="s">
        <v>9886</v>
      </c>
      <c r="RJ13" s="1" t="s">
        <v>9887</v>
      </c>
      <c r="RK13" s="1" t="s">
        <v>9888</v>
      </c>
      <c r="RL13" s="1" t="s">
        <v>9889</v>
      </c>
      <c r="RM13" s="1" t="s">
        <v>9890</v>
      </c>
      <c r="RN13" s="1" t="s">
        <v>9891</v>
      </c>
      <c r="RO13" s="1" t="s">
        <v>9892</v>
      </c>
      <c r="RP13" s="1" t="s">
        <v>9893</v>
      </c>
      <c r="RQ13" s="1" t="s">
        <v>9894</v>
      </c>
      <c r="RR13" s="1" t="s">
        <v>9895</v>
      </c>
      <c r="RS13" s="1" t="s">
        <v>9896</v>
      </c>
      <c r="RT13" s="1" t="s">
        <v>9897</v>
      </c>
      <c r="RU13" s="1" t="s">
        <v>9898</v>
      </c>
      <c r="RV13" s="1" t="s">
        <v>9899</v>
      </c>
      <c r="RW13" s="1" t="s">
        <v>9900</v>
      </c>
      <c r="RX13" s="1" t="s">
        <v>9901</v>
      </c>
      <c r="RY13" s="1" t="s">
        <v>9902</v>
      </c>
      <c r="RZ13" s="1" t="s">
        <v>9903</v>
      </c>
      <c r="SA13" s="1" t="s">
        <v>9904</v>
      </c>
      <c r="SB13" s="1" t="s">
        <v>9905</v>
      </c>
      <c r="SC13" s="1" t="s">
        <v>9906</v>
      </c>
      <c r="SD13" s="1" t="s">
        <v>9907</v>
      </c>
      <c r="SE13" s="1" t="s">
        <v>9908</v>
      </c>
      <c r="SF13" s="1" t="s">
        <v>9909</v>
      </c>
      <c r="SG13" s="1" t="s">
        <v>9910</v>
      </c>
      <c r="SH13" s="1" t="s">
        <v>9911</v>
      </c>
      <c r="SI13" s="1" t="s">
        <v>9912</v>
      </c>
      <c r="SJ13" s="1" t="s">
        <v>9913</v>
      </c>
      <c r="SK13" s="1" t="s">
        <v>9914</v>
      </c>
      <c r="SL13" s="1" t="s">
        <v>9915</v>
      </c>
      <c r="SM13" s="1" t="s">
        <v>9916</v>
      </c>
      <c r="SN13" s="1" t="s">
        <v>9917</v>
      </c>
      <c r="SO13" s="1" t="s">
        <v>9918</v>
      </c>
      <c r="SP13" s="1" t="s">
        <v>9919</v>
      </c>
      <c r="SQ13" s="1" t="s">
        <v>9920</v>
      </c>
      <c r="SR13" s="1" t="s">
        <v>9921</v>
      </c>
      <c r="SS13" s="1" t="s">
        <v>9922</v>
      </c>
      <c r="ST13" s="1" t="s">
        <v>9923</v>
      </c>
      <c r="SU13" s="1" t="s">
        <v>9924</v>
      </c>
      <c r="SV13" s="1" t="s">
        <v>9925</v>
      </c>
      <c r="SW13" s="1" t="s">
        <v>9926</v>
      </c>
      <c r="SX13" s="1" t="s">
        <v>9927</v>
      </c>
      <c r="SY13" s="1" t="s">
        <v>9928</v>
      </c>
      <c r="SZ13" s="1" t="s">
        <v>9929</v>
      </c>
      <c r="TA13" s="1" t="s">
        <v>9930</v>
      </c>
      <c r="TB13" s="1" t="s">
        <v>9931</v>
      </c>
      <c r="TC13" s="1" t="s">
        <v>9932</v>
      </c>
      <c r="TD13" s="1" t="s">
        <v>9933</v>
      </c>
      <c r="TE13" s="1" t="s">
        <v>9934</v>
      </c>
      <c r="TF13" s="1" t="s">
        <v>9935</v>
      </c>
      <c r="TG13" s="1" t="s">
        <v>9936</v>
      </c>
      <c r="TH13" s="1" t="s">
        <v>9937</v>
      </c>
      <c r="TI13" s="1" t="s">
        <v>9938</v>
      </c>
      <c r="TJ13" s="1" t="s">
        <v>9939</v>
      </c>
      <c r="TK13" s="1" t="s">
        <v>9940</v>
      </c>
      <c r="TL13" s="1" t="s">
        <v>9941</v>
      </c>
      <c r="TM13" s="1" t="s">
        <v>9942</v>
      </c>
      <c r="TN13" s="1" t="s">
        <v>9943</v>
      </c>
      <c r="TO13" s="1" t="s">
        <v>9944</v>
      </c>
      <c r="TP13" s="1" t="s">
        <v>9945</v>
      </c>
      <c r="TQ13" s="1" t="s">
        <v>9946</v>
      </c>
      <c r="TR13" s="1" t="s">
        <v>9947</v>
      </c>
      <c r="TS13" s="1" t="s">
        <v>9948</v>
      </c>
      <c r="TT13" s="1" t="s">
        <v>9949</v>
      </c>
      <c r="TU13" s="1" t="s">
        <v>9950</v>
      </c>
      <c r="TV13" s="1" t="s">
        <v>9951</v>
      </c>
      <c r="TW13" s="1" t="s">
        <v>9952</v>
      </c>
      <c r="TX13" s="1" t="s">
        <v>9953</v>
      </c>
      <c r="TY13" s="1" t="s">
        <v>9954</v>
      </c>
      <c r="TZ13" s="1" t="s">
        <v>9955</v>
      </c>
      <c r="UA13" s="1" t="s">
        <v>9956</v>
      </c>
      <c r="UB13" s="1" t="s">
        <v>9957</v>
      </c>
      <c r="UC13" s="1" t="s">
        <v>9958</v>
      </c>
      <c r="UD13" s="1" t="s">
        <v>9959</v>
      </c>
      <c r="UE13" s="1" t="s">
        <v>9960</v>
      </c>
      <c r="UF13" s="1" t="s">
        <v>9961</v>
      </c>
      <c r="UG13" s="1" t="s">
        <v>9962</v>
      </c>
      <c r="UH13" s="1" t="s">
        <v>9963</v>
      </c>
      <c r="UI13" s="1" t="s">
        <v>9964</v>
      </c>
      <c r="UJ13" s="1" t="s">
        <v>9965</v>
      </c>
      <c r="UK13" s="1" t="s">
        <v>9966</v>
      </c>
      <c r="UL13" s="1" t="s">
        <v>9967</v>
      </c>
      <c r="UM13" s="1" t="s">
        <v>9968</v>
      </c>
      <c r="UN13" s="1" t="s">
        <v>9969</v>
      </c>
      <c r="UO13" s="1" t="s">
        <v>9970</v>
      </c>
      <c r="UP13" s="1" t="s">
        <v>9971</v>
      </c>
      <c r="UQ13" s="1" t="s">
        <v>9972</v>
      </c>
      <c r="UR13" s="1" t="s">
        <v>9973</v>
      </c>
      <c r="US13" s="1" t="s">
        <v>9974</v>
      </c>
      <c r="UT13" s="1" t="s">
        <v>9975</v>
      </c>
      <c r="UU13" s="1" t="s">
        <v>9976</v>
      </c>
      <c r="UV13" s="1" t="s">
        <v>9977</v>
      </c>
      <c r="UW13" s="1" t="s">
        <v>9978</v>
      </c>
      <c r="UX13" s="1" t="s">
        <v>9979</v>
      </c>
      <c r="UY13" s="1" t="s">
        <v>9980</v>
      </c>
      <c r="UZ13" s="1" t="s">
        <v>9981</v>
      </c>
      <c r="VA13" s="1" t="s">
        <v>9982</v>
      </c>
      <c r="VB13" s="1" t="s">
        <v>9983</v>
      </c>
      <c r="VC13" s="1" t="s">
        <v>9984</v>
      </c>
      <c r="VD13" s="1" t="s">
        <v>9985</v>
      </c>
      <c r="VE13" s="1" t="s">
        <v>9986</v>
      </c>
      <c r="VF13" s="1" t="s">
        <v>9987</v>
      </c>
      <c r="VG13" s="1" t="s">
        <v>9988</v>
      </c>
      <c r="VH13" s="1" t="s">
        <v>9989</v>
      </c>
      <c r="VI13" s="1" t="s">
        <v>9990</v>
      </c>
      <c r="VJ13" s="1" t="s">
        <v>9991</v>
      </c>
      <c r="VK13" s="1" t="s">
        <v>9992</v>
      </c>
      <c r="VL13" s="1" t="s">
        <v>9993</v>
      </c>
      <c r="VM13" s="1" t="s">
        <v>9994</v>
      </c>
      <c r="VN13" s="1" t="s">
        <v>9995</v>
      </c>
      <c r="VO13" s="1" t="s">
        <v>9996</v>
      </c>
      <c r="VP13" s="1" t="s">
        <v>9997</v>
      </c>
      <c r="VQ13" s="1" t="s">
        <v>9998</v>
      </c>
      <c r="VR13" s="1" t="s">
        <v>9999</v>
      </c>
      <c r="VS13" s="1" t="s">
        <v>10000</v>
      </c>
      <c r="VT13" s="1" t="s">
        <v>10001</v>
      </c>
      <c r="VU13" s="1" t="s">
        <v>10002</v>
      </c>
      <c r="VV13" s="1" t="s">
        <v>10003</v>
      </c>
      <c r="VW13" s="1" t="s">
        <v>10004</v>
      </c>
      <c r="VX13" s="1" t="s">
        <v>10005</v>
      </c>
      <c r="VY13" s="1" t="s">
        <v>10006</v>
      </c>
      <c r="VZ13" s="1" t="s">
        <v>10007</v>
      </c>
      <c r="WA13" s="1" t="s">
        <v>10008</v>
      </c>
      <c r="WB13" s="1" t="s">
        <v>10009</v>
      </c>
      <c r="WC13" s="1" t="s">
        <v>10010</v>
      </c>
      <c r="WD13" s="1" t="s">
        <v>10011</v>
      </c>
      <c r="WE13" s="1" t="s">
        <v>10012</v>
      </c>
      <c r="WF13" s="1" t="s">
        <v>10013</v>
      </c>
      <c r="WG13" s="1" t="s">
        <v>10014</v>
      </c>
      <c r="WH13" s="1" t="s">
        <v>10015</v>
      </c>
      <c r="WI13" s="1" t="s">
        <v>10016</v>
      </c>
      <c r="WJ13" s="1" t="s">
        <v>10017</v>
      </c>
      <c r="WK13" s="1" t="s">
        <v>10018</v>
      </c>
      <c r="WL13" s="1" t="s">
        <v>10019</v>
      </c>
      <c r="WM13" s="1" t="s">
        <v>10020</v>
      </c>
      <c r="WN13" s="1" t="s">
        <v>10021</v>
      </c>
      <c r="WO13" s="1" t="s">
        <v>10022</v>
      </c>
      <c r="WP13" s="1" t="s">
        <v>10023</v>
      </c>
      <c r="WQ13" s="1" t="s">
        <v>10024</v>
      </c>
      <c r="WR13" s="1" t="s">
        <v>10025</v>
      </c>
      <c r="WS13" s="1" t="s">
        <v>10026</v>
      </c>
      <c r="WT13" s="1" t="s">
        <v>10027</v>
      </c>
      <c r="WU13" s="1" t="s">
        <v>10028</v>
      </c>
      <c r="WV13" s="1" t="s">
        <v>10029</v>
      </c>
      <c r="WW13" s="1" t="s">
        <v>10030</v>
      </c>
      <c r="WX13" s="1" t="s">
        <v>10031</v>
      </c>
      <c r="WY13" s="1" t="s">
        <v>10032</v>
      </c>
      <c r="WZ13" s="1" t="s">
        <v>10033</v>
      </c>
      <c r="XA13" s="1" t="s">
        <v>10034</v>
      </c>
      <c r="XB13" s="1" t="s">
        <v>10035</v>
      </c>
      <c r="XC13" s="1" t="s">
        <v>10036</v>
      </c>
      <c r="XD13" s="1" t="s">
        <v>10037</v>
      </c>
      <c r="XE13" s="1" t="s">
        <v>10038</v>
      </c>
      <c r="XF13" s="1" t="s">
        <v>10039</v>
      </c>
      <c r="XG13" s="1" t="s">
        <v>10040</v>
      </c>
      <c r="XH13" s="1" t="s">
        <v>10041</v>
      </c>
      <c r="XI13" s="1" t="s">
        <v>10042</v>
      </c>
      <c r="XJ13" s="1" t="s">
        <v>10043</v>
      </c>
      <c r="XK13" s="1" t="s">
        <v>10044</v>
      </c>
      <c r="XL13" s="1" t="s">
        <v>10045</v>
      </c>
      <c r="XM13" s="1" t="s">
        <v>10046</v>
      </c>
      <c r="XN13" s="1" t="s">
        <v>10047</v>
      </c>
      <c r="XO13" s="1" t="s">
        <v>10048</v>
      </c>
      <c r="XP13" s="1" t="s">
        <v>10049</v>
      </c>
      <c r="XQ13" s="1" t="s">
        <v>10050</v>
      </c>
      <c r="XR13" s="1" t="s">
        <v>10051</v>
      </c>
      <c r="XS13" s="1" t="s">
        <v>10052</v>
      </c>
      <c r="XT13" s="1" t="s">
        <v>10053</v>
      </c>
      <c r="XU13" s="1" t="s">
        <v>10054</v>
      </c>
      <c r="XV13" s="1" t="s">
        <v>10055</v>
      </c>
      <c r="XW13" s="1" t="s">
        <v>10056</v>
      </c>
      <c r="XX13" s="1" t="s">
        <v>10057</v>
      </c>
      <c r="XY13" s="1" t="s">
        <v>10058</v>
      </c>
      <c r="XZ13" s="1" t="s">
        <v>10059</v>
      </c>
      <c r="YA13" s="1" t="s">
        <v>10060</v>
      </c>
      <c r="YB13" s="1" t="s">
        <v>10061</v>
      </c>
      <c r="YC13" s="1" t="s">
        <v>10062</v>
      </c>
      <c r="YD13" s="1" t="s">
        <v>10063</v>
      </c>
      <c r="YE13" s="1" t="s">
        <v>10064</v>
      </c>
      <c r="YF13" s="1" t="s">
        <v>10065</v>
      </c>
      <c r="YG13" s="1" t="s">
        <v>10066</v>
      </c>
      <c r="YH13" s="1" t="s">
        <v>10067</v>
      </c>
      <c r="YI13" s="1" t="s">
        <v>10068</v>
      </c>
      <c r="YJ13" s="1" t="s">
        <v>10069</v>
      </c>
      <c r="YK13" s="1" t="s">
        <v>10070</v>
      </c>
      <c r="YL13" s="1" t="s">
        <v>10071</v>
      </c>
      <c r="YM13" s="1" t="s">
        <v>10072</v>
      </c>
      <c r="YN13" s="1" t="s">
        <v>10073</v>
      </c>
      <c r="YO13" s="1" t="s">
        <v>10074</v>
      </c>
      <c r="YP13" s="1" t="s">
        <v>10075</v>
      </c>
      <c r="YQ13" s="1" t="s">
        <v>10076</v>
      </c>
      <c r="YR13" s="1" t="s">
        <v>10077</v>
      </c>
      <c r="YS13" s="1" t="s">
        <v>10078</v>
      </c>
      <c r="YT13" s="1" t="s">
        <v>10079</v>
      </c>
      <c r="YU13" s="1" t="s">
        <v>10080</v>
      </c>
      <c r="YV13" s="1" t="s">
        <v>10081</v>
      </c>
      <c r="YW13" s="1" t="s">
        <v>10082</v>
      </c>
      <c r="YX13" s="1" t="s">
        <v>10083</v>
      </c>
      <c r="YY13" s="1" t="s">
        <v>10084</v>
      </c>
      <c r="YZ13" s="1" t="s">
        <v>10085</v>
      </c>
      <c r="ZA13" s="1" t="s">
        <v>10086</v>
      </c>
      <c r="ZB13" s="1" t="s">
        <v>10087</v>
      </c>
      <c r="ZC13" s="1" t="s">
        <v>10088</v>
      </c>
      <c r="ZD13" s="1" t="s">
        <v>10089</v>
      </c>
      <c r="ZE13" s="1" t="s">
        <v>10090</v>
      </c>
      <c r="ZF13" s="1" t="s">
        <v>10091</v>
      </c>
      <c r="ZG13" s="1" t="s">
        <v>10092</v>
      </c>
      <c r="ZH13" s="1" t="s">
        <v>10093</v>
      </c>
      <c r="ZI13" s="1" t="s">
        <v>10094</v>
      </c>
      <c r="ZJ13" s="1" t="s">
        <v>10095</v>
      </c>
      <c r="ZK13" s="1" t="s">
        <v>10096</v>
      </c>
      <c r="ZL13" s="1" t="s">
        <v>10097</v>
      </c>
      <c r="ZM13" s="1" t="s">
        <v>10098</v>
      </c>
      <c r="ZN13" s="1" t="s">
        <v>10099</v>
      </c>
      <c r="ZO13" s="1" t="s">
        <v>10100</v>
      </c>
      <c r="ZP13" s="1" t="s">
        <v>10101</v>
      </c>
      <c r="ZQ13" s="1" t="s">
        <v>10102</v>
      </c>
      <c r="ZR13" s="1" t="s">
        <v>10103</v>
      </c>
      <c r="ZS13" s="1" t="s">
        <v>10104</v>
      </c>
      <c r="ZT13" s="1" t="s">
        <v>10105</v>
      </c>
      <c r="ZU13" s="1" t="s">
        <v>10106</v>
      </c>
      <c r="ZV13" s="1" t="s">
        <v>10107</v>
      </c>
      <c r="ZW13" s="1" t="s">
        <v>10108</v>
      </c>
      <c r="ZX13" s="1" t="s">
        <v>10109</v>
      </c>
      <c r="ZY13" s="1" t="s">
        <v>10110</v>
      </c>
      <c r="ZZ13" s="1" t="s">
        <v>10111</v>
      </c>
      <c r="AAA13" s="1" t="s">
        <v>10112</v>
      </c>
      <c r="AAB13" s="1" t="s">
        <v>10113</v>
      </c>
      <c r="AAC13" s="1" t="s">
        <v>10114</v>
      </c>
      <c r="AAD13" s="1" t="s">
        <v>10115</v>
      </c>
      <c r="AAE13" s="1" t="s">
        <v>10116</v>
      </c>
      <c r="AAF13" s="1" t="s">
        <v>10117</v>
      </c>
      <c r="AAG13" s="1" t="s">
        <v>10118</v>
      </c>
      <c r="AAH13" s="1" t="s">
        <v>10119</v>
      </c>
      <c r="AAI13" s="1" t="s">
        <v>10120</v>
      </c>
      <c r="AAJ13" s="1" t="s">
        <v>10121</v>
      </c>
      <c r="AAK13" s="1" t="s">
        <v>10122</v>
      </c>
      <c r="AAL13" s="1" t="s">
        <v>10123</v>
      </c>
      <c r="AAM13" s="1" t="s">
        <v>10124</v>
      </c>
      <c r="AAN13" s="1" t="s">
        <v>10125</v>
      </c>
      <c r="AAO13" s="1" t="s">
        <v>10126</v>
      </c>
      <c r="AAP13" s="1" t="s">
        <v>10127</v>
      </c>
      <c r="AAQ13" s="1" t="s">
        <v>10128</v>
      </c>
      <c r="AAR13" s="1" t="s">
        <v>10129</v>
      </c>
      <c r="AAS13" s="1" t="s">
        <v>10130</v>
      </c>
      <c r="AAT13" s="1" t="s">
        <v>10131</v>
      </c>
      <c r="AAU13" s="1" t="s">
        <v>10132</v>
      </c>
      <c r="AAV13" s="1" t="s">
        <v>10133</v>
      </c>
      <c r="AAW13" s="1" t="s">
        <v>10134</v>
      </c>
      <c r="AAX13" s="1" t="s">
        <v>10135</v>
      </c>
      <c r="AAY13" s="1" t="s">
        <v>10136</v>
      </c>
      <c r="AAZ13" s="1" t="s">
        <v>10137</v>
      </c>
      <c r="ABA13" s="1" t="s">
        <v>10138</v>
      </c>
      <c r="ABB13" s="1" t="s">
        <v>10139</v>
      </c>
      <c r="ABC13" s="1" t="s">
        <v>10140</v>
      </c>
      <c r="ABD13" s="1" t="s">
        <v>10141</v>
      </c>
      <c r="ABE13" s="1" t="s">
        <v>10142</v>
      </c>
      <c r="ABF13" s="1" t="s">
        <v>10143</v>
      </c>
      <c r="ABG13" s="1" t="s">
        <v>10144</v>
      </c>
      <c r="ABH13" s="1" t="s">
        <v>10145</v>
      </c>
      <c r="ABI13" s="1" t="s">
        <v>10146</v>
      </c>
      <c r="ABJ13" s="1" t="s">
        <v>10147</v>
      </c>
      <c r="ABK13" s="1" t="s">
        <v>10148</v>
      </c>
      <c r="ABL13" s="1" t="s">
        <v>10149</v>
      </c>
      <c r="ABM13" s="1" t="s">
        <v>10150</v>
      </c>
      <c r="ABN13" s="1" t="s">
        <v>10151</v>
      </c>
      <c r="ABO13" s="1" t="s">
        <v>10152</v>
      </c>
      <c r="ABP13" s="1" t="s">
        <v>10153</v>
      </c>
      <c r="ABQ13" s="1" t="s">
        <v>10154</v>
      </c>
      <c r="ABR13" s="1" t="s">
        <v>10155</v>
      </c>
      <c r="ABS13" s="1" t="s">
        <v>10156</v>
      </c>
      <c r="ABT13" s="1" t="s">
        <v>10157</v>
      </c>
      <c r="ABU13" s="1" t="s">
        <v>10158</v>
      </c>
      <c r="ABV13" s="1" t="s">
        <v>10159</v>
      </c>
      <c r="ABW13" s="1" t="s">
        <v>10160</v>
      </c>
      <c r="ABX13" s="1" t="s">
        <v>10161</v>
      </c>
      <c r="ABY13" s="1" t="s">
        <v>10162</v>
      </c>
      <c r="ABZ13" s="1" t="s">
        <v>10163</v>
      </c>
      <c r="ACA13" s="1" t="s">
        <v>10164</v>
      </c>
      <c r="ACB13" s="1" t="s">
        <v>10165</v>
      </c>
      <c r="ACC13" s="1" t="s">
        <v>10166</v>
      </c>
      <c r="ACD13" s="1" t="s">
        <v>10167</v>
      </c>
      <c r="ACE13" s="1" t="s">
        <v>10168</v>
      </c>
      <c r="ACF13" s="1" t="s">
        <v>10169</v>
      </c>
      <c r="ACG13" s="1" t="s">
        <v>10170</v>
      </c>
      <c r="ACH13" s="1" t="s">
        <v>10171</v>
      </c>
      <c r="ACI13" s="1" t="s">
        <v>10172</v>
      </c>
      <c r="ACJ13" s="1" t="s">
        <v>10173</v>
      </c>
      <c r="ACK13" s="1" t="s">
        <v>10174</v>
      </c>
      <c r="ACL13" s="1" t="s">
        <v>10175</v>
      </c>
      <c r="ACM13" s="1" t="s">
        <v>10176</v>
      </c>
      <c r="ACN13" s="1" t="s">
        <v>10177</v>
      </c>
      <c r="ACO13" s="1" t="s">
        <v>10178</v>
      </c>
      <c r="ACP13" s="1" t="s">
        <v>10179</v>
      </c>
      <c r="ACQ13" s="1" t="s">
        <v>10180</v>
      </c>
      <c r="ACR13" s="1" t="s">
        <v>10181</v>
      </c>
      <c r="ACS13" s="1" t="s">
        <v>10182</v>
      </c>
      <c r="ACT13" s="1" t="s">
        <v>10183</v>
      </c>
      <c r="ACU13" s="1" t="s">
        <v>10184</v>
      </c>
      <c r="ACV13" s="1" t="s">
        <v>10185</v>
      </c>
      <c r="ACW13" s="1" t="s">
        <v>32</v>
      </c>
      <c r="ACX13" s="1" t="s">
        <v>1499</v>
      </c>
    </row>
    <row r="14" spans="1:778" x14ac:dyDescent="0.2">
      <c r="A14" s="1" t="s">
        <v>26</v>
      </c>
      <c r="B14" s="1" t="s">
        <v>10186</v>
      </c>
      <c r="C14" s="1" t="s">
        <v>10187</v>
      </c>
      <c r="D14" s="1" t="s">
        <v>10188</v>
      </c>
      <c r="E14" s="1" t="s">
        <v>10189</v>
      </c>
      <c r="F14" s="1" t="s">
        <v>10190</v>
      </c>
      <c r="G14" s="1" t="s">
        <v>10191</v>
      </c>
      <c r="H14" s="1" t="s">
        <v>10192</v>
      </c>
      <c r="I14" s="1" t="s">
        <v>10193</v>
      </c>
      <c r="J14" s="1" t="s">
        <v>10194</v>
      </c>
      <c r="K14" s="1" t="s">
        <v>10195</v>
      </c>
      <c r="L14" s="1" t="s">
        <v>10196</v>
      </c>
      <c r="M14" s="1" t="s">
        <v>10197</v>
      </c>
      <c r="N14" s="1" t="s">
        <v>10198</v>
      </c>
      <c r="O14" s="1" t="s">
        <v>10199</v>
      </c>
      <c r="P14" s="1" t="s">
        <v>10200</v>
      </c>
      <c r="Q14" s="1" t="s">
        <v>10201</v>
      </c>
      <c r="R14" s="1" t="s">
        <v>10202</v>
      </c>
      <c r="S14" s="1" t="s">
        <v>10203</v>
      </c>
      <c r="T14" s="1" t="s">
        <v>10204</v>
      </c>
      <c r="U14" s="1" t="s">
        <v>10205</v>
      </c>
      <c r="V14" s="1" t="s">
        <v>10206</v>
      </c>
      <c r="W14" s="1" t="s">
        <v>10207</v>
      </c>
      <c r="X14" s="1" t="s">
        <v>10208</v>
      </c>
      <c r="Y14" s="1" t="s">
        <v>10209</v>
      </c>
      <c r="Z14" s="1" t="s">
        <v>10210</v>
      </c>
      <c r="AA14" s="1" t="s">
        <v>10211</v>
      </c>
      <c r="AB14" s="1" t="s">
        <v>10212</v>
      </c>
      <c r="AC14" s="1" t="s">
        <v>10213</v>
      </c>
      <c r="AD14" s="1" t="s">
        <v>10214</v>
      </c>
      <c r="AE14" s="1" t="s">
        <v>10215</v>
      </c>
      <c r="AF14" s="1" t="s">
        <v>10216</v>
      </c>
      <c r="AG14" s="1" t="s">
        <v>10217</v>
      </c>
      <c r="AH14" s="1" t="s">
        <v>10218</v>
      </c>
      <c r="AI14" s="1" t="s">
        <v>10219</v>
      </c>
      <c r="AJ14" s="1" t="s">
        <v>10220</v>
      </c>
      <c r="AK14" s="1" t="s">
        <v>10221</v>
      </c>
      <c r="AL14" s="1" t="s">
        <v>10222</v>
      </c>
      <c r="AM14" s="1" t="s">
        <v>10223</v>
      </c>
      <c r="AN14" s="1" t="s">
        <v>10224</v>
      </c>
      <c r="AO14" s="1" t="s">
        <v>10225</v>
      </c>
      <c r="AP14" s="1" t="s">
        <v>10226</v>
      </c>
      <c r="AQ14" s="1" t="s">
        <v>10227</v>
      </c>
      <c r="AR14" s="1" t="s">
        <v>10228</v>
      </c>
      <c r="AS14" s="1" t="s">
        <v>10229</v>
      </c>
      <c r="AT14" s="1" t="s">
        <v>10230</v>
      </c>
      <c r="AU14" s="1" t="s">
        <v>10231</v>
      </c>
      <c r="AV14" s="1" t="s">
        <v>10232</v>
      </c>
      <c r="AW14" s="1" t="s">
        <v>10233</v>
      </c>
      <c r="AX14" s="1" t="s">
        <v>10234</v>
      </c>
      <c r="AY14" s="1" t="s">
        <v>10235</v>
      </c>
      <c r="AZ14" s="1" t="s">
        <v>10236</v>
      </c>
      <c r="BA14" s="1" t="s">
        <v>10237</v>
      </c>
      <c r="BB14" s="1" t="s">
        <v>10238</v>
      </c>
      <c r="BC14" s="1" t="s">
        <v>10239</v>
      </c>
      <c r="BD14" s="1" t="s">
        <v>10240</v>
      </c>
      <c r="BE14" s="1" t="s">
        <v>10241</v>
      </c>
      <c r="BF14" s="1" t="s">
        <v>10242</v>
      </c>
      <c r="BG14" s="1" t="s">
        <v>10243</v>
      </c>
      <c r="BH14" s="1" t="s">
        <v>10244</v>
      </c>
      <c r="BI14" s="1" t="s">
        <v>10245</v>
      </c>
      <c r="BJ14" s="1" t="s">
        <v>10246</v>
      </c>
      <c r="BK14" s="1" t="s">
        <v>10247</v>
      </c>
      <c r="BL14" s="1" t="s">
        <v>10248</v>
      </c>
      <c r="BM14" s="1" t="s">
        <v>10249</v>
      </c>
      <c r="BN14" s="1" t="s">
        <v>10250</v>
      </c>
      <c r="BO14" s="1" t="s">
        <v>10251</v>
      </c>
      <c r="BP14" s="1" t="s">
        <v>10252</v>
      </c>
      <c r="BQ14" s="1" t="s">
        <v>10253</v>
      </c>
      <c r="BR14" s="1" t="s">
        <v>10254</v>
      </c>
      <c r="BS14" s="1" t="s">
        <v>10255</v>
      </c>
      <c r="BT14" s="1" t="s">
        <v>10256</v>
      </c>
      <c r="BU14" s="1" t="s">
        <v>10257</v>
      </c>
      <c r="BV14" s="1" t="s">
        <v>10258</v>
      </c>
      <c r="BW14" s="1" t="s">
        <v>10259</v>
      </c>
      <c r="BX14" s="1" t="s">
        <v>10260</v>
      </c>
      <c r="BY14" s="1" t="s">
        <v>10261</v>
      </c>
      <c r="BZ14" s="1" t="s">
        <v>10262</v>
      </c>
      <c r="CA14" s="1" t="s">
        <v>10263</v>
      </c>
      <c r="CB14" s="1" t="s">
        <v>10264</v>
      </c>
      <c r="CC14" s="1" t="s">
        <v>10265</v>
      </c>
      <c r="CD14" s="1" t="s">
        <v>10266</v>
      </c>
      <c r="CE14" s="1" t="s">
        <v>10267</v>
      </c>
      <c r="CF14" s="1" t="s">
        <v>10268</v>
      </c>
      <c r="CG14" s="1" t="s">
        <v>10269</v>
      </c>
      <c r="CH14" s="1" t="s">
        <v>10270</v>
      </c>
      <c r="CI14" s="1" t="s">
        <v>10271</v>
      </c>
      <c r="CJ14" s="1" t="s">
        <v>10272</v>
      </c>
      <c r="CK14" s="1" t="s">
        <v>10273</v>
      </c>
      <c r="CL14" s="1" t="s">
        <v>10274</v>
      </c>
      <c r="CM14" s="1" t="s">
        <v>10275</v>
      </c>
      <c r="CN14" s="1" t="s">
        <v>10276</v>
      </c>
      <c r="CO14" s="1" t="s">
        <v>10277</v>
      </c>
      <c r="CP14" s="1" t="s">
        <v>10278</v>
      </c>
      <c r="CQ14" s="1" t="s">
        <v>10279</v>
      </c>
      <c r="CR14" s="1" t="s">
        <v>10280</v>
      </c>
      <c r="CS14" s="1" t="s">
        <v>10281</v>
      </c>
      <c r="CT14" s="1" t="s">
        <v>10282</v>
      </c>
      <c r="CU14" s="1" t="s">
        <v>10283</v>
      </c>
      <c r="CV14" s="1" t="s">
        <v>10284</v>
      </c>
      <c r="CW14" s="1" t="s">
        <v>10285</v>
      </c>
      <c r="CX14" s="1" t="s">
        <v>10286</v>
      </c>
      <c r="CY14" s="1" t="s">
        <v>10287</v>
      </c>
      <c r="CZ14" s="1" t="s">
        <v>10288</v>
      </c>
      <c r="DA14" s="1" t="s">
        <v>10289</v>
      </c>
      <c r="DB14" s="1" t="s">
        <v>10290</v>
      </c>
      <c r="DC14" s="1" t="s">
        <v>10291</v>
      </c>
      <c r="DD14" s="1" t="s">
        <v>10292</v>
      </c>
      <c r="DE14" s="1" t="s">
        <v>10293</v>
      </c>
      <c r="DF14" s="1" t="s">
        <v>10294</v>
      </c>
      <c r="DG14" s="1" t="s">
        <v>10295</v>
      </c>
      <c r="DH14" s="1" t="s">
        <v>10296</v>
      </c>
      <c r="DI14" s="1" t="s">
        <v>10297</v>
      </c>
      <c r="DJ14" s="1" t="s">
        <v>10298</v>
      </c>
      <c r="DK14" s="1" t="s">
        <v>10299</v>
      </c>
      <c r="DL14" s="1" t="s">
        <v>10300</v>
      </c>
      <c r="DM14" s="1" t="s">
        <v>10301</v>
      </c>
      <c r="DN14" s="1" t="s">
        <v>10302</v>
      </c>
      <c r="DO14" s="1" t="s">
        <v>10303</v>
      </c>
      <c r="DP14" s="1" t="s">
        <v>10304</v>
      </c>
      <c r="DQ14" s="1" t="s">
        <v>10305</v>
      </c>
      <c r="DR14" s="1" t="s">
        <v>10306</v>
      </c>
      <c r="DS14" s="1" t="s">
        <v>10307</v>
      </c>
      <c r="DT14" s="1" t="s">
        <v>10308</v>
      </c>
      <c r="DU14" s="1" t="s">
        <v>10309</v>
      </c>
      <c r="DV14" s="1" t="s">
        <v>10310</v>
      </c>
      <c r="DW14" s="1" t="s">
        <v>10311</v>
      </c>
      <c r="DX14" s="1" t="s">
        <v>10312</v>
      </c>
      <c r="DY14" s="1" t="s">
        <v>10313</v>
      </c>
      <c r="DZ14" s="1" t="s">
        <v>10314</v>
      </c>
      <c r="EA14" s="1" t="s">
        <v>10315</v>
      </c>
      <c r="EB14" s="1" t="s">
        <v>10316</v>
      </c>
      <c r="EC14" s="1" t="s">
        <v>10317</v>
      </c>
      <c r="ED14" s="1" t="s">
        <v>10318</v>
      </c>
      <c r="EE14" s="1" t="s">
        <v>10319</v>
      </c>
      <c r="EF14" s="1" t="s">
        <v>10320</v>
      </c>
      <c r="EG14" s="1" t="s">
        <v>10321</v>
      </c>
      <c r="EH14" s="1" t="s">
        <v>10322</v>
      </c>
      <c r="EI14" s="1" t="s">
        <v>10323</v>
      </c>
      <c r="EJ14" s="1" t="s">
        <v>10324</v>
      </c>
      <c r="EK14" s="1" t="s">
        <v>10325</v>
      </c>
      <c r="EL14" s="1" t="s">
        <v>10326</v>
      </c>
      <c r="EM14" s="1" t="s">
        <v>10327</v>
      </c>
      <c r="EN14" s="1" t="s">
        <v>10328</v>
      </c>
      <c r="EO14" s="1" t="s">
        <v>10329</v>
      </c>
      <c r="EP14" s="1" t="s">
        <v>10330</v>
      </c>
      <c r="EQ14" s="1" t="s">
        <v>10331</v>
      </c>
      <c r="ER14" s="1" t="s">
        <v>10332</v>
      </c>
      <c r="ES14" s="1" t="s">
        <v>10333</v>
      </c>
      <c r="ET14" s="1" t="s">
        <v>10334</v>
      </c>
      <c r="EU14" s="1" t="s">
        <v>10335</v>
      </c>
      <c r="EV14" s="1" t="s">
        <v>10336</v>
      </c>
      <c r="EW14" s="1" t="s">
        <v>10337</v>
      </c>
      <c r="EX14" s="1" t="s">
        <v>10338</v>
      </c>
      <c r="EY14" s="1" t="s">
        <v>10339</v>
      </c>
      <c r="EZ14" s="1" t="s">
        <v>10340</v>
      </c>
      <c r="FA14" s="1" t="s">
        <v>10341</v>
      </c>
      <c r="FB14" s="1" t="s">
        <v>10342</v>
      </c>
      <c r="FC14" s="1" t="s">
        <v>10343</v>
      </c>
      <c r="FD14" s="1" t="s">
        <v>10344</v>
      </c>
      <c r="FE14" s="1" t="s">
        <v>10345</v>
      </c>
      <c r="FF14" s="1" t="s">
        <v>10346</v>
      </c>
      <c r="FG14" s="1" t="s">
        <v>10347</v>
      </c>
      <c r="FH14" s="1" t="s">
        <v>10348</v>
      </c>
      <c r="FI14" s="1" t="s">
        <v>10349</v>
      </c>
      <c r="FJ14" s="1" t="s">
        <v>10350</v>
      </c>
      <c r="FK14" s="1" t="s">
        <v>10351</v>
      </c>
      <c r="FL14" s="1" t="s">
        <v>10352</v>
      </c>
      <c r="FM14" s="1" t="s">
        <v>10353</v>
      </c>
      <c r="FN14" s="1" t="s">
        <v>10354</v>
      </c>
      <c r="FO14" s="1" t="s">
        <v>10355</v>
      </c>
      <c r="FP14" s="1" t="s">
        <v>10356</v>
      </c>
      <c r="FQ14" s="1" t="s">
        <v>10357</v>
      </c>
      <c r="FR14" s="1" t="s">
        <v>10358</v>
      </c>
      <c r="FS14" s="1" t="s">
        <v>10359</v>
      </c>
      <c r="FT14" s="1" t="s">
        <v>10360</v>
      </c>
      <c r="FU14" s="1" t="s">
        <v>10361</v>
      </c>
      <c r="FV14" s="1" t="s">
        <v>10362</v>
      </c>
      <c r="FW14" s="1" t="s">
        <v>10363</v>
      </c>
      <c r="FX14" s="1" t="s">
        <v>10364</v>
      </c>
      <c r="FY14" s="1" t="s">
        <v>10365</v>
      </c>
      <c r="FZ14" s="1" t="s">
        <v>10366</v>
      </c>
      <c r="GA14" s="1" t="s">
        <v>10367</v>
      </c>
      <c r="GB14" s="1" t="s">
        <v>10368</v>
      </c>
      <c r="GC14" s="1" t="s">
        <v>10369</v>
      </c>
      <c r="GD14" s="1" t="s">
        <v>10370</v>
      </c>
      <c r="GE14" s="1" t="s">
        <v>10371</v>
      </c>
      <c r="GF14" s="1" t="s">
        <v>10372</v>
      </c>
      <c r="GG14" s="1" t="s">
        <v>10373</v>
      </c>
      <c r="GH14" s="1" t="s">
        <v>10374</v>
      </c>
      <c r="GI14" s="1" t="s">
        <v>10375</v>
      </c>
      <c r="GJ14" s="1" t="s">
        <v>10376</v>
      </c>
      <c r="GK14" s="1" t="s">
        <v>10377</v>
      </c>
      <c r="GL14" s="1" t="s">
        <v>10378</v>
      </c>
      <c r="GM14" s="1" t="s">
        <v>10379</v>
      </c>
      <c r="GN14" s="1" t="s">
        <v>10380</v>
      </c>
      <c r="GO14" s="1" t="s">
        <v>10381</v>
      </c>
      <c r="GP14" s="1" t="s">
        <v>10382</v>
      </c>
      <c r="GQ14" s="1" t="s">
        <v>10383</v>
      </c>
      <c r="GR14" s="1" t="s">
        <v>10384</v>
      </c>
      <c r="GS14" s="1" t="s">
        <v>10385</v>
      </c>
      <c r="GT14" s="1" t="s">
        <v>10386</v>
      </c>
      <c r="GU14" s="1" t="s">
        <v>10387</v>
      </c>
      <c r="GV14" s="1" t="s">
        <v>10388</v>
      </c>
      <c r="GW14" s="1" t="s">
        <v>10389</v>
      </c>
      <c r="GX14" s="1" t="s">
        <v>10390</v>
      </c>
      <c r="GY14" s="1" t="s">
        <v>10391</v>
      </c>
      <c r="GZ14" s="1" t="s">
        <v>10392</v>
      </c>
      <c r="HA14" s="1" t="s">
        <v>10393</v>
      </c>
      <c r="HB14" s="1" t="s">
        <v>10394</v>
      </c>
      <c r="HC14" s="1" t="s">
        <v>10395</v>
      </c>
      <c r="HD14" s="1" t="s">
        <v>10396</v>
      </c>
      <c r="HE14" s="1" t="s">
        <v>10397</v>
      </c>
      <c r="HF14" s="1" t="s">
        <v>10398</v>
      </c>
      <c r="HG14" s="1" t="s">
        <v>10399</v>
      </c>
      <c r="HH14" s="1" t="s">
        <v>10400</v>
      </c>
      <c r="HI14" s="1" t="s">
        <v>10401</v>
      </c>
      <c r="HJ14" s="1" t="s">
        <v>10402</v>
      </c>
      <c r="HK14" s="1" t="s">
        <v>10403</v>
      </c>
      <c r="HL14" s="1" t="s">
        <v>10404</v>
      </c>
      <c r="HM14" s="1" t="s">
        <v>10405</v>
      </c>
      <c r="HN14" s="1" t="s">
        <v>10406</v>
      </c>
      <c r="HO14" s="1" t="s">
        <v>10407</v>
      </c>
      <c r="HP14" s="1" t="s">
        <v>10408</v>
      </c>
      <c r="HQ14" s="1" t="s">
        <v>10409</v>
      </c>
      <c r="HR14" s="1" t="s">
        <v>10410</v>
      </c>
      <c r="HS14" s="1" t="s">
        <v>10411</v>
      </c>
      <c r="HT14" s="1" t="s">
        <v>10412</v>
      </c>
      <c r="HU14" s="1" t="s">
        <v>10413</v>
      </c>
      <c r="HV14" s="1" t="s">
        <v>10414</v>
      </c>
      <c r="HW14" s="1" t="s">
        <v>10415</v>
      </c>
      <c r="HX14" s="1" t="s">
        <v>10416</v>
      </c>
      <c r="HY14" s="1" t="s">
        <v>10417</v>
      </c>
      <c r="HZ14" s="1" t="s">
        <v>10418</v>
      </c>
      <c r="IA14" s="1" t="s">
        <v>10419</v>
      </c>
      <c r="IB14" s="1" t="s">
        <v>10420</v>
      </c>
      <c r="IC14" s="1" t="s">
        <v>10421</v>
      </c>
      <c r="ID14" s="1" t="s">
        <v>10422</v>
      </c>
      <c r="IE14" s="1" t="s">
        <v>10423</v>
      </c>
      <c r="IF14" s="1" t="s">
        <v>10424</v>
      </c>
      <c r="IG14" s="1" t="s">
        <v>10425</v>
      </c>
      <c r="IH14" s="1" t="s">
        <v>10426</v>
      </c>
      <c r="II14" s="1" t="s">
        <v>10427</v>
      </c>
      <c r="IJ14" s="1" t="s">
        <v>10428</v>
      </c>
      <c r="IK14" s="1" t="s">
        <v>10429</v>
      </c>
      <c r="IL14" s="1" t="s">
        <v>10430</v>
      </c>
      <c r="IM14" s="1" t="s">
        <v>10431</v>
      </c>
      <c r="IN14" s="1" t="s">
        <v>10432</v>
      </c>
      <c r="IO14" s="1" t="s">
        <v>10433</v>
      </c>
      <c r="IP14" s="1" t="s">
        <v>10434</v>
      </c>
      <c r="IQ14" s="1" t="s">
        <v>10435</v>
      </c>
      <c r="IR14" s="1" t="s">
        <v>10436</v>
      </c>
      <c r="IS14" s="1" t="s">
        <v>10437</v>
      </c>
      <c r="IT14" s="1" t="s">
        <v>10438</v>
      </c>
      <c r="IU14" s="1" t="s">
        <v>10439</v>
      </c>
      <c r="IV14" s="1" t="s">
        <v>10440</v>
      </c>
      <c r="IW14" s="1" t="s">
        <v>10441</v>
      </c>
      <c r="IX14" s="1" t="s">
        <v>10442</v>
      </c>
      <c r="IY14" s="1" t="s">
        <v>10443</v>
      </c>
      <c r="IZ14" s="1" t="s">
        <v>10444</v>
      </c>
      <c r="JA14" s="1" t="s">
        <v>10445</v>
      </c>
      <c r="JB14" s="1" t="s">
        <v>10446</v>
      </c>
      <c r="JC14" s="1" t="s">
        <v>10447</v>
      </c>
      <c r="JD14" s="1" t="s">
        <v>10448</v>
      </c>
      <c r="JE14" s="1" t="s">
        <v>10449</v>
      </c>
      <c r="JF14" s="1" t="s">
        <v>10450</v>
      </c>
      <c r="JG14" s="1" t="s">
        <v>10451</v>
      </c>
      <c r="JH14" s="1" t="s">
        <v>10452</v>
      </c>
      <c r="JI14" s="1" t="s">
        <v>10453</v>
      </c>
      <c r="JJ14" s="1" t="s">
        <v>10454</v>
      </c>
      <c r="JK14" s="1" t="s">
        <v>10455</v>
      </c>
      <c r="JL14" s="1" t="s">
        <v>10456</v>
      </c>
      <c r="JM14" s="1" t="s">
        <v>10457</v>
      </c>
      <c r="JN14" s="1" t="s">
        <v>10458</v>
      </c>
      <c r="JO14" s="1" t="s">
        <v>10459</v>
      </c>
      <c r="JP14" s="1" t="s">
        <v>10460</v>
      </c>
      <c r="JQ14" s="1" t="s">
        <v>10461</v>
      </c>
      <c r="JR14" s="1" t="s">
        <v>10462</v>
      </c>
      <c r="JS14" s="1" t="s">
        <v>10463</v>
      </c>
      <c r="JT14" s="1" t="s">
        <v>10464</v>
      </c>
      <c r="JU14" s="1" t="s">
        <v>10465</v>
      </c>
      <c r="JV14" s="1" t="s">
        <v>10466</v>
      </c>
      <c r="JW14" s="1" t="s">
        <v>10467</v>
      </c>
      <c r="JX14" s="1" t="s">
        <v>10468</v>
      </c>
      <c r="JY14" s="1" t="s">
        <v>10469</v>
      </c>
      <c r="JZ14" s="1" t="s">
        <v>10470</v>
      </c>
      <c r="KA14" s="1" t="s">
        <v>10471</v>
      </c>
      <c r="KB14" s="1" t="s">
        <v>10472</v>
      </c>
      <c r="KC14" s="1" t="s">
        <v>10473</v>
      </c>
      <c r="KD14" s="1" t="s">
        <v>10474</v>
      </c>
      <c r="KE14" s="1" t="s">
        <v>10475</v>
      </c>
      <c r="KF14" s="1" t="s">
        <v>10476</v>
      </c>
      <c r="KG14" s="1" t="s">
        <v>10477</v>
      </c>
      <c r="KH14" s="1" t="s">
        <v>10478</v>
      </c>
      <c r="KI14" s="1" t="s">
        <v>10479</v>
      </c>
      <c r="KJ14" s="1" t="s">
        <v>10480</v>
      </c>
      <c r="KK14" s="1" t="s">
        <v>10481</v>
      </c>
      <c r="KL14" s="1" t="s">
        <v>10482</v>
      </c>
      <c r="KM14" s="1" t="s">
        <v>10483</v>
      </c>
      <c r="KN14" s="1" t="s">
        <v>10484</v>
      </c>
      <c r="KO14" s="1" t="s">
        <v>10485</v>
      </c>
      <c r="KP14" s="1" t="s">
        <v>10486</v>
      </c>
      <c r="KQ14" s="1" t="s">
        <v>10487</v>
      </c>
      <c r="KR14" s="1" t="s">
        <v>10488</v>
      </c>
      <c r="KS14" s="1" t="s">
        <v>10489</v>
      </c>
      <c r="KT14" s="1" t="s">
        <v>10490</v>
      </c>
      <c r="KU14" s="1" t="s">
        <v>10491</v>
      </c>
      <c r="KV14" s="1" t="s">
        <v>10492</v>
      </c>
      <c r="KW14" s="1" t="s">
        <v>10493</v>
      </c>
      <c r="KX14" s="1" t="s">
        <v>10494</v>
      </c>
      <c r="KY14" s="1" t="s">
        <v>10495</v>
      </c>
      <c r="KZ14" s="1" t="s">
        <v>10496</v>
      </c>
      <c r="LA14" s="1" t="s">
        <v>10497</v>
      </c>
      <c r="LB14" s="1" t="s">
        <v>10498</v>
      </c>
      <c r="LC14" s="1" t="s">
        <v>10499</v>
      </c>
      <c r="LD14" s="1" t="s">
        <v>10500</v>
      </c>
      <c r="LE14" s="1" t="s">
        <v>10501</v>
      </c>
      <c r="LF14" s="1" t="s">
        <v>10502</v>
      </c>
      <c r="LG14" s="1" t="s">
        <v>10503</v>
      </c>
      <c r="LH14" s="1" t="s">
        <v>10504</v>
      </c>
      <c r="LI14" s="1" t="s">
        <v>10505</v>
      </c>
      <c r="LJ14" s="1" t="s">
        <v>10506</v>
      </c>
      <c r="LK14" s="1" t="s">
        <v>10507</v>
      </c>
      <c r="LL14" s="1" t="s">
        <v>10508</v>
      </c>
      <c r="LM14" s="1" t="s">
        <v>10509</v>
      </c>
      <c r="LN14" s="1" t="s">
        <v>10510</v>
      </c>
      <c r="LO14" s="1" t="s">
        <v>10511</v>
      </c>
      <c r="LP14" s="1" t="s">
        <v>10512</v>
      </c>
      <c r="LQ14" s="1" t="s">
        <v>10513</v>
      </c>
      <c r="LR14" s="1" t="s">
        <v>10514</v>
      </c>
      <c r="LS14" s="1" t="s">
        <v>10515</v>
      </c>
      <c r="LT14" s="1" t="s">
        <v>10516</v>
      </c>
      <c r="LU14" s="1" t="s">
        <v>10517</v>
      </c>
      <c r="LV14" s="1" t="s">
        <v>10518</v>
      </c>
      <c r="LW14" s="1" t="s">
        <v>10519</v>
      </c>
      <c r="LX14" s="1" t="s">
        <v>10520</v>
      </c>
      <c r="LY14" s="1" t="s">
        <v>10521</v>
      </c>
      <c r="LZ14" s="1" t="s">
        <v>10522</v>
      </c>
      <c r="MA14" s="1" t="s">
        <v>10523</v>
      </c>
      <c r="MB14" s="1" t="s">
        <v>10524</v>
      </c>
      <c r="MC14" s="1" t="s">
        <v>10525</v>
      </c>
      <c r="MD14" s="1" t="s">
        <v>10526</v>
      </c>
      <c r="ME14" s="1" t="s">
        <v>10527</v>
      </c>
      <c r="MF14" s="1" t="s">
        <v>10528</v>
      </c>
      <c r="MG14" s="1" t="s">
        <v>10529</v>
      </c>
      <c r="MH14" s="1" t="s">
        <v>10530</v>
      </c>
      <c r="MI14" s="1" t="s">
        <v>10531</v>
      </c>
      <c r="MJ14" s="1" t="s">
        <v>10532</v>
      </c>
      <c r="MK14" s="1" t="s">
        <v>10533</v>
      </c>
      <c r="ML14" s="1" t="s">
        <v>10534</v>
      </c>
      <c r="MM14" s="1" t="s">
        <v>10535</v>
      </c>
      <c r="MN14" s="1" t="s">
        <v>10536</v>
      </c>
      <c r="MO14" s="1" t="s">
        <v>10537</v>
      </c>
      <c r="MP14" s="1" t="s">
        <v>10538</v>
      </c>
      <c r="MQ14" s="1" t="s">
        <v>10539</v>
      </c>
      <c r="MR14" s="1" t="s">
        <v>10540</v>
      </c>
      <c r="MS14" s="1" t="s">
        <v>10541</v>
      </c>
      <c r="MT14" s="1" t="s">
        <v>10542</v>
      </c>
      <c r="MU14" s="1" t="s">
        <v>10543</v>
      </c>
      <c r="MV14" s="1" t="s">
        <v>10544</v>
      </c>
      <c r="MW14" s="1" t="s">
        <v>10545</v>
      </c>
      <c r="MX14" s="1" t="s">
        <v>10546</v>
      </c>
      <c r="MY14" s="1" t="s">
        <v>10547</v>
      </c>
      <c r="MZ14" s="1" t="s">
        <v>10548</v>
      </c>
      <c r="NA14" s="1" t="s">
        <v>10549</v>
      </c>
      <c r="NB14" s="1" t="s">
        <v>10550</v>
      </c>
      <c r="NC14" s="1" t="s">
        <v>10551</v>
      </c>
      <c r="ND14" s="1" t="s">
        <v>10552</v>
      </c>
      <c r="NE14" s="1" t="s">
        <v>10553</v>
      </c>
      <c r="NF14" s="1" t="s">
        <v>10554</v>
      </c>
      <c r="NG14" s="1" t="s">
        <v>10555</v>
      </c>
      <c r="NH14" s="1" t="s">
        <v>10556</v>
      </c>
      <c r="NI14" s="1" t="s">
        <v>10557</v>
      </c>
      <c r="NJ14" s="1" t="s">
        <v>10558</v>
      </c>
      <c r="NK14" s="1" t="s">
        <v>10559</v>
      </c>
      <c r="NL14" s="1" t="s">
        <v>10560</v>
      </c>
      <c r="NM14" s="1" t="s">
        <v>10561</v>
      </c>
      <c r="NN14" s="1" t="s">
        <v>10562</v>
      </c>
      <c r="NO14" s="1" t="s">
        <v>10563</v>
      </c>
      <c r="NP14" s="1" t="s">
        <v>10564</v>
      </c>
      <c r="NQ14" s="1" t="s">
        <v>10565</v>
      </c>
      <c r="NR14" s="1" t="s">
        <v>10566</v>
      </c>
      <c r="NS14" s="1" t="s">
        <v>10567</v>
      </c>
      <c r="NT14" s="1" t="s">
        <v>10568</v>
      </c>
      <c r="NU14" s="1" t="s">
        <v>10569</v>
      </c>
      <c r="NV14" s="1" t="s">
        <v>10570</v>
      </c>
      <c r="NW14" s="1" t="s">
        <v>10571</v>
      </c>
      <c r="NX14" s="1" t="s">
        <v>10572</v>
      </c>
      <c r="NY14" s="1" t="s">
        <v>10573</v>
      </c>
      <c r="NZ14" s="1" t="s">
        <v>10574</v>
      </c>
      <c r="OA14" s="1" t="s">
        <v>10575</v>
      </c>
      <c r="OB14" s="1" t="s">
        <v>10576</v>
      </c>
      <c r="OC14" s="1" t="s">
        <v>10577</v>
      </c>
      <c r="OD14" s="1" t="s">
        <v>10578</v>
      </c>
      <c r="OE14" s="1" t="s">
        <v>10579</v>
      </c>
      <c r="OF14" s="1" t="s">
        <v>10580</v>
      </c>
      <c r="OG14" s="1" t="s">
        <v>10581</v>
      </c>
      <c r="OH14" s="1" t="s">
        <v>10582</v>
      </c>
      <c r="OI14" s="1" t="s">
        <v>10583</v>
      </c>
      <c r="OJ14" s="1" t="s">
        <v>10584</v>
      </c>
      <c r="OK14" s="1" t="s">
        <v>10585</v>
      </c>
      <c r="OL14" s="1" t="s">
        <v>10586</v>
      </c>
      <c r="OM14" s="1" t="s">
        <v>10587</v>
      </c>
      <c r="ON14" s="1" t="s">
        <v>10588</v>
      </c>
      <c r="OO14" s="1" t="s">
        <v>10589</v>
      </c>
      <c r="OP14" s="1" t="s">
        <v>10590</v>
      </c>
      <c r="OQ14" s="1" t="s">
        <v>10591</v>
      </c>
      <c r="OR14" s="1" t="s">
        <v>10592</v>
      </c>
      <c r="OS14" s="1" t="s">
        <v>10593</v>
      </c>
      <c r="OT14" s="1" t="s">
        <v>10594</v>
      </c>
      <c r="OU14" s="1" t="s">
        <v>10595</v>
      </c>
      <c r="OV14" s="1" t="s">
        <v>10596</v>
      </c>
      <c r="OW14" s="1" t="s">
        <v>10597</v>
      </c>
      <c r="OX14" s="1" t="s">
        <v>10598</v>
      </c>
      <c r="OY14" s="1" t="s">
        <v>10599</v>
      </c>
      <c r="OZ14" s="1" t="s">
        <v>10600</v>
      </c>
      <c r="PA14" s="1" t="s">
        <v>10601</v>
      </c>
      <c r="PB14" s="1" t="s">
        <v>10602</v>
      </c>
      <c r="PC14" s="1" t="s">
        <v>10603</v>
      </c>
      <c r="PD14" s="1" t="s">
        <v>10604</v>
      </c>
      <c r="PE14" s="1" t="s">
        <v>10605</v>
      </c>
      <c r="PF14" s="1" t="s">
        <v>10606</v>
      </c>
      <c r="PG14" s="1" t="s">
        <v>10607</v>
      </c>
      <c r="PH14" s="1" t="s">
        <v>10608</v>
      </c>
      <c r="PI14" s="1" t="s">
        <v>10609</v>
      </c>
      <c r="PJ14" s="1" t="s">
        <v>10610</v>
      </c>
      <c r="PK14" s="1" t="s">
        <v>10611</v>
      </c>
      <c r="PL14" s="1" t="s">
        <v>10612</v>
      </c>
      <c r="PM14" s="1" t="s">
        <v>10613</v>
      </c>
      <c r="PN14" s="1" t="s">
        <v>10614</v>
      </c>
      <c r="PO14" s="1" t="s">
        <v>10615</v>
      </c>
      <c r="PP14" s="1" t="s">
        <v>10616</v>
      </c>
      <c r="PQ14" s="1" t="s">
        <v>10617</v>
      </c>
      <c r="PR14" s="1" t="s">
        <v>10618</v>
      </c>
      <c r="PS14" s="1" t="s">
        <v>10619</v>
      </c>
      <c r="PT14" s="1" t="s">
        <v>10620</v>
      </c>
      <c r="PU14" s="1" t="s">
        <v>10621</v>
      </c>
      <c r="PV14" s="1" t="s">
        <v>10622</v>
      </c>
      <c r="PW14" s="1" t="s">
        <v>10623</v>
      </c>
      <c r="PX14" s="1" t="s">
        <v>10624</v>
      </c>
      <c r="PY14" s="1" t="s">
        <v>10625</v>
      </c>
      <c r="PZ14" s="1" t="s">
        <v>10626</v>
      </c>
      <c r="QA14" s="1" t="s">
        <v>10627</v>
      </c>
      <c r="QB14" s="1" t="s">
        <v>10628</v>
      </c>
      <c r="QC14" s="1" t="s">
        <v>10629</v>
      </c>
      <c r="QD14" s="1" t="s">
        <v>10630</v>
      </c>
      <c r="QE14" s="1" t="s">
        <v>10631</v>
      </c>
      <c r="QF14" s="1" t="s">
        <v>10632</v>
      </c>
      <c r="QG14" s="1" t="s">
        <v>10633</v>
      </c>
      <c r="QH14" s="1" t="s">
        <v>10634</v>
      </c>
      <c r="QI14" s="1" t="s">
        <v>10635</v>
      </c>
      <c r="QJ14" s="1" t="s">
        <v>10636</v>
      </c>
      <c r="QK14" s="1" t="s">
        <v>10637</v>
      </c>
      <c r="QL14" s="1" t="s">
        <v>10638</v>
      </c>
      <c r="QM14" s="1" t="s">
        <v>10639</v>
      </c>
      <c r="QN14" s="1" t="s">
        <v>10640</v>
      </c>
      <c r="QO14" s="1" t="s">
        <v>10641</v>
      </c>
      <c r="QP14" s="1" t="s">
        <v>10642</v>
      </c>
      <c r="QQ14" s="1" t="s">
        <v>10643</v>
      </c>
      <c r="QR14" s="1" t="s">
        <v>10644</v>
      </c>
      <c r="QS14" s="1" t="s">
        <v>10645</v>
      </c>
      <c r="QT14" s="1" t="s">
        <v>10646</v>
      </c>
      <c r="QU14" s="1" t="s">
        <v>10647</v>
      </c>
      <c r="QV14" s="1" t="s">
        <v>10648</v>
      </c>
      <c r="QW14" s="1" t="s">
        <v>10649</v>
      </c>
      <c r="QX14" s="1" t="s">
        <v>10650</v>
      </c>
      <c r="QY14" s="1" t="s">
        <v>10651</v>
      </c>
      <c r="QZ14" s="1" t="s">
        <v>10652</v>
      </c>
      <c r="RA14" s="1" t="s">
        <v>10653</v>
      </c>
      <c r="RB14" s="1" t="s">
        <v>10654</v>
      </c>
      <c r="RC14" s="1" t="s">
        <v>10655</v>
      </c>
      <c r="RD14" s="1" t="s">
        <v>10656</v>
      </c>
      <c r="RE14" s="1" t="s">
        <v>10657</v>
      </c>
      <c r="RF14" s="1" t="s">
        <v>10658</v>
      </c>
      <c r="RG14" s="1" t="s">
        <v>10659</v>
      </c>
      <c r="RH14" s="1" t="s">
        <v>10660</v>
      </c>
      <c r="RI14" s="1" t="s">
        <v>10661</v>
      </c>
      <c r="RJ14" s="1" t="s">
        <v>10662</v>
      </c>
      <c r="RK14" s="1" t="s">
        <v>10663</v>
      </c>
      <c r="RL14" s="1" t="s">
        <v>10664</v>
      </c>
      <c r="RM14" s="1" t="s">
        <v>10665</v>
      </c>
      <c r="RN14" s="1" t="s">
        <v>10666</v>
      </c>
      <c r="RO14" s="1" t="s">
        <v>10667</v>
      </c>
      <c r="RP14" s="1" t="s">
        <v>10668</v>
      </c>
      <c r="RQ14" s="1" t="s">
        <v>10669</v>
      </c>
      <c r="RR14" s="1" t="s">
        <v>10670</v>
      </c>
      <c r="RS14" s="1" t="s">
        <v>10671</v>
      </c>
      <c r="RT14" s="1" t="s">
        <v>10672</v>
      </c>
      <c r="RU14" s="1" t="s">
        <v>10673</v>
      </c>
      <c r="RV14" s="1" t="s">
        <v>10674</v>
      </c>
      <c r="RW14" s="1" t="s">
        <v>10675</v>
      </c>
      <c r="RX14" s="1" t="s">
        <v>10676</v>
      </c>
      <c r="RY14" s="1" t="s">
        <v>10677</v>
      </c>
      <c r="RZ14" s="1" t="s">
        <v>10678</v>
      </c>
      <c r="SA14" s="1" t="s">
        <v>10679</v>
      </c>
      <c r="SB14" s="1" t="s">
        <v>10680</v>
      </c>
      <c r="SC14" s="1" t="s">
        <v>10681</v>
      </c>
      <c r="SD14" s="1" t="s">
        <v>10682</v>
      </c>
      <c r="SE14" s="1" t="s">
        <v>10683</v>
      </c>
      <c r="SF14" s="1" t="s">
        <v>10684</v>
      </c>
      <c r="SG14" s="1" t="s">
        <v>10685</v>
      </c>
      <c r="SH14" s="1" t="s">
        <v>10686</v>
      </c>
      <c r="SI14" s="1" t="s">
        <v>10687</v>
      </c>
      <c r="SJ14" s="1" t="s">
        <v>10688</v>
      </c>
      <c r="SK14" s="1" t="s">
        <v>10689</v>
      </c>
      <c r="SL14" s="1" t="s">
        <v>10690</v>
      </c>
      <c r="SM14" s="1" t="s">
        <v>10691</v>
      </c>
      <c r="SN14" s="1" t="s">
        <v>10692</v>
      </c>
      <c r="SO14" s="1" t="s">
        <v>10693</v>
      </c>
      <c r="SP14" s="1" t="s">
        <v>10694</v>
      </c>
      <c r="SQ14" s="1" t="s">
        <v>10695</v>
      </c>
      <c r="SR14" s="1" t="s">
        <v>10696</v>
      </c>
      <c r="SS14" s="1" t="s">
        <v>10697</v>
      </c>
      <c r="ST14" s="1" t="s">
        <v>10698</v>
      </c>
      <c r="SU14" s="1" t="s">
        <v>10699</v>
      </c>
      <c r="SV14" s="1" t="s">
        <v>10700</v>
      </c>
      <c r="SW14" s="1" t="s">
        <v>10701</v>
      </c>
      <c r="SX14" s="1" t="s">
        <v>10702</v>
      </c>
      <c r="SY14" s="1" t="s">
        <v>10703</v>
      </c>
      <c r="SZ14" s="1" t="s">
        <v>10704</v>
      </c>
      <c r="TA14" s="1" t="s">
        <v>10705</v>
      </c>
      <c r="TB14" s="1" t="s">
        <v>10706</v>
      </c>
      <c r="TC14" s="1" t="s">
        <v>10707</v>
      </c>
      <c r="TD14" s="1" t="s">
        <v>10708</v>
      </c>
      <c r="TE14" s="1" t="s">
        <v>10709</v>
      </c>
      <c r="TF14" s="1" t="s">
        <v>10710</v>
      </c>
      <c r="TG14" s="1" t="s">
        <v>10711</v>
      </c>
      <c r="TH14" s="1" t="s">
        <v>10712</v>
      </c>
      <c r="TI14" s="1" t="s">
        <v>10713</v>
      </c>
      <c r="TJ14" s="1" t="s">
        <v>10714</v>
      </c>
      <c r="TK14" s="1" t="s">
        <v>10715</v>
      </c>
      <c r="TL14" s="1" t="s">
        <v>10716</v>
      </c>
      <c r="TM14" s="1" t="s">
        <v>10717</v>
      </c>
      <c r="TN14" s="1" t="s">
        <v>10718</v>
      </c>
      <c r="TO14" s="1" t="s">
        <v>10719</v>
      </c>
      <c r="TP14" s="1" t="s">
        <v>10720</v>
      </c>
      <c r="TQ14" s="1" t="s">
        <v>10721</v>
      </c>
      <c r="TR14" s="1" t="s">
        <v>10722</v>
      </c>
      <c r="TS14" s="1" t="s">
        <v>10723</v>
      </c>
      <c r="TT14" s="1" t="s">
        <v>10724</v>
      </c>
      <c r="TU14" s="1" t="s">
        <v>10725</v>
      </c>
      <c r="TV14" s="1" t="s">
        <v>10726</v>
      </c>
      <c r="TW14" s="1" t="s">
        <v>10727</v>
      </c>
      <c r="TX14" s="1" t="s">
        <v>10728</v>
      </c>
      <c r="TY14" s="1" t="s">
        <v>10729</v>
      </c>
      <c r="TZ14" s="1" t="s">
        <v>10730</v>
      </c>
      <c r="UA14" s="1" t="s">
        <v>10731</v>
      </c>
      <c r="UB14" s="1" t="s">
        <v>10732</v>
      </c>
      <c r="UC14" s="1" t="s">
        <v>10733</v>
      </c>
      <c r="UD14" s="1" t="s">
        <v>10734</v>
      </c>
      <c r="UE14" s="1" t="s">
        <v>10735</v>
      </c>
      <c r="UF14" s="1" t="s">
        <v>10736</v>
      </c>
      <c r="UG14" s="1" t="s">
        <v>10737</v>
      </c>
      <c r="UH14" s="1" t="s">
        <v>10738</v>
      </c>
      <c r="UI14" s="1" t="s">
        <v>10739</v>
      </c>
      <c r="UJ14" s="1" t="s">
        <v>10740</v>
      </c>
      <c r="UK14" s="1" t="s">
        <v>10741</v>
      </c>
      <c r="UL14" s="1" t="s">
        <v>10742</v>
      </c>
      <c r="UM14" s="1" t="s">
        <v>10743</v>
      </c>
      <c r="UN14" s="1" t="s">
        <v>10744</v>
      </c>
      <c r="UO14" s="1" t="s">
        <v>10745</v>
      </c>
      <c r="UP14" s="1" t="s">
        <v>10746</v>
      </c>
      <c r="UQ14" s="1" t="s">
        <v>10747</v>
      </c>
      <c r="UR14" s="1" t="s">
        <v>10748</v>
      </c>
      <c r="US14" s="1" t="s">
        <v>10749</v>
      </c>
      <c r="UT14" s="1" t="s">
        <v>10750</v>
      </c>
      <c r="UU14" s="1" t="s">
        <v>10751</v>
      </c>
      <c r="UV14" s="1" t="s">
        <v>10752</v>
      </c>
      <c r="UW14" s="1" t="s">
        <v>10753</v>
      </c>
      <c r="UX14" s="1" t="s">
        <v>10754</v>
      </c>
      <c r="UY14" s="1" t="s">
        <v>10755</v>
      </c>
      <c r="UZ14" s="1" t="s">
        <v>10756</v>
      </c>
      <c r="VA14" s="1" t="s">
        <v>10757</v>
      </c>
      <c r="VB14" s="1" t="s">
        <v>10758</v>
      </c>
      <c r="VC14" s="1" t="s">
        <v>10759</v>
      </c>
      <c r="VD14" s="1" t="s">
        <v>10760</v>
      </c>
      <c r="VE14" s="1" t="s">
        <v>10761</v>
      </c>
      <c r="VF14" s="1" t="s">
        <v>10762</v>
      </c>
      <c r="VG14" s="1" t="s">
        <v>10763</v>
      </c>
      <c r="VH14" s="1" t="s">
        <v>10764</v>
      </c>
      <c r="VI14" s="1" t="s">
        <v>10765</v>
      </c>
      <c r="VJ14" s="1" t="s">
        <v>10766</v>
      </c>
      <c r="VK14" s="1" t="s">
        <v>10767</v>
      </c>
      <c r="VL14" s="1" t="s">
        <v>10768</v>
      </c>
      <c r="VM14" s="1" t="s">
        <v>10769</v>
      </c>
      <c r="VN14" s="1" t="s">
        <v>10770</v>
      </c>
      <c r="VO14" s="1" t="s">
        <v>10771</v>
      </c>
      <c r="VP14" s="1" t="s">
        <v>10772</v>
      </c>
      <c r="VQ14" s="1" t="s">
        <v>10773</v>
      </c>
      <c r="VR14" s="1" t="s">
        <v>10774</v>
      </c>
      <c r="VS14" s="1" t="s">
        <v>10775</v>
      </c>
      <c r="VT14" s="1" t="s">
        <v>10776</v>
      </c>
      <c r="VU14" s="1" t="s">
        <v>10777</v>
      </c>
      <c r="VV14" s="1" t="s">
        <v>10778</v>
      </c>
      <c r="VW14" s="1" t="s">
        <v>10779</v>
      </c>
      <c r="VX14" s="1" t="s">
        <v>10780</v>
      </c>
      <c r="VY14" s="1" t="s">
        <v>10781</v>
      </c>
      <c r="VZ14" s="1" t="s">
        <v>10782</v>
      </c>
      <c r="WA14" s="1" t="s">
        <v>10783</v>
      </c>
      <c r="WB14" s="1" t="s">
        <v>10784</v>
      </c>
      <c r="WC14" s="1" t="s">
        <v>10785</v>
      </c>
      <c r="WD14" s="1" t="s">
        <v>10786</v>
      </c>
      <c r="WE14" s="1" t="s">
        <v>10787</v>
      </c>
      <c r="WF14" s="1" t="s">
        <v>10788</v>
      </c>
      <c r="WG14" s="1" t="s">
        <v>10789</v>
      </c>
      <c r="WH14" s="1" t="s">
        <v>10790</v>
      </c>
      <c r="WI14" s="1" t="s">
        <v>10791</v>
      </c>
      <c r="WJ14" s="1" t="s">
        <v>10792</v>
      </c>
      <c r="WK14" s="1" t="s">
        <v>10793</v>
      </c>
      <c r="WL14" s="1" t="s">
        <v>10794</v>
      </c>
      <c r="WM14" s="1" t="s">
        <v>10795</v>
      </c>
      <c r="WN14" s="1" t="s">
        <v>10796</v>
      </c>
      <c r="WO14" s="1" t="s">
        <v>10797</v>
      </c>
      <c r="WP14" s="1" t="s">
        <v>10798</v>
      </c>
      <c r="WQ14" s="1" t="s">
        <v>10799</v>
      </c>
      <c r="WR14" s="1" t="s">
        <v>10800</v>
      </c>
      <c r="WS14" s="1" t="s">
        <v>10801</v>
      </c>
      <c r="WT14" s="1" t="s">
        <v>10802</v>
      </c>
      <c r="WU14" s="1" t="s">
        <v>10803</v>
      </c>
      <c r="WV14" s="1" t="s">
        <v>10804</v>
      </c>
      <c r="WW14" s="1" t="s">
        <v>10805</v>
      </c>
      <c r="WX14" s="1" t="s">
        <v>10806</v>
      </c>
      <c r="WY14" s="1" t="s">
        <v>10807</v>
      </c>
      <c r="WZ14" s="1" t="s">
        <v>10808</v>
      </c>
      <c r="XA14" s="1" t="s">
        <v>10809</v>
      </c>
      <c r="XB14" s="1" t="s">
        <v>10810</v>
      </c>
      <c r="XC14" s="1" t="s">
        <v>10811</v>
      </c>
      <c r="XD14" s="1" t="s">
        <v>10812</v>
      </c>
      <c r="XE14" s="1" t="s">
        <v>10813</v>
      </c>
      <c r="XF14" s="1" t="s">
        <v>10814</v>
      </c>
      <c r="XG14" s="1" t="s">
        <v>10815</v>
      </c>
      <c r="XH14" s="1" t="s">
        <v>10816</v>
      </c>
      <c r="XI14" s="1" t="s">
        <v>10817</v>
      </c>
      <c r="XJ14" s="1" t="s">
        <v>10818</v>
      </c>
      <c r="XK14" s="1" t="s">
        <v>10819</v>
      </c>
      <c r="XL14" s="1" t="s">
        <v>10820</v>
      </c>
      <c r="XM14" s="1" t="s">
        <v>10821</v>
      </c>
      <c r="XN14" s="1" t="s">
        <v>10822</v>
      </c>
      <c r="XO14" s="1" t="s">
        <v>10823</v>
      </c>
      <c r="XP14" s="1" t="s">
        <v>10824</v>
      </c>
      <c r="XQ14" s="1" t="s">
        <v>10825</v>
      </c>
      <c r="XR14" s="1" t="s">
        <v>10826</v>
      </c>
      <c r="XS14" s="1" t="s">
        <v>10827</v>
      </c>
      <c r="XT14" s="1" t="s">
        <v>10828</v>
      </c>
      <c r="XU14" s="1" t="s">
        <v>10829</v>
      </c>
      <c r="XV14" s="1" t="s">
        <v>10830</v>
      </c>
      <c r="XW14" s="1" t="s">
        <v>10831</v>
      </c>
      <c r="XX14" s="1" t="s">
        <v>10832</v>
      </c>
      <c r="XY14" s="1" t="s">
        <v>10833</v>
      </c>
      <c r="XZ14" s="1" t="s">
        <v>10834</v>
      </c>
      <c r="YA14" s="1" t="s">
        <v>10835</v>
      </c>
      <c r="YB14" s="1" t="s">
        <v>10836</v>
      </c>
      <c r="YC14" s="1" t="s">
        <v>10837</v>
      </c>
      <c r="YD14" s="1" t="s">
        <v>10838</v>
      </c>
      <c r="YE14" s="1" t="s">
        <v>10839</v>
      </c>
      <c r="YF14" s="1" t="s">
        <v>10840</v>
      </c>
      <c r="YG14" s="1" t="s">
        <v>10841</v>
      </c>
      <c r="YH14" s="1" t="s">
        <v>10842</v>
      </c>
      <c r="YI14" s="1" t="s">
        <v>10843</v>
      </c>
      <c r="YJ14" s="1" t="s">
        <v>10844</v>
      </c>
      <c r="YK14" s="1" t="s">
        <v>10845</v>
      </c>
      <c r="YL14" s="1" t="s">
        <v>10846</v>
      </c>
      <c r="YM14" s="1" t="s">
        <v>10847</v>
      </c>
      <c r="YN14" s="1" t="s">
        <v>10848</v>
      </c>
      <c r="YO14" s="1" t="s">
        <v>10849</v>
      </c>
      <c r="YP14" s="1" t="s">
        <v>10850</v>
      </c>
      <c r="YQ14" s="1" t="s">
        <v>10851</v>
      </c>
      <c r="YR14" s="1" t="s">
        <v>10852</v>
      </c>
      <c r="YS14" s="1" t="s">
        <v>10853</v>
      </c>
      <c r="YT14" s="1" t="s">
        <v>10854</v>
      </c>
      <c r="YU14" s="1" t="s">
        <v>10855</v>
      </c>
      <c r="YV14" s="1" t="s">
        <v>10856</v>
      </c>
      <c r="YW14" s="1" t="s">
        <v>10857</v>
      </c>
      <c r="YX14" s="1" t="s">
        <v>10858</v>
      </c>
      <c r="YY14" s="1" t="s">
        <v>10859</v>
      </c>
      <c r="YZ14" s="1" t="s">
        <v>10860</v>
      </c>
      <c r="ZA14" s="1" t="s">
        <v>10861</v>
      </c>
      <c r="ZB14" s="1" t="s">
        <v>10862</v>
      </c>
      <c r="ZC14" s="1" t="s">
        <v>10863</v>
      </c>
      <c r="ZD14" s="1" t="s">
        <v>10864</v>
      </c>
      <c r="ZE14" s="1" t="s">
        <v>10865</v>
      </c>
      <c r="ZF14" s="1" t="s">
        <v>10866</v>
      </c>
      <c r="ZG14" s="1" t="s">
        <v>10867</v>
      </c>
      <c r="ZH14" s="1" t="s">
        <v>10868</v>
      </c>
      <c r="ZI14" s="1" t="s">
        <v>10869</v>
      </c>
      <c r="ZJ14" s="1" t="s">
        <v>10870</v>
      </c>
      <c r="ZK14" s="1" t="s">
        <v>10871</v>
      </c>
      <c r="ZL14" s="1" t="s">
        <v>10872</v>
      </c>
      <c r="ZM14" s="1" t="s">
        <v>10873</v>
      </c>
      <c r="ZN14" s="1" t="s">
        <v>10874</v>
      </c>
      <c r="ZO14" s="1" t="s">
        <v>10875</v>
      </c>
      <c r="ZP14" s="1" t="s">
        <v>10876</v>
      </c>
      <c r="ZQ14" s="1" t="s">
        <v>10877</v>
      </c>
      <c r="ZR14" s="1" t="s">
        <v>10878</v>
      </c>
      <c r="ZS14" s="1" t="s">
        <v>10879</v>
      </c>
      <c r="ZT14" s="1" t="s">
        <v>10880</v>
      </c>
      <c r="ZU14" s="1" t="s">
        <v>10881</v>
      </c>
      <c r="ZV14" s="1" t="s">
        <v>10882</v>
      </c>
      <c r="ZW14" s="1" t="s">
        <v>10883</v>
      </c>
      <c r="ZX14" s="1" t="s">
        <v>10884</v>
      </c>
      <c r="ZY14" s="1" t="s">
        <v>10885</v>
      </c>
      <c r="ZZ14" s="1" t="s">
        <v>10886</v>
      </c>
      <c r="AAA14" s="1" t="s">
        <v>10887</v>
      </c>
      <c r="AAB14" s="1" t="s">
        <v>10888</v>
      </c>
      <c r="AAC14" s="1" t="s">
        <v>10889</v>
      </c>
      <c r="AAD14" s="1" t="s">
        <v>10890</v>
      </c>
      <c r="AAE14" s="1" t="s">
        <v>10891</v>
      </c>
      <c r="AAF14" s="1" t="s">
        <v>10892</v>
      </c>
      <c r="AAG14" s="1" t="s">
        <v>10893</v>
      </c>
      <c r="AAH14" s="1" t="s">
        <v>10894</v>
      </c>
      <c r="AAI14" s="1" t="s">
        <v>10895</v>
      </c>
      <c r="AAJ14" s="1" t="s">
        <v>10896</v>
      </c>
      <c r="AAK14" s="1" t="s">
        <v>10897</v>
      </c>
      <c r="AAL14" s="1" t="s">
        <v>10898</v>
      </c>
      <c r="AAM14" s="1" t="s">
        <v>10899</v>
      </c>
      <c r="AAN14" s="1" t="s">
        <v>10900</v>
      </c>
      <c r="AAO14" s="1" t="s">
        <v>10901</v>
      </c>
      <c r="AAP14" s="1" t="s">
        <v>10902</v>
      </c>
      <c r="AAQ14" s="1" t="s">
        <v>10903</v>
      </c>
      <c r="AAR14" s="1" t="s">
        <v>10904</v>
      </c>
      <c r="AAS14" s="1" t="s">
        <v>10905</v>
      </c>
      <c r="AAT14" s="1" t="s">
        <v>10906</v>
      </c>
      <c r="AAU14" s="1" t="s">
        <v>10907</v>
      </c>
      <c r="AAV14" s="1" t="s">
        <v>10908</v>
      </c>
      <c r="AAW14" s="1" t="s">
        <v>10909</v>
      </c>
      <c r="AAX14" s="1" t="s">
        <v>10910</v>
      </c>
      <c r="AAY14" s="1" t="s">
        <v>10911</v>
      </c>
      <c r="AAZ14" s="1" t="s">
        <v>10912</v>
      </c>
      <c r="ABA14" s="1" t="s">
        <v>10913</v>
      </c>
      <c r="ABB14" s="1" t="s">
        <v>10914</v>
      </c>
      <c r="ABC14" s="1" t="s">
        <v>10915</v>
      </c>
      <c r="ABD14" s="1" t="s">
        <v>10916</v>
      </c>
      <c r="ABE14" s="1" t="s">
        <v>10917</v>
      </c>
      <c r="ABF14" s="1" t="s">
        <v>10918</v>
      </c>
      <c r="ABG14" s="1" t="s">
        <v>10919</v>
      </c>
      <c r="ABH14" s="1" t="s">
        <v>10920</v>
      </c>
      <c r="ABI14" s="1" t="s">
        <v>10921</v>
      </c>
      <c r="ABJ14" s="1" t="s">
        <v>10922</v>
      </c>
      <c r="ABK14" s="1" t="s">
        <v>10923</v>
      </c>
      <c r="ABL14" s="1" t="s">
        <v>10924</v>
      </c>
      <c r="ABM14" s="1" t="s">
        <v>10925</v>
      </c>
      <c r="ABN14" s="1" t="s">
        <v>10926</v>
      </c>
      <c r="ABO14" s="1" t="s">
        <v>10927</v>
      </c>
      <c r="ABP14" s="1" t="s">
        <v>10928</v>
      </c>
      <c r="ABQ14" s="1" t="s">
        <v>10929</v>
      </c>
      <c r="ABR14" s="1" t="s">
        <v>10930</v>
      </c>
      <c r="ABS14" s="1" t="s">
        <v>10931</v>
      </c>
      <c r="ABT14" s="1" t="s">
        <v>10932</v>
      </c>
      <c r="ABU14" s="1" t="s">
        <v>10933</v>
      </c>
      <c r="ABV14" s="1" t="s">
        <v>10934</v>
      </c>
      <c r="ABW14" s="1" t="s">
        <v>10935</v>
      </c>
      <c r="ABX14" s="1" t="s">
        <v>10936</v>
      </c>
      <c r="ABY14" s="1" t="s">
        <v>10937</v>
      </c>
      <c r="ABZ14" s="1" t="s">
        <v>10938</v>
      </c>
      <c r="ACA14" s="1" t="s">
        <v>10939</v>
      </c>
      <c r="ACB14" s="1" t="s">
        <v>10940</v>
      </c>
      <c r="ACC14" s="1" t="s">
        <v>10941</v>
      </c>
      <c r="ACD14" s="1" t="s">
        <v>10942</v>
      </c>
      <c r="ACE14" s="1" t="s">
        <v>10943</v>
      </c>
      <c r="ACF14" s="1" t="s">
        <v>10944</v>
      </c>
      <c r="ACG14" s="1" t="s">
        <v>10945</v>
      </c>
      <c r="ACH14" s="1" t="s">
        <v>10946</v>
      </c>
      <c r="ACI14" s="1" t="s">
        <v>10947</v>
      </c>
      <c r="ACJ14" s="1" t="s">
        <v>10948</v>
      </c>
      <c r="ACK14" s="1" t="s">
        <v>10949</v>
      </c>
      <c r="ACL14" s="1" t="s">
        <v>10950</v>
      </c>
      <c r="ACM14" s="1" t="s">
        <v>10951</v>
      </c>
      <c r="ACN14" s="1" t="s">
        <v>10952</v>
      </c>
      <c r="ACO14" s="1" t="s">
        <v>10953</v>
      </c>
      <c r="ACP14" s="1" t="s">
        <v>10954</v>
      </c>
      <c r="ACQ14" s="1" t="s">
        <v>10955</v>
      </c>
      <c r="ACR14" s="1" t="s">
        <v>10956</v>
      </c>
      <c r="ACS14" s="1" t="s">
        <v>10957</v>
      </c>
      <c r="ACT14" s="1" t="s">
        <v>10958</v>
      </c>
      <c r="ACU14" s="1" t="s">
        <v>10959</v>
      </c>
      <c r="ACV14" s="1" t="s">
        <v>10960</v>
      </c>
      <c r="ACW14" s="1" t="s">
        <v>6</v>
      </c>
      <c r="ACX14" s="1" t="s">
        <v>1501</v>
      </c>
    </row>
    <row r="15" spans="1:778" x14ac:dyDescent="0.2">
      <c r="A15" s="1" t="s">
        <v>93</v>
      </c>
      <c r="B15" s="1" t="s">
        <v>10961</v>
      </c>
      <c r="C15" s="1" t="s">
        <v>10962</v>
      </c>
      <c r="D15" s="1" t="s">
        <v>10963</v>
      </c>
      <c r="E15" s="1" t="s">
        <v>10964</v>
      </c>
      <c r="F15" s="1" t="s">
        <v>10965</v>
      </c>
      <c r="G15" s="1" t="s">
        <v>10966</v>
      </c>
      <c r="H15" s="1" t="s">
        <v>10967</v>
      </c>
      <c r="I15" s="1" t="s">
        <v>10968</v>
      </c>
      <c r="J15" s="1" t="s">
        <v>10969</v>
      </c>
      <c r="K15" s="1" t="s">
        <v>10970</v>
      </c>
      <c r="L15" s="1" t="s">
        <v>10971</v>
      </c>
      <c r="M15" s="1" t="s">
        <v>10972</v>
      </c>
      <c r="N15" s="1" t="s">
        <v>10973</v>
      </c>
      <c r="O15" s="1" t="s">
        <v>10974</v>
      </c>
      <c r="P15" s="1" t="s">
        <v>10975</v>
      </c>
      <c r="Q15" s="1" t="s">
        <v>10976</v>
      </c>
      <c r="R15" s="1" t="s">
        <v>10977</v>
      </c>
      <c r="S15" s="1" t="s">
        <v>10978</v>
      </c>
      <c r="T15" s="1" t="s">
        <v>10979</v>
      </c>
      <c r="U15" s="1" t="s">
        <v>10980</v>
      </c>
      <c r="V15" s="1" t="s">
        <v>10981</v>
      </c>
      <c r="W15" s="1" t="s">
        <v>10982</v>
      </c>
      <c r="X15" s="1" t="s">
        <v>10983</v>
      </c>
      <c r="Y15" s="1" t="s">
        <v>10984</v>
      </c>
      <c r="Z15" s="1" t="s">
        <v>10985</v>
      </c>
      <c r="AA15" s="1" t="s">
        <v>10986</v>
      </c>
      <c r="AB15" s="1" t="s">
        <v>10987</v>
      </c>
      <c r="AC15" s="1" t="s">
        <v>10988</v>
      </c>
      <c r="AD15" s="1" t="s">
        <v>10989</v>
      </c>
      <c r="AE15" s="1" t="s">
        <v>10990</v>
      </c>
      <c r="AF15" s="1" t="s">
        <v>10991</v>
      </c>
      <c r="AG15" s="1" t="s">
        <v>10992</v>
      </c>
      <c r="AH15" s="1" t="s">
        <v>10993</v>
      </c>
      <c r="AI15" s="1" t="s">
        <v>10994</v>
      </c>
      <c r="AJ15" s="1" t="s">
        <v>10995</v>
      </c>
      <c r="AK15" s="1" t="s">
        <v>10996</v>
      </c>
      <c r="AL15" s="1" t="s">
        <v>10997</v>
      </c>
      <c r="AM15" s="1" t="s">
        <v>10998</v>
      </c>
      <c r="AN15" s="1" t="s">
        <v>10999</v>
      </c>
      <c r="AO15" s="1" t="s">
        <v>11000</v>
      </c>
      <c r="AP15" s="1" t="s">
        <v>11001</v>
      </c>
      <c r="AQ15" s="1" t="s">
        <v>11002</v>
      </c>
      <c r="AR15" s="1" t="s">
        <v>11003</v>
      </c>
      <c r="AS15" s="1" t="s">
        <v>11004</v>
      </c>
      <c r="AT15" s="1" t="s">
        <v>11005</v>
      </c>
      <c r="AU15" s="1" t="s">
        <v>11006</v>
      </c>
      <c r="AV15" s="1" t="s">
        <v>11007</v>
      </c>
      <c r="AW15" s="1" t="s">
        <v>11008</v>
      </c>
      <c r="AX15" s="1" t="s">
        <v>11009</v>
      </c>
      <c r="AY15" s="1" t="s">
        <v>11010</v>
      </c>
      <c r="AZ15" s="1" t="s">
        <v>11011</v>
      </c>
      <c r="BA15" s="1" t="s">
        <v>11012</v>
      </c>
      <c r="BB15" s="1" t="s">
        <v>11013</v>
      </c>
      <c r="BC15" s="1" t="s">
        <v>11014</v>
      </c>
      <c r="BD15" s="1" t="s">
        <v>11015</v>
      </c>
      <c r="BE15" s="1" t="s">
        <v>11016</v>
      </c>
      <c r="BF15" s="1" t="s">
        <v>11017</v>
      </c>
      <c r="BG15" s="1" t="s">
        <v>11018</v>
      </c>
      <c r="BH15" s="1" t="s">
        <v>11019</v>
      </c>
      <c r="BI15" s="1" t="s">
        <v>11020</v>
      </c>
      <c r="BJ15" s="1" t="s">
        <v>11021</v>
      </c>
      <c r="BK15" s="1" t="s">
        <v>11022</v>
      </c>
      <c r="BL15" s="1" t="s">
        <v>11023</v>
      </c>
      <c r="BM15" s="1" t="s">
        <v>11024</v>
      </c>
      <c r="BN15" s="1" t="s">
        <v>11025</v>
      </c>
      <c r="BO15" s="1" t="s">
        <v>11026</v>
      </c>
      <c r="BP15" s="1" t="s">
        <v>11027</v>
      </c>
      <c r="BQ15" s="1" t="s">
        <v>11028</v>
      </c>
      <c r="BR15" s="1" t="s">
        <v>11029</v>
      </c>
      <c r="BS15" s="1" t="s">
        <v>11030</v>
      </c>
      <c r="BT15" s="1" t="s">
        <v>11031</v>
      </c>
      <c r="BU15" s="1" t="s">
        <v>11032</v>
      </c>
      <c r="BV15" s="1" t="s">
        <v>11033</v>
      </c>
      <c r="BW15" s="1" t="s">
        <v>11034</v>
      </c>
      <c r="BX15" s="1" t="s">
        <v>11035</v>
      </c>
      <c r="BY15" s="1" t="s">
        <v>11036</v>
      </c>
      <c r="BZ15" s="1" t="s">
        <v>11037</v>
      </c>
      <c r="CA15" s="1" t="s">
        <v>11038</v>
      </c>
      <c r="CB15" s="1" t="s">
        <v>11039</v>
      </c>
      <c r="CC15" s="1" t="s">
        <v>11040</v>
      </c>
      <c r="CD15" s="1" t="s">
        <v>11041</v>
      </c>
      <c r="CE15" s="1" t="s">
        <v>11042</v>
      </c>
      <c r="CF15" s="1" t="s">
        <v>11043</v>
      </c>
      <c r="CG15" s="1" t="s">
        <v>11044</v>
      </c>
      <c r="CH15" s="1" t="s">
        <v>11045</v>
      </c>
      <c r="CI15" s="1" t="s">
        <v>11046</v>
      </c>
      <c r="CJ15" s="1" t="s">
        <v>11047</v>
      </c>
      <c r="CK15" s="1" t="s">
        <v>11048</v>
      </c>
      <c r="CL15" s="1" t="s">
        <v>11049</v>
      </c>
      <c r="CM15" s="1" t="s">
        <v>11050</v>
      </c>
      <c r="CN15" s="1" t="s">
        <v>11051</v>
      </c>
      <c r="CO15" s="1" t="s">
        <v>11052</v>
      </c>
      <c r="CP15" s="1" t="s">
        <v>11053</v>
      </c>
      <c r="CQ15" s="1" t="s">
        <v>11054</v>
      </c>
      <c r="CR15" s="1" t="s">
        <v>11055</v>
      </c>
      <c r="CS15" s="1" t="s">
        <v>11056</v>
      </c>
      <c r="CT15" s="1" t="s">
        <v>11057</v>
      </c>
      <c r="CU15" s="1" t="s">
        <v>11058</v>
      </c>
      <c r="CV15" s="1" t="s">
        <v>11059</v>
      </c>
      <c r="CW15" s="1" t="s">
        <v>11060</v>
      </c>
      <c r="CX15" s="1" t="s">
        <v>11061</v>
      </c>
      <c r="CY15" s="1" t="s">
        <v>11062</v>
      </c>
      <c r="CZ15" s="1" t="s">
        <v>11063</v>
      </c>
      <c r="DA15" s="1" t="s">
        <v>11064</v>
      </c>
      <c r="DB15" s="1" t="s">
        <v>11065</v>
      </c>
      <c r="DC15" s="1" t="s">
        <v>11066</v>
      </c>
      <c r="DD15" s="1" t="s">
        <v>11067</v>
      </c>
      <c r="DE15" s="1" t="s">
        <v>11068</v>
      </c>
      <c r="DF15" s="1" t="s">
        <v>11069</v>
      </c>
      <c r="DG15" s="1" t="s">
        <v>11070</v>
      </c>
      <c r="DH15" s="1" t="s">
        <v>11071</v>
      </c>
      <c r="DI15" s="1" t="s">
        <v>11072</v>
      </c>
      <c r="DJ15" s="1" t="s">
        <v>11073</v>
      </c>
      <c r="DK15" s="1" t="s">
        <v>11074</v>
      </c>
      <c r="DL15" s="1" t="s">
        <v>11075</v>
      </c>
      <c r="DM15" s="1" t="s">
        <v>11076</v>
      </c>
      <c r="DN15" s="1" t="s">
        <v>11077</v>
      </c>
      <c r="DO15" s="1" t="s">
        <v>11078</v>
      </c>
      <c r="DP15" s="1" t="s">
        <v>11079</v>
      </c>
      <c r="DQ15" s="1" t="s">
        <v>11080</v>
      </c>
      <c r="DR15" s="1" t="s">
        <v>11081</v>
      </c>
      <c r="DS15" s="1" t="s">
        <v>11082</v>
      </c>
      <c r="DT15" s="1" t="s">
        <v>11083</v>
      </c>
      <c r="DU15" s="1" t="s">
        <v>11084</v>
      </c>
      <c r="DV15" s="1" t="s">
        <v>11085</v>
      </c>
      <c r="DW15" s="1" t="s">
        <v>11086</v>
      </c>
      <c r="DX15" s="1" t="s">
        <v>11087</v>
      </c>
      <c r="DY15" s="1" t="s">
        <v>11088</v>
      </c>
      <c r="DZ15" s="1" t="s">
        <v>11089</v>
      </c>
      <c r="EA15" s="1" t="s">
        <v>11090</v>
      </c>
      <c r="EB15" s="1" t="s">
        <v>11091</v>
      </c>
      <c r="EC15" s="1" t="s">
        <v>11092</v>
      </c>
      <c r="ED15" s="1" t="s">
        <v>11093</v>
      </c>
      <c r="EE15" s="1" t="s">
        <v>11094</v>
      </c>
      <c r="EF15" s="1" t="s">
        <v>11095</v>
      </c>
      <c r="EG15" s="1" t="s">
        <v>11096</v>
      </c>
      <c r="EH15" s="1" t="s">
        <v>11097</v>
      </c>
      <c r="EI15" s="1" t="s">
        <v>11098</v>
      </c>
      <c r="EJ15" s="1" t="s">
        <v>11099</v>
      </c>
      <c r="EK15" s="1" t="s">
        <v>11100</v>
      </c>
      <c r="EL15" s="1" t="s">
        <v>11101</v>
      </c>
      <c r="EM15" s="1" t="s">
        <v>11102</v>
      </c>
      <c r="EN15" s="1" t="s">
        <v>11103</v>
      </c>
      <c r="EO15" s="1" t="s">
        <v>11104</v>
      </c>
      <c r="EP15" s="1" t="s">
        <v>11105</v>
      </c>
      <c r="EQ15" s="1" t="s">
        <v>11106</v>
      </c>
      <c r="ER15" s="1" t="s">
        <v>11107</v>
      </c>
      <c r="ES15" s="1" t="s">
        <v>11108</v>
      </c>
      <c r="ET15" s="1" t="s">
        <v>11109</v>
      </c>
      <c r="EU15" s="1" t="s">
        <v>11110</v>
      </c>
      <c r="EV15" s="1" t="s">
        <v>11111</v>
      </c>
      <c r="EW15" s="1" t="s">
        <v>11112</v>
      </c>
      <c r="EX15" s="1" t="s">
        <v>11113</v>
      </c>
      <c r="EY15" s="1" t="s">
        <v>11114</v>
      </c>
      <c r="EZ15" s="1" t="s">
        <v>11115</v>
      </c>
      <c r="FA15" s="1" t="s">
        <v>11116</v>
      </c>
      <c r="FB15" s="1" t="s">
        <v>11117</v>
      </c>
      <c r="FC15" s="1" t="s">
        <v>11118</v>
      </c>
      <c r="FD15" s="1" t="s">
        <v>11119</v>
      </c>
      <c r="FE15" s="1" t="s">
        <v>11120</v>
      </c>
      <c r="FF15" s="1" t="s">
        <v>11121</v>
      </c>
      <c r="FG15" s="1" t="s">
        <v>11122</v>
      </c>
      <c r="FH15" s="1" t="s">
        <v>11123</v>
      </c>
      <c r="FI15" s="1" t="s">
        <v>11124</v>
      </c>
      <c r="FJ15" s="1" t="s">
        <v>11125</v>
      </c>
      <c r="FK15" s="1" t="s">
        <v>11126</v>
      </c>
      <c r="FL15" s="1" t="s">
        <v>11127</v>
      </c>
      <c r="FM15" s="1" t="s">
        <v>11128</v>
      </c>
      <c r="FN15" s="1" t="s">
        <v>11129</v>
      </c>
      <c r="FO15" s="1" t="s">
        <v>11130</v>
      </c>
      <c r="FP15" s="1" t="s">
        <v>11131</v>
      </c>
      <c r="FQ15" s="1" t="s">
        <v>11132</v>
      </c>
      <c r="FR15" s="1" t="s">
        <v>11133</v>
      </c>
      <c r="FS15" s="1" t="s">
        <v>11134</v>
      </c>
      <c r="FT15" s="1" t="s">
        <v>11135</v>
      </c>
      <c r="FU15" s="1" t="s">
        <v>11136</v>
      </c>
      <c r="FV15" s="1" t="s">
        <v>11137</v>
      </c>
      <c r="FW15" s="1" t="s">
        <v>11138</v>
      </c>
      <c r="FX15" s="1" t="s">
        <v>11139</v>
      </c>
      <c r="FY15" s="1" t="s">
        <v>11140</v>
      </c>
      <c r="FZ15" s="1" t="s">
        <v>11141</v>
      </c>
      <c r="GA15" s="1" t="s">
        <v>11142</v>
      </c>
      <c r="GB15" s="1" t="s">
        <v>11143</v>
      </c>
      <c r="GC15" s="1" t="s">
        <v>11144</v>
      </c>
      <c r="GD15" s="1" t="s">
        <v>11145</v>
      </c>
      <c r="GE15" s="1" t="s">
        <v>11146</v>
      </c>
      <c r="GF15" s="1" t="s">
        <v>11147</v>
      </c>
      <c r="GG15" s="1" t="s">
        <v>11148</v>
      </c>
      <c r="GH15" s="1" t="s">
        <v>11149</v>
      </c>
      <c r="GI15" s="1" t="s">
        <v>11150</v>
      </c>
      <c r="GJ15" s="1" t="s">
        <v>11151</v>
      </c>
      <c r="GK15" s="1" t="s">
        <v>11152</v>
      </c>
      <c r="GL15" s="1" t="s">
        <v>11153</v>
      </c>
      <c r="GM15" s="1" t="s">
        <v>11154</v>
      </c>
      <c r="GN15" s="1" t="s">
        <v>11155</v>
      </c>
      <c r="GO15" s="1" t="s">
        <v>11156</v>
      </c>
      <c r="GP15" s="1" t="s">
        <v>11157</v>
      </c>
      <c r="GQ15" s="1" t="s">
        <v>11158</v>
      </c>
      <c r="GR15" s="1" t="s">
        <v>11159</v>
      </c>
      <c r="GS15" s="1" t="s">
        <v>11160</v>
      </c>
      <c r="GT15" s="1" t="s">
        <v>11161</v>
      </c>
      <c r="GU15" s="1" t="s">
        <v>11162</v>
      </c>
      <c r="GV15" s="1" t="s">
        <v>11163</v>
      </c>
      <c r="GW15" s="1" t="s">
        <v>11164</v>
      </c>
      <c r="GX15" s="1" t="s">
        <v>11165</v>
      </c>
      <c r="GY15" s="1" t="s">
        <v>11166</v>
      </c>
      <c r="GZ15" s="1" t="s">
        <v>11167</v>
      </c>
      <c r="HA15" s="1" t="s">
        <v>11168</v>
      </c>
      <c r="HB15" s="1" t="s">
        <v>11169</v>
      </c>
      <c r="HC15" s="1" t="s">
        <v>11170</v>
      </c>
      <c r="HD15" s="1" t="s">
        <v>11171</v>
      </c>
      <c r="HE15" s="1" t="s">
        <v>11172</v>
      </c>
      <c r="HF15" s="1" t="s">
        <v>11173</v>
      </c>
      <c r="HG15" s="1" t="s">
        <v>11174</v>
      </c>
      <c r="HH15" s="1" t="s">
        <v>11175</v>
      </c>
      <c r="HI15" s="1" t="s">
        <v>11176</v>
      </c>
      <c r="HJ15" s="1" t="s">
        <v>11177</v>
      </c>
      <c r="HK15" s="1" t="s">
        <v>11178</v>
      </c>
      <c r="HL15" s="1" t="s">
        <v>11179</v>
      </c>
      <c r="HM15" s="1" t="s">
        <v>11180</v>
      </c>
      <c r="HN15" s="1" t="s">
        <v>11181</v>
      </c>
      <c r="HO15" s="1" t="s">
        <v>11182</v>
      </c>
      <c r="HP15" s="1" t="s">
        <v>11183</v>
      </c>
      <c r="HQ15" s="1" t="s">
        <v>11184</v>
      </c>
      <c r="HR15" s="1" t="s">
        <v>11185</v>
      </c>
      <c r="HS15" s="1" t="s">
        <v>11186</v>
      </c>
      <c r="HT15" s="1" t="s">
        <v>11187</v>
      </c>
      <c r="HU15" s="1" t="s">
        <v>11188</v>
      </c>
      <c r="HV15" s="1" t="s">
        <v>11189</v>
      </c>
      <c r="HW15" s="1" t="s">
        <v>11190</v>
      </c>
      <c r="HX15" s="1" t="s">
        <v>11191</v>
      </c>
      <c r="HY15" s="1" t="s">
        <v>11192</v>
      </c>
      <c r="HZ15" s="1" t="s">
        <v>11193</v>
      </c>
      <c r="IA15" s="1" t="s">
        <v>11194</v>
      </c>
      <c r="IB15" s="1" t="s">
        <v>11195</v>
      </c>
      <c r="IC15" s="1" t="s">
        <v>11196</v>
      </c>
      <c r="ID15" s="1" t="s">
        <v>11197</v>
      </c>
      <c r="IE15" s="1" t="s">
        <v>11198</v>
      </c>
      <c r="IF15" s="1" t="s">
        <v>11199</v>
      </c>
      <c r="IG15" s="1" t="s">
        <v>11200</v>
      </c>
      <c r="IH15" s="1" t="s">
        <v>11201</v>
      </c>
      <c r="II15" s="1" t="s">
        <v>11202</v>
      </c>
      <c r="IJ15" s="1" t="s">
        <v>11203</v>
      </c>
      <c r="IK15" s="1" t="s">
        <v>11204</v>
      </c>
      <c r="IL15" s="1" t="s">
        <v>11205</v>
      </c>
      <c r="IM15" s="1" t="s">
        <v>11206</v>
      </c>
      <c r="IN15" s="1" t="s">
        <v>11207</v>
      </c>
      <c r="IO15" s="1" t="s">
        <v>11208</v>
      </c>
      <c r="IP15" s="1" t="s">
        <v>11209</v>
      </c>
      <c r="IQ15" s="1" t="s">
        <v>11210</v>
      </c>
      <c r="IR15" s="1" t="s">
        <v>11211</v>
      </c>
      <c r="IS15" s="1" t="s">
        <v>11212</v>
      </c>
      <c r="IT15" s="1" t="s">
        <v>11213</v>
      </c>
      <c r="IU15" s="1" t="s">
        <v>11214</v>
      </c>
      <c r="IV15" s="1" t="s">
        <v>11215</v>
      </c>
      <c r="IW15" s="1" t="s">
        <v>11216</v>
      </c>
      <c r="IX15" s="1" t="s">
        <v>11217</v>
      </c>
      <c r="IY15" s="1" t="s">
        <v>11218</v>
      </c>
      <c r="IZ15" s="1" t="s">
        <v>11219</v>
      </c>
      <c r="JA15" s="1" t="s">
        <v>11220</v>
      </c>
      <c r="JB15" s="1" t="s">
        <v>11221</v>
      </c>
      <c r="JC15" s="1" t="s">
        <v>11222</v>
      </c>
      <c r="JD15" s="1" t="s">
        <v>11223</v>
      </c>
      <c r="JE15" s="1" t="s">
        <v>11224</v>
      </c>
      <c r="JF15" s="1" t="s">
        <v>11225</v>
      </c>
      <c r="JG15" s="1" t="s">
        <v>11226</v>
      </c>
      <c r="JH15" s="1" t="s">
        <v>11227</v>
      </c>
      <c r="JI15" s="1" t="s">
        <v>11228</v>
      </c>
      <c r="JJ15" s="1" t="s">
        <v>11229</v>
      </c>
      <c r="JK15" s="1" t="s">
        <v>11230</v>
      </c>
      <c r="JL15" s="1" t="s">
        <v>11231</v>
      </c>
      <c r="JM15" s="1" t="s">
        <v>11232</v>
      </c>
      <c r="JN15" s="1" t="s">
        <v>11233</v>
      </c>
      <c r="JO15" s="1" t="s">
        <v>11234</v>
      </c>
      <c r="JP15" s="1" t="s">
        <v>11235</v>
      </c>
      <c r="JQ15" s="1" t="s">
        <v>11236</v>
      </c>
      <c r="JR15" s="1" t="s">
        <v>11237</v>
      </c>
      <c r="JS15" s="1" t="s">
        <v>11238</v>
      </c>
      <c r="JT15" s="1" t="s">
        <v>11239</v>
      </c>
      <c r="JU15" s="1" t="s">
        <v>11240</v>
      </c>
      <c r="JV15" s="1" t="s">
        <v>11241</v>
      </c>
      <c r="JW15" s="1" t="s">
        <v>11242</v>
      </c>
      <c r="JX15" s="1" t="s">
        <v>11243</v>
      </c>
      <c r="JY15" s="1" t="s">
        <v>11244</v>
      </c>
      <c r="JZ15" s="1" t="s">
        <v>11245</v>
      </c>
      <c r="KA15" s="1" t="s">
        <v>11246</v>
      </c>
      <c r="KB15" s="1" t="s">
        <v>11247</v>
      </c>
      <c r="KC15" s="1" t="s">
        <v>11248</v>
      </c>
      <c r="KD15" s="1" t="s">
        <v>11249</v>
      </c>
      <c r="KE15" s="1" t="s">
        <v>11250</v>
      </c>
      <c r="KF15" s="1" t="s">
        <v>11251</v>
      </c>
      <c r="KG15" s="1" t="s">
        <v>11252</v>
      </c>
      <c r="KH15" s="1" t="s">
        <v>11253</v>
      </c>
      <c r="KI15" s="1" t="s">
        <v>11254</v>
      </c>
      <c r="KJ15" s="1" t="s">
        <v>11255</v>
      </c>
      <c r="KK15" s="1" t="s">
        <v>11256</v>
      </c>
      <c r="KL15" s="1" t="s">
        <v>11257</v>
      </c>
      <c r="KM15" s="1" t="s">
        <v>11258</v>
      </c>
      <c r="KN15" s="1" t="s">
        <v>11259</v>
      </c>
      <c r="KO15" s="1" t="s">
        <v>11260</v>
      </c>
      <c r="KP15" s="1" t="s">
        <v>11261</v>
      </c>
      <c r="KQ15" s="1" t="s">
        <v>11262</v>
      </c>
      <c r="KR15" s="1" t="s">
        <v>11263</v>
      </c>
      <c r="KS15" s="1" t="s">
        <v>11264</v>
      </c>
      <c r="KT15" s="1" t="s">
        <v>11265</v>
      </c>
      <c r="KU15" s="1" t="s">
        <v>11266</v>
      </c>
      <c r="KV15" s="1" t="s">
        <v>11267</v>
      </c>
      <c r="KW15" s="1" t="s">
        <v>11268</v>
      </c>
      <c r="KX15" s="1" t="s">
        <v>11269</v>
      </c>
      <c r="KY15" s="1" t="s">
        <v>11270</v>
      </c>
      <c r="KZ15" s="1" t="s">
        <v>11271</v>
      </c>
      <c r="LA15" s="1" t="s">
        <v>11272</v>
      </c>
      <c r="LB15" s="1" t="s">
        <v>11273</v>
      </c>
      <c r="LC15" s="1" t="s">
        <v>11274</v>
      </c>
      <c r="LD15" s="1" t="s">
        <v>11275</v>
      </c>
      <c r="LE15" s="1" t="s">
        <v>11276</v>
      </c>
      <c r="LF15" s="1" t="s">
        <v>11277</v>
      </c>
      <c r="LG15" s="1" t="s">
        <v>11278</v>
      </c>
      <c r="LH15" s="1" t="s">
        <v>11279</v>
      </c>
      <c r="LI15" s="1" t="s">
        <v>11280</v>
      </c>
      <c r="LJ15" s="1" t="s">
        <v>11281</v>
      </c>
      <c r="LK15" s="1" t="s">
        <v>11282</v>
      </c>
      <c r="LL15" s="1" t="s">
        <v>11283</v>
      </c>
      <c r="LM15" s="1" t="s">
        <v>11284</v>
      </c>
      <c r="LN15" s="1" t="s">
        <v>11285</v>
      </c>
      <c r="LO15" s="1" t="s">
        <v>11286</v>
      </c>
      <c r="LP15" s="1" t="s">
        <v>11287</v>
      </c>
      <c r="LQ15" s="1" t="s">
        <v>11288</v>
      </c>
      <c r="LR15" s="1" t="s">
        <v>11289</v>
      </c>
      <c r="LS15" s="1" t="s">
        <v>11290</v>
      </c>
      <c r="LT15" s="1" t="s">
        <v>11291</v>
      </c>
      <c r="LU15" s="1" t="s">
        <v>11292</v>
      </c>
      <c r="LV15" s="1" t="s">
        <v>11293</v>
      </c>
      <c r="LW15" s="1" t="s">
        <v>11294</v>
      </c>
      <c r="LX15" s="1" t="s">
        <v>11295</v>
      </c>
      <c r="LY15" s="1" t="s">
        <v>11296</v>
      </c>
      <c r="LZ15" s="1" t="s">
        <v>11297</v>
      </c>
      <c r="MA15" s="1" t="s">
        <v>11298</v>
      </c>
      <c r="MB15" s="1" t="s">
        <v>11299</v>
      </c>
      <c r="MC15" s="1" t="s">
        <v>11300</v>
      </c>
      <c r="MD15" s="1" t="s">
        <v>11301</v>
      </c>
      <c r="ME15" s="1" t="s">
        <v>11302</v>
      </c>
      <c r="MF15" s="1" t="s">
        <v>11303</v>
      </c>
      <c r="MG15" s="1" t="s">
        <v>11304</v>
      </c>
      <c r="MH15" s="1" t="s">
        <v>11305</v>
      </c>
      <c r="MI15" s="1" t="s">
        <v>11306</v>
      </c>
      <c r="MJ15" s="1" t="s">
        <v>11307</v>
      </c>
      <c r="MK15" s="1" t="s">
        <v>11308</v>
      </c>
      <c r="ML15" s="1" t="s">
        <v>11309</v>
      </c>
      <c r="MM15" s="1" t="s">
        <v>11310</v>
      </c>
      <c r="MN15" s="1" t="s">
        <v>11311</v>
      </c>
      <c r="MO15" s="1" t="s">
        <v>11312</v>
      </c>
      <c r="MP15" s="1" t="s">
        <v>11313</v>
      </c>
      <c r="MQ15" s="1" t="s">
        <v>11314</v>
      </c>
      <c r="MR15" s="1" t="s">
        <v>11315</v>
      </c>
      <c r="MS15" s="1" t="s">
        <v>11316</v>
      </c>
      <c r="MT15" s="1" t="s">
        <v>11317</v>
      </c>
      <c r="MU15" s="1" t="s">
        <v>11318</v>
      </c>
      <c r="MV15" s="1" t="s">
        <v>11319</v>
      </c>
      <c r="MW15" s="1" t="s">
        <v>11320</v>
      </c>
      <c r="MX15" s="1" t="s">
        <v>11321</v>
      </c>
      <c r="MY15" s="1" t="s">
        <v>11322</v>
      </c>
      <c r="MZ15" s="1" t="s">
        <v>11323</v>
      </c>
      <c r="NA15" s="1" t="s">
        <v>11324</v>
      </c>
      <c r="NB15" s="1" t="s">
        <v>11325</v>
      </c>
      <c r="NC15" s="1" t="s">
        <v>11326</v>
      </c>
      <c r="ND15" s="1" t="s">
        <v>11327</v>
      </c>
      <c r="NE15" s="1" t="s">
        <v>11328</v>
      </c>
      <c r="NF15" s="1" t="s">
        <v>11329</v>
      </c>
      <c r="NG15" s="1" t="s">
        <v>11330</v>
      </c>
      <c r="NH15" s="1" t="s">
        <v>11331</v>
      </c>
      <c r="NI15" s="1" t="s">
        <v>11332</v>
      </c>
      <c r="NJ15" s="1" t="s">
        <v>11333</v>
      </c>
      <c r="NK15" s="1" t="s">
        <v>11334</v>
      </c>
      <c r="NL15" s="1" t="s">
        <v>11335</v>
      </c>
      <c r="NM15" s="1" t="s">
        <v>11336</v>
      </c>
      <c r="NN15" s="1" t="s">
        <v>11337</v>
      </c>
      <c r="NO15" s="1" t="s">
        <v>11338</v>
      </c>
      <c r="NP15" s="1" t="s">
        <v>11339</v>
      </c>
      <c r="NQ15" s="1" t="s">
        <v>11340</v>
      </c>
      <c r="NR15" s="1" t="s">
        <v>11341</v>
      </c>
      <c r="NS15" s="1" t="s">
        <v>11342</v>
      </c>
      <c r="NT15" s="1" t="s">
        <v>11343</v>
      </c>
      <c r="NU15" s="1" t="s">
        <v>11344</v>
      </c>
      <c r="NV15" s="1" t="s">
        <v>11345</v>
      </c>
      <c r="NW15" s="1" t="s">
        <v>11346</v>
      </c>
      <c r="NX15" s="1" t="s">
        <v>11347</v>
      </c>
      <c r="NY15" s="1" t="s">
        <v>11348</v>
      </c>
      <c r="NZ15" s="1" t="s">
        <v>11349</v>
      </c>
      <c r="OA15" s="1" t="s">
        <v>11350</v>
      </c>
      <c r="OB15" s="1" t="s">
        <v>11351</v>
      </c>
      <c r="OC15" s="1" t="s">
        <v>11352</v>
      </c>
      <c r="OD15" s="1" t="s">
        <v>11353</v>
      </c>
      <c r="OE15" s="1" t="s">
        <v>11354</v>
      </c>
      <c r="OF15" s="1" t="s">
        <v>11355</v>
      </c>
      <c r="OG15" s="1" t="s">
        <v>11356</v>
      </c>
      <c r="OH15" s="1" t="s">
        <v>11357</v>
      </c>
      <c r="OI15" s="1" t="s">
        <v>11358</v>
      </c>
      <c r="OJ15" s="1" t="s">
        <v>11359</v>
      </c>
      <c r="OK15" s="1" t="s">
        <v>11360</v>
      </c>
      <c r="OL15" s="1" t="s">
        <v>11361</v>
      </c>
      <c r="OM15" s="1" t="s">
        <v>11362</v>
      </c>
      <c r="ON15" s="1" t="s">
        <v>11363</v>
      </c>
      <c r="OO15" s="1" t="s">
        <v>11364</v>
      </c>
      <c r="OP15" s="1" t="s">
        <v>11365</v>
      </c>
      <c r="OQ15" s="1" t="s">
        <v>11366</v>
      </c>
      <c r="OR15" s="1" t="s">
        <v>11367</v>
      </c>
      <c r="OS15" s="1" t="s">
        <v>11368</v>
      </c>
      <c r="OT15" s="1" t="s">
        <v>11369</v>
      </c>
      <c r="OU15" s="1" t="s">
        <v>11370</v>
      </c>
      <c r="OV15" s="1" t="s">
        <v>11371</v>
      </c>
      <c r="OW15" s="1" t="s">
        <v>11372</v>
      </c>
      <c r="OX15" s="1" t="s">
        <v>11373</v>
      </c>
      <c r="OY15" s="1" t="s">
        <v>11374</v>
      </c>
      <c r="OZ15" s="1" t="s">
        <v>11375</v>
      </c>
      <c r="PA15" s="1" t="s">
        <v>11376</v>
      </c>
      <c r="PB15" s="1" t="s">
        <v>11377</v>
      </c>
      <c r="PC15" s="1" t="s">
        <v>11378</v>
      </c>
      <c r="PD15" s="1" t="s">
        <v>11379</v>
      </c>
      <c r="PE15" s="1" t="s">
        <v>11380</v>
      </c>
      <c r="PF15" s="1" t="s">
        <v>11381</v>
      </c>
      <c r="PG15" s="1" t="s">
        <v>11382</v>
      </c>
      <c r="PH15" s="1" t="s">
        <v>11383</v>
      </c>
      <c r="PI15" s="1" t="s">
        <v>11384</v>
      </c>
      <c r="PJ15" s="1" t="s">
        <v>11385</v>
      </c>
      <c r="PK15" s="1" t="s">
        <v>11386</v>
      </c>
      <c r="PL15" s="1" t="s">
        <v>11387</v>
      </c>
      <c r="PM15" s="1" t="s">
        <v>11388</v>
      </c>
      <c r="PN15" s="1" t="s">
        <v>11389</v>
      </c>
      <c r="PO15" s="1" t="s">
        <v>11390</v>
      </c>
      <c r="PP15" s="1" t="s">
        <v>11391</v>
      </c>
      <c r="PQ15" s="1" t="s">
        <v>11392</v>
      </c>
      <c r="PR15" s="1" t="s">
        <v>11393</v>
      </c>
      <c r="PS15" s="1" t="s">
        <v>11394</v>
      </c>
      <c r="PT15" s="1" t="s">
        <v>11395</v>
      </c>
      <c r="PU15" s="1" t="s">
        <v>11396</v>
      </c>
      <c r="PV15" s="1" t="s">
        <v>11397</v>
      </c>
      <c r="PW15" s="1" t="s">
        <v>11398</v>
      </c>
      <c r="PX15" s="1" t="s">
        <v>11399</v>
      </c>
      <c r="PY15" s="1" t="s">
        <v>11400</v>
      </c>
      <c r="PZ15" s="1" t="s">
        <v>11401</v>
      </c>
      <c r="QA15" s="1" t="s">
        <v>11402</v>
      </c>
      <c r="QB15" s="1" t="s">
        <v>11403</v>
      </c>
      <c r="QC15" s="1" t="s">
        <v>11404</v>
      </c>
      <c r="QD15" s="1" t="s">
        <v>11405</v>
      </c>
      <c r="QE15" s="1" t="s">
        <v>11406</v>
      </c>
      <c r="QF15" s="1" t="s">
        <v>11407</v>
      </c>
      <c r="QG15" s="1" t="s">
        <v>11408</v>
      </c>
      <c r="QH15" s="1" t="s">
        <v>11409</v>
      </c>
      <c r="QI15" s="1" t="s">
        <v>11410</v>
      </c>
      <c r="QJ15" s="1" t="s">
        <v>11411</v>
      </c>
      <c r="QK15" s="1" t="s">
        <v>11412</v>
      </c>
      <c r="QL15" s="1" t="s">
        <v>11413</v>
      </c>
      <c r="QM15" s="1" t="s">
        <v>11414</v>
      </c>
      <c r="QN15" s="1" t="s">
        <v>11415</v>
      </c>
      <c r="QO15" s="1" t="s">
        <v>11416</v>
      </c>
      <c r="QP15" s="1" t="s">
        <v>11417</v>
      </c>
      <c r="QQ15" s="1" t="s">
        <v>11418</v>
      </c>
      <c r="QR15" s="1" t="s">
        <v>11419</v>
      </c>
      <c r="QS15" s="1" t="s">
        <v>11420</v>
      </c>
      <c r="QT15" s="1" t="s">
        <v>11421</v>
      </c>
      <c r="QU15" s="1" t="s">
        <v>11422</v>
      </c>
      <c r="QV15" s="1" t="s">
        <v>11423</v>
      </c>
      <c r="QW15" s="1" t="s">
        <v>11424</v>
      </c>
      <c r="QX15" s="1" t="s">
        <v>11425</v>
      </c>
      <c r="QY15" s="1" t="s">
        <v>11426</v>
      </c>
      <c r="QZ15" s="1" t="s">
        <v>11427</v>
      </c>
      <c r="RA15" s="1" t="s">
        <v>11428</v>
      </c>
      <c r="RB15" s="1" t="s">
        <v>11429</v>
      </c>
      <c r="RC15" s="1" t="s">
        <v>11430</v>
      </c>
      <c r="RD15" s="1" t="s">
        <v>11431</v>
      </c>
      <c r="RE15" s="1" t="s">
        <v>11432</v>
      </c>
      <c r="RF15" s="1" t="s">
        <v>11433</v>
      </c>
      <c r="RG15" s="1" t="s">
        <v>11434</v>
      </c>
      <c r="RH15" s="1" t="s">
        <v>11435</v>
      </c>
      <c r="RI15" s="1" t="s">
        <v>11436</v>
      </c>
      <c r="RJ15" s="1" t="s">
        <v>11437</v>
      </c>
      <c r="RK15" s="1" t="s">
        <v>11438</v>
      </c>
      <c r="RL15" s="1" t="s">
        <v>11439</v>
      </c>
      <c r="RM15" s="1" t="s">
        <v>11440</v>
      </c>
      <c r="RN15" s="1" t="s">
        <v>11441</v>
      </c>
      <c r="RO15" s="1" t="s">
        <v>11442</v>
      </c>
      <c r="RP15" s="1" t="s">
        <v>11443</v>
      </c>
      <c r="RQ15" s="1" t="s">
        <v>11444</v>
      </c>
      <c r="RR15" s="1" t="s">
        <v>11445</v>
      </c>
      <c r="RS15" s="1" t="s">
        <v>11446</v>
      </c>
      <c r="RT15" s="1" t="s">
        <v>11447</v>
      </c>
      <c r="RU15" s="1" t="s">
        <v>11448</v>
      </c>
      <c r="RV15" s="1" t="s">
        <v>11449</v>
      </c>
      <c r="RW15" s="1" t="s">
        <v>11450</v>
      </c>
      <c r="RX15" s="1" t="s">
        <v>11451</v>
      </c>
      <c r="RY15" s="1" t="s">
        <v>11452</v>
      </c>
      <c r="RZ15" s="1" t="s">
        <v>11453</v>
      </c>
      <c r="SA15" s="1" t="s">
        <v>11454</v>
      </c>
      <c r="SB15" s="1" t="s">
        <v>11455</v>
      </c>
      <c r="SC15" s="1" t="s">
        <v>11456</v>
      </c>
      <c r="SD15" s="1" t="s">
        <v>11457</v>
      </c>
      <c r="SE15" s="1" t="s">
        <v>11458</v>
      </c>
      <c r="SF15" s="1" t="s">
        <v>11459</v>
      </c>
      <c r="SG15" s="1" t="s">
        <v>11460</v>
      </c>
      <c r="SH15" s="1" t="s">
        <v>11461</v>
      </c>
      <c r="SI15" s="1" t="s">
        <v>11462</v>
      </c>
      <c r="SJ15" s="1" t="s">
        <v>11463</v>
      </c>
      <c r="SK15" s="1" t="s">
        <v>11464</v>
      </c>
      <c r="SL15" s="1" t="s">
        <v>11465</v>
      </c>
      <c r="SM15" s="1" t="s">
        <v>11466</v>
      </c>
      <c r="SN15" s="1" t="s">
        <v>11467</v>
      </c>
      <c r="SO15" s="1" t="s">
        <v>11468</v>
      </c>
      <c r="SP15" s="1" t="s">
        <v>11469</v>
      </c>
      <c r="SQ15" s="1" t="s">
        <v>11470</v>
      </c>
      <c r="SR15" s="1" t="s">
        <v>11471</v>
      </c>
      <c r="SS15" s="1" t="s">
        <v>11472</v>
      </c>
      <c r="ST15" s="1" t="s">
        <v>11473</v>
      </c>
      <c r="SU15" s="1" t="s">
        <v>11474</v>
      </c>
      <c r="SV15" s="1" t="s">
        <v>11475</v>
      </c>
      <c r="SW15" s="1" t="s">
        <v>11476</v>
      </c>
      <c r="SX15" s="1" t="s">
        <v>11477</v>
      </c>
      <c r="SY15" s="1" t="s">
        <v>11478</v>
      </c>
      <c r="SZ15" s="1" t="s">
        <v>11479</v>
      </c>
      <c r="TA15" s="1" t="s">
        <v>11480</v>
      </c>
      <c r="TB15" s="1" t="s">
        <v>11481</v>
      </c>
      <c r="TC15" s="1" t="s">
        <v>11482</v>
      </c>
      <c r="TD15" s="1" t="s">
        <v>11483</v>
      </c>
      <c r="TE15" s="1" t="s">
        <v>11484</v>
      </c>
      <c r="TF15" s="1" t="s">
        <v>11485</v>
      </c>
      <c r="TG15" s="1" t="s">
        <v>11486</v>
      </c>
      <c r="TH15" s="1" t="s">
        <v>11487</v>
      </c>
      <c r="TI15" s="1" t="s">
        <v>11488</v>
      </c>
      <c r="TJ15" s="1" t="s">
        <v>11489</v>
      </c>
      <c r="TK15" s="1" t="s">
        <v>11490</v>
      </c>
      <c r="TL15" s="1" t="s">
        <v>11491</v>
      </c>
      <c r="TM15" s="1" t="s">
        <v>11492</v>
      </c>
      <c r="TN15" s="1" t="s">
        <v>11493</v>
      </c>
      <c r="TO15" s="1" t="s">
        <v>11494</v>
      </c>
      <c r="TP15" s="1" t="s">
        <v>11495</v>
      </c>
      <c r="TQ15" s="1" t="s">
        <v>11496</v>
      </c>
      <c r="TR15" s="1" t="s">
        <v>11497</v>
      </c>
      <c r="TS15" s="1" t="s">
        <v>11498</v>
      </c>
      <c r="TT15" s="1" t="s">
        <v>11499</v>
      </c>
      <c r="TU15" s="1" t="s">
        <v>11500</v>
      </c>
      <c r="TV15" s="1" t="s">
        <v>11501</v>
      </c>
      <c r="TW15" s="1" t="s">
        <v>11502</v>
      </c>
      <c r="TX15" s="1" t="s">
        <v>11503</v>
      </c>
      <c r="TY15" s="1" t="s">
        <v>11504</v>
      </c>
      <c r="TZ15" s="1" t="s">
        <v>11505</v>
      </c>
      <c r="UA15" s="1" t="s">
        <v>11506</v>
      </c>
      <c r="UB15" s="1" t="s">
        <v>11507</v>
      </c>
      <c r="UC15" s="1" t="s">
        <v>11508</v>
      </c>
      <c r="UD15" s="1" t="s">
        <v>11509</v>
      </c>
      <c r="UE15" s="1" t="s">
        <v>11510</v>
      </c>
      <c r="UF15" s="1" t="s">
        <v>11511</v>
      </c>
      <c r="UG15" s="1" t="s">
        <v>11512</v>
      </c>
      <c r="UH15" s="1" t="s">
        <v>11513</v>
      </c>
      <c r="UI15" s="1" t="s">
        <v>11514</v>
      </c>
      <c r="UJ15" s="1" t="s">
        <v>11515</v>
      </c>
      <c r="UK15" s="1" t="s">
        <v>11516</v>
      </c>
      <c r="UL15" s="1" t="s">
        <v>11517</v>
      </c>
      <c r="UM15" s="1" t="s">
        <v>11518</v>
      </c>
      <c r="UN15" s="1" t="s">
        <v>11519</v>
      </c>
      <c r="UO15" s="1" t="s">
        <v>11520</v>
      </c>
      <c r="UP15" s="1" t="s">
        <v>11521</v>
      </c>
      <c r="UQ15" s="1" t="s">
        <v>11522</v>
      </c>
      <c r="UR15" s="1" t="s">
        <v>11523</v>
      </c>
      <c r="US15" s="1" t="s">
        <v>11524</v>
      </c>
      <c r="UT15" s="1" t="s">
        <v>11525</v>
      </c>
      <c r="UU15" s="1" t="s">
        <v>11526</v>
      </c>
      <c r="UV15" s="1" t="s">
        <v>11527</v>
      </c>
      <c r="UW15" s="1" t="s">
        <v>11528</v>
      </c>
      <c r="UX15" s="1" t="s">
        <v>11529</v>
      </c>
      <c r="UY15" s="1" t="s">
        <v>11530</v>
      </c>
      <c r="UZ15" s="1" t="s">
        <v>11531</v>
      </c>
      <c r="VA15" s="1" t="s">
        <v>11532</v>
      </c>
      <c r="VB15" s="1" t="s">
        <v>11533</v>
      </c>
      <c r="VC15" s="1" t="s">
        <v>11534</v>
      </c>
      <c r="VD15" s="1" t="s">
        <v>11535</v>
      </c>
      <c r="VE15" s="1" t="s">
        <v>11536</v>
      </c>
      <c r="VF15" s="1" t="s">
        <v>11537</v>
      </c>
      <c r="VG15" s="1" t="s">
        <v>11538</v>
      </c>
      <c r="VH15" s="1" t="s">
        <v>11539</v>
      </c>
      <c r="VI15" s="1" t="s">
        <v>11540</v>
      </c>
      <c r="VJ15" s="1" t="s">
        <v>11541</v>
      </c>
      <c r="VK15" s="1" t="s">
        <v>11542</v>
      </c>
      <c r="VL15" s="1" t="s">
        <v>11543</v>
      </c>
      <c r="VM15" s="1" t="s">
        <v>11544</v>
      </c>
      <c r="VN15" s="1" t="s">
        <v>11545</v>
      </c>
      <c r="VO15" s="1" t="s">
        <v>11546</v>
      </c>
      <c r="VP15" s="1" t="s">
        <v>11547</v>
      </c>
      <c r="VQ15" s="1" t="s">
        <v>11548</v>
      </c>
      <c r="VR15" s="1" t="s">
        <v>11549</v>
      </c>
      <c r="VS15" s="1" t="s">
        <v>11550</v>
      </c>
      <c r="VT15" s="1" t="s">
        <v>11551</v>
      </c>
      <c r="VU15" s="1" t="s">
        <v>11552</v>
      </c>
      <c r="VV15" s="1" t="s">
        <v>11553</v>
      </c>
      <c r="VW15" s="1" t="s">
        <v>11554</v>
      </c>
      <c r="VX15" s="1" t="s">
        <v>11555</v>
      </c>
      <c r="VY15" s="1" t="s">
        <v>11556</v>
      </c>
      <c r="VZ15" s="1" t="s">
        <v>11557</v>
      </c>
      <c r="WA15" s="1" t="s">
        <v>11558</v>
      </c>
      <c r="WB15" s="1" t="s">
        <v>11559</v>
      </c>
      <c r="WC15" s="1" t="s">
        <v>11560</v>
      </c>
      <c r="WD15" s="1" t="s">
        <v>11561</v>
      </c>
      <c r="WE15" s="1" t="s">
        <v>11562</v>
      </c>
      <c r="WF15" s="1" t="s">
        <v>11563</v>
      </c>
      <c r="WG15" s="1" t="s">
        <v>11564</v>
      </c>
      <c r="WH15" s="1" t="s">
        <v>11565</v>
      </c>
      <c r="WI15" s="1" t="s">
        <v>11566</v>
      </c>
      <c r="WJ15" s="1" t="s">
        <v>11567</v>
      </c>
      <c r="WK15" s="1" t="s">
        <v>11568</v>
      </c>
      <c r="WL15" s="1" t="s">
        <v>11569</v>
      </c>
      <c r="WM15" s="1" t="s">
        <v>11570</v>
      </c>
      <c r="WN15" s="1" t="s">
        <v>11571</v>
      </c>
      <c r="WO15" s="1" t="s">
        <v>11572</v>
      </c>
      <c r="WP15" s="1" t="s">
        <v>11573</v>
      </c>
      <c r="WQ15" s="1" t="s">
        <v>11574</v>
      </c>
      <c r="WR15" s="1" t="s">
        <v>11575</v>
      </c>
      <c r="WS15" s="1" t="s">
        <v>11576</v>
      </c>
      <c r="WT15" s="1" t="s">
        <v>11577</v>
      </c>
      <c r="WU15" s="1" t="s">
        <v>11578</v>
      </c>
      <c r="WV15" s="1" t="s">
        <v>11579</v>
      </c>
      <c r="WW15" s="1" t="s">
        <v>11580</v>
      </c>
      <c r="WX15" s="1" t="s">
        <v>11581</v>
      </c>
      <c r="WY15" s="1" t="s">
        <v>11582</v>
      </c>
      <c r="WZ15" s="1" t="s">
        <v>11583</v>
      </c>
      <c r="XA15" s="1" t="s">
        <v>11584</v>
      </c>
      <c r="XB15" s="1" t="s">
        <v>11585</v>
      </c>
      <c r="XC15" s="1" t="s">
        <v>11586</v>
      </c>
      <c r="XD15" s="1" t="s">
        <v>11587</v>
      </c>
      <c r="XE15" s="1" t="s">
        <v>11588</v>
      </c>
      <c r="XF15" s="1" t="s">
        <v>11589</v>
      </c>
      <c r="XG15" s="1" t="s">
        <v>11590</v>
      </c>
      <c r="XH15" s="1" t="s">
        <v>11591</v>
      </c>
      <c r="XI15" s="1" t="s">
        <v>11592</v>
      </c>
      <c r="XJ15" s="1" t="s">
        <v>11593</v>
      </c>
      <c r="XK15" s="1" t="s">
        <v>11594</v>
      </c>
      <c r="XL15" s="1" t="s">
        <v>11595</v>
      </c>
      <c r="XM15" s="1" t="s">
        <v>11596</v>
      </c>
      <c r="XN15" s="1" t="s">
        <v>11597</v>
      </c>
      <c r="XO15" s="1" t="s">
        <v>11598</v>
      </c>
      <c r="XP15" s="1" t="s">
        <v>11599</v>
      </c>
      <c r="XQ15" s="1" t="s">
        <v>11600</v>
      </c>
      <c r="XR15" s="1" t="s">
        <v>11601</v>
      </c>
      <c r="XS15" s="1" t="s">
        <v>11602</v>
      </c>
      <c r="XT15" s="1" t="s">
        <v>11603</v>
      </c>
      <c r="XU15" s="1" t="s">
        <v>11604</v>
      </c>
      <c r="XV15" s="1" t="s">
        <v>11605</v>
      </c>
      <c r="XW15" s="1" t="s">
        <v>11606</v>
      </c>
      <c r="XX15" s="1" t="s">
        <v>11607</v>
      </c>
      <c r="XY15" s="1" t="s">
        <v>11608</v>
      </c>
      <c r="XZ15" s="1" t="s">
        <v>11609</v>
      </c>
      <c r="YA15" s="1" t="s">
        <v>11610</v>
      </c>
      <c r="YB15" s="1" t="s">
        <v>11611</v>
      </c>
      <c r="YC15" s="1" t="s">
        <v>11612</v>
      </c>
      <c r="YD15" s="1" t="s">
        <v>11613</v>
      </c>
      <c r="YE15" s="1" t="s">
        <v>11614</v>
      </c>
      <c r="YF15" s="1" t="s">
        <v>11615</v>
      </c>
      <c r="YG15" s="1" t="s">
        <v>11616</v>
      </c>
      <c r="YH15" s="1" t="s">
        <v>11617</v>
      </c>
      <c r="YI15" s="1" t="s">
        <v>11618</v>
      </c>
      <c r="YJ15" s="1" t="s">
        <v>11619</v>
      </c>
      <c r="YK15" s="1" t="s">
        <v>11620</v>
      </c>
      <c r="YL15" s="1" t="s">
        <v>11621</v>
      </c>
      <c r="YM15" s="1" t="s">
        <v>11622</v>
      </c>
      <c r="YN15" s="1" t="s">
        <v>11623</v>
      </c>
      <c r="YO15" s="1" t="s">
        <v>11624</v>
      </c>
      <c r="YP15" s="1" t="s">
        <v>11625</v>
      </c>
      <c r="YQ15" s="1" t="s">
        <v>11626</v>
      </c>
      <c r="YR15" s="1" t="s">
        <v>11627</v>
      </c>
      <c r="YS15" s="1" t="s">
        <v>11628</v>
      </c>
      <c r="YT15" s="1" t="s">
        <v>11629</v>
      </c>
      <c r="YU15" s="1" t="s">
        <v>11630</v>
      </c>
      <c r="YV15" s="1" t="s">
        <v>11631</v>
      </c>
      <c r="YW15" s="1" t="s">
        <v>11632</v>
      </c>
      <c r="YX15" s="1" t="s">
        <v>11633</v>
      </c>
      <c r="YY15" s="1" t="s">
        <v>11634</v>
      </c>
      <c r="YZ15" s="1" t="s">
        <v>11635</v>
      </c>
      <c r="ZA15" s="1" t="s">
        <v>11636</v>
      </c>
      <c r="ZB15" s="1" t="s">
        <v>11637</v>
      </c>
      <c r="ZC15" s="1" t="s">
        <v>11638</v>
      </c>
      <c r="ZD15" s="1" t="s">
        <v>11639</v>
      </c>
      <c r="ZE15" s="1" t="s">
        <v>11640</v>
      </c>
      <c r="ZF15" s="1" t="s">
        <v>11641</v>
      </c>
      <c r="ZG15" s="1" t="s">
        <v>11642</v>
      </c>
      <c r="ZH15" s="1" t="s">
        <v>11643</v>
      </c>
      <c r="ZI15" s="1" t="s">
        <v>11644</v>
      </c>
      <c r="ZJ15" s="1" t="s">
        <v>11645</v>
      </c>
      <c r="ZK15" s="1" t="s">
        <v>11646</v>
      </c>
      <c r="ZL15" s="1" t="s">
        <v>11647</v>
      </c>
      <c r="ZM15" s="1" t="s">
        <v>11648</v>
      </c>
      <c r="ZN15" s="1" t="s">
        <v>11649</v>
      </c>
      <c r="ZO15" s="1" t="s">
        <v>11650</v>
      </c>
      <c r="ZP15" s="1" t="s">
        <v>11651</v>
      </c>
      <c r="ZQ15" s="1" t="s">
        <v>11652</v>
      </c>
      <c r="ZR15" s="1" t="s">
        <v>11653</v>
      </c>
      <c r="ZS15" s="1" t="s">
        <v>11654</v>
      </c>
      <c r="ZT15" s="1" t="s">
        <v>11655</v>
      </c>
      <c r="ZU15" s="1" t="s">
        <v>11656</v>
      </c>
      <c r="ZV15" s="1" t="s">
        <v>11657</v>
      </c>
      <c r="ZW15" s="1" t="s">
        <v>11658</v>
      </c>
      <c r="ZX15" s="1" t="s">
        <v>11659</v>
      </c>
      <c r="ZY15" s="1" t="s">
        <v>11660</v>
      </c>
      <c r="ZZ15" s="1" t="s">
        <v>11661</v>
      </c>
      <c r="AAA15" s="1" t="s">
        <v>11662</v>
      </c>
      <c r="AAB15" s="1" t="s">
        <v>11663</v>
      </c>
      <c r="AAC15" s="1" t="s">
        <v>11664</v>
      </c>
      <c r="AAD15" s="1" t="s">
        <v>11665</v>
      </c>
      <c r="AAE15" s="1" t="s">
        <v>11666</v>
      </c>
      <c r="AAF15" s="1" t="s">
        <v>11667</v>
      </c>
      <c r="AAG15" s="1" t="s">
        <v>11668</v>
      </c>
      <c r="AAH15" s="1" t="s">
        <v>11669</v>
      </c>
      <c r="AAI15" s="1" t="s">
        <v>11670</v>
      </c>
      <c r="AAJ15" s="1" t="s">
        <v>11671</v>
      </c>
      <c r="AAK15" s="1" t="s">
        <v>11672</v>
      </c>
      <c r="AAL15" s="1" t="s">
        <v>11673</v>
      </c>
      <c r="AAM15" s="1" t="s">
        <v>11674</v>
      </c>
      <c r="AAN15" s="1" t="s">
        <v>11675</v>
      </c>
      <c r="AAO15" s="1" t="s">
        <v>11676</v>
      </c>
      <c r="AAP15" s="1" t="s">
        <v>11677</v>
      </c>
      <c r="AAQ15" s="1" t="s">
        <v>11678</v>
      </c>
      <c r="AAR15" s="1" t="s">
        <v>11679</v>
      </c>
      <c r="AAS15" s="1" t="s">
        <v>11680</v>
      </c>
      <c r="AAT15" s="1" t="s">
        <v>11681</v>
      </c>
      <c r="AAU15" s="1" t="s">
        <v>11682</v>
      </c>
      <c r="AAV15" s="1" t="s">
        <v>11683</v>
      </c>
      <c r="AAW15" s="1" t="s">
        <v>11684</v>
      </c>
      <c r="AAX15" s="1" t="s">
        <v>11685</v>
      </c>
      <c r="AAY15" s="1" t="s">
        <v>11686</v>
      </c>
      <c r="AAZ15" s="1" t="s">
        <v>11687</v>
      </c>
      <c r="ABA15" s="1" t="s">
        <v>11688</v>
      </c>
      <c r="ABB15" s="1" t="s">
        <v>11689</v>
      </c>
      <c r="ABC15" s="1" t="s">
        <v>11690</v>
      </c>
      <c r="ABD15" s="1" t="s">
        <v>11691</v>
      </c>
      <c r="ABE15" s="1" t="s">
        <v>11692</v>
      </c>
      <c r="ABF15" s="1" t="s">
        <v>11693</v>
      </c>
      <c r="ABG15" s="1" t="s">
        <v>11694</v>
      </c>
      <c r="ABH15" s="1" t="s">
        <v>11695</v>
      </c>
      <c r="ABI15" s="1" t="s">
        <v>11696</v>
      </c>
      <c r="ABJ15" s="1" t="s">
        <v>11697</v>
      </c>
      <c r="ABK15" s="1" t="s">
        <v>11698</v>
      </c>
      <c r="ABL15" s="1" t="s">
        <v>11699</v>
      </c>
      <c r="ABM15" s="1" t="s">
        <v>11700</v>
      </c>
      <c r="ABN15" s="1" t="s">
        <v>11701</v>
      </c>
      <c r="ABO15" s="1" t="s">
        <v>11702</v>
      </c>
      <c r="ABP15" s="1" t="s">
        <v>11703</v>
      </c>
      <c r="ABQ15" s="1" t="s">
        <v>11704</v>
      </c>
      <c r="ABR15" s="1" t="s">
        <v>11705</v>
      </c>
      <c r="ABS15" s="1" t="s">
        <v>11706</v>
      </c>
      <c r="ABT15" s="1" t="s">
        <v>11707</v>
      </c>
      <c r="ABU15" s="1" t="s">
        <v>11708</v>
      </c>
      <c r="ABV15" s="1" t="s">
        <v>11709</v>
      </c>
      <c r="ABW15" s="1" t="s">
        <v>11710</v>
      </c>
      <c r="ABX15" s="1" t="s">
        <v>11711</v>
      </c>
      <c r="ABY15" s="1" t="s">
        <v>11712</v>
      </c>
      <c r="ABZ15" s="1" t="s">
        <v>11713</v>
      </c>
      <c r="ACA15" s="1" t="s">
        <v>11714</v>
      </c>
      <c r="ACB15" s="1" t="s">
        <v>11715</v>
      </c>
      <c r="ACC15" s="1" t="s">
        <v>11716</v>
      </c>
      <c r="ACD15" s="1" t="s">
        <v>11717</v>
      </c>
      <c r="ACE15" s="1" t="s">
        <v>11718</v>
      </c>
      <c r="ACF15" s="1" t="s">
        <v>11719</v>
      </c>
      <c r="ACG15" s="1" t="s">
        <v>11720</v>
      </c>
      <c r="ACH15" s="1" t="s">
        <v>11721</v>
      </c>
      <c r="ACI15" s="1" t="s">
        <v>11722</v>
      </c>
      <c r="ACJ15" s="1" t="s">
        <v>11723</v>
      </c>
      <c r="ACK15" s="1" t="s">
        <v>11724</v>
      </c>
      <c r="ACL15" s="1" t="s">
        <v>11725</v>
      </c>
      <c r="ACM15" s="1" t="s">
        <v>11726</v>
      </c>
      <c r="ACN15" s="1" t="s">
        <v>11727</v>
      </c>
      <c r="ACO15" s="1" t="s">
        <v>11728</v>
      </c>
      <c r="ACP15" s="1" t="s">
        <v>11729</v>
      </c>
      <c r="ACQ15" s="1" t="s">
        <v>11730</v>
      </c>
      <c r="ACR15" s="1" t="s">
        <v>11731</v>
      </c>
      <c r="ACS15" s="1" t="s">
        <v>11732</v>
      </c>
      <c r="ACT15" s="1" t="s">
        <v>11733</v>
      </c>
      <c r="ACU15" s="1" t="s">
        <v>11734</v>
      </c>
      <c r="ACV15" s="1" t="s">
        <v>11735</v>
      </c>
      <c r="ACW15" s="1" t="s">
        <v>23</v>
      </c>
      <c r="ACX15" s="1" t="s">
        <v>6310</v>
      </c>
    </row>
    <row r="16" spans="1:778" x14ac:dyDescent="0.2">
      <c r="A16" s="1" t="s">
        <v>61</v>
      </c>
      <c r="B16" s="1" t="s">
        <v>11736</v>
      </c>
      <c r="C16" s="1" t="s">
        <v>11737</v>
      </c>
      <c r="D16" s="1" t="s">
        <v>11738</v>
      </c>
      <c r="E16" s="1" t="s">
        <v>11739</v>
      </c>
      <c r="F16" s="1" t="s">
        <v>11740</v>
      </c>
      <c r="G16" s="1" t="s">
        <v>11741</v>
      </c>
      <c r="H16" s="1" t="s">
        <v>11742</v>
      </c>
      <c r="I16" s="1" t="s">
        <v>11743</v>
      </c>
      <c r="J16" s="1" t="s">
        <v>11744</v>
      </c>
      <c r="K16" s="1" t="s">
        <v>11745</v>
      </c>
      <c r="L16" s="1" t="s">
        <v>11746</v>
      </c>
      <c r="M16" s="1" t="s">
        <v>11747</v>
      </c>
      <c r="N16" s="1" t="s">
        <v>11748</v>
      </c>
      <c r="O16" s="1" t="s">
        <v>11749</v>
      </c>
      <c r="P16" s="1" t="s">
        <v>11750</v>
      </c>
      <c r="Q16" s="1" t="s">
        <v>11751</v>
      </c>
      <c r="R16" s="1" t="s">
        <v>11752</v>
      </c>
      <c r="S16" s="1" t="s">
        <v>11753</v>
      </c>
      <c r="T16" s="1" t="s">
        <v>11754</v>
      </c>
      <c r="U16" s="1" t="s">
        <v>11755</v>
      </c>
      <c r="V16" s="1" t="s">
        <v>11756</v>
      </c>
      <c r="W16" s="1" t="s">
        <v>11757</v>
      </c>
      <c r="X16" s="1" t="s">
        <v>11758</v>
      </c>
      <c r="Y16" s="1" t="s">
        <v>11759</v>
      </c>
      <c r="Z16" s="1" t="s">
        <v>11760</v>
      </c>
      <c r="AA16" s="1" t="s">
        <v>11761</v>
      </c>
      <c r="AB16" s="1" t="s">
        <v>11762</v>
      </c>
      <c r="AC16" s="1" t="s">
        <v>11763</v>
      </c>
      <c r="AD16" s="1" t="s">
        <v>11764</v>
      </c>
      <c r="AE16" s="1" t="s">
        <v>11765</v>
      </c>
      <c r="AF16" s="1" t="s">
        <v>11766</v>
      </c>
      <c r="AG16" s="1" t="s">
        <v>11767</v>
      </c>
      <c r="AH16" s="1" t="s">
        <v>11768</v>
      </c>
      <c r="AI16" s="1" t="s">
        <v>11769</v>
      </c>
      <c r="AJ16" s="1" t="s">
        <v>11770</v>
      </c>
      <c r="AK16" s="1" t="s">
        <v>11771</v>
      </c>
      <c r="AL16" s="1" t="s">
        <v>11772</v>
      </c>
      <c r="AM16" s="1" t="s">
        <v>11773</v>
      </c>
      <c r="AN16" s="1" t="s">
        <v>11774</v>
      </c>
      <c r="AO16" s="1" t="s">
        <v>11775</v>
      </c>
      <c r="AP16" s="1" t="s">
        <v>11776</v>
      </c>
      <c r="AQ16" s="1" t="s">
        <v>11777</v>
      </c>
      <c r="AR16" s="1" t="s">
        <v>11778</v>
      </c>
      <c r="AS16" s="1" t="s">
        <v>11779</v>
      </c>
      <c r="AT16" s="1" t="s">
        <v>11780</v>
      </c>
      <c r="AU16" s="1" t="s">
        <v>11781</v>
      </c>
      <c r="AV16" s="1" t="s">
        <v>11782</v>
      </c>
      <c r="AW16" s="1" t="s">
        <v>11783</v>
      </c>
      <c r="AX16" s="1" t="s">
        <v>11784</v>
      </c>
      <c r="AY16" s="1" t="s">
        <v>11785</v>
      </c>
      <c r="AZ16" s="1" t="s">
        <v>11786</v>
      </c>
      <c r="BA16" s="1" t="s">
        <v>11787</v>
      </c>
      <c r="BB16" s="1" t="s">
        <v>11788</v>
      </c>
      <c r="BC16" s="1" t="s">
        <v>11789</v>
      </c>
      <c r="BD16" s="1" t="s">
        <v>11790</v>
      </c>
      <c r="BE16" s="1" t="s">
        <v>11791</v>
      </c>
      <c r="BF16" s="1" t="s">
        <v>11792</v>
      </c>
      <c r="BG16" s="1" t="s">
        <v>11793</v>
      </c>
      <c r="BH16" s="1" t="s">
        <v>11794</v>
      </c>
      <c r="BI16" s="1" t="s">
        <v>11795</v>
      </c>
      <c r="BJ16" s="1" t="s">
        <v>11796</v>
      </c>
      <c r="BK16" s="1" t="s">
        <v>11797</v>
      </c>
      <c r="BL16" s="1" t="s">
        <v>11798</v>
      </c>
      <c r="BM16" s="1" t="s">
        <v>11799</v>
      </c>
      <c r="BN16" s="1" t="s">
        <v>11800</v>
      </c>
      <c r="BO16" s="1" t="s">
        <v>11801</v>
      </c>
      <c r="BP16" s="1" t="s">
        <v>11802</v>
      </c>
      <c r="BQ16" s="1" t="s">
        <v>11803</v>
      </c>
      <c r="BR16" s="1" t="s">
        <v>11804</v>
      </c>
      <c r="BS16" s="1" t="s">
        <v>11805</v>
      </c>
      <c r="BT16" s="1" t="s">
        <v>11806</v>
      </c>
      <c r="BU16" s="1" t="s">
        <v>11807</v>
      </c>
      <c r="BV16" s="1" t="s">
        <v>11808</v>
      </c>
      <c r="BW16" s="1" t="s">
        <v>11809</v>
      </c>
      <c r="BX16" s="1" t="s">
        <v>11810</v>
      </c>
      <c r="BY16" s="1" t="s">
        <v>11811</v>
      </c>
      <c r="BZ16" s="1" t="s">
        <v>11812</v>
      </c>
      <c r="CA16" s="1" t="s">
        <v>11813</v>
      </c>
      <c r="CB16" s="1" t="s">
        <v>11814</v>
      </c>
      <c r="CC16" s="1" t="s">
        <v>11815</v>
      </c>
      <c r="CD16" s="1" t="s">
        <v>11816</v>
      </c>
      <c r="CE16" s="1" t="s">
        <v>11817</v>
      </c>
      <c r="CF16" s="1" t="s">
        <v>11818</v>
      </c>
      <c r="CG16" s="1" t="s">
        <v>11819</v>
      </c>
      <c r="CH16" s="1" t="s">
        <v>11820</v>
      </c>
      <c r="CI16" s="1" t="s">
        <v>11821</v>
      </c>
      <c r="CJ16" s="1" t="s">
        <v>11822</v>
      </c>
      <c r="CK16" s="1" t="s">
        <v>11823</v>
      </c>
      <c r="CL16" s="1" t="s">
        <v>11824</v>
      </c>
      <c r="CM16" s="1" t="s">
        <v>11825</v>
      </c>
      <c r="CN16" s="1" t="s">
        <v>11826</v>
      </c>
      <c r="CO16" s="1" t="s">
        <v>11827</v>
      </c>
      <c r="CP16" s="1" t="s">
        <v>11828</v>
      </c>
      <c r="CQ16" s="1" t="s">
        <v>11829</v>
      </c>
      <c r="CR16" s="1" t="s">
        <v>11830</v>
      </c>
      <c r="CS16" s="1" t="s">
        <v>11831</v>
      </c>
      <c r="CT16" s="1" t="s">
        <v>11832</v>
      </c>
      <c r="CU16" s="1" t="s">
        <v>11833</v>
      </c>
      <c r="CV16" s="1" t="s">
        <v>11834</v>
      </c>
      <c r="CW16" s="1" t="s">
        <v>11835</v>
      </c>
      <c r="CX16" s="1" t="s">
        <v>11836</v>
      </c>
      <c r="CY16" s="1" t="s">
        <v>11837</v>
      </c>
      <c r="CZ16" s="1" t="s">
        <v>11838</v>
      </c>
      <c r="DA16" s="1" t="s">
        <v>11839</v>
      </c>
      <c r="DB16" s="1" t="s">
        <v>11840</v>
      </c>
      <c r="DC16" s="1" t="s">
        <v>11841</v>
      </c>
      <c r="DD16" s="1" t="s">
        <v>11842</v>
      </c>
      <c r="DE16" s="1" t="s">
        <v>11843</v>
      </c>
      <c r="DF16" s="1" t="s">
        <v>11844</v>
      </c>
      <c r="DG16" s="1" t="s">
        <v>11845</v>
      </c>
      <c r="DH16" s="1" t="s">
        <v>11846</v>
      </c>
      <c r="DI16" s="1" t="s">
        <v>11847</v>
      </c>
      <c r="DJ16" s="1" t="s">
        <v>11848</v>
      </c>
      <c r="DK16" s="1" t="s">
        <v>11849</v>
      </c>
      <c r="DL16" s="1" t="s">
        <v>11850</v>
      </c>
      <c r="DM16" s="1" t="s">
        <v>11851</v>
      </c>
      <c r="DN16" s="1" t="s">
        <v>11852</v>
      </c>
      <c r="DO16" s="1" t="s">
        <v>11853</v>
      </c>
      <c r="DP16" s="1" t="s">
        <v>11854</v>
      </c>
      <c r="DQ16" s="1" t="s">
        <v>11855</v>
      </c>
      <c r="DR16" s="1" t="s">
        <v>11856</v>
      </c>
      <c r="DS16" s="1" t="s">
        <v>11857</v>
      </c>
      <c r="DT16" s="1" t="s">
        <v>11858</v>
      </c>
      <c r="DU16" s="1" t="s">
        <v>11859</v>
      </c>
      <c r="DV16" s="1" t="s">
        <v>11860</v>
      </c>
      <c r="DW16" s="1" t="s">
        <v>11861</v>
      </c>
      <c r="DX16" s="1" t="s">
        <v>11862</v>
      </c>
      <c r="DY16" s="1" t="s">
        <v>11863</v>
      </c>
      <c r="DZ16" s="1" t="s">
        <v>11864</v>
      </c>
      <c r="EA16" s="1" t="s">
        <v>11865</v>
      </c>
      <c r="EB16" s="1" t="s">
        <v>11866</v>
      </c>
      <c r="EC16" s="1" t="s">
        <v>11867</v>
      </c>
      <c r="ED16" s="1" t="s">
        <v>11868</v>
      </c>
      <c r="EE16" s="1" t="s">
        <v>11869</v>
      </c>
      <c r="EF16" s="1" t="s">
        <v>11870</v>
      </c>
      <c r="EG16" s="1" t="s">
        <v>11871</v>
      </c>
      <c r="EH16" s="1" t="s">
        <v>11872</v>
      </c>
      <c r="EI16" s="1" t="s">
        <v>11873</v>
      </c>
      <c r="EJ16" s="1" t="s">
        <v>11874</v>
      </c>
      <c r="EK16" s="1" t="s">
        <v>11875</v>
      </c>
      <c r="EL16" s="1" t="s">
        <v>11876</v>
      </c>
      <c r="EM16" s="1" t="s">
        <v>11877</v>
      </c>
      <c r="EN16" s="1" t="s">
        <v>11878</v>
      </c>
      <c r="EO16" s="1" t="s">
        <v>11879</v>
      </c>
      <c r="EP16" s="1" t="s">
        <v>11880</v>
      </c>
      <c r="EQ16" s="1" t="s">
        <v>11881</v>
      </c>
      <c r="ER16" s="1" t="s">
        <v>11882</v>
      </c>
      <c r="ES16" s="1" t="s">
        <v>11883</v>
      </c>
      <c r="ET16" s="1" t="s">
        <v>11884</v>
      </c>
      <c r="EU16" s="1" t="s">
        <v>11885</v>
      </c>
      <c r="EV16" s="1" t="s">
        <v>11886</v>
      </c>
      <c r="EW16" s="1" t="s">
        <v>11887</v>
      </c>
      <c r="EX16" s="1" t="s">
        <v>11888</v>
      </c>
      <c r="EY16" s="1" t="s">
        <v>11889</v>
      </c>
      <c r="EZ16" s="1" t="s">
        <v>11890</v>
      </c>
      <c r="FA16" s="1" t="s">
        <v>11891</v>
      </c>
      <c r="FB16" s="1" t="s">
        <v>11892</v>
      </c>
      <c r="FC16" s="1" t="s">
        <v>11893</v>
      </c>
      <c r="FD16" s="1" t="s">
        <v>11894</v>
      </c>
      <c r="FE16" s="1" t="s">
        <v>11895</v>
      </c>
      <c r="FF16" s="1" t="s">
        <v>11896</v>
      </c>
      <c r="FG16" s="1" t="s">
        <v>11897</v>
      </c>
      <c r="FH16" s="1" t="s">
        <v>11898</v>
      </c>
      <c r="FI16" s="1" t="s">
        <v>11899</v>
      </c>
      <c r="FJ16" s="1" t="s">
        <v>11900</v>
      </c>
      <c r="FK16" s="1" t="s">
        <v>11901</v>
      </c>
      <c r="FL16" s="1" t="s">
        <v>11902</v>
      </c>
      <c r="FM16" s="1" t="s">
        <v>11903</v>
      </c>
      <c r="FN16" s="1" t="s">
        <v>11904</v>
      </c>
      <c r="FO16" s="1" t="s">
        <v>11905</v>
      </c>
      <c r="FP16" s="1" t="s">
        <v>11906</v>
      </c>
      <c r="FQ16" s="1" t="s">
        <v>11907</v>
      </c>
      <c r="FR16" s="1" t="s">
        <v>11908</v>
      </c>
      <c r="FS16" s="1" t="s">
        <v>11909</v>
      </c>
      <c r="FT16" s="1" t="s">
        <v>11910</v>
      </c>
      <c r="FU16" s="1" t="s">
        <v>11911</v>
      </c>
      <c r="FV16" s="1" t="s">
        <v>11912</v>
      </c>
      <c r="FW16" s="1" t="s">
        <v>11913</v>
      </c>
      <c r="FX16" s="1" t="s">
        <v>11914</v>
      </c>
      <c r="FY16" s="1" t="s">
        <v>11915</v>
      </c>
      <c r="FZ16" s="1" t="s">
        <v>11916</v>
      </c>
      <c r="GA16" s="1" t="s">
        <v>11917</v>
      </c>
      <c r="GB16" s="1" t="s">
        <v>11918</v>
      </c>
      <c r="GC16" s="1" t="s">
        <v>11919</v>
      </c>
      <c r="GD16" s="1" t="s">
        <v>11920</v>
      </c>
      <c r="GE16" s="1" t="s">
        <v>11921</v>
      </c>
      <c r="GF16" s="1" t="s">
        <v>11922</v>
      </c>
      <c r="GG16" s="1" t="s">
        <v>11923</v>
      </c>
      <c r="GH16" s="1" t="s">
        <v>11924</v>
      </c>
      <c r="GI16" s="1" t="s">
        <v>11925</v>
      </c>
      <c r="GJ16" s="1" t="s">
        <v>11926</v>
      </c>
      <c r="GK16" s="1" t="s">
        <v>11927</v>
      </c>
      <c r="GL16" s="1" t="s">
        <v>11928</v>
      </c>
      <c r="GM16" s="1" t="s">
        <v>11929</v>
      </c>
      <c r="GN16" s="1" t="s">
        <v>11930</v>
      </c>
      <c r="GO16" s="1" t="s">
        <v>11931</v>
      </c>
      <c r="GP16" s="1" t="s">
        <v>11932</v>
      </c>
      <c r="GQ16" s="1" t="s">
        <v>11933</v>
      </c>
      <c r="GR16" s="1" t="s">
        <v>11934</v>
      </c>
      <c r="GS16" s="1" t="s">
        <v>11935</v>
      </c>
      <c r="GT16" s="1" t="s">
        <v>11936</v>
      </c>
      <c r="GU16" s="1" t="s">
        <v>11937</v>
      </c>
      <c r="GV16" s="1" t="s">
        <v>11938</v>
      </c>
      <c r="GW16" s="1" t="s">
        <v>11939</v>
      </c>
      <c r="GX16" s="1" t="s">
        <v>11940</v>
      </c>
      <c r="GY16" s="1" t="s">
        <v>11941</v>
      </c>
      <c r="GZ16" s="1" t="s">
        <v>11942</v>
      </c>
      <c r="HA16" s="1" t="s">
        <v>11943</v>
      </c>
      <c r="HB16" s="1" t="s">
        <v>11944</v>
      </c>
      <c r="HC16" s="1" t="s">
        <v>11945</v>
      </c>
      <c r="HD16" s="1" t="s">
        <v>11946</v>
      </c>
      <c r="HE16" s="1" t="s">
        <v>11947</v>
      </c>
      <c r="HF16" s="1" t="s">
        <v>11948</v>
      </c>
      <c r="HG16" s="1" t="s">
        <v>11949</v>
      </c>
      <c r="HH16" s="1" t="s">
        <v>11950</v>
      </c>
      <c r="HI16" s="1" t="s">
        <v>11951</v>
      </c>
      <c r="HJ16" s="1" t="s">
        <v>11952</v>
      </c>
      <c r="HK16" s="1" t="s">
        <v>11953</v>
      </c>
      <c r="HL16" s="1" t="s">
        <v>11954</v>
      </c>
      <c r="HM16" s="1" t="s">
        <v>11955</v>
      </c>
      <c r="HN16" s="1" t="s">
        <v>11956</v>
      </c>
      <c r="HO16" s="1" t="s">
        <v>11957</v>
      </c>
      <c r="HP16" s="1" t="s">
        <v>11958</v>
      </c>
      <c r="HQ16" s="1" t="s">
        <v>11959</v>
      </c>
      <c r="HR16" s="1" t="s">
        <v>11960</v>
      </c>
      <c r="HS16" s="1" t="s">
        <v>11961</v>
      </c>
      <c r="HT16" s="1" t="s">
        <v>11962</v>
      </c>
      <c r="HU16" s="1" t="s">
        <v>11963</v>
      </c>
      <c r="HV16" s="1" t="s">
        <v>11964</v>
      </c>
      <c r="HW16" s="1" t="s">
        <v>11965</v>
      </c>
      <c r="HX16" s="1" t="s">
        <v>11966</v>
      </c>
      <c r="HY16" s="1" t="s">
        <v>11967</v>
      </c>
      <c r="HZ16" s="1" t="s">
        <v>11968</v>
      </c>
      <c r="IA16" s="1" t="s">
        <v>11969</v>
      </c>
      <c r="IB16" s="1" t="s">
        <v>11970</v>
      </c>
      <c r="IC16" s="1" t="s">
        <v>11971</v>
      </c>
      <c r="ID16" s="1" t="s">
        <v>11972</v>
      </c>
      <c r="IE16" s="1" t="s">
        <v>11973</v>
      </c>
      <c r="IF16" s="1" t="s">
        <v>11974</v>
      </c>
      <c r="IG16" s="1" t="s">
        <v>11975</v>
      </c>
      <c r="IH16" s="1" t="s">
        <v>11976</v>
      </c>
      <c r="II16" s="1" t="s">
        <v>11977</v>
      </c>
      <c r="IJ16" s="1" t="s">
        <v>11978</v>
      </c>
      <c r="IK16" s="1" t="s">
        <v>11979</v>
      </c>
      <c r="IL16" s="1" t="s">
        <v>11980</v>
      </c>
      <c r="IM16" s="1" t="s">
        <v>11981</v>
      </c>
      <c r="IN16" s="1" t="s">
        <v>11982</v>
      </c>
      <c r="IO16" s="1" t="s">
        <v>11983</v>
      </c>
      <c r="IP16" s="1" t="s">
        <v>11984</v>
      </c>
      <c r="IQ16" s="1" t="s">
        <v>11985</v>
      </c>
      <c r="IR16" s="1" t="s">
        <v>11986</v>
      </c>
      <c r="IS16" s="1" t="s">
        <v>11987</v>
      </c>
      <c r="IT16" s="1" t="s">
        <v>11988</v>
      </c>
      <c r="IU16" s="1" t="s">
        <v>11989</v>
      </c>
      <c r="IV16" s="1" t="s">
        <v>11990</v>
      </c>
      <c r="IW16" s="1" t="s">
        <v>11991</v>
      </c>
      <c r="IX16" s="1" t="s">
        <v>11992</v>
      </c>
      <c r="IY16" s="1" t="s">
        <v>11993</v>
      </c>
      <c r="IZ16" s="1" t="s">
        <v>11994</v>
      </c>
      <c r="JA16" s="1" t="s">
        <v>11995</v>
      </c>
      <c r="JB16" s="1" t="s">
        <v>11996</v>
      </c>
      <c r="JC16" s="1" t="s">
        <v>11997</v>
      </c>
      <c r="JD16" s="1" t="s">
        <v>11998</v>
      </c>
      <c r="JE16" s="1" t="s">
        <v>11999</v>
      </c>
      <c r="JF16" s="1" t="s">
        <v>12000</v>
      </c>
      <c r="JG16" s="1" t="s">
        <v>12001</v>
      </c>
      <c r="JH16" s="1" t="s">
        <v>12002</v>
      </c>
      <c r="JI16" s="1" t="s">
        <v>12003</v>
      </c>
      <c r="JJ16" s="1" t="s">
        <v>12004</v>
      </c>
      <c r="JK16" s="1" t="s">
        <v>12005</v>
      </c>
      <c r="JL16" s="1" t="s">
        <v>12006</v>
      </c>
      <c r="JM16" s="1" t="s">
        <v>12007</v>
      </c>
      <c r="JN16" s="1" t="s">
        <v>12008</v>
      </c>
      <c r="JO16" s="1" t="s">
        <v>12009</v>
      </c>
      <c r="JP16" s="1" t="s">
        <v>12010</v>
      </c>
      <c r="JQ16" s="1" t="s">
        <v>12011</v>
      </c>
      <c r="JR16" s="1" t="s">
        <v>12012</v>
      </c>
      <c r="JS16" s="1" t="s">
        <v>12013</v>
      </c>
      <c r="JT16" s="1" t="s">
        <v>12014</v>
      </c>
      <c r="JU16" s="1" t="s">
        <v>12015</v>
      </c>
      <c r="JV16" s="1" t="s">
        <v>12016</v>
      </c>
      <c r="JW16" s="1" t="s">
        <v>12017</v>
      </c>
      <c r="JX16" s="1" t="s">
        <v>12018</v>
      </c>
      <c r="JY16" s="1" t="s">
        <v>12019</v>
      </c>
      <c r="JZ16" s="1" t="s">
        <v>12020</v>
      </c>
      <c r="KA16" s="1" t="s">
        <v>12021</v>
      </c>
      <c r="KB16" s="1" t="s">
        <v>12022</v>
      </c>
      <c r="KC16" s="1" t="s">
        <v>12023</v>
      </c>
      <c r="KD16" s="1" t="s">
        <v>12024</v>
      </c>
      <c r="KE16" s="1" t="s">
        <v>12025</v>
      </c>
      <c r="KF16" s="1" t="s">
        <v>12026</v>
      </c>
      <c r="KG16" s="1" t="s">
        <v>12027</v>
      </c>
      <c r="KH16" s="1" t="s">
        <v>12028</v>
      </c>
      <c r="KI16" s="1" t="s">
        <v>12029</v>
      </c>
      <c r="KJ16" s="1" t="s">
        <v>12030</v>
      </c>
      <c r="KK16" s="1" t="s">
        <v>12031</v>
      </c>
      <c r="KL16" s="1" t="s">
        <v>12032</v>
      </c>
      <c r="KM16" s="1" t="s">
        <v>12033</v>
      </c>
      <c r="KN16" s="1" t="s">
        <v>12034</v>
      </c>
      <c r="KO16" s="1" t="s">
        <v>12035</v>
      </c>
      <c r="KP16" s="1" t="s">
        <v>12036</v>
      </c>
      <c r="KQ16" s="1" t="s">
        <v>12037</v>
      </c>
      <c r="KR16" s="1" t="s">
        <v>12038</v>
      </c>
      <c r="KS16" s="1" t="s">
        <v>12039</v>
      </c>
      <c r="KT16" s="1" t="s">
        <v>12040</v>
      </c>
      <c r="KU16" s="1" t="s">
        <v>12041</v>
      </c>
      <c r="KV16" s="1" t="s">
        <v>12042</v>
      </c>
      <c r="KW16" s="1" t="s">
        <v>12043</v>
      </c>
      <c r="KX16" s="1" t="s">
        <v>12044</v>
      </c>
      <c r="KY16" s="1" t="s">
        <v>12045</v>
      </c>
      <c r="KZ16" s="1" t="s">
        <v>12046</v>
      </c>
      <c r="LA16" s="1" t="s">
        <v>12047</v>
      </c>
      <c r="LB16" s="1" t="s">
        <v>12048</v>
      </c>
      <c r="LC16" s="1" t="s">
        <v>12049</v>
      </c>
      <c r="LD16" s="1" t="s">
        <v>12050</v>
      </c>
      <c r="LE16" s="1" t="s">
        <v>12051</v>
      </c>
      <c r="LF16" s="1" t="s">
        <v>12052</v>
      </c>
      <c r="LG16" s="1" t="s">
        <v>12053</v>
      </c>
      <c r="LH16" s="1" t="s">
        <v>12054</v>
      </c>
      <c r="LI16" s="1" t="s">
        <v>12055</v>
      </c>
      <c r="LJ16" s="1" t="s">
        <v>12056</v>
      </c>
      <c r="LK16" s="1" t="s">
        <v>12057</v>
      </c>
      <c r="LL16" s="1" t="s">
        <v>12058</v>
      </c>
      <c r="LM16" s="1" t="s">
        <v>12059</v>
      </c>
      <c r="LN16" s="1" t="s">
        <v>12060</v>
      </c>
      <c r="LO16" s="1" t="s">
        <v>12061</v>
      </c>
      <c r="LP16" s="1" t="s">
        <v>12062</v>
      </c>
      <c r="LQ16" s="1" t="s">
        <v>12063</v>
      </c>
      <c r="LR16" s="1" t="s">
        <v>12064</v>
      </c>
      <c r="LS16" s="1" t="s">
        <v>12065</v>
      </c>
      <c r="LT16" s="1" t="s">
        <v>12066</v>
      </c>
      <c r="LU16" s="1" t="s">
        <v>12067</v>
      </c>
      <c r="LV16" s="1" t="s">
        <v>12068</v>
      </c>
      <c r="LW16" s="1" t="s">
        <v>12069</v>
      </c>
      <c r="LX16" s="1" t="s">
        <v>12070</v>
      </c>
      <c r="LY16" s="1" t="s">
        <v>12071</v>
      </c>
      <c r="LZ16" s="1" t="s">
        <v>12072</v>
      </c>
      <c r="MA16" s="1" t="s">
        <v>12073</v>
      </c>
      <c r="MB16" s="1" t="s">
        <v>12074</v>
      </c>
      <c r="MC16" s="1" t="s">
        <v>12075</v>
      </c>
      <c r="MD16" s="1" t="s">
        <v>12076</v>
      </c>
      <c r="ME16" s="1" t="s">
        <v>12077</v>
      </c>
      <c r="MF16" s="1" t="s">
        <v>12078</v>
      </c>
      <c r="MG16" s="1" t="s">
        <v>12079</v>
      </c>
      <c r="MH16" s="1" t="s">
        <v>12080</v>
      </c>
      <c r="MI16" s="1" t="s">
        <v>12081</v>
      </c>
      <c r="MJ16" s="1" t="s">
        <v>12082</v>
      </c>
      <c r="MK16" s="1" t="s">
        <v>12083</v>
      </c>
      <c r="ML16" s="1" t="s">
        <v>12084</v>
      </c>
      <c r="MM16" s="1" t="s">
        <v>12085</v>
      </c>
      <c r="MN16" s="1" t="s">
        <v>12086</v>
      </c>
      <c r="MO16" s="1" t="s">
        <v>12087</v>
      </c>
      <c r="MP16" s="1" t="s">
        <v>12088</v>
      </c>
      <c r="MQ16" s="1" t="s">
        <v>12089</v>
      </c>
      <c r="MR16" s="1" t="s">
        <v>12090</v>
      </c>
      <c r="MS16" s="1" t="s">
        <v>12091</v>
      </c>
      <c r="MT16" s="1" t="s">
        <v>12092</v>
      </c>
      <c r="MU16" s="1" t="s">
        <v>12093</v>
      </c>
      <c r="MV16" s="1" t="s">
        <v>12094</v>
      </c>
      <c r="MW16" s="1" t="s">
        <v>12095</v>
      </c>
      <c r="MX16" s="1" t="s">
        <v>12096</v>
      </c>
      <c r="MY16" s="1" t="s">
        <v>12097</v>
      </c>
      <c r="MZ16" s="1" t="s">
        <v>12098</v>
      </c>
      <c r="NA16" s="1" t="s">
        <v>12099</v>
      </c>
      <c r="NB16" s="1" t="s">
        <v>12100</v>
      </c>
      <c r="NC16" s="1" t="s">
        <v>12101</v>
      </c>
      <c r="ND16" s="1" t="s">
        <v>12102</v>
      </c>
      <c r="NE16" s="1" t="s">
        <v>12103</v>
      </c>
      <c r="NF16" s="1" t="s">
        <v>12104</v>
      </c>
      <c r="NG16" s="1" t="s">
        <v>12105</v>
      </c>
      <c r="NH16" s="1" t="s">
        <v>12106</v>
      </c>
      <c r="NI16" s="1" t="s">
        <v>12107</v>
      </c>
      <c r="NJ16" s="1" t="s">
        <v>12108</v>
      </c>
      <c r="NK16" s="1" t="s">
        <v>12109</v>
      </c>
      <c r="NL16" s="1" t="s">
        <v>12110</v>
      </c>
      <c r="NM16" s="1" t="s">
        <v>12111</v>
      </c>
      <c r="NN16" s="1" t="s">
        <v>12112</v>
      </c>
      <c r="NO16" s="1" t="s">
        <v>12113</v>
      </c>
      <c r="NP16" s="1" t="s">
        <v>12114</v>
      </c>
      <c r="NQ16" s="1" t="s">
        <v>12115</v>
      </c>
      <c r="NR16" s="1" t="s">
        <v>12116</v>
      </c>
      <c r="NS16" s="1" t="s">
        <v>12117</v>
      </c>
      <c r="NT16" s="1" t="s">
        <v>12118</v>
      </c>
      <c r="NU16" s="1" t="s">
        <v>12119</v>
      </c>
      <c r="NV16" s="1" t="s">
        <v>12120</v>
      </c>
      <c r="NW16" s="1" t="s">
        <v>12121</v>
      </c>
      <c r="NX16" s="1" t="s">
        <v>12122</v>
      </c>
      <c r="NY16" s="1" t="s">
        <v>12123</v>
      </c>
      <c r="NZ16" s="1" t="s">
        <v>12124</v>
      </c>
      <c r="OA16" s="1" t="s">
        <v>12125</v>
      </c>
      <c r="OB16" s="1" t="s">
        <v>12126</v>
      </c>
      <c r="OC16" s="1" t="s">
        <v>12127</v>
      </c>
      <c r="OD16" s="1" t="s">
        <v>12128</v>
      </c>
      <c r="OE16" s="1" t="s">
        <v>12129</v>
      </c>
      <c r="OF16" s="1" t="s">
        <v>12130</v>
      </c>
      <c r="OG16" s="1" t="s">
        <v>12131</v>
      </c>
      <c r="OH16" s="1" t="s">
        <v>12132</v>
      </c>
      <c r="OI16" s="1" t="s">
        <v>12133</v>
      </c>
      <c r="OJ16" s="1" t="s">
        <v>12134</v>
      </c>
      <c r="OK16" s="1" t="s">
        <v>12135</v>
      </c>
      <c r="OL16" s="1" t="s">
        <v>12136</v>
      </c>
      <c r="OM16" s="1" t="s">
        <v>12137</v>
      </c>
      <c r="ON16" s="1" t="s">
        <v>12138</v>
      </c>
      <c r="OO16" s="1" t="s">
        <v>12139</v>
      </c>
      <c r="OP16" s="1" t="s">
        <v>12140</v>
      </c>
      <c r="OQ16" s="1" t="s">
        <v>12141</v>
      </c>
      <c r="OR16" s="1" t="s">
        <v>12142</v>
      </c>
      <c r="OS16" s="1" t="s">
        <v>12143</v>
      </c>
      <c r="OT16" s="1" t="s">
        <v>12144</v>
      </c>
      <c r="OU16" s="1" t="s">
        <v>12145</v>
      </c>
      <c r="OV16" s="1" t="s">
        <v>12146</v>
      </c>
      <c r="OW16" s="1" t="s">
        <v>12147</v>
      </c>
      <c r="OX16" s="1" t="s">
        <v>12148</v>
      </c>
      <c r="OY16" s="1" t="s">
        <v>12149</v>
      </c>
      <c r="OZ16" s="1" t="s">
        <v>12150</v>
      </c>
      <c r="PA16" s="1" t="s">
        <v>12151</v>
      </c>
      <c r="PB16" s="1" t="s">
        <v>12152</v>
      </c>
      <c r="PC16" s="1" t="s">
        <v>12153</v>
      </c>
      <c r="PD16" s="1" t="s">
        <v>12154</v>
      </c>
      <c r="PE16" s="1" t="s">
        <v>12155</v>
      </c>
      <c r="PF16" s="1" t="s">
        <v>12156</v>
      </c>
      <c r="PG16" s="1" t="s">
        <v>12157</v>
      </c>
      <c r="PH16" s="1" t="s">
        <v>12158</v>
      </c>
      <c r="PI16" s="1" t="s">
        <v>12159</v>
      </c>
      <c r="PJ16" s="1" t="s">
        <v>12160</v>
      </c>
      <c r="PK16" s="1" t="s">
        <v>12161</v>
      </c>
      <c r="PL16" s="1" t="s">
        <v>12162</v>
      </c>
      <c r="PM16" s="1" t="s">
        <v>12163</v>
      </c>
      <c r="PN16" s="1" t="s">
        <v>12164</v>
      </c>
      <c r="PO16" s="1" t="s">
        <v>12165</v>
      </c>
      <c r="PP16" s="1" t="s">
        <v>12166</v>
      </c>
      <c r="PQ16" s="1" t="s">
        <v>12167</v>
      </c>
      <c r="PR16" s="1" t="s">
        <v>12168</v>
      </c>
      <c r="PS16" s="1" t="s">
        <v>12169</v>
      </c>
      <c r="PT16" s="1" t="s">
        <v>12170</v>
      </c>
      <c r="PU16" s="1" t="s">
        <v>12171</v>
      </c>
      <c r="PV16" s="1" t="s">
        <v>12172</v>
      </c>
      <c r="PW16" s="1" t="s">
        <v>12173</v>
      </c>
      <c r="PX16" s="1" t="s">
        <v>12174</v>
      </c>
      <c r="PY16" s="1" t="s">
        <v>12175</v>
      </c>
      <c r="PZ16" s="1" t="s">
        <v>12176</v>
      </c>
      <c r="QA16" s="1" t="s">
        <v>12177</v>
      </c>
      <c r="QB16" s="1" t="s">
        <v>12178</v>
      </c>
      <c r="QC16" s="1" t="s">
        <v>12179</v>
      </c>
      <c r="QD16" s="1" t="s">
        <v>12180</v>
      </c>
      <c r="QE16" s="1" t="s">
        <v>12181</v>
      </c>
      <c r="QF16" s="1" t="s">
        <v>12182</v>
      </c>
      <c r="QG16" s="1" t="s">
        <v>12183</v>
      </c>
      <c r="QH16" s="1" t="s">
        <v>12184</v>
      </c>
      <c r="QI16" s="1" t="s">
        <v>12185</v>
      </c>
      <c r="QJ16" s="1" t="s">
        <v>12186</v>
      </c>
      <c r="QK16" s="1" t="s">
        <v>12187</v>
      </c>
      <c r="QL16" s="1" t="s">
        <v>12188</v>
      </c>
      <c r="QM16" s="1" t="s">
        <v>12189</v>
      </c>
      <c r="QN16" s="1" t="s">
        <v>12190</v>
      </c>
      <c r="QO16" s="1" t="s">
        <v>12191</v>
      </c>
      <c r="QP16" s="1" t="s">
        <v>12192</v>
      </c>
      <c r="QQ16" s="1" t="s">
        <v>12193</v>
      </c>
      <c r="QR16" s="1" t="s">
        <v>12194</v>
      </c>
      <c r="QS16" s="1" t="s">
        <v>12195</v>
      </c>
      <c r="QT16" s="1" t="s">
        <v>12196</v>
      </c>
      <c r="QU16" s="1" t="s">
        <v>12197</v>
      </c>
      <c r="QV16" s="1" t="s">
        <v>12198</v>
      </c>
      <c r="QW16" s="1" t="s">
        <v>12199</v>
      </c>
      <c r="QX16" s="1" t="s">
        <v>12200</v>
      </c>
      <c r="QY16" s="1" t="s">
        <v>12201</v>
      </c>
      <c r="QZ16" s="1" t="s">
        <v>12202</v>
      </c>
      <c r="RA16" s="1" t="s">
        <v>12203</v>
      </c>
      <c r="RB16" s="1" t="s">
        <v>12204</v>
      </c>
      <c r="RC16" s="1" t="s">
        <v>12205</v>
      </c>
      <c r="RD16" s="1" t="s">
        <v>12206</v>
      </c>
      <c r="RE16" s="1" t="s">
        <v>12207</v>
      </c>
      <c r="RF16" s="1" t="s">
        <v>12208</v>
      </c>
      <c r="RG16" s="1" t="s">
        <v>12209</v>
      </c>
      <c r="RH16" s="1" t="s">
        <v>12210</v>
      </c>
      <c r="RI16" s="1" t="s">
        <v>12211</v>
      </c>
      <c r="RJ16" s="1" t="s">
        <v>12212</v>
      </c>
      <c r="RK16" s="1" t="s">
        <v>12213</v>
      </c>
      <c r="RL16" s="1" t="s">
        <v>12214</v>
      </c>
      <c r="RM16" s="1" t="s">
        <v>12215</v>
      </c>
      <c r="RN16" s="1" t="s">
        <v>12216</v>
      </c>
      <c r="RO16" s="1" t="s">
        <v>12217</v>
      </c>
      <c r="RP16" s="1" t="s">
        <v>12218</v>
      </c>
      <c r="RQ16" s="1" t="s">
        <v>12219</v>
      </c>
      <c r="RR16" s="1" t="s">
        <v>12220</v>
      </c>
      <c r="RS16" s="1" t="s">
        <v>12221</v>
      </c>
      <c r="RT16" s="1" t="s">
        <v>12222</v>
      </c>
      <c r="RU16" s="1" t="s">
        <v>12223</v>
      </c>
      <c r="RV16" s="1" t="s">
        <v>12224</v>
      </c>
      <c r="RW16" s="1" t="s">
        <v>12225</v>
      </c>
      <c r="RX16" s="1" t="s">
        <v>12226</v>
      </c>
      <c r="RY16" s="1" t="s">
        <v>12227</v>
      </c>
      <c r="RZ16" s="1" t="s">
        <v>12228</v>
      </c>
      <c r="SA16" s="1" t="s">
        <v>12229</v>
      </c>
      <c r="SB16" s="1" t="s">
        <v>12230</v>
      </c>
      <c r="SC16" s="1" t="s">
        <v>12231</v>
      </c>
      <c r="SD16" s="1" t="s">
        <v>12232</v>
      </c>
      <c r="SE16" s="1" t="s">
        <v>12233</v>
      </c>
      <c r="SF16" s="1" t="s">
        <v>12234</v>
      </c>
      <c r="SG16" s="1" t="s">
        <v>12235</v>
      </c>
      <c r="SH16" s="1" t="s">
        <v>12236</v>
      </c>
      <c r="SI16" s="1" t="s">
        <v>12237</v>
      </c>
      <c r="SJ16" s="1" t="s">
        <v>12238</v>
      </c>
      <c r="SK16" s="1" t="s">
        <v>12239</v>
      </c>
      <c r="SL16" s="1" t="s">
        <v>12240</v>
      </c>
      <c r="SM16" s="1" t="s">
        <v>12241</v>
      </c>
      <c r="SN16" s="1" t="s">
        <v>12242</v>
      </c>
      <c r="SO16" s="1" t="s">
        <v>12243</v>
      </c>
      <c r="SP16" s="1" t="s">
        <v>12244</v>
      </c>
      <c r="SQ16" s="1" t="s">
        <v>12245</v>
      </c>
      <c r="SR16" s="1" t="s">
        <v>12246</v>
      </c>
      <c r="SS16" s="1" t="s">
        <v>12247</v>
      </c>
      <c r="ST16" s="1" t="s">
        <v>12248</v>
      </c>
      <c r="SU16" s="1" t="s">
        <v>12249</v>
      </c>
      <c r="SV16" s="1" t="s">
        <v>12250</v>
      </c>
      <c r="SW16" s="1" t="s">
        <v>12251</v>
      </c>
      <c r="SX16" s="1" t="s">
        <v>12252</v>
      </c>
      <c r="SY16" s="1" t="s">
        <v>12253</v>
      </c>
      <c r="SZ16" s="1" t="s">
        <v>12254</v>
      </c>
      <c r="TA16" s="1" t="s">
        <v>12255</v>
      </c>
      <c r="TB16" s="1" t="s">
        <v>12256</v>
      </c>
      <c r="TC16" s="1" t="s">
        <v>12257</v>
      </c>
      <c r="TD16" s="1" t="s">
        <v>12258</v>
      </c>
      <c r="TE16" s="1" t="s">
        <v>12259</v>
      </c>
      <c r="TF16" s="1" t="s">
        <v>12260</v>
      </c>
      <c r="TG16" s="1" t="s">
        <v>12261</v>
      </c>
      <c r="TH16" s="1" t="s">
        <v>12262</v>
      </c>
      <c r="TI16" s="1" t="s">
        <v>12263</v>
      </c>
      <c r="TJ16" s="1" t="s">
        <v>12264</v>
      </c>
      <c r="TK16" s="1" t="s">
        <v>12265</v>
      </c>
      <c r="TL16" s="1" t="s">
        <v>12266</v>
      </c>
      <c r="TM16" s="1" t="s">
        <v>12267</v>
      </c>
      <c r="TN16" s="1" t="s">
        <v>12268</v>
      </c>
      <c r="TO16" s="1" t="s">
        <v>12269</v>
      </c>
      <c r="TP16" s="1" t="s">
        <v>12270</v>
      </c>
      <c r="TQ16" s="1" t="s">
        <v>12271</v>
      </c>
      <c r="TR16" s="1" t="s">
        <v>12272</v>
      </c>
      <c r="TS16" s="1" t="s">
        <v>12273</v>
      </c>
      <c r="TT16" s="1" t="s">
        <v>12274</v>
      </c>
      <c r="TU16" s="1" t="s">
        <v>12275</v>
      </c>
      <c r="TV16" s="1" t="s">
        <v>12276</v>
      </c>
      <c r="TW16" s="1" t="s">
        <v>12277</v>
      </c>
      <c r="TX16" s="1" t="s">
        <v>12278</v>
      </c>
      <c r="TY16" s="1" t="s">
        <v>12279</v>
      </c>
      <c r="TZ16" s="1" t="s">
        <v>12280</v>
      </c>
      <c r="UA16" s="1" t="s">
        <v>12281</v>
      </c>
      <c r="UB16" s="1" t="s">
        <v>12282</v>
      </c>
      <c r="UC16" s="1" t="s">
        <v>12283</v>
      </c>
      <c r="UD16" s="1" t="s">
        <v>12284</v>
      </c>
      <c r="UE16" s="1" t="s">
        <v>12285</v>
      </c>
      <c r="UF16" s="1" t="s">
        <v>12286</v>
      </c>
      <c r="UG16" s="1" t="s">
        <v>12287</v>
      </c>
      <c r="UH16" s="1" t="s">
        <v>12288</v>
      </c>
      <c r="UI16" s="1" t="s">
        <v>12289</v>
      </c>
      <c r="UJ16" s="1" t="s">
        <v>12290</v>
      </c>
      <c r="UK16" s="1" t="s">
        <v>12291</v>
      </c>
      <c r="UL16" s="1" t="s">
        <v>12292</v>
      </c>
      <c r="UM16" s="1" t="s">
        <v>12293</v>
      </c>
      <c r="UN16" s="1" t="s">
        <v>12294</v>
      </c>
      <c r="UO16" s="1" t="s">
        <v>12295</v>
      </c>
      <c r="UP16" s="1" t="s">
        <v>12296</v>
      </c>
      <c r="UQ16" s="1" t="s">
        <v>12297</v>
      </c>
      <c r="UR16" s="1" t="s">
        <v>12298</v>
      </c>
      <c r="US16" s="1" t="s">
        <v>12299</v>
      </c>
      <c r="UT16" s="1" t="s">
        <v>12300</v>
      </c>
      <c r="UU16" s="1" t="s">
        <v>12301</v>
      </c>
      <c r="UV16" s="1" t="s">
        <v>12302</v>
      </c>
      <c r="UW16" s="1" t="s">
        <v>12303</v>
      </c>
      <c r="UX16" s="1" t="s">
        <v>12304</v>
      </c>
      <c r="UY16" s="1" t="s">
        <v>12305</v>
      </c>
      <c r="UZ16" s="1" t="s">
        <v>12306</v>
      </c>
      <c r="VA16" s="1" t="s">
        <v>12307</v>
      </c>
      <c r="VB16" s="1" t="s">
        <v>12308</v>
      </c>
      <c r="VC16" s="1" t="s">
        <v>12309</v>
      </c>
      <c r="VD16" s="1" t="s">
        <v>12310</v>
      </c>
      <c r="VE16" s="1" t="s">
        <v>12311</v>
      </c>
      <c r="VF16" s="1" t="s">
        <v>12312</v>
      </c>
      <c r="VG16" s="1" t="s">
        <v>12313</v>
      </c>
      <c r="VH16" s="1" t="s">
        <v>12314</v>
      </c>
      <c r="VI16" s="1" t="s">
        <v>12315</v>
      </c>
      <c r="VJ16" s="1" t="s">
        <v>12316</v>
      </c>
      <c r="VK16" s="1" t="s">
        <v>12317</v>
      </c>
      <c r="VL16" s="1" t="s">
        <v>12318</v>
      </c>
      <c r="VM16" s="1" t="s">
        <v>12319</v>
      </c>
      <c r="VN16" s="1" t="s">
        <v>12320</v>
      </c>
      <c r="VO16" s="1" t="s">
        <v>12321</v>
      </c>
      <c r="VP16" s="1" t="s">
        <v>12322</v>
      </c>
      <c r="VQ16" s="1" t="s">
        <v>12323</v>
      </c>
      <c r="VR16" s="1" t="s">
        <v>12324</v>
      </c>
      <c r="VS16" s="1" t="s">
        <v>12325</v>
      </c>
      <c r="VT16" s="1" t="s">
        <v>12326</v>
      </c>
      <c r="VU16" s="1" t="s">
        <v>12327</v>
      </c>
      <c r="VV16" s="1" t="s">
        <v>12328</v>
      </c>
      <c r="VW16" s="1" t="s">
        <v>12329</v>
      </c>
      <c r="VX16" s="1" t="s">
        <v>12330</v>
      </c>
      <c r="VY16" s="1" t="s">
        <v>12331</v>
      </c>
      <c r="VZ16" s="1" t="s">
        <v>12332</v>
      </c>
      <c r="WA16" s="1" t="s">
        <v>12333</v>
      </c>
      <c r="WB16" s="1" t="s">
        <v>12334</v>
      </c>
      <c r="WC16" s="1" t="s">
        <v>12335</v>
      </c>
      <c r="WD16" s="1" t="s">
        <v>12336</v>
      </c>
      <c r="WE16" s="1" t="s">
        <v>12337</v>
      </c>
      <c r="WF16" s="1" t="s">
        <v>12338</v>
      </c>
      <c r="WG16" s="1" t="s">
        <v>12339</v>
      </c>
      <c r="WH16" s="1" t="s">
        <v>12340</v>
      </c>
      <c r="WI16" s="1" t="s">
        <v>12341</v>
      </c>
      <c r="WJ16" s="1" t="s">
        <v>12342</v>
      </c>
      <c r="WK16" s="1" t="s">
        <v>12343</v>
      </c>
      <c r="WL16" s="1" t="s">
        <v>12344</v>
      </c>
      <c r="WM16" s="1" t="s">
        <v>12345</v>
      </c>
      <c r="WN16" s="1" t="s">
        <v>12346</v>
      </c>
      <c r="WO16" s="1" t="s">
        <v>12347</v>
      </c>
      <c r="WP16" s="1" t="s">
        <v>12348</v>
      </c>
      <c r="WQ16" s="1" t="s">
        <v>12349</v>
      </c>
      <c r="WR16" s="1" t="s">
        <v>12350</v>
      </c>
      <c r="WS16" s="1" t="s">
        <v>12351</v>
      </c>
      <c r="WT16" s="1" t="s">
        <v>12352</v>
      </c>
      <c r="WU16" s="1" t="s">
        <v>12353</v>
      </c>
      <c r="WV16" s="1" t="s">
        <v>12354</v>
      </c>
      <c r="WW16" s="1" t="s">
        <v>12355</v>
      </c>
      <c r="WX16" s="1" t="s">
        <v>12356</v>
      </c>
      <c r="WY16" s="1" t="s">
        <v>12357</v>
      </c>
      <c r="WZ16" s="1" t="s">
        <v>12358</v>
      </c>
      <c r="XA16" s="1" t="s">
        <v>12359</v>
      </c>
      <c r="XB16" s="1" t="s">
        <v>12360</v>
      </c>
      <c r="XC16" s="1" t="s">
        <v>12361</v>
      </c>
      <c r="XD16" s="1" t="s">
        <v>12362</v>
      </c>
      <c r="XE16" s="1" t="s">
        <v>12363</v>
      </c>
      <c r="XF16" s="1" t="s">
        <v>12364</v>
      </c>
      <c r="XG16" s="1" t="s">
        <v>12365</v>
      </c>
      <c r="XH16" s="1" t="s">
        <v>12366</v>
      </c>
      <c r="XI16" s="1" t="s">
        <v>12367</v>
      </c>
      <c r="XJ16" s="1" t="s">
        <v>12368</v>
      </c>
      <c r="XK16" s="1" t="s">
        <v>12369</v>
      </c>
      <c r="XL16" s="1" t="s">
        <v>12370</v>
      </c>
      <c r="XM16" s="1" t="s">
        <v>12371</v>
      </c>
      <c r="XN16" s="1" t="s">
        <v>12372</v>
      </c>
      <c r="XO16" s="1" t="s">
        <v>12373</v>
      </c>
      <c r="XP16" s="1" t="s">
        <v>12374</v>
      </c>
      <c r="XQ16" s="1" t="s">
        <v>12375</v>
      </c>
      <c r="XR16" s="1" t="s">
        <v>12376</v>
      </c>
      <c r="XS16" s="1" t="s">
        <v>12377</v>
      </c>
      <c r="XT16" s="1" t="s">
        <v>12378</v>
      </c>
      <c r="XU16" s="1" t="s">
        <v>12379</v>
      </c>
      <c r="XV16" s="1" t="s">
        <v>12380</v>
      </c>
      <c r="XW16" s="1" t="s">
        <v>12381</v>
      </c>
      <c r="XX16" s="1" t="s">
        <v>12382</v>
      </c>
      <c r="XY16" s="1" t="s">
        <v>12383</v>
      </c>
      <c r="XZ16" s="1" t="s">
        <v>12384</v>
      </c>
      <c r="YA16" s="1" t="s">
        <v>12385</v>
      </c>
      <c r="YB16" s="1" t="s">
        <v>12386</v>
      </c>
      <c r="YC16" s="1" t="s">
        <v>12387</v>
      </c>
      <c r="YD16" s="1" t="s">
        <v>12388</v>
      </c>
      <c r="YE16" s="1" t="s">
        <v>12389</v>
      </c>
      <c r="YF16" s="1" t="s">
        <v>12390</v>
      </c>
      <c r="YG16" s="1" t="s">
        <v>12391</v>
      </c>
      <c r="YH16" s="1" t="s">
        <v>12392</v>
      </c>
      <c r="YI16" s="1" t="s">
        <v>12393</v>
      </c>
      <c r="YJ16" s="1" t="s">
        <v>12394</v>
      </c>
      <c r="YK16" s="1" t="s">
        <v>12395</v>
      </c>
      <c r="YL16" s="1" t="s">
        <v>12396</v>
      </c>
      <c r="YM16" s="1" t="s">
        <v>12397</v>
      </c>
      <c r="YN16" s="1" t="s">
        <v>12398</v>
      </c>
      <c r="YO16" s="1" t="s">
        <v>12399</v>
      </c>
      <c r="YP16" s="1" t="s">
        <v>12400</v>
      </c>
      <c r="YQ16" s="1" t="s">
        <v>12401</v>
      </c>
      <c r="YR16" s="1" t="s">
        <v>12402</v>
      </c>
      <c r="YS16" s="1" t="s">
        <v>12403</v>
      </c>
      <c r="YT16" s="1" t="s">
        <v>12404</v>
      </c>
      <c r="YU16" s="1" t="s">
        <v>12405</v>
      </c>
      <c r="YV16" s="1" t="s">
        <v>12406</v>
      </c>
      <c r="YW16" s="1" t="s">
        <v>12407</v>
      </c>
      <c r="YX16" s="1" t="s">
        <v>12408</v>
      </c>
      <c r="YY16" s="1" t="s">
        <v>12409</v>
      </c>
      <c r="YZ16" s="1" t="s">
        <v>12410</v>
      </c>
      <c r="ZA16" s="1" t="s">
        <v>12411</v>
      </c>
      <c r="ZB16" s="1" t="s">
        <v>12412</v>
      </c>
      <c r="ZC16" s="1" t="s">
        <v>12413</v>
      </c>
      <c r="ZD16" s="1" t="s">
        <v>12414</v>
      </c>
      <c r="ZE16" s="1" t="s">
        <v>12415</v>
      </c>
      <c r="ZF16" s="1" t="s">
        <v>12416</v>
      </c>
      <c r="ZG16" s="1" t="s">
        <v>12417</v>
      </c>
      <c r="ZH16" s="1" t="s">
        <v>12418</v>
      </c>
      <c r="ZI16" s="1" t="s">
        <v>12419</v>
      </c>
      <c r="ZJ16" s="1" t="s">
        <v>12420</v>
      </c>
      <c r="ZK16" s="1" t="s">
        <v>12421</v>
      </c>
      <c r="ZL16" s="1" t="s">
        <v>12422</v>
      </c>
      <c r="ZM16" s="1" t="s">
        <v>12423</v>
      </c>
      <c r="ZN16" s="1" t="s">
        <v>12424</v>
      </c>
      <c r="ZO16" s="1" t="s">
        <v>12425</v>
      </c>
      <c r="ZP16" s="1" t="s">
        <v>12426</v>
      </c>
      <c r="ZQ16" s="1" t="s">
        <v>12427</v>
      </c>
      <c r="ZR16" s="1" t="s">
        <v>12428</v>
      </c>
      <c r="ZS16" s="1" t="s">
        <v>12429</v>
      </c>
      <c r="ZT16" s="1" t="s">
        <v>12430</v>
      </c>
      <c r="ZU16" s="1" t="s">
        <v>12431</v>
      </c>
      <c r="ZV16" s="1" t="s">
        <v>12432</v>
      </c>
      <c r="ZW16" s="1" t="s">
        <v>12433</v>
      </c>
      <c r="ZX16" s="1" t="s">
        <v>12434</v>
      </c>
      <c r="ZY16" s="1" t="s">
        <v>12435</v>
      </c>
      <c r="ZZ16" s="1" t="s">
        <v>12436</v>
      </c>
      <c r="AAA16" s="1" t="s">
        <v>12437</v>
      </c>
      <c r="AAB16" s="1" t="s">
        <v>12438</v>
      </c>
      <c r="AAC16" s="1" t="s">
        <v>12439</v>
      </c>
      <c r="AAD16" s="1" t="s">
        <v>12440</v>
      </c>
      <c r="AAE16" s="1" t="s">
        <v>12441</v>
      </c>
      <c r="AAF16" s="1" t="s">
        <v>12442</v>
      </c>
      <c r="AAG16" s="1" t="s">
        <v>12443</v>
      </c>
      <c r="AAH16" s="1" t="s">
        <v>12444</v>
      </c>
      <c r="AAI16" s="1" t="s">
        <v>12445</v>
      </c>
      <c r="AAJ16" s="1" t="s">
        <v>12446</v>
      </c>
      <c r="AAK16" s="1" t="s">
        <v>12447</v>
      </c>
      <c r="AAL16" s="1" t="s">
        <v>12448</v>
      </c>
      <c r="AAM16" s="1" t="s">
        <v>12449</v>
      </c>
      <c r="AAN16" s="1" t="s">
        <v>12450</v>
      </c>
      <c r="AAO16" s="1" t="s">
        <v>12451</v>
      </c>
      <c r="AAP16" s="1" t="s">
        <v>12452</v>
      </c>
      <c r="AAQ16" s="1" t="s">
        <v>12453</v>
      </c>
      <c r="AAR16" s="1" t="s">
        <v>12454</v>
      </c>
      <c r="AAS16" s="1" t="s">
        <v>12455</v>
      </c>
      <c r="AAT16" s="1" t="s">
        <v>12456</v>
      </c>
      <c r="AAU16" s="1" t="s">
        <v>12457</v>
      </c>
      <c r="AAV16" s="1" t="s">
        <v>12458</v>
      </c>
      <c r="AAW16" s="1" t="s">
        <v>12459</v>
      </c>
      <c r="AAX16" s="1" t="s">
        <v>12460</v>
      </c>
      <c r="AAY16" s="1" t="s">
        <v>12461</v>
      </c>
      <c r="AAZ16" s="1" t="s">
        <v>12462</v>
      </c>
      <c r="ABA16" s="1" t="s">
        <v>12463</v>
      </c>
      <c r="ABB16" s="1" t="s">
        <v>12464</v>
      </c>
      <c r="ABC16" s="1" t="s">
        <v>12465</v>
      </c>
      <c r="ABD16" s="1" t="s">
        <v>12466</v>
      </c>
      <c r="ABE16" s="1" t="s">
        <v>12467</v>
      </c>
      <c r="ABF16" s="1" t="s">
        <v>12468</v>
      </c>
      <c r="ABG16" s="1" t="s">
        <v>12469</v>
      </c>
      <c r="ABH16" s="1" t="s">
        <v>12470</v>
      </c>
      <c r="ABI16" s="1" t="s">
        <v>12471</v>
      </c>
      <c r="ABJ16" s="1" t="s">
        <v>12472</v>
      </c>
      <c r="ABK16" s="1" t="s">
        <v>12473</v>
      </c>
      <c r="ABL16" s="1" t="s">
        <v>12474</v>
      </c>
      <c r="ABM16" s="1" t="s">
        <v>12475</v>
      </c>
      <c r="ABN16" s="1" t="s">
        <v>12476</v>
      </c>
      <c r="ABO16" s="1" t="s">
        <v>12477</v>
      </c>
      <c r="ABP16" s="1" t="s">
        <v>12478</v>
      </c>
      <c r="ABQ16" s="1" t="s">
        <v>12479</v>
      </c>
      <c r="ABR16" s="1" t="s">
        <v>12480</v>
      </c>
      <c r="ABS16" s="1" t="s">
        <v>12481</v>
      </c>
      <c r="ABT16" s="1" t="s">
        <v>12482</v>
      </c>
      <c r="ABU16" s="1" t="s">
        <v>12483</v>
      </c>
      <c r="ABV16" s="1" t="s">
        <v>12484</v>
      </c>
      <c r="ABW16" s="1" t="s">
        <v>12485</v>
      </c>
      <c r="ABX16" s="1" t="s">
        <v>12486</v>
      </c>
      <c r="ABY16" s="1" t="s">
        <v>12487</v>
      </c>
      <c r="ABZ16" s="1" t="s">
        <v>12488</v>
      </c>
      <c r="ACA16" s="1" t="s">
        <v>12489</v>
      </c>
      <c r="ACB16" s="1" t="s">
        <v>12490</v>
      </c>
      <c r="ACC16" s="1" t="s">
        <v>12491</v>
      </c>
      <c r="ACD16" s="1" t="s">
        <v>12492</v>
      </c>
      <c r="ACE16" s="1" t="s">
        <v>12493</v>
      </c>
      <c r="ACF16" s="1" t="s">
        <v>12494</v>
      </c>
      <c r="ACG16" s="1" t="s">
        <v>12495</v>
      </c>
      <c r="ACH16" s="1" t="s">
        <v>12496</v>
      </c>
      <c r="ACI16" s="1" t="s">
        <v>12497</v>
      </c>
      <c r="ACJ16" s="1" t="s">
        <v>12498</v>
      </c>
      <c r="ACK16" s="1" t="s">
        <v>12499</v>
      </c>
      <c r="ACL16" s="1" t="s">
        <v>12500</v>
      </c>
      <c r="ACM16" s="1" t="s">
        <v>12501</v>
      </c>
      <c r="ACN16" s="1" t="s">
        <v>12502</v>
      </c>
      <c r="ACO16" s="1" t="s">
        <v>12503</v>
      </c>
      <c r="ACP16" s="1" t="s">
        <v>12504</v>
      </c>
      <c r="ACQ16" s="1" t="s">
        <v>12505</v>
      </c>
      <c r="ACR16" s="1" t="s">
        <v>12506</v>
      </c>
      <c r="ACS16" s="1" t="s">
        <v>12507</v>
      </c>
      <c r="ACT16" s="1" t="s">
        <v>12508</v>
      </c>
      <c r="ACU16" s="1" t="s">
        <v>12509</v>
      </c>
      <c r="ACV16" s="1" t="s">
        <v>12510</v>
      </c>
      <c r="ACW16" s="1" t="s">
        <v>12</v>
      </c>
      <c r="ACX16" s="1" t="s">
        <v>1500</v>
      </c>
    </row>
    <row r="17" spans="1:778" x14ac:dyDescent="0.2">
      <c r="A17" s="1" t="s">
        <v>76</v>
      </c>
      <c r="B17" s="1" t="s">
        <v>12511</v>
      </c>
      <c r="C17" s="1" t="s">
        <v>12512</v>
      </c>
      <c r="D17" s="1" t="s">
        <v>12513</v>
      </c>
      <c r="E17" s="1" t="s">
        <v>12514</v>
      </c>
      <c r="F17" s="1" t="s">
        <v>12515</v>
      </c>
      <c r="G17" s="1" t="s">
        <v>12516</v>
      </c>
      <c r="H17" s="1" t="s">
        <v>12517</v>
      </c>
      <c r="I17" s="1" t="s">
        <v>12518</v>
      </c>
      <c r="J17" s="1" t="s">
        <v>12519</v>
      </c>
      <c r="K17" s="1" t="s">
        <v>12520</v>
      </c>
      <c r="L17" s="1" t="s">
        <v>12521</v>
      </c>
      <c r="M17" s="1" t="s">
        <v>12522</v>
      </c>
      <c r="N17" s="1" t="s">
        <v>12523</v>
      </c>
      <c r="O17" s="1" t="s">
        <v>12524</v>
      </c>
      <c r="P17" s="1" t="s">
        <v>12525</v>
      </c>
      <c r="Q17" s="1" t="s">
        <v>12526</v>
      </c>
      <c r="R17" s="1" t="s">
        <v>12527</v>
      </c>
      <c r="S17" s="1" t="s">
        <v>12528</v>
      </c>
      <c r="T17" s="1" t="s">
        <v>12529</v>
      </c>
      <c r="U17" s="1" t="s">
        <v>12530</v>
      </c>
      <c r="V17" s="1" t="s">
        <v>12531</v>
      </c>
      <c r="W17" s="1" t="s">
        <v>12532</v>
      </c>
      <c r="X17" s="1" t="s">
        <v>12533</v>
      </c>
      <c r="Y17" s="1" t="s">
        <v>12534</v>
      </c>
      <c r="Z17" s="1" t="s">
        <v>12535</v>
      </c>
      <c r="AA17" s="1" t="s">
        <v>12536</v>
      </c>
      <c r="AB17" s="1" t="s">
        <v>12537</v>
      </c>
      <c r="AC17" s="1" t="s">
        <v>12538</v>
      </c>
      <c r="AD17" s="1" t="s">
        <v>12539</v>
      </c>
      <c r="AE17" s="1" t="s">
        <v>12540</v>
      </c>
      <c r="AF17" s="1" t="s">
        <v>12541</v>
      </c>
      <c r="AG17" s="1" t="s">
        <v>12542</v>
      </c>
      <c r="AH17" s="1" t="s">
        <v>12543</v>
      </c>
      <c r="AI17" s="1" t="s">
        <v>12544</v>
      </c>
      <c r="AJ17" s="1" t="s">
        <v>12545</v>
      </c>
      <c r="AK17" s="1" t="s">
        <v>12546</v>
      </c>
      <c r="AL17" s="1" t="s">
        <v>12547</v>
      </c>
      <c r="AM17" s="1" t="s">
        <v>12548</v>
      </c>
      <c r="AN17" s="1" t="s">
        <v>12549</v>
      </c>
      <c r="AO17" s="1" t="s">
        <v>12550</v>
      </c>
      <c r="AP17" s="1" t="s">
        <v>12551</v>
      </c>
      <c r="AQ17" s="1" t="s">
        <v>12552</v>
      </c>
      <c r="AR17" s="1" t="s">
        <v>12553</v>
      </c>
      <c r="AS17" s="1" t="s">
        <v>12554</v>
      </c>
      <c r="AT17" s="1" t="s">
        <v>12555</v>
      </c>
      <c r="AU17" s="1" t="s">
        <v>12556</v>
      </c>
      <c r="AV17" s="1" t="s">
        <v>12557</v>
      </c>
      <c r="AW17" s="1" t="s">
        <v>12558</v>
      </c>
      <c r="AX17" s="1" t="s">
        <v>12559</v>
      </c>
      <c r="AY17" s="1" t="s">
        <v>12560</v>
      </c>
      <c r="AZ17" s="1" t="s">
        <v>12561</v>
      </c>
      <c r="BA17" s="1" t="s">
        <v>12562</v>
      </c>
      <c r="BB17" s="1" t="s">
        <v>12563</v>
      </c>
      <c r="BC17" s="1" t="s">
        <v>12564</v>
      </c>
      <c r="BD17" s="1" t="s">
        <v>12565</v>
      </c>
      <c r="BE17" s="1" t="s">
        <v>12566</v>
      </c>
      <c r="BF17" s="1" t="s">
        <v>12567</v>
      </c>
      <c r="BG17" s="1" t="s">
        <v>12568</v>
      </c>
      <c r="BH17" s="1" t="s">
        <v>12569</v>
      </c>
      <c r="BI17" s="1" t="s">
        <v>12570</v>
      </c>
      <c r="BJ17" s="1" t="s">
        <v>12571</v>
      </c>
      <c r="BK17" s="1" t="s">
        <v>12572</v>
      </c>
      <c r="BL17" s="1" t="s">
        <v>12573</v>
      </c>
      <c r="BM17" s="1" t="s">
        <v>12574</v>
      </c>
      <c r="BN17" s="1" t="s">
        <v>12575</v>
      </c>
      <c r="BO17" s="1" t="s">
        <v>12576</v>
      </c>
      <c r="BP17" s="1" t="s">
        <v>12577</v>
      </c>
      <c r="BQ17" s="1" t="s">
        <v>12578</v>
      </c>
      <c r="BR17" s="1" t="s">
        <v>12579</v>
      </c>
      <c r="BS17" s="1" t="s">
        <v>12580</v>
      </c>
      <c r="BT17" s="1" t="s">
        <v>12581</v>
      </c>
      <c r="BU17" s="1" t="s">
        <v>12582</v>
      </c>
      <c r="BV17" s="1" t="s">
        <v>12583</v>
      </c>
      <c r="BW17" s="1" t="s">
        <v>12584</v>
      </c>
      <c r="BX17" s="1" t="s">
        <v>12585</v>
      </c>
      <c r="BY17" s="1" t="s">
        <v>12586</v>
      </c>
      <c r="BZ17" s="1" t="s">
        <v>12587</v>
      </c>
      <c r="CA17" s="1" t="s">
        <v>12588</v>
      </c>
      <c r="CB17" s="1" t="s">
        <v>12589</v>
      </c>
      <c r="CC17" s="1" t="s">
        <v>12590</v>
      </c>
      <c r="CD17" s="1" t="s">
        <v>12591</v>
      </c>
      <c r="CE17" s="1" t="s">
        <v>12592</v>
      </c>
      <c r="CF17" s="1" t="s">
        <v>12593</v>
      </c>
      <c r="CG17" s="1" t="s">
        <v>12594</v>
      </c>
      <c r="CH17" s="1" t="s">
        <v>12595</v>
      </c>
      <c r="CI17" s="1" t="s">
        <v>12596</v>
      </c>
      <c r="CJ17" s="1" t="s">
        <v>12597</v>
      </c>
      <c r="CK17" s="1" t="s">
        <v>12598</v>
      </c>
      <c r="CL17" s="1" t="s">
        <v>12599</v>
      </c>
      <c r="CM17" s="1" t="s">
        <v>12600</v>
      </c>
      <c r="CN17" s="1" t="s">
        <v>12601</v>
      </c>
      <c r="CO17" s="1" t="s">
        <v>12602</v>
      </c>
      <c r="CP17" s="1" t="s">
        <v>12603</v>
      </c>
      <c r="CQ17" s="1" t="s">
        <v>12604</v>
      </c>
      <c r="CR17" s="1" t="s">
        <v>12605</v>
      </c>
      <c r="CS17" s="1" t="s">
        <v>12606</v>
      </c>
      <c r="CT17" s="1" t="s">
        <v>12607</v>
      </c>
      <c r="CU17" s="1" t="s">
        <v>12608</v>
      </c>
      <c r="CV17" s="1" t="s">
        <v>12609</v>
      </c>
      <c r="CW17" s="1" t="s">
        <v>12610</v>
      </c>
      <c r="CX17" s="1" t="s">
        <v>12611</v>
      </c>
      <c r="CY17" s="1" t="s">
        <v>12612</v>
      </c>
      <c r="CZ17" s="1" t="s">
        <v>12613</v>
      </c>
      <c r="DA17" s="1" t="s">
        <v>12614</v>
      </c>
      <c r="DB17" s="1" t="s">
        <v>12615</v>
      </c>
      <c r="DC17" s="1" t="s">
        <v>12616</v>
      </c>
      <c r="DD17" s="1" t="s">
        <v>12617</v>
      </c>
      <c r="DE17" s="1" t="s">
        <v>12618</v>
      </c>
      <c r="DF17" s="1" t="s">
        <v>12619</v>
      </c>
      <c r="DG17" s="1" t="s">
        <v>12620</v>
      </c>
      <c r="DH17" s="1" t="s">
        <v>12621</v>
      </c>
      <c r="DI17" s="1" t="s">
        <v>12622</v>
      </c>
      <c r="DJ17" s="1" t="s">
        <v>12623</v>
      </c>
      <c r="DK17" s="1" t="s">
        <v>12624</v>
      </c>
      <c r="DL17" s="1" t="s">
        <v>12625</v>
      </c>
      <c r="DM17" s="1" t="s">
        <v>12626</v>
      </c>
      <c r="DN17" s="1" t="s">
        <v>12627</v>
      </c>
      <c r="DO17" s="1" t="s">
        <v>12628</v>
      </c>
      <c r="DP17" s="1" t="s">
        <v>12629</v>
      </c>
      <c r="DQ17" s="1" t="s">
        <v>12630</v>
      </c>
      <c r="DR17" s="1" t="s">
        <v>12631</v>
      </c>
      <c r="DS17" s="1" t="s">
        <v>12632</v>
      </c>
      <c r="DT17" s="1" t="s">
        <v>12633</v>
      </c>
      <c r="DU17" s="1" t="s">
        <v>12634</v>
      </c>
      <c r="DV17" s="1" t="s">
        <v>12635</v>
      </c>
      <c r="DW17" s="1" t="s">
        <v>12636</v>
      </c>
      <c r="DX17" s="1" t="s">
        <v>12637</v>
      </c>
      <c r="DY17" s="1" t="s">
        <v>12638</v>
      </c>
      <c r="DZ17" s="1" t="s">
        <v>12639</v>
      </c>
      <c r="EA17" s="1" t="s">
        <v>12640</v>
      </c>
      <c r="EB17" s="1" t="s">
        <v>12641</v>
      </c>
      <c r="EC17" s="1" t="s">
        <v>12642</v>
      </c>
      <c r="ED17" s="1" t="s">
        <v>12643</v>
      </c>
      <c r="EE17" s="1" t="s">
        <v>12644</v>
      </c>
      <c r="EF17" s="1" t="s">
        <v>12645</v>
      </c>
      <c r="EG17" s="1" t="s">
        <v>12646</v>
      </c>
      <c r="EH17" s="1" t="s">
        <v>12647</v>
      </c>
      <c r="EI17" s="1" t="s">
        <v>12648</v>
      </c>
      <c r="EJ17" s="1" t="s">
        <v>12649</v>
      </c>
      <c r="EK17" s="1" t="s">
        <v>12650</v>
      </c>
      <c r="EL17" s="1" t="s">
        <v>12651</v>
      </c>
      <c r="EM17" s="1" t="s">
        <v>12652</v>
      </c>
      <c r="EN17" s="1" t="s">
        <v>12653</v>
      </c>
      <c r="EO17" s="1" t="s">
        <v>12654</v>
      </c>
      <c r="EP17" s="1" t="s">
        <v>12655</v>
      </c>
      <c r="EQ17" s="1" t="s">
        <v>12656</v>
      </c>
      <c r="ER17" s="1" t="s">
        <v>12657</v>
      </c>
      <c r="ES17" s="1" t="s">
        <v>12658</v>
      </c>
      <c r="ET17" s="1" t="s">
        <v>12659</v>
      </c>
      <c r="EU17" s="1" t="s">
        <v>12660</v>
      </c>
      <c r="EV17" s="1" t="s">
        <v>12661</v>
      </c>
      <c r="EW17" s="1" t="s">
        <v>12662</v>
      </c>
      <c r="EX17" s="1" t="s">
        <v>12663</v>
      </c>
      <c r="EY17" s="1" t="s">
        <v>12664</v>
      </c>
      <c r="EZ17" s="1" t="s">
        <v>12665</v>
      </c>
      <c r="FA17" s="1" t="s">
        <v>12666</v>
      </c>
      <c r="FB17" s="1" t="s">
        <v>12667</v>
      </c>
      <c r="FC17" s="1" t="s">
        <v>12668</v>
      </c>
      <c r="FD17" s="1" t="s">
        <v>12669</v>
      </c>
      <c r="FE17" s="1" t="s">
        <v>12670</v>
      </c>
      <c r="FF17" s="1" t="s">
        <v>12671</v>
      </c>
      <c r="FG17" s="1" t="s">
        <v>12672</v>
      </c>
      <c r="FH17" s="1" t="s">
        <v>12673</v>
      </c>
      <c r="FI17" s="1" t="s">
        <v>12674</v>
      </c>
      <c r="FJ17" s="1" t="s">
        <v>12675</v>
      </c>
      <c r="FK17" s="1" t="s">
        <v>12676</v>
      </c>
      <c r="FL17" s="1" t="s">
        <v>12677</v>
      </c>
      <c r="FM17" s="1" t="s">
        <v>12678</v>
      </c>
      <c r="FN17" s="1" t="s">
        <v>12679</v>
      </c>
      <c r="FO17" s="1" t="s">
        <v>12680</v>
      </c>
      <c r="FP17" s="1" t="s">
        <v>12681</v>
      </c>
      <c r="FQ17" s="1" t="s">
        <v>12682</v>
      </c>
      <c r="FR17" s="1" t="s">
        <v>12683</v>
      </c>
      <c r="FS17" s="1" t="s">
        <v>12684</v>
      </c>
      <c r="FT17" s="1" t="s">
        <v>12685</v>
      </c>
      <c r="FU17" s="1" t="s">
        <v>12686</v>
      </c>
      <c r="FV17" s="1" t="s">
        <v>12687</v>
      </c>
      <c r="FW17" s="1" t="s">
        <v>12688</v>
      </c>
      <c r="FX17" s="1" t="s">
        <v>12689</v>
      </c>
      <c r="FY17" s="1" t="s">
        <v>12690</v>
      </c>
      <c r="FZ17" s="1" t="s">
        <v>12691</v>
      </c>
      <c r="GA17" s="1" t="s">
        <v>12692</v>
      </c>
      <c r="GB17" s="1" t="s">
        <v>12693</v>
      </c>
      <c r="GC17" s="1" t="s">
        <v>12694</v>
      </c>
      <c r="GD17" s="1" t="s">
        <v>12695</v>
      </c>
      <c r="GE17" s="1" t="s">
        <v>12696</v>
      </c>
      <c r="GF17" s="1" t="s">
        <v>12697</v>
      </c>
      <c r="GG17" s="1" t="s">
        <v>12698</v>
      </c>
      <c r="GH17" s="1" t="s">
        <v>12699</v>
      </c>
      <c r="GI17" s="1" t="s">
        <v>12700</v>
      </c>
      <c r="GJ17" s="1" t="s">
        <v>12701</v>
      </c>
      <c r="GK17" s="1" t="s">
        <v>12702</v>
      </c>
      <c r="GL17" s="1" t="s">
        <v>12703</v>
      </c>
      <c r="GM17" s="1" t="s">
        <v>12704</v>
      </c>
      <c r="GN17" s="1" t="s">
        <v>12705</v>
      </c>
      <c r="GO17" s="1" t="s">
        <v>12706</v>
      </c>
      <c r="GP17" s="1" t="s">
        <v>12707</v>
      </c>
      <c r="GQ17" s="1" t="s">
        <v>12708</v>
      </c>
      <c r="GR17" s="1" t="s">
        <v>12709</v>
      </c>
      <c r="GS17" s="1" t="s">
        <v>12710</v>
      </c>
      <c r="GT17" s="1" t="s">
        <v>12711</v>
      </c>
      <c r="GU17" s="1" t="s">
        <v>12712</v>
      </c>
      <c r="GV17" s="1" t="s">
        <v>12713</v>
      </c>
      <c r="GW17" s="1" t="s">
        <v>12714</v>
      </c>
      <c r="GX17" s="1" t="s">
        <v>12715</v>
      </c>
      <c r="GY17" s="1" t="s">
        <v>12716</v>
      </c>
      <c r="GZ17" s="1" t="s">
        <v>12717</v>
      </c>
      <c r="HA17" s="1" t="s">
        <v>12718</v>
      </c>
      <c r="HB17" s="1" t="s">
        <v>12719</v>
      </c>
      <c r="HC17" s="1" t="s">
        <v>12720</v>
      </c>
      <c r="HD17" s="1" t="s">
        <v>12721</v>
      </c>
      <c r="HE17" s="1" t="s">
        <v>12722</v>
      </c>
      <c r="HF17" s="1" t="s">
        <v>12723</v>
      </c>
      <c r="HG17" s="1" t="s">
        <v>12724</v>
      </c>
      <c r="HH17" s="1" t="s">
        <v>12725</v>
      </c>
      <c r="HI17" s="1" t="s">
        <v>12726</v>
      </c>
      <c r="HJ17" s="1" t="s">
        <v>12727</v>
      </c>
      <c r="HK17" s="1" t="s">
        <v>12728</v>
      </c>
      <c r="HL17" s="1" t="s">
        <v>12729</v>
      </c>
      <c r="HM17" s="1" t="s">
        <v>12730</v>
      </c>
      <c r="HN17" s="1" t="s">
        <v>12731</v>
      </c>
      <c r="HO17" s="1" t="s">
        <v>12732</v>
      </c>
      <c r="HP17" s="1" t="s">
        <v>12733</v>
      </c>
      <c r="HQ17" s="1" t="s">
        <v>12734</v>
      </c>
      <c r="HR17" s="1" t="s">
        <v>12735</v>
      </c>
      <c r="HS17" s="1" t="s">
        <v>12736</v>
      </c>
      <c r="HT17" s="1" t="s">
        <v>12737</v>
      </c>
      <c r="HU17" s="1" t="s">
        <v>12738</v>
      </c>
      <c r="HV17" s="1" t="s">
        <v>12739</v>
      </c>
      <c r="HW17" s="1" t="s">
        <v>12740</v>
      </c>
      <c r="HX17" s="1" t="s">
        <v>12741</v>
      </c>
      <c r="HY17" s="1" t="s">
        <v>12742</v>
      </c>
      <c r="HZ17" s="1" t="s">
        <v>12743</v>
      </c>
      <c r="IA17" s="1" t="s">
        <v>12744</v>
      </c>
      <c r="IB17" s="1" t="s">
        <v>12745</v>
      </c>
      <c r="IC17" s="1" t="s">
        <v>12746</v>
      </c>
      <c r="ID17" s="1" t="s">
        <v>12747</v>
      </c>
      <c r="IE17" s="1" t="s">
        <v>12748</v>
      </c>
      <c r="IF17" s="1" t="s">
        <v>12749</v>
      </c>
      <c r="IG17" s="1" t="s">
        <v>12750</v>
      </c>
      <c r="IH17" s="1" t="s">
        <v>12751</v>
      </c>
      <c r="II17" s="1" t="s">
        <v>12752</v>
      </c>
      <c r="IJ17" s="1" t="s">
        <v>12753</v>
      </c>
      <c r="IK17" s="1" t="s">
        <v>12754</v>
      </c>
      <c r="IL17" s="1" t="s">
        <v>12755</v>
      </c>
      <c r="IM17" s="1" t="s">
        <v>12756</v>
      </c>
      <c r="IN17" s="1" t="s">
        <v>12757</v>
      </c>
      <c r="IO17" s="1" t="s">
        <v>12758</v>
      </c>
      <c r="IP17" s="1" t="s">
        <v>12759</v>
      </c>
      <c r="IQ17" s="1" t="s">
        <v>12760</v>
      </c>
      <c r="IR17" s="1" t="s">
        <v>12761</v>
      </c>
      <c r="IS17" s="1" t="s">
        <v>12762</v>
      </c>
      <c r="IT17" s="1" t="s">
        <v>12763</v>
      </c>
      <c r="IU17" s="1" t="s">
        <v>12764</v>
      </c>
      <c r="IV17" s="1" t="s">
        <v>12765</v>
      </c>
      <c r="IW17" s="1" t="s">
        <v>12766</v>
      </c>
      <c r="IX17" s="1" t="s">
        <v>12767</v>
      </c>
      <c r="IY17" s="1" t="s">
        <v>12768</v>
      </c>
      <c r="IZ17" s="1" t="s">
        <v>12769</v>
      </c>
      <c r="JA17" s="1" t="s">
        <v>12770</v>
      </c>
      <c r="JB17" s="1" t="s">
        <v>12771</v>
      </c>
      <c r="JC17" s="1" t="s">
        <v>12772</v>
      </c>
      <c r="JD17" s="1" t="s">
        <v>12773</v>
      </c>
      <c r="JE17" s="1" t="s">
        <v>12774</v>
      </c>
      <c r="JF17" s="1" t="s">
        <v>12775</v>
      </c>
      <c r="JG17" s="1" t="s">
        <v>12776</v>
      </c>
      <c r="JH17" s="1" t="s">
        <v>12777</v>
      </c>
      <c r="JI17" s="1" t="s">
        <v>12778</v>
      </c>
      <c r="JJ17" s="1" t="s">
        <v>12779</v>
      </c>
      <c r="JK17" s="1" t="s">
        <v>12780</v>
      </c>
      <c r="JL17" s="1" t="s">
        <v>12781</v>
      </c>
      <c r="JM17" s="1" t="s">
        <v>12782</v>
      </c>
      <c r="JN17" s="1" t="s">
        <v>12783</v>
      </c>
      <c r="JO17" s="1" t="s">
        <v>12784</v>
      </c>
      <c r="JP17" s="1" t="s">
        <v>12785</v>
      </c>
      <c r="JQ17" s="1" t="s">
        <v>12786</v>
      </c>
      <c r="JR17" s="1" t="s">
        <v>12787</v>
      </c>
      <c r="JS17" s="1" t="s">
        <v>12788</v>
      </c>
      <c r="JT17" s="1" t="s">
        <v>12789</v>
      </c>
      <c r="JU17" s="1" t="s">
        <v>12790</v>
      </c>
      <c r="JV17" s="1" t="s">
        <v>12791</v>
      </c>
      <c r="JW17" s="1" t="s">
        <v>12792</v>
      </c>
      <c r="JX17" s="1" t="s">
        <v>12793</v>
      </c>
      <c r="JY17" s="1" t="s">
        <v>12794</v>
      </c>
      <c r="JZ17" s="1" t="s">
        <v>12795</v>
      </c>
      <c r="KA17" s="1" t="s">
        <v>12796</v>
      </c>
      <c r="KB17" s="1" t="s">
        <v>12797</v>
      </c>
      <c r="KC17" s="1" t="s">
        <v>12798</v>
      </c>
      <c r="KD17" s="1" t="s">
        <v>12799</v>
      </c>
      <c r="KE17" s="1" t="s">
        <v>12800</v>
      </c>
      <c r="KF17" s="1" t="s">
        <v>12801</v>
      </c>
      <c r="KG17" s="1" t="s">
        <v>12802</v>
      </c>
      <c r="KH17" s="1" t="s">
        <v>12803</v>
      </c>
      <c r="KI17" s="1" t="s">
        <v>12804</v>
      </c>
      <c r="KJ17" s="1" t="s">
        <v>12805</v>
      </c>
      <c r="KK17" s="1" t="s">
        <v>12806</v>
      </c>
      <c r="KL17" s="1" t="s">
        <v>12807</v>
      </c>
      <c r="KM17" s="1" t="s">
        <v>12808</v>
      </c>
      <c r="KN17" s="1" t="s">
        <v>12809</v>
      </c>
      <c r="KO17" s="1" t="s">
        <v>12810</v>
      </c>
      <c r="KP17" s="1" t="s">
        <v>12811</v>
      </c>
      <c r="KQ17" s="1" t="s">
        <v>12812</v>
      </c>
      <c r="KR17" s="1" t="s">
        <v>12813</v>
      </c>
      <c r="KS17" s="1" t="s">
        <v>12814</v>
      </c>
      <c r="KT17" s="1" t="s">
        <v>12815</v>
      </c>
      <c r="KU17" s="1" t="s">
        <v>12816</v>
      </c>
      <c r="KV17" s="1" t="s">
        <v>12817</v>
      </c>
      <c r="KW17" s="1" t="s">
        <v>12818</v>
      </c>
      <c r="KX17" s="1" t="s">
        <v>12819</v>
      </c>
      <c r="KY17" s="1" t="s">
        <v>12820</v>
      </c>
      <c r="KZ17" s="1" t="s">
        <v>12821</v>
      </c>
      <c r="LA17" s="1" t="s">
        <v>12822</v>
      </c>
      <c r="LB17" s="1" t="s">
        <v>12823</v>
      </c>
      <c r="LC17" s="1" t="s">
        <v>12824</v>
      </c>
      <c r="LD17" s="1" t="s">
        <v>12825</v>
      </c>
      <c r="LE17" s="1" t="s">
        <v>12826</v>
      </c>
      <c r="LF17" s="1" t="s">
        <v>12827</v>
      </c>
      <c r="LG17" s="1" t="s">
        <v>12828</v>
      </c>
      <c r="LH17" s="1" t="s">
        <v>12829</v>
      </c>
      <c r="LI17" s="1" t="s">
        <v>12830</v>
      </c>
      <c r="LJ17" s="1" t="s">
        <v>12831</v>
      </c>
      <c r="LK17" s="1" t="s">
        <v>12832</v>
      </c>
      <c r="LL17" s="1" t="s">
        <v>12833</v>
      </c>
      <c r="LM17" s="1" t="s">
        <v>12834</v>
      </c>
      <c r="LN17" s="1" t="s">
        <v>12835</v>
      </c>
      <c r="LO17" s="1" t="s">
        <v>12836</v>
      </c>
      <c r="LP17" s="1" t="s">
        <v>12837</v>
      </c>
      <c r="LQ17" s="1" t="s">
        <v>12838</v>
      </c>
      <c r="LR17" s="1" t="s">
        <v>12839</v>
      </c>
      <c r="LS17" s="1" t="s">
        <v>12840</v>
      </c>
      <c r="LT17" s="1" t="s">
        <v>12841</v>
      </c>
      <c r="LU17" s="1" t="s">
        <v>12842</v>
      </c>
      <c r="LV17" s="1" t="s">
        <v>12843</v>
      </c>
      <c r="LW17" s="1" t="s">
        <v>12844</v>
      </c>
      <c r="LX17" s="1" t="s">
        <v>12845</v>
      </c>
      <c r="LY17" s="1" t="s">
        <v>12846</v>
      </c>
      <c r="LZ17" s="1" t="s">
        <v>12847</v>
      </c>
      <c r="MA17" s="1" t="s">
        <v>12848</v>
      </c>
      <c r="MB17" s="1" t="s">
        <v>12849</v>
      </c>
      <c r="MC17" s="1" t="s">
        <v>12850</v>
      </c>
      <c r="MD17" s="1" t="s">
        <v>12851</v>
      </c>
      <c r="ME17" s="1" t="s">
        <v>12852</v>
      </c>
      <c r="MF17" s="1" t="s">
        <v>12853</v>
      </c>
      <c r="MG17" s="1" t="s">
        <v>12854</v>
      </c>
      <c r="MH17" s="1" t="s">
        <v>12855</v>
      </c>
      <c r="MI17" s="1" t="s">
        <v>12856</v>
      </c>
      <c r="MJ17" s="1" t="s">
        <v>12857</v>
      </c>
      <c r="MK17" s="1" t="s">
        <v>12858</v>
      </c>
      <c r="ML17" s="1" t="s">
        <v>12859</v>
      </c>
      <c r="MM17" s="1" t="s">
        <v>12860</v>
      </c>
      <c r="MN17" s="1" t="s">
        <v>12861</v>
      </c>
      <c r="MO17" s="1" t="s">
        <v>12862</v>
      </c>
      <c r="MP17" s="1" t="s">
        <v>12863</v>
      </c>
      <c r="MQ17" s="1" t="s">
        <v>12864</v>
      </c>
      <c r="MR17" s="1" t="s">
        <v>12865</v>
      </c>
      <c r="MS17" s="1" t="s">
        <v>12866</v>
      </c>
      <c r="MT17" s="1" t="s">
        <v>12867</v>
      </c>
      <c r="MU17" s="1" t="s">
        <v>12868</v>
      </c>
      <c r="MV17" s="1" t="s">
        <v>12869</v>
      </c>
      <c r="MW17" s="1" t="s">
        <v>12870</v>
      </c>
      <c r="MX17" s="1" t="s">
        <v>12871</v>
      </c>
      <c r="MY17" s="1" t="s">
        <v>12872</v>
      </c>
      <c r="MZ17" s="1" t="s">
        <v>12873</v>
      </c>
      <c r="NA17" s="1" t="s">
        <v>12874</v>
      </c>
      <c r="NB17" s="1" t="s">
        <v>12875</v>
      </c>
      <c r="NC17" s="1" t="s">
        <v>12876</v>
      </c>
      <c r="ND17" s="1" t="s">
        <v>12877</v>
      </c>
      <c r="NE17" s="1" t="s">
        <v>12878</v>
      </c>
      <c r="NF17" s="1" t="s">
        <v>12879</v>
      </c>
      <c r="NG17" s="1" t="s">
        <v>12880</v>
      </c>
      <c r="NH17" s="1" t="s">
        <v>12881</v>
      </c>
      <c r="NI17" s="1" t="s">
        <v>12882</v>
      </c>
      <c r="NJ17" s="1" t="s">
        <v>12883</v>
      </c>
      <c r="NK17" s="1" t="s">
        <v>12884</v>
      </c>
      <c r="NL17" s="1" t="s">
        <v>12885</v>
      </c>
      <c r="NM17" s="1" t="s">
        <v>12886</v>
      </c>
      <c r="NN17" s="1" t="s">
        <v>12887</v>
      </c>
      <c r="NO17" s="1" t="s">
        <v>12888</v>
      </c>
      <c r="NP17" s="1" t="s">
        <v>12889</v>
      </c>
      <c r="NQ17" s="1" t="s">
        <v>12890</v>
      </c>
      <c r="NR17" s="1" t="s">
        <v>12891</v>
      </c>
      <c r="NS17" s="1" t="s">
        <v>12892</v>
      </c>
      <c r="NT17" s="1" t="s">
        <v>12893</v>
      </c>
      <c r="NU17" s="1" t="s">
        <v>12894</v>
      </c>
      <c r="NV17" s="1" t="s">
        <v>12895</v>
      </c>
      <c r="NW17" s="1" t="s">
        <v>12896</v>
      </c>
      <c r="NX17" s="1" t="s">
        <v>12897</v>
      </c>
      <c r="NY17" s="1" t="s">
        <v>12898</v>
      </c>
      <c r="NZ17" s="1" t="s">
        <v>12899</v>
      </c>
      <c r="OA17" s="1" t="s">
        <v>12900</v>
      </c>
      <c r="OB17" s="1" t="s">
        <v>12901</v>
      </c>
      <c r="OC17" s="1" t="s">
        <v>12902</v>
      </c>
      <c r="OD17" s="1" t="s">
        <v>12903</v>
      </c>
      <c r="OE17" s="1" t="s">
        <v>12904</v>
      </c>
      <c r="OF17" s="1" t="s">
        <v>12905</v>
      </c>
      <c r="OG17" s="1" t="s">
        <v>12906</v>
      </c>
      <c r="OH17" s="1" t="s">
        <v>12907</v>
      </c>
      <c r="OI17" s="1" t="s">
        <v>12908</v>
      </c>
      <c r="OJ17" s="1" t="s">
        <v>12909</v>
      </c>
      <c r="OK17" s="1" t="s">
        <v>12910</v>
      </c>
      <c r="OL17" s="1" t="s">
        <v>12911</v>
      </c>
      <c r="OM17" s="1" t="s">
        <v>12912</v>
      </c>
      <c r="ON17" s="1" t="s">
        <v>12913</v>
      </c>
      <c r="OO17" s="1" t="s">
        <v>12914</v>
      </c>
      <c r="OP17" s="1" t="s">
        <v>12915</v>
      </c>
      <c r="OQ17" s="1" t="s">
        <v>12916</v>
      </c>
      <c r="OR17" s="1" t="s">
        <v>12917</v>
      </c>
      <c r="OS17" s="1" t="s">
        <v>12918</v>
      </c>
      <c r="OT17" s="1" t="s">
        <v>12919</v>
      </c>
      <c r="OU17" s="1" t="s">
        <v>12920</v>
      </c>
      <c r="OV17" s="1" t="s">
        <v>12921</v>
      </c>
      <c r="OW17" s="1" t="s">
        <v>12922</v>
      </c>
      <c r="OX17" s="1" t="s">
        <v>12923</v>
      </c>
      <c r="OY17" s="1" t="s">
        <v>12924</v>
      </c>
      <c r="OZ17" s="1" t="s">
        <v>12925</v>
      </c>
      <c r="PA17" s="1" t="s">
        <v>12926</v>
      </c>
      <c r="PB17" s="1" t="s">
        <v>12927</v>
      </c>
      <c r="PC17" s="1" t="s">
        <v>12928</v>
      </c>
      <c r="PD17" s="1" t="s">
        <v>12929</v>
      </c>
      <c r="PE17" s="1" t="s">
        <v>12930</v>
      </c>
      <c r="PF17" s="1" t="s">
        <v>12931</v>
      </c>
      <c r="PG17" s="1" t="s">
        <v>12932</v>
      </c>
      <c r="PH17" s="1" t="s">
        <v>12933</v>
      </c>
      <c r="PI17" s="1" t="s">
        <v>12934</v>
      </c>
      <c r="PJ17" s="1" t="s">
        <v>12935</v>
      </c>
      <c r="PK17" s="1" t="s">
        <v>12936</v>
      </c>
      <c r="PL17" s="1" t="s">
        <v>12937</v>
      </c>
      <c r="PM17" s="1" t="s">
        <v>12938</v>
      </c>
      <c r="PN17" s="1" t="s">
        <v>12939</v>
      </c>
      <c r="PO17" s="1" t="s">
        <v>12940</v>
      </c>
      <c r="PP17" s="1" t="s">
        <v>12941</v>
      </c>
      <c r="PQ17" s="1" t="s">
        <v>12942</v>
      </c>
      <c r="PR17" s="1" t="s">
        <v>12943</v>
      </c>
      <c r="PS17" s="1" t="s">
        <v>12944</v>
      </c>
      <c r="PT17" s="1" t="s">
        <v>12945</v>
      </c>
      <c r="PU17" s="1" t="s">
        <v>12946</v>
      </c>
      <c r="PV17" s="1" t="s">
        <v>12947</v>
      </c>
      <c r="PW17" s="1" t="s">
        <v>12948</v>
      </c>
      <c r="PX17" s="1" t="s">
        <v>12949</v>
      </c>
      <c r="PY17" s="1" t="s">
        <v>12950</v>
      </c>
      <c r="PZ17" s="1" t="s">
        <v>12951</v>
      </c>
      <c r="QA17" s="1" t="s">
        <v>12952</v>
      </c>
      <c r="QB17" s="1" t="s">
        <v>12953</v>
      </c>
      <c r="QC17" s="1" t="s">
        <v>12954</v>
      </c>
      <c r="QD17" s="1" t="s">
        <v>12955</v>
      </c>
      <c r="QE17" s="1" t="s">
        <v>12956</v>
      </c>
      <c r="QF17" s="1" t="s">
        <v>12957</v>
      </c>
      <c r="QG17" s="1" t="s">
        <v>12958</v>
      </c>
      <c r="QH17" s="1" t="s">
        <v>12959</v>
      </c>
      <c r="QI17" s="1" t="s">
        <v>12960</v>
      </c>
      <c r="QJ17" s="1" t="s">
        <v>12961</v>
      </c>
      <c r="QK17" s="1" t="s">
        <v>12962</v>
      </c>
      <c r="QL17" s="1" t="s">
        <v>12963</v>
      </c>
      <c r="QM17" s="1" t="s">
        <v>12964</v>
      </c>
      <c r="QN17" s="1" t="s">
        <v>12965</v>
      </c>
      <c r="QO17" s="1" t="s">
        <v>12966</v>
      </c>
      <c r="QP17" s="1" t="s">
        <v>12967</v>
      </c>
      <c r="QQ17" s="1" t="s">
        <v>12968</v>
      </c>
      <c r="QR17" s="1" t="s">
        <v>12969</v>
      </c>
      <c r="QS17" s="1" t="s">
        <v>12970</v>
      </c>
      <c r="QT17" s="1" t="s">
        <v>12971</v>
      </c>
      <c r="QU17" s="1" t="s">
        <v>12972</v>
      </c>
      <c r="QV17" s="1" t="s">
        <v>12973</v>
      </c>
      <c r="QW17" s="1" t="s">
        <v>12974</v>
      </c>
      <c r="QX17" s="1" t="s">
        <v>12975</v>
      </c>
      <c r="QY17" s="1" t="s">
        <v>12976</v>
      </c>
      <c r="QZ17" s="1" t="s">
        <v>12977</v>
      </c>
      <c r="RA17" s="1" t="s">
        <v>12978</v>
      </c>
      <c r="RB17" s="1" t="s">
        <v>12979</v>
      </c>
      <c r="RC17" s="1" t="s">
        <v>12980</v>
      </c>
      <c r="RD17" s="1" t="s">
        <v>12981</v>
      </c>
      <c r="RE17" s="1" t="s">
        <v>12982</v>
      </c>
      <c r="RF17" s="1" t="s">
        <v>12983</v>
      </c>
      <c r="RG17" s="1" t="s">
        <v>12984</v>
      </c>
      <c r="RH17" s="1" t="s">
        <v>12985</v>
      </c>
      <c r="RI17" s="1" t="s">
        <v>12986</v>
      </c>
      <c r="RJ17" s="1" t="s">
        <v>12987</v>
      </c>
      <c r="RK17" s="1" t="s">
        <v>12988</v>
      </c>
      <c r="RL17" s="1" t="s">
        <v>12989</v>
      </c>
      <c r="RM17" s="1" t="s">
        <v>12990</v>
      </c>
      <c r="RN17" s="1" t="s">
        <v>12991</v>
      </c>
      <c r="RO17" s="1" t="s">
        <v>12992</v>
      </c>
      <c r="RP17" s="1" t="s">
        <v>12993</v>
      </c>
      <c r="RQ17" s="1" t="s">
        <v>12994</v>
      </c>
      <c r="RR17" s="1" t="s">
        <v>12995</v>
      </c>
      <c r="RS17" s="1" t="s">
        <v>12996</v>
      </c>
      <c r="RT17" s="1" t="s">
        <v>12997</v>
      </c>
      <c r="RU17" s="1" t="s">
        <v>12998</v>
      </c>
      <c r="RV17" s="1" t="s">
        <v>12999</v>
      </c>
      <c r="RW17" s="1" t="s">
        <v>13000</v>
      </c>
      <c r="RX17" s="1" t="s">
        <v>13001</v>
      </c>
      <c r="RY17" s="1" t="s">
        <v>13002</v>
      </c>
      <c r="RZ17" s="1" t="s">
        <v>13003</v>
      </c>
      <c r="SA17" s="1" t="s">
        <v>13004</v>
      </c>
      <c r="SB17" s="1" t="s">
        <v>13005</v>
      </c>
      <c r="SC17" s="1" t="s">
        <v>13006</v>
      </c>
      <c r="SD17" s="1" t="s">
        <v>13007</v>
      </c>
      <c r="SE17" s="1" t="s">
        <v>13008</v>
      </c>
      <c r="SF17" s="1" t="s">
        <v>13009</v>
      </c>
      <c r="SG17" s="1" t="s">
        <v>13010</v>
      </c>
      <c r="SH17" s="1" t="s">
        <v>13011</v>
      </c>
      <c r="SI17" s="1" t="s">
        <v>13012</v>
      </c>
      <c r="SJ17" s="1" t="s">
        <v>13013</v>
      </c>
      <c r="SK17" s="1" t="s">
        <v>13014</v>
      </c>
      <c r="SL17" s="1" t="s">
        <v>13015</v>
      </c>
      <c r="SM17" s="1" t="s">
        <v>13016</v>
      </c>
      <c r="SN17" s="1" t="s">
        <v>13017</v>
      </c>
      <c r="SO17" s="1" t="s">
        <v>13018</v>
      </c>
      <c r="SP17" s="1" t="s">
        <v>13019</v>
      </c>
      <c r="SQ17" s="1" t="s">
        <v>13020</v>
      </c>
      <c r="SR17" s="1" t="s">
        <v>13021</v>
      </c>
      <c r="SS17" s="1" t="s">
        <v>13022</v>
      </c>
      <c r="ST17" s="1" t="s">
        <v>13023</v>
      </c>
      <c r="SU17" s="1" t="s">
        <v>13024</v>
      </c>
      <c r="SV17" s="1" t="s">
        <v>13025</v>
      </c>
      <c r="SW17" s="1" t="s">
        <v>13026</v>
      </c>
      <c r="SX17" s="1" t="s">
        <v>13027</v>
      </c>
      <c r="SY17" s="1" t="s">
        <v>13028</v>
      </c>
      <c r="SZ17" s="1" t="s">
        <v>13029</v>
      </c>
      <c r="TA17" s="1" t="s">
        <v>13030</v>
      </c>
      <c r="TB17" s="1" t="s">
        <v>13031</v>
      </c>
      <c r="TC17" s="1" t="s">
        <v>13032</v>
      </c>
      <c r="TD17" s="1" t="s">
        <v>13033</v>
      </c>
      <c r="TE17" s="1" t="s">
        <v>13034</v>
      </c>
      <c r="TF17" s="1" t="s">
        <v>13035</v>
      </c>
      <c r="TG17" s="1" t="s">
        <v>13036</v>
      </c>
      <c r="TH17" s="1" t="s">
        <v>13037</v>
      </c>
      <c r="TI17" s="1" t="s">
        <v>13038</v>
      </c>
      <c r="TJ17" s="1" t="s">
        <v>13039</v>
      </c>
      <c r="TK17" s="1" t="s">
        <v>13040</v>
      </c>
      <c r="TL17" s="1" t="s">
        <v>13041</v>
      </c>
      <c r="TM17" s="1" t="s">
        <v>13042</v>
      </c>
      <c r="TN17" s="1" t="s">
        <v>13043</v>
      </c>
      <c r="TO17" s="1" t="s">
        <v>13044</v>
      </c>
      <c r="TP17" s="1" t="s">
        <v>13045</v>
      </c>
      <c r="TQ17" s="1" t="s">
        <v>13046</v>
      </c>
      <c r="TR17" s="1" t="s">
        <v>13047</v>
      </c>
      <c r="TS17" s="1" t="s">
        <v>13048</v>
      </c>
      <c r="TT17" s="1" t="s">
        <v>13049</v>
      </c>
      <c r="TU17" s="1" t="s">
        <v>13050</v>
      </c>
      <c r="TV17" s="1" t="s">
        <v>13051</v>
      </c>
      <c r="TW17" s="1" t="s">
        <v>13052</v>
      </c>
      <c r="TX17" s="1" t="s">
        <v>13053</v>
      </c>
      <c r="TY17" s="1" t="s">
        <v>13054</v>
      </c>
      <c r="TZ17" s="1" t="s">
        <v>13055</v>
      </c>
      <c r="UA17" s="1" t="s">
        <v>13056</v>
      </c>
      <c r="UB17" s="1" t="s">
        <v>13057</v>
      </c>
      <c r="UC17" s="1" t="s">
        <v>13058</v>
      </c>
      <c r="UD17" s="1" t="s">
        <v>13059</v>
      </c>
      <c r="UE17" s="1" t="s">
        <v>13060</v>
      </c>
      <c r="UF17" s="1" t="s">
        <v>13061</v>
      </c>
      <c r="UG17" s="1" t="s">
        <v>13062</v>
      </c>
      <c r="UH17" s="1" t="s">
        <v>13063</v>
      </c>
      <c r="UI17" s="1" t="s">
        <v>13064</v>
      </c>
      <c r="UJ17" s="1" t="s">
        <v>13065</v>
      </c>
      <c r="UK17" s="1" t="s">
        <v>13066</v>
      </c>
      <c r="UL17" s="1" t="s">
        <v>13067</v>
      </c>
      <c r="UM17" s="1" t="s">
        <v>13068</v>
      </c>
      <c r="UN17" s="1" t="s">
        <v>13069</v>
      </c>
      <c r="UO17" s="1" t="s">
        <v>13070</v>
      </c>
      <c r="UP17" s="1" t="s">
        <v>13071</v>
      </c>
      <c r="UQ17" s="1" t="s">
        <v>13072</v>
      </c>
      <c r="UR17" s="1" t="s">
        <v>13073</v>
      </c>
      <c r="US17" s="1" t="s">
        <v>13074</v>
      </c>
      <c r="UT17" s="1" t="s">
        <v>13075</v>
      </c>
      <c r="UU17" s="1" t="s">
        <v>13076</v>
      </c>
      <c r="UV17" s="1" t="s">
        <v>13077</v>
      </c>
      <c r="UW17" s="1" t="s">
        <v>13078</v>
      </c>
      <c r="UX17" s="1" t="s">
        <v>13079</v>
      </c>
      <c r="UY17" s="1" t="s">
        <v>13080</v>
      </c>
      <c r="UZ17" s="1" t="s">
        <v>13081</v>
      </c>
      <c r="VA17" s="1" t="s">
        <v>13082</v>
      </c>
      <c r="VB17" s="1" t="s">
        <v>13083</v>
      </c>
      <c r="VC17" s="1" t="s">
        <v>13084</v>
      </c>
      <c r="VD17" s="1" t="s">
        <v>13085</v>
      </c>
      <c r="VE17" s="1" t="s">
        <v>13086</v>
      </c>
      <c r="VF17" s="1" t="s">
        <v>13087</v>
      </c>
      <c r="VG17" s="1" t="s">
        <v>13088</v>
      </c>
      <c r="VH17" s="1" t="s">
        <v>13089</v>
      </c>
      <c r="VI17" s="1" t="s">
        <v>13090</v>
      </c>
      <c r="VJ17" s="1" t="s">
        <v>13091</v>
      </c>
      <c r="VK17" s="1" t="s">
        <v>13092</v>
      </c>
      <c r="VL17" s="1" t="s">
        <v>13093</v>
      </c>
      <c r="VM17" s="1" t="s">
        <v>13094</v>
      </c>
      <c r="VN17" s="1" t="s">
        <v>13095</v>
      </c>
      <c r="VO17" s="1" t="s">
        <v>13096</v>
      </c>
      <c r="VP17" s="1" t="s">
        <v>13097</v>
      </c>
      <c r="VQ17" s="1" t="s">
        <v>13098</v>
      </c>
      <c r="VR17" s="1" t="s">
        <v>13099</v>
      </c>
      <c r="VS17" s="1" t="s">
        <v>13100</v>
      </c>
      <c r="VT17" s="1" t="s">
        <v>13101</v>
      </c>
      <c r="VU17" s="1" t="s">
        <v>13102</v>
      </c>
      <c r="VV17" s="1" t="s">
        <v>13103</v>
      </c>
      <c r="VW17" s="1" t="s">
        <v>13104</v>
      </c>
      <c r="VX17" s="1" t="s">
        <v>13105</v>
      </c>
      <c r="VY17" s="1" t="s">
        <v>13106</v>
      </c>
      <c r="VZ17" s="1" t="s">
        <v>13107</v>
      </c>
      <c r="WA17" s="1" t="s">
        <v>13108</v>
      </c>
      <c r="WB17" s="1" t="s">
        <v>13109</v>
      </c>
      <c r="WC17" s="1" t="s">
        <v>13110</v>
      </c>
      <c r="WD17" s="1" t="s">
        <v>13111</v>
      </c>
      <c r="WE17" s="1" t="s">
        <v>13112</v>
      </c>
      <c r="WF17" s="1" t="s">
        <v>13113</v>
      </c>
      <c r="WG17" s="1" t="s">
        <v>13114</v>
      </c>
      <c r="WH17" s="1" t="s">
        <v>13115</v>
      </c>
      <c r="WI17" s="1" t="s">
        <v>13116</v>
      </c>
      <c r="WJ17" s="1" t="s">
        <v>13117</v>
      </c>
      <c r="WK17" s="1" t="s">
        <v>13118</v>
      </c>
      <c r="WL17" s="1" t="s">
        <v>13119</v>
      </c>
      <c r="WM17" s="1" t="s">
        <v>13120</v>
      </c>
      <c r="WN17" s="1" t="s">
        <v>13121</v>
      </c>
      <c r="WO17" s="1" t="s">
        <v>13122</v>
      </c>
      <c r="WP17" s="1" t="s">
        <v>13123</v>
      </c>
      <c r="WQ17" s="1" t="s">
        <v>13124</v>
      </c>
      <c r="WR17" s="1" t="s">
        <v>13125</v>
      </c>
      <c r="WS17" s="1" t="s">
        <v>13126</v>
      </c>
      <c r="WT17" s="1" t="s">
        <v>13127</v>
      </c>
      <c r="WU17" s="1" t="s">
        <v>13128</v>
      </c>
      <c r="WV17" s="1" t="s">
        <v>13129</v>
      </c>
      <c r="WW17" s="1" t="s">
        <v>13130</v>
      </c>
      <c r="WX17" s="1" t="s">
        <v>13131</v>
      </c>
      <c r="WY17" s="1" t="s">
        <v>13132</v>
      </c>
      <c r="WZ17" s="1" t="s">
        <v>13133</v>
      </c>
      <c r="XA17" s="1" t="s">
        <v>13134</v>
      </c>
      <c r="XB17" s="1" t="s">
        <v>13135</v>
      </c>
      <c r="XC17" s="1" t="s">
        <v>13136</v>
      </c>
      <c r="XD17" s="1" t="s">
        <v>13137</v>
      </c>
      <c r="XE17" s="1" t="s">
        <v>13138</v>
      </c>
      <c r="XF17" s="1" t="s">
        <v>13139</v>
      </c>
      <c r="XG17" s="1" t="s">
        <v>13140</v>
      </c>
      <c r="XH17" s="1" t="s">
        <v>13141</v>
      </c>
      <c r="XI17" s="1" t="s">
        <v>13142</v>
      </c>
      <c r="XJ17" s="1" t="s">
        <v>13143</v>
      </c>
      <c r="XK17" s="1" t="s">
        <v>13144</v>
      </c>
      <c r="XL17" s="1" t="s">
        <v>13145</v>
      </c>
      <c r="XM17" s="1" t="s">
        <v>13146</v>
      </c>
      <c r="XN17" s="1" t="s">
        <v>13147</v>
      </c>
      <c r="XO17" s="1" t="s">
        <v>13148</v>
      </c>
      <c r="XP17" s="1" t="s">
        <v>13149</v>
      </c>
      <c r="XQ17" s="1" t="s">
        <v>13150</v>
      </c>
      <c r="XR17" s="1" t="s">
        <v>13151</v>
      </c>
      <c r="XS17" s="1" t="s">
        <v>13152</v>
      </c>
      <c r="XT17" s="1" t="s">
        <v>13153</v>
      </c>
      <c r="XU17" s="1" t="s">
        <v>13154</v>
      </c>
      <c r="XV17" s="1" t="s">
        <v>13155</v>
      </c>
      <c r="XW17" s="1" t="s">
        <v>13156</v>
      </c>
      <c r="XX17" s="1" t="s">
        <v>13157</v>
      </c>
      <c r="XY17" s="1" t="s">
        <v>13158</v>
      </c>
      <c r="XZ17" s="1" t="s">
        <v>13159</v>
      </c>
      <c r="YA17" s="1" t="s">
        <v>13160</v>
      </c>
      <c r="YB17" s="1" t="s">
        <v>13161</v>
      </c>
      <c r="YC17" s="1" t="s">
        <v>13162</v>
      </c>
      <c r="YD17" s="1" t="s">
        <v>13163</v>
      </c>
      <c r="YE17" s="1" t="s">
        <v>13164</v>
      </c>
      <c r="YF17" s="1" t="s">
        <v>13165</v>
      </c>
      <c r="YG17" s="1" t="s">
        <v>13166</v>
      </c>
      <c r="YH17" s="1" t="s">
        <v>13167</v>
      </c>
      <c r="YI17" s="1" t="s">
        <v>13168</v>
      </c>
      <c r="YJ17" s="1" t="s">
        <v>13169</v>
      </c>
      <c r="YK17" s="1" t="s">
        <v>13170</v>
      </c>
      <c r="YL17" s="1" t="s">
        <v>13171</v>
      </c>
      <c r="YM17" s="1" t="s">
        <v>13172</v>
      </c>
      <c r="YN17" s="1" t="s">
        <v>13173</v>
      </c>
      <c r="YO17" s="1" t="s">
        <v>13174</v>
      </c>
      <c r="YP17" s="1" t="s">
        <v>13175</v>
      </c>
      <c r="YQ17" s="1" t="s">
        <v>13176</v>
      </c>
      <c r="YR17" s="1" t="s">
        <v>13177</v>
      </c>
      <c r="YS17" s="1" t="s">
        <v>13178</v>
      </c>
      <c r="YT17" s="1" t="s">
        <v>13179</v>
      </c>
      <c r="YU17" s="1" t="s">
        <v>13180</v>
      </c>
      <c r="YV17" s="1" t="s">
        <v>13181</v>
      </c>
      <c r="YW17" s="1" t="s">
        <v>13182</v>
      </c>
      <c r="YX17" s="1" t="s">
        <v>13183</v>
      </c>
      <c r="YY17" s="1" t="s">
        <v>13184</v>
      </c>
      <c r="YZ17" s="1" t="s">
        <v>13185</v>
      </c>
      <c r="ZA17" s="1" t="s">
        <v>13186</v>
      </c>
      <c r="ZB17" s="1" t="s">
        <v>13187</v>
      </c>
      <c r="ZC17" s="1" t="s">
        <v>13188</v>
      </c>
      <c r="ZD17" s="1" t="s">
        <v>13189</v>
      </c>
      <c r="ZE17" s="1" t="s">
        <v>13190</v>
      </c>
      <c r="ZF17" s="1" t="s">
        <v>13191</v>
      </c>
      <c r="ZG17" s="1" t="s">
        <v>13192</v>
      </c>
      <c r="ZH17" s="1" t="s">
        <v>13193</v>
      </c>
      <c r="ZI17" s="1" t="s">
        <v>13194</v>
      </c>
      <c r="ZJ17" s="1" t="s">
        <v>13195</v>
      </c>
      <c r="ZK17" s="1" t="s">
        <v>13196</v>
      </c>
      <c r="ZL17" s="1" t="s">
        <v>13197</v>
      </c>
      <c r="ZM17" s="1" t="s">
        <v>13198</v>
      </c>
      <c r="ZN17" s="1" t="s">
        <v>13199</v>
      </c>
      <c r="ZO17" s="1" t="s">
        <v>13200</v>
      </c>
      <c r="ZP17" s="1" t="s">
        <v>13201</v>
      </c>
      <c r="ZQ17" s="1" t="s">
        <v>13202</v>
      </c>
      <c r="ZR17" s="1" t="s">
        <v>13203</v>
      </c>
      <c r="ZS17" s="1" t="s">
        <v>13204</v>
      </c>
      <c r="ZT17" s="1" t="s">
        <v>13205</v>
      </c>
      <c r="ZU17" s="1" t="s">
        <v>13206</v>
      </c>
      <c r="ZV17" s="1" t="s">
        <v>13207</v>
      </c>
      <c r="ZW17" s="1" t="s">
        <v>13208</v>
      </c>
      <c r="ZX17" s="1" t="s">
        <v>13209</v>
      </c>
      <c r="ZY17" s="1" t="s">
        <v>13210</v>
      </c>
      <c r="ZZ17" s="1" t="s">
        <v>13211</v>
      </c>
      <c r="AAA17" s="1" t="s">
        <v>13212</v>
      </c>
      <c r="AAB17" s="1" t="s">
        <v>13213</v>
      </c>
      <c r="AAC17" s="1" t="s">
        <v>13214</v>
      </c>
      <c r="AAD17" s="1" t="s">
        <v>13215</v>
      </c>
      <c r="AAE17" s="1" t="s">
        <v>13216</v>
      </c>
      <c r="AAF17" s="1" t="s">
        <v>13217</v>
      </c>
      <c r="AAG17" s="1" t="s">
        <v>13218</v>
      </c>
      <c r="AAH17" s="1" t="s">
        <v>13219</v>
      </c>
      <c r="AAI17" s="1" t="s">
        <v>13220</v>
      </c>
      <c r="AAJ17" s="1" t="s">
        <v>13221</v>
      </c>
      <c r="AAK17" s="1" t="s">
        <v>13222</v>
      </c>
      <c r="AAL17" s="1" t="s">
        <v>13223</v>
      </c>
      <c r="AAM17" s="1" t="s">
        <v>13224</v>
      </c>
      <c r="AAN17" s="1" t="s">
        <v>13225</v>
      </c>
      <c r="AAO17" s="1" t="s">
        <v>13226</v>
      </c>
      <c r="AAP17" s="1" t="s">
        <v>13227</v>
      </c>
      <c r="AAQ17" s="1" t="s">
        <v>13228</v>
      </c>
      <c r="AAR17" s="1" t="s">
        <v>13229</v>
      </c>
      <c r="AAS17" s="1" t="s">
        <v>13230</v>
      </c>
      <c r="AAT17" s="1" t="s">
        <v>13231</v>
      </c>
      <c r="AAU17" s="1" t="s">
        <v>13232</v>
      </c>
      <c r="AAV17" s="1" t="s">
        <v>13233</v>
      </c>
      <c r="AAW17" s="1" t="s">
        <v>13234</v>
      </c>
      <c r="AAX17" s="1" t="s">
        <v>13235</v>
      </c>
      <c r="AAY17" s="1" t="s">
        <v>13236</v>
      </c>
      <c r="AAZ17" s="1" t="s">
        <v>13237</v>
      </c>
      <c r="ABA17" s="1" t="s">
        <v>13238</v>
      </c>
      <c r="ABB17" s="1" t="s">
        <v>13239</v>
      </c>
      <c r="ABC17" s="1" t="s">
        <v>13240</v>
      </c>
      <c r="ABD17" s="1" t="s">
        <v>13241</v>
      </c>
      <c r="ABE17" s="1" t="s">
        <v>13242</v>
      </c>
      <c r="ABF17" s="1" t="s">
        <v>13243</v>
      </c>
      <c r="ABG17" s="1" t="s">
        <v>13244</v>
      </c>
      <c r="ABH17" s="1" t="s">
        <v>13245</v>
      </c>
      <c r="ABI17" s="1" t="s">
        <v>13246</v>
      </c>
      <c r="ABJ17" s="1" t="s">
        <v>13247</v>
      </c>
      <c r="ABK17" s="1" t="s">
        <v>13248</v>
      </c>
      <c r="ABL17" s="1" t="s">
        <v>13249</v>
      </c>
      <c r="ABM17" s="1" t="s">
        <v>13250</v>
      </c>
      <c r="ABN17" s="1" t="s">
        <v>13251</v>
      </c>
      <c r="ABO17" s="1" t="s">
        <v>13252</v>
      </c>
      <c r="ABP17" s="1" t="s">
        <v>13253</v>
      </c>
      <c r="ABQ17" s="1" t="s">
        <v>13254</v>
      </c>
      <c r="ABR17" s="1" t="s">
        <v>13255</v>
      </c>
      <c r="ABS17" s="1" t="s">
        <v>13256</v>
      </c>
      <c r="ABT17" s="1" t="s">
        <v>13257</v>
      </c>
      <c r="ABU17" s="1" t="s">
        <v>13258</v>
      </c>
      <c r="ABV17" s="1" t="s">
        <v>13259</v>
      </c>
      <c r="ABW17" s="1" t="s">
        <v>13260</v>
      </c>
      <c r="ABX17" s="1" t="s">
        <v>13261</v>
      </c>
      <c r="ABY17" s="1" t="s">
        <v>13262</v>
      </c>
      <c r="ABZ17" s="1" t="s">
        <v>13263</v>
      </c>
      <c r="ACA17" s="1" t="s">
        <v>13264</v>
      </c>
      <c r="ACB17" s="1" t="s">
        <v>13265</v>
      </c>
      <c r="ACC17" s="1" t="s">
        <v>13266</v>
      </c>
      <c r="ACD17" s="1" t="s">
        <v>13267</v>
      </c>
      <c r="ACE17" s="1" t="s">
        <v>13268</v>
      </c>
      <c r="ACF17" s="1" t="s">
        <v>13269</v>
      </c>
      <c r="ACG17" s="1" t="s">
        <v>13270</v>
      </c>
      <c r="ACH17" s="1" t="s">
        <v>13271</v>
      </c>
      <c r="ACI17" s="1" t="s">
        <v>13272</v>
      </c>
      <c r="ACJ17" s="1" t="s">
        <v>13273</v>
      </c>
      <c r="ACK17" s="1" t="s">
        <v>13274</v>
      </c>
      <c r="ACL17" s="1" t="s">
        <v>13275</v>
      </c>
      <c r="ACM17" s="1" t="s">
        <v>13276</v>
      </c>
      <c r="ACN17" s="1" t="s">
        <v>13277</v>
      </c>
      <c r="ACO17" s="1" t="s">
        <v>13278</v>
      </c>
      <c r="ACP17" s="1" t="s">
        <v>13279</v>
      </c>
      <c r="ACQ17" s="1" t="s">
        <v>13280</v>
      </c>
      <c r="ACR17" s="1" t="s">
        <v>13281</v>
      </c>
      <c r="ACS17" s="1" t="s">
        <v>13282</v>
      </c>
      <c r="ACT17" s="1" t="s">
        <v>13283</v>
      </c>
      <c r="ACU17" s="1" t="s">
        <v>13284</v>
      </c>
      <c r="ACV17" s="1" t="s">
        <v>13285</v>
      </c>
      <c r="ACW17" s="1" t="s">
        <v>6</v>
      </c>
      <c r="ACX17" s="1" t="s">
        <v>1501</v>
      </c>
    </row>
    <row r="18" spans="1:778" x14ac:dyDescent="0.2">
      <c r="A18" s="1" t="s">
        <v>38</v>
      </c>
      <c r="B18" s="1" t="s">
        <v>13286</v>
      </c>
      <c r="C18" s="1" t="s">
        <v>13287</v>
      </c>
      <c r="D18" s="1" t="s">
        <v>13288</v>
      </c>
      <c r="E18" s="1" t="s">
        <v>13289</v>
      </c>
      <c r="F18" s="1" t="s">
        <v>13290</v>
      </c>
      <c r="G18" s="1" t="s">
        <v>13291</v>
      </c>
      <c r="H18" s="1" t="s">
        <v>13292</v>
      </c>
      <c r="I18" s="1" t="s">
        <v>13293</v>
      </c>
      <c r="J18" s="1" t="s">
        <v>13294</v>
      </c>
      <c r="K18" s="1" t="s">
        <v>13295</v>
      </c>
      <c r="L18" s="1" t="s">
        <v>13296</v>
      </c>
      <c r="M18" s="1" t="s">
        <v>13297</v>
      </c>
      <c r="N18" s="1" t="s">
        <v>13298</v>
      </c>
      <c r="O18" s="1" t="s">
        <v>13299</v>
      </c>
      <c r="P18" s="1" t="s">
        <v>13300</v>
      </c>
      <c r="Q18" s="1" t="s">
        <v>13301</v>
      </c>
      <c r="R18" s="1" t="s">
        <v>13302</v>
      </c>
      <c r="S18" s="1" t="s">
        <v>13303</v>
      </c>
      <c r="T18" s="1" t="s">
        <v>13304</v>
      </c>
      <c r="U18" s="1" t="s">
        <v>13305</v>
      </c>
      <c r="V18" s="1" t="s">
        <v>13306</v>
      </c>
      <c r="W18" s="1" t="s">
        <v>13307</v>
      </c>
      <c r="X18" s="1" t="s">
        <v>13308</v>
      </c>
      <c r="Y18" s="1" t="s">
        <v>13309</v>
      </c>
      <c r="Z18" s="1" t="s">
        <v>13310</v>
      </c>
      <c r="AA18" s="1" t="s">
        <v>13311</v>
      </c>
      <c r="AB18" s="1" t="s">
        <v>13312</v>
      </c>
      <c r="AC18" s="1" t="s">
        <v>13313</v>
      </c>
      <c r="AD18" s="1" t="s">
        <v>13314</v>
      </c>
      <c r="AE18" s="1" t="s">
        <v>13315</v>
      </c>
      <c r="AF18" s="1" t="s">
        <v>13316</v>
      </c>
      <c r="AG18" s="1" t="s">
        <v>13317</v>
      </c>
      <c r="AH18" s="1" t="s">
        <v>13318</v>
      </c>
      <c r="AI18" s="1" t="s">
        <v>13319</v>
      </c>
      <c r="AJ18" s="1" t="s">
        <v>13320</v>
      </c>
      <c r="AK18" s="1" t="s">
        <v>13321</v>
      </c>
      <c r="AL18" s="1" t="s">
        <v>13322</v>
      </c>
      <c r="AM18" s="1" t="s">
        <v>13323</v>
      </c>
      <c r="AN18" s="1" t="s">
        <v>13324</v>
      </c>
      <c r="AO18" s="1" t="s">
        <v>13325</v>
      </c>
      <c r="AP18" s="1" t="s">
        <v>13326</v>
      </c>
      <c r="AQ18" s="1" t="s">
        <v>13327</v>
      </c>
      <c r="AR18" s="1" t="s">
        <v>13328</v>
      </c>
      <c r="AS18" s="1" t="s">
        <v>13329</v>
      </c>
      <c r="AT18" s="1" t="s">
        <v>13330</v>
      </c>
      <c r="AU18" s="1" t="s">
        <v>13331</v>
      </c>
      <c r="AV18" s="1" t="s">
        <v>13332</v>
      </c>
      <c r="AW18" s="1" t="s">
        <v>13333</v>
      </c>
      <c r="AX18" s="1" t="s">
        <v>13334</v>
      </c>
      <c r="AY18" s="1" t="s">
        <v>13335</v>
      </c>
      <c r="AZ18" s="1" t="s">
        <v>13336</v>
      </c>
      <c r="BA18" s="1" t="s">
        <v>13337</v>
      </c>
      <c r="BB18" s="1" t="s">
        <v>13338</v>
      </c>
      <c r="BC18" s="1" t="s">
        <v>13339</v>
      </c>
      <c r="BD18" s="1" t="s">
        <v>13340</v>
      </c>
      <c r="BE18" s="1" t="s">
        <v>13341</v>
      </c>
      <c r="BF18" s="1" t="s">
        <v>13342</v>
      </c>
      <c r="BG18" s="1" t="s">
        <v>13343</v>
      </c>
      <c r="BH18" s="1" t="s">
        <v>13344</v>
      </c>
      <c r="BI18" s="1" t="s">
        <v>13345</v>
      </c>
      <c r="BJ18" s="1" t="s">
        <v>13346</v>
      </c>
      <c r="BK18" s="1" t="s">
        <v>13347</v>
      </c>
      <c r="BL18" s="1" t="s">
        <v>13348</v>
      </c>
      <c r="BM18" s="1" t="s">
        <v>13349</v>
      </c>
      <c r="BN18" s="1" t="s">
        <v>13350</v>
      </c>
      <c r="BO18" s="1" t="s">
        <v>13351</v>
      </c>
      <c r="BP18" s="1" t="s">
        <v>13352</v>
      </c>
      <c r="BQ18" s="1" t="s">
        <v>13353</v>
      </c>
      <c r="BR18" s="1" t="s">
        <v>13354</v>
      </c>
      <c r="BS18" s="1" t="s">
        <v>13355</v>
      </c>
      <c r="BT18" s="1" t="s">
        <v>13356</v>
      </c>
      <c r="BU18" s="1" t="s">
        <v>13357</v>
      </c>
      <c r="BV18" s="1" t="s">
        <v>13358</v>
      </c>
      <c r="BW18" s="1" t="s">
        <v>13359</v>
      </c>
      <c r="BX18" s="1" t="s">
        <v>13360</v>
      </c>
      <c r="BY18" s="1" t="s">
        <v>13361</v>
      </c>
      <c r="BZ18" s="1" t="s">
        <v>13362</v>
      </c>
      <c r="CA18" s="1" t="s">
        <v>13363</v>
      </c>
      <c r="CB18" s="1" t="s">
        <v>13364</v>
      </c>
      <c r="CC18" s="1" t="s">
        <v>13365</v>
      </c>
      <c r="CD18" s="1" t="s">
        <v>13366</v>
      </c>
      <c r="CE18" s="1" t="s">
        <v>13367</v>
      </c>
      <c r="CF18" s="1" t="s">
        <v>13368</v>
      </c>
      <c r="CG18" s="1" t="s">
        <v>13369</v>
      </c>
      <c r="CH18" s="1" t="s">
        <v>13370</v>
      </c>
      <c r="CI18" s="1" t="s">
        <v>13371</v>
      </c>
      <c r="CJ18" s="1" t="s">
        <v>13372</v>
      </c>
      <c r="CK18" s="1" t="s">
        <v>13373</v>
      </c>
      <c r="CL18" s="1" t="s">
        <v>13374</v>
      </c>
      <c r="CM18" s="1" t="s">
        <v>13375</v>
      </c>
      <c r="CN18" s="1" t="s">
        <v>13376</v>
      </c>
      <c r="CO18" s="1" t="s">
        <v>13377</v>
      </c>
      <c r="CP18" s="1" t="s">
        <v>13378</v>
      </c>
      <c r="CQ18" s="1" t="s">
        <v>13379</v>
      </c>
      <c r="CR18" s="1" t="s">
        <v>13380</v>
      </c>
      <c r="CS18" s="1" t="s">
        <v>13381</v>
      </c>
      <c r="CT18" s="1" t="s">
        <v>13382</v>
      </c>
      <c r="CU18" s="1" t="s">
        <v>13383</v>
      </c>
      <c r="CV18" s="1" t="s">
        <v>13384</v>
      </c>
      <c r="CW18" s="1" t="s">
        <v>13385</v>
      </c>
      <c r="CX18" s="1" t="s">
        <v>13386</v>
      </c>
      <c r="CY18" s="1" t="s">
        <v>13387</v>
      </c>
      <c r="CZ18" s="1" t="s">
        <v>13388</v>
      </c>
      <c r="DA18" s="1" t="s">
        <v>13389</v>
      </c>
      <c r="DB18" s="1" t="s">
        <v>13390</v>
      </c>
      <c r="DC18" s="1" t="s">
        <v>13391</v>
      </c>
      <c r="DD18" s="1" t="s">
        <v>13392</v>
      </c>
      <c r="DE18" s="1" t="s">
        <v>13393</v>
      </c>
      <c r="DF18" s="1" t="s">
        <v>13394</v>
      </c>
      <c r="DG18" s="1" t="s">
        <v>13395</v>
      </c>
      <c r="DH18" s="1" t="s">
        <v>13396</v>
      </c>
      <c r="DI18" s="1" t="s">
        <v>13397</v>
      </c>
      <c r="DJ18" s="1" t="s">
        <v>13398</v>
      </c>
      <c r="DK18" s="1" t="s">
        <v>13399</v>
      </c>
      <c r="DL18" s="1" t="s">
        <v>13400</v>
      </c>
      <c r="DM18" s="1" t="s">
        <v>13401</v>
      </c>
      <c r="DN18" s="1" t="s">
        <v>13402</v>
      </c>
      <c r="DO18" s="1" t="s">
        <v>13403</v>
      </c>
      <c r="DP18" s="1" t="s">
        <v>13404</v>
      </c>
      <c r="DQ18" s="1" t="s">
        <v>13405</v>
      </c>
      <c r="DR18" s="1" t="s">
        <v>13406</v>
      </c>
      <c r="DS18" s="1" t="s">
        <v>13407</v>
      </c>
      <c r="DT18" s="1" t="s">
        <v>13408</v>
      </c>
      <c r="DU18" s="1" t="s">
        <v>13409</v>
      </c>
      <c r="DV18" s="1" t="s">
        <v>13410</v>
      </c>
      <c r="DW18" s="1" t="s">
        <v>13411</v>
      </c>
      <c r="DX18" s="1" t="s">
        <v>13412</v>
      </c>
      <c r="DY18" s="1" t="s">
        <v>13413</v>
      </c>
      <c r="DZ18" s="1" t="s">
        <v>13414</v>
      </c>
      <c r="EA18" s="1" t="s">
        <v>13415</v>
      </c>
      <c r="EB18" s="1" t="s">
        <v>13416</v>
      </c>
      <c r="EC18" s="1" t="s">
        <v>13417</v>
      </c>
      <c r="ED18" s="1" t="s">
        <v>13418</v>
      </c>
      <c r="EE18" s="1" t="s">
        <v>13419</v>
      </c>
      <c r="EF18" s="1" t="s">
        <v>13420</v>
      </c>
      <c r="EG18" s="1" t="s">
        <v>13421</v>
      </c>
      <c r="EH18" s="1" t="s">
        <v>13422</v>
      </c>
      <c r="EI18" s="1" t="s">
        <v>13423</v>
      </c>
      <c r="EJ18" s="1" t="s">
        <v>13424</v>
      </c>
      <c r="EK18" s="1" t="s">
        <v>13425</v>
      </c>
      <c r="EL18" s="1" t="s">
        <v>13426</v>
      </c>
      <c r="EM18" s="1" t="s">
        <v>13427</v>
      </c>
      <c r="EN18" s="1" t="s">
        <v>13428</v>
      </c>
      <c r="EO18" s="1" t="s">
        <v>13429</v>
      </c>
      <c r="EP18" s="1" t="s">
        <v>13430</v>
      </c>
      <c r="EQ18" s="1" t="s">
        <v>13431</v>
      </c>
      <c r="ER18" s="1" t="s">
        <v>13432</v>
      </c>
      <c r="ES18" s="1" t="s">
        <v>13433</v>
      </c>
      <c r="ET18" s="1" t="s">
        <v>13434</v>
      </c>
      <c r="EU18" s="1" t="s">
        <v>13435</v>
      </c>
      <c r="EV18" s="1" t="s">
        <v>13436</v>
      </c>
      <c r="EW18" s="1" t="s">
        <v>13437</v>
      </c>
      <c r="EX18" s="1" t="s">
        <v>13438</v>
      </c>
      <c r="EY18" s="1" t="s">
        <v>13439</v>
      </c>
      <c r="EZ18" s="1" t="s">
        <v>13440</v>
      </c>
      <c r="FA18" s="1" t="s">
        <v>13441</v>
      </c>
      <c r="FB18" s="1" t="s">
        <v>13442</v>
      </c>
      <c r="FC18" s="1" t="s">
        <v>13443</v>
      </c>
      <c r="FD18" s="1" t="s">
        <v>13444</v>
      </c>
      <c r="FE18" s="1" t="s">
        <v>13445</v>
      </c>
      <c r="FF18" s="1" t="s">
        <v>13446</v>
      </c>
      <c r="FG18" s="1" t="s">
        <v>13447</v>
      </c>
      <c r="FH18" s="1" t="s">
        <v>13448</v>
      </c>
      <c r="FI18" s="1" t="s">
        <v>13449</v>
      </c>
      <c r="FJ18" s="1" t="s">
        <v>13450</v>
      </c>
      <c r="FK18" s="1" t="s">
        <v>13451</v>
      </c>
      <c r="FL18" s="1" t="s">
        <v>13452</v>
      </c>
      <c r="FM18" s="1" t="s">
        <v>13453</v>
      </c>
      <c r="FN18" s="1" t="s">
        <v>13454</v>
      </c>
      <c r="FO18" s="1" t="s">
        <v>13455</v>
      </c>
      <c r="FP18" s="1" t="s">
        <v>13456</v>
      </c>
      <c r="FQ18" s="1" t="s">
        <v>13457</v>
      </c>
      <c r="FR18" s="1" t="s">
        <v>13458</v>
      </c>
      <c r="FS18" s="1" t="s">
        <v>13459</v>
      </c>
      <c r="FT18" s="1" t="s">
        <v>13460</v>
      </c>
      <c r="FU18" s="1" t="s">
        <v>13461</v>
      </c>
      <c r="FV18" s="1" t="s">
        <v>13462</v>
      </c>
      <c r="FW18" s="1" t="s">
        <v>13463</v>
      </c>
      <c r="FX18" s="1" t="s">
        <v>13464</v>
      </c>
      <c r="FY18" s="1" t="s">
        <v>13465</v>
      </c>
      <c r="FZ18" s="1" t="s">
        <v>13466</v>
      </c>
      <c r="GA18" s="1" t="s">
        <v>13467</v>
      </c>
      <c r="GB18" s="1" t="s">
        <v>13468</v>
      </c>
      <c r="GC18" s="1" t="s">
        <v>13469</v>
      </c>
      <c r="GD18" s="1" t="s">
        <v>13470</v>
      </c>
      <c r="GE18" s="1" t="s">
        <v>13471</v>
      </c>
      <c r="GF18" s="1" t="s">
        <v>13472</v>
      </c>
      <c r="GG18" s="1" t="s">
        <v>13473</v>
      </c>
      <c r="GH18" s="1" t="s">
        <v>13474</v>
      </c>
      <c r="GI18" s="1" t="s">
        <v>13475</v>
      </c>
      <c r="GJ18" s="1" t="s">
        <v>13476</v>
      </c>
      <c r="GK18" s="1" t="s">
        <v>13477</v>
      </c>
      <c r="GL18" s="1" t="s">
        <v>13478</v>
      </c>
      <c r="GM18" s="1" t="s">
        <v>13479</v>
      </c>
      <c r="GN18" s="1" t="s">
        <v>13480</v>
      </c>
      <c r="GO18" s="1" t="s">
        <v>13481</v>
      </c>
      <c r="GP18" s="1" t="s">
        <v>13482</v>
      </c>
      <c r="GQ18" s="1" t="s">
        <v>13483</v>
      </c>
      <c r="GR18" s="1" t="s">
        <v>13484</v>
      </c>
      <c r="GS18" s="1" t="s">
        <v>13485</v>
      </c>
      <c r="GT18" s="1" t="s">
        <v>13486</v>
      </c>
      <c r="GU18" s="1" t="s">
        <v>13487</v>
      </c>
      <c r="GV18" s="1" t="s">
        <v>13488</v>
      </c>
      <c r="GW18" s="1" t="s">
        <v>13489</v>
      </c>
      <c r="GX18" s="1" t="s">
        <v>13490</v>
      </c>
      <c r="GY18" s="1" t="s">
        <v>13491</v>
      </c>
      <c r="GZ18" s="1" t="s">
        <v>13492</v>
      </c>
      <c r="HA18" s="1" t="s">
        <v>13493</v>
      </c>
      <c r="HB18" s="1" t="s">
        <v>13494</v>
      </c>
      <c r="HC18" s="1" t="s">
        <v>13495</v>
      </c>
      <c r="HD18" s="1" t="s">
        <v>13496</v>
      </c>
      <c r="HE18" s="1" t="s">
        <v>13497</v>
      </c>
      <c r="HF18" s="1" t="s">
        <v>13498</v>
      </c>
      <c r="HG18" s="1" t="s">
        <v>13499</v>
      </c>
      <c r="HH18" s="1" t="s">
        <v>13500</v>
      </c>
      <c r="HI18" s="1" t="s">
        <v>13501</v>
      </c>
      <c r="HJ18" s="1" t="s">
        <v>13502</v>
      </c>
      <c r="HK18" s="1" t="s">
        <v>13503</v>
      </c>
      <c r="HL18" s="1" t="s">
        <v>13504</v>
      </c>
      <c r="HM18" s="1" t="s">
        <v>13505</v>
      </c>
      <c r="HN18" s="1" t="s">
        <v>13506</v>
      </c>
      <c r="HO18" s="1" t="s">
        <v>13507</v>
      </c>
      <c r="HP18" s="1" t="s">
        <v>13508</v>
      </c>
      <c r="HQ18" s="1" t="s">
        <v>13509</v>
      </c>
      <c r="HR18" s="1" t="s">
        <v>13510</v>
      </c>
      <c r="HS18" s="1" t="s">
        <v>13511</v>
      </c>
      <c r="HT18" s="1" t="s">
        <v>13512</v>
      </c>
      <c r="HU18" s="1" t="s">
        <v>13513</v>
      </c>
      <c r="HV18" s="1" t="s">
        <v>13514</v>
      </c>
      <c r="HW18" s="1" t="s">
        <v>13515</v>
      </c>
      <c r="HX18" s="1" t="s">
        <v>13516</v>
      </c>
      <c r="HY18" s="1" t="s">
        <v>13517</v>
      </c>
      <c r="HZ18" s="1" t="s">
        <v>13518</v>
      </c>
      <c r="IA18" s="1" t="s">
        <v>13519</v>
      </c>
      <c r="IB18" s="1" t="s">
        <v>13520</v>
      </c>
      <c r="IC18" s="1" t="s">
        <v>13521</v>
      </c>
      <c r="ID18" s="1" t="s">
        <v>13522</v>
      </c>
      <c r="IE18" s="1" t="s">
        <v>13523</v>
      </c>
      <c r="IF18" s="1" t="s">
        <v>13524</v>
      </c>
      <c r="IG18" s="1" t="s">
        <v>13525</v>
      </c>
      <c r="IH18" s="1" t="s">
        <v>13526</v>
      </c>
      <c r="II18" s="1" t="s">
        <v>13527</v>
      </c>
      <c r="IJ18" s="1" t="s">
        <v>13528</v>
      </c>
      <c r="IK18" s="1" t="s">
        <v>13529</v>
      </c>
      <c r="IL18" s="1" t="s">
        <v>13530</v>
      </c>
      <c r="IM18" s="1" t="s">
        <v>13531</v>
      </c>
      <c r="IN18" s="1" t="s">
        <v>13532</v>
      </c>
      <c r="IO18" s="1" t="s">
        <v>13533</v>
      </c>
      <c r="IP18" s="1" t="s">
        <v>13534</v>
      </c>
      <c r="IQ18" s="1" t="s">
        <v>13535</v>
      </c>
      <c r="IR18" s="1" t="s">
        <v>13536</v>
      </c>
      <c r="IS18" s="1" t="s">
        <v>13537</v>
      </c>
      <c r="IT18" s="1" t="s">
        <v>13538</v>
      </c>
      <c r="IU18" s="1" t="s">
        <v>13539</v>
      </c>
      <c r="IV18" s="1" t="s">
        <v>13540</v>
      </c>
      <c r="IW18" s="1" t="s">
        <v>13541</v>
      </c>
      <c r="IX18" s="1" t="s">
        <v>13542</v>
      </c>
      <c r="IY18" s="1" t="s">
        <v>13543</v>
      </c>
      <c r="IZ18" s="1" t="s">
        <v>13544</v>
      </c>
      <c r="JA18" s="1" t="s">
        <v>13545</v>
      </c>
      <c r="JB18" s="1" t="s">
        <v>13546</v>
      </c>
      <c r="JC18" s="1" t="s">
        <v>13547</v>
      </c>
      <c r="JD18" s="1" t="s">
        <v>13548</v>
      </c>
      <c r="JE18" s="1" t="s">
        <v>13549</v>
      </c>
      <c r="JF18" s="1" t="s">
        <v>13550</v>
      </c>
      <c r="JG18" s="1" t="s">
        <v>13551</v>
      </c>
      <c r="JH18" s="1" t="s">
        <v>13552</v>
      </c>
      <c r="JI18" s="1" t="s">
        <v>13553</v>
      </c>
      <c r="JJ18" s="1" t="s">
        <v>13554</v>
      </c>
      <c r="JK18" s="1" t="s">
        <v>13555</v>
      </c>
      <c r="JL18" s="1" t="s">
        <v>13556</v>
      </c>
      <c r="JM18" s="1" t="s">
        <v>13557</v>
      </c>
      <c r="JN18" s="1" t="s">
        <v>13558</v>
      </c>
      <c r="JO18" s="1" t="s">
        <v>13559</v>
      </c>
      <c r="JP18" s="1" t="s">
        <v>13560</v>
      </c>
      <c r="JQ18" s="1" t="s">
        <v>13561</v>
      </c>
      <c r="JR18" s="1" t="s">
        <v>13562</v>
      </c>
      <c r="JS18" s="1" t="s">
        <v>13563</v>
      </c>
      <c r="JT18" s="1" t="s">
        <v>13564</v>
      </c>
      <c r="JU18" s="1" t="s">
        <v>13565</v>
      </c>
      <c r="JV18" s="1" t="s">
        <v>13566</v>
      </c>
      <c r="JW18" s="1" t="s">
        <v>13567</v>
      </c>
      <c r="JX18" s="1" t="s">
        <v>13568</v>
      </c>
      <c r="JY18" s="1" t="s">
        <v>13569</v>
      </c>
      <c r="JZ18" s="1" t="s">
        <v>13570</v>
      </c>
      <c r="KA18" s="1" t="s">
        <v>13571</v>
      </c>
      <c r="KB18" s="1" t="s">
        <v>13572</v>
      </c>
      <c r="KC18" s="1" t="s">
        <v>13573</v>
      </c>
      <c r="KD18" s="1" t="s">
        <v>13574</v>
      </c>
      <c r="KE18" s="1" t="s">
        <v>13575</v>
      </c>
      <c r="KF18" s="1" t="s">
        <v>13576</v>
      </c>
      <c r="KG18" s="1" t="s">
        <v>13577</v>
      </c>
      <c r="KH18" s="1" t="s">
        <v>13578</v>
      </c>
      <c r="KI18" s="1" t="s">
        <v>13579</v>
      </c>
      <c r="KJ18" s="1" t="s">
        <v>13580</v>
      </c>
      <c r="KK18" s="1" t="s">
        <v>13581</v>
      </c>
      <c r="KL18" s="1" t="s">
        <v>13582</v>
      </c>
      <c r="KM18" s="1" t="s">
        <v>13583</v>
      </c>
      <c r="KN18" s="1" t="s">
        <v>13584</v>
      </c>
      <c r="KO18" s="1" t="s">
        <v>13585</v>
      </c>
      <c r="KP18" s="1" t="s">
        <v>13586</v>
      </c>
      <c r="KQ18" s="1" t="s">
        <v>13587</v>
      </c>
      <c r="KR18" s="1" t="s">
        <v>13588</v>
      </c>
      <c r="KS18" s="1" t="s">
        <v>13589</v>
      </c>
      <c r="KT18" s="1" t="s">
        <v>13590</v>
      </c>
      <c r="KU18" s="1" t="s">
        <v>13591</v>
      </c>
      <c r="KV18" s="1" t="s">
        <v>13592</v>
      </c>
      <c r="KW18" s="1" t="s">
        <v>13593</v>
      </c>
      <c r="KX18" s="1" t="s">
        <v>13594</v>
      </c>
      <c r="KY18" s="1" t="s">
        <v>13595</v>
      </c>
      <c r="KZ18" s="1" t="s">
        <v>13596</v>
      </c>
      <c r="LA18" s="1" t="s">
        <v>13597</v>
      </c>
      <c r="LB18" s="1" t="s">
        <v>13598</v>
      </c>
      <c r="LC18" s="1" t="s">
        <v>13599</v>
      </c>
      <c r="LD18" s="1" t="s">
        <v>13600</v>
      </c>
      <c r="LE18" s="1" t="s">
        <v>13601</v>
      </c>
      <c r="LF18" s="1" t="s">
        <v>13602</v>
      </c>
      <c r="LG18" s="1" t="s">
        <v>13603</v>
      </c>
      <c r="LH18" s="1" t="s">
        <v>13604</v>
      </c>
      <c r="LI18" s="1" t="s">
        <v>13605</v>
      </c>
      <c r="LJ18" s="1" t="s">
        <v>13606</v>
      </c>
      <c r="LK18" s="1" t="s">
        <v>13607</v>
      </c>
      <c r="LL18" s="1" t="s">
        <v>13608</v>
      </c>
      <c r="LM18" s="1" t="s">
        <v>13609</v>
      </c>
      <c r="LN18" s="1" t="s">
        <v>13610</v>
      </c>
      <c r="LO18" s="1" t="s">
        <v>13611</v>
      </c>
      <c r="LP18" s="1" t="s">
        <v>13612</v>
      </c>
      <c r="LQ18" s="1" t="s">
        <v>13613</v>
      </c>
      <c r="LR18" s="1" t="s">
        <v>13614</v>
      </c>
      <c r="LS18" s="1" t="s">
        <v>13615</v>
      </c>
      <c r="LT18" s="1" t="s">
        <v>13616</v>
      </c>
      <c r="LU18" s="1" t="s">
        <v>13617</v>
      </c>
      <c r="LV18" s="1" t="s">
        <v>13618</v>
      </c>
      <c r="LW18" s="1" t="s">
        <v>13619</v>
      </c>
      <c r="LX18" s="1" t="s">
        <v>13620</v>
      </c>
      <c r="LY18" s="1" t="s">
        <v>13621</v>
      </c>
      <c r="LZ18" s="1" t="s">
        <v>13622</v>
      </c>
      <c r="MA18" s="1" t="s">
        <v>13623</v>
      </c>
      <c r="MB18" s="1" t="s">
        <v>13624</v>
      </c>
      <c r="MC18" s="1" t="s">
        <v>13625</v>
      </c>
      <c r="MD18" s="1" t="s">
        <v>13626</v>
      </c>
      <c r="ME18" s="1" t="s">
        <v>13627</v>
      </c>
      <c r="MF18" s="1" t="s">
        <v>13628</v>
      </c>
      <c r="MG18" s="1" t="s">
        <v>13629</v>
      </c>
      <c r="MH18" s="1" t="s">
        <v>13630</v>
      </c>
      <c r="MI18" s="1" t="s">
        <v>13631</v>
      </c>
      <c r="MJ18" s="1" t="s">
        <v>13632</v>
      </c>
      <c r="MK18" s="1" t="s">
        <v>13633</v>
      </c>
      <c r="ML18" s="1" t="s">
        <v>13634</v>
      </c>
      <c r="MM18" s="1" t="s">
        <v>13635</v>
      </c>
      <c r="MN18" s="1" t="s">
        <v>13636</v>
      </c>
      <c r="MO18" s="1" t="s">
        <v>13637</v>
      </c>
      <c r="MP18" s="1" t="s">
        <v>13638</v>
      </c>
      <c r="MQ18" s="1" t="s">
        <v>13639</v>
      </c>
      <c r="MR18" s="1" t="s">
        <v>13640</v>
      </c>
      <c r="MS18" s="1" t="s">
        <v>13641</v>
      </c>
      <c r="MT18" s="1" t="s">
        <v>13642</v>
      </c>
      <c r="MU18" s="1" t="s">
        <v>13643</v>
      </c>
      <c r="MV18" s="1" t="s">
        <v>13644</v>
      </c>
      <c r="MW18" s="1" t="s">
        <v>13645</v>
      </c>
      <c r="MX18" s="1" t="s">
        <v>13646</v>
      </c>
      <c r="MY18" s="1" t="s">
        <v>13647</v>
      </c>
      <c r="MZ18" s="1" t="s">
        <v>13648</v>
      </c>
      <c r="NA18" s="1" t="s">
        <v>13649</v>
      </c>
      <c r="NB18" s="1" t="s">
        <v>13650</v>
      </c>
      <c r="NC18" s="1" t="s">
        <v>13651</v>
      </c>
      <c r="ND18" s="1" t="s">
        <v>13652</v>
      </c>
      <c r="NE18" s="1" t="s">
        <v>13653</v>
      </c>
      <c r="NF18" s="1" t="s">
        <v>13654</v>
      </c>
      <c r="NG18" s="1" t="s">
        <v>13655</v>
      </c>
      <c r="NH18" s="1" t="s">
        <v>13656</v>
      </c>
      <c r="NI18" s="1" t="s">
        <v>13657</v>
      </c>
      <c r="NJ18" s="1" t="s">
        <v>13658</v>
      </c>
      <c r="NK18" s="1" t="s">
        <v>13659</v>
      </c>
      <c r="NL18" s="1" t="s">
        <v>13660</v>
      </c>
      <c r="NM18" s="1" t="s">
        <v>13661</v>
      </c>
      <c r="NN18" s="1" t="s">
        <v>13662</v>
      </c>
      <c r="NO18" s="1" t="s">
        <v>13663</v>
      </c>
      <c r="NP18" s="1" t="s">
        <v>13664</v>
      </c>
      <c r="NQ18" s="1" t="s">
        <v>13665</v>
      </c>
      <c r="NR18" s="1" t="s">
        <v>13666</v>
      </c>
      <c r="NS18" s="1" t="s">
        <v>13667</v>
      </c>
      <c r="NT18" s="1" t="s">
        <v>13668</v>
      </c>
      <c r="NU18" s="1" t="s">
        <v>13669</v>
      </c>
      <c r="NV18" s="1" t="s">
        <v>13670</v>
      </c>
      <c r="NW18" s="1" t="s">
        <v>13671</v>
      </c>
      <c r="NX18" s="1" t="s">
        <v>13672</v>
      </c>
      <c r="NY18" s="1" t="s">
        <v>13673</v>
      </c>
      <c r="NZ18" s="1" t="s">
        <v>13674</v>
      </c>
      <c r="OA18" s="1" t="s">
        <v>13675</v>
      </c>
      <c r="OB18" s="1" t="s">
        <v>13676</v>
      </c>
      <c r="OC18" s="1" t="s">
        <v>13677</v>
      </c>
      <c r="OD18" s="1" t="s">
        <v>13678</v>
      </c>
      <c r="OE18" s="1" t="s">
        <v>13679</v>
      </c>
      <c r="OF18" s="1" t="s">
        <v>13680</v>
      </c>
      <c r="OG18" s="1" t="s">
        <v>13681</v>
      </c>
      <c r="OH18" s="1" t="s">
        <v>13682</v>
      </c>
      <c r="OI18" s="1" t="s">
        <v>13683</v>
      </c>
      <c r="OJ18" s="1" t="s">
        <v>13684</v>
      </c>
      <c r="OK18" s="1" t="s">
        <v>13685</v>
      </c>
      <c r="OL18" s="1" t="s">
        <v>13686</v>
      </c>
      <c r="OM18" s="1" t="s">
        <v>13687</v>
      </c>
      <c r="ON18" s="1" t="s">
        <v>13688</v>
      </c>
      <c r="OO18" s="1" t="s">
        <v>13689</v>
      </c>
      <c r="OP18" s="1" t="s">
        <v>13690</v>
      </c>
      <c r="OQ18" s="1" t="s">
        <v>13691</v>
      </c>
      <c r="OR18" s="1" t="s">
        <v>13692</v>
      </c>
      <c r="OS18" s="1" t="s">
        <v>13693</v>
      </c>
      <c r="OT18" s="1" t="s">
        <v>13694</v>
      </c>
      <c r="OU18" s="1" t="s">
        <v>13695</v>
      </c>
      <c r="OV18" s="1" t="s">
        <v>13696</v>
      </c>
      <c r="OW18" s="1" t="s">
        <v>13697</v>
      </c>
      <c r="OX18" s="1" t="s">
        <v>13698</v>
      </c>
      <c r="OY18" s="1" t="s">
        <v>13699</v>
      </c>
      <c r="OZ18" s="1" t="s">
        <v>13700</v>
      </c>
      <c r="PA18" s="1" t="s">
        <v>13701</v>
      </c>
      <c r="PB18" s="1" t="s">
        <v>13702</v>
      </c>
      <c r="PC18" s="1" t="s">
        <v>13703</v>
      </c>
      <c r="PD18" s="1" t="s">
        <v>13704</v>
      </c>
      <c r="PE18" s="1" t="s">
        <v>13705</v>
      </c>
      <c r="PF18" s="1" t="s">
        <v>13706</v>
      </c>
      <c r="PG18" s="1" t="s">
        <v>13707</v>
      </c>
      <c r="PH18" s="1" t="s">
        <v>13708</v>
      </c>
      <c r="PI18" s="1" t="s">
        <v>13709</v>
      </c>
      <c r="PJ18" s="1" t="s">
        <v>13710</v>
      </c>
      <c r="PK18" s="1" t="s">
        <v>13711</v>
      </c>
      <c r="PL18" s="1" t="s">
        <v>13712</v>
      </c>
      <c r="PM18" s="1" t="s">
        <v>13713</v>
      </c>
      <c r="PN18" s="1" t="s">
        <v>13714</v>
      </c>
      <c r="PO18" s="1" t="s">
        <v>13715</v>
      </c>
      <c r="PP18" s="1" t="s">
        <v>13716</v>
      </c>
      <c r="PQ18" s="1" t="s">
        <v>13717</v>
      </c>
      <c r="PR18" s="1" t="s">
        <v>13718</v>
      </c>
      <c r="PS18" s="1" t="s">
        <v>13719</v>
      </c>
      <c r="PT18" s="1" t="s">
        <v>13720</v>
      </c>
      <c r="PU18" s="1" t="s">
        <v>13721</v>
      </c>
      <c r="PV18" s="1" t="s">
        <v>13722</v>
      </c>
      <c r="PW18" s="1" t="s">
        <v>13723</v>
      </c>
      <c r="PX18" s="1" t="s">
        <v>13724</v>
      </c>
      <c r="PY18" s="1" t="s">
        <v>13725</v>
      </c>
      <c r="PZ18" s="1" t="s">
        <v>13726</v>
      </c>
      <c r="QA18" s="1" t="s">
        <v>13727</v>
      </c>
      <c r="QB18" s="1" t="s">
        <v>13728</v>
      </c>
      <c r="QC18" s="1" t="s">
        <v>13729</v>
      </c>
      <c r="QD18" s="1" t="s">
        <v>13730</v>
      </c>
      <c r="QE18" s="1" t="s">
        <v>13731</v>
      </c>
      <c r="QF18" s="1" t="s">
        <v>13732</v>
      </c>
      <c r="QG18" s="1" t="s">
        <v>13733</v>
      </c>
      <c r="QH18" s="1" t="s">
        <v>13734</v>
      </c>
      <c r="QI18" s="1" t="s">
        <v>13735</v>
      </c>
      <c r="QJ18" s="1" t="s">
        <v>13736</v>
      </c>
      <c r="QK18" s="1" t="s">
        <v>13737</v>
      </c>
      <c r="QL18" s="1" t="s">
        <v>13738</v>
      </c>
      <c r="QM18" s="1" t="s">
        <v>13739</v>
      </c>
      <c r="QN18" s="1" t="s">
        <v>13740</v>
      </c>
      <c r="QO18" s="1" t="s">
        <v>13741</v>
      </c>
      <c r="QP18" s="1" t="s">
        <v>13742</v>
      </c>
      <c r="QQ18" s="1" t="s">
        <v>13743</v>
      </c>
      <c r="QR18" s="1" t="s">
        <v>13744</v>
      </c>
      <c r="QS18" s="1" t="s">
        <v>13745</v>
      </c>
      <c r="QT18" s="1" t="s">
        <v>13746</v>
      </c>
      <c r="QU18" s="1" t="s">
        <v>13747</v>
      </c>
      <c r="QV18" s="1" t="s">
        <v>13748</v>
      </c>
      <c r="QW18" s="1" t="s">
        <v>13749</v>
      </c>
      <c r="QX18" s="1" t="s">
        <v>13750</v>
      </c>
      <c r="QY18" s="1" t="s">
        <v>13751</v>
      </c>
      <c r="QZ18" s="1" t="s">
        <v>13752</v>
      </c>
      <c r="RA18" s="1" t="s">
        <v>13753</v>
      </c>
      <c r="RB18" s="1" t="s">
        <v>13754</v>
      </c>
      <c r="RC18" s="1" t="s">
        <v>13755</v>
      </c>
      <c r="RD18" s="1" t="s">
        <v>13756</v>
      </c>
      <c r="RE18" s="1" t="s">
        <v>13757</v>
      </c>
      <c r="RF18" s="1" t="s">
        <v>13758</v>
      </c>
      <c r="RG18" s="1" t="s">
        <v>13759</v>
      </c>
      <c r="RH18" s="1" t="s">
        <v>13760</v>
      </c>
      <c r="RI18" s="1" t="s">
        <v>13761</v>
      </c>
      <c r="RJ18" s="1" t="s">
        <v>13762</v>
      </c>
      <c r="RK18" s="1" t="s">
        <v>13763</v>
      </c>
      <c r="RL18" s="1" t="s">
        <v>13764</v>
      </c>
      <c r="RM18" s="1" t="s">
        <v>13765</v>
      </c>
      <c r="RN18" s="1" t="s">
        <v>13766</v>
      </c>
      <c r="RO18" s="1" t="s">
        <v>13767</v>
      </c>
      <c r="RP18" s="1" t="s">
        <v>13768</v>
      </c>
      <c r="RQ18" s="1" t="s">
        <v>13769</v>
      </c>
      <c r="RR18" s="1" t="s">
        <v>13770</v>
      </c>
      <c r="RS18" s="1" t="s">
        <v>13771</v>
      </c>
      <c r="RT18" s="1" t="s">
        <v>13772</v>
      </c>
      <c r="RU18" s="1" t="s">
        <v>13773</v>
      </c>
      <c r="RV18" s="1" t="s">
        <v>13774</v>
      </c>
      <c r="RW18" s="1" t="s">
        <v>13775</v>
      </c>
      <c r="RX18" s="1" t="s">
        <v>13776</v>
      </c>
      <c r="RY18" s="1" t="s">
        <v>13777</v>
      </c>
      <c r="RZ18" s="1" t="s">
        <v>13778</v>
      </c>
      <c r="SA18" s="1" t="s">
        <v>13779</v>
      </c>
      <c r="SB18" s="1" t="s">
        <v>13780</v>
      </c>
      <c r="SC18" s="1" t="s">
        <v>13781</v>
      </c>
      <c r="SD18" s="1" t="s">
        <v>13782</v>
      </c>
      <c r="SE18" s="1" t="s">
        <v>13783</v>
      </c>
      <c r="SF18" s="1" t="s">
        <v>13784</v>
      </c>
      <c r="SG18" s="1" t="s">
        <v>13785</v>
      </c>
      <c r="SH18" s="1" t="s">
        <v>13786</v>
      </c>
      <c r="SI18" s="1" t="s">
        <v>13787</v>
      </c>
      <c r="SJ18" s="1" t="s">
        <v>13788</v>
      </c>
      <c r="SK18" s="1" t="s">
        <v>13789</v>
      </c>
      <c r="SL18" s="1" t="s">
        <v>13790</v>
      </c>
      <c r="SM18" s="1" t="s">
        <v>13791</v>
      </c>
      <c r="SN18" s="1" t="s">
        <v>13792</v>
      </c>
      <c r="SO18" s="1" t="s">
        <v>13793</v>
      </c>
      <c r="SP18" s="1" t="s">
        <v>13794</v>
      </c>
      <c r="SQ18" s="1" t="s">
        <v>13795</v>
      </c>
      <c r="SR18" s="1" t="s">
        <v>13796</v>
      </c>
      <c r="SS18" s="1" t="s">
        <v>13797</v>
      </c>
      <c r="ST18" s="1" t="s">
        <v>13798</v>
      </c>
      <c r="SU18" s="1" t="s">
        <v>13799</v>
      </c>
      <c r="SV18" s="1" t="s">
        <v>13800</v>
      </c>
      <c r="SW18" s="1" t="s">
        <v>13801</v>
      </c>
      <c r="SX18" s="1" t="s">
        <v>13802</v>
      </c>
      <c r="SY18" s="1" t="s">
        <v>13803</v>
      </c>
      <c r="SZ18" s="1" t="s">
        <v>13804</v>
      </c>
      <c r="TA18" s="1" t="s">
        <v>13805</v>
      </c>
      <c r="TB18" s="1" t="s">
        <v>13806</v>
      </c>
      <c r="TC18" s="1" t="s">
        <v>13807</v>
      </c>
      <c r="TD18" s="1" t="s">
        <v>13808</v>
      </c>
      <c r="TE18" s="1" t="s">
        <v>13809</v>
      </c>
      <c r="TF18" s="1" t="s">
        <v>13810</v>
      </c>
      <c r="TG18" s="1" t="s">
        <v>13811</v>
      </c>
      <c r="TH18" s="1" t="s">
        <v>13812</v>
      </c>
      <c r="TI18" s="1" t="s">
        <v>13813</v>
      </c>
      <c r="TJ18" s="1" t="s">
        <v>13814</v>
      </c>
      <c r="TK18" s="1" t="s">
        <v>13815</v>
      </c>
      <c r="TL18" s="1" t="s">
        <v>13816</v>
      </c>
      <c r="TM18" s="1" t="s">
        <v>13817</v>
      </c>
      <c r="TN18" s="1" t="s">
        <v>13818</v>
      </c>
      <c r="TO18" s="1" t="s">
        <v>13819</v>
      </c>
      <c r="TP18" s="1" t="s">
        <v>13820</v>
      </c>
      <c r="TQ18" s="1" t="s">
        <v>13821</v>
      </c>
      <c r="TR18" s="1" t="s">
        <v>13822</v>
      </c>
      <c r="TS18" s="1" t="s">
        <v>13823</v>
      </c>
      <c r="TT18" s="1" t="s">
        <v>13824</v>
      </c>
      <c r="TU18" s="1" t="s">
        <v>13825</v>
      </c>
      <c r="TV18" s="1" t="s">
        <v>13826</v>
      </c>
      <c r="TW18" s="1" t="s">
        <v>13827</v>
      </c>
      <c r="TX18" s="1" t="s">
        <v>13828</v>
      </c>
      <c r="TY18" s="1" t="s">
        <v>13829</v>
      </c>
      <c r="TZ18" s="1" t="s">
        <v>13830</v>
      </c>
      <c r="UA18" s="1" t="s">
        <v>13831</v>
      </c>
      <c r="UB18" s="1" t="s">
        <v>13832</v>
      </c>
      <c r="UC18" s="1" t="s">
        <v>13833</v>
      </c>
      <c r="UD18" s="1" t="s">
        <v>13834</v>
      </c>
      <c r="UE18" s="1" t="s">
        <v>13835</v>
      </c>
      <c r="UF18" s="1" t="s">
        <v>13836</v>
      </c>
      <c r="UG18" s="1" t="s">
        <v>13837</v>
      </c>
      <c r="UH18" s="1" t="s">
        <v>13838</v>
      </c>
      <c r="UI18" s="1" t="s">
        <v>13839</v>
      </c>
      <c r="UJ18" s="1" t="s">
        <v>13840</v>
      </c>
      <c r="UK18" s="1" t="s">
        <v>13841</v>
      </c>
      <c r="UL18" s="1" t="s">
        <v>13842</v>
      </c>
      <c r="UM18" s="1" t="s">
        <v>13843</v>
      </c>
      <c r="UN18" s="1" t="s">
        <v>13844</v>
      </c>
      <c r="UO18" s="1" t="s">
        <v>13845</v>
      </c>
      <c r="UP18" s="1" t="s">
        <v>13846</v>
      </c>
      <c r="UQ18" s="1" t="s">
        <v>13847</v>
      </c>
      <c r="UR18" s="1" t="s">
        <v>13848</v>
      </c>
      <c r="US18" s="1" t="s">
        <v>13849</v>
      </c>
      <c r="UT18" s="1" t="s">
        <v>13850</v>
      </c>
      <c r="UU18" s="1" t="s">
        <v>13851</v>
      </c>
      <c r="UV18" s="1" t="s">
        <v>13852</v>
      </c>
      <c r="UW18" s="1" t="s">
        <v>13853</v>
      </c>
      <c r="UX18" s="1" t="s">
        <v>13854</v>
      </c>
      <c r="UY18" s="1" t="s">
        <v>13855</v>
      </c>
      <c r="UZ18" s="1" t="s">
        <v>13856</v>
      </c>
      <c r="VA18" s="1" t="s">
        <v>13857</v>
      </c>
      <c r="VB18" s="1" t="s">
        <v>13858</v>
      </c>
      <c r="VC18" s="1" t="s">
        <v>13859</v>
      </c>
      <c r="VD18" s="1" t="s">
        <v>13860</v>
      </c>
      <c r="VE18" s="1" t="s">
        <v>13861</v>
      </c>
      <c r="VF18" s="1" t="s">
        <v>13862</v>
      </c>
      <c r="VG18" s="1" t="s">
        <v>13863</v>
      </c>
      <c r="VH18" s="1" t="s">
        <v>13864</v>
      </c>
      <c r="VI18" s="1" t="s">
        <v>13865</v>
      </c>
      <c r="VJ18" s="1" t="s">
        <v>13866</v>
      </c>
      <c r="VK18" s="1" t="s">
        <v>13867</v>
      </c>
      <c r="VL18" s="1" t="s">
        <v>13868</v>
      </c>
      <c r="VM18" s="1" t="s">
        <v>13869</v>
      </c>
      <c r="VN18" s="1" t="s">
        <v>13870</v>
      </c>
      <c r="VO18" s="1" t="s">
        <v>13871</v>
      </c>
      <c r="VP18" s="1" t="s">
        <v>13872</v>
      </c>
      <c r="VQ18" s="1" t="s">
        <v>13873</v>
      </c>
      <c r="VR18" s="1" t="s">
        <v>13874</v>
      </c>
      <c r="VS18" s="1" t="s">
        <v>13875</v>
      </c>
      <c r="VT18" s="1" t="s">
        <v>13876</v>
      </c>
      <c r="VU18" s="1" t="s">
        <v>13877</v>
      </c>
      <c r="VV18" s="1" t="s">
        <v>13878</v>
      </c>
      <c r="VW18" s="1" t="s">
        <v>13879</v>
      </c>
      <c r="VX18" s="1" t="s">
        <v>13880</v>
      </c>
      <c r="VY18" s="1" t="s">
        <v>13881</v>
      </c>
      <c r="VZ18" s="1" t="s">
        <v>13882</v>
      </c>
      <c r="WA18" s="1" t="s">
        <v>13883</v>
      </c>
      <c r="WB18" s="1" t="s">
        <v>13884</v>
      </c>
      <c r="WC18" s="1" t="s">
        <v>13885</v>
      </c>
      <c r="WD18" s="1" t="s">
        <v>13886</v>
      </c>
      <c r="WE18" s="1" t="s">
        <v>13887</v>
      </c>
      <c r="WF18" s="1" t="s">
        <v>13888</v>
      </c>
      <c r="WG18" s="1" t="s">
        <v>13889</v>
      </c>
      <c r="WH18" s="1" t="s">
        <v>13890</v>
      </c>
      <c r="WI18" s="1" t="s">
        <v>13891</v>
      </c>
      <c r="WJ18" s="1" t="s">
        <v>13892</v>
      </c>
      <c r="WK18" s="1" t="s">
        <v>13893</v>
      </c>
      <c r="WL18" s="1" t="s">
        <v>13894</v>
      </c>
      <c r="WM18" s="1" t="s">
        <v>13895</v>
      </c>
      <c r="WN18" s="1" t="s">
        <v>13896</v>
      </c>
      <c r="WO18" s="1" t="s">
        <v>13897</v>
      </c>
      <c r="WP18" s="1" t="s">
        <v>13898</v>
      </c>
      <c r="WQ18" s="1" t="s">
        <v>13899</v>
      </c>
      <c r="WR18" s="1" t="s">
        <v>13900</v>
      </c>
      <c r="WS18" s="1" t="s">
        <v>13901</v>
      </c>
      <c r="WT18" s="1" t="s">
        <v>13902</v>
      </c>
      <c r="WU18" s="1" t="s">
        <v>13903</v>
      </c>
      <c r="WV18" s="1" t="s">
        <v>13904</v>
      </c>
      <c r="WW18" s="1" t="s">
        <v>13905</v>
      </c>
      <c r="WX18" s="1" t="s">
        <v>13906</v>
      </c>
      <c r="WY18" s="1" t="s">
        <v>13907</v>
      </c>
      <c r="WZ18" s="1" t="s">
        <v>13908</v>
      </c>
      <c r="XA18" s="1" t="s">
        <v>13909</v>
      </c>
      <c r="XB18" s="1" t="s">
        <v>13910</v>
      </c>
      <c r="XC18" s="1" t="s">
        <v>13911</v>
      </c>
      <c r="XD18" s="1" t="s">
        <v>13912</v>
      </c>
      <c r="XE18" s="1" t="s">
        <v>13913</v>
      </c>
      <c r="XF18" s="1" t="s">
        <v>13914</v>
      </c>
      <c r="XG18" s="1" t="s">
        <v>13915</v>
      </c>
      <c r="XH18" s="1" t="s">
        <v>13916</v>
      </c>
      <c r="XI18" s="1" t="s">
        <v>13917</v>
      </c>
      <c r="XJ18" s="1" t="s">
        <v>13918</v>
      </c>
      <c r="XK18" s="1" t="s">
        <v>13919</v>
      </c>
      <c r="XL18" s="1" t="s">
        <v>13920</v>
      </c>
      <c r="XM18" s="1" t="s">
        <v>13921</v>
      </c>
      <c r="XN18" s="1" t="s">
        <v>13922</v>
      </c>
      <c r="XO18" s="1" t="s">
        <v>13923</v>
      </c>
      <c r="XP18" s="1" t="s">
        <v>13924</v>
      </c>
      <c r="XQ18" s="1" t="s">
        <v>13925</v>
      </c>
      <c r="XR18" s="1" t="s">
        <v>13926</v>
      </c>
      <c r="XS18" s="1" t="s">
        <v>13927</v>
      </c>
      <c r="XT18" s="1" t="s">
        <v>13928</v>
      </c>
      <c r="XU18" s="1" t="s">
        <v>13929</v>
      </c>
      <c r="XV18" s="1" t="s">
        <v>13930</v>
      </c>
      <c r="XW18" s="1" t="s">
        <v>13931</v>
      </c>
      <c r="XX18" s="1" t="s">
        <v>13932</v>
      </c>
      <c r="XY18" s="1" t="s">
        <v>13933</v>
      </c>
      <c r="XZ18" s="1" t="s">
        <v>13934</v>
      </c>
      <c r="YA18" s="1" t="s">
        <v>13935</v>
      </c>
      <c r="YB18" s="1" t="s">
        <v>13936</v>
      </c>
      <c r="YC18" s="1" t="s">
        <v>13937</v>
      </c>
      <c r="YD18" s="1" t="s">
        <v>13938</v>
      </c>
      <c r="YE18" s="1" t="s">
        <v>13939</v>
      </c>
      <c r="YF18" s="1" t="s">
        <v>13940</v>
      </c>
      <c r="YG18" s="1" t="s">
        <v>13941</v>
      </c>
      <c r="YH18" s="1" t="s">
        <v>13942</v>
      </c>
      <c r="YI18" s="1" t="s">
        <v>13943</v>
      </c>
      <c r="YJ18" s="1" t="s">
        <v>13944</v>
      </c>
      <c r="YK18" s="1" t="s">
        <v>13945</v>
      </c>
      <c r="YL18" s="1" t="s">
        <v>13946</v>
      </c>
      <c r="YM18" s="1" t="s">
        <v>13947</v>
      </c>
      <c r="YN18" s="1" t="s">
        <v>13948</v>
      </c>
      <c r="YO18" s="1" t="s">
        <v>13949</v>
      </c>
      <c r="YP18" s="1" t="s">
        <v>13950</v>
      </c>
      <c r="YQ18" s="1" t="s">
        <v>13951</v>
      </c>
      <c r="YR18" s="1" t="s">
        <v>13952</v>
      </c>
      <c r="YS18" s="1" t="s">
        <v>13953</v>
      </c>
      <c r="YT18" s="1" t="s">
        <v>13954</v>
      </c>
      <c r="YU18" s="1" t="s">
        <v>13955</v>
      </c>
      <c r="YV18" s="1" t="s">
        <v>13956</v>
      </c>
      <c r="YW18" s="1" t="s">
        <v>13957</v>
      </c>
      <c r="YX18" s="1" t="s">
        <v>13958</v>
      </c>
      <c r="YY18" s="1" t="s">
        <v>13959</v>
      </c>
      <c r="YZ18" s="1" t="s">
        <v>13960</v>
      </c>
      <c r="ZA18" s="1" t="s">
        <v>13961</v>
      </c>
      <c r="ZB18" s="1" t="s">
        <v>13962</v>
      </c>
      <c r="ZC18" s="1" t="s">
        <v>13963</v>
      </c>
      <c r="ZD18" s="1" t="s">
        <v>13964</v>
      </c>
      <c r="ZE18" s="1" t="s">
        <v>13965</v>
      </c>
      <c r="ZF18" s="1" t="s">
        <v>13966</v>
      </c>
      <c r="ZG18" s="1" t="s">
        <v>13967</v>
      </c>
      <c r="ZH18" s="1" t="s">
        <v>13968</v>
      </c>
      <c r="ZI18" s="1" t="s">
        <v>13969</v>
      </c>
      <c r="ZJ18" s="1" t="s">
        <v>13970</v>
      </c>
      <c r="ZK18" s="1" t="s">
        <v>13971</v>
      </c>
      <c r="ZL18" s="1" t="s">
        <v>13972</v>
      </c>
      <c r="ZM18" s="1" t="s">
        <v>13973</v>
      </c>
      <c r="ZN18" s="1" t="s">
        <v>13974</v>
      </c>
      <c r="ZO18" s="1" t="s">
        <v>13975</v>
      </c>
      <c r="ZP18" s="1" t="s">
        <v>13976</v>
      </c>
      <c r="ZQ18" s="1" t="s">
        <v>13977</v>
      </c>
      <c r="ZR18" s="1" t="s">
        <v>13978</v>
      </c>
      <c r="ZS18" s="1" t="s">
        <v>13979</v>
      </c>
      <c r="ZT18" s="1" t="s">
        <v>13980</v>
      </c>
      <c r="ZU18" s="1" t="s">
        <v>13981</v>
      </c>
      <c r="ZV18" s="1" t="s">
        <v>13982</v>
      </c>
      <c r="ZW18" s="1" t="s">
        <v>13983</v>
      </c>
      <c r="ZX18" s="1" t="s">
        <v>13984</v>
      </c>
      <c r="ZY18" s="1" t="s">
        <v>13985</v>
      </c>
      <c r="ZZ18" s="1" t="s">
        <v>13986</v>
      </c>
      <c r="AAA18" s="1" t="s">
        <v>13987</v>
      </c>
      <c r="AAB18" s="1" t="s">
        <v>13988</v>
      </c>
      <c r="AAC18" s="1" t="s">
        <v>13989</v>
      </c>
      <c r="AAD18" s="1" t="s">
        <v>13990</v>
      </c>
      <c r="AAE18" s="1" t="s">
        <v>13991</v>
      </c>
      <c r="AAF18" s="1" t="s">
        <v>13992</v>
      </c>
      <c r="AAG18" s="1" t="s">
        <v>13993</v>
      </c>
      <c r="AAH18" s="1" t="s">
        <v>13994</v>
      </c>
      <c r="AAI18" s="1" t="s">
        <v>13995</v>
      </c>
      <c r="AAJ18" s="1" t="s">
        <v>13996</v>
      </c>
      <c r="AAK18" s="1" t="s">
        <v>13997</v>
      </c>
      <c r="AAL18" s="1" t="s">
        <v>13998</v>
      </c>
      <c r="AAM18" s="1" t="s">
        <v>13999</v>
      </c>
      <c r="AAN18" s="1" t="s">
        <v>14000</v>
      </c>
      <c r="AAO18" s="1" t="s">
        <v>14001</v>
      </c>
      <c r="AAP18" s="1" t="s">
        <v>14002</v>
      </c>
      <c r="AAQ18" s="1" t="s">
        <v>14003</v>
      </c>
      <c r="AAR18" s="1" t="s">
        <v>14004</v>
      </c>
      <c r="AAS18" s="1" t="s">
        <v>14005</v>
      </c>
      <c r="AAT18" s="1" t="s">
        <v>14006</v>
      </c>
      <c r="AAU18" s="1" t="s">
        <v>14007</v>
      </c>
      <c r="AAV18" s="1" t="s">
        <v>14008</v>
      </c>
      <c r="AAW18" s="1" t="s">
        <v>14009</v>
      </c>
      <c r="AAX18" s="1" t="s">
        <v>14010</v>
      </c>
      <c r="AAY18" s="1" t="s">
        <v>14011</v>
      </c>
      <c r="AAZ18" s="1" t="s">
        <v>14012</v>
      </c>
      <c r="ABA18" s="1" t="s">
        <v>14013</v>
      </c>
      <c r="ABB18" s="1" t="s">
        <v>14014</v>
      </c>
      <c r="ABC18" s="1" t="s">
        <v>14015</v>
      </c>
      <c r="ABD18" s="1" t="s">
        <v>14016</v>
      </c>
      <c r="ABE18" s="1" t="s">
        <v>14017</v>
      </c>
      <c r="ABF18" s="1" t="s">
        <v>14018</v>
      </c>
      <c r="ABG18" s="1" t="s">
        <v>14019</v>
      </c>
      <c r="ABH18" s="1" t="s">
        <v>14020</v>
      </c>
      <c r="ABI18" s="1" t="s">
        <v>14021</v>
      </c>
      <c r="ABJ18" s="1" t="s">
        <v>14022</v>
      </c>
      <c r="ABK18" s="1" t="s">
        <v>14023</v>
      </c>
      <c r="ABL18" s="1" t="s">
        <v>14024</v>
      </c>
      <c r="ABM18" s="1" t="s">
        <v>14025</v>
      </c>
      <c r="ABN18" s="1" t="s">
        <v>14026</v>
      </c>
      <c r="ABO18" s="1" t="s">
        <v>14027</v>
      </c>
      <c r="ABP18" s="1" t="s">
        <v>14028</v>
      </c>
      <c r="ABQ18" s="1" t="s">
        <v>14029</v>
      </c>
      <c r="ABR18" s="1" t="s">
        <v>14030</v>
      </c>
      <c r="ABS18" s="1" t="s">
        <v>14031</v>
      </c>
      <c r="ABT18" s="1" t="s">
        <v>14032</v>
      </c>
      <c r="ABU18" s="1" t="s">
        <v>14033</v>
      </c>
      <c r="ABV18" s="1" t="s">
        <v>14034</v>
      </c>
      <c r="ABW18" s="1" t="s">
        <v>14035</v>
      </c>
      <c r="ABX18" s="1" t="s">
        <v>14036</v>
      </c>
      <c r="ABY18" s="1" t="s">
        <v>14037</v>
      </c>
      <c r="ABZ18" s="1" t="s">
        <v>14038</v>
      </c>
      <c r="ACA18" s="1" t="s">
        <v>14039</v>
      </c>
      <c r="ACB18" s="1" t="s">
        <v>14040</v>
      </c>
      <c r="ACC18" s="1" t="s">
        <v>14041</v>
      </c>
      <c r="ACD18" s="1" t="s">
        <v>14042</v>
      </c>
      <c r="ACE18" s="1" t="s">
        <v>14043</v>
      </c>
      <c r="ACF18" s="1" t="s">
        <v>14044</v>
      </c>
      <c r="ACG18" s="1" t="s">
        <v>14045</v>
      </c>
      <c r="ACH18" s="1" t="s">
        <v>14046</v>
      </c>
      <c r="ACI18" s="1" t="s">
        <v>14047</v>
      </c>
      <c r="ACJ18" s="1" t="s">
        <v>14048</v>
      </c>
      <c r="ACK18" s="1" t="s">
        <v>14049</v>
      </c>
      <c r="ACL18" s="1" t="s">
        <v>14050</v>
      </c>
      <c r="ACM18" s="1" t="s">
        <v>14051</v>
      </c>
      <c r="ACN18" s="1" t="s">
        <v>14052</v>
      </c>
      <c r="ACO18" s="1" t="s">
        <v>14053</v>
      </c>
      <c r="ACP18" s="1" t="s">
        <v>14054</v>
      </c>
      <c r="ACQ18" s="1" t="s">
        <v>14055</v>
      </c>
      <c r="ACR18" s="1" t="s">
        <v>14056</v>
      </c>
      <c r="ACS18" s="1" t="s">
        <v>14057</v>
      </c>
      <c r="ACT18" s="1" t="s">
        <v>14058</v>
      </c>
      <c r="ACU18" s="1" t="s">
        <v>14059</v>
      </c>
      <c r="ACV18" s="1" t="s">
        <v>14060</v>
      </c>
      <c r="ACW18" s="1" t="s">
        <v>23</v>
      </c>
      <c r="ACX18" s="1" t="s">
        <v>6310</v>
      </c>
    </row>
    <row r="19" spans="1:778" x14ac:dyDescent="0.2">
      <c r="A19" s="1" t="s">
        <v>45</v>
      </c>
      <c r="B19" s="1" t="s">
        <v>14061</v>
      </c>
      <c r="C19" s="1" t="s">
        <v>14062</v>
      </c>
      <c r="D19" s="1" t="s">
        <v>14063</v>
      </c>
      <c r="E19" s="1" t="s">
        <v>14064</v>
      </c>
      <c r="F19" s="1" t="s">
        <v>14065</v>
      </c>
      <c r="G19" s="1" t="s">
        <v>14066</v>
      </c>
      <c r="H19" s="1" t="s">
        <v>14067</v>
      </c>
      <c r="I19" s="1" t="s">
        <v>14068</v>
      </c>
      <c r="J19" s="1" t="s">
        <v>14069</v>
      </c>
      <c r="K19" s="1" t="s">
        <v>14070</v>
      </c>
      <c r="L19" s="1" t="s">
        <v>14071</v>
      </c>
      <c r="M19" s="1" t="s">
        <v>14072</v>
      </c>
      <c r="N19" s="1" t="s">
        <v>14073</v>
      </c>
      <c r="O19" s="1" t="s">
        <v>14074</v>
      </c>
      <c r="P19" s="1" t="s">
        <v>14075</v>
      </c>
      <c r="Q19" s="1" t="s">
        <v>14076</v>
      </c>
      <c r="R19" s="1" t="s">
        <v>14077</v>
      </c>
      <c r="S19" s="1" t="s">
        <v>14078</v>
      </c>
      <c r="T19" s="1" t="s">
        <v>14079</v>
      </c>
      <c r="U19" s="1" t="s">
        <v>14080</v>
      </c>
      <c r="V19" s="1" t="s">
        <v>14081</v>
      </c>
      <c r="W19" s="1" t="s">
        <v>14082</v>
      </c>
      <c r="X19" s="1" t="s">
        <v>14083</v>
      </c>
      <c r="Y19" s="1" t="s">
        <v>14084</v>
      </c>
      <c r="Z19" s="1" t="s">
        <v>14085</v>
      </c>
      <c r="AA19" s="1" t="s">
        <v>14086</v>
      </c>
      <c r="AB19" s="1" t="s">
        <v>14087</v>
      </c>
      <c r="AC19" s="1" t="s">
        <v>14088</v>
      </c>
      <c r="AD19" s="1" t="s">
        <v>14089</v>
      </c>
      <c r="AE19" s="1" t="s">
        <v>14090</v>
      </c>
      <c r="AF19" s="1" t="s">
        <v>14091</v>
      </c>
      <c r="AG19" s="1" t="s">
        <v>14092</v>
      </c>
      <c r="AH19" s="1" t="s">
        <v>14093</v>
      </c>
      <c r="AI19" s="1" t="s">
        <v>14094</v>
      </c>
      <c r="AJ19" s="1" t="s">
        <v>14095</v>
      </c>
      <c r="AK19" s="1" t="s">
        <v>14096</v>
      </c>
      <c r="AL19" s="1" t="s">
        <v>14097</v>
      </c>
      <c r="AM19" s="1" t="s">
        <v>14098</v>
      </c>
      <c r="AN19" s="1" t="s">
        <v>14099</v>
      </c>
      <c r="AO19" s="1" t="s">
        <v>14100</v>
      </c>
      <c r="AP19" s="1" t="s">
        <v>14101</v>
      </c>
      <c r="AQ19" s="1" t="s">
        <v>14102</v>
      </c>
      <c r="AR19" s="1" t="s">
        <v>14103</v>
      </c>
      <c r="AS19" s="1" t="s">
        <v>14104</v>
      </c>
      <c r="AT19" s="1" t="s">
        <v>14105</v>
      </c>
      <c r="AU19" s="1" t="s">
        <v>14106</v>
      </c>
      <c r="AV19" s="1" t="s">
        <v>14107</v>
      </c>
      <c r="AW19" s="1" t="s">
        <v>14108</v>
      </c>
      <c r="AX19" s="1" t="s">
        <v>14109</v>
      </c>
      <c r="AY19" s="1" t="s">
        <v>14110</v>
      </c>
      <c r="AZ19" s="1" t="s">
        <v>14111</v>
      </c>
      <c r="BA19" s="1" t="s">
        <v>14112</v>
      </c>
      <c r="BB19" s="1" t="s">
        <v>14113</v>
      </c>
      <c r="BC19" s="1" t="s">
        <v>14114</v>
      </c>
      <c r="BD19" s="1" t="s">
        <v>14115</v>
      </c>
      <c r="BE19" s="1" t="s">
        <v>14116</v>
      </c>
      <c r="BF19" s="1" t="s">
        <v>14117</v>
      </c>
      <c r="BG19" s="1" t="s">
        <v>14118</v>
      </c>
      <c r="BH19" s="1" t="s">
        <v>14119</v>
      </c>
      <c r="BI19" s="1" t="s">
        <v>14120</v>
      </c>
      <c r="BJ19" s="1" t="s">
        <v>14121</v>
      </c>
      <c r="BK19" s="1" t="s">
        <v>14122</v>
      </c>
      <c r="BL19" s="1" t="s">
        <v>14123</v>
      </c>
      <c r="BM19" s="1" t="s">
        <v>14124</v>
      </c>
      <c r="BN19" s="1" t="s">
        <v>14125</v>
      </c>
      <c r="BO19" s="1" t="s">
        <v>14126</v>
      </c>
      <c r="BP19" s="1" t="s">
        <v>14127</v>
      </c>
      <c r="BQ19" s="1" t="s">
        <v>14128</v>
      </c>
      <c r="BR19" s="1" t="s">
        <v>14129</v>
      </c>
      <c r="BS19" s="1" t="s">
        <v>14130</v>
      </c>
      <c r="BT19" s="1" t="s">
        <v>14131</v>
      </c>
      <c r="BU19" s="1" t="s">
        <v>14132</v>
      </c>
      <c r="BV19" s="1" t="s">
        <v>14133</v>
      </c>
      <c r="BW19" s="1" t="s">
        <v>14134</v>
      </c>
      <c r="BX19" s="1" t="s">
        <v>14135</v>
      </c>
      <c r="BY19" s="1" t="s">
        <v>14136</v>
      </c>
      <c r="BZ19" s="1" t="s">
        <v>14137</v>
      </c>
      <c r="CA19" s="1" t="s">
        <v>14138</v>
      </c>
      <c r="CB19" s="1" t="s">
        <v>14139</v>
      </c>
      <c r="CC19" s="1" t="s">
        <v>14140</v>
      </c>
      <c r="CD19" s="1" t="s">
        <v>14141</v>
      </c>
      <c r="CE19" s="1" t="s">
        <v>14142</v>
      </c>
      <c r="CF19" s="1" t="s">
        <v>14143</v>
      </c>
      <c r="CG19" s="1" t="s">
        <v>14144</v>
      </c>
      <c r="CH19" s="1" t="s">
        <v>14145</v>
      </c>
      <c r="CI19" s="1" t="s">
        <v>14146</v>
      </c>
      <c r="CJ19" s="1" t="s">
        <v>14147</v>
      </c>
      <c r="CK19" s="1" t="s">
        <v>14148</v>
      </c>
      <c r="CL19" s="1" t="s">
        <v>14149</v>
      </c>
      <c r="CM19" s="1" t="s">
        <v>14150</v>
      </c>
      <c r="CN19" s="1" t="s">
        <v>14151</v>
      </c>
      <c r="CO19" s="1" t="s">
        <v>14152</v>
      </c>
      <c r="CP19" s="1" t="s">
        <v>14153</v>
      </c>
      <c r="CQ19" s="1" t="s">
        <v>14154</v>
      </c>
      <c r="CR19" s="1" t="s">
        <v>14155</v>
      </c>
      <c r="CS19" s="1" t="s">
        <v>14156</v>
      </c>
      <c r="CT19" s="1" t="s">
        <v>14157</v>
      </c>
      <c r="CU19" s="1" t="s">
        <v>14158</v>
      </c>
      <c r="CV19" s="1" t="s">
        <v>14159</v>
      </c>
      <c r="CW19" s="1" t="s">
        <v>14160</v>
      </c>
      <c r="CX19" s="1" t="s">
        <v>14161</v>
      </c>
      <c r="CY19" s="1" t="s">
        <v>14162</v>
      </c>
      <c r="CZ19" s="1" t="s">
        <v>14163</v>
      </c>
      <c r="DA19" s="1" t="s">
        <v>14164</v>
      </c>
      <c r="DB19" s="1" t="s">
        <v>14165</v>
      </c>
      <c r="DC19" s="1" t="s">
        <v>14166</v>
      </c>
      <c r="DD19" s="1" t="s">
        <v>14167</v>
      </c>
      <c r="DE19" s="1" t="s">
        <v>14168</v>
      </c>
      <c r="DF19" s="1" t="s">
        <v>14169</v>
      </c>
      <c r="DG19" s="1" t="s">
        <v>14170</v>
      </c>
      <c r="DH19" s="1" t="s">
        <v>14171</v>
      </c>
      <c r="DI19" s="1" t="s">
        <v>14172</v>
      </c>
      <c r="DJ19" s="1" t="s">
        <v>14173</v>
      </c>
      <c r="DK19" s="1" t="s">
        <v>14174</v>
      </c>
      <c r="DL19" s="1" t="s">
        <v>14175</v>
      </c>
      <c r="DM19" s="1" t="s">
        <v>14176</v>
      </c>
      <c r="DN19" s="1" t="s">
        <v>14177</v>
      </c>
      <c r="DO19" s="1" t="s">
        <v>14178</v>
      </c>
      <c r="DP19" s="1" t="s">
        <v>14179</v>
      </c>
      <c r="DQ19" s="1" t="s">
        <v>14180</v>
      </c>
      <c r="DR19" s="1" t="s">
        <v>14181</v>
      </c>
      <c r="DS19" s="1" t="s">
        <v>14182</v>
      </c>
      <c r="DT19" s="1" t="s">
        <v>14183</v>
      </c>
      <c r="DU19" s="1" t="s">
        <v>14184</v>
      </c>
      <c r="DV19" s="1" t="s">
        <v>14185</v>
      </c>
      <c r="DW19" s="1" t="s">
        <v>14186</v>
      </c>
      <c r="DX19" s="1" t="s">
        <v>14187</v>
      </c>
      <c r="DY19" s="1" t="s">
        <v>14188</v>
      </c>
      <c r="DZ19" s="1" t="s">
        <v>14189</v>
      </c>
      <c r="EA19" s="1" t="s">
        <v>14190</v>
      </c>
      <c r="EB19" s="1" t="s">
        <v>14191</v>
      </c>
      <c r="EC19" s="1" t="s">
        <v>14192</v>
      </c>
      <c r="ED19" s="1" t="s">
        <v>14193</v>
      </c>
      <c r="EE19" s="1" t="s">
        <v>14194</v>
      </c>
      <c r="EF19" s="1" t="s">
        <v>14195</v>
      </c>
      <c r="EG19" s="1" t="s">
        <v>14196</v>
      </c>
      <c r="EH19" s="1" t="s">
        <v>14197</v>
      </c>
      <c r="EI19" s="1" t="s">
        <v>14198</v>
      </c>
      <c r="EJ19" s="1" t="s">
        <v>14199</v>
      </c>
      <c r="EK19" s="1" t="s">
        <v>14200</v>
      </c>
      <c r="EL19" s="1" t="s">
        <v>14201</v>
      </c>
      <c r="EM19" s="1" t="s">
        <v>14202</v>
      </c>
      <c r="EN19" s="1" t="s">
        <v>14203</v>
      </c>
      <c r="EO19" s="1" t="s">
        <v>14204</v>
      </c>
      <c r="EP19" s="1" t="s">
        <v>14205</v>
      </c>
      <c r="EQ19" s="1" t="s">
        <v>14206</v>
      </c>
      <c r="ER19" s="1" t="s">
        <v>14207</v>
      </c>
      <c r="ES19" s="1" t="s">
        <v>14208</v>
      </c>
      <c r="ET19" s="1" t="s">
        <v>14209</v>
      </c>
      <c r="EU19" s="1" t="s">
        <v>14210</v>
      </c>
      <c r="EV19" s="1" t="s">
        <v>14211</v>
      </c>
      <c r="EW19" s="1" t="s">
        <v>14212</v>
      </c>
      <c r="EX19" s="1" t="s">
        <v>14213</v>
      </c>
      <c r="EY19" s="1" t="s">
        <v>14214</v>
      </c>
      <c r="EZ19" s="1" t="s">
        <v>14215</v>
      </c>
      <c r="FA19" s="1" t="s">
        <v>14216</v>
      </c>
      <c r="FB19" s="1" t="s">
        <v>14217</v>
      </c>
      <c r="FC19" s="1" t="s">
        <v>14218</v>
      </c>
      <c r="FD19" s="1" t="s">
        <v>14219</v>
      </c>
      <c r="FE19" s="1" t="s">
        <v>14220</v>
      </c>
      <c r="FF19" s="1" t="s">
        <v>14221</v>
      </c>
      <c r="FG19" s="1" t="s">
        <v>14222</v>
      </c>
      <c r="FH19" s="1" t="s">
        <v>14223</v>
      </c>
      <c r="FI19" s="1" t="s">
        <v>14224</v>
      </c>
      <c r="FJ19" s="1" t="s">
        <v>14225</v>
      </c>
      <c r="FK19" s="1" t="s">
        <v>14226</v>
      </c>
      <c r="FL19" s="1" t="s">
        <v>14227</v>
      </c>
      <c r="FM19" s="1" t="s">
        <v>14228</v>
      </c>
      <c r="FN19" s="1" t="s">
        <v>14229</v>
      </c>
      <c r="FO19" s="1" t="s">
        <v>14230</v>
      </c>
      <c r="FP19" s="1" t="s">
        <v>14231</v>
      </c>
      <c r="FQ19" s="1" t="s">
        <v>14232</v>
      </c>
      <c r="FR19" s="1" t="s">
        <v>14233</v>
      </c>
      <c r="FS19" s="1" t="s">
        <v>14234</v>
      </c>
      <c r="FT19" s="1" t="s">
        <v>14235</v>
      </c>
      <c r="FU19" s="1" t="s">
        <v>14236</v>
      </c>
      <c r="FV19" s="1" t="s">
        <v>14237</v>
      </c>
      <c r="FW19" s="1" t="s">
        <v>14238</v>
      </c>
      <c r="FX19" s="1" t="s">
        <v>14239</v>
      </c>
      <c r="FY19" s="1" t="s">
        <v>14240</v>
      </c>
      <c r="FZ19" s="1" t="s">
        <v>14241</v>
      </c>
      <c r="GA19" s="1" t="s">
        <v>14242</v>
      </c>
      <c r="GB19" s="1" t="s">
        <v>14243</v>
      </c>
      <c r="GC19" s="1" t="s">
        <v>14244</v>
      </c>
      <c r="GD19" s="1" t="s">
        <v>14245</v>
      </c>
      <c r="GE19" s="1" t="s">
        <v>14246</v>
      </c>
      <c r="GF19" s="1" t="s">
        <v>14247</v>
      </c>
      <c r="GG19" s="1" t="s">
        <v>14248</v>
      </c>
      <c r="GH19" s="1" t="s">
        <v>14249</v>
      </c>
      <c r="GI19" s="1" t="s">
        <v>14250</v>
      </c>
      <c r="GJ19" s="1" t="s">
        <v>14251</v>
      </c>
      <c r="GK19" s="1" t="s">
        <v>14252</v>
      </c>
      <c r="GL19" s="1" t="s">
        <v>14253</v>
      </c>
      <c r="GM19" s="1" t="s">
        <v>14254</v>
      </c>
      <c r="GN19" s="1" t="s">
        <v>14255</v>
      </c>
      <c r="GO19" s="1" t="s">
        <v>14256</v>
      </c>
      <c r="GP19" s="1" t="s">
        <v>14257</v>
      </c>
      <c r="GQ19" s="1" t="s">
        <v>14258</v>
      </c>
      <c r="GR19" s="1" t="s">
        <v>14259</v>
      </c>
      <c r="GS19" s="1" t="s">
        <v>14260</v>
      </c>
      <c r="GT19" s="1" t="s">
        <v>14261</v>
      </c>
      <c r="GU19" s="1" t="s">
        <v>14262</v>
      </c>
      <c r="GV19" s="1" t="s">
        <v>14263</v>
      </c>
      <c r="GW19" s="1" t="s">
        <v>14264</v>
      </c>
      <c r="GX19" s="1" t="s">
        <v>14265</v>
      </c>
      <c r="GY19" s="1" t="s">
        <v>14266</v>
      </c>
      <c r="GZ19" s="1" t="s">
        <v>14267</v>
      </c>
      <c r="HA19" s="1" t="s">
        <v>14268</v>
      </c>
      <c r="HB19" s="1" t="s">
        <v>14269</v>
      </c>
      <c r="HC19" s="1" t="s">
        <v>14270</v>
      </c>
      <c r="HD19" s="1" t="s">
        <v>14271</v>
      </c>
      <c r="HE19" s="1" t="s">
        <v>14272</v>
      </c>
      <c r="HF19" s="1" t="s">
        <v>14273</v>
      </c>
      <c r="HG19" s="1" t="s">
        <v>14274</v>
      </c>
      <c r="HH19" s="1" t="s">
        <v>14275</v>
      </c>
      <c r="HI19" s="1" t="s">
        <v>14276</v>
      </c>
      <c r="HJ19" s="1" t="s">
        <v>14277</v>
      </c>
      <c r="HK19" s="1" t="s">
        <v>14278</v>
      </c>
      <c r="HL19" s="1" t="s">
        <v>14279</v>
      </c>
      <c r="HM19" s="1" t="s">
        <v>14280</v>
      </c>
      <c r="HN19" s="1" t="s">
        <v>14281</v>
      </c>
      <c r="HO19" s="1" t="s">
        <v>14282</v>
      </c>
      <c r="HP19" s="1" t="s">
        <v>14283</v>
      </c>
      <c r="HQ19" s="1" t="s">
        <v>14284</v>
      </c>
      <c r="HR19" s="1" t="s">
        <v>14285</v>
      </c>
      <c r="HS19" s="1" t="s">
        <v>14286</v>
      </c>
      <c r="HT19" s="1" t="s">
        <v>14287</v>
      </c>
      <c r="HU19" s="1" t="s">
        <v>14288</v>
      </c>
      <c r="HV19" s="1" t="s">
        <v>14289</v>
      </c>
      <c r="HW19" s="1" t="s">
        <v>14290</v>
      </c>
      <c r="HX19" s="1" t="s">
        <v>14291</v>
      </c>
      <c r="HY19" s="1" t="s">
        <v>14292</v>
      </c>
      <c r="HZ19" s="1" t="s">
        <v>14293</v>
      </c>
      <c r="IA19" s="1" t="s">
        <v>14294</v>
      </c>
      <c r="IB19" s="1" t="s">
        <v>14295</v>
      </c>
      <c r="IC19" s="1" t="s">
        <v>14296</v>
      </c>
      <c r="ID19" s="1" t="s">
        <v>14297</v>
      </c>
      <c r="IE19" s="1" t="s">
        <v>14298</v>
      </c>
      <c r="IF19" s="1" t="s">
        <v>14299</v>
      </c>
      <c r="IG19" s="1" t="s">
        <v>14300</v>
      </c>
      <c r="IH19" s="1" t="s">
        <v>14301</v>
      </c>
      <c r="II19" s="1" t="s">
        <v>14302</v>
      </c>
      <c r="IJ19" s="1" t="s">
        <v>14303</v>
      </c>
      <c r="IK19" s="1" t="s">
        <v>14304</v>
      </c>
      <c r="IL19" s="1" t="s">
        <v>14305</v>
      </c>
      <c r="IM19" s="1" t="s">
        <v>14306</v>
      </c>
      <c r="IN19" s="1" t="s">
        <v>14307</v>
      </c>
      <c r="IO19" s="1" t="s">
        <v>14308</v>
      </c>
      <c r="IP19" s="1" t="s">
        <v>14309</v>
      </c>
      <c r="IQ19" s="1" t="s">
        <v>14310</v>
      </c>
      <c r="IR19" s="1" t="s">
        <v>14311</v>
      </c>
      <c r="IS19" s="1" t="s">
        <v>14312</v>
      </c>
      <c r="IT19" s="1" t="s">
        <v>14313</v>
      </c>
      <c r="IU19" s="1" t="s">
        <v>14314</v>
      </c>
      <c r="IV19" s="1" t="s">
        <v>14315</v>
      </c>
      <c r="IW19" s="1" t="s">
        <v>14316</v>
      </c>
      <c r="IX19" s="1" t="s">
        <v>14317</v>
      </c>
      <c r="IY19" s="1" t="s">
        <v>14318</v>
      </c>
      <c r="IZ19" s="1" t="s">
        <v>14319</v>
      </c>
      <c r="JA19" s="1" t="s">
        <v>14320</v>
      </c>
      <c r="JB19" s="1" t="s">
        <v>14321</v>
      </c>
      <c r="JC19" s="1" t="s">
        <v>14322</v>
      </c>
      <c r="JD19" s="1" t="s">
        <v>14323</v>
      </c>
      <c r="JE19" s="1" t="s">
        <v>14324</v>
      </c>
      <c r="JF19" s="1" t="s">
        <v>14325</v>
      </c>
      <c r="JG19" s="1" t="s">
        <v>14326</v>
      </c>
      <c r="JH19" s="1" t="s">
        <v>14327</v>
      </c>
      <c r="JI19" s="1" t="s">
        <v>14328</v>
      </c>
      <c r="JJ19" s="1" t="s">
        <v>14329</v>
      </c>
      <c r="JK19" s="1" t="s">
        <v>14330</v>
      </c>
      <c r="JL19" s="1" t="s">
        <v>14331</v>
      </c>
      <c r="JM19" s="1" t="s">
        <v>14332</v>
      </c>
      <c r="JN19" s="1" t="s">
        <v>14333</v>
      </c>
      <c r="JO19" s="1" t="s">
        <v>14334</v>
      </c>
      <c r="JP19" s="1" t="s">
        <v>14335</v>
      </c>
      <c r="JQ19" s="1" t="s">
        <v>14336</v>
      </c>
      <c r="JR19" s="1" t="s">
        <v>14337</v>
      </c>
      <c r="JS19" s="1" t="s">
        <v>14338</v>
      </c>
      <c r="JT19" s="1" t="s">
        <v>14339</v>
      </c>
      <c r="JU19" s="1" t="s">
        <v>14340</v>
      </c>
      <c r="JV19" s="1" t="s">
        <v>14341</v>
      </c>
      <c r="JW19" s="1" t="s">
        <v>14342</v>
      </c>
      <c r="JX19" s="1" t="s">
        <v>14343</v>
      </c>
      <c r="JY19" s="1" t="s">
        <v>14344</v>
      </c>
      <c r="JZ19" s="1" t="s">
        <v>14345</v>
      </c>
      <c r="KA19" s="1" t="s">
        <v>14346</v>
      </c>
      <c r="KB19" s="1" t="s">
        <v>14347</v>
      </c>
      <c r="KC19" s="1" t="s">
        <v>14348</v>
      </c>
      <c r="KD19" s="1" t="s">
        <v>14349</v>
      </c>
      <c r="KE19" s="1" t="s">
        <v>14350</v>
      </c>
      <c r="KF19" s="1" t="s">
        <v>14351</v>
      </c>
      <c r="KG19" s="1" t="s">
        <v>14352</v>
      </c>
      <c r="KH19" s="1" t="s">
        <v>14353</v>
      </c>
      <c r="KI19" s="1" t="s">
        <v>14354</v>
      </c>
      <c r="KJ19" s="1" t="s">
        <v>14355</v>
      </c>
      <c r="KK19" s="1" t="s">
        <v>14356</v>
      </c>
      <c r="KL19" s="1" t="s">
        <v>14357</v>
      </c>
      <c r="KM19" s="1" t="s">
        <v>14358</v>
      </c>
      <c r="KN19" s="1" t="s">
        <v>14359</v>
      </c>
      <c r="KO19" s="1" t="s">
        <v>14360</v>
      </c>
      <c r="KP19" s="1" t="s">
        <v>14361</v>
      </c>
      <c r="KQ19" s="1" t="s">
        <v>14362</v>
      </c>
      <c r="KR19" s="1" t="s">
        <v>14363</v>
      </c>
      <c r="KS19" s="1" t="s">
        <v>14364</v>
      </c>
      <c r="KT19" s="1" t="s">
        <v>14365</v>
      </c>
      <c r="KU19" s="1" t="s">
        <v>14366</v>
      </c>
      <c r="KV19" s="1" t="s">
        <v>14367</v>
      </c>
      <c r="KW19" s="1" t="s">
        <v>14368</v>
      </c>
      <c r="KX19" s="1" t="s">
        <v>14369</v>
      </c>
      <c r="KY19" s="1" t="s">
        <v>14370</v>
      </c>
      <c r="KZ19" s="1" t="s">
        <v>14371</v>
      </c>
      <c r="LA19" s="1" t="s">
        <v>14372</v>
      </c>
      <c r="LB19" s="1" t="s">
        <v>14373</v>
      </c>
      <c r="LC19" s="1" t="s">
        <v>14374</v>
      </c>
      <c r="LD19" s="1" t="s">
        <v>14375</v>
      </c>
      <c r="LE19" s="1" t="s">
        <v>14376</v>
      </c>
      <c r="LF19" s="1" t="s">
        <v>14377</v>
      </c>
      <c r="LG19" s="1" t="s">
        <v>14378</v>
      </c>
      <c r="LH19" s="1" t="s">
        <v>14379</v>
      </c>
      <c r="LI19" s="1" t="s">
        <v>14380</v>
      </c>
      <c r="LJ19" s="1" t="s">
        <v>14381</v>
      </c>
      <c r="LK19" s="1" t="s">
        <v>14382</v>
      </c>
      <c r="LL19" s="1" t="s">
        <v>14383</v>
      </c>
      <c r="LM19" s="1" t="s">
        <v>14384</v>
      </c>
      <c r="LN19" s="1" t="s">
        <v>14385</v>
      </c>
      <c r="LO19" s="1" t="s">
        <v>14386</v>
      </c>
      <c r="LP19" s="1" t="s">
        <v>14387</v>
      </c>
      <c r="LQ19" s="1" t="s">
        <v>14388</v>
      </c>
      <c r="LR19" s="1" t="s">
        <v>14389</v>
      </c>
      <c r="LS19" s="1" t="s">
        <v>14390</v>
      </c>
      <c r="LT19" s="1" t="s">
        <v>14391</v>
      </c>
      <c r="LU19" s="1" t="s">
        <v>14392</v>
      </c>
      <c r="LV19" s="1" t="s">
        <v>14393</v>
      </c>
      <c r="LW19" s="1" t="s">
        <v>14394</v>
      </c>
      <c r="LX19" s="1" t="s">
        <v>14395</v>
      </c>
      <c r="LY19" s="1" t="s">
        <v>14396</v>
      </c>
      <c r="LZ19" s="1" t="s">
        <v>14397</v>
      </c>
      <c r="MA19" s="1" t="s">
        <v>14398</v>
      </c>
      <c r="MB19" s="1" t="s">
        <v>14399</v>
      </c>
      <c r="MC19" s="1" t="s">
        <v>14400</v>
      </c>
      <c r="MD19" s="1" t="s">
        <v>14401</v>
      </c>
      <c r="ME19" s="1" t="s">
        <v>14402</v>
      </c>
      <c r="MF19" s="1" t="s">
        <v>14403</v>
      </c>
      <c r="MG19" s="1" t="s">
        <v>14404</v>
      </c>
      <c r="MH19" s="1" t="s">
        <v>14405</v>
      </c>
      <c r="MI19" s="1" t="s">
        <v>14406</v>
      </c>
      <c r="MJ19" s="1" t="s">
        <v>14407</v>
      </c>
      <c r="MK19" s="1" t="s">
        <v>14408</v>
      </c>
      <c r="ML19" s="1" t="s">
        <v>14409</v>
      </c>
      <c r="MM19" s="1" t="s">
        <v>14410</v>
      </c>
      <c r="MN19" s="1" t="s">
        <v>14411</v>
      </c>
      <c r="MO19" s="1" t="s">
        <v>14412</v>
      </c>
      <c r="MP19" s="1" t="s">
        <v>14413</v>
      </c>
      <c r="MQ19" s="1" t="s">
        <v>14414</v>
      </c>
      <c r="MR19" s="1" t="s">
        <v>14415</v>
      </c>
      <c r="MS19" s="1" t="s">
        <v>14416</v>
      </c>
      <c r="MT19" s="1" t="s">
        <v>14417</v>
      </c>
      <c r="MU19" s="1" t="s">
        <v>14418</v>
      </c>
      <c r="MV19" s="1" t="s">
        <v>14419</v>
      </c>
      <c r="MW19" s="1" t="s">
        <v>14420</v>
      </c>
      <c r="MX19" s="1" t="s">
        <v>14421</v>
      </c>
      <c r="MY19" s="1" t="s">
        <v>14422</v>
      </c>
      <c r="MZ19" s="1" t="s">
        <v>14423</v>
      </c>
      <c r="NA19" s="1" t="s">
        <v>14424</v>
      </c>
      <c r="NB19" s="1" t="s">
        <v>14425</v>
      </c>
      <c r="NC19" s="1" t="s">
        <v>14426</v>
      </c>
      <c r="ND19" s="1" t="s">
        <v>14427</v>
      </c>
      <c r="NE19" s="1" t="s">
        <v>14428</v>
      </c>
      <c r="NF19" s="1" t="s">
        <v>14429</v>
      </c>
      <c r="NG19" s="1" t="s">
        <v>14430</v>
      </c>
      <c r="NH19" s="1" t="s">
        <v>14431</v>
      </c>
      <c r="NI19" s="1" t="s">
        <v>14432</v>
      </c>
      <c r="NJ19" s="1" t="s">
        <v>14433</v>
      </c>
      <c r="NK19" s="1" t="s">
        <v>14434</v>
      </c>
      <c r="NL19" s="1" t="s">
        <v>14435</v>
      </c>
      <c r="NM19" s="1" t="s">
        <v>14436</v>
      </c>
      <c r="NN19" s="1" t="s">
        <v>14437</v>
      </c>
      <c r="NO19" s="1" t="s">
        <v>14438</v>
      </c>
      <c r="NP19" s="1" t="s">
        <v>14439</v>
      </c>
      <c r="NQ19" s="1" t="s">
        <v>14440</v>
      </c>
      <c r="NR19" s="1" t="s">
        <v>14441</v>
      </c>
      <c r="NS19" s="1" t="s">
        <v>14442</v>
      </c>
      <c r="NT19" s="1" t="s">
        <v>14443</v>
      </c>
      <c r="NU19" s="1" t="s">
        <v>14444</v>
      </c>
      <c r="NV19" s="1" t="s">
        <v>14445</v>
      </c>
      <c r="NW19" s="1" t="s">
        <v>14446</v>
      </c>
      <c r="NX19" s="1" t="s">
        <v>14447</v>
      </c>
      <c r="NY19" s="1" t="s">
        <v>14448</v>
      </c>
      <c r="NZ19" s="1" t="s">
        <v>14449</v>
      </c>
      <c r="OA19" s="1" t="s">
        <v>14450</v>
      </c>
      <c r="OB19" s="1" t="s">
        <v>14451</v>
      </c>
      <c r="OC19" s="1" t="s">
        <v>14452</v>
      </c>
      <c r="OD19" s="1" t="s">
        <v>14453</v>
      </c>
      <c r="OE19" s="1" t="s">
        <v>14454</v>
      </c>
      <c r="OF19" s="1" t="s">
        <v>14455</v>
      </c>
      <c r="OG19" s="1" t="s">
        <v>14456</v>
      </c>
      <c r="OH19" s="1" t="s">
        <v>14457</v>
      </c>
      <c r="OI19" s="1" t="s">
        <v>14458</v>
      </c>
      <c r="OJ19" s="1" t="s">
        <v>14459</v>
      </c>
      <c r="OK19" s="1" t="s">
        <v>14460</v>
      </c>
      <c r="OL19" s="1" t="s">
        <v>14461</v>
      </c>
      <c r="OM19" s="1" t="s">
        <v>14462</v>
      </c>
      <c r="ON19" s="1" t="s">
        <v>14463</v>
      </c>
      <c r="OO19" s="1" t="s">
        <v>14464</v>
      </c>
      <c r="OP19" s="1" t="s">
        <v>14465</v>
      </c>
      <c r="OQ19" s="1" t="s">
        <v>14466</v>
      </c>
      <c r="OR19" s="1" t="s">
        <v>14467</v>
      </c>
      <c r="OS19" s="1" t="s">
        <v>14468</v>
      </c>
      <c r="OT19" s="1" t="s">
        <v>14469</v>
      </c>
      <c r="OU19" s="1" t="s">
        <v>14470</v>
      </c>
      <c r="OV19" s="1" t="s">
        <v>14471</v>
      </c>
      <c r="OW19" s="1" t="s">
        <v>14472</v>
      </c>
      <c r="OX19" s="1" t="s">
        <v>14473</v>
      </c>
      <c r="OY19" s="1" t="s">
        <v>14474</v>
      </c>
      <c r="OZ19" s="1" t="s">
        <v>14475</v>
      </c>
      <c r="PA19" s="1" t="s">
        <v>14476</v>
      </c>
      <c r="PB19" s="1" t="s">
        <v>14477</v>
      </c>
      <c r="PC19" s="1" t="s">
        <v>14478</v>
      </c>
      <c r="PD19" s="1" t="s">
        <v>14479</v>
      </c>
      <c r="PE19" s="1" t="s">
        <v>14480</v>
      </c>
      <c r="PF19" s="1" t="s">
        <v>14481</v>
      </c>
      <c r="PG19" s="1" t="s">
        <v>14482</v>
      </c>
      <c r="PH19" s="1" t="s">
        <v>14483</v>
      </c>
      <c r="PI19" s="1" t="s">
        <v>14484</v>
      </c>
      <c r="PJ19" s="1" t="s">
        <v>14485</v>
      </c>
      <c r="PK19" s="1" t="s">
        <v>14486</v>
      </c>
      <c r="PL19" s="1" t="s">
        <v>14487</v>
      </c>
      <c r="PM19" s="1" t="s">
        <v>14488</v>
      </c>
      <c r="PN19" s="1" t="s">
        <v>14489</v>
      </c>
      <c r="PO19" s="1" t="s">
        <v>14490</v>
      </c>
      <c r="PP19" s="1" t="s">
        <v>14491</v>
      </c>
      <c r="PQ19" s="1" t="s">
        <v>14492</v>
      </c>
      <c r="PR19" s="1" t="s">
        <v>14493</v>
      </c>
      <c r="PS19" s="1" t="s">
        <v>14494</v>
      </c>
      <c r="PT19" s="1" t="s">
        <v>14495</v>
      </c>
      <c r="PU19" s="1" t="s">
        <v>14496</v>
      </c>
      <c r="PV19" s="1" t="s">
        <v>14497</v>
      </c>
      <c r="PW19" s="1" t="s">
        <v>14498</v>
      </c>
      <c r="PX19" s="1" t="s">
        <v>14499</v>
      </c>
      <c r="PY19" s="1" t="s">
        <v>14500</v>
      </c>
      <c r="PZ19" s="1" t="s">
        <v>14501</v>
      </c>
      <c r="QA19" s="1" t="s">
        <v>14502</v>
      </c>
      <c r="QB19" s="1" t="s">
        <v>14503</v>
      </c>
      <c r="QC19" s="1" t="s">
        <v>14504</v>
      </c>
      <c r="QD19" s="1" t="s">
        <v>14505</v>
      </c>
      <c r="QE19" s="1" t="s">
        <v>14506</v>
      </c>
      <c r="QF19" s="1" t="s">
        <v>14507</v>
      </c>
      <c r="QG19" s="1" t="s">
        <v>14508</v>
      </c>
      <c r="QH19" s="1" t="s">
        <v>14509</v>
      </c>
      <c r="QI19" s="1" t="s">
        <v>14510</v>
      </c>
      <c r="QJ19" s="1" t="s">
        <v>14511</v>
      </c>
      <c r="QK19" s="1" t="s">
        <v>14512</v>
      </c>
      <c r="QL19" s="1" t="s">
        <v>14513</v>
      </c>
      <c r="QM19" s="1" t="s">
        <v>14514</v>
      </c>
      <c r="QN19" s="1" t="s">
        <v>14515</v>
      </c>
      <c r="QO19" s="1" t="s">
        <v>14516</v>
      </c>
      <c r="QP19" s="1" t="s">
        <v>14517</v>
      </c>
      <c r="QQ19" s="1" t="s">
        <v>14518</v>
      </c>
      <c r="QR19" s="1" t="s">
        <v>14519</v>
      </c>
      <c r="QS19" s="1" t="s">
        <v>14520</v>
      </c>
      <c r="QT19" s="1" t="s">
        <v>14521</v>
      </c>
      <c r="QU19" s="1" t="s">
        <v>14522</v>
      </c>
      <c r="QV19" s="1" t="s">
        <v>14523</v>
      </c>
      <c r="QW19" s="1" t="s">
        <v>14524</v>
      </c>
      <c r="QX19" s="1" t="s">
        <v>14525</v>
      </c>
      <c r="QY19" s="1" t="s">
        <v>14526</v>
      </c>
      <c r="QZ19" s="1" t="s">
        <v>14527</v>
      </c>
      <c r="RA19" s="1" t="s">
        <v>14528</v>
      </c>
      <c r="RB19" s="1" t="s">
        <v>14529</v>
      </c>
      <c r="RC19" s="1" t="s">
        <v>14530</v>
      </c>
      <c r="RD19" s="1" t="s">
        <v>14531</v>
      </c>
      <c r="RE19" s="1" t="s">
        <v>14532</v>
      </c>
      <c r="RF19" s="1" t="s">
        <v>14533</v>
      </c>
      <c r="RG19" s="1" t="s">
        <v>14534</v>
      </c>
      <c r="RH19" s="1" t="s">
        <v>14535</v>
      </c>
      <c r="RI19" s="1" t="s">
        <v>14536</v>
      </c>
      <c r="RJ19" s="1" t="s">
        <v>14537</v>
      </c>
      <c r="RK19" s="1" t="s">
        <v>14538</v>
      </c>
      <c r="RL19" s="1" t="s">
        <v>14539</v>
      </c>
      <c r="RM19" s="1" t="s">
        <v>14540</v>
      </c>
      <c r="RN19" s="1" t="s">
        <v>14541</v>
      </c>
      <c r="RO19" s="1" t="s">
        <v>14542</v>
      </c>
      <c r="RP19" s="1" t="s">
        <v>14543</v>
      </c>
      <c r="RQ19" s="1" t="s">
        <v>14544</v>
      </c>
      <c r="RR19" s="1" t="s">
        <v>14545</v>
      </c>
      <c r="RS19" s="1" t="s">
        <v>14546</v>
      </c>
      <c r="RT19" s="1" t="s">
        <v>14547</v>
      </c>
      <c r="RU19" s="1" t="s">
        <v>14548</v>
      </c>
      <c r="RV19" s="1" t="s">
        <v>14549</v>
      </c>
      <c r="RW19" s="1" t="s">
        <v>14550</v>
      </c>
      <c r="RX19" s="1" t="s">
        <v>14551</v>
      </c>
      <c r="RY19" s="1" t="s">
        <v>14552</v>
      </c>
      <c r="RZ19" s="1" t="s">
        <v>14553</v>
      </c>
      <c r="SA19" s="1" t="s">
        <v>14554</v>
      </c>
      <c r="SB19" s="1" t="s">
        <v>14555</v>
      </c>
      <c r="SC19" s="1" t="s">
        <v>14556</v>
      </c>
      <c r="SD19" s="1" t="s">
        <v>14557</v>
      </c>
      <c r="SE19" s="1" t="s">
        <v>14558</v>
      </c>
      <c r="SF19" s="1" t="s">
        <v>14559</v>
      </c>
      <c r="SG19" s="1" t="s">
        <v>14560</v>
      </c>
      <c r="SH19" s="1" t="s">
        <v>14561</v>
      </c>
      <c r="SI19" s="1" t="s">
        <v>14562</v>
      </c>
      <c r="SJ19" s="1" t="s">
        <v>14563</v>
      </c>
      <c r="SK19" s="1" t="s">
        <v>14564</v>
      </c>
      <c r="SL19" s="1" t="s">
        <v>14565</v>
      </c>
      <c r="SM19" s="1" t="s">
        <v>14566</v>
      </c>
      <c r="SN19" s="1" t="s">
        <v>14567</v>
      </c>
      <c r="SO19" s="1" t="s">
        <v>14568</v>
      </c>
      <c r="SP19" s="1" t="s">
        <v>14569</v>
      </c>
      <c r="SQ19" s="1" t="s">
        <v>14570</v>
      </c>
      <c r="SR19" s="1" t="s">
        <v>14571</v>
      </c>
      <c r="SS19" s="1" t="s">
        <v>14572</v>
      </c>
      <c r="ST19" s="1" t="s">
        <v>14573</v>
      </c>
      <c r="SU19" s="1" t="s">
        <v>14574</v>
      </c>
      <c r="SV19" s="1" t="s">
        <v>14575</v>
      </c>
      <c r="SW19" s="1" t="s">
        <v>14576</v>
      </c>
      <c r="SX19" s="1" t="s">
        <v>14577</v>
      </c>
      <c r="SY19" s="1" t="s">
        <v>14578</v>
      </c>
      <c r="SZ19" s="1" t="s">
        <v>14579</v>
      </c>
      <c r="TA19" s="1" t="s">
        <v>14580</v>
      </c>
      <c r="TB19" s="1" t="s">
        <v>14581</v>
      </c>
      <c r="TC19" s="1" t="s">
        <v>14582</v>
      </c>
      <c r="TD19" s="1" t="s">
        <v>14583</v>
      </c>
      <c r="TE19" s="1" t="s">
        <v>14584</v>
      </c>
      <c r="TF19" s="1" t="s">
        <v>14585</v>
      </c>
      <c r="TG19" s="1" t="s">
        <v>14586</v>
      </c>
      <c r="TH19" s="1" t="s">
        <v>14587</v>
      </c>
      <c r="TI19" s="1" t="s">
        <v>14588</v>
      </c>
      <c r="TJ19" s="1" t="s">
        <v>14589</v>
      </c>
      <c r="TK19" s="1" t="s">
        <v>14590</v>
      </c>
      <c r="TL19" s="1" t="s">
        <v>14591</v>
      </c>
      <c r="TM19" s="1" t="s">
        <v>14592</v>
      </c>
      <c r="TN19" s="1" t="s">
        <v>14593</v>
      </c>
      <c r="TO19" s="1" t="s">
        <v>14594</v>
      </c>
      <c r="TP19" s="1" t="s">
        <v>14595</v>
      </c>
      <c r="TQ19" s="1" t="s">
        <v>14596</v>
      </c>
      <c r="TR19" s="1" t="s">
        <v>14597</v>
      </c>
      <c r="TS19" s="1" t="s">
        <v>14598</v>
      </c>
      <c r="TT19" s="1" t="s">
        <v>14599</v>
      </c>
      <c r="TU19" s="1" t="s">
        <v>14600</v>
      </c>
      <c r="TV19" s="1" t="s">
        <v>14601</v>
      </c>
      <c r="TW19" s="1" t="s">
        <v>14602</v>
      </c>
      <c r="TX19" s="1" t="s">
        <v>14603</v>
      </c>
      <c r="TY19" s="1" t="s">
        <v>14604</v>
      </c>
      <c r="TZ19" s="1" t="s">
        <v>14605</v>
      </c>
      <c r="UA19" s="1" t="s">
        <v>14606</v>
      </c>
      <c r="UB19" s="1" t="s">
        <v>14607</v>
      </c>
      <c r="UC19" s="1" t="s">
        <v>14608</v>
      </c>
      <c r="UD19" s="1" t="s">
        <v>14609</v>
      </c>
      <c r="UE19" s="1" t="s">
        <v>14610</v>
      </c>
      <c r="UF19" s="1" t="s">
        <v>14611</v>
      </c>
      <c r="UG19" s="1" t="s">
        <v>14612</v>
      </c>
      <c r="UH19" s="1" t="s">
        <v>14613</v>
      </c>
      <c r="UI19" s="1" t="s">
        <v>14614</v>
      </c>
      <c r="UJ19" s="1" t="s">
        <v>14615</v>
      </c>
      <c r="UK19" s="1" t="s">
        <v>14616</v>
      </c>
      <c r="UL19" s="1" t="s">
        <v>14617</v>
      </c>
      <c r="UM19" s="1" t="s">
        <v>14618</v>
      </c>
      <c r="UN19" s="1" t="s">
        <v>14619</v>
      </c>
      <c r="UO19" s="1" t="s">
        <v>14620</v>
      </c>
      <c r="UP19" s="1" t="s">
        <v>14621</v>
      </c>
      <c r="UQ19" s="1" t="s">
        <v>14622</v>
      </c>
      <c r="UR19" s="1" t="s">
        <v>14623</v>
      </c>
      <c r="US19" s="1" t="s">
        <v>14624</v>
      </c>
      <c r="UT19" s="1" t="s">
        <v>14625</v>
      </c>
      <c r="UU19" s="1" t="s">
        <v>14626</v>
      </c>
      <c r="UV19" s="1" t="s">
        <v>14627</v>
      </c>
      <c r="UW19" s="1" t="s">
        <v>14628</v>
      </c>
      <c r="UX19" s="1" t="s">
        <v>14629</v>
      </c>
      <c r="UY19" s="1" t="s">
        <v>14630</v>
      </c>
      <c r="UZ19" s="1" t="s">
        <v>14631</v>
      </c>
      <c r="VA19" s="1" t="s">
        <v>14632</v>
      </c>
      <c r="VB19" s="1" t="s">
        <v>14633</v>
      </c>
      <c r="VC19" s="1" t="s">
        <v>14634</v>
      </c>
      <c r="VD19" s="1" t="s">
        <v>14635</v>
      </c>
      <c r="VE19" s="1" t="s">
        <v>14636</v>
      </c>
      <c r="VF19" s="1" t="s">
        <v>14637</v>
      </c>
      <c r="VG19" s="1" t="s">
        <v>14638</v>
      </c>
      <c r="VH19" s="1" t="s">
        <v>14639</v>
      </c>
      <c r="VI19" s="1" t="s">
        <v>14640</v>
      </c>
      <c r="VJ19" s="1" t="s">
        <v>14641</v>
      </c>
      <c r="VK19" s="1" t="s">
        <v>14642</v>
      </c>
      <c r="VL19" s="1" t="s">
        <v>14643</v>
      </c>
      <c r="VM19" s="1" t="s">
        <v>14644</v>
      </c>
      <c r="VN19" s="1" t="s">
        <v>14645</v>
      </c>
      <c r="VO19" s="1" t="s">
        <v>14646</v>
      </c>
      <c r="VP19" s="1" t="s">
        <v>14647</v>
      </c>
      <c r="VQ19" s="1" t="s">
        <v>14648</v>
      </c>
      <c r="VR19" s="1" t="s">
        <v>14649</v>
      </c>
      <c r="VS19" s="1" t="s">
        <v>14650</v>
      </c>
      <c r="VT19" s="1" t="s">
        <v>14651</v>
      </c>
      <c r="VU19" s="1" t="s">
        <v>14652</v>
      </c>
      <c r="VV19" s="1" t="s">
        <v>14653</v>
      </c>
      <c r="VW19" s="1" t="s">
        <v>14654</v>
      </c>
      <c r="VX19" s="1" t="s">
        <v>14655</v>
      </c>
      <c r="VY19" s="1" t="s">
        <v>14656</v>
      </c>
      <c r="VZ19" s="1" t="s">
        <v>14657</v>
      </c>
      <c r="WA19" s="1" t="s">
        <v>14658</v>
      </c>
      <c r="WB19" s="1" t="s">
        <v>14659</v>
      </c>
      <c r="WC19" s="1" t="s">
        <v>14660</v>
      </c>
      <c r="WD19" s="1" t="s">
        <v>14661</v>
      </c>
      <c r="WE19" s="1" t="s">
        <v>14662</v>
      </c>
      <c r="WF19" s="1" t="s">
        <v>14663</v>
      </c>
      <c r="WG19" s="1" t="s">
        <v>14664</v>
      </c>
      <c r="WH19" s="1" t="s">
        <v>14665</v>
      </c>
      <c r="WI19" s="1" t="s">
        <v>14666</v>
      </c>
      <c r="WJ19" s="1" t="s">
        <v>14667</v>
      </c>
      <c r="WK19" s="1" t="s">
        <v>14668</v>
      </c>
      <c r="WL19" s="1" t="s">
        <v>14669</v>
      </c>
      <c r="WM19" s="1" t="s">
        <v>14670</v>
      </c>
      <c r="WN19" s="1" t="s">
        <v>14671</v>
      </c>
      <c r="WO19" s="1" t="s">
        <v>14672</v>
      </c>
      <c r="WP19" s="1" t="s">
        <v>14673</v>
      </c>
      <c r="WQ19" s="1" t="s">
        <v>14674</v>
      </c>
      <c r="WR19" s="1" t="s">
        <v>14675</v>
      </c>
      <c r="WS19" s="1" t="s">
        <v>14676</v>
      </c>
      <c r="WT19" s="1" t="s">
        <v>14677</v>
      </c>
      <c r="WU19" s="1" t="s">
        <v>14678</v>
      </c>
      <c r="WV19" s="1" t="s">
        <v>14679</v>
      </c>
      <c r="WW19" s="1" t="s">
        <v>14680</v>
      </c>
      <c r="WX19" s="1" t="s">
        <v>14681</v>
      </c>
      <c r="WY19" s="1" t="s">
        <v>14682</v>
      </c>
      <c r="WZ19" s="1" t="s">
        <v>14683</v>
      </c>
      <c r="XA19" s="1" t="s">
        <v>14684</v>
      </c>
      <c r="XB19" s="1" t="s">
        <v>14685</v>
      </c>
      <c r="XC19" s="1" t="s">
        <v>14686</v>
      </c>
      <c r="XD19" s="1" t="s">
        <v>14687</v>
      </c>
      <c r="XE19" s="1" t="s">
        <v>14688</v>
      </c>
      <c r="XF19" s="1" t="s">
        <v>14689</v>
      </c>
      <c r="XG19" s="1" t="s">
        <v>14690</v>
      </c>
      <c r="XH19" s="1" t="s">
        <v>14691</v>
      </c>
      <c r="XI19" s="1" t="s">
        <v>14692</v>
      </c>
      <c r="XJ19" s="1" t="s">
        <v>14693</v>
      </c>
      <c r="XK19" s="1" t="s">
        <v>14694</v>
      </c>
      <c r="XL19" s="1" t="s">
        <v>14695</v>
      </c>
      <c r="XM19" s="1" t="s">
        <v>14696</v>
      </c>
      <c r="XN19" s="1" t="s">
        <v>14697</v>
      </c>
      <c r="XO19" s="1" t="s">
        <v>14698</v>
      </c>
      <c r="XP19" s="1" t="s">
        <v>14699</v>
      </c>
      <c r="XQ19" s="1" t="s">
        <v>14700</v>
      </c>
      <c r="XR19" s="1" t="s">
        <v>14701</v>
      </c>
      <c r="XS19" s="1" t="s">
        <v>14702</v>
      </c>
      <c r="XT19" s="1" t="s">
        <v>14703</v>
      </c>
      <c r="XU19" s="1" t="s">
        <v>14704</v>
      </c>
      <c r="XV19" s="1" t="s">
        <v>14705</v>
      </c>
      <c r="XW19" s="1" t="s">
        <v>14706</v>
      </c>
      <c r="XX19" s="1" t="s">
        <v>14707</v>
      </c>
      <c r="XY19" s="1" t="s">
        <v>14708</v>
      </c>
      <c r="XZ19" s="1" t="s">
        <v>14709</v>
      </c>
      <c r="YA19" s="1" t="s">
        <v>14710</v>
      </c>
      <c r="YB19" s="1" t="s">
        <v>14711</v>
      </c>
      <c r="YC19" s="1" t="s">
        <v>14712</v>
      </c>
      <c r="YD19" s="1" t="s">
        <v>14713</v>
      </c>
      <c r="YE19" s="1" t="s">
        <v>14714</v>
      </c>
      <c r="YF19" s="1" t="s">
        <v>14715</v>
      </c>
      <c r="YG19" s="1" t="s">
        <v>14716</v>
      </c>
      <c r="YH19" s="1" t="s">
        <v>14717</v>
      </c>
      <c r="YI19" s="1" t="s">
        <v>14718</v>
      </c>
      <c r="YJ19" s="1" t="s">
        <v>14719</v>
      </c>
      <c r="YK19" s="1" t="s">
        <v>14720</v>
      </c>
      <c r="YL19" s="1" t="s">
        <v>14721</v>
      </c>
      <c r="YM19" s="1" t="s">
        <v>14722</v>
      </c>
      <c r="YN19" s="1" t="s">
        <v>14723</v>
      </c>
      <c r="YO19" s="1" t="s">
        <v>14724</v>
      </c>
      <c r="YP19" s="1" t="s">
        <v>14725</v>
      </c>
      <c r="YQ19" s="1" t="s">
        <v>14726</v>
      </c>
      <c r="YR19" s="1" t="s">
        <v>14727</v>
      </c>
      <c r="YS19" s="1" t="s">
        <v>14728</v>
      </c>
      <c r="YT19" s="1" t="s">
        <v>14729</v>
      </c>
      <c r="YU19" s="1" t="s">
        <v>14730</v>
      </c>
      <c r="YV19" s="1" t="s">
        <v>14731</v>
      </c>
      <c r="YW19" s="1" t="s">
        <v>14732</v>
      </c>
      <c r="YX19" s="1" t="s">
        <v>14733</v>
      </c>
      <c r="YY19" s="1" t="s">
        <v>14734</v>
      </c>
      <c r="YZ19" s="1" t="s">
        <v>14735</v>
      </c>
      <c r="ZA19" s="1" t="s">
        <v>14736</v>
      </c>
      <c r="ZB19" s="1" t="s">
        <v>14737</v>
      </c>
      <c r="ZC19" s="1" t="s">
        <v>14738</v>
      </c>
      <c r="ZD19" s="1" t="s">
        <v>14739</v>
      </c>
      <c r="ZE19" s="1" t="s">
        <v>14740</v>
      </c>
      <c r="ZF19" s="1" t="s">
        <v>14741</v>
      </c>
      <c r="ZG19" s="1" t="s">
        <v>14742</v>
      </c>
      <c r="ZH19" s="1" t="s">
        <v>14743</v>
      </c>
      <c r="ZI19" s="1" t="s">
        <v>14744</v>
      </c>
      <c r="ZJ19" s="1" t="s">
        <v>14745</v>
      </c>
      <c r="ZK19" s="1" t="s">
        <v>14746</v>
      </c>
      <c r="ZL19" s="1" t="s">
        <v>14747</v>
      </c>
      <c r="ZM19" s="1" t="s">
        <v>14748</v>
      </c>
      <c r="ZN19" s="1" t="s">
        <v>14749</v>
      </c>
      <c r="ZO19" s="1" t="s">
        <v>14750</v>
      </c>
      <c r="ZP19" s="1" t="s">
        <v>14751</v>
      </c>
      <c r="ZQ19" s="1" t="s">
        <v>14752</v>
      </c>
      <c r="ZR19" s="1" t="s">
        <v>14753</v>
      </c>
      <c r="ZS19" s="1" t="s">
        <v>14754</v>
      </c>
      <c r="ZT19" s="1" t="s">
        <v>14755</v>
      </c>
      <c r="ZU19" s="1" t="s">
        <v>14756</v>
      </c>
      <c r="ZV19" s="1" t="s">
        <v>14757</v>
      </c>
      <c r="ZW19" s="1" t="s">
        <v>14758</v>
      </c>
      <c r="ZX19" s="1" t="s">
        <v>14759</v>
      </c>
      <c r="ZY19" s="1" t="s">
        <v>14760</v>
      </c>
      <c r="ZZ19" s="1" t="s">
        <v>14761</v>
      </c>
      <c r="AAA19" s="1" t="s">
        <v>14762</v>
      </c>
      <c r="AAB19" s="1" t="s">
        <v>14763</v>
      </c>
      <c r="AAC19" s="1" t="s">
        <v>14764</v>
      </c>
      <c r="AAD19" s="1" t="s">
        <v>14765</v>
      </c>
      <c r="AAE19" s="1" t="s">
        <v>14766</v>
      </c>
      <c r="AAF19" s="1" t="s">
        <v>14767</v>
      </c>
      <c r="AAG19" s="1" t="s">
        <v>14768</v>
      </c>
      <c r="AAH19" s="1" t="s">
        <v>14769</v>
      </c>
      <c r="AAI19" s="1" t="s">
        <v>14770</v>
      </c>
      <c r="AAJ19" s="1" t="s">
        <v>14771</v>
      </c>
      <c r="AAK19" s="1" t="s">
        <v>14772</v>
      </c>
      <c r="AAL19" s="1" t="s">
        <v>14773</v>
      </c>
      <c r="AAM19" s="1" t="s">
        <v>14774</v>
      </c>
      <c r="AAN19" s="1" t="s">
        <v>14775</v>
      </c>
      <c r="AAO19" s="1" t="s">
        <v>14776</v>
      </c>
      <c r="AAP19" s="1" t="s">
        <v>14777</v>
      </c>
      <c r="AAQ19" s="1" t="s">
        <v>14778</v>
      </c>
      <c r="AAR19" s="1" t="s">
        <v>14779</v>
      </c>
      <c r="AAS19" s="1" t="s">
        <v>14780</v>
      </c>
      <c r="AAT19" s="1" t="s">
        <v>14781</v>
      </c>
      <c r="AAU19" s="1" t="s">
        <v>14782</v>
      </c>
      <c r="AAV19" s="1" t="s">
        <v>14783</v>
      </c>
      <c r="AAW19" s="1" t="s">
        <v>14784</v>
      </c>
      <c r="AAX19" s="1" t="s">
        <v>14785</v>
      </c>
      <c r="AAY19" s="1" t="s">
        <v>14786</v>
      </c>
      <c r="AAZ19" s="1" t="s">
        <v>14787</v>
      </c>
      <c r="ABA19" s="1" t="s">
        <v>14788</v>
      </c>
      <c r="ABB19" s="1" t="s">
        <v>14789</v>
      </c>
      <c r="ABC19" s="1" t="s">
        <v>14790</v>
      </c>
      <c r="ABD19" s="1" t="s">
        <v>14791</v>
      </c>
      <c r="ABE19" s="1" t="s">
        <v>14792</v>
      </c>
      <c r="ABF19" s="1" t="s">
        <v>14793</v>
      </c>
      <c r="ABG19" s="1" t="s">
        <v>14794</v>
      </c>
      <c r="ABH19" s="1" t="s">
        <v>14795</v>
      </c>
      <c r="ABI19" s="1" t="s">
        <v>14796</v>
      </c>
      <c r="ABJ19" s="1" t="s">
        <v>14797</v>
      </c>
      <c r="ABK19" s="1" t="s">
        <v>14798</v>
      </c>
      <c r="ABL19" s="1" t="s">
        <v>14799</v>
      </c>
      <c r="ABM19" s="1" t="s">
        <v>14800</v>
      </c>
      <c r="ABN19" s="1" t="s">
        <v>14801</v>
      </c>
      <c r="ABO19" s="1" t="s">
        <v>14802</v>
      </c>
      <c r="ABP19" s="1" t="s">
        <v>14803</v>
      </c>
      <c r="ABQ19" s="1" t="s">
        <v>14804</v>
      </c>
      <c r="ABR19" s="1" t="s">
        <v>14805</v>
      </c>
      <c r="ABS19" s="1" t="s">
        <v>14806</v>
      </c>
      <c r="ABT19" s="1" t="s">
        <v>14807</v>
      </c>
      <c r="ABU19" s="1" t="s">
        <v>14808</v>
      </c>
      <c r="ABV19" s="1" t="s">
        <v>14809</v>
      </c>
      <c r="ABW19" s="1" t="s">
        <v>14810</v>
      </c>
      <c r="ABX19" s="1" t="s">
        <v>14811</v>
      </c>
      <c r="ABY19" s="1" t="s">
        <v>14812</v>
      </c>
      <c r="ABZ19" s="1" t="s">
        <v>14813</v>
      </c>
      <c r="ACA19" s="1" t="s">
        <v>14814</v>
      </c>
      <c r="ACB19" s="1" t="s">
        <v>14815</v>
      </c>
      <c r="ACC19" s="1" t="s">
        <v>14816</v>
      </c>
      <c r="ACD19" s="1" t="s">
        <v>14817</v>
      </c>
      <c r="ACE19" s="1" t="s">
        <v>14818</v>
      </c>
      <c r="ACF19" s="1" t="s">
        <v>14819</v>
      </c>
      <c r="ACG19" s="1" t="s">
        <v>14820</v>
      </c>
      <c r="ACH19" s="1" t="s">
        <v>14821</v>
      </c>
      <c r="ACI19" s="1" t="s">
        <v>14822</v>
      </c>
      <c r="ACJ19" s="1" t="s">
        <v>14823</v>
      </c>
      <c r="ACK19" s="1" t="s">
        <v>14824</v>
      </c>
      <c r="ACL19" s="1" t="s">
        <v>14825</v>
      </c>
      <c r="ACM19" s="1" t="s">
        <v>14826</v>
      </c>
      <c r="ACN19" s="1" t="s">
        <v>14827</v>
      </c>
      <c r="ACO19" s="1" t="s">
        <v>14828</v>
      </c>
      <c r="ACP19" s="1" t="s">
        <v>14829</v>
      </c>
      <c r="ACQ19" s="1" t="s">
        <v>14830</v>
      </c>
      <c r="ACR19" s="1" t="s">
        <v>14831</v>
      </c>
      <c r="ACS19" s="1" t="s">
        <v>14832</v>
      </c>
      <c r="ACT19" s="1" t="s">
        <v>14833</v>
      </c>
      <c r="ACU19" s="1" t="s">
        <v>14834</v>
      </c>
      <c r="ACV19" s="1" t="s">
        <v>14835</v>
      </c>
      <c r="ACW19" s="1" t="s">
        <v>12</v>
      </c>
      <c r="ACX19" s="1" t="s">
        <v>1500</v>
      </c>
    </row>
    <row r="20" spans="1:778" x14ac:dyDescent="0.2">
      <c r="A20" s="1" t="s">
        <v>66</v>
      </c>
      <c r="B20" s="1" t="s">
        <v>14836</v>
      </c>
      <c r="C20" s="1" t="s">
        <v>14837</v>
      </c>
      <c r="D20" s="1" t="s">
        <v>14838</v>
      </c>
      <c r="E20" s="1" t="s">
        <v>14839</v>
      </c>
      <c r="F20" s="1" t="s">
        <v>14840</v>
      </c>
      <c r="G20" s="1" t="s">
        <v>14841</v>
      </c>
      <c r="H20" s="1" t="s">
        <v>14842</v>
      </c>
      <c r="I20" s="1" t="s">
        <v>14843</v>
      </c>
      <c r="J20" s="1" t="s">
        <v>14844</v>
      </c>
      <c r="K20" s="1" t="s">
        <v>14845</v>
      </c>
      <c r="L20" s="1" t="s">
        <v>14846</v>
      </c>
      <c r="M20" s="1" t="s">
        <v>14847</v>
      </c>
      <c r="N20" s="1" t="s">
        <v>14848</v>
      </c>
      <c r="O20" s="1" t="s">
        <v>14849</v>
      </c>
      <c r="P20" s="1" t="s">
        <v>14850</v>
      </c>
      <c r="Q20" s="1" t="s">
        <v>14851</v>
      </c>
      <c r="R20" s="1" t="s">
        <v>14852</v>
      </c>
      <c r="S20" s="1" t="s">
        <v>14853</v>
      </c>
      <c r="T20" s="1" t="s">
        <v>14854</v>
      </c>
      <c r="U20" s="1" t="s">
        <v>14855</v>
      </c>
      <c r="V20" s="1" t="s">
        <v>14856</v>
      </c>
      <c r="W20" s="1" t="s">
        <v>14857</v>
      </c>
      <c r="X20" s="1" t="s">
        <v>14858</v>
      </c>
      <c r="Y20" s="1" t="s">
        <v>14859</v>
      </c>
      <c r="Z20" s="1" t="s">
        <v>14860</v>
      </c>
      <c r="AA20" s="1" t="s">
        <v>14861</v>
      </c>
      <c r="AB20" s="1" t="s">
        <v>14862</v>
      </c>
      <c r="AC20" s="1" t="s">
        <v>14863</v>
      </c>
      <c r="AD20" s="1" t="s">
        <v>14864</v>
      </c>
      <c r="AE20" s="1" t="s">
        <v>14865</v>
      </c>
      <c r="AF20" s="1" t="s">
        <v>14866</v>
      </c>
      <c r="AG20" s="1" t="s">
        <v>14867</v>
      </c>
      <c r="AH20" s="1" t="s">
        <v>14868</v>
      </c>
      <c r="AI20" s="1" t="s">
        <v>14869</v>
      </c>
      <c r="AJ20" s="1" t="s">
        <v>14870</v>
      </c>
      <c r="AK20" s="1" t="s">
        <v>14871</v>
      </c>
      <c r="AL20" s="1" t="s">
        <v>14872</v>
      </c>
      <c r="AM20" s="1" t="s">
        <v>14873</v>
      </c>
      <c r="AN20" s="1" t="s">
        <v>14874</v>
      </c>
      <c r="AO20" s="1" t="s">
        <v>14875</v>
      </c>
      <c r="AP20" s="1" t="s">
        <v>14876</v>
      </c>
      <c r="AQ20" s="1" t="s">
        <v>14877</v>
      </c>
      <c r="AR20" s="1" t="s">
        <v>14878</v>
      </c>
      <c r="AS20" s="1" t="s">
        <v>14879</v>
      </c>
      <c r="AT20" s="1" t="s">
        <v>14880</v>
      </c>
      <c r="AU20" s="1" t="s">
        <v>14881</v>
      </c>
      <c r="AV20" s="1" t="s">
        <v>14882</v>
      </c>
      <c r="AW20" s="1" t="s">
        <v>14883</v>
      </c>
      <c r="AX20" s="1" t="s">
        <v>14884</v>
      </c>
      <c r="AY20" s="1" t="s">
        <v>14885</v>
      </c>
      <c r="AZ20" s="1" t="s">
        <v>14886</v>
      </c>
      <c r="BA20" s="1" t="s">
        <v>14887</v>
      </c>
      <c r="BB20" s="1" t="s">
        <v>14888</v>
      </c>
      <c r="BC20" s="1" t="s">
        <v>14889</v>
      </c>
      <c r="BD20" s="1" t="s">
        <v>14890</v>
      </c>
      <c r="BE20" s="1" t="s">
        <v>14891</v>
      </c>
      <c r="BF20" s="1" t="s">
        <v>14892</v>
      </c>
      <c r="BG20" s="1" t="s">
        <v>14893</v>
      </c>
      <c r="BH20" s="1" t="s">
        <v>14894</v>
      </c>
      <c r="BI20" s="1" t="s">
        <v>14895</v>
      </c>
      <c r="BJ20" s="1" t="s">
        <v>14896</v>
      </c>
      <c r="BK20" s="1" t="s">
        <v>14897</v>
      </c>
      <c r="BL20" s="1" t="s">
        <v>14898</v>
      </c>
      <c r="BM20" s="1" t="s">
        <v>14899</v>
      </c>
      <c r="BN20" s="1" t="s">
        <v>14900</v>
      </c>
      <c r="BO20" s="1" t="s">
        <v>14901</v>
      </c>
      <c r="BP20" s="1" t="s">
        <v>14902</v>
      </c>
      <c r="BQ20" s="1" t="s">
        <v>14903</v>
      </c>
      <c r="BR20" s="1" t="s">
        <v>14904</v>
      </c>
      <c r="BS20" s="1" t="s">
        <v>14905</v>
      </c>
      <c r="BT20" s="1" t="s">
        <v>14906</v>
      </c>
      <c r="BU20" s="1" t="s">
        <v>14907</v>
      </c>
      <c r="BV20" s="1" t="s">
        <v>14908</v>
      </c>
      <c r="BW20" s="1" t="s">
        <v>14909</v>
      </c>
      <c r="BX20" s="1" t="s">
        <v>14910</v>
      </c>
      <c r="BY20" s="1" t="s">
        <v>14911</v>
      </c>
      <c r="BZ20" s="1" t="s">
        <v>14912</v>
      </c>
      <c r="CA20" s="1" t="s">
        <v>14913</v>
      </c>
      <c r="CB20" s="1" t="s">
        <v>14914</v>
      </c>
      <c r="CC20" s="1" t="s">
        <v>14915</v>
      </c>
      <c r="CD20" s="1" t="s">
        <v>14916</v>
      </c>
      <c r="CE20" s="1" t="s">
        <v>14917</v>
      </c>
      <c r="CF20" s="1" t="s">
        <v>14918</v>
      </c>
      <c r="CG20" s="1" t="s">
        <v>14919</v>
      </c>
      <c r="CH20" s="1" t="s">
        <v>14920</v>
      </c>
      <c r="CI20" s="1" t="s">
        <v>14921</v>
      </c>
      <c r="CJ20" s="1" t="s">
        <v>14922</v>
      </c>
      <c r="CK20" s="1" t="s">
        <v>14923</v>
      </c>
      <c r="CL20" s="1" t="s">
        <v>14924</v>
      </c>
      <c r="CM20" s="1" t="s">
        <v>14925</v>
      </c>
      <c r="CN20" s="1" t="s">
        <v>14926</v>
      </c>
      <c r="CO20" s="1" t="s">
        <v>14927</v>
      </c>
      <c r="CP20" s="1" t="s">
        <v>14928</v>
      </c>
      <c r="CQ20" s="1" t="s">
        <v>14929</v>
      </c>
      <c r="CR20" s="1" t="s">
        <v>14930</v>
      </c>
      <c r="CS20" s="1" t="s">
        <v>14931</v>
      </c>
      <c r="CT20" s="1" t="s">
        <v>14932</v>
      </c>
      <c r="CU20" s="1" t="s">
        <v>14933</v>
      </c>
      <c r="CV20" s="1" t="s">
        <v>14934</v>
      </c>
      <c r="CW20" s="1" t="s">
        <v>14935</v>
      </c>
      <c r="CX20" s="1" t="s">
        <v>14936</v>
      </c>
      <c r="CY20" s="1" t="s">
        <v>14937</v>
      </c>
      <c r="CZ20" s="1" t="s">
        <v>14938</v>
      </c>
      <c r="DA20" s="1" t="s">
        <v>14939</v>
      </c>
      <c r="DB20" s="1" t="s">
        <v>14940</v>
      </c>
      <c r="DC20" s="1" t="s">
        <v>14941</v>
      </c>
      <c r="DD20" s="1" t="s">
        <v>14942</v>
      </c>
      <c r="DE20" s="1" t="s">
        <v>14943</v>
      </c>
      <c r="DF20" s="1" t="s">
        <v>14944</v>
      </c>
      <c r="DG20" s="1" t="s">
        <v>14945</v>
      </c>
      <c r="DH20" s="1" t="s">
        <v>14946</v>
      </c>
      <c r="DI20" s="1" t="s">
        <v>14947</v>
      </c>
      <c r="DJ20" s="1" t="s">
        <v>14948</v>
      </c>
      <c r="DK20" s="1" t="s">
        <v>14949</v>
      </c>
      <c r="DL20" s="1" t="s">
        <v>14950</v>
      </c>
      <c r="DM20" s="1" t="s">
        <v>14951</v>
      </c>
      <c r="DN20" s="1" t="s">
        <v>14952</v>
      </c>
      <c r="DO20" s="1" t="s">
        <v>14953</v>
      </c>
      <c r="DP20" s="1" t="s">
        <v>14954</v>
      </c>
      <c r="DQ20" s="1" t="s">
        <v>14955</v>
      </c>
      <c r="DR20" s="1" t="s">
        <v>14956</v>
      </c>
      <c r="DS20" s="1" t="s">
        <v>14957</v>
      </c>
      <c r="DT20" s="1" t="s">
        <v>14958</v>
      </c>
      <c r="DU20" s="1" t="s">
        <v>14959</v>
      </c>
      <c r="DV20" s="1" t="s">
        <v>14960</v>
      </c>
      <c r="DW20" s="1" t="s">
        <v>14961</v>
      </c>
      <c r="DX20" s="1" t="s">
        <v>14962</v>
      </c>
      <c r="DY20" s="1" t="s">
        <v>14963</v>
      </c>
      <c r="DZ20" s="1" t="s">
        <v>14964</v>
      </c>
      <c r="EA20" s="1" t="s">
        <v>14965</v>
      </c>
      <c r="EB20" s="1" t="s">
        <v>14966</v>
      </c>
      <c r="EC20" s="1" t="s">
        <v>14967</v>
      </c>
      <c r="ED20" s="1" t="s">
        <v>14968</v>
      </c>
      <c r="EE20" s="1" t="s">
        <v>14969</v>
      </c>
      <c r="EF20" s="1" t="s">
        <v>14970</v>
      </c>
      <c r="EG20" s="1" t="s">
        <v>14971</v>
      </c>
      <c r="EH20" s="1" t="s">
        <v>14972</v>
      </c>
      <c r="EI20" s="1" t="s">
        <v>14973</v>
      </c>
      <c r="EJ20" s="1" t="s">
        <v>14974</v>
      </c>
      <c r="EK20" s="1" t="s">
        <v>14975</v>
      </c>
      <c r="EL20" s="1" t="s">
        <v>14976</v>
      </c>
      <c r="EM20" s="1" t="s">
        <v>14977</v>
      </c>
      <c r="EN20" s="1" t="s">
        <v>14978</v>
      </c>
      <c r="EO20" s="1" t="s">
        <v>14979</v>
      </c>
      <c r="EP20" s="1" t="s">
        <v>14980</v>
      </c>
      <c r="EQ20" s="1" t="s">
        <v>14981</v>
      </c>
      <c r="ER20" s="1" t="s">
        <v>14982</v>
      </c>
      <c r="ES20" s="1" t="s">
        <v>14983</v>
      </c>
      <c r="ET20" s="1" t="s">
        <v>14984</v>
      </c>
      <c r="EU20" s="1" t="s">
        <v>14985</v>
      </c>
      <c r="EV20" s="1" t="s">
        <v>14986</v>
      </c>
      <c r="EW20" s="1" t="s">
        <v>14987</v>
      </c>
      <c r="EX20" s="1" t="s">
        <v>14988</v>
      </c>
      <c r="EY20" s="1" t="s">
        <v>14989</v>
      </c>
      <c r="EZ20" s="1" t="s">
        <v>14990</v>
      </c>
      <c r="FA20" s="1" t="s">
        <v>14991</v>
      </c>
      <c r="FB20" s="1" t="s">
        <v>14992</v>
      </c>
      <c r="FC20" s="1" t="s">
        <v>14993</v>
      </c>
      <c r="FD20" s="1" t="s">
        <v>14994</v>
      </c>
      <c r="FE20" s="1" t="s">
        <v>14995</v>
      </c>
      <c r="FF20" s="1" t="s">
        <v>14996</v>
      </c>
      <c r="FG20" s="1" t="s">
        <v>14997</v>
      </c>
      <c r="FH20" s="1" t="s">
        <v>14998</v>
      </c>
      <c r="FI20" s="1" t="s">
        <v>14999</v>
      </c>
      <c r="FJ20" s="1" t="s">
        <v>15000</v>
      </c>
      <c r="FK20" s="1" t="s">
        <v>15001</v>
      </c>
      <c r="FL20" s="1" t="s">
        <v>15002</v>
      </c>
      <c r="FM20" s="1" t="s">
        <v>15003</v>
      </c>
      <c r="FN20" s="1" t="s">
        <v>15004</v>
      </c>
      <c r="FO20" s="1" t="s">
        <v>15005</v>
      </c>
      <c r="FP20" s="1" t="s">
        <v>15006</v>
      </c>
      <c r="FQ20" s="1" t="s">
        <v>15007</v>
      </c>
      <c r="FR20" s="1" t="s">
        <v>15008</v>
      </c>
      <c r="FS20" s="1" t="s">
        <v>15009</v>
      </c>
      <c r="FT20" s="1" t="s">
        <v>15010</v>
      </c>
      <c r="FU20" s="1" t="s">
        <v>15011</v>
      </c>
      <c r="FV20" s="1" t="s">
        <v>15012</v>
      </c>
      <c r="FW20" s="1" t="s">
        <v>15013</v>
      </c>
      <c r="FX20" s="1" t="s">
        <v>15014</v>
      </c>
      <c r="FY20" s="1" t="s">
        <v>15015</v>
      </c>
      <c r="FZ20" s="1" t="s">
        <v>15016</v>
      </c>
      <c r="GA20" s="1" t="s">
        <v>15017</v>
      </c>
      <c r="GB20" s="1" t="s">
        <v>15018</v>
      </c>
      <c r="GC20" s="1" t="s">
        <v>15019</v>
      </c>
      <c r="GD20" s="1" t="s">
        <v>15020</v>
      </c>
      <c r="GE20" s="1" t="s">
        <v>15021</v>
      </c>
      <c r="GF20" s="1" t="s">
        <v>15022</v>
      </c>
      <c r="GG20" s="1" t="s">
        <v>15023</v>
      </c>
      <c r="GH20" s="1" t="s">
        <v>15024</v>
      </c>
      <c r="GI20" s="1" t="s">
        <v>15025</v>
      </c>
      <c r="GJ20" s="1" t="s">
        <v>15026</v>
      </c>
      <c r="GK20" s="1" t="s">
        <v>15027</v>
      </c>
      <c r="GL20" s="1" t="s">
        <v>15028</v>
      </c>
      <c r="GM20" s="1" t="s">
        <v>15029</v>
      </c>
      <c r="GN20" s="1" t="s">
        <v>15030</v>
      </c>
      <c r="GO20" s="1" t="s">
        <v>15031</v>
      </c>
      <c r="GP20" s="1" t="s">
        <v>15032</v>
      </c>
      <c r="GQ20" s="1" t="s">
        <v>15033</v>
      </c>
      <c r="GR20" s="1" t="s">
        <v>15034</v>
      </c>
      <c r="GS20" s="1" t="s">
        <v>15035</v>
      </c>
      <c r="GT20" s="1" t="s">
        <v>15036</v>
      </c>
      <c r="GU20" s="1" t="s">
        <v>15037</v>
      </c>
      <c r="GV20" s="1" t="s">
        <v>15038</v>
      </c>
      <c r="GW20" s="1" t="s">
        <v>15039</v>
      </c>
      <c r="GX20" s="1" t="s">
        <v>15040</v>
      </c>
      <c r="GY20" s="1" t="s">
        <v>15041</v>
      </c>
      <c r="GZ20" s="1" t="s">
        <v>15042</v>
      </c>
      <c r="HA20" s="1" t="s">
        <v>15043</v>
      </c>
      <c r="HB20" s="1" t="s">
        <v>15044</v>
      </c>
      <c r="HC20" s="1" t="s">
        <v>15045</v>
      </c>
      <c r="HD20" s="1" t="s">
        <v>15046</v>
      </c>
      <c r="HE20" s="1" t="s">
        <v>15047</v>
      </c>
      <c r="HF20" s="1" t="s">
        <v>15048</v>
      </c>
      <c r="HG20" s="1" t="s">
        <v>15049</v>
      </c>
      <c r="HH20" s="1" t="s">
        <v>15050</v>
      </c>
      <c r="HI20" s="1" t="s">
        <v>15051</v>
      </c>
      <c r="HJ20" s="1" t="s">
        <v>15052</v>
      </c>
      <c r="HK20" s="1" t="s">
        <v>15053</v>
      </c>
      <c r="HL20" s="1" t="s">
        <v>15054</v>
      </c>
      <c r="HM20" s="1" t="s">
        <v>15055</v>
      </c>
      <c r="HN20" s="1" t="s">
        <v>15056</v>
      </c>
      <c r="HO20" s="1" t="s">
        <v>15057</v>
      </c>
      <c r="HP20" s="1" t="s">
        <v>15058</v>
      </c>
      <c r="HQ20" s="1" t="s">
        <v>15059</v>
      </c>
      <c r="HR20" s="1" t="s">
        <v>15060</v>
      </c>
      <c r="HS20" s="1" t="s">
        <v>15061</v>
      </c>
      <c r="HT20" s="1" t="s">
        <v>15062</v>
      </c>
      <c r="HU20" s="1" t="s">
        <v>15063</v>
      </c>
      <c r="HV20" s="1" t="s">
        <v>15064</v>
      </c>
      <c r="HW20" s="1" t="s">
        <v>15065</v>
      </c>
      <c r="HX20" s="1" t="s">
        <v>15066</v>
      </c>
      <c r="HY20" s="1" t="s">
        <v>15067</v>
      </c>
      <c r="HZ20" s="1" t="s">
        <v>15068</v>
      </c>
      <c r="IA20" s="1" t="s">
        <v>15069</v>
      </c>
      <c r="IB20" s="1" t="s">
        <v>15070</v>
      </c>
      <c r="IC20" s="1" t="s">
        <v>15071</v>
      </c>
      <c r="ID20" s="1" t="s">
        <v>15072</v>
      </c>
      <c r="IE20" s="1" t="s">
        <v>15073</v>
      </c>
      <c r="IF20" s="1" t="s">
        <v>15074</v>
      </c>
      <c r="IG20" s="1" t="s">
        <v>15075</v>
      </c>
      <c r="IH20" s="1" t="s">
        <v>15076</v>
      </c>
      <c r="II20" s="1" t="s">
        <v>15077</v>
      </c>
      <c r="IJ20" s="1" t="s">
        <v>15078</v>
      </c>
      <c r="IK20" s="1" t="s">
        <v>15079</v>
      </c>
      <c r="IL20" s="1" t="s">
        <v>15080</v>
      </c>
      <c r="IM20" s="1" t="s">
        <v>15081</v>
      </c>
      <c r="IN20" s="1" t="s">
        <v>15082</v>
      </c>
      <c r="IO20" s="1" t="s">
        <v>15083</v>
      </c>
      <c r="IP20" s="1" t="s">
        <v>15084</v>
      </c>
      <c r="IQ20" s="1" t="s">
        <v>15085</v>
      </c>
      <c r="IR20" s="1" t="s">
        <v>15086</v>
      </c>
      <c r="IS20" s="1" t="s">
        <v>15087</v>
      </c>
      <c r="IT20" s="1" t="s">
        <v>15088</v>
      </c>
      <c r="IU20" s="1" t="s">
        <v>15089</v>
      </c>
      <c r="IV20" s="1" t="s">
        <v>15090</v>
      </c>
      <c r="IW20" s="1" t="s">
        <v>15091</v>
      </c>
      <c r="IX20" s="1" t="s">
        <v>15092</v>
      </c>
      <c r="IY20" s="1" t="s">
        <v>15093</v>
      </c>
      <c r="IZ20" s="1" t="s">
        <v>15094</v>
      </c>
      <c r="JA20" s="1" t="s">
        <v>15095</v>
      </c>
      <c r="JB20" s="1" t="s">
        <v>15096</v>
      </c>
      <c r="JC20" s="1" t="s">
        <v>15097</v>
      </c>
      <c r="JD20" s="1" t="s">
        <v>15098</v>
      </c>
      <c r="JE20" s="1" t="s">
        <v>15099</v>
      </c>
      <c r="JF20" s="1" t="s">
        <v>15100</v>
      </c>
      <c r="JG20" s="1" t="s">
        <v>15101</v>
      </c>
      <c r="JH20" s="1" t="s">
        <v>15102</v>
      </c>
      <c r="JI20" s="1" t="s">
        <v>15103</v>
      </c>
      <c r="JJ20" s="1" t="s">
        <v>15104</v>
      </c>
      <c r="JK20" s="1" t="s">
        <v>15105</v>
      </c>
      <c r="JL20" s="1" t="s">
        <v>15106</v>
      </c>
      <c r="JM20" s="1" t="s">
        <v>15107</v>
      </c>
      <c r="JN20" s="1" t="s">
        <v>15108</v>
      </c>
      <c r="JO20" s="1" t="s">
        <v>15109</v>
      </c>
      <c r="JP20" s="1" t="s">
        <v>15110</v>
      </c>
      <c r="JQ20" s="1" t="s">
        <v>15111</v>
      </c>
      <c r="JR20" s="1" t="s">
        <v>15112</v>
      </c>
      <c r="JS20" s="1" t="s">
        <v>15113</v>
      </c>
      <c r="JT20" s="1" t="s">
        <v>15114</v>
      </c>
      <c r="JU20" s="1" t="s">
        <v>15115</v>
      </c>
      <c r="JV20" s="1" t="s">
        <v>15116</v>
      </c>
      <c r="JW20" s="1" t="s">
        <v>15117</v>
      </c>
      <c r="JX20" s="1" t="s">
        <v>15118</v>
      </c>
      <c r="JY20" s="1" t="s">
        <v>15119</v>
      </c>
      <c r="JZ20" s="1" t="s">
        <v>15120</v>
      </c>
      <c r="KA20" s="1" t="s">
        <v>15121</v>
      </c>
      <c r="KB20" s="1" t="s">
        <v>15122</v>
      </c>
      <c r="KC20" s="1" t="s">
        <v>15123</v>
      </c>
      <c r="KD20" s="1" t="s">
        <v>15124</v>
      </c>
      <c r="KE20" s="1" t="s">
        <v>15125</v>
      </c>
      <c r="KF20" s="1" t="s">
        <v>15126</v>
      </c>
      <c r="KG20" s="1" t="s">
        <v>15127</v>
      </c>
      <c r="KH20" s="1" t="s">
        <v>15128</v>
      </c>
      <c r="KI20" s="1" t="s">
        <v>15129</v>
      </c>
      <c r="KJ20" s="1" t="s">
        <v>15130</v>
      </c>
      <c r="KK20" s="1" t="s">
        <v>15131</v>
      </c>
      <c r="KL20" s="1" t="s">
        <v>15132</v>
      </c>
      <c r="KM20" s="1" t="s">
        <v>15133</v>
      </c>
      <c r="KN20" s="1" t="s">
        <v>15134</v>
      </c>
      <c r="KO20" s="1" t="s">
        <v>15135</v>
      </c>
      <c r="KP20" s="1" t="s">
        <v>15136</v>
      </c>
      <c r="KQ20" s="1" t="s">
        <v>15137</v>
      </c>
      <c r="KR20" s="1" t="s">
        <v>15138</v>
      </c>
      <c r="KS20" s="1" t="s">
        <v>15139</v>
      </c>
      <c r="KT20" s="1" t="s">
        <v>15140</v>
      </c>
      <c r="KU20" s="1" t="s">
        <v>15141</v>
      </c>
      <c r="KV20" s="1" t="s">
        <v>15142</v>
      </c>
      <c r="KW20" s="1" t="s">
        <v>15143</v>
      </c>
      <c r="KX20" s="1" t="s">
        <v>15144</v>
      </c>
      <c r="KY20" s="1" t="s">
        <v>15145</v>
      </c>
      <c r="KZ20" s="1" t="s">
        <v>15146</v>
      </c>
      <c r="LA20" s="1" t="s">
        <v>15147</v>
      </c>
      <c r="LB20" s="1" t="s">
        <v>15148</v>
      </c>
      <c r="LC20" s="1" t="s">
        <v>15149</v>
      </c>
      <c r="LD20" s="1" t="s">
        <v>15150</v>
      </c>
      <c r="LE20" s="1" t="s">
        <v>15151</v>
      </c>
      <c r="LF20" s="1" t="s">
        <v>15152</v>
      </c>
      <c r="LG20" s="1" t="s">
        <v>15153</v>
      </c>
      <c r="LH20" s="1" t="s">
        <v>15154</v>
      </c>
      <c r="LI20" s="1" t="s">
        <v>15155</v>
      </c>
      <c r="LJ20" s="1" t="s">
        <v>15156</v>
      </c>
      <c r="LK20" s="1" t="s">
        <v>15157</v>
      </c>
      <c r="LL20" s="1" t="s">
        <v>15158</v>
      </c>
      <c r="LM20" s="1" t="s">
        <v>15159</v>
      </c>
      <c r="LN20" s="1" t="s">
        <v>15160</v>
      </c>
      <c r="LO20" s="1" t="s">
        <v>15161</v>
      </c>
      <c r="LP20" s="1" t="s">
        <v>15162</v>
      </c>
      <c r="LQ20" s="1" t="s">
        <v>15163</v>
      </c>
      <c r="LR20" s="1" t="s">
        <v>15164</v>
      </c>
      <c r="LS20" s="1" t="s">
        <v>15165</v>
      </c>
      <c r="LT20" s="1" t="s">
        <v>15166</v>
      </c>
      <c r="LU20" s="1" t="s">
        <v>15167</v>
      </c>
      <c r="LV20" s="1" t="s">
        <v>15168</v>
      </c>
      <c r="LW20" s="1" t="s">
        <v>15169</v>
      </c>
      <c r="LX20" s="1" t="s">
        <v>15170</v>
      </c>
      <c r="LY20" s="1" t="s">
        <v>15171</v>
      </c>
      <c r="LZ20" s="1" t="s">
        <v>15172</v>
      </c>
      <c r="MA20" s="1" t="s">
        <v>15173</v>
      </c>
      <c r="MB20" s="1" t="s">
        <v>15174</v>
      </c>
      <c r="MC20" s="1" t="s">
        <v>15175</v>
      </c>
      <c r="MD20" s="1" t="s">
        <v>15176</v>
      </c>
      <c r="ME20" s="1" t="s">
        <v>15177</v>
      </c>
      <c r="MF20" s="1" t="s">
        <v>15178</v>
      </c>
      <c r="MG20" s="1" t="s">
        <v>15179</v>
      </c>
      <c r="MH20" s="1" t="s">
        <v>15180</v>
      </c>
      <c r="MI20" s="1" t="s">
        <v>15181</v>
      </c>
      <c r="MJ20" s="1" t="s">
        <v>15182</v>
      </c>
      <c r="MK20" s="1" t="s">
        <v>15183</v>
      </c>
      <c r="ML20" s="1" t="s">
        <v>15184</v>
      </c>
      <c r="MM20" s="1" t="s">
        <v>15185</v>
      </c>
      <c r="MN20" s="1" t="s">
        <v>15186</v>
      </c>
      <c r="MO20" s="1" t="s">
        <v>15187</v>
      </c>
      <c r="MP20" s="1" t="s">
        <v>15188</v>
      </c>
      <c r="MQ20" s="1" t="s">
        <v>15189</v>
      </c>
      <c r="MR20" s="1" t="s">
        <v>15190</v>
      </c>
      <c r="MS20" s="1" t="s">
        <v>15191</v>
      </c>
      <c r="MT20" s="1" t="s">
        <v>15192</v>
      </c>
      <c r="MU20" s="1" t="s">
        <v>15193</v>
      </c>
      <c r="MV20" s="1" t="s">
        <v>15194</v>
      </c>
      <c r="MW20" s="1" t="s">
        <v>15195</v>
      </c>
      <c r="MX20" s="1" t="s">
        <v>15196</v>
      </c>
      <c r="MY20" s="1" t="s">
        <v>15197</v>
      </c>
      <c r="MZ20" s="1" t="s">
        <v>15198</v>
      </c>
      <c r="NA20" s="1" t="s">
        <v>15199</v>
      </c>
      <c r="NB20" s="1" t="s">
        <v>15200</v>
      </c>
      <c r="NC20" s="1" t="s">
        <v>15201</v>
      </c>
      <c r="ND20" s="1" t="s">
        <v>15202</v>
      </c>
      <c r="NE20" s="1" t="s">
        <v>15203</v>
      </c>
      <c r="NF20" s="1" t="s">
        <v>15204</v>
      </c>
      <c r="NG20" s="1" t="s">
        <v>15205</v>
      </c>
      <c r="NH20" s="1" t="s">
        <v>15206</v>
      </c>
      <c r="NI20" s="1" t="s">
        <v>15207</v>
      </c>
      <c r="NJ20" s="1" t="s">
        <v>15208</v>
      </c>
      <c r="NK20" s="1" t="s">
        <v>15209</v>
      </c>
      <c r="NL20" s="1" t="s">
        <v>15210</v>
      </c>
      <c r="NM20" s="1" t="s">
        <v>15211</v>
      </c>
      <c r="NN20" s="1" t="s">
        <v>15212</v>
      </c>
      <c r="NO20" s="1" t="s">
        <v>15213</v>
      </c>
      <c r="NP20" s="1" t="s">
        <v>15214</v>
      </c>
      <c r="NQ20" s="1" t="s">
        <v>15215</v>
      </c>
      <c r="NR20" s="1" t="s">
        <v>15216</v>
      </c>
      <c r="NS20" s="1" t="s">
        <v>15217</v>
      </c>
      <c r="NT20" s="1" t="s">
        <v>15218</v>
      </c>
      <c r="NU20" s="1" t="s">
        <v>15219</v>
      </c>
      <c r="NV20" s="1" t="s">
        <v>15220</v>
      </c>
      <c r="NW20" s="1" t="s">
        <v>15221</v>
      </c>
      <c r="NX20" s="1" t="s">
        <v>15222</v>
      </c>
      <c r="NY20" s="1" t="s">
        <v>15223</v>
      </c>
      <c r="NZ20" s="1" t="s">
        <v>15224</v>
      </c>
      <c r="OA20" s="1" t="s">
        <v>15225</v>
      </c>
      <c r="OB20" s="1" t="s">
        <v>15226</v>
      </c>
      <c r="OC20" s="1" t="s">
        <v>15227</v>
      </c>
      <c r="OD20" s="1" t="s">
        <v>15228</v>
      </c>
      <c r="OE20" s="1" t="s">
        <v>15229</v>
      </c>
      <c r="OF20" s="1" t="s">
        <v>15230</v>
      </c>
      <c r="OG20" s="1" t="s">
        <v>15231</v>
      </c>
      <c r="OH20" s="1" t="s">
        <v>15232</v>
      </c>
      <c r="OI20" s="1" t="s">
        <v>15233</v>
      </c>
      <c r="OJ20" s="1" t="s">
        <v>15234</v>
      </c>
      <c r="OK20" s="1" t="s">
        <v>15235</v>
      </c>
      <c r="OL20" s="1" t="s">
        <v>15236</v>
      </c>
      <c r="OM20" s="1" t="s">
        <v>15237</v>
      </c>
      <c r="ON20" s="1" t="s">
        <v>15238</v>
      </c>
      <c r="OO20" s="1" t="s">
        <v>15239</v>
      </c>
      <c r="OP20" s="1" t="s">
        <v>15240</v>
      </c>
      <c r="OQ20" s="1" t="s">
        <v>15241</v>
      </c>
      <c r="OR20" s="1" t="s">
        <v>15242</v>
      </c>
      <c r="OS20" s="1" t="s">
        <v>15243</v>
      </c>
      <c r="OT20" s="1" t="s">
        <v>15244</v>
      </c>
      <c r="OU20" s="1" t="s">
        <v>15245</v>
      </c>
      <c r="OV20" s="1" t="s">
        <v>15246</v>
      </c>
      <c r="OW20" s="1" t="s">
        <v>15247</v>
      </c>
      <c r="OX20" s="1" t="s">
        <v>15248</v>
      </c>
      <c r="OY20" s="1" t="s">
        <v>15249</v>
      </c>
      <c r="OZ20" s="1" t="s">
        <v>15250</v>
      </c>
      <c r="PA20" s="1" t="s">
        <v>15251</v>
      </c>
      <c r="PB20" s="1" t="s">
        <v>15252</v>
      </c>
      <c r="PC20" s="1" t="s">
        <v>15253</v>
      </c>
      <c r="PD20" s="1" t="s">
        <v>15254</v>
      </c>
      <c r="PE20" s="1" t="s">
        <v>15255</v>
      </c>
      <c r="PF20" s="1" t="s">
        <v>15256</v>
      </c>
      <c r="PG20" s="1" t="s">
        <v>15257</v>
      </c>
      <c r="PH20" s="1" t="s">
        <v>15258</v>
      </c>
      <c r="PI20" s="1" t="s">
        <v>15259</v>
      </c>
      <c r="PJ20" s="1" t="s">
        <v>15260</v>
      </c>
      <c r="PK20" s="1" t="s">
        <v>15261</v>
      </c>
      <c r="PL20" s="1" t="s">
        <v>15262</v>
      </c>
      <c r="PM20" s="1" t="s">
        <v>15263</v>
      </c>
      <c r="PN20" s="1" t="s">
        <v>15264</v>
      </c>
      <c r="PO20" s="1" t="s">
        <v>15265</v>
      </c>
      <c r="PP20" s="1" t="s">
        <v>15266</v>
      </c>
      <c r="PQ20" s="1" t="s">
        <v>15267</v>
      </c>
      <c r="PR20" s="1" t="s">
        <v>15268</v>
      </c>
      <c r="PS20" s="1" t="s">
        <v>15269</v>
      </c>
      <c r="PT20" s="1" t="s">
        <v>15270</v>
      </c>
      <c r="PU20" s="1" t="s">
        <v>15271</v>
      </c>
      <c r="PV20" s="1" t="s">
        <v>15272</v>
      </c>
      <c r="PW20" s="1" t="s">
        <v>15273</v>
      </c>
      <c r="PX20" s="1" t="s">
        <v>15274</v>
      </c>
      <c r="PY20" s="1" t="s">
        <v>15275</v>
      </c>
      <c r="PZ20" s="1" t="s">
        <v>15276</v>
      </c>
      <c r="QA20" s="1" t="s">
        <v>15277</v>
      </c>
      <c r="QB20" s="1" t="s">
        <v>15278</v>
      </c>
      <c r="QC20" s="1" t="s">
        <v>15279</v>
      </c>
      <c r="QD20" s="1" t="s">
        <v>15280</v>
      </c>
      <c r="QE20" s="1" t="s">
        <v>15281</v>
      </c>
      <c r="QF20" s="1" t="s">
        <v>15282</v>
      </c>
      <c r="QG20" s="1" t="s">
        <v>15283</v>
      </c>
      <c r="QH20" s="1" t="s">
        <v>15284</v>
      </c>
      <c r="QI20" s="1" t="s">
        <v>15285</v>
      </c>
      <c r="QJ20" s="1" t="s">
        <v>15286</v>
      </c>
      <c r="QK20" s="1" t="s">
        <v>15287</v>
      </c>
      <c r="QL20" s="1" t="s">
        <v>15288</v>
      </c>
      <c r="QM20" s="1" t="s">
        <v>15289</v>
      </c>
      <c r="QN20" s="1" t="s">
        <v>15290</v>
      </c>
      <c r="QO20" s="1" t="s">
        <v>15291</v>
      </c>
      <c r="QP20" s="1" t="s">
        <v>15292</v>
      </c>
      <c r="QQ20" s="1" t="s">
        <v>15293</v>
      </c>
      <c r="QR20" s="1" t="s">
        <v>15294</v>
      </c>
      <c r="QS20" s="1" t="s">
        <v>15295</v>
      </c>
      <c r="QT20" s="1" t="s">
        <v>15296</v>
      </c>
      <c r="QU20" s="1" t="s">
        <v>15297</v>
      </c>
      <c r="QV20" s="1" t="s">
        <v>15298</v>
      </c>
      <c r="QW20" s="1" t="s">
        <v>15299</v>
      </c>
      <c r="QX20" s="1" t="s">
        <v>15300</v>
      </c>
      <c r="QY20" s="1" t="s">
        <v>15301</v>
      </c>
      <c r="QZ20" s="1" t="s">
        <v>15302</v>
      </c>
      <c r="RA20" s="1" t="s">
        <v>15303</v>
      </c>
      <c r="RB20" s="1" t="s">
        <v>15304</v>
      </c>
      <c r="RC20" s="1" t="s">
        <v>15305</v>
      </c>
      <c r="RD20" s="1" t="s">
        <v>15306</v>
      </c>
      <c r="RE20" s="1" t="s">
        <v>15307</v>
      </c>
      <c r="RF20" s="1" t="s">
        <v>15308</v>
      </c>
      <c r="RG20" s="1" t="s">
        <v>15309</v>
      </c>
      <c r="RH20" s="1" t="s">
        <v>15310</v>
      </c>
      <c r="RI20" s="1" t="s">
        <v>15311</v>
      </c>
      <c r="RJ20" s="1" t="s">
        <v>15312</v>
      </c>
      <c r="RK20" s="1" t="s">
        <v>15313</v>
      </c>
      <c r="RL20" s="1" t="s">
        <v>15314</v>
      </c>
      <c r="RM20" s="1" t="s">
        <v>15315</v>
      </c>
      <c r="RN20" s="1" t="s">
        <v>15316</v>
      </c>
      <c r="RO20" s="1" t="s">
        <v>15317</v>
      </c>
      <c r="RP20" s="1" t="s">
        <v>15318</v>
      </c>
      <c r="RQ20" s="1" t="s">
        <v>15319</v>
      </c>
      <c r="RR20" s="1" t="s">
        <v>15320</v>
      </c>
      <c r="RS20" s="1" t="s">
        <v>15321</v>
      </c>
      <c r="RT20" s="1" t="s">
        <v>15322</v>
      </c>
      <c r="RU20" s="1" t="s">
        <v>15323</v>
      </c>
      <c r="RV20" s="1" t="s">
        <v>15324</v>
      </c>
      <c r="RW20" s="1" t="s">
        <v>15325</v>
      </c>
      <c r="RX20" s="1" t="s">
        <v>15326</v>
      </c>
      <c r="RY20" s="1" t="s">
        <v>15327</v>
      </c>
      <c r="RZ20" s="1" t="s">
        <v>15328</v>
      </c>
      <c r="SA20" s="1" t="s">
        <v>15329</v>
      </c>
      <c r="SB20" s="1" t="s">
        <v>15330</v>
      </c>
      <c r="SC20" s="1" t="s">
        <v>15331</v>
      </c>
      <c r="SD20" s="1" t="s">
        <v>15332</v>
      </c>
      <c r="SE20" s="1" t="s">
        <v>15333</v>
      </c>
      <c r="SF20" s="1" t="s">
        <v>15334</v>
      </c>
      <c r="SG20" s="1" t="s">
        <v>15335</v>
      </c>
      <c r="SH20" s="1" t="s">
        <v>15336</v>
      </c>
      <c r="SI20" s="1" t="s">
        <v>15337</v>
      </c>
      <c r="SJ20" s="1" t="s">
        <v>15338</v>
      </c>
      <c r="SK20" s="1" t="s">
        <v>15339</v>
      </c>
      <c r="SL20" s="1" t="s">
        <v>15340</v>
      </c>
      <c r="SM20" s="1" t="s">
        <v>15341</v>
      </c>
      <c r="SN20" s="1" t="s">
        <v>15342</v>
      </c>
      <c r="SO20" s="1" t="s">
        <v>15343</v>
      </c>
      <c r="SP20" s="1" t="s">
        <v>15344</v>
      </c>
      <c r="SQ20" s="1" t="s">
        <v>15345</v>
      </c>
      <c r="SR20" s="1" t="s">
        <v>15346</v>
      </c>
      <c r="SS20" s="1" t="s">
        <v>15347</v>
      </c>
      <c r="ST20" s="1" t="s">
        <v>15348</v>
      </c>
      <c r="SU20" s="1" t="s">
        <v>15349</v>
      </c>
      <c r="SV20" s="1" t="s">
        <v>15350</v>
      </c>
      <c r="SW20" s="1" t="s">
        <v>15351</v>
      </c>
      <c r="SX20" s="1" t="s">
        <v>15352</v>
      </c>
      <c r="SY20" s="1" t="s">
        <v>15353</v>
      </c>
      <c r="SZ20" s="1" t="s">
        <v>15354</v>
      </c>
      <c r="TA20" s="1" t="s">
        <v>15355</v>
      </c>
      <c r="TB20" s="1" t="s">
        <v>15356</v>
      </c>
      <c r="TC20" s="1" t="s">
        <v>15357</v>
      </c>
      <c r="TD20" s="1" t="s">
        <v>15358</v>
      </c>
      <c r="TE20" s="1" t="s">
        <v>15359</v>
      </c>
      <c r="TF20" s="1" t="s">
        <v>15360</v>
      </c>
      <c r="TG20" s="1" t="s">
        <v>15361</v>
      </c>
      <c r="TH20" s="1" t="s">
        <v>15362</v>
      </c>
      <c r="TI20" s="1" t="s">
        <v>15363</v>
      </c>
      <c r="TJ20" s="1" t="s">
        <v>15364</v>
      </c>
      <c r="TK20" s="1" t="s">
        <v>15365</v>
      </c>
      <c r="TL20" s="1" t="s">
        <v>15366</v>
      </c>
      <c r="TM20" s="1" t="s">
        <v>15367</v>
      </c>
      <c r="TN20" s="1" t="s">
        <v>15368</v>
      </c>
      <c r="TO20" s="1" t="s">
        <v>15369</v>
      </c>
      <c r="TP20" s="1" t="s">
        <v>15370</v>
      </c>
      <c r="TQ20" s="1" t="s">
        <v>15371</v>
      </c>
      <c r="TR20" s="1" t="s">
        <v>15372</v>
      </c>
      <c r="TS20" s="1" t="s">
        <v>15373</v>
      </c>
      <c r="TT20" s="1" t="s">
        <v>15374</v>
      </c>
      <c r="TU20" s="1" t="s">
        <v>15375</v>
      </c>
      <c r="TV20" s="1" t="s">
        <v>15376</v>
      </c>
      <c r="TW20" s="1" t="s">
        <v>15377</v>
      </c>
      <c r="TX20" s="1" t="s">
        <v>15378</v>
      </c>
      <c r="TY20" s="1" t="s">
        <v>15379</v>
      </c>
      <c r="TZ20" s="1" t="s">
        <v>15380</v>
      </c>
      <c r="UA20" s="1" t="s">
        <v>15381</v>
      </c>
      <c r="UB20" s="1" t="s">
        <v>15382</v>
      </c>
      <c r="UC20" s="1" t="s">
        <v>15383</v>
      </c>
      <c r="UD20" s="1" t="s">
        <v>15384</v>
      </c>
      <c r="UE20" s="1" t="s">
        <v>15385</v>
      </c>
      <c r="UF20" s="1" t="s">
        <v>15386</v>
      </c>
      <c r="UG20" s="1" t="s">
        <v>15387</v>
      </c>
      <c r="UH20" s="1" t="s">
        <v>15388</v>
      </c>
      <c r="UI20" s="1" t="s">
        <v>15389</v>
      </c>
      <c r="UJ20" s="1" t="s">
        <v>15390</v>
      </c>
      <c r="UK20" s="1" t="s">
        <v>15391</v>
      </c>
      <c r="UL20" s="1" t="s">
        <v>15392</v>
      </c>
      <c r="UM20" s="1" t="s">
        <v>15393</v>
      </c>
      <c r="UN20" s="1" t="s">
        <v>15394</v>
      </c>
      <c r="UO20" s="1" t="s">
        <v>15395</v>
      </c>
      <c r="UP20" s="1" t="s">
        <v>15396</v>
      </c>
      <c r="UQ20" s="1" t="s">
        <v>15397</v>
      </c>
      <c r="UR20" s="1" t="s">
        <v>15398</v>
      </c>
      <c r="US20" s="1" t="s">
        <v>15399</v>
      </c>
      <c r="UT20" s="1" t="s">
        <v>15400</v>
      </c>
      <c r="UU20" s="1" t="s">
        <v>15401</v>
      </c>
      <c r="UV20" s="1" t="s">
        <v>15402</v>
      </c>
      <c r="UW20" s="1" t="s">
        <v>15403</v>
      </c>
      <c r="UX20" s="1" t="s">
        <v>15404</v>
      </c>
      <c r="UY20" s="1" t="s">
        <v>15405</v>
      </c>
      <c r="UZ20" s="1" t="s">
        <v>15406</v>
      </c>
      <c r="VA20" s="1" t="s">
        <v>15407</v>
      </c>
      <c r="VB20" s="1" t="s">
        <v>15408</v>
      </c>
      <c r="VC20" s="1" t="s">
        <v>15409</v>
      </c>
      <c r="VD20" s="1" t="s">
        <v>15410</v>
      </c>
      <c r="VE20" s="1" t="s">
        <v>15411</v>
      </c>
      <c r="VF20" s="1" t="s">
        <v>15412</v>
      </c>
      <c r="VG20" s="1" t="s">
        <v>15413</v>
      </c>
      <c r="VH20" s="1" t="s">
        <v>15414</v>
      </c>
      <c r="VI20" s="1" t="s">
        <v>15415</v>
      </c>
      <c r="VJ20" s="1" t="s">
        <v>15416</v>
      </c>
      <c r="VK20" s="1" t="s">
        <v>15417</v>
      </c>
      <c r="VL20" s="1" t="s">
        <v>15418</v>
      </c>
      <c r="VM20" s="1" t="s">
        <v>15419</v>
      </c>
      <c r="VN20" s="1" t="s">
        <v>15420</v>
      </c>
      <c r="VO20" s="1" t="s">
        <v>15421</v>
      </c>
      <c r="VP20" s="1" t="s">
        <v>15422</v>
      </c>
      <c r="VQ20" s="1" t="s">
        <v>15423</v>
      </c>
      <c r="VR20" s="1" t="s">
        <v>15424</v>
      </c>
      <c r="VS20" s="1" t="s">
        <v>15425</v>
      </c>
      <c r="VT20" s="1" t="s">
        <v>15426</v>
      </c>
      <c r="VU20" s="1" t="s">
        <v>15427</v>
      </c>
      <c r="VV20" s="1" t="s">
        <v>15428</v>
      </c>
      <c r="VW20" s="1" t="s">
        <v>15429</v>
      </c>
      <c r="VX20" s="1" t="s">
        <v>15430</v>
      </c>
      <c r="VY20" s="1" t="s">
        <v>15431</v>
      </c>
      <c r="VZ20" s="1" t="s">
        <v>15432</v>
      </c>
      <c r="WA20" s="1" t="s">
        <v>15433</v>
      </c>
      <c r="WB20" s="1" t="s">
        <v>15434</v>
      </c>
      <c r="WC20" s="1" t="s">
        <v>15435</v>
      </c>
      <c r="WD20" s="1" t="s">
        <v>15436</v>
      </c>
      <c r="WE20" s="1" t="s">
        <v>15437</v>
      </c>
      <c r="WF20" s="1" t="s">
        <v>15438</v>
      </c>
      <c r="WG20" s="1" t="s">
        <v>15439</v>
      </c>
      <c r="WH20" s="1" t="s">
        <v>15440</v>
      </c>
      <c r="WI20" s="1" t="s">
        <v>15441</v>
      </c>
      <c r="WJ20" s="1" t="s">
        <v>15442</v>
      </c>
      <c r="WK20" s="1" t="s">
        <v>15443</v>
      </c>
      <c r="WL20" s="1" t="s">
        <v>15444</v>
      </c>
      <c r="WM20" s="1" t="s">
        <v>15445</v>
      </c>
      <c r="WN20" s="1" t="s">
        <v>15446</v>
      </c>
      <c r="WO20" s="1" t="s">
        <v>15447</v>
      </c>
      <c r="WP20" s="1" t="s">
        <v>15448</v>
      </c>
      <c r="WQ20" s="1" t="s">
        <v>15449</v>
      </c>
      <c r="WR20" s="1" t="s">
        <v>15450</v>
      </c>
      <c r="WS20" s="1" t="s">
        <v>15451</v>
      </c>
      <c r="WT20" s="1" t="s">
        <v>15452</v>
      </c>
      <c r="WU20" s="1" t="s">
        <v>15453</v>
      </c>
      <c r="WV20" s="1" t="s">
        <v>15454</v>
      </c>
      <c r="WW20" s="1" t="s">
        <v>15455</v>
      </c>
      <c r="WX20" s="1" t="s">
        <v>15456</v>
      </c>
      <c r="WY20" s="1" t="s">
        <v>15457</v>
      </c>
      <c r="WZ20" s="1" t="s">
        <v>15458</v>
      </c>
      <c r="XA20" s="1" t="s">
        <v>15459</v>
      </c>
      <c r="XB20" s="1" t="s">
        <v>15460</v>
      </c>
      <c r="XC20" s="1" t="s">
        <v>15461</v>
      </c>
      <c r="XD20" s="1" t="s">
        <v>15462</v>
      </c>
      <c r="XE20" s="1" t="s">
        <v>15463</v>
      </c>
      <c r="XF20" s="1" t="s">
        <v>15464</v>
      </c>
      <c r="XG20" s="1" t="s">
        <v>15465</v>
      </c>
      <c r="XH20" s="1" t="s">
        <v>15466</v>
      </c>
      <c r="XI20" s="1" t="s">
        <v>15467</v>
      </c>
      <c r="XJ20" s="1" t="s">
        <v>15468</v>
      </c>
      <c r="XK20" s="1" t="s">
        <v>15469</v>
      </c>
      <c r="XL20" s="1" t="s">
        <v>15470</v>
      </c>
      <c r="XM20" s="1" t="s">
        <v>15471</v>
      </c>
      <c r="XN20" s="1" t="s">
        <v>15472</v>
      </c>
      <c r="XO20" s="1" t="s">
        <v>15473</v>
      </c>
      <c r="XP20" s="1" t="s">
        <v>15474</v>
      </c>
      <c r="XQ20" s="1" t="s">
        <v>15475</v>
      </c>
      <c r="XR20" s="1" t="s">
        <v>15476</v>
      </c>
      <c r="XS20" s="1" t="s">
        <v>15477</v>
      </c>
      <c r="XT20" s="1" t="s">
        <v>15478</v>
      </c>
      <c r="XU20" s="1" t="s">
        <v>15479</v>
      </c>
      <c r="XV20" s="1" t="s">
        <v>15480</v>
      </c>
      <c r="XW20" s="1" t="s">
        <v>15481</v>
      </c>
      <c r="XX20" s="1" t="s">
        <v>15482</v>
      </c>
      <c r="XY20" s="1" t="s">
        <v>15483</v>
      </c>
      <c r="XZ20" s="1" t="s">
        <v>15484</v>
      </c>
      <c r="YA20" s="1" t="s">
        <v>15485</v>
      </c>
      <c r="YB20" s="1" t="s">
        <v>15486</v>
      </c>
      <c r="YC20" s="1" t="s">
        <v>15487</v>
      </c>
      <c r="YD20" s="1" t="s">
        <v>15488</v>
      </c>
      <c r="YE20" s="1" t="s">
        <v>15489</v>
      </c>
      <c r="YF20" s="1" t="s">
        <v>15490</v>
      </c>
      <c r="YG20" s="1" t="s">
        <v>15491</v>
      </c>
      <c r="YH20" s="1" t="s">
        <v>15492</v>
      </c>
      <c r="YI20" s="1" t="s">
        <v>15493</v>
      </c>
      <c r="YJ20" s="1" t="s">
        <v>15494</v>
      </c>
      <c r="YK20" s="1" t="s">
        <v>15495</v>
      </c>
      <c r="YL20" s="1" t="s">
        <v>15496</v>
      </c>
      <c r="YM20" s="1" t="s">
        <v>15497</v>
      </c>
      <c r="YN20" s="1" t="s">
        <v>15498</v>
      </c>
      <c r="YO20" s="1" t="s">
        <v>15499</v>
      </c>
      <c r="YP20" s="1" t="s">
        <v>15500</v>
      </c>
      <c r="YQ20" s="1" t="s">
        <v>15501</v>
      </c>
      <c r="YR20" s="1" t="s">
        <v>15502</v>
      </c>
      <c r="YS20" s="1" t="s">
        <v>15503</v>
      </c>
      <c r="YT20" s="1" t="s">
        <v>15504</v>
      </c>
      <c r="YU20" s="1" t="s">
        <v>15505</v>
      </c>
      <c r="YV20" s="1" t="s">
        <v>15506</v>
      </c>
      <c r="YW20" s="1" t="s">
        <v>15507</v>
      </c>
      <c r="YX20" s="1" t="s">
        <v>15508</v>
      </c>
      <c r="YY20" s="1" t="s">
        <v>15509</v>
      </c>
      <c r="YZ20" s="1" t="s">
        <v>15510</v>
      </c>
      <c r="ZA20" s="1" t="s">
        <v>15511</v>
      </c>
      <c r="ZB20" s="1" t="s">
        <v>15512</v>
      </c>
      <c r="ZC20" s="1" t="s">
        <v>15513</v>
      </c>
      <c r="ZD20" s="1" t="s">
        <v>15514</v>
      </c>
      <c r="ZE20" s="1" t="s">
        <v>15515</v>
      </c>
      <c r="ZF20" s="1" t="s">
        <v>15516</v>
      </c>
      <c r="ZG20" s="1" t="s">
        <v>15517</v>
      </c>
      <c r="ZH20" s="1" t="s">
        <v>15518</v>
      </c>
      <c r="ZI20" s="1" t="s">
        <v>15519</v>
      </c>
      <c r="ZJ20" s="1" t="s">
        <v>15520</v>
      </c>
      <c r="ZK20" s="1" t="s">
        <v>15521</v>
      </c>
      <c r="ZL20" s="1" t="s">
        <v>15522</v>
      </c>
      <c r="ZM20" s="1" t="s">
        <v>15523</v>
      </c>
      <c r="ZN20" s="1" t="s">
        <v>15524</v>
      </c>
      <c r="ZO20" s="1" t="s">
        <v>15525</v>
      </c>
      <c r="ZP20" s="1" t="s">
        <v>15526</v>
      </c>
      <c r="ZQ20" s="1" t="s">
        <v>15527</v>
      </c>
      <c r="ZR20" s="1" t="s">
        <v>15528</v>
      </c>
      <c r="ZS20" s="1" t="s">
        <v>15529</v>
      </c>
      <c r="ZT20" s="1" t="s">
        <v>15530</v>
      </c>
      <c r="ZU20" s="1" t="s">
        <v>15531</v>
      </c>
      <c r="ZV20" s="1" t="s">
        <v>15532</v>
      </c>
      <c r="ZW20" s="1" t="s">
        <v>15533</v>
      </c>
      <c r="ZX20" s="1" t="s">
        <v>15534</v>
      </c>
      <c r="ZY20" s="1" t="s">
        <v>15535</v>
      </c>
      <c r="ZZ20" s="1" t="s">
        <v>15536</v>
      </c>
      <c r="AAA20" s="1" t="s">
        <v>15537</v>
      </c>
      <c r="AAB20" s="1" t="s">
        <v>15538</v>
      </c>
      <c r="AAC20" s="1" t="s">
        <v>15539</v>
      </c>
      <c r="AAD20" s="1" t="s">
        <v>15540</v>
      </c>
      <c r="AAE20" s="1" t="s">
        <v>15541</v>
      </c>
      <c r="AAF20" s="1" t="s">
        <v>15542</v>
      </c>
      <c r="AAG20" s="1" t="s">
        <v>15543</v>
      </c>
      <c r="AAH20" s="1" t="s">
        <v>15544</v>
      </c>
      <c r="AAI20" s="1" t="s">
        <v>15545</v>
      </c>
      <c r="AAJ20" s="1" t="s">
        <v>15546</v>
      </c>
      <c r="AAK20" s="1" t="s">
        <v>15547</v>
      </c>
      <c r="AAL20" s="1" t="s">
        <v>15548</v>
      </c>
      <c r="AAM20" s="1" t="s">
        <v>15549</v>
      </c>
      <c r="AAN20" s="1" t="s">
        <v>15550</v>
      </c>
      <c r="AAO20" s="1" t="s">
        <v>15551</v>
      </c>
      <c r="AAP20" s="1" t="s">
        <v>15552</v>
      </c>
      <c r="AAQ20" s="1" t="s">
        <v>15553</v>
      </c>
      <c r="AAR20" s="1" t="s">
        <v>15554</v>
      </c>
      <c r="AAS20" s="1" t="s">
        <v>15555</v>
      </c>
      <c r="AAT20" s="1" t="s">
        <v>15556</v>
      </c>
      <c r="AAU20" s="1" t="s">
        <v>15557</v>
      </c>
      <c r="AAV20" s="1" t="s">
        <v>15558</v>
      </c>
      <c r="AAW20" s="1" t="s">
        <v>15559</v>
      </c>
      <c r="AAX20" s="1" t="s">
        <v>15560</v>
      </c>
      <c r="AAY20" s="1" t="s">
        <v>15561</v>
      </c>
      <c r="AAZ20" s="1" t="s">
        <v>15562</v>
      </c>
      <c r="ABA20" s="1" t="s">
        <v>15563</v>
      </c>
      <c r="ABB20" s="1" t="s">
        <v>15564</v>
      </c>
      <c r="ABC20" s="1" t="s">
        <v>15565</v>
      </c>
      <c r="ABD20" s="1" t="s">
        <v>15566</v>
      </c>
      <c r="ABE20" s="1" t="s">
        <v>15567</v>
      </c>
      <c r="ABF20" s="1" t="s">
        <v>15568</v>
      </c>
      <c r="ABG20" s="1" t="s">
        <v>15569</v>
      </c>
      <c r="ABH20" s="1" t="s">
        <v>15570</v>
      </c>
      <c r="ABI20" s="1" t="s">
        <v>15571</v>
      </c>
      <c r="ABJ20" s="1" t="s">
        <v>15572</v>
      </c>
      <c r="ABK20" s="1" t="s">
        <v>15573</v>
      </c>
      <c r="ABL20" s="1" t="s">
        <v>15574</v>
      </c>
      <c r="ABM20" s="1" t="s">
        <v>15575</v>
      </c>
      <c r="ABN20" s="1" t="s">
        <v>15576</v>
      </c>
      <c r="ABO20" s="1" t="s">
        <v>15577</v>
      </c>
      <c r="ABP20" s="1" t="s">
        <v>15578</v>
      </c>
      <c r="ABQ20" s="1" t="s">
        <v>15579</v>
      </c>
      <c r="ABR20" s="1" t="s">
        <v>15580</v>
      </c>
      <c r="ABS20" s="1" t="s">
        <v>15581</v>
      </c>
      <c r="ABT20" s="1" t="s">
        <v>15582</v>
      </c>
      <c r="ABU20" s="1" t="s">
        <v>15583</v>
      </c>
      <c r="ABV20" s="1" t="s">
        <v>15584</v>
      </c>
      <c r="ABW20" s="1" t="s">
        <v>15585</v>
      </c>
      <c r="ABX20" s="1" t="s">
        <v>15586</v>
      </c>
      <c r="ABY20" s="1" t="s">
        <v>15587</v>
      </c>
      <c r="ABZ20" s="1" t="s">
        <v>15588</v>
      </c>
      <c r="ACA20" s="1" t="s">
        <v>15589</v>
      </c>
      <c r="ACB20" s="1" t="s">
        <v>15590</v>
      </c>
      <c r="ACC20" s="1" t="s">
        <v>15591</v>
      </c>
      <c r="ACD20" s="1" t="s">
        <v>15592</v>
      </c>
      <c r="ACE20" s="1" t="s">
        <v>15593</v>
      </c>
      <c r="ACF20" s="1" t="s">
        <v>15594</v>
      </c>
      <c r="ACG20" s="1" t="s">
        <v>15595</v>
      </c>
      <c r="ACH20" s="1" t="s">
        <v>15596</v>
      </c>
      <c r="ACI20" s="1" t="s">
        <v>15597</v>
      </c>
      <c r="ACJ20" s="1" t="s">
        <v>15598</v>
      </c>
      <c r="ACK20" s="1" t="s">
        <v>15599</v>
      </c>
      <c r="ACL20" s="1" t="s">
        <v>15600</v>
      </c>
      <c r="ACM20" s="1" t="s">
        <v>15601</v>
      </c>
      <c r="ACN20" s="1" t="s">
        <v>15602</v>
      </c>
      <c r="ACO20" s="1" t="s">
        <v>15603</v>
      </c>
      <c r="ACP20" s="1" t="s">
        <v>15604</v>
      </c>
      <c r="ACQ20" s="1" t="s">
        <v>15605</v>
      </c>
      <c r="ACR20" s="1" t="s">
        <v>15606</v>
      </c>
      <c r="ACS20" s="1" t="s">
        <v>15607</v>
      </c>
      <c r="ACT20" s="1" t="s">
        <v>15608</v>
      </c>
      <c r="ACU20" s="1" t="s">
        <v>15609</v>
      </c>
      <c r="ACV20" s="1" t="s">
        <v>15610</v>
      </c>
      <c r="ACW20" s="1" t="s">
        <v>6</v>
      </c>
      <c r="ACX20" s="1" t="s">
        <v>1501</v>
      </c>
    </row>
    <row r="21" spans="1:778" x14ac:dyDescent="0.2">
      <c r="A21" s="1" t="s">
        <v>44</v>
      </c>
      <c r="B21" s="1" t="s">
        <v>15611</v>
      </c>
      <c r="C21" s="1" t="s">
        <v>15612</v>
      </c>
      <c r="D21" s="1" t="s">
        <v>15613</v>
      </c>
      <c r="E21" s="1" t="s">
        <v>15614</v>
      </c>
      <c r="F21" s="1" t="s">
        <v>15615</v>
      </c>
      <c r="G21" s="1" t="s">
        <v>15616</v>
      </c>
      <c r="H21" s="1" t="s">
        <v>15617</v>
      </c>
      <c r="I21" s="1" t="s">
        <v>15618</v>
      </c>
      <c r="J21" s="1" t="s">
        <v>15619</v>
      </c>
      <c r="K21" s="1" t="s">
        <v>15620</v>
      </c>
      <c r="L21" s="1" t="s">
        <v>15621</v>
      </c>
      <c r="M21" s="1" t="s">
        <v>15622</v>
      </c>
      <c r="N21" s="1" t="s">
        <v>15623</v>
      </c>
      <c r="O21" s="1" t="s">
        <v>15624</v>
      </c>
      <c r="P21" s="1" t="s">
        <v>15625</v>
      </c>
      <c r="Q21" s="1" t="s">
        <v>15626</v>
      </c>
      <c r="R21" s="1" t="s">
        <v>15627</v>
      </c>
      <c r="S21" s="1" t="s">
        <v>15628</v>
      </c>
      <c r="T21" s="1" t="s">
        <v>15629</v>
      </c>
      <c r="U21" s="1" t="s">
        <v>15630</v>
      </c>
      <c r="V21" s="1" t="s">
        <v>15631</v>
      </c>
      <c r="W21" s="1" t="s">
        <v>15632</v>
      </c>
      <c r="X21" s="1" t="s">
        <v>15633</v>
      </c>
      <c r="Y21" s="1" t="s">
        <v>15634</v>
      </c>
      <c r="Z21" s="1" t="s">
        <v>15635</v>
      </c>
      <c r="AA21" s="1" t="s">
        <v>15636</v>
      </c>
      <c r="AB21" s="1" t="s">
        <v>15637</v>
      </c>
      <c r="AC21" s="1" t="s">
        <v>15638</v>
      </c>
      <c r="AD21" s="1" t="s">
        <v>15639</v>
      </c>
      <c r="AE21" s="1" t="s">
        <v>15640</v>
      </c>
      <c r="AF21" s="1" t="s">
        <v>15641</v>
      </c>
      <c r="AG21" s="1" t="s">
        <v>15642</v>
      </c>
      <c r="AH21" s="1" t="s">
        <v>15643</v>
      </c>
      <c r="AI21" s="1" t="s">
        <v>15644</v>
      </c>
      <c r="AJ21" s="1" t="s">
        <v>15645</v>
      </c>
      <c r="AK21" s="1" t="s">
        <v>15646</v>
      </c>
      <c r="AL21" s="1" t="s">
        <v>15647</v>
      </c>
      <c r="AM21" s="1" t="s">
        <v>15648</v>
      </c>
      <c r="AN21" s="1" t="s">
        <v>15649</v>
      </c>
      <c r="AO21" s="1" t="s">
        <v>15650</v>
      </c>
      <c r="AP21" s="1" t="s">
        <v>15651</v>
      </c>
      <c r="AQ21" s="1" t="s">
        <v>15652</v>
      </c>
      <c r="AR21" s="1" t="s">
        <v>15653</v>
      </c>
      <c r="AS21" s="1" t="s">
        <v>15654</v>
      </c>
      <c r="AT21" s="1" t="s">
        <v>15655</v>
      </c>
      <c r="AU21" s="1" t="s">
        <v>15656</v>
      </c>
      <c r="AV21" s="1" t="s">
        <v>15657</v>
      </c>
      <c r="AW21" s="1" t="s">
        <v>15658</v>
      </c>
      <c r="AX21" s="1" t="s">
        <v>15659</v>
      </c>
      <c r="AY21" s="1" t="s">
        <v>15660</v>
      </c>
      <c r="AZ21" s="1" t="s">
        <v>15661</v>
      </c>
      <c r="BA21" s="1" t="s">
        <v>15662</v>
      </c>
      <c r="BB21" s="1" t="s">
        <v>15663</v>
      </c>
      <c r="BC21" s="1" t="s">
        <v>15664</v>
      </c>
      <c r="BD21" s="1" t="s">
        <v>15665</v>
      </c>
      <c r="BE21" s="1" t="s">
        <v>15666</v>
      </c>
      <c r="BF21" s="1" t="s">
        <v>15667</v>
      </c>
      <c r="BG21" s="1" t="s">
        <v>15668</v>
      </c>
      <c r="BH21" s="1" t="s">
        <v>15669</v>
      </c>
      <c r="BI21" s="1" t="s">
        <v>15670</v>
      </c>
      <c r="BJ21" s="1" t="s">
        <v>15671</v>
      </c>
      <c r="BK21" s="1" t="s">
        <v>15672</v>
      </c>
      <c r="BL21" s="1" t="s">
        <v>15673</v>
      </c>
      <c r="BM21" s="1" t="s">
        <v>15674</v>
      </c>
      <c r="BN21" s="1" t="s">
        <v>15675</v>
      </c>
      <c r="BO21" s="1" t="s">
        <v>15676</v>
      </c>
      <c r="BP21" s="1" t="s">
        <v>15677</v>
      </c>
      <c r="BQ21" s="1" t="s">
        <v>15678</v>
      </c>
      <c r="BR21" s="1" t="s">
        <v>15679</v>
      </c>
      <c r="BS21" s="1" t="s">
        <v>15680</v>
      </c>
      <c r="BT21" s="1" t="s">
        <v>15681</v>
      </c>
      <c r="BU21" s="1" t="s">
        <v>15682</v>
      </c>
      <c r="BV21" s="1" t="s">
        <v>15683</v>
      </c>
      <c r="BW21" s="1" t="s">
        <v>15684</v>
      </c>
      <c r="BX21" s="1" t="s">
        <v>15685</v>
      </c>
      <c r="BY21" s="1" t="s">
        <v>15686</v>
      </c>
      <c r="BZ21" s="1" t="s">
        <v>15687</v>
      </c>
      <c r="CA21" s="1" t="s">
        <v>15688</v>
      </c>
      <c r="CB21" s="1" t="s">
        <v>15689</v>
      </c>
      <c r="CC21" s="1" t="s">
        <v>15690</v>
      </c>
      <c r="CD21" s="1" t="s">
        <v>15691</v>
      </c>
      <c r="CE21" s="1" t="s">
        <v>15692</v>
      </c>
      <c r="CF21" s="1" t="s">
        <v>15693</v>
      </c>
      <c r="CG21" s="1" t="s">
        <v>15694</v>
      </c>
      <c r="CH21" s="1" t="s">
        <v>15695</v>
      </c>
      <c r="CI21" s="1" t="s">
        <v>15696</v>
      </c>
      <c r="CJ21" s="1" t="s">
        <v>15697</v>
      </c>
      <c r="CK21" s="1" t="s">
        <v>15698</v>
      </c>
      <c r="CL21" s="1" t="s">
        <v>15699</v>
      </c>
      <c r="CM21" s="1" t="s">
        <v>15700</v>
      </c>
      <c r="CN21" s="1" t="s">
        <v>15701</v>
      </c>
      <c r="CO21" s="1" t="s">
        <v>15702</v>
      </c>
      <c r="CP21" s="1" t="s">
        <v>15703</v>
      </c>
      <c r="CQ21" s="1" t="s">
        <v>15704</v>
      </c>
      <c r="CR21" s="1" t="s">
        <v>15705</v>
      </c>
      <c r="CS21" s="1" t="s">
        <v>15706</v>
      </c>
      <c r="CT21" s="1" t="s">
        <v>15707</v>
      </c>
      <c r="CU21" s="1" t="s">
        <v>15708</v>
      </c>
      <c r="CV21" s="1" t="s">
        <v>15709</v>
      </c>
      <c r="CW21" s="1" t="s">
        <v>15710</v>
      </c>
      <c r="CX21" s="1" t="s">
        <v>15711</v>
      </c>
      <c r="CY21" s="1" t="s">
        <v>15712</v>
      </c>
      <c r="CZ21" s="1" t="s">
        <v>15713</v>
      </c>
      <c r="DA21" s="1" t="s">
        <v>15714</v>
      </c>
      <c r="DB21" s="1" t="s">
        <v>15715</v>
      </c>
      <c r="DC21" s="1" t="s">
        <v>15716</v>
      </c>
      <c r="DD21" s="1" t="s">
        <v>15717</v>
      </c>
      <c r="DE21" s="1" t="s">
        <v>15718</v>
      </c>
      <c r="DF21" s="1" t="s">
        <v>15719</v>
      </c>
      <c r="DG21" s="1" t="s">
        <v>15720</v>
      </c>
      <c r="DH21" s="1" t="s">
        <v>15721</v>
      </c>
      <c r="DI21" s="1" t="s">
        <v>15722</v>
      </c>
      <c r="DJ21" s="1" t="s">
        <v>15723</v>
      </c>
      <c r="DK21" s="1" t="s">
        <v>15724</v>
      </c>
      <c r="DL21" s="1" t="s">
        <v>15725</v>
      </c>
      <c r="DM21" s="1" t="s">
        <v>15726</v>
      </c>
      <c r="DN21" s="1" t="s">
        <v>15727</v>
      </c>
      <c r="DO21" s="1" t="s">
        <v>15728</v>
      </c>
      <c r="DP21" s="1" t="s">
        <v>15729</v>
      </c>
      <c r="DQ21" s="1" t="s">
        <v>15730</v>
      </c>
      <c r="DR21" s="1" t="s">
        <v>15731</v>
      </c>
      <c r="DS21" s="1" t="s">
        <v>15732</v>
      </c>
      <c r="DT21" s="1" t="s">
        <v>15733</v>
      </c>
      <c r="DU21" s="1" t="s">
        <v>15734</v>
      </c>
      <c r="DV21" s="1" t="s">
        <v>15735</v>
      </c>
      <c r="DW21" s="1" t="s">
        <v>15736</v>
      </c>
      <c r="DX21" s="1" t="s">
        <v>15737</v>
      </c>
      <c r="DY21" s="1" t="s">
        <v>15738</v>
      </c>
      <c r="DZ21" s="1" t="s">
        <v>15739</v>
      </c>
      <c r="EA21" s="1" t="s">
        <v>15740</v>
      </c>
      <c r="EB21" s="1" t="s">
        <v>15741</v>
      </c>
      <c r="EC21" s="1" t="s">
        <v>15742</v>
      </c>
      <c r="ED21" s="1" t="s">
        <v>15743</v>
      </c>
      <c r="EE21" s="1" t="s">
        <v>15744</v>
      </c>
      <c r="EF21" s="1" t="s">
        <v>15745</v>
      </c>
      <c r="EG21" s="1" t="s">
        <v>15746</v>
      </c>
      <c r="EH21" s="1" t="s">
        <v>15747</v>
      </c>
      <c r="EI21" s="1" t="s">
        <v>15748</v>
      </c>
      <c r="EJ21" s="1" t="s">
        <v>15749</v>
      </c>
      <c r="EK21" s="1" t="s">
        <v>15750</v>
      </c>
      <c r="EL21" s="1" t="s">
        <v>15751</v>
      </c>
      <c r="EM21" s="1" t="s">
        <v>15752</v>
      </c>
      <c r="EN21" s="1" t="s">
        <v>15753</v>
      </c>
      <c r="EO21" s="1" t="s">
        <v>15754</v>
      </c>
      <c r="EP21" s="1" t="s">
        <v>15755</v>
      </c>
      <c r="EQ21" s="1" t="s">
        <v>15756</v>
      </c>
      <c r="ER21" s="1" t="s">
        <v>15757</v>
      </c>
      <c r="ES21" s="1" t="s">
        <v>15758</v>
      </c>
      <c r="ET21" s="1" t="s">
        <v>15759</v>
      </c>
      <c r="EU21" s="1" t="s">
        <v>15760</v>
      </c>
      <c r="EV21" s="1" t="s">
        <v>15761</v>
      </c>
      <c r="EW21" s="1" t="s">
        <v>15762</v>
      </c>
      <c r="EX21" s="1" t="s">
        <v>15763</v>
      </c>
      <c r="EY21" s="1" t="s">
        <v>15764</v>
      </c>
      <c r="EZ21" s="1" t="s">
        <v>15765</v>
      </c>
      <c r="FA21" s="1" t="s">
        <v>15766</v>
      </c>
      <c r="FB21" s="1" t="s">
        <v>15767</v>
      </c>
      <c r="FC21" s="1" t="s">
        <v>15768</v>
      </c>
      <c r="FD21" s="1" t="s">
        <v>15769</v>
      </c>
      <c r="FE21" s="1" t="s">
        <v>15770</v>
      </c>
      <c r="FF21" s="1" t="s">
        <v>15771</v>
      </c>
      <c r="FG21" s="1" t="s">
        <v>15772</v>
      </c>
      <c r="FH21" s="1" t="s">
        <v>15773</v>
      </c>
      <c r="FI21" s="1" t="s">
        <v>15774</v>
      </c>
      <c r="FJ21" s="1" t="s">
        <v>15775</v>
      </c>
      <c r="FK21" s="1" t="s">
        <v>15776</v>
      </c>
      <c r="FL21" s="1" t="s">
        <v>15777</v>
      </c>
      <c r="FM21" s="1" t="s">
        <v>15778</v>
      </c>
      <c r="FN21" s="1" t="s">
        <v>15779</v>
      </c>
      <c r="FO21" s="1" t="s">
        <v>15780</v>
      </c>
      <c r="FP21" s="1" t="s">
        <v>15781</v>
      </c>
      <c r="FQ21" s="1" t="s">
        <v>15782</v>
      </c>
      <c r="FR21" s="1" t="s">
        <v>15783</v>
      </c>
      <c r="FS21" s="1" t="s">
        <v>15784</v>
      </c>
      <c r="FT21" s="1" t="s">
        <v>15785</v>
      </c>
      <c r="FU21" s="1" t="s">
        <v>15786</v>
      </c>
      <c r="FV21" s="1" t="s">
        <v>15787</v>
      </c>
      <c r="FW21" s="1" t="s">
        <v>15788</v>
      </c>
      <c r="FX21" s="1" t="s">
        <v>15789</v>
      </c>
      <c r="FY21" s="1" t="s">
        <v>15790</v>
      </c>
      <c r="FZ21" s="1" t="s">
        <v>15791</v>
      </c>
      <c r="GA21" s="1" t="s">
        <v>15792</v>
      </c>
      <c r="GB21" s="1" t="s">
        <v>15793</v>
      </c>
      <c r="GC21" s="1" t="s">
        <v>15794</v>
      </c>
      <c r="GD21" s="1" t="s">
        <v>15795</v>
      </c>
      <c r="GE21" s="1" t="s">
        <v>15796</v>
      </c>
      <c r="GF21" s="1" t="s">
        <v>15797</v>
      </c>
      <c r="GG21" s="1" t="s">
        <v>15798</v>
      </c>
      <c r="GH21" s="1" t="s">
        <v>15799</v>
      </c>
      <c r="GI21" s="1" t="s">
        <v>15800</v>
      </c>
      <c r="GJ21" s="1" t="s">
        <v>15801</v>
      </c>
      <c r="GK21" s="1" t="s">
        <v>15802</v>
      </c>
      <c r="GL21" s="1" t="s">
        <v>15803</v>
      </c>
      <c r="GM21" s="1" t="s">
        <v>15804</v>
      </c>
      <c r="GN21" s="1" t="s">
        <v>15805</v>
      </c>
      <c r="GO21" s="1" t="s">
        <v>15806</v>
      </c>
      <c r="GP21" s="1" t="s">
        <v>15807</v>
      </c>
      <c r="GQ21" s="1" t="s">
        <v>15808</v>
      </c>
      <c r="GR21" s="1" t="s">
        <v>15809</v>
      </c>
      <c r="GS21" s="1" t="s">
        <v>15810</v>
      </c>
      <c r="GT21" s="1" t="s">
        <v>15811</v>
      </c>
      <c r="GU21" s="1" t="s">
        <v>15812</v>
      </c>
      <c r="GV21" s="1" t="s">
        <v>15813</v>
      </c>
      <c r="GW21" s="1" t="s">
        <v>15814</v>
      </c>
      <c r="GX21" s="1" t="s">
        <v>15815</v>
      </c>
      <c r="GY21" s="1" t="s">
        <v>15816</v>
      </c>
      <c r="GZ21" s="1" t="s">
        <v>15817</v>
      </c>
      <c r="HA21" s="1" t="s">
        <v>15818</v>
      </c>
      <c r="HB21" s="1" t="s">
        <v>15819</v>
      </c>
      <c r="HC21" s="1" t="s">
        <v>15820</v>
      </c>
      <c r="HD21" s="1" t="s">
        <v>15821</v>
      </c>
      <c r="HE21" s="1" t="s">
        <v>15822</v>
      </c>
      <c r="HF21" s="1" t="s">
        <v>15823</v>
      </c>
      <c r="HG21" s="1" t="s">
        <v>15824</v>
      </c>
      <c r="HH21" s="1" t="s">
        <v>15825</v>
      </c>
      <c r="HI21" s="1" t="s">
        <v>15826</v>
      </c>
      <c r="HJ21" s="1" t="s">
        <v>15827</v>
      </c>
      <c r="HK21" s="1" t="s">
        <v>15828</v>
      </c>
      <c r="HL21" s="1" t="s">
        <v>15829</v>
      </c>
      <c r="HM21" s="1" t="s">
        <v>15830</v>
      </c>
      <c r="HN21" s="1" t="s">
        <v>15831</v>
      </c>
      <c r="HO21" s="1" t="s">
        <v>15832</v>
      </c>
      <c r="HP21" s="1" t="s">
        <v>15833</v>
      </c>
      <c r="HQ21" s="1" t="s">
        <v>15834</v>
      </c>
      <c r="HR21" s="1" t="s">
        <v>15835</v>
      </c>
      <c r="HS21" s="1" t="s">
        <v>15836</v>
      </c>
      <c r="HT21" s="1" t="s">
        <v>15837</v>
      </c>
      <c r="HU21" s="1" t="s">
        <v>15838</v>
      </c>
      <c r="HV21" s="1" t="s">
        <v>15839</v>
      </c>
      <c r="HW21" s="1" t="s">
        <v>15840</v>
      </c>
      <c r="HX21" s="1" t="s">
        <v>15841</v>
      </c>
      <c r="HY21" s="1" t="s">
        <v>15842</v>
      </c>
      <c r="HZ21" s="1" t="s">
        <v>15843</v>
      </c>
      <c r="IA21" s="1" t="s">
        <v>15844</v>
      </c>
      <c r="IB21" s="1" t="s">
        <v>15845</v>
      </c>
      <c r="IC21" s="1" t="s">
        <v>15846</v>
      </c>
      <c r="ID21" s="1" t="s">
        <v>15847</v>
      </c>
      <c r="IE21" s="1" t="s">
        <v>15848</v>
      </c>
      <c r="IF21" s="1" t="s">
        <v>15849</v>
      </c>
      <c r="IG21" s="1" t="s">
        <v>15850</v>
      </c>
      <c r="IH21" s="1" t="s">
        <v>15851</v>
      </c>
      <c r="II21" s="1" t="s">
        <v>15852</v>
      </c>
      <c r="IJ21" s="1" t="s">
        <v>15853</v>
      </c>
      <c r="IK21" s="1" t="s">
        <v>15854</v>
      </c>
      <c r="IL21" s="1" t="s">
        <v>15855</v>
      </c>
      <c r="IM21" s="1" t="s">
        <v>15856</v>
      </c>
      <c r="IN21" s="1" t="s">
        <v>15857</v>
      </c>
      <c r="IO21" s="1" t="s">
        <v>15858</v>
      </c>
      <c r="IP21" s="1" t="s">
        <v>15859</v>
      </c>
      <c r="IQ21" s="1" t="s">
        <v>15860</v>
      </c>
      <c r="IR21" s="1" t="s">
        <v>15861</v>
      </c>
      <c r="IS21" s="1" t="s">
        <v>15862</v>
      </c>
      <c r="IT21" s="1" t="s">
        <v>15863</v>
      </c>
      <c r="IU21" s="1" t="s">
        <v>15864</v>
      </c>
      <c r="IV21" s="1" t="s">
        <v>15865</v>
      </c>
      <c r="IW21" s="1" t="s">
        <v>15866</v>
      </c>
      <c r="IX21" s="1" t="s">
        <v>15867</v>
      </c>
      <c r="IY21" s="1" t="s">
        <v>15868</v>
      </c>
      <c r="IZ21" s="1" t="s">
        <v>15869</v>
      </c>
      <c r="JA21" s="1" t="s">
        <v>15870</v>
      </c>
      <c r="JB21" s="1" t="s">
        <v>15871</v>
      </c>
      <c r="JC21" s="1" t="s">
        <v>15872</v>
      </c>
      <c r="JD21" s="1" t="s">
        <v>15873</v>
      </c>
      <c r="JE21" s="1" t="s">
        <v>15874</v>
      </c>
      <c r="JF21" s="1" t="s">
        <v>15875</v>
      </c>
      <c r="JG21" s="1" t="s">
        <v>15876</v>
      </c>
      <c r="JH21" s="1" t="s">
        <v>15877</v>
      </c>
      <c r="JI21" s="1" t="s">
        <v>15878</v>
      </c>
      <c r="JJ21" s="1" t="s">
        <v>15879</v>
      </c>
      <c r="JK21" s="1" t="s">
        <v>15880</v>
      </c>
      <c r="JL21" s="1" t="s">
        <v>15881</v>
      </c>
      <c r="JM21" s="1" t="s">
        <v>15882</v>
      </c>
      <c r="JN21" s="1" t="s">
        <v>15883</v>
      </c>
      <c r="JO21" s="1" t="s">
        <v>15884</v>
      </c>
      <c r="JP21" s="1" t="s">
        <v>15885</v>
      </c>
      <c r="JQ21" s="1" t="s">
        <v>15886</v>
      </c>
      <c r="JR21" s="1" t="s">
        <v>15887</v>
      </c>
      <c r="JS21" s="1" t="s">
        <v>15888</v>
      </c>
      <c r="JT21" s="1" t="s">
        <v>15889</v>
      </c>
      <c r="JU21" s="1" t="s">
        <v>15890</v>
      </c>
      <c r="JV21" s="1" t="s">
        <v>15891</v>
      </c>
      <c r="JW21" s="1" t="s">
        <v>15892</v>
      </c>
      <c r="JX21" s="1" t="s">
        <v>15893</v>
      </c>
      <c r="JY21" s="1" t="s">
        <v>15894</v>
      </c>
      <c r="JZ21" s="1" t="s">
        <v>15895</v>
      </c>
      <c r="KA21" s="1" t="s">
        <v>15896</v>
      </c>
      <c r="KB21" s="1" t="s">
        <v>15897</v>
      </c>
      <c r="KC21" s="1" t="s">
        <v>15898</v>
      </c>
      <c r="KD21" s="1" t="s">
        <v>15899</v>
      </c>
      <c r="KE21" s="1" t="s">
        <v>15900</v>
      </c>
      <c r="KF21" s="1" t="s">
        <v>15901</v>
      </c>
      <c r="KG21" s="1" t="s">
        <v>15902</v>
      </c>
      <c r="KH21" s="1" t="s">
        <v>15903</v>
      </c>
      <c r="KI21" s="1" t="s">
        <v>15904</v>
      </c>
      <c r="KJ21" s="1" t="s">
        <v>15905</v>
      </c>
      <c r="KK21" s="1" t="s">
        <v>15906</v>
      </c>
      <c r="KL21" s="1" t="s">
        <v>15907</v>
      </c>
      <c r="KM21" s="1" t="s">
        <v>15908</v>
      </c>
      <c r="KN21" s="1" t="s">
        <v>15909</v>
      </c>
      <c r="KO21" s="1" t="s">
        <v>15910</v>
      </c>
      <c r="KP21" s="1" t="s">
        <v>15911</v>
      </c>
      <c r="KQ21" s="1" t="s">
        <v>15912</v>
      </c>
      <c r="KR21" s="1" t="s">
        <v>15913</v>
      </c>
      <c r="KS21" s="1" t="s">
        <v>15914</v>
      </c>
      <c r="KT21" s="1" t="s">
        <v>15915</v>
      </c>
      <c r="KU21" s="1" t="s">
        <v>15916</v>
      </c>
      <c r="KV21" s="1" t="s">
        <v>15917</v>
      </c>
      <c r="KW21" s="1" t="s">
        <v>15918</v>
      </c>
      <c r="KX21" s="1" t="s">
        <v>15919</v>
      </c>
      <c r="KY21" s="1" t="s">
        <v>15920</v>
      </c>
      <c r="KZ21" s="1" t="s">
        <v>15921</v>
      </c>
      <c r="LA21" s="1" t="s">
        <v>15922</v>
      </c>
      <c r="LB21" s="1" t="s">
        <v>15923</v>
      </c>
      <c r="LC21" s="1" t="s">
        <v>15924</v>
      </c>
      <c r="LD21" s="1" t="s">
        <v>15925</v>
      </c>
      <c r="LE21" s="1" t="s">
        <v>15926</v>
      </c>
      <c r="LF21" s="1" t="s">
        <v>15927</v>
      </c>
      <c r="LG21" s="1" t="s">
        <v>15928</v>
      </c>
      <c r="LH21" s="1" t="s">
        <v>15929</v>
      </c>
      <c r="LI21" s="1" t="s">
        <v>15930</v>
      </c>
      <c r="LJ21" s="1" t="s">
        <v>15931</v>
      </c>
      <c r="LK21" s="1" t="s">
        <v>15932</v>
      </c>
      <c r="LL21" s="1" t="s">
        <v>15933</v>
      </c>
      <c r="LM21" s="1" t="s">
        <v>15934</v>
      </c>
      <c r="LN21" s="1" t="s">
        <v>15935</v>
      </c>
      <c r="LO21" s="1" t="s">
        <v>15936</v>
      </c>
      <c r="LP21" s="1" t="s">
        <v>15937</v>
      </c>
      <c r="LQ21" s="1" t="s">
        <v>15938</v>
      </c>
      <c r="LR21" s="1" t="s">
        <v>15939</v>
      </c>
      <c r="LS21" s="1" t="s">
        <v>15940</v>
      </c>
      <c r="LT21" s="1" t="s">
        <v>15941</v>
      </c>
      <c r="LU21" s="1" t="s">
        <v>15942</v>
      </c>
      <c r="LV21" s="1" t="s">
        <v>15943</v>
      </c>
      <c r="LW21" s="1" t="s">
        <v>15944</v>
      </c>
      <c r="LX21" s="1" t="s">
        <v>15945</v>
      </c>
      <c r="LY21" s="1" t="s">
        <v>15946</v>
      </c>
      <c r="LZ21" s="1" t="s">
        <v>15947</v>
      </c>
      <c r="MA21" s="1" t="s">
        <v>15948</v>
      </c>
      <c r="MB21" s="1" t="s">
        <v>15949</v>
      </c>
      <c r="MC21" s="1" t="s">
        <v>15950</v>
      </c>
      <c r="MD21" s="1" t="s">
        <v>15951</v>
      </c>
      <c r="ME21" s="1" t="s">
        <v>15952</v>
      </c>
      <c r="MF21" s="1" t="s">
        <v>15953</v>
      </c>
      <c r="MG21" s="1" t="s">
        <v>15954</v>
      </c>
      <c r="MH21" s="1" t="s">
        <v>15955</v>
      </c>
      <c r="MI21" s="1" t="s">
        <v>15956</v>
      </c>
      <c r="MJ21" s="1" t="s">
        <v>15957</v>
      </c>
      <c r="MK21" s="1" t="s">
        <v>15958</v>
      </c>
      <c r="ML21" s="1" t="s">
        <v>15959</v>
      </c>
      <c r="MM21" s="1" t="s">
        <v>15960</v>
      </c>
      <c r="MN21" s="1" t="s">
        <v>15961</v>
      </c>
      <c r="MO21" s="1" t="s">
        <v>15962</v>
      </c>
      <c r="MP21" s="1" t="s">
        <v>15963</v>
      </c>
      <c r="MQ21" s="1" t="s">
        <v>15964</v>
      </c>
      <c r="MR21" s="1" t="s">
        <v>15965</v>
      </c>
      <c r="MS21" s="1" t="s">
        <v>15966</v>
      </c>
      <c r="MT21" s="1" t="s">
        <v>15967</v>
      </c>
      <c r="MU21" s="1" t="s">
        <v>15968</v>
      </c>
      <c r="MV21" s="1" t="s">
        <v>15969</v>
      </c>
      <c r="MW21" s="1" t="s">
        <v>15970</v>
      </c>
      <c r="MX21" s="1" t="s">
        <v>15971</v>
      </c>
      <c r="MY21" s="1" t="s">
        <v>15972</v>
      </c>
      <c r="MZ21" s="1" t="s">
        <v>15973</v>
      </c>
      <c r="NA21" s="1" t="s">
        <v>15974</v>
      </c>
      <c r="NB21" s="1" t="s">
        <v>15975</v>
      </c>
      <c r="NC21" s="1" t="s">
        <v>15976</v>
      </c>
      <c r="ND21" s="1" t="s">
        <v>15977</v>
      </c>
      <c r="NE21" s="1" t="s">
        <v>15978</v>
      </c>
      <c r="NF21" s="1" t="s">
        <v>15979</v>
      </c>
      <c r="NG21" s="1" t="s">
        <v>15980</v>
      </c>
      <c r="NH21" s="1" t="s">
        <v>15981</v>
      </c>
      <c r="NI21" s="1" t="s">
        <v>15982</v>
      </c>
      <c r="NJ21" s="1" t="s">
        <v>15983</v>
      </c>
      <c r="NK21" s="1" t="s">
        <v>15984</v>
      </c>
      <c r="NL21" s="1" t="s">
        <v>15985</v>
      </c>
      <c r="NM21" s="1" t="s">
        <v>15986</v>
      </c>
      <c r="NN21" s="1" t="s">
        <v>15987</v>
      </c>
      <c r="NO21" s="1" t="s">
        <v>15988</v>
      </c>
      <c r="NP21" s="1" t="s">
        <v>15989</v>
      </c>
      <c r="NQ21" s="1" t="s">
        <v>15990</v>
      </c>
      <c r="NR21" s="1" t="s">
        <v>15991</v>
      </c>
      <c r="NS21" s="1" t="s">
        <v>15992</v>
      </c>
      <c r="NT21" s="1" t="s">
        <v>15993</v>
      </c>
      <c r="NU21" s="1" t="s">
        <v>15994</v>
      </c>
      <c r="NV21" s="1" t="s">
        <v>15995</v>
      </c>
      <c r="NW21" s="1" t="s">
        <v>15996</v>
      </c>
      <c r="NX21" s="1" t="s">
        <v>15997</v>
      </c>
      <c r="NY21" s="1" t="s">
        <v>15998</v>
      </c>
      <c r="NZ21" s="1" t="s">
        <v>15999</v>
      </c>
      <c r="OA21" s="1" t="s">
        <v>16000</v>
      </c>
      <c r="OB21" s="1" t="s">
        <v>16001</v>
      </c>
      <c r="OC21" s="1" t="s">
        <v>16002</v>
      </c>
      <c r="OD21" s="1" t="s">
        <v>16003</v>
      </c>
      <c r="OE21" s="1" t="s">
        <v>16004</v>
      </c>
      <c r="OF21" s="1" t="s">
        <v>16005</v>
      </c>
      <c r="OG21" s="1" t="s">
        <v>16006</v>
      </c>
      <c r="OH21" s="1" t="s">
        <v>16007</v>
      </c>
      <c r="OI21" s="1" t="s">
        <v>16008</v>
      </c>
      <c r="OJ21" s="1" t="s">
        <v>16009</v>
      </c>
      <c r="OK21" s="1" t="s">
        <v>16010</v>
      </c>
      <c r="OL21" s="1" t="s">
        <v>16011</v>
      </c>
      <c r="OM21" s="1" t="s">
        <v>16012</v>
      </c>
      <c r="ON21" s="1" t="s">
        <v>16013</v>
      </c>
      <c r="OO21" s="1" t="s">
        <v>16014</v>
      </c>
      <c r="OP21" s="1" t="s">
        <v>16015</v>
      </c>
      <c r="OQ21" s="1" t="s">
        <v>16016</v>
      </c>
      <c r="OR21" s="1" t="s">
        <v>16017</v>
      </c>
      <c r="OS21" s="1" t="s">
        <v>16018</v>
      </c>
      <c r="OT21" s="1" t="s">
        <v>16019</v>
      </c>
      <c r="OU21" s="1" t="s">
        <v>16020</v>
      </c>
      <c r="OV21" s="1" t="s">
        <v>16021</v>
      </c>
      <c r="OW21" s="1" t="s">
        <v>16022</v>
      </c>
      <c r="OX21" s="1" t="s">
        <v>16023</v>
      </c>
      <c r="OY21" s="1" t="s">
        <v>16024</v>
      </c>
      <c r="OZ21" s="1" t="s">
        <v>16025</v>
      </c>
      <c r="PA21" s="1" t="s">
        <v>16026</v>
      </c>
      <c r="PB21" s="1" t="s">
        <v>16027</v>
      </c>
      <c r="PC21" s="1" t="s">
        <v>16028</v>
      </c>
      <c r="PD21" s="1" t="s">
        <v>16029</v>
      </c>
      <c r="PE21" s="1" t="s">
        <v>16030</v>
      </c>
      <c r="PF21" s="1" t="s">
        <v>16031</v>
      </c>
      <c r="PG21" s="1" t="s">
        <v>16032</v>
      </c>
      <c r="PH21" s="1" t="s">
        <v>16033</v>
      </c>
      <c r="PI21" s="1" t="s">
        <v>16034</v>
      </c>
      <c r="PJ21" s="1" t="s">
        <v>16035</v>
      </c>
      <c r="PK21" s="1" t="s">
        <v>16036</v>
      </c>
      <c r="PL21" s="1" t="s">
        <v>16037</v>
      </c>
      <c r="PM21" s="1" t="s">
        <v>16038</v>
      </c>
      <c r="PN21" s="1" t="s">
        <v>16039</v>
      </c>
      <c r="PO21" s="1" t="s">
        <v>16040</v>
      </c>
      <c r="PP21" s="1" t="s">
        <v>16041</v>
      </c>
      <c r="PQ21" s="1" t="s">
        <v>16042</v>
      </c>
      <c r="PR21" s="1" t="s">
        <v>16043</v>
      </c>
      <c r="PS21" s="1" t="s">
        <v>16044</v>
      </c>
      <c r="PT21" s="1" t="s">
        <v>16045</v>
      </c>
      <c r="PU21" s="1" t="s">
        <v>16046</v>
      </c>
      <c r="PV21" s="1" t="s">
        <v>16047</v>
      </c>
      <c r="PW21" s="1" t="s">
        <v>16048</v>
      </c>
      <c r="PX21" s="1" t="s">
        <v>16049</v>
      </c>
      <c r="PY21" s="1" t="s">
        <v>16050</v>
      </c>
      <c r="PZ21" s="1" t="s">
        <v>16051</v>
      </c>
      <c r="QA21" s="1" t="s">
        <v>16052</v>
      </c>
      <c r="QB21" s="1" t="s">
        <v>16053</v>
      </c>
      <c r="QC21" s="1" t="s">
        <v>16054</v>
      </c>
      <c r="QD21" s="1" t="s">
        <v>16055</v>
      </c>
      <c r="QE21" s="1" t="s">
        <v>16056</v>
      </c>
      <c r="QF21" s="1" t="s">
        <v>16057</v>
      </c>
      <c r="QG21" s="1" t="s">
        <v>16058</v>
      </c>
      <c r="QH21" s="1" t="s">
        <v>16059</v>
      </c>
      <c r="QI21" s="1" t="s">
        <v>16060</v>
      </c>
      <c r="QJ21" s="1" t="s">
        <v>16061</v>
      </c>
      <c r="QK21" s="1" t="s">
        <v>16062</v>
      </c>
      <c r="QL21" s="1" t="s">
        <v>16063</v>
      </c>
      <c r="QM21" s="1" t="s">
        <v>16064</v>
      </c>
      <c r="QN21" s="1" t="s">
        <v>16065</v>
      </c>
      <c r="QO21" s="1" t="s">
        <v>16066</v>
      </c>
      <c r="QP21" s="1" t="s">
        <v>16067</v>
      </c>
      <c r="QQ21" s="1" t="s">
        <v>16068</v>
      </c>
      <c r="QR21" s="1" t="s">
        <v>16069</v>
      </c>
      <c r="QS21" s="1" t="s">
        <v>16070</v>
      </c>
      <c r="QT21" s="1" t="s">
        <v>16071</v>
      </c>
      <c r="QU21" s="1" t="s">
        <v>16072</v>
      </c>
      <c r="QV21" s="1" t="s">
        <v>16073</v>
      </c>
      <c r="QW21" s="1" t="s">
        <v>16074</v>
      </c>
      <c r="QX21" s="1" t="s">
        <v>16075</v>
      </c>
      <c r="QY21" s="1" t="s">
        <v>16076</v>
      </c>
      <c r="QZ21" s="1" t="s">
        <v>16077</v>
      </c>
      <c r="RA21" s="1" t="s">
        <v>16078</v>
      </c>
      <c r="RB21" s="1" t="s">
        <v>16079</v>
      </c>
      <c r="RC21" s="1" t="s">
        <v>16080</v>
      </c>
      <c r="RD21" s="1" t="s">
        <v>16081</v>
      </c>
      <c r="RE21" s="1" t="s">
        <v>16082</v>
      </c>
      <c r="RF21" s="1" t="s">
        <v>16083</v>
      </c>
      <c r="RG21" s="1" t="s">
        <v>16084</v>
      </c>
      <c r="RH21" s="1" t="s">
        <v>16085</v>
      </c>
      <c r="RI21" s="1" t="s">
        <v>16086</v>
      </c>
      <c r="RJ21" s="1" t="s">
        <v>16087</v>
      </c>
      <c r="RK21" s="1" t="s">
        <v>16088</v>
      </c>
      <c r="RL21" s="1" t="s">
        <v>16089</v>
      </c>
      <c r="RM21" s="1" t="s">
        <v>16090</v>
      </c>
      <c r="RN21" s="1" t="s">
        <v>16091</v>
      </c>
      <c r="RO21" s="1" t="s">
        <v>16092</v>
      </c>
      <c r="RP21" s="1" t="s">
        <v>16093</v>
      </c>
      <c r="RQ21" s="1" t="s">
        <v>16094</v>
      </c>
      <c r="RR21" s="1" t="s">
        <v>16095</v>
      </c>
      <c r="RS21" s="1" t="s">
        <v>16096</v>
      </c>
      <c r="RT21" s="1" t="s">
        <v>16097</v>
      </c>
      <c r="RU21" s="1" t="s">
        <v>16098</v>
      </c>
      <c r="RV21" s="1" t="s">
        <v>16099</v>
      </c>
      <c r="RW21" s="1" t="s">
        <v>16100</v>
      </c>
      <c r="RX21" s="1" t="s">
        <v>16101</v>
      </c>
      <c r="RY21" s="1" t="s">
        <v>16102</v>
      </c>
      <c r="RZ21" s="1" t="s">
        <v>16103</v>
      </c>
      <c r="SA21" s="1" t="s">
        <v>16104</v>
      </c>
      <c r="SB21" s="1" t="s">
        <v>16105</v>
      </c>
      <c r="SC21" s="1" t="s">
        <v>16106</v>
      </c>
      <c r="SD21" s="1" t="s">
        <v>16107</v>
      </c>
      <c r="SE21" s="1" t="s">
        <v>16108</v>
      </c>
      <c r="SF21" s="1" t="s">
        <v>16109</v>
      </c>
      <c r="SG21" s="1" t="s">
        <v>16110</v>
      </c>
      <c r="SH21" s="1" t="s">
        <v>16111</v>
      </c>
      <c r="SI21" s="1" t="s">
        <v>16112</v>
      </c>
      <c r="SJ21" s="1" t="s">
        <v>16113</v>
      </c>
      <c r="SK21" s="1" t="s">
        <v>16114</v>
      </c>
      <c r="SL21" s="1" t="s">
        <v>16115</v>
      </c>
      <c r="SM21" s="1" t="s">
        <v>16116</v>
      </c>
      <c r="SN21" s="1" t="s">
        <v>16117</v>
      </c>
      <c r="SO21" s="1" t="s">
        <v>16118</v>
      </c>
      <c r="SP21" s="1" t="s">
        <v>16119</v>
      </c>
      <c r="SQ21" s="1" t="s">
        <v>16120</v>
      </c>
      <c r="SR21" s="1" t="s">
        <v>16121</v>
      </c>
      <c r="SS21" s="1" t="s">
        <v>16122</v>
      </c>
      <c r="ST21" s="1" t="s">
        <v>16123</v>
      </c>
      <c r="SU21" s="1" t="s">
        <v>16124</v>
      </c>
      <c r="SV21" s="1" t="s">
        <v>16125</v>
      </c>
      <c r="SW21" s="1" t="s">
        <v>16126</v>
      </c>
      <c r="SX21" s="1" t="s">
        <v>16127</v>
      </c>
      <c r="SY21" s="1" t="s">
        <v>16128</v>
      </c>
      <c r="SZ21" s="1" t="s">
        <v>16129</v>
      </c>
      <c r="TA21" s="1" t="s">
        <v>16130</v>
      </c>
      <c r="TB21" s="1" t="s">
        <v>16131</v>
      </c>
      <c r="TC21" s="1" t="s">
        <v>16132</v>
      </c>
      <c r="TD21" s="1" t="s">
        <v>16133</v>
      </c>
      <c r="TE21" s="1" t="s">
        <v>16134</v>
      </c>
      <c r="TF21" s="1" t="s">
        <v>16135</v>
      </c>
      <c r="TG21" s="1" t="s">
        <v>16136</v>
      </c>
      <c r="TH21" s="1" t="s">
        <v>16137</v>
      </c>
      <c r="TI21" s="1" t="s">
        <v>16138</v>
      </c>
      <c r="TJ21" s="1" t="s">
        <v>16139</v>
      </c>
      <c r="TK21" s="1" t="s">
        <v>16140</v>
      </c>
      <c r="TL21" s="1" t="s">
        <v>16141</v>
      </c>
      <c r="TM21" s="1" t="s">
        <v>16142</v>
      </c>
      <c r="TN21" s="1" t="s">
        <v>16143</v>
      </c>
      <c r="TO21" s="1" t="s">
        <v>16144</v>
      </c>
      <c r="TP21" s="1" t="s">
        <v>16145</v>
      </c>
      <c r="TQ21" s="1" t="s">
        <v>16146</v>
      </c>
      <c r="TR21" s="1" t="s">
        <v>16147</v>
      </c>
      <c r="TS21" s="1" t="s">
        <v>16148</v>
      </c>
      <c r="TT21" s="1" t="s">
        <v>16149</v>
      </c>
      <c r="TU21" s="1" t="s">
        <v>16150</v>
      </c>
      <c r="TV21" s="1" t="s">
        <v>16151</v>
      </c>
      <c r="TW21" s="1" t="s">
        <v>16152</v>
      </c>
      <c r="TX21" s="1" t="s">
        <v>16153</v>
      </c>
      <c r="TY21" s="1" t="s">
        <v>16154</v>
      </c>
      <c r="TZ21" s="1" t="s">
        <v>16155</v>
      </c>
      <c r="UA21" s="1" t="s">
        <v>16156</v>
      </c>
      <c r="UB21" s="1" t="s">
        <v>16157</v>
      </c>
      <c r="UC21" s="1" t="s">
        <v>16158</v>
      </c>
      <c r="UD21" s="1" t="s">
        <v>16159</v>
      </c>
      <c r="UE21" s="1" t="s">
        <v>16160</v>
      </c>
      <c r="UF21" s="1" t="s">
        <v>16161</v>
      </c>
      <c r="UG21" s="1" t="s">
        <v>16162</v>
      </c>
      <c r="UH21" s="1" t="s">
        <v>16163</v>
      </c>
      <c r="UI21" s="1" t="s">
        <v>16164</v>
      </c>
      <c r="UJ21" s="1" t="s">
        <v>16165</v>
      </c>
      <c r="UK21" s="1" t="s">
        <v>16166</v>
      </c>
      <c r="UL21" s="1" t="s">
        <v>16167</v>
      </c>
      <c r="UM21" s="1" t="s">
        <v>16168</v>
      </c>
      <c r="UN21" s="1" t="s">
        <v>16169</v>
      </c>
      <c r="UO21" s="1" t="s">
        <v>16170</v>
      </c>
      <c r="UP21" s="1" t="s">
        <v>16171</v>
      </c>
      <c r="UQ21" s="1" t="s">
        <v>16172</v>
      </c>
      <c r="UR21" s="1" t="s">
        <v>16173</v>
      </c>
      <c r="US21" s="1" t="s">
        <v>16174</v>
      </c>
      <c r="UT21" s="1" t="s">
        <v>16175</v>
      </c>
      <c r="UU21" s="1" t="s">
        <v>16176</v>
      </c>
      <c r="UV21" s="1" t="s">
        <v>16177</v>
      </c>
      <c r="UW21" s="1" t="s">
        <v>16178</v>
      </c>
      <c r="UX21" s="1" t="s">
        <v>16179</v>
      </c>
      <c r="UY21" s="1" t="s">
        <v>16180</v>
      </c>
      <c r="UZ21" s="1" t="s">
        <v>16181</v>
      </c>
      <c r="VA21" s="1" t="s">
        <v>16182</v>
      </c>
      <c r="VB21" s="1" t="s">
        <v>16183</v>
      </c>
      <c r="VC21" s="1" t="s">
        <v>16184</v>
      </c>
      <c r="VD21" s="1" t="s">
        <v>16185</v>
      </c>
      <c r="VE21" s="1" t="s">
        <v>16186</v>
      </c>
      <c r="VF21" s="1" t="s">
        <v>16187</v>
      </c>
      <c r="VG21" s="1" t="s">
        <v>16188</v>
      </c>
      <c r="VH21" s="1" t="s">
        <v>16189</v>
      </c>
      <c r="VI21" s="1" t="s">
        <v>16190</v>
      </c>
      <c r="VJ21" s="1" t="s">
        <v>16191</v>
      </c>
      <c r="VK21" s="1" t="s">
        <v>16192</v>
      </c>
      <c r="VL21" s="1" t="s">
        <v>16193</v>
      </c>
      <c r="VM21" s="1" t="s">
        <v>16194</v>
      </c>
      <c r="VN21" s="1" t="s">
        <v>16195</v>
      </c>
      <c r="VO21" s="1" t="s">
        <v>16196</v>
      </c>
      <c r="VP21" s="1" t="s">
        <v>16197</v>
      </c>
      <c r="VQ21" s="1" t="s">
        <v>16198</v>
      </c>
      <c r="VR21" s="1" t="s">
        <v>16199</v>
      </c>
      <c r="VS21" s="1" t="s">
        <v>16200</v>
      </c>
      <c r="VT21" s="1" t="s">
        <v>16201</v>
      </c>
      <c r="VU21" s="1" t="s">
        <v>16202</v>
      </c>
      <c r="VV21" s="1" t="s">
        <v>16203</v>
      </c>
      <c r="VW21" s="1" t="s">
        <v>16204</v>
      </c>
      <c r="VX21" s="1" t="s">
        <v>16205</v>
      </c>
      <c r="VY21" s="1" t="s">
        <v>16206</v>
      </c>
      <c r="VZ21" s="1" t="s">
        <v>16207</v>
      </c>
      <c r="WA21" s="1" t="s">
        <v>16208</v>
      </c>
      <c r="WB21" s="1" t="s">
        <v>16209</v>
      </c>
      <c r="WC21" s="1" t="s">
        <v>16210</v>
      </c>
      <c r="WD21" s="1" t="s">
        <v>16211</v>
      </c>
      <c r="WE21" s="1" t="s">
        <v>16212</v>
      </c>
      <c r="WF21" s="1" t="s">
        <v>16213</v>
      </c>
      <c r="WG21" s="1" t="s">
        <v>16214</v>
      </c>
      <c r="WH21" s="1" t="s">
        <v>16215</v>
      </c>
      <c r="WI21" s="1" t="s">
        <v>16216</v>
      </c>
      <c r="WJ21" s="1" t="s">
        <v>16217</v>
      </c>
      <c r="WK21" s="1" t="s">
        <v>16218</v>
      </c>
      <c r="WL21" s="1" t="s">
        <v>16219</v>
      </c>
      <c r="WM21" s="1" t="s">
        <v>16220</v>
      </c>
      <c r="WN21" s="1" t="s">
        <v>16221</v>
      </c>
      <c r="WO21" s="1" t="s">
        <v>16222</v>
      </c>
      <c r="WP21" s="1" t="s">
        <v>16223</v>
      </c>
      <c r="WQ21" s="1" t="s">
        <v>16224</v>
      </c>
      <c r="WR21" s="1" t="s">
        <v>16225</v>
      </c>
      <c r="WS21" s="1" t="s">
        <v>16226</v>
      </c>
      <c r="WT21" s="1" t="s">
        <v>16227</v>
      </c>
      <c r="WU21" s="1" t="s">
        <v>16228</v>
      </c>
      <c r="WV21" s="1" t="s">
        <v>16229</v>
      </c>
      <c r="WW21" s="1" t="s">
        <v>16230</v>
      </c>
      <c r="WX21" s="1" t="s">
        <v>16231</v>
      </c>
      <c r="WY21" s="1" t="s">
        <v>16232</v>
      </c>
      <c r="WZ21" s="1" t="s">
        <v>16233</v>
      </c>
      <c r="XA21" s="1" t="s">
        <v>16234</v>
      </c>
      <c r="XB21" s="1" t="s">
        <v>16235</v>
      </c>
      <c r="XC21" s="1" t="s">
        <v>16236</v>
      </c>
      <c r="XD21" s="1" t="s">
        <v>16237</v>
      </c>
      <c r="XE21" s="1" t="s">
        <v>16238</v>
      </c>
      <c r="XF21" s="1" t="s">
        <v>16239</v>
      </c>
      <c r="XG21" s="1" t="s">
        <v>16240</v>
      </c>
      <c r="XH21" s="1" t="s">
        <v>16241</v>
      </c>
      <c r="XI21" s="1" t="s">
        <v>16242</v>
      </c>
      <c r="XJ21" s="1" t="s">
        <v>16243</v>
      </c>
      <c r="XK21" s="1" t="s">
        <v>16244</v>
      </c>
      <c r="XL21" s="1" t="s">
        <v>16245</v>
      </c>
      <c r="XM21" s="1" t="s">
        <v>16246</v>
      </c>
      <c r="XN21" s="1" t="s">
        <v>16247</v>
      </c>
      <c r="XO21" s="1" t="s">
        <v>16248</v>
      </c>
      <c r="XP21" s="1" t="s">
        <v>16249</v>
      </c>
      <c r="XQ21" s="1" t="s">
        <v>16250</v>
      </c>
      <c r="XR21" s="1" t="s">
        <v>16251</v>
      </c>
      <c r="XS21" s="1" t="s">
        <v>16252</v>
      </c>
      <c r="XT21" s="1" t="s">
        <v>16253</v>
      </c>
      <c r="XU21" s="1" t="s">
        <v>16254</v>
      </c>
      <c r="XV21" s="1" t="s">
        <v>16255</v>
      </c>
      <c r="XW21" s="1" t="s">
        <v>16256</v>
      </c>
      <c r="XX21" s="1" t="s">
        <v>16257</v>
      </c>
      <c r="XY21" s="1" t="s">
        <v>16258</v>
      </c>
      <c r="XZ21" s="1" t="s">
        <v>16259</v>
      </c>
      <c r="YA21" s="1" t="s">
        <v>16260</v>
      </c>
      <c r="YB21" s="1" t="s">
        <v>16261</v>
      </c>
      <c r="YC21" s="1" t="s">
        <v>16262</v>
      </c>
      <c r="YD21" s="1" t="s">
        <v>16263</v>
      </c>
      <c r="YE21" s="1" t="s">
        <v>16264</v>
      </c>
      <c r="YF21" s="1" t="s">
        <v>16265</v>
      </c>
      <c r="YG21" s="1" t="s">
        <v>16266</v>
      </c>
      <c r="YH21" s="1" t="s">
        <v>16267</v>
      </c>
      <c r="YI21" s="1" t="s">
        <v>16268</v>
      </c>
      <c r="YJ21" s="1" t="s">
        <v>16269</v>
      </c>
      <c r="YK21" s="1" t="s">
        <v>16270</v>
      </c>
      <c r="YL21" s="1" t="s">
        <v>16271</v>
      </c>
      <c r="YM21" s="1" t="s">
        <v>16272</v>
      </c>
      <c r="YN21" s="1" t="s">
        <v>16273</v>
      </c>
      <c r="YO21" s="1" t="s">
        <v>16274</v>
      </c>
      <c r="YP21" s="1" t="s">
        <v>16275</v>
      </c>
      <c r="YQ21" s="1" t="s">
        <v>16276</v>
      </c>
      <c r="YR21" s="1" t="s">
        <v>16277</v>
      </c>
      <c r="YS21" s="1" t="s">
        <v>16278</v>
      </c>
      <c r="YT21" s="1" t="s">
        <v>16279</v>
      </c>
      <c r="YU21" s="1" t="s">
        <v>16280</v>
      </c>
      <c r="YV21" s="1" t="s">
        <v>16281</v>
      </c>
      <c r="YW21" s="1" t="s">
        <v>16282</v>
      </c>
      <c r="YX21" s="1" t="s">
        <v>16283</v>
      </c>
      <c r="YY21" s="1" t="s">
        <v>16284</v>
      </c>
      <c r="YZ21" s="1" t="s">
        <v>16285</v>
      </c>
      <c r="ZA21" s="1" t="s">
        <v>16286</v>
      </c>
      <c r="ZB21" s="1" t="s">
        <v>16287</v>
      </c>
      <c r="ZC21" s="1" t="s">
        <v>16288</v>
      </c>
      <c r="ZD21" s="1" t="s">
        <v>16289</v>
      </c>
      <c r="ZE21" s="1" t="s">
        <v>16290</v>
      </c>
      <c r="ZF21" s="1" t="s">
        <v>16291</v>
      </c>
      <c r="ZG21" s="1" t="s">
        <v>16292</v>
      </c>
      <c r="ZH21" s="1" t="s">
        <v>16293</v>
      </c>
      <c r="ZI21" s="1" t="s">
        <v>16294</v>
      </c>
      <c r="ZJ21" s="1" t="s">
        <v>16295</v>
      </c>
      <c r="ZK21" s="1" t="s">
        <v>16296</v>
      </c>
      <c r="ZL21" s="1" t="s">
        <v>16297</v>
      </c>
      <c r="ZM21" s="1" t="s">
        <v>16298</v>
      </c>
      <c r="ZN21" s="1" t="s">
        <v>16299</v>
      </c>
      <c r="ZO21" s="1" t="s">
        <v>16300</v>
      </c>
      <c r="ZP21" s="1" t="s">
        <v>16301</v>
      </c>
      <c r="ZQ21" s="1" t="s">
        <v>16302</v>
      </c>
      <c r="ZR21" s="1" t="s">
        <v>16303</v>
      </c>
      <c r="ZS21" s="1" t="s">
        <v>16304</v>
      </c>
      <c r="ZT21" s="1" t="s">
        <v>16305</v>
      </c>
      <c r="ZU21" s="1" t="s">
        <v>16306</v>
      </c>
      <c r="ZV21" s="1" t="s">
        <v>16307</v>
      </c>
      <c r="ZW21" s="1" t="s">
        <v>16308</v>
      </c>
      <c r="ZX21" s="1" t="s">
        <v>16309</v>
      </c>
      <c r="ZY21" s="1" t="s">
        <v>16310</v>
      </c>
      <c r="ZZ21" s="1" t="s">
        <v>16311</v>
      </c>
      <c r="AAA21" s="1" t="s">
        <v>16312</v>
      </c>
      <c r="AAB21" s="1" t="s">
        <v>16313</v>
      </c>
      <c r="AAC21" s="1" t="s">
        <v>16314</v>
      </c>
      <c r="AAD21" s="1" t="s">
        <v>16315</v>
      </c>
      <c r="AAE21" s="1" t="s">
        <v>16316</v>
      </c>
      <c r="AAF21" s="1" t="s">
        <v>16317</v>
      </c>
      <c r="AAG21" s="1" t="s">
        <v>16318</v>
      </c>
      <c r="AAH21" s="1" t="s">
        <v>16319</v>
      </c>
      <c r="AAI21" s="1" t="s">
        <v>16320</v>
      </c>
      <c r="AAJ21" s="1" t="s">
        <v>16321</v>
      </c>
      <c r="AAK21" s="1" t="s">
        <v>16322</v>
      </c>
      <c r="AAL21" s="1" t="s">
        <v>16323</v>
      </c>
      <c r="AAM21" s="1" t="s">
        <v>16324</v>
      </c>
      <c r="AAN21" s="1" t="s">
        <v>16325</v>
      </c>
      <c r="AAO21" s="1" t="s">
        <v>16326</v>
      </c>
      <c r="AAP21" s="1" t="s">
        <v>16327</v>
      </c>
      <c r="AAQ21" s="1" t="s">
        <v>16328</v>
      </c>
      <c r="AAR21" s="1" t="s">
        <v>16329</v>
      </c>
      <c r="AAS21" s="1" t="s">
        <v>16330</v>
      </c>
      <c r="AAT21" s="1" t="s">
        <v>16331</v>
      </c>
      <c r="AAU21" s="1" t="s">
        <v>16332</v>
      </c>
      <c r="AAV21" s="1" t="s">
        <v>16333</v>
      </c>
      <c r="AAW21" s="1" t="s">
        <v>16334</v>
      </c>
      <c r="AAX21" s="1" t="s">
        <v>16335</v>
      </c>
      <c r="AAY21" s="1" t="s">
        <v>16336</v>
      </c>
      <c r="AAZ21" s="1" t="s">
        <v>16337</v>
      </c>
      <c r="ABA21" s="1" t="s">
        <v>16338</v>
      </c>
      <c r="ABB21" s="1" t="s">
        <v>16339</v>
      </c>
      <c r="ABC21" s="1" t="s">
        <v>16340</v>
      </c>
      <c r="ABD21" s="1" t="s">
        <v>16341</v>
      </c>
      <c r="ABE21" s="1" t="s">
        <v>16342</v>
      </c>
      <c r="ABF21" s="1" t="s">
        <v>16343</v>
      </c>
      <c r="ABG21" s="1" t="s">
        <v>16344</v>
      </c>
      <c r="ABH21" s="1" t="s">
        <v>16345</v>
      </c>
      <c r="ABI21" s="1" t="s">
        <v>16346</v>
      </c>
      <c r="ABJ21" s="1" t="s">
        <v>16347</v>
      </c>
      <c r="ABK21" s="1" t="s">
        <v>16348</v>
      </c>
      <c r="ABL21" s="1" t="s">
        <v>16349</v>
      </c>
      <c r="ABM21" s="1" t="s">
        <v>16350</v>
      </c>
      <c r="ABN21" s="1" t="s">
        <v>16351</v>
      </c>
      <c r="ABO21" s="1" t="s">
        <v>16352</v>
      </c>
      <c r="ABP21" s="1" t="s">
        <v>16353</v>
      </c>
      <c r="ABQ21" s="1" t="s">
        <v>16354</v>
      </c>
      <c r="ABR21" s="1" t="s">
        <v>16355</v>
      </c>
      <c r="ABS21" s="1" t="s">
        <v>16356</v>
      </c>
      <c r="ABT21" s="1" t="s">
        <v>16357</v>
      </c>
      <c r="ABU21" s="1" t="s">
        <v>16358</v>
      </c>
      <c r="ABV21" s="1" t="s">
        <v>16359</v>
      </c>
      <c r="ABW21" s="1" t="s">
        <v>16360</v>
      </c>
      <c r="ABX21" s="1" t="s">
        <v>16361</v>
      </c>
      <c r="ABY21" s="1" t="s">
        <v>16362</v>
      </c>
      <c r="ABZ21" s="1" t="s">
        <v>16363</v>
      </c>
      <c r="ACA21" s="1" t="s">
        <v>16364</v>
      </c>
      <c r="ACB21" s="1" t="s">
        <v>16365</v>
      </c>
      <c r="ACC21" s="1" t="s">
        <v>16366</v>
      </c>
      <c r="ACD21" s="1" t="s">
        <v>16367</v>
      </c>
      <c r="ACE21" s="1" t="s">
        <v>16368</v>
      </c>
      <c r="ACF21" s="1" t="s">
        <v>16369</v>
      </c>
      <c r="ACG21" s="1" t="s">
        <v>16370</v>
      </c>
      <c r="ACH21" s="1" t="s">
        <v>16371</v>
      </c>
      <c r="ACI21" s="1" t="s">
        <v>16372</v>
      </c>
      <c r="ACJ21" s="1" t="s">
        <v>16373</v>
      </c>
      <c r="ACK21" s="1" t="s">
        <v>16374</v>
      </c>
      <c r="ACL21" s="1" t="s">
        <v>16375</v>
      </c>
      <c r="ACM21" s="1" t="s">
        <v>16376</v>
      </c>
      <c r="ACN21" s="1" t="s">
        <v>16377</v>
      </c>
      <c r="ACO21" s="1" t="s">
        <v>16378</v>
      </c>
      <c r="ACP21" s="1" t="s">
        <v>16379</v>
      </c>
      <c r="ACQ21" s="1" t="s">
        <v>16380</v>
      </c>
      <c r="ACR21" s="1" t="s">
        <v>16381</v>
      </c>
      <c r="ACS21" s="1" t="s">
        <v>16382</v>
      </c>
      <c r="ACT21" s="1" t="s">
        <v>16383</v>
      </c>
      <c r="ACU21" s="1" t="s">
        <v>16384</v>
      </c>
      <c r="ACV21" s="1" t="s">
        <v>16385</v>
      </c>
      <c r="ACW21" s="1" t="s">
        <v>12</v>
      </c>
      <c r="ACX21" s="1" t="s">
        <v>1500</v>
      </c>
    </row>
    <row r="22" spans="1:778" x14ac:dyDescent="0.2">
      <c r="A22" s="1" t="s">
        <v>41</v>
      </c>
      <c r="B22" s="1" t="s">
        <v>16386</v>
      </c>
      <c r="C22" s="1" t="s">
        <v>16387</v>
      </c>
      <c r="D22" s="1" t="s">
        <v>16388</v>
      </c>
      <c r="E22" s="1" t="s">
        <v>16389</v>
      </c>
      <c r="F22" s="1" t="s">
        <v>16390</v>
      </c>
      <c r="G22" s="1" t="s">
        <v>16391</v>
      </c>
      <c r="H22" s="1" t="s">
        <v>16392</v>
      </c>
      <c r="I22" s="1" t="s">
        <v>16393</v>
      </c>
      <c r="J22" s="1" t="s">
        <v>16394</v>
      </c>
      <c r="K22" s="1" t="s">
        <v>16395</v>
      </c>
      <c r="L22" s="1" t="s">
        <v>16396</v>
      </c>
      <c r="M22" s="1" t="s">
        <v>16397</v>
      </c>
      <c r="N22" s="1" t="s">
        <v>16398</v>
      </c>
      <c r="O22" s="1" t="s">
        <v>16399</v>
      </c>
      <c r="P22" s="1" t="s">
        <v>16400</v>
      </c>
      <c r="Q22" s="1" t="s">
        <v>16401</v>
      </c>
      <c r="R22" s="1" t="s">
        <v>16402</v>
      </c>
      <c r="S22" s="1" t="s">
        <v>16403</v>
      </c>
      <c r="T22" s="1" t="s">
        <v>16404</v>
      </c>
      <c r="U22" s="1" t="s">
        <v>16405</v>
      </c>
      <c r="V22" s="1" t="s">
        <v>16406</v>
      </c>
      <c r="W22" s="1" t="s">
        <v>16407</v>
      </c>
      <c r="X22" s="1" t="s">
        <v>16408</v>
      </c>
      <c r="Y22" s="1" t="s">
        <v>16409</v>
      </c>
      <c r="Z22" s="1" t="s">
        <v>16410</v>
      </c>
      <c r="AA22" s="1" t="s">
        <v>16411</v>
      </c>
      <c r="AB22" s="1" t="s">
        <v>16412</v>
      </c>
      <c r="AC22" s="1" t="s">
        <v>16413</v>
      </c>
      <c r="AD22" s="1" t="s">
        <v>16414</v>
      </c>
      <c r="AE22" s="1" t="s">
        <v>16415</v>
      </c>
      <c r="AF22" s="1" t="s">
        <v>16416</v>
      </c>
      <c r="AG22" s="1" t="s">
        <v>16417</v>
      </c>
      <c r="AH22" s="1" t="s">
        <v>16418</v>
      </c>
      <c r="AI22" s="1" t="s">
        <v>16419</v>
      </c>
      <c r="AJ22" s="1" t="s">
        <v>16420</v>
      </c>
      <c r="AK22" s="1" t="s">
        <v>16421</v>
      </c>
      <c r="AL22" s="1" t="s">
        <v>16422</v>
      </c>
      <c r="AM22" s="1" t="s">
        <v>16423</v>
      </c>
      <c r="AN22" s="1" t="s">
        <v>16424</v>
      </c>
      <c r="AO22" s="1" t="s">
        <v>16425</v>
      </c>
      <c r="AP22" s="1" t="s">
        <v>16426</v>
      </c>
      <c r="AQ22" s="1" t="s">
        <v>16427</v>
      </c>
      <c r="AR22" s="1" t="s">
        <v>16428</v>
      </c>
      <c r="AS22" s="1" t="s">
        <v>16429</v>
      </c>
      <c r="AT22" s="1" t="s">
        <v>16430</v>
      </c>
      <c r="AU22" s="1" t="s">
        <v>16431</v>
      </c>
      <c r="AV22" s="1" t="s">
        <v>16432</v>
      </c>
      <c r="AW22" s="1" t="s">
        <v>16433</v>
      </c>
      <c r="AX22" s="1" t="s">
        <v>16434</v>
      </c>
      <c r="AY22" s="1" t="s">
        <v>16435</v>
      </c>
      <c r="AZ22" s="1" t="s">
        <v>16436</v>
      </c>
      <c r="BA22" s="1" t="s">
        <v>16437</v>
      </c>
      <c r="BB22" s="1" t="s">
        <v>16438</v>
      </c>
      <c r="BC22" s="1" t="s">
        <v>16439</v>
      </c>
      <c r="BD22" s="1" t="s">
        <v>16440</v>
      </c>
      <c r="BE22" s="1" t="s">
        <v>16441</v>
      </c>
      <c r="BF22" s="1" t="s">
        <v>16442</v>
      </c>
      <c r="BG22" s="1" t="s">
        <v>16443</v>
      </c>
      <c r="BH22" s="1" t="s">
        <v>16444</v>
      </c>
      <c r="BI22" s="1" t="s">
        <v>16445</v>
      </c>
      <c r="BJ22" s="1" t="s">
        <v>16446</v>
      </c>
      <c r="BK22" s="1" t="s">
        <v>16447</v>
      </c>
      <c r="BL22" s="1" t="s">
        <v>16448</v>
      </c>
      <c r="BM22" s="1" t="s">
        <v>16449</v>
      </c>
      <c r="BN22" s="1" t="s">
        <v>16450</v>
      </c>
      <c r="BO22" s="1" t="s">
        <v>16451</v>
      </c>
      <c r="BP22" s="1" t="s">
        <v>16452</v>
      </c>
      <c r="BQ22" s="1" t="s">
        <v>16453</v>
      </c>
      <c r="BR22" s="1" t="s">
        <v>16454</v>
      </c>
      <c r="BS22" s="1" t="s">
        <v>16455</v>
      </c>
      <c r="BT22" s="1" t="s">
        <v>16456</v>
      </c>
      <c r="BU22" s="1" t="s">
        <v>16457</v>
      </c>
      <c r="BV22" s="1" t="s">
        <v>16458</v>
      </c>
      <c r="BW22" s="1" t="s">
        <v>16459</v>
      </c>
      <c r="BX22" s="1" t="s">
        <v>16460</v>
      </c>
      <c r="BY22" s="1" t="s">
        <v>16461</v>
      </c>
      <c r="BZ22" s="1" t="s">
        <v>16462</v>
      </c>
      <c r="CA22" s="1" t="s">
        <v>16463</v>
      </c>
      <c r="CB22" s="1" t="s">
        <v>16464</v>
      </c>
      <c r="CC22" s="1" t="s">
        <v>16465</v>
      </c>
      <c r="CD22" s="1" t="s">
        <v>16466</v>
      </c>
      <c r="CE22" s="1" t="s">
        <v>16467</v>
      </c>
      <c r="CF22" s="1" t="s">
        <v>16468</v>
      </c>
      <c r="CG22" s="1" t="s">
        <v>16469</v>
      </c>
      <c r="CH22" s="1" t="s">
        <v>16470</v>
      </c>
      <c r="CI22" s="1" t="s">
        <v>16471</v>
      </c>
      <c r="CJ22" s="1" t="s">
        <v>16472</v>
      </c>
      <c r="CK22" s="1" t="s">
        <v>16473</v>
      </c>
      <c r="CL22" s="1" t="s">
        <v>16474</v>
      </c>
      <c r="CM22" s="1" t="s">
        <v>16475</v>
      </c>
      <c r="CN22" s="1" t="s">
        <v>16476</v>
      </c>
      <c r="CO22" s="1" t="s">
        <v>16477</v>
      </c>
      <c r="CP22" s="1" t="s">
        <v>16478</v>
      </c>
      <c r="CQ22" s="1" t="s">
        <v>16479</v>
      </c>
      <c r="CR22" s="1" t="s">
        <v>16480</v>
      </c>
      <c r="CS22" s="1" t="s">
        <v>16481</v>
      </c>
      <c r="CT22" s="1" t="s">
        <v>16482</v>
      </c>
      <c r="CU22" s="1" t="s">
        <v>16483</v>
      </c>
      <c r="CV22" s="1" t="s">
        <v>16484</v>
      </c>
      <c r="CW22" s="1" t="s">
        <v>16485</v>
      </c>
      <c r="CX22" s="1" t="s">
        <v>16486</v>
      </c>
      <c r="CY22" s="1" t="s">
        <v>16487</v>
      </c>
      <c r="CZ22" s="1" t="s">
        <v>16488</v>
      </c>
      <c r="DA22" s="1" t="s">
        <v>16489</v>
      </c>
      <c r="DB22" s="1" t="s">
        <v>16490</v>
      </c>
      <c r="DC22" s="1" t="s">
        <v>16491</v>
      </c>
      <c r="DD22" s="1" t="s">
        <v>16492</v>
      </c>
      <c r="DE22" s="1" t="s">
        <v>16493</v>
      </c>
      <c r="DF22" s="1" t="s">
        <v>16494</v>
      </c>
      <c r="DG22" s="1" t="s">
        <v>16495</v>
      </c>
      <c r="DH22" s="1" t="s">
        <v>16496</v>
      </c>
      <c r="DI22" s="1" t="s">
        <v>16497</v>
      </c>
      <c r="DJ22" s="1" t="s">
        <v>16498</v>
      </c>
      <c r="DK22" s="1" t="s">
        <v>16499</v>
      </c>
      <c r="DL22" s="1" t="s">
        <v>16500</v>
      </c>
      <c r="DM22" s="1" t="s">
        <v>16501</v>
      </c>
      <c r="DN22" s="1" t="s">
        <v>16502</v>
      </c>
      <c r="DO22" s="1" t="s">
        <v>16503</v>
      </c>
      <c r="DP22" s="1" t="s">
        <v>16504</v>
      </c>
      <c r="DQ22" s="1" t="s">
        <v>16505</v>
      </c>
      <c r="DR22" s="1" t="s">
        <v>16506</v>
      </c>
      <c r="DS22" s="1" t="s">
        <v>16507</v>
      </c>
      <c r="DT22" s="1" t="s">
        <v>16508</v>
      </c>
      <c r="DU22" s="1" t="s">
        <v>16509</v>
      </c>
      <c r="DV22" s="1" t="s">
        <v>16510</v>
      </c>
      <c r="DW22" s="1" t="s">
        <v>16511</v>
      </c>
      <c r="DX22" s="1" t="s">
        <v>16512</v>
      </c>
      <c r="DY22" s="1" t="s">
        <v>16513</v>
      </c>
      <c r="DZ22" s="1" t="s">
        <v>16514</v>
      </c>
      <c r="EA22" s="1" t="s">
        <v>16515</v>
      </c>
      <c r="EB22" s="1" t="s">
        <v>16516</v>
      </c>
      <c r="EC22" s="1" t="s">
        <v>16517</v>
      </c>
      <c r="ED22" s="1" t="s">
        <v>16518</v>
      </c>
      <c r="EE22" s="1" t="s">
        <v>16519</v>
      </c>
      <c r="EF22" s="1" t="s">
        <v>16520</v>
      </c>
      <c r="EG22" s="1" t="s">
        <v>16521</v>
      </c>
      <c r="EH22" s="1" t="s">
        <v>16522</v>
      </c>
      <c r="EI22" s="1" t="s">
        <v>16523</v>
      </c>
      <c r="EJ22" s="1" t="s">
        <v>16524</v>
      </c>
      <c r="EK22" s="1" t="s">
        <v>16525</v>
      </c>
      <c r="EL22" s="1" t="s">
        <v>16526</v>
      </c>
      <c r="EM22" s="1" t="s">
        <v>16527</v>
      </c>
      <c r="EN22" s="1" t="s">
        <v>16528</v>
      </c>
      <c r="EO22" s="1" t="s">
        <v>16529</v>
      </c>
      <c r="EP22" s="1" t="s">
        <v>16530</v>
      </c>
      <c r="EQ22" s="1" t="s">
        <v>16531</v>
      </c>
      <c r="ER22" s="1" t="s">
        <v>16532</v>
      </c>
      <c r="ES22" s="1" t="s">
        <v>16533</v>
      </c>
      <c r="ET22" s="1" t="s">
        <v>16534</v>
      </c>
      <c r="EU22" s="1" t="s">
        <v>16535</v>
      </c>
      <c r="EV22" s="1" t="s">
        <v>16536</v>
      </c>
      <c r="EW22" s="1" t="s">
        <v>16537</v>
      </c>
      <c r="EX22" s="1" t="s">
        <v>16538</v>
      </c>
      <c r="EY22" s="1" t="s">
        <v>16539</v>
      </c>
      <c r="EZ22" s="1" t="s">
        <v>16540</v>
      </c>
      <c r="FA22" s="1" t="s">
        <v>16541</v>
      </c>
      <c r="FB22" s="1" t="s">
        <v>16542</v>
      </c>
      <c r="FC22" s="1" t="s">
        <v>16543</v>
      </c>
      <c r="FD22" s="1" t="s">
        <v>16544</v>
      </c>
      <c r="FE22" s="1" t="s">
        <v>16545</v>
      </c>
      <c r="FF22" s="1" t="s">
        <v>16546</v>
      </c>
      <c r="FG22" s="1" t="s">
        <v>16547</v>
      </c>
      <c r="FH22" s="1" t="s">
        <v>16548</v>
      </c>
      <c r="FI22" s="1" t="s">
        <v>16549</v>
      </c>
      <c r="FJ22" s="1" t="s">
        <v>16550</v>
      </c>
      <c r="FK22" s="1" t="s">
        <v>16551</v>
      </c>
      <c r="FL22" s="1" t="s">
        <v>16552</v>
      </c>
      <c r="FM22" s="1" t="s">
        <v>16553</v>
      </c>
      <c r="FN22" s="1" t="s">
        <v>16554</v>
      </c>
      <c r="FO22" s="1" t="s">
        <v>16555</v>
      </c>
      <c r="FP22" s="1" t="s">
        <v>16556</v>
      </c>
      <c r="FQ22" s="1" t="s">
        <v>16557</v>
      </c>
      <c r="FR22" s="1" t="s">
        <v>16558</v>
      </c>
      <c r="FS22" s="1" t="s">
        <v>16559</v>
      </c>
      <c r="FT22" s="1" t="s">
        <v>16560</v>
      </c>
      <c r="FU22" s="1" t="s">
        <v>16561</v>
      </c>
      <c r="FV22" s="1" t="s">
        <v>16562</v>
      </c>
      <c r="FW22" s="1" t="s">
        <v>16563</v>
      </c>
      <c r="FX22" s="1" t="s">
        <v>16564</v>
      </c>
      <c r="FY22" s="1" t="s">
        <v>16565</v>
      </c>
      <c r="FZ22" s="1" t="s">
        <v>16566</v>
      </c>
      <c r="GA22" s="1" t="s">
        <v>16567</v>
      </c>
      <c r="GB22" s="1" t="s">
        <v>16568</v>
      </c>
      <c r="GC22" s="1" t="s">
        <v>16569</v>
      </c>
      <c r="GD22" s="1" t="s">
        <v>16570</v>
      </c>
      <c r="GE22" s="1" t="s">
        <v>16571</v>
      </c>
      <c r="GF22" s="1" t="s">
        <v>16572</v>
      </c>
      <c r="GG22" s="1" t="s">
        <v>16573</v>
      </c>
      <c r="GH22" s="1" t="s">
        <v>16574</v>
      </c>
      <c r="GI22" s="1" t="s">
        <v>16575</v>
      </c>
      <c r="GJ22" s="1" t="s">
        <v>16576</v>
      </c>
      <c r="GK22" s="1" t="s">
        <v>16577</v>
      </c>
      <c r="GL22" s="1" t="s">
        <v>16578</v>
      </c>
      <c r="GM22" s="1" t="s">
        <v>16579</v>
      </c>
      <c r="GN22" s="1" t="s">
        <v>16580</v>
      </c>
      <c r="GO22" s="1" t="s">
        <v>16581</v>
      </c>
      <c r="GP22" s="1" t="s">
        <v>16582</v>
      </c>
      <c r="GQ22" s="1" t="s">
        <v>16583</v>
      </c>
      <c r="GR22" s="1" t="s">
        <v>16584</v>
      </c>
      <c r="GS22" s="1" t="s">
        <v>16585</v>
      </c>
      <c r="GT22" s="1" t="s">
        <v>16586</v>
      </c>
      <c r="GU22" s="1" t="s">
        <v>16587</v>
      </c>
      <c r="GV22" s="1" t="s">
        <v>16588</v>
      </c>
      <c r="GW22" s="1" t="s">
        <v>16589</v>
      </c>
      <c r="GX22" s="1" t="s">
        <v>16590</v>
      </c>
      <c r="GY22" s="1" t="s">
        <v>16591</v>
      </c>
      <c r="GZ22" s="1" t="s">
        <v>16592</v>
      </c>
      <c r="HA22" s="1" t="s">
        <v>16593</v>
      </c>
      <c r="HB22" s="1" t="s">
        <v>16594</v>
      </c>
      <c r="HC22" s="1" t="s">
        <v>16595</v>
      </c>
      <c r="HD22" s="1" t="s">
        <v>16596</v>
      </c>
      <c r="HE22" s="1" t="s">
        <v>16597</v>
      </c>
      <c r="HF22" s="1" t="s">
        <v>16598</v>
      </c>
      <c r="HG22" s="1" t="s">
        <v>16599</v>
      </c>
      <c r="HH22" s="1" t="s">
        <v>16600</v>
      </c>
      <c r="HI22" s="1" t="s">
        <v>16601</v>
      </c>
      <c r="HJ22" s="1" t="s">
        <v>16602</v>
      </c>
      <c r="HK22" s="1" t="s">
        <v>16603</v>
      </c>
      <c r="HL22" s="1" t="s">
        <v>16604</v>
      </c>
      <c r="HM22" s="1" t="s">
        <v>16605</v>
      </c>
      <c r="HN22" s="1" t="s">
        <v>16606</v>
      </c>
      <c r="HO22" s="1" t="s">
        <v>16607</v>
      </c>
      <c r="HP22" s="1" t="s">
        <v>16608</v>
      </c>
      <c r="HQ22" s="1" t="s">
        <v>16609</v>
      </c>
      <c r="HR22" s="1" t="s">
        <v>16610</v>
      </c>
      <c r="HS22" s="1" t="s">
        <v>16611</v>
      </c>
      <c r="HT22" s="1" t="s">
        <v>16612</v>
      </c>
      <c r="HU22" s="1" t="s">
        <v>16613</v>
      </c>
      <c r="HV22" s="1" t="s">
        <v>16614</v>
      </c>
      <c r="HW22" s="1" t="s">
        <v>16615</v>
      </c>
      <c r="HX22" s="1" t="s">
        <v>16616</v>
      </c>
      <c r="HY22" s="1" t="s">
        <v>16617</v>
      </c>
      <c r="HZ22" s="1" t="s">
        <v>16618</v>
      </c>
      <c r="IA22" s="1" t="s">
        <v>16619</v>
      </c>
      <c r="IB22" s="1" t="s">
        <v>16620</v>
      </c>
      <c r="IC22" s="1" t="s">
        <v>16621</v>
      </c>
      <c r="ID22" s="1" t="s">
        <v>16622</v>
      </c>
      <c r="IE22" s="1" t="s">
        <v>16623</v>
      </c>
      <c r="IF22" s="1" t="s">
        <v>16624</v>
      </c>
      <c r="IG22" s="1" t="s">
        <v>16625</v>
      </c>
      <c r="IH22" s="1" t="s">
        <v>16626</v>
      </c>
      <c r="II22" s="1" t="s">
        <v>16627</v>
      </c>
      <c r="IJ22" s="1" t="s">
        <v>16628</v>
      </c>
      <c r="IK22" s="1" t="s">
        <v>16629</v>
      </c>
      <c r="IL22" s="1" t="s">
        <v>16630</v>
      </c>
      <c r="IM22" s="1" t="s">
        <v>16631</v>
      </c>
      <c r="IN22" s="1" t="s">
        <v>16632</v>
      </c>
      <c r="IO22" s="1" t="s">
        <v>16633</v>
      </c>
      <c r="IP22" s="1" t="s">
        <v>16634</v>
      </c>
      <c r="IQ22" s="1" t="s">
        <v>16635</v>
      </c>
      <c r="IR22" s="1" t="s">
        <v>16636</v>
      </c>
      <c r="IS22" s="1" t="s">
        <v>16637</v>
      </c>
      <c r="IT22" s="1" t="s">
        <v>16638</v>
      </c>
      <c r="IU22" s="1" t="s">
        <v>16639</v>
      </c>
      <c r="IV22" s="1" t="s">
        <v>16640</v>
      </c>
      <c r="IW22" s="1" t="s">
        <v>16641</v>
      </c>
      <c r="IX22" s="1" t="s">
        <v>16642</v>
      </c>
      <c r="IY22" s="1" t="s">
        <v>16643</v>
      </c>
      <c r="IZ22" s="1" t="s">
        <v>16644</v>
      </c>
      <c r="JA22" s="1" t="s">
        <v>16645</v>
      </c>
      <c r="JB22" s="1" t="s">
        <v>16646</v>
      </c>
      <c r="JC22" s="1" t="s">
        <v>16647</v>
      </c>
      <c r="JD22" s="1" t="s">
        <v>16648</v>
      </c>
      <c r="JE22" s="1" t="s">
        <v>16649</v>
      </c>
      <c r="JF22" s="1" t="s">
        <v>16650</v>
      </c>
      <c r="JG22" s="1" t="s">
        <v>16651</v>
      </c>
      <c r="JH22" s="1" t="s">
        <v>16652</v>
      </c>
      <c r="JI22" s="1" t="s">
        <v>16653</v>
      </c>
      <c r="JJ22" s="1" t="s">
        <v>16654</v>
      </c>
      <c r="JK22" s="1" t="s">
        <v>16655</v>
      </c>
      <c r="JL22" s="1" t="s">
        <v>16656</v>
      </c>
      <c r="JM22" s="1" t="s">
        <v>16657</v>
      </c>
      <c r="JN22" s="1" t="s">
        <v>16658</v>
      </c>
      <c r="JO22" s="1" t="s">
        <v>16659</v>
      </c>
      <c r="JP22" s="1" t="s">
        <v>16660</v>
      </c>
      <c r="JQ22" s="1" t="s">
        <v>16661</v>
      </c>
      <c r="JR22" s="1" t="s">
        <v>16662</v>
      </c>
      <c r="JS22" s="1" t="s">
        <v>16663</v>
      </c>
      <c r="JT22" s="1" t="s">
        <v>16664</v>
      </c>
      <c r="JU22" s="1" t="s">
        <v>16665</v>
      </c>
      <c r="JV22" s="1" t="s">
        <v>16666</v>
      </c>
      <c r="JW22" s="1" t="s">
        <v>16667</v>
      </c>
      <c r="JX22" s="1" t="s">
        <v>16668</v>
      </c>
      <c r="JY22" s="1" t="s">
        <v>16669</v>
      </c>
      <c r="JZ22" s="1" t="s">
        <v>16670</v>
      </c>
      <c r="KA22" s="1" t="s">
        <v>16671</v>
      </c>
      <c r="KB22" s="1" t="s">
        <v>16672</v>
      </c>
      <c r="KC22" s="1" t="s">
        <v>16673</v>
      </c>
      <c r="KD22" s="1" t="s">
        <v>16674</v>
      </c>
      <c r="KE22" s="1" t="s">
        <v>16675</v>
      </c>
      <c r="KF22" s="1" t="s">
        <v>16676</v>
      </c>
      <c r="KG22" s="1" t="s">
        <v>16677</v>
      </c>
      <c r="KH22" s="1" t="s">
        <v>16678</v>
      </c>
      <c r="KI22" s="1" t="s">
        <v>16679</v>
      </c>
      <c r="KJ22" s="1" t="s">
        <v>16680</v>
      </c>
      <c r="KK22" s="1" t="s">
        <v>16681</v>
      </c>
      <c r="KL22" s="1" t="s">
        <v>16682</v>
      </c>
      <c r="KM22" s="1" t="s">
        <v>16683</v>
      </c>
      <c r="KN22" s="1" t="s">
        <v>16684</v>
      </c>
      <c r="KO22" s="1" t="s">
        <v>16685</v>
      </c>
      <c r="KP22" s="1" t="s">
        <v>16686</v>
      </c>
      <c r="KQ22" s="1" t="s">
        <v>16687</v>
      </c>
      <c r="KR22" s="1" t="s">
        <v>16688</v>
      </c>
      <c r="KS22" s="1" t="s">
        <v>16689</v>
      </c>
      <c r="KT22" s="1" t="s">
        <v>16690</v>
      </c>
      <c r="KU22" s="1" t="s">
        <v>16691</v>
      </c>
      <c r="KV22" s="1" t="s">
        <v>16692</v>
      </c>
      <c r="KW22" s="1" t="s">
        <v>16693</v>
      </c>
      <c r="KX22" s="1" t="s">
        <v>16694</v>
      </c>
      <c r="KY22" s="1" t="s">
        <v>16695</v>
      </c>
      <c r="KZ22" s="1" t="s">
        <v>16696</v>
      </c>
      <c r="LA22" s="1" t="s">
        <v>16697</v>
      </c>
      <c r="LB22" s="1" t="s">
        <v>16698</v>
      </c>
      <c r="LC22" s="1" t="s">
        <v>16699</v>
      </c>
      <c r="LD22" s="1" t="s">
        <v>16700</v>
      </c>
      <c r="LE22" s="1" t="s">
        <v>16701</v>
      </c>
      <c r="LF22" s="1" t="s">
        <v>16702</v>
      </c>
      <c r="LG22" s="1" t="s">
        <v>16703</v>
      </c>
      <c r="LH22" s="1" t="s">
        <v>16704</v>
      </c>
      <c r="LI22" s="1" t="s">
        <v>16705</v>
      </c>
      <c r="LJ22" s="1" t="s">
        <v>16706</v>
      </c>
      <c r="LK22" s="1" t="s">
        <v>16707</v>
      </c>
      <c r="LL22" s="1" t="s">
        <v>16708</v>
      </c>
      <c r="LM22" s="1" t="s">
        <v>16709</v>
      </c>
      <c r="LN22" s="1" t="s">
        <v>16710</v>
      </c>
      <c r="LO22" s="1" t="s">
        <v>16711</v>
      </c>
      <c r="LP22" s="1" t="s">
        <v>16712</v>
      </c>
      <c r="LQ22" s="1" t="s">
        <v>16713</v>
      </c>
      <c r="LR22" s="1" t="s">
        <v>16714</v>
      </c>
      <c r="LS22" s="1" t="s">
        <v>16715</v>
      </c>
      <c r="LT22" s="1" t="s">
        <v>16716</v>
      </c>
      <c r="LU22" s="1" t="s">
        <v>16717</v>
      </c>
      <c r="LV22" s="1" t="s">
        <v>16718</v>
      </c>
      <c r="LW22" s="1" t="s">
        <v>16719</v>
      </c>
      <c r="LX22" s="1" t="s">
        <v>16720</v>
      </c>
      <c r="LY22" s="1" t="s">
        <v>16721</v>
      </c>
      <c r="LZ22" s="1" t="s">
        <v>16722</v>
      </c>
      <c r="MA22" s="1" t="s">
        <v>16723</v>
      </c>
      <c r="MB22" s="1" t="s">
        <v>16724</v>
      </c>
      <c r="MC22" s="1" t="s">
        <v>16725</v>
      </c>
      <c r="MD22" s="1" t="s">
        <v>16726</v>
      </c>
      <c r="ME22" s="1" t="s">
        <v>16727</v>
      </c>
      <c r="MF22" s="1" t="s">
        <v>16728</v>
      </c>
      <c r="MG22" s="1" t="s">
        <v>16729</v>
      </c>
      <c r="MH22" s="1" t="s">
        <v>16730</v>
      </c>
      <c r="MI22" s="1" t="s">
        <v>16731</v>
      </c>
      <c r="MJ22" s="1" t="s">
        <v>16732</v>
      </c>
      <c r="MK22" s="1" t="s">
        <v>16733</v>
      </c>
      <c r="ML22" s="1" t="s">
        <v>16734</v>
      </c>
      <c r="MM22" s="1" t="s">
        <v>16735</v>
      </c>
      <c r="MN22" s="1" t="s">
        <v>16736</v>
      </c>
      <c r="MO22" s="1" t="s">
        <v>16737</v>
      </c>
      <c r="MP22" s="1" t="s">
        <v>16738</v>
      </c>
      <c r="MQ22" s="1" t="s">
        <v>16739</v>
      </c>
      <c r="MR22" s="1" t="s">
        <v>16740</v>
      </c>
      <c r="MS22" s="1" t="s">
        <v>16741</v>
      </c>
      <c r="MT22" s="1" t="s">
        <v>16742</v>
      </c>
      <c r="MU22" s="1" t="s">
        <v>16743</v>
      </c>
      <c r="MV22" s="1" t="s">
        <v>16744</v>
      </c>
      <c r="MW22" s="1" t="s">
        <v>16745</v>
      </c>
      <c r="MX22" s="1" t="s">
        <v>16746</v>
      </c>
      <c r="MY22" s="1" t="s">
        <v>16747</v>
      </c>
      <c r="MZ22" s="1" t="s">
        <v>16748</v>
      </c>
      <c r="NA22" s="1" t="s">
        <v>16749</v>
      </c>
      <c r="NB22" s="1" t="s">
        <v>16750</v>
      </c>
      <c r="NC22" s="1" t="s">
        <v>16751</v>
      </c>
      <c r="ND22" s="1" t="s">
        <v>16752</v>
      </c>
      <c r="NE22" s="1" t="s">
        <v>16753</v>
      </c>
      <c r="NF22" s="1" t="s">
        <v>16754</v>
      </c>
      <c r="NG22" s="1" t="s">
        <v>16755</v>
      </c>
      <c r="NH22" s="1" t="s">
        <v>16756</v>
      </c>
      <c r="NI22" s="1" t="s">
        <v>16757</v>
      </c>
      <c r="NJ22" s="1" t="s">
        <v>16758</v>
      </c>
      <c r="NK22" s="1" t="s">
        <v>16759</v>
      </c>
      <c r="NL22" s="1" t="s">
        <v>16760</v>
      </c>
      <c r="NM22" s="1" t="s">
        <v>16761</v>
      </c>
      <c r="NN22" s="1" t="s">
        <v>16762</v>
      </c>
      <c r="NO22" s="1" t="s">
        <v>16763</v>
      </c>
      <c r="NP22" s="1" t="s">
        <v>16764</v>
      </c>
      <c r="NQ22" s="1" t="s">
        <v>16765</v>
      </c>
      <c r="NR22" s="1" t="s">
        <v>16766</v>
      </c>
      <c r="NS22" s="1" t="s">
        <v>16767</v>
      </c>
      <c r="NT22" s="1" t="s">
        <v>16768</v>
      </c>
      <c r="NU22" s="1" t="s">
        <v>16769</v>
      </c>
      <c r="NV22" s="1" t="s">
        <v>16770</v>
      </c>
      <c r="NW22" s="1" t="s">
        <v>16771</v>
      </c>
      <c r="NX22" s="1" t="s">
        <v>16772</v>
      </c>
      <c r="NY22" s="1" t="s">
        <v>16773</v>
      </c>
      <c r="NZ22" s="1" t="s">
        <v>16774</v>
      </c>
      <c r="OA22" s="1" t="s">
        <v>16775</v>
      </c>
      <c r="OB22" s="1" t="s">
        <v>16776</v>
      </c>
      <c r="OC22" s="1" t="s">
        <v>16777</v>
      </c>
      <c r="OD22" s="1" t="s">
        <v>16778</v>
      </c>
      <c r="OE22" s="1" t="s">
        <v>16779</v>
      </c>
      <c r="OF22" s="1" t="s">
        <v>16780</v>
      </c>
      <c r="OG22" s="1" t="s">
        <v>16781</v>
      </c>
      <c r="OH22" s="1" t="s">
        <v>16782</v>
      </c>
      <c r="OI22" s="1" t="s">
        <v>16783</v>
      </c>
      <c r="OJ22" s="1" t="s">
        <v>16784</v>
      </c>
      <c r="OK22" s="1" t="s">
        <v>16785</v>
      </c>
      <c r="OL22" s="1" t="s">
        <v>16786</v>
      </c>
      <c r="OM22" s="1" t="s">
        <v>16787</v>
      </c>
      <c r="ON22" s="1" t="s">
        <v>16788</v>
      </c>
      <c r="OO22" s="1" t="s">
        <v>16789</v>
      </c>
      <c r="OP22" s="1" t="s">
        <v>16790</v>
      </c>
      <c r="OQ22" s="1" t="s">
        <v>16791</v>
      </c>
      <c r="OR22" s="1" t="s">
        <v>16792</v>
      </c>
      <c r="OS22" s="1" t="s">
        <v>16793</v>
      </c>
      <c r="OT22" s="1" t="s">
        <v>16794</v>
      </c>
      <c r="OU22" s="1" t="s">
        <v>16795</v>
      </c>
      <c r="OV22" s="1" t="s">
        <v>16796</v>
      </c>
      <c r="OW22" s="1" t="s">
        <v>16797</v>
      </c>
      <c r="OX22" s="1" t="s">
        <v>16798</v>
      </c>
      <c r="OY22" s="1" t="s">
        <v>16799</v>
      </c>
      <c r="OZ22" s="1" t="s">
        <v>16800</v>
      </c>
      <c r="PA22" s="1" t="s">
        <v>16801</v>
      </c>
      <c r="PB22" s="1" t="s">
        <v>16802</v>
      </c>
      <c r="PC22" s="1" t="s">
        <v>16803</v>
      </c>
      <c r="PD22" s="1" t="s">
        <v>16804</v>
      </c>
      <c r="PE22" s="1" t="s">
        <v>16805</v>
      </c>
      <c r="PF22" s="1" t="s">
        <v>16806</v>
      </c>
      <c r="PG22" s="1" t="s">
        <v>16807</v>
      </c>
      <c r="PH22" s="1" t="s">
        <v>16808</v>
      </c>
      <c r="PI22" s="1" t="s">
        <v>16809</v>
      </c>
      <c r="PJ22" s="1" t="s">
        <v>16810</v>
      </c>
      <c r="PK22" s="1" t="s">
        <v>16811</v>
      </c>
      <c r="PL22" s="1" t="s">
        <v>16812</v>
      </c>
      <c r="PM22" s="1" t="s">
        <v>16813</v>
      </c>
      <c r="PN22" s="1" t="s">
        <v>16814</v>
      </c>
      <c r="PO22" s="1" t="s">
        <v>16815</v>
      </c>
      <c r="PP22" s="1" t="s">
        <v>16816</v>
      </c>
      <c r="PQ22" s="1" t="s">
        <v>16817</v>
      </c>
      <c r="PR22" s="1" t="s">
        <v>16818</v>
      </c>
      <c r="PS22" s="1" t="s">
        <v>16819</v>
      </c>
      <c r="PT22" s="1" t="s">
        <v>16820</v>
      </c>
      <c r="PU22" s="1" t="s">
        <v>16821</v>
      </c>
      <c r="PV22" s="1" t="s">
        <v>16822</v>
      </c>
      <c r="PW22" s="1" t="s">
        <v>16823</v>
      </c>
      <c r="PX22" s="1" t="s">
        <v>16824</v>
      </c>
      <c r="PY22" s="1" t="s">
        <v>16825</v>
      </c>
      <c r="PZ22" s="1" t="s">
        <v>16826</v>
      </c>
      <c r="QA22" s="1" t="s">
        <v>16827</v>
      </c>
      <c r="QB22" s="1" t="s">
        <v>16828</v>
      </c>
      <c r="QC22" s="1" t="s">
        <v>16829</v>
      </c>
      <c r="QD22" s="1" t="s">
        <v>16830</v>
      </c>
      <c r="QE22" s="1" t="s">
        <v>16831</v>
      </c>
      <c r="QF22" s="1" t="s">
        <v>16832</v>
      </c>
      <c r="QG22" s="1" t="s">
        <v>16833</v>
      </c>
      <c r="QH22" s="1" t="s">
        <v>16834</v>
      </c>
      <c r="QI22" s="1" t="s">
        <v>16835</v>
      </c>
      <c r="QJ22" s="1" t="s">
        <v>16836</v>
      </c>
      <c r="QK22" s="1" t="s">
        <v>16837</v>
      </c>
      <c r="QL22" s="1" t="s">
        <v>16838</v>
      </c>
      <c r="QM22" s="1" t="s">
        <v>16839</v>
      </c>
      <c r="QN22" s="1" t="s">
        <v>16840</v>
      </c>
      <c r="QO22" s="1" t="s">
        <v>16841</v>
      </c>
      <c r="QP22" s="1" t="s">
        <v>16842</v>
      </c>
      <c r="QQ22" s="1" t="s">
        <v>16843</v>
      </c>
      <c r="QR22" s="1" t="s">
        <v>16844</v>
      </c>
      <c r="QS22" s="1" t="s">
        <v>16845</v>
      </c>
      <c r="QT22" s="1" t="s">
        <v>16846</v>
      </c>
      <c r="QU22" s="1" t="s">
        <v>16847</v>
      </c>
      <c r="QV22" s="1" t="s">
        <v>16848</v>
      </c>
      <c r="QW22" s="1" t="s">
        <v>16849</v>
      </c>
      <c r="QX22" s="1" t="s">
        <v>16850</v>
      </c>
      <c r="QY22" s="1" t="s">
        <v>16851</v>
      </c>
      <c r="QZ22" s="1" t="s">
        <v>16852</v>
      </c>
      <c r="RA22" s="1" t="s">
        <v>16853</v>
      </c>
      <c r="RB22" s="1" t="s">
        <v>16854</v>
      </c>
      <c r="RC22" s="1" t="s">
        <v>16855</v>
      </c>
      <c r="RD22" s="1" t="s">
        <v>16856</v>
      </c>
      <c r="RE22" s="1" t="s">
        <v>16857</v>
      </c>
      <c r="RF22" s="1" t="s">
        <v>16858</v>
      </c>
      <c r="RG22" s="1" t="s">
        <v>16859</v>
      </c>
      <c r="RH22" s="1" t="s">
        <v>16860</v>
      </c>
      <c r="RI22" s="1" t="s">
        <v>16861</v>
      </c>
      <c r="RJ22" s="1" t="s">
        <v>16862</v>
      </c>
      <c r="RK22" s="1" t="s">
        <v>16863</v>
      </c>
      <c r="RL22" s="1" t="s">
        <v>16864</v>
      </c>
      <c r="RM22" s="1" t="s">
        <v>16865</v>
      </c>
      <c r="RN22" s="1" t="s">
        <v>16866</v>
      </c>
      <c r="RO22" s="1" t="s">
        <v>16867</v>
      </c>
      <c r="RP22" s="1" t="s">
        <v>16868</v>
      </c>
      <c r="RQ22" s="1" t="s">
        <v>16869</v>
      </c>
      <c r="RR22" s="1" t="s">
        <v>16870</v>
      </c>
      <c r="RS22" s="1" t="s">
        <v>16871</v>
      </c>
      <c r="RT22" s="1" t="s">
        <v>16872</v>
      </c>
      <c r="RU22" s="1" t="s">
        <v>16873</v>
      </c>
      <c r="RV22" s="1" t="s">
        <v>16874</v>
      </c>
      <c r="RW22" s="1" t="s">
        <v>16875</v>
      </c>
      <c r="RX22" s="1" t="s">
        <v>16876</v>
      </c>
      <c r="RY22" s="1" t="s">
        <v>16877</v>
      </c>
      <c r="RZ22" s="1" t="s">
        <v>16878</v>
      </c>
      <c r="SA22" s="1" t="s">
        <v>16879</v>
      </c>
      <c r="SB22" s="1" t="s">
        <v>16880</v>
      </c>
      <c r="SC22" s="1" t="s">
        <v>16881</v>
      </c>
      <c r="SD22" s="1" t="s">
        <v>16882</v>
      </c>
      <c r="SE22" s="1" t="s">
        <v>16883</v>
      </c>
      <c r="SF22" s="1" t="s">
        <v>16884</v>
      </c>
      <c r="SG22" s="1" t="s">
        <v>16885</v>
      </c>
      <c r="SH22" s="1" t="s">
        <v>16886</v>
      </c>
      <c r="SI22" s="1" t="s">
        <v>16887</v>
      </c>
      <c r="SJ22" s="1" t="s">
        <v>16888</v>
      </c>
      <c r="SK22" s="1" t="s">
        <v>16889</v>
      </c>
      <c r="SL22" s="1" t="s">
        <v>16890</v>
      </c>
      <c r="SM22" s="1" t="s">
        <v>16891</v>
      </c>
      <c r="SN22" s="1" t="s">
        <v>16892</v>
      </c>
      <c r="SO22" s="1" t="s">
        <v>16893</v>
      </c>
      <c r="SP22" s="1" t="s">
        <v>16894</v>
      </c>
      <c r="SQ22" s="1" t="s">
        <v>16895</v>
      </c>
      <c r="SR22" s="1" t="s">
        <v>16896</v>
      </c>
      <c r="SS22" s="1" t="s">
        <v>16897</v>
      </c>
      <c r="ST22" s="1" t="s">
        <v>16898</v>
      </c>
      <c r="SU22" s="1" t="s">
        <v>16899</v>
      </c>
      <c r="SV22" s="1" t="s">
        <v>16900</v>
      </c>
      <c r="SW22" s="1" t="s">
        <v>16901</v>
      </c>
      <c r="SX22" s="1" t="s">
        <v>16902</v>
      </c>
      <c r="SY22" s="1" t="s">
        <v>16903</v>
      </c>
      <c r="SZ22" s="1" t="s">
        <v>16904</v>
      </c>
      <c r="TA22" s="1" t="s">
        <v>16905</v>
      </c>
      <c r="TB22" s="1" t="s">
        <v>16906</v>
      </c>
      <c r="TC22" s="1" t="s">
        <v>16907</v>
      </c>
      <c r="TD22" s="1" t="s">
        <v>16908</v>
      </c>
      <c r="TE22" s="1" t="s">
        <v>16909</v>
      </c>
      <c r="TF22" s="1" t="s">
        <v>16910</v>
      </c>
      <c r="TG22" s="1" t="s">
        <v>16911</v>
      </c>
      <c r="TH22" s="1" t="s">
        <v>16912</v>
      </c>
      <c r="TI22" s="1" t="s">
        <v>16913</v>
      </c>
      <c r="TJ22" s="1" t="s">
        <v>16914</v>
      </c>
      <c r="TK22" s="1" t="s">
        <v>16915</v>
      </c>
      <c r="TL22" s="1" t="s">
        <v>16916</v>
      </c>
      <c r="TM22" s="1" t="s">
        <v>16917</v>
      </c>
      <c r="TN22" s="1" t="s">
        <v>16918</v>
      </c>
      <c r="TO22" s="1" t="s">
        <v>16919</v>
      </c>
      <c r="TP22" s="1" t="s">
        <v>16920</v>
      </c>
      <c r="TQ22" s="1" t="s">
        <v>16921</v>
      </c>
      <c r="TR22" s="1" t="s">
        <v>16922</v>
      </c>
      <c r="TS22" s="1" t="s">
        <v>16923</v>
      </c>
      <c r="TT22" s="1" t="s">
        <v>16924</v>
      </c>
      <c r="TU22" s="1" t="s">
        <v>16925</v>
      </c>
      <c r="TV22" s="1" t="s">
        <v>16926</v>
      </c>
      <c r="TW22" s="1" t="s">
        <v>16927</v>
      </c>
      <c r="TX22" s="1" t="s">
        <v>16928</v>
      </c>
      <c r="TY22" s="1" t="s">
        <v>16929</v>
      </c>
      <c r="TZ22" s="1" t="s">
        <v>16930</v>
      </c>
      <c r="UA22" s="1" t="s">
        <v>16931</v>
      </c>
      <c r="UB22" s="1" t="s">
        <v>16932</v>
      </c>
      <c r="UC22" s="1" t="s">
        <v>16933</v>
      </c>
      <c r="UD22" s="1" t="s">
        <v>16934</v>
      </c>
      <c r="UE22" s="1" t="s">
        <v>16935</v>
      </c>
      <c r="UF22" s="1" t="s">
        <v>16936</v>
      </c>
      <c r="UG22" s="1" t="s">
        <v>16937</v>
      </c>
      <c r="UH22" s="1" t="s">
        <v>16938</v>
      </c>
      <c r="UI22" s="1" t="s">
        <v>16939</v>
      </c>
      <c r="UJ22" s="1" t="s">
        <v>16940</v>
      </c>
      <c r="UK22" s="1" t="s">
        <v>16941</v>
      </c>
      <c r="UL22" s="1" t="s">
        <v>16942</v>
      </c>
      <c r="UM22" s="1" t="s">
        <v>16943</v>
      </c>
      <c r="UN22" s="1" t="s">
        <v>16944</v>
      </c>
      <c r="UO22" s="1" t="s">
        <v>16945</v>
      </c>
      <c r="UP22" s="1" t="s">
        <v>16946</v>
      </c>
      <c r="UQ22" s="1" t="s">
        <v>16947</v>
      </c>
      <c r="UR22" s="1" t="s">
        <v>16948</v>
      </c>
      <c r="US22" s="1" t="s">
        <v>16949</v>
      </c>
      <c r="UT22" s="1" t="s">
        <v>16950</v>
      </c>
      <c r="UU22" s="1" t="s">
        <v>16951</v>
      </c>
      <c r="UV22" s="1" t="s">
        <v>16952</v>
      </c>
      <c r="UW22" s="1" t="s">
        <v>16953</v>
      </c>
      <c r="UX22" s="1" t="s">
        <v>16954</v>
      </c>
      <c r="UY22" s="1" t="s">
        <v>16955</v>
      </c>
      <c r="UZ22" s="1" t="s">
        <v>16956</v>
      </c>
      <c r="VA22" s="1" t="s">
        <v>16957</v>
      </c>
      <c r="VB22" s="1" t="s">
        <v>16958</v>
      </c>
      <c r="VC22" s="1" t="s">
        <v>16959</v>
      </c>
      <c r="VD22" s="1" t="s">
        <v>16960</v>
      </c>
      <c r="VE22" s="1" t="s">
        <v>16961</v>
      </c>
      <c r="VF22" s="1" t="s">
        <v>16962</v>
      </c>
      <c r="VG22" s="1" t="s">
        <v>16963</v>
      </c>
      <c r="VH22" s="1" t="s">
        <v>16964</v>
      </c>
      <c r="VI22" s="1" t="s">
        <v>16965</v>
      </c>
      <c r="VJ22" s="1" t="s">
        <v>16966</v>
      </c>
      <c r="VK22" s="1" t="s">
        <v>16967</v>
      </c>
      <c r="VL22" s="1" t="s">
        <v>16968</v>
      </c>
      <c r="VM22" s="1" t="s">
        <v>16969</v>
      </c>
      <c r="VN22" s="1" t="s">
        <v>16970</v>
      </c>
      <c r="VO22" s="1" t="s">
        <v>16971</v>
      </c>
      <c r="VP22" s="1" t="s">
        <v>16972</v>
      </c>
      <c r="VQ22" s="1" t="s">
        <v>16973</v>
      </c>
      <c r="VR22" s="1" t="s">
        <v>16974</v>
      </c>
      <c r="VS22" s="1" t="s">
        <v>16975</v>
      </c>
      <c r="VT22" s="1" t="s">
        <v>16976</v>
      </c>
      <c r="VU22" s="1" t="s">
        <v>16977</v>
      </c>
      <c r="VV22" s="1" t="s">
        <v>16978</v>
      </c>
      <c r="VW22" s="1" t="s">
        <v>16979</v>
      </c>
      <c r="VX22" s="1" t="s">
        <v>16980</v>
      </c>
      <c r="VY22" s="1" t="s">
        <v>16981</v>
      </c>
      <c r="VZ22" s="1" t="s">
        <v>16982</v>
      </c>
      <c r="WA22" s="1" t="s">
        <v>16983</v>
      </c>
      <c r="WB22" s="1" t="s">
        <v>16984</v>
      </c>
      <c r="WC22" s="1" t="s">
        <v>16985</v>
      </c>
      <c r="WD22" s="1" t="s">
        <v>16986</v>
      </c>
      <c r="WE22" s="1" t="s">
        <v>16987</v>
      </c>
      <c r="WF22" s="1" t="s">
        <v>16988</v>
      </c>
      <c r="WG22" s="1" t="s">
        <v>16989</v>
      </c>
      <c r="WH22" s="1" t="s">
        <v>16990</v>
      </c>
      <c r="WI22" s="1" t="s">
        <v>16991</v>
      </c>
      <c r="WJ22" s="1" t="s">
        <v>16992</v>
      </c>
      <c r="WK22" s="1" t="s">
        <v>16993</v>
      </c>
      <c r="WL22" s="1" t="s">
        <v>16994</v>
      </c>
      <c r="WM22" s="1" t="s">
        <v>16995</v>
      </c>
      <c r="WN22" s="1" t="s">
        <v>16996</v>
      </c>
      <c r="WO22" s="1" t="s">
        <v>16997</v>
      </c>
      <c r="WP22" s="1" t="s">
        <v>16998</v>
      </c>
      <c r="WQ22" s="1" t="s">
        <v>16999</v>
      </c>
      <c r="WR22" s="1" t="s">
        <v>17000</v>
      </c>
      <c r="WS22" s="1" t="s">
        <v>17001</v>
      </c>
      <c r="WT22" s="1" t="s">
        <v>17002</v>
      </c>
      <c r="WU22" s="1" t="s">
        <v>17003</v>
      </c>
      <c r="WV22" s="1" t="s">
        <v>17004</v>
      </c>
      <c r="WW22" s="1" t="s">
        <v>17005</v>
      </c>
      <c r="WX22" s="1" t="s">
        <v>17006</v>
      </c>
      <c r="WY22" s="1" t="s">
        <v>17007</v>
      </c>
      <c r="WZ22" s="1" t="s">
        <v>17008</v>
      </c>
      <c r="XA22" s="1" t="s">
        <v>17009</v>
      </c>
      <c r="XB22" s="1" t="s">
        <v>17010</v>
      </c>
      <c r="XC22" s="1" t="s">
        <v>17011</v>
      </c>
      <c r="XD22" s="1" t="s">
        <v>17012</v>
      </c>
      <c r="XE22" s="1" t="s">
        <v>17013</v>
      </c>
      <c r="XF22" s="1" t="s">
        <v>17014</v>
      </c>
      <c r="XG22" s="1" t="s">
        <v>17015</v>
      </c>
      <c r="XH22" s="1" t="s">
        <v>17016</v>
      </c>
      <c r="XI22" s="1" t="s">
        <v>17017</v>
      </c>
      <c r="XJ22" s="1" t="s">
        <v>17018</v>
      </c>
      <c r="XK22" s="1" t="s">
        <v>17019</v>
      </c>
      <c r="XL22" s="1" t="s">
        <v>17020</v>
      </c>
      <c r="XM22" s="1" t="s">
        <v>17021</v>
      </c>
      <c r="XN22" s="1" t="s">
        <v>17022</v>
      </c>
      <c r="XO22" s="1" t="s">
        <v>17023</v>
      </c>
      <c r="XP22" s="1" t="s">
        <v>17024</v>
      </c>
      <c r="XQ22" s="1" t="s">
        <v>17025</v>
      </c>
      <c r="XR22" s="1" t="s">
        <v>17026</v>
      </c>
      <c r="XS22" s="1" t="s">
        <v>17027</v>
      </c>
      <c r="XT22" s="1" t="s">
        <v>17028</v>
      </c>
      <c r="XU22" s="1" t="s">
        <v>17029</v>
      </c>
      <c r="XV22" s="1" t="s">
        <v>17030</v>
      </c>
      <c r="XW22" s="1" t="s">
        <v>17031</v>
      </c>
      <c r="XX22" s="1" t="s">
        <v>17032</v>
      </c>
      <c r="XY22" s="1" t="s">
        <v>17033</v>
      </c>
      <c r="XZ22" s="1" t="s">
        <v>17034</v>
      </c>
      <c r="YA22" s="1" t="s">
        <v>17035</v>
      </c>
      <c r="YB22" s="1" t="s">
        <v>17036</v>
      </c>
      <c r="YC22" s="1" t="s">
        <v>17037</v>
      </c>
      <c r="YD22" s="1" t="s">
        <v>17038</v>
      </c>
      <c r="YE22" s="1" t="s">
        <v>17039</v>
      </c>
      <c r="YF22" s="1" t="s">
        <v>17040</v>
      </c>
      <c r="YG22" s="1" t="s">
        <v>17041</v>
      </c>
      <c r="YH22" s="1" t="s">
        <v>17042</v>
      </c>
      <c r="YI22" s="1" t="s">
        <v>17043</v>
      </c>
      <c r="YJ22" s="1" t="s">
        <v>17044</v>
      </c>
      <c r="YK22" s="1" t="s">
        <v>17045</v>
      </c>
      <c r="YL22" s="1" t="s">
        <v>17046</v>
      </c>
      <c r="YM22" s="1" t="s">
        <v>17047</v>
      </c>
      <c r="YN22" s="1" t="s">
        <v>17048</v>
      </c>
      <c r="YO22" s="1" t="s">
        <v>17049</v>
      </c>
      <c r="YP22" s="1" t="s">
        <v>17050</v>
      </c>
      <c r="YQ22" s="1" t="s">
        <v>17051</v>
      </c>
      <c r="YR22" s="1" t="s">
        <v>17052</v>
      </c>
      <c r="YS22" s="1" t="s">
        <v>17053</v>
      </c>
      <c r="YT22" s="1" t="s">
        <v>17054</v>
      </c>
      <c r="YU22" s="1" t="s">
        <v>17055</v>
      </c>
      <c r="YV22" s="1" t="s">
        <v>17056</v>
      </c>
      <c r="YW22" s="1" t="s">
        <v>17057</v>
      </c>
      <c r="YX22" s="1" t="s">
        <v>17058</v>
      </c>
      <c r="YY22" s="1" t="s">
        <v>17059</v>
      </c>
      <c r="YZ22" s="1" t="s">
        <v>17060</v>
      </c>
      <c r="ZA22" s="1" t="s">
        <v>17061</v>
      </c>
      <c r="ZB22" s="1" t="s">
        <v>17062</v>
      </c>
      <c r="ZC22" s="1" t="s">
        <v>17063</v>
      </c>
      <c r="ZD22" s="1" t="s">
        <v>17064</v>
      </c>
      <c r="ZE22" s="1" t="s">
        <v>17065</v>
      </c>
      <c r="ZF22" s="1" t="s">
        <v>17066</v>
      </c>
      <c r="ZG22" s="1" t="s">
        <v>17067</v>
      </c>
      <c r="ZH22" s="1" t="s">
        <v>17068</v>
      </c>
      <c r="ZI22" s="1" t="s">
        <v>17069</v>
      </c>
      <c r="ZJ22" s="1" t="s">
        <v>17070</v>
      </c>
      <c r="ZK22" s="1" t="s">
        <v>17071</v>
      </c>
      <c r="ZL22" s="1" t="s">
        <v>17072</v>
      </c>
      <c r="ZM22" s="1" t="s">
        <v>17073</v>
      </c>
      <c r="ZN22" s="1" t="s">
        <v>17074</v>
      </c>
      <c r="ZO22" s="1" t="s">
        <v>17075</v>
      </c>
      <c r="ZP22" s="1" t="s">
        <v>17076</v>
      </c>
      <c r="ZQ22" s="1" t="s">
        <v>17077</v>
      </c>
      <c r="ZR22" s="1" t="s">
        <v>17078</v>
      </c>
      <c r="ZS22" s="1" t="s">
        <v>17079</v>
      </c>
      <c r="ZT22" s="1" t="s">
        <v>17080</v>
      </c>
      <c r="ZU22" s="1" t="s">
        <v>17081</v>
      </c>
      <c r="ZV22" s="1" t="s">
        <v>17082</v>
      </c>
      <c r="ZW22" s="1" t="s">
        <v>17083</v>
      </c>
      <c r="ZX22" s="1" t="s">
        <v>17084</v>
      </c>
      <c r="ZY22" s="1" t="s">
        <v>17085</v>
      </c>
      <c r="ZZ22" s="1" t="s">
        <v>17086</v>
      </c>
      <c r="AAA22" s="1" t="s">
        <v>17087</v>
      </c>
      <c r="AAB22" s="1" t="s">
        <v>17088</v>
      </c>
      <c r="AAC22" s="1" t="s">
        <v>17089</v>
      </c>
      <c r="AAD22" s="1" t="s">
        <v>17090</v>
      </c>
      <c r="AAE22" s="1" t="s">
        <v>17091</v>
      </c>
      <c r="AAF22" s="1" t="s">
        <v>17092</v>
      </c>
      <c r="AAG22" s="1" t="s">
        <v>17093</v>
      </c>
      <c r="AAH22" s="1" t="s">
        <v>17094</v>
      </c>
      <c r="AAI22" s="1" t="s">
        <v>17095</v>
      </c>
      <c r="AAJ22" s="1" t="s">
        <v>17096</v>
      </c>
      <c r="AAK22" s="1" t="s">
        <v>17097</v>
      </c>
      <c r="AAL22" s="1" t="s">
        <v>17098</v>
      </c>
      <c r="AAM22" s="1" t="s">
        <v>17099</v>
      </c>
      <c r="AAN22" s="1" t="s">
        <v>17100</v>
      </c>
      <c r="AAO22" s="1" t="s">
        <v>17101</v>
      </c>
      <c r="AAP22" s="1" t="s">
        <v>17102</v>
      </c>
      <c r="AAQ22" s="1" t="s">
        <v>17103</v>
      </c>
      <c r="AAR22" s="1" t="s">
        <v>17104</v>
      </c>
      <c r="AAS22" s="1" t="s">
        <v>17105</v>
      </c>
      <c r="AAT22" s="1" t="s">
        <v>17106</v>
      </c>
      <c r="AAU22" s="1" t="s">
        <v>17107</v>
      </c>
      <c r="AAV22" s="1" t="s">
        <v>17108</v>
      </c>
      <c r="AAW22" s="1" t="s">
        <v>17109</v>
      </c>
      <c r="AAX22" s="1" t="s">
        <v>17110</v>
      </c>
      <c r="AAY22" s="1" t="s">
        <v>17111</v>
      </c>
      <c r="AAZ22" s="1" t="s">
        <v>17112</v>
      </c>
      <c r="ABA22" s="1" t="s">
        <v>17113</v>
      </c>
      <c r="ABB22" s="1" t="s">
        <v>17114</v>
      </c>
      <c r="ABC22" s="1" t="s">
        <v>17115</v>
      </c>
      <c r="ABD22" s="1" t="s">
        <v>17116</v>
      </c>
      <c r="ABE22" s="1" t="s">
        <v>17117</v>
      </c>
      <c r="ABF22" s="1" t="s">
        <v>17118</v>
      </c>
      <c r="ABG22" s="1" t="s">
        <v>17119</v>
      </c>
      <c r="ABH22" s="1" t="s">
        <v>17120</v>
      </c>
      <c r="ABI22" s="1" t="s">
        <v>17121</v>
      </c>
      <c r="ABJ22" s="1" t="s">
        <v>17122</v>
      </c>
      <c r="ABK22" s="1" t="s">
        <v>17123</v>
      </c>
      <c r="ABL22" s="1" t="s">
        <v>17124</v>
      </c>
      <c r="ABM22" s="1" t="s">
        <v>17125</v>
      </c>
      <c r="ABN22" s="1" t="s">
        <v>17126</v>
      </c>
      <c r="ABO22" s="1" t="s">
        <v>17127</v>
      </c>
      <c r="ABP22" s="1" t="s">
        <v>17128</v>
      </c>
      <c r="ABQ22" s="1" t="s">
        <v>17129</v>
      </c>
      <c r="ABR22" s="1" t="s">
        <v>17130</v>
      </c>
      <c r="ABS22" s="1" t="s">
        <v>17131</v>
      </c>
      <c r="ABT22" s="1" t="s">
        <v>17132</v>
      </c>
      <c r="ABU22" s="1" t="s">
        <v>17133</v>
      </c>
      <c r="ABV22" s="1" t="s">
        <v>17134</v>
      </c>
      <c r="ABW22" s="1" t="s">
        <v>17135</v>
      </c>
      <c r="ABX22" s="1" t="s">
        <v>17136</v>
      </c>
      <c r="ABY22" s="1" t="s">
        <v>17137</v>
      </c>
      <c r="ABZ22" s="1" t="s">
        <v>17138</v>
      </c>
      <c r="ACA22" s="1" t="s">
        <v>17139</v>
      </c>
      <c r="ACB22" s="1" t="s">
        <v>17140</v>
      </c>
      <c r="ACC22" s="1" t="s">
        <v>17141</v>
      </c>
      <c r="ACD22" s="1" t="s">
        <v>17142</v>
      </c>
      <c r="ACE22" s="1" t="s">
        <v>17143</v>
      </c>
      <c r="ACF22" s="1" t="s">
        <v>17144</v>
      </c>
      <c r="ACG22" s="1" t="s">
        <v>17145</v>
      </c>
      <c r="ACH22" s="1" t="s">
        <v>17146</v>
      </c>
      <c r="ACI22" s="1" t="s">
        <v>17147</v>
      </c>
      <c r="ACJ22" s="1" t="s">
        <v>17148</v>
      </c>
      <c r="ACK22" s="1" t="s">
        <v>17149</v>
      </c>
      <c r="ACL22" s="1" t="s">
        <v>17150</v>
      </c>
      <c r="ACM22" s="1" t="s">
        <v>17151</v>
      </c>
      <c r="ACN22" s="1" t="s">
        <v>17152</v>
      </c>
      <c r="ACO22" s="1" t="s">
        <v>17153</v>
      </c>
      <c r="ACP22" s="1" t="s">
        <v>17154</v>
      </c>
      <c r="ACQ22" s="1" t="s">
        <v>17155</v>
      </c>
      <c r="ACR22" s="1" t="s">
        <v>17156</v>
      </c>
      <c r="ACS22" s="1" t="s">
        <v>17157</v>
      </c>
      <c r="ACT22" s="1" t="s">
        <v>17158</v>
      </c>
      <c r="ACU22" s="1" t="s">
        <v>17159</v>
      </c>
      <c r="ACV22" s="1" t="s">
        <v>17160</v>
      </c>
      <c r="ACW22" s="1" t="s">
        <v>23</v>
      </c>
      <c r="ACX22" s="1" t="s">
        <v>6310</v>
      </c>
    </row>
    <row r="23" spans="1:778" x14ac:dyDescent="0.2">
      <c r="A23" s="1" t="s">
        <v>82</v>
      </c>
      <c r="B23" s="1" t="s">
        <v>17161</v>
      </c>
      <c r="C23" s="1" t="s">
        <v>17162</v>
      </c>
      <c r="D23" s="1" t="s">
        <v>17163</v>
      </c>
      <c r="E23" s="1" t="s">
        <v>17164</v>
      </c>
      <c r="F23" s="1" t="s">
        <v>17165</v>
      </c>
      <c r="G23" s="1" t="s">
        <v>17166</v>
      </c>
      <c r="H23" s="1" t="s">
        <v>17167</v>
      </c>
      <c r="I23" s="1" t="s">
        <v>17168</v>
      </c>
      <c r="J23" s="1" t="s">
        <v>17169</v>
      </c>
      <c r="K23" s="1" t="s">
        <v>17170</v>
      </c>
      <c r="L23" s="1" t="s">
        <v>17171</v>
      </c>
      <c r="M23" s="1" t="s">
        <v>17172</v>
      </c>
      <c r="N23" s="1" t="s">
        <v>17173</v>
      </c>
      <c r="O23" s="1" t="s">
        <v>17174</v>
      </c>
      <c r="P23" s="1" t="s">
        <v>17175</v>
      </c>
      <c r="Q23" s="1" t="s">
        <v>17176</v>
      </c>
      <c r="R23" s="1" t="s">
        <v>17177</v>
      </c>
      <c r="S23" s="1" t="s">
        <v>17178</v>
      </c>
      <c r="T23" s="1" t="s">
        <v>17179</v>
      </c>
      <c r="U23" s="1" t="s">
        <v>17180</v>
      </c>
      <c r="V23" s="1" t="s">
        <v>17181</v>
      </c>
      <c r="W23" s="1" t="s">
        <v>17182</v>
      </c>
      <c r="X23" s="1" t="s">
        <v>17183</v>
      </c>
      <c r="Y23" s="1" t="s">
        <v>17184</v>
      </c>
      <c r="Z23" s="1" t="s">
        <v>17185</v>
      </c>
      <c r="AA23" s="1" t="s">
        <v>17186</v>
      </c>
      <c r="AB23" s="1" t="s">
        <v>17187</v>
      </c>
      <c r="AC23" s="1" t="s">
        <v>17188</v>
      </c>
      <c r="AD23" s="1" t="s">
        <v>17189</v>
      </c>
      <c r="AE23" s="1" t="s">
        <v>17190</v>
      </c>
      <c r="AF23" s="1" t="s">
        <v>17191</v>
      </c>
      <c r="AG23" s="1" t="s">
        <v>17192</v>
      </c>
      <c r="AH23" s="1" t="s">
        <v>17193</v>
      </c>
      <c r="AI23" s="1" t="s">
        <v>17194</v>
      </c>
      <c r="AJ23" s="1" t="s">
        <v>17195</v>
      </c>
      <c r="AK23" s="1" t="s">
        <v>17196</v>
      </c>
      <c r="AL23" s="1" t="s">
        <v>17197</v>
      </c>
      <c r="AM23" s="1" t="s">
        <v>17198</v>
      </c>
      <c r="AN23" s="1" t="s">
        <v>17199</v>
      </c>
      <c r="AO23" s="1" t="s">
        <v>17200</v>
      </c>
      <c r="AP23" s="1" t="s">
        <v>17201</v>
      </c>
      <c r="AQ23" s="1" t="s">
        <v>17202</v>
      </c>
      <c r="AR23" s="1" t="s">
        <v>17203</v>
      </c>
      <c r="AS23" s="1" t="s">
        <v>17204</v>
      </c>
      <c r="AT23" s="1" t="s">
        <v>17205</v>
      </c>
      <c r="AU23" s="1" t="s">
        <v>17206</v>
      </c>
      <c r="AV23" s="1" t="s">
        <v>17207</v>
      </c>
      <c r="AW23" s="1" t="s">
        <v>17208</v>
      </c>
      <c r="AX23" s="1" t="s">
        <v>17209</v>
      </c>
      <c r="AY23" s="1" t="s">
        <v>17210</v>
      </c>
      <c r="AZ23" s="1" t="s">
        <v>17211</v>
      </c>
      <c r="BA23" s="1" t="s">
        <v>17212</v>
      </c>
      <c r="BB23" s="1" t="s">
        <v>17213</v>
      </c>
      <c r="BC23" s="1" t="s">
        <v>17214</v>
      </c>
      <c r="BD23" s="1" t="s">
        <v>17215</v>
      </c>
      <c r="BE23" s="1" t="s">
        <v>17216</v>
      </c>
      <c r="BF23" s="1" t="s">
        <v>17217</v>
      </c>
      <c r="BG23" s="1" t="s">
        <v>17218</v>
      </c>
      <c r="BH23" s="1" t="s">
        <v>17219</v>
      </c>
      <c r="BI23" s="1" t="s">
        <v>17220</v>
      </c>
      <c r="BJ23" s="1" t="s">
        <v>17221</v>
      </c>
      <c r="BK23" s="1" t="s">
        <v>17222</v>
      </c>
      <c r="BL23" s="1" t="s">
        <v>17223</v>
      </c>
      <c r="BM23" s="1" t="s">
        <v>17224</v>
      </c>
      <c r="BN23" s="1" t="s">
        <v>17225</v>
      </c>
      <c r="BO23" s="1" t="s">
        <v>17226</v>
      </c>
      <c r="BP23" s="1" t="s">
        <v>17227</v>
      </c>
      <c r="BQ23" s="1" t="s">
        <v>17228</v>
      </c>
      <c r="BR23" s="1" t="s">
        <v>17229</v>
      </c>
      <c r="BS23" s="1" t="s">
        <v>17230</v>
      </c>
      <c r="BT23" s="1" t="s">
        <v>17231</v>
      </c>
      <c r="BU23" s="1" t="s">
        <v>17232</v>
      </c>
      <c r="BV23" s="1" t="s">
        <v>17233</v>
      </c>
      <c r="BW23" s="1" t="s">
        <v>17234</v>
      </c>
      <c r="BX23" s="1" t="s">
        <v>17235</v>
      </c>
      <c r="BY23" s="1" t="s">
        <v>17236</v>
      </c>
      <c r="BZ23" s="1" t="s">
        <v>17237</v>
      </c>
      <c r="CA23" s="1" t="s">
        <v>17238</v>
      </c>
      <c r="CB23" s="1" t="s">
        <v>17239</v>
      </c>
      <c r="CC23" s="1" t="s">
        <v>17240</v>
      </c>
      <c r="CD23" s="1" t="s">
        <v>17241</v>
      </c>
      <c r="CE23" s="1" t="s">
        <v>17242</v>
      </c>
      <c r="CF23" s="1" t="s">
        <v>17243</v>
      </c>
      <c r="CG23" s="1" t="s">
        <v>17244</v>
      </c>
      <c r="CH23" s="1" t="s">
        <v>17245</v>
      </c>
      <c r="CI23" s="1" t="s">
        <v>17246</v>
      </c>
      <c r="CJ23" s="1" t="s">
        <v>17247</v>
      </c>
      <c r="CK23" s="1" t="s">
        <v>17248</v>
      </c>
      <c r="CL23" s="1" t="s">
        <v>17249</v>
      </c>
      <c r="CM23" s="1" t="s">
        <v>17250</v>
      </c>
      <c r="CN23" s="1" t="s">
        <v>17251</v>
      </c>
      <c r="CO23" s="1" t="s">
        <v>17252</v>
      </c>
      <c r="CP23" s="1" t="s">
        <v>17253</v>
      </c>
      <c r="CQ23" s="1" t="s">
        <v>17254</v>
      </c>
      <c r="CR23" s="1" t="s">
        <v>17255</v>
      </c>
      <c r="CS23" s="1" t="s">
        <v>17256</v>
      </c>
      <c r="CT23" s="1" t="s">
        <v>17257</v>
      </c>
      <c r="CU23" s="1" t="s">
        <v>17258</v>
      </c>
      <c r="CV23" s="1" t="s">
        <v>17259</v>
      </c>
      <c r="CW23" s="1" t="s">
        <v>17260</v>
      </c>
      <c r="CX23" s="1" t="s">
        <v>17261</v>
      </c>
      <c r="CY23" s="1" t="s">
        <v>17262</v>
      </c>
      <c r="CZ23" s="1" t="s">
        <v>17263</v>
      </c>
      <c r="DA23" s="1" t="s">
        <v>17264</v>
      </c>
      <c r="DB23" s="1" t="s">
        <v>17265</v>
      </c>
      <c r="DC23" s="1" t="s">
        <v>17266</v>
      </c>
      <c r="DD23" s="1" t="s">
        <v>17267</v>
      </c>
      <c r="DE23" s="1" t="s">
        <v>17268</v>
      </c>
      <c r="DF23" s="1" t="s">
        <v>17269</v>
      </c>
      <c r="DG23" s="1" t="s">
        <v>17270</v>
      </c>
      <c r="DH23" s="1" t="s">
        <v>17271</v>
      </c>
      <c r="DI23" s="1" t="s">
        <v>17272</v>
      </c>
      <c r="DJ23" s="1" t="s">
        <v>17273</v>
      </c>
      <c r="DK23" s="1" t="s">
        <v>17274</v>
      </c>
      <c r="DL23" s="1" t="s">
        <v>17275</v>
      </c>
      <c r="DM23" s="1" t="s">
        <v>17276</v>
      </c>
      <c r="DN23" s="1" t="s">
        <v>17277</v>
      </c>
      <c r="DO23" s="1" t="s">
        <v>17278</v>
      </c>
      <c r="DP23" s="1" t="s">
        <v>17279</v>
      </c>
      <c r="DQ23" s="1" t="s">
        <v>17280</v>
      </c>
      <c r="DR23" s="1" t="s">
        <v>17281</v>
      </c>
      <c r="DS23" s="1" t="s">
        <v>17282</v>
      </c>
      <c r="DT23" s="1" t="s">
        <v>17283</v>
      </c>
      <c r="DU23" s="1" t="s">
        <v>17284</v>
      </c>
      <c r="DV23" s="1" t="s">
        <v>17285</v>
      </c>
      <c r="DW23" s="1" t="s">
        <v>17286</v>
      </c>
      <c r="DX23" s="1" t="s">
        <v>17287</v>
      </c>
      <c r="DY23" s="1" t="s">
        <v>17288</v>
      </c>
      <c r="DZ23" s="1" t="s">
        <v>17289</v>
      </c>
      <c r="EA23" s="1" t="s">
        <v>17290</v>
      </c>
      <c r="EB23" s="1" t="s">
        <v>17291</v>
      </c>
      <c r="EC23" s="1" t="s">
        <v>17292</v>
      </c>
      <c r="ED23" s="1" t="s">
        <v>17293</v>
      </c>
      <c r="EE23" s="1" t="s">
        <v>17294</v>
      </c>
      <c r="EF23" s="1" t="s">
        <v>17295</v>
      </c>
      <c r="EG23" s="1" t="s">
        <v>17296</v>
      </c>
      <c r="EH23" s="1" t="s">
        <v>17297</v>
      </c>
      <c r="EI23" s="1" t="s">
        <v>17298</v>
      </c>
      <c r="EJ23" s="1" t="s">
        <v>17299</v>
      </c>
      <c r="EK23" s="1" t="s">
        <v>17300</v>
      </c>
      <c r="EL23" s="1" t="s">
        <v>17301</v>
      </c>
      <c r="EM23" s="1" t="s">
        <v>17302</v>
      </c>
      <c r="EN23" s="1" t="s">
        <v>17303</v>
      </c>
      <c r="EO23" s="1" t="s">
        <v>17304</v>
      </c>
      <c r="EP23" s="1" t="s">
        <v>17305</v>
      </c>
      <c r="EQ23" s="1" t="s">
        <v>17306</v>
      </c>
      <c r="ER23" s="1" t="s">
        <v>17307</v>
      </c>
      <c r="ES23" s="1" t="s">
        <v>17308</v>
      </c>
      <c r="ET23" s="1" t="s">
        <v>17309</v>
      </c>
      <c r="EU23" s="1" t="s">
        <v>17310</v>
      </c>
      <c r="EV23" s="1" t="s">
        <v>17311</v>
      </c>
      <c r="EW23" s="1" t="s">
        <v>17312</v>
      </c>
      <c r="EX23" s="1" t="s">
        <v>17313</v>
      </c>
      <c r="EY23" s="1" t="s">
        <v>17314</v>
      </c>
      <c r="EZ23" s="1" t="s">
        <v>17315</v>
      </c>
      <c r="FA23" s="1" t="s">
        <v>17316</v>
      </c>
      <c r="FB23" s="1" t="s">
        <v>17317</v>
      </c>
      <c r="FC23" s="1" t="s">
        <v>17318</v>
      </c>
      <c r="FD23" s="1" t="s">
        <v>17319</v>
      </c>
      <c r="FE23" s="1" t="s">
        <v>17320</v>
      </c>
      <c r="FF23" s="1" t="s">
        <v>17321</v>
      </c>
      <c r="FG23" s="1" t="s">
        <v>17322</v>
      </c>
      <c r="FH23" s="1" t="s">
        <v>17323</v>
      </c>
      <c r="FI23" s="1" t="s">
        <v>17324</v>
      </c>
      <c r="FJ23" s="1" t="s">
        <v>17325</v>
      </c>
      <c r="FK23" s="1" t="s">
        <v>17326</v>
      </c>
      <c r="FL23" s="1" t="s">
        <v>17327</v>
      </c>
      <c r="FM23" s="1" t="s">
        <v>17328</v>
      </c>
      <c r="FN23" s="1" t="s">
        <v>17329</v>
      </c>
      <c r="FO23" s="1" t="s">
        <v>17330</v>
      </c>
      <c r="FP23" s="1" t="s">
        <v>17331</v>
      </c>
      <c r="FQ23" s="1" t="s">
        <v>17332</v>
      </c>
      <c r="FR23" s="1" t="s">
        <v>17333</v>
      </c>
      <c r="FS23" s="1" t="s">
        <v>17334</v>
      </c>
      <c r="FT23" s="1" t="s">
        <v>17335</v>
      </c>
      <c r="FU23" s="1" t="s">
        <v>17336</v>
      </c>
      <c r="FV23" s="1" t="s">
        <v>17337</v>
      </c>
      <c r="FW23" s="1" t="s">
        <v>17338</v>
      </c>
      <c r="FX23" s="1" t="s">
        <v>17339</v>
      </c>
      <c r="FY23" s="1" t="s">
        <v>17340</v>
      </c>
      <c r="FZ23" s="1" t="s">
        <v>17341</v>
      </c>
      <c r="GA23" s="1" t="s">
        <v>17342</v>
      </c>
      <c r="GB23" s="1" t="s">
        <v>17343</v>
      </c>
      <c r="GC23" s="1" t="s">
        <v>17344</v>
      </c>
      <c r="GD23" s="1" t="s">
        <v>17345</v>
      </c>
      <c r="GE23" s="1" t="s">
        <v>17346</v>
      </c>
      <c r="GF23" s="1" t="s">
        <v>17347</v>
      </c>
      <c r="GG23" s="1" t="s">
        <v>17348</v>
      </c>
      <c r="GH23" s="1" t="s">
        <v>17349</v>
      </c>
      <c r="GI23" s="1" t="s">
        <v>17350</v>
      </c>
      <c r="GJ23" s="1" t="s">
        <v>17351</v>
      </c>
      <c r="GK23" s="1" t="s">
        <v>17352</v>
      </c>
      <c r="GL23" s="1" t="s">
        <v>17353</v>
      </c>
      <c r="GM23" s="1" t="s">
        <v>17354</v>
      </c>
      <c r="GN23" s="1" t="s">
        <v>17355</v>
      </c>
      <c r="GO23" s="1" t="s">
        <v>17356</v>
      </c>
      <c r="GP23" s="1" t="s">
        <v>17357</v>
      </c>
      <c r="GQ23" s="1" t="s">
        <v>17358</v>
      </c>
      <c r="GR23" s="1" t="s">
        <v>17359</v>
      </c>
      <c r="GS23" s="1" t="s">
        <v>17360</v>
      </c>
      <c r="GT23" s="1" t="s">
        <v>17361</v>
      </c>
      <c r="GU23" s="1" t="s">
        <v>17362</v>
      </c>
      <c r="GV23" s="1" t="s">
        <v>17363</v>
      </c>
      <c r="GW23" s="1" t="s">
        <v>17364</v>
      </c>
      <c r="GX23" s="1" t="s">
        <v>17365</v>
      </c>
      <c r="GY23" s="1" t="s">
        <v>17366</v>
      </c>
      <c r="GZ23" s="1" t="s">
        <v>17367</v>
      </c>
      <c r="HA23" s="1" t="s">
        <v>17368</v>
      </c>
      <c r="HB23" s="1" t="s">
        <v>17369</v>
      </c>
      <c r="HC23" s="1" t="s">
        <v>17370</v>
      </c>
      <c r="HD23" s="1" t="s">
        <v>17371</v>
      </c>
      <c r="HE23" s="1" t="s">
        <v>17372</v>
      </c>
      <c r="HF23" s="1" t="s">
        <v>17373</v>
      </c>
      <c r="HG23" s="1" t="s">
        <v>17374</v>
      </c>
      <c r="HH23" s="1" t="s">
        <v>17375</v>
      </c>
      <c r="HI23" s="1" t="s">
        <v>17376</v>
      </c>
      <c r="HJ23" s="1" t="s">
        <v>17377</v>
      </c>
      <c r="HK23" s="1" t="s">
        <v>17378</v>
      </c>
      <c r="HL23" s="1" t="s">
        <v>17379</v>
      </c>
      <c r="HM23" s="1" t="s">
        <v>17380</v>
      </c>
      <c r="HN23" s="1" t="s">
        <v>17381</v>
      </c>
      <c r="HO23" s="1" t="s">
        <v>17382</v>
      </c>
      <c r="HP23" s="1" t="s">
        <v>17383</v>
      </c>
      <c r="HQ23" s="1" t="s">
        <v>17384</v>
      </c>
      <c r="HR23" s="1" t="s">
        <v>17385</v>
      </c>
      <c r="HS23" s="1" t="s">
        <v>17386</v>
      </c>
      <c r="HT23" s="1" t="s">
        <v>17387</v>
      </c>
      <c r="HU23" s="1" t="s">
        <v>17388</v>
      </c>
      <c r="HV23" s="1" t="s">
        <v>17389</v>
      </c>
      <c r="HW23" s="1" t="s">
        <v>17390</v>
      </c>
      <c r="HX23" s="1" t="s">
        <v>17391</v>
      </c>
      <c r="HY23" s="1" t="s">
        <v>17392</v>
      </c>
      <c r="HZ23" s="1" t="s">
        <v>17393</v>
      </c>
      <c r="IA23" s="1" t="s">
        <v>17394</v>
      </c>
      <c r="IB23" s="1" t="s">
        <v>17395</v>
      </c>
      <c r="IC23" s="1" t="s">
        <v>17396</v>
      </c>
      <c r="ID23" s="1" t="s">
        <v>17397</v>
      </c>
      <c r="IE23" s="1" t="s">
        <v>17398</v>
      </c>
      <c r="IF23" s="1" t="s">
        <v>17399</v>
      </c>
      <c r="IG23" s="1" t="s">
        <v>17400</v>
      </c>
      <c r="IH23" s="1" t="s">
        <v>17401</v>
      </c>
      <c r="II23" s="1" t="s">
        <v>17402</v>
      </c>
      <c r="IJ23" s="1" t="s">
        <v>17403</v>
      </c>
      <c r="IK23" s="1" t="s">
        <v>17404</v>
      </c>
      <c r="IL23" s="1" t="s">
        <v>17405</v>
      </c>
      <c r="IM23" s="1" t="s">
        <v>17406</v>
      </c>
      <c r="IN23" s="1" t="s">
        <v>17407</v>
      </c>
      <c r="IO23" s="1" t="s">
        <v>17408</v>
      </c>
      <c r="IP23" s="1" t="s">
        <v>17409</v>
      </c>
      <c r="IQ23" s="1" t="s">
        <v>17410</v>
      </c>
      <c r="IR23" s="1" t="s">
        <v>17411</v>
      </c>
      <c r="IS23" s="1" t="s">
        <v>17412</v>
      </c>
      <c r="IT23" s="1" t="s">
        <v>17413</v>
      </c>
      <c r="IU23" s="1" t="s">
        <v>17414</v>
      </c>
      <c r="IV23" s="1" t="s">
        <v>17415</v>
      </c>
      <c r="IW23" s="1" t="s">
        <v>17416</v>
      </c>
      <c r="IX23" s="1" t="s">
        <v>17417</v>
      </c>
      <c r="IY23" s="1" t="s">
        <v>17418</v>
      </c>
      <c r="IZ23" s="1" t="s">
        <v>17419</v>
      </c>
      <c r="JA23" s="1" t="s">
        <v>17420</v>
      </c>
      <c r="JB23" s="1" t="s">
        <v>17421</v>
      </c>
      <c r="JC23" s="1" t="s">
        <v>17422</v>
      </c>
      <c r="JD23" s="1" t="s">
        <v>17423</v>
      </c>
      <c r="JE23" s="1" t="s">
        <v>17424</v>
      </c>
      <c r="JF23" s="1" t="s">
        <v>17425</v>
      </c>
      <c r="JG23" s="1" t="s">
        <v>17426</v>
      </c>
      <c r="JH23" s="1" t="s">
        <v>17427</v>
      </c>
      <c r="JI23" s="1" t="s">
        <v>17428</v>
      </c>
      <c r="JJ23" s="1" t="s">
        <v>17429</v>
      </c>
      <c r="JK23" s="1" t="s">
        <v>17430</v>
      </c>
      <c r="JL23" s="1" t="s">
        <v>17431</v>
      </c>
      <c r="JM23" s="1" t="s">
        <v>17432</v>
      </c>
      <c r="JN23" s="1" t="s">
        <v>17433</v>
      </c>
      <c r="JO23" s="1" t="s">
        <v>17434</v>
      </c>
      <c r="JP23" s="1" t="s">
        <v>17435</v>
      </c>
      <c r="JQ23" s="1" t="s">
        <v>17436</v>
      </c>
      <c r="JR23" s="1" t="s">
        <v>17437</v>
      </c>
      <c r="JS23" s="1" t="s">
        <v>17438</v>
      </c>
      <c r="JT23" s="1" t="s">
        <v>17439</v>
      </c>
      <c r="JU23" s="1" t="s">
        <v>17440</v>
      </c>
      <c r="JV23" s="1" t="s">
        <v>17441</v>
      </c>
      <c r="JW23" s="1" t="s">
        <v>17442</v>
      </c>
      <c r="JX23" s="1" t="s">
        <v>17443</v>
      </c>
      <c r="JY23" s="1" t="s">
        <v>17444</v>
      </c>
      <c r="JZ23" s="1" t="s">
        <v>17445</v>
      </c>
      <c r="KA23" s="1" t="s">
        <v>17446</v>
      </c>
      <c r="KB23" s="1" t="s">
        <v>17447</v>
      </c>
      <c r="KC23" s="1" t="s">
        <v>17448</v>
      </c>
      <c r="KD23" s="1" t="s">
        <v>17449</v>
      </c>
      <c r="KE23" s="1" t="s">
        <v>17450</v>
      </c>
      <c r="KF23" s="1" t="s">
        <v>17451</v>
      </c>
      <c r="KG23" s="1" t="s">
        <v>17452</v>
      </c>
      <c r="KH23" s="1" t="s">
        <v>17453</v>
      </c>
      <c r="KI23" s="1" t="s">
        <v>17454</v>
      </c>
      <c r="KJ23" s="1" t="s">
        <v>17455</v>
      </c>
      <c r="KK23" s="1" t="s">
        <v>17456</v>
      </c>
      <c r="KL23" s="1" t="s">
        <v>17457</v>
      </c>
      <c r="KM23" s="1" t="s">
        <v>17458</v>
      </c>
      <c r="KN23" s="1" t="s">
        <v>17459</v>
      </c>
      <c r="KO23" s="1" t="s">
        <v>17460</v>
      </c>
      <c r="KP23" s="1" t="s">
        <v>17461</v>
      </c>
      <c r="KQ23" s="1" t="s">
        <v>17462</v>
      </c>
      <c r="KR23" s="1" t="s">
        <v>17463</v>
      </c>
      <c r="KS23" s="1" t="s">
        <v>17464</v>
      </c>
      <c r="KT23" s="1" t="s">
        <v>17465</v>
      </c>
      <c r="KU23" s="1" t="s">
        <v>17466</v>
      </c>
      <c r="KV23" s="1" t="s">
        <v>17467</v>
      </c>
      <c r="KW23" s="1" t="s">
        <v>17468</v>
      </c>
      <c r="KX23" s="1" t="s">
        <v>17469</v>
      </c>
      <c r="KY23" s="1" t="s">
        <v>17470</v>
      </c>
      <c r="KZ23" s="1" t="s">
        <v>17471</v>
      </c>
      <c r="LA23" s="1" t="s">
        <v>17472</v>
      </c>
      <c r="LB23" s="1" t="s">
        <v>17473</v>
      </c>
      <c r="LC23" s="1" t="s">
        <v>17474</v>
      </c>
      <c r="LD23" s="1" t="s">
        <v>17475</v>
      </c>
      <c r="LE23" s="1" t="s">
        <v>17476</v>
      </c>
      <c r="LF23" s="1" t="s">
        <v>17477</v>
      </c>
      <c r="LG23" s="1" t="s">
        <v>17478</v>
      </c>
      <c r="LH23" s="1" t="s">
        <v>17479</v>
      </c>
      <c r="LI23" s="1" t="s">
        <v>17480</v>
      </c>
      <c r="LJ23" s="1" t="s">
        <v>17481</v>
      </c>
      <c r="LK23" s="1" t="s">
        <v>17482</v>
      </c>
      <c r="LL23" s="1" t="s">
        <v>17483</v>
      </c>
      <c r="LM23" s="1" t="s">
        <v>17484</v>
      </c>
      <c r="LN23" s="1" t="s">
        <v>17485</v>
      </c>
      <c r="LO23" s="1" t="s">
        <v>17486</v>
      </c>
      <c r="LP23" s="1" t="s">
        <v>17487</v>
      </c>
      <c r="LQ23" s="1" t="s">
        <v>17488</v>
      </c>
      <c r="LR23" s="1" t="s">
        <v>17489</v>
      </c>
      <c r="LS23" s="1" t="s">
        <v>17490</v>
      </c>
      <c r="LT23" s="1" t="s">
        <v>17491</v>
      </c>
      <c r="LU23" s="1" t="s">
        <v>17492</v>
      </c>
      <c r="LV23" s="1" t="s">
        <v>17493</v>
      </c>
      <c r="LW23" s="1" t="s">
        <v>17494</v>
      </c>
      <c r="LX23" s="1" t="s">
        <v>17495</v>
      </c>
      <c r="LY23" s="1" t="s">
        <v>17496</v>
      </c>
      <c r="LZ23" s="1" t="s">
        <v>17497</v>
      </c>
      <c r="MA23" s="1" t="s">
        <v>17498</v>
      </c>
      <c r="MB23" s="1" t="s">
        <v>17499</v>
      </c>
      <c r="MC23" s="1" t="s">
        <v>17500</v>
      </c>
      <c r="MD23" s="1" t="s">
        <v>17501</v>
      </c>
      <c r="ME23" s="1" t="s">
        <v>17502</v>
      </c>
      <c r="MF23" s="1" t="s">
        <v>17503</v>
      </c>
      <c r="MG23" s="1" t="s">
        <v>17504</v>
      </c>
      <c r="MH23" s="1" t="s">
        <v>17505</v>
      </c>
      <c r="MI23" s="1" t="s">
        <v>17506</v>
      </c>
      <c r="MJ23" s="1" t="s">
        <v>17507</v>
      </c>
      <c r="MK23" s="1" t="s">
        <v>17508</v>
      </c>
      <c r="ML23" s="1" t="s">
        <v>17509</v>
      </c>
      <c r="MM23" s="1" t="s">
        <v>17510</v>
      </c>
      <c r="MN23" s="1" t="s">
        <v>17511</v>
      </c>
      <c r="MO23" s="1" t="s">
        <v>17512</v>
      </c>
      <c r="MP23" s="1" t="s">
        <v>17513</v>
      </c>
      <c r="MQ23" s="1" t="s">
        <v>17514</v>
      </c>
      <c r="MR23" s="1" t="s">
        <v>17515</v>
      </c>
      <c r="MS23" s="1" t="s">
        <v>17516</v>
      </c>
      <c r="MT23" s="1" t="s">
        <v>17517</v>
      </c>
      <c r="MU23" s="1" t="s">
        <v>17518</v>
      </c>
      <c r="MV23" s="1" t="s">
        <v>17519</v>
      </c>
      <c r="MW23" s="1" t="s">
        <v>17520</v>
      </c>
      <c r="MX23" s="1" t="s">
        <v>17521</v>
      </c>
      <c r="MY23" s="1" t="s">
        <v>17522</v>
      </c>
      <c r="MZ23" s="1" t="s">
        <v>17523</v>
      </c>
      <c r="NA23" s="1" t="s">
        <v>17524</v>
      </c>
      <c r="NB23" s="1" t="s">
        <v>17525</v>
      </c>
      <c r="NC23" s="1" t="s">
        <v>17526</v>
      </c>
      <c r="ND23" s="1" t="s">
        <v>17527</v>
      </c>
      <c r="NE23" s="1" t="s">
        <v>17528</v>
      </c>
      <c r="NF23" s="1" t="s">
        <v>17529</v>
      </c>
      <c r="NG23" s="1" t="s">
        <v>17530</v>
      </c>
      <c r="NH23" s="1" t="s">
        <v>17531</v>
      </c>
      <c r="NI23" s="1" t="s">
        <v>17532</v>
      </c>
      <c r="NJ23" s="1" t="s">
        <v>17533</v>
      </c>
      <c r="NK23" s="1" t="s">
        <v>17534</v>
      </c>
      <c r="NL23" s="1" t="s">
        <v>17535</v>
      </c>
      <c r="NM23" s="1" t="s">
        <v>17536</v>
      </c>
      <c r="NN23" s="1" t="s">
        <v>17537</v>
      </c>
      <c r="NO23" s="1" t="s">
        <v>17538</v>
      </c>
      <c r="NP23" s="1" t="s">
        <v>17539</v>
      </c>
      <c r="NQ23" s="1" t="s">
        <v>17540</v>
      </c>
      <c r="NR23" s="1" t="s">
        <v>17541</v>
      </c>
      <c r="NS23" s="1" t="s">
        <v>17542</v>
      </c>
      <c r="NT23" s="1" t="s">
        <v>17543</v>
      </c>
      <c r="NU23" s="1" t="s">
        <v>17544</v>
      </c>
      <c r="NV23" s="1" t="s">
        <v>17545</v>
      </c>
      <c r="NW23" s="1" t="s">
        <v>17546</v>
      </c>
      <c r="NX23" s="1" t="s">
        <v>17547</v>
      </c>
      <c r="NY23" s="1" t="s">
        <v>17548</v>
      </c>
      <c r="NZ23" s="1" t="s">
        <v>17549</v>
      </c>
      <c r="OA23" s="1" t="s">
        <v>17550</v>
      </c>
      <c r="OB23" s="1" t="s">
        <v>17551</v>
      </c>
      <c r="OC23" s="1" t="s">
        <v>17552</v>
      </c>
      <c r="OD23" s="1" t="s">
        <v>17553</v>
      </c>
      <c r="OE23" s="1" t="s">
        <v>17554</v>
      </c>
      <c r="OF23" s="1" t="s">
        <v>17555</v>
      </c>
      <c r="OG23" s="1" t="s">
        <v>17556</v>
      </c>
      <c r="OH23" s="1" t="s">
        <v>17557</v>
      </c>
      <c r="OI23" s="1" t="s">
        <v>17558</v>
      </c>
      <c r="OJ23" s="1" t="s">
        <v>17559</v>
      </c>
      <c r="OK23" s="1" t="s">
        <v>17560</v>
      </c>
      <c r="OL23" s="1" t="s">
        <v>17561</v>
      </c>
      <c r="OM23" s="1" t="s">
        <v>17562</v>
      </c>
      <c r="ON23" s="1" t="s">
        <v>17563</v>
      </c>
      <c r="OO23" s="1" t="s">
        <v>17564</v>
      </c>
      <c r="OP23" s="1" t="s">
        <v>17565</v>
      </c>
      <c r="OQ23" s="1" t="s">
        <v>17566</v>
      </c>
      <c r="OR23" s="1" t="s">
        <v>17567</v>
      </c>
      <c r="OS23" s="1" t="s">
        <v>17568</v>
      </c>
      <c r="OT23" s="1" t="s">
        <v>17569</v>
      </c>
      <c r="OU23" s="1" t="s">
        <v>17570</v>
      </c>
      <c r="OV23" s="1" t="s">
        <v>17571</v>
      </c>
      <c r="OW23" s="1" t="s">
        <v>17572</v>
      </c>
      <c r="OX23" s="1" t="s">
        <v>17573</v>
      </c>
      <c r="OY23" s="1" t="s">
        <v>17574</v>
      </c>
      <c r="OZ23" s="1" t="s">
        <v>17575</v>
      </c>
      <c r="PA23" s="1" t="s">
        <v>17576</v>
      </c>
      <c r="PB23" s="1" t="s">
        <v>17577</v>
      </c>
      <c r="PC23" s="1" t="s">
        <v>17578</v>
      </c>
      <c r="PD23" s="1" t="s">
        <v>17579</v>
      </c>
      <c r="PE23" s="1" t="s">
        <v>17580</v>
      </c>
      <c r="PF23" s="1" t="s">
        <v>17581</v>
      </c>
      <c r="PG23" s="1" t="s">
        <v>17582</v>
      </c>
      <c r="PH23" s="1" t="s">
        <v>17583</v>
      </c>
      <c r="PI23" s="1" t="s">
        <v>17584</v>
      </c>
      <c r="PJ23" s="1" t="s">
        <v>17585</v>
      </c>
      <c r="PK23" s="1" t="s">
        <v>17586</v>
      </c>
      <c r="PL23" s="1" t="s">
        <v>17587</v>
      </c>
      <c r="PM23" s="1" t="s">
        <v>17588</v>
      </c>
      <c r="PN23" s="1" t="s">
        <v>17589</v>
      </c>
      <c r="PO23" s="1" t="s">
        <v>17590</v>
      </c>
      <c r="PP23" s="1" t="s">
        <v>17591</v>
      </c>
      <c r="PQ23" s="1" t="s">
        <v>17592</v>
      </c>
      <c r="PR23" s="1" t="s">
        <v>17593</v>
      </c>
      <c r="PS23" s="1" t="s">
        <v>17594</v>
      </c>
      <c r="PT23" s="1" t="s">
        <v>17595</v>
      </c>
      <c r="PU23" s="1" t="s">
        <v>17596</v>
      </c>
      <c r="PV23" s="1" t="s">
        <v>17597</v>
      </c>
      <c r="PW23" s="1" t="s">
        <v>17598</v>
      </c>
      <c r="PX23" s="1" t="s">
        <v>17599</v>
      </c>
      <c r="PY23" s="1" t="s">
        <v>17600</v>
      </c>
      <c r="PZ23" s="1" t="s">
        <v>17601</v>
      </c>
      <c r="QA23" s="1" t="s">
        <v>17602</v>
      </c>
      <c r="QB23" s="1" t="s">
        <v>17603</v>
      </c>
      <c r="QC23" s="1" t="s">
        <v>17604</v>
      </c>
      <c r="QD23" s="1" t="s">
        <v>17605</v>
      </c>
      <c r="QE23" s="1" t="s">
        <v>17606</v>
      </c>
      <c r="QF23" s="1" t="s">
        <v>17607</v>
      </c>
      <c r="QG23" s="1" t="s">
        <v>17608</v>
      </c>
      <c r="QH23" s="1" t="s">
        <v>17609</v>
      </c>
      <c r="QI23" s="1" t="s">
        <v>17610</v>
      </c>
      <c r="QJ23" s="1" t="s">
        <v>17611</v>
      </c>
      <c r="QK23" s="1" t="s">
        <v>17612</v>
      </c>
      <c r="QL23" s="1" t="s">
        <v>17613</v>
      </c>
      <c r="QM23" s="1" t="s">
        <v>17614</v>
      </c>
      <c r="QN23" s="1" t="s">
        <v>17615</v>
      </c>
      <c r="QO23" s="1" t="s">
        <v>17616</v>
      </c>
      <c r="QP23" s="1" t="s">
        <v>17617</v>
      </c>
      <c r="QQ23" s="1" t="s">
        <v>17618</v>
      </c>
      <c r="QR23" s="1" t="s">
        <v>17619</v>
      </c>
      <c r="QS23" s="1" t="s">
        <v>17620</v>
      </c>
      <c r="QT23" s="1" t="s">
        <v>17621</v>
      </c>
      <c r="QU23" s="1" t="s">
        <v>17622</v>
      </c>
      <c r="QV23" s="1" t="s">
        <v>17623</v>
      </c>
      <c r="QW23" s="1" t="s">
        <v>17624</v>
      </c>
      <c r="QX23" s="1" t="s">
        <v>17625</v>
      </c>
      <c r="QY23" s="1" t="s">
        <v>17626</v>
      </c>
      <c r="QZ23" s="1" t="s">
        <v>17627</v>
      </c>
      <c r="RA23" s="1" t="s">
        <v>17628</v>
      </c>
      <c r="RB23" s="1" t="s">
        <v>17629</v>
      </c>
      <c r="RC23" s="1" t="s">
        <v>17630</v>
      </c>
      <c r="RD23" s="1" t="s">
        <v>17631</v>
      </c>
      <c r="RE23" s="1" t="s">
        <v>17632</v>
      </c>
      <c r="RF23" s="1" t="s">
        <v>17633</v>
      </c>
      <c r="RG23" s="1" t="s">
        <v>17634</v>
      </c>
      <c r="RH23" s="1" t="s">
        <v>17635</v>
      </c>
      <c r="RI23" s="1" t="s">
        <v>17636</v>
      </c>
      <c r="RJ23" s="1" t="s">
        <v>17637</v>
      </c>
      <c r="RK23" s="1" t="s">
        <v>17638</v>
      </c>
      <c r="RL23" s="1" t="s">
        <v>17639</v>
      </c>
      <c r="RM23" s="1" t="s">
        <v>17640</v>
      </c>
      <c r="RN23" s="1" t="s">
        <v>17641</v>
      </c>
      <c r="RO23" s="1" t="s">
        <v>17642</v>
      </c>
      <c r="RP23" s="1" t="s">
        <v>17643</v>
      </c>
      <c r="RQ23" s="1" t="s">
        <v>17644</v>
      </c>
      <c r="RR23" s="1" t="s">
        <v>17645</v>
      </c>
      <c r="RS23" s="1" t="s">
        <v>17646</v>
      </c>
      <c r="RT23" s="1" t="s">
        <v>17647</v>
      </c>
      <c r="RU23" s="1" t="s">
        <v>17648</v>
      </c>
      <c r="RV23" s="1" t="s">
        <v>17649</v>
      </c>
      <c r="RW23" s="1" t="s">
        <v>17650</v>
      </c>
      <c r="RX23" s="1" t="s">
        <v>17651</v>
      </c>
      <c r="RY23" s="1" t="s">
        <v>17652</v>
      </c>
      <c r="RZ23" s="1" t="s">
        <v>17653</v>
      </c>
      <c r="SA23" s="1" t="s">
        <v>17654</v>
      </c>
      <c r="SB23" s="1" t="s">
        <v>17655</v>
      </c>
      <c r="SC23" s="1" t="s">
        <v>17656</v>
      </c>
      <c r="SD23" s="1" t="s">
        <v>17657</v>
      </c>
      <c r="SE23" s="1" t="s">
        <v>17658</v>
      </c>
      <c r="SF23" s="1" t="s">
        <v>17659</v>
      </c>
      <c r="SG23" s="1" t="s">
        <v>17660</v>
      </c>
      <c r="SH23" s="1" t="s">
        <v>17661</v>
      </c>
      <c r="SI23" s="1" t="s">
        <v>17662</v>
      </c>
      <c r="SJ23" s="1" t="s">
        <v>17663</v>
      </c>
      <c r="SK23" s="1" t="s">
        <v>17664</v>
      </c>
      <c r="SL23" s="1" t="s">
        <v>17665</v>
      </c>
      <c r="SM23" s="1" t="s">
        <v>17666</v>
      </c>
      <c r="SN23" s="1" t="s">
        <v>17667</v>
      </c>
      <c r="SO23" s="1" t="s">
        <v>17668</v>
      </c>
      <c r="SP23" s="1" t="s">
        <v>17669</v>
      </c>
      <c r="SQ23" s="1" t="s">
        <v>17670</v>
      </c>
      <c r="SR23" s="1" t="s">
        <v>17671</v>
      </c>
      <c r="SS23" s="1" t="s">
        <v>17672</v>
      </c>
      <c r="ST23" s="1" t="s">
        <v>17673</v>
      </c>
      <c r="SU23" s="1" t="s">
        <v>17674</v>
      </c>
      <c r="SV23" s="1" t="s">
        <v>17675</v>
      </c>
      <c r="SW23" s="1" t="s">
        <v>17676</v>
      </c>
      <c r="SX23" s="1" t="s">
        <v>17677</v>
      </c>
      <c r="SY23" s="1" t="s">
        <v>17678</v>
      </c>
      <c r="SZ23" s="1" t="s">
        <v>17679</v>
      </c>
      <c r="TA23" s="1" t="s">
        <v>17680</v>
      </c>
      <c r="TB23" s="1" t="s">
        <v>17681</v>
      </c>
      <c r="TC23" s="1" t="s">
        <v>17682</v>
      </c>
      <c r="TD23" s="1" t="s">
        <v>17683</v>
      </c>
      <c r="TE23" s="1" t="s">
        <v>17684</v>
      </c>
      <c r="TF23" s="1" t="s">
        <v>17685</v>
      </c>
      <c r="TG23" s="1" t="s">
        <v>17686</v>
      </c>
      <c r="TH23" s="1" t="s">
        <v>17687</v>
      </c>
      <c r="TI23" s="1" t="s">
        <v>17688</v>
      </c>
      <c r="TJ23" s="1" t="s">
        <v>17689</v>
      </c>
      <c r="TK23" s="1" t="s">
        <v>17690</v>
      </c>
      <c r="TL23" s="1" t="s">
        <v>17691</v>
      </c>
      <c r="TM23" s="1" t="s">
        <v>17692</v>
      </c>
      <c r="TN23" s="1" t="s">
        <v>17693</v>
      </c>
      <c r="TO23" s="1" t="s">
        <v>17694</v>
      </c>
      <c r="TP23" s="1" t="s">
        <v>17695</v>
      </c>
      <c r="TQ23" s="1" t="s">
        <v>17696</v>
      </c>
      <c r="TR23" s="1" t="s">
        <v>17697</v>
      </c>
      <c r="TS23" s="1" t="s">
        <v>17698</v>
      </c>
      <c r="TT23" s="1" t="s">
        <v>17699</v>
      </c>
      <c r="TU23" s="1" t="s">
        <v>17700</v>
      </c>
      <c r="TV23" s="1" t="s">
        <v>17701</v>
      </c>
      <c r="TW23" s="1" t="s">
        <v>17702</v>
      </c>
      <c r="TX23" s="1" t="s">
        <v>17703</v>
      </c>
      <c r="TY23" s="1" t="s">
        <v>17704</v>
      </c>
      <c r="TZ23" s="1" t="s">
        <v>17705</v>
      </c>
      <c r="UA23" s="1" t="s">
        <v>17706</v>
      </c>
      <c r="UB23" s="1" t="s">
        <v>17707</v>
      </c>
      <c r="UC23" s="1" t="s">
        <v>17708</v>
      </c>
      <c r="UD23" s="1" t="s">
        <v>17709</v>
      </c>
      <c r="UE23" s="1" t="s">
        <v>17710</v>
      </c>
      <c r="UF23" s="1" t="s">
        <v>17711</v>
      </c>
      <c r="UG23" s="1" t="s">
        <v>17712</v>
      </c>
      <c r="UH23" s="1" t="s">
        <v>17713</v>
      </c>
      <c r="UI23" s="1" t="s">
        <v>17714</v>
      </c>
      <c r="UJ23" s="1" t="s">
        <v>17715</v>
      </c>
      <c r="UK23" s="1" t="s">
        <v>17716</v>
      </c>
      <c r="UL23" s="1" t="s">
        <v>17717</v>
      </c>
      <c r="UM23" s="1" t="s">
        <v>17718</v>
      </c>
      <c r="UN23" s="1" t="s">
        <v>17719</v>
      </c>
      <c r="UO23" s="1" t="s">
        <v>17720</v>
      </c>
      <c r="UP23" s="1" t="s">
        <v>17721</v>
      </c>
      <c r="UQ23" s="1" t="s">
        <v>17722</v>
      </c>
      <c r="UR23" s="1" t="s">
        <v>17723</v>
      </c>
      <c r="US23" s="1" t="s">
        <v>17724</v>
      </c>
      <c r="UT23" s="1" t="s">
        <v>17725</v>
      </c>
      <c r="UU23" s="1" t="s">
        <v>17726</v>
      </c>
      <c r="UV23" s="1" t="s">
        <v>17727</v>
      </c>
      <c r="UW23" s="1" t="s">
        <v>17728</v>
      </c>
      <c r="UX23" s="1" t="s">
        <v>17729</v>
      </c>
      <c r="UY23" s="1" t="s">
        <v>17730</v>
      </c>
      <c r="UZ23" s="1" t="s">
        <v>17731</v>
      </c>
      <c r="VA23" s="1" t="s">
        <v>17732</v>
      </c>
      <c r="VB23" s="1" t="s">
        <v>17733</v>
      </c>
      <c r="VC23" s="1" t="s">
        <v>17734</v>
      </c>
      <c r="VD23" s="1" t="s">
        <v>17735</v>
      </c>
      <c r="VE23" s="1" t="s">
        <v>17736</v>
      </c>
      <c r="VF23" s="1" t="s">
        <v>17737</v>
      </c>
      <c r="VG23" s="1" t="s">
        <v>17738</v>
      </c>
      <c r="VH23" s="1" t="s">
        <v>17739</v>
      </c>
      <c r="VI23" s="1" t="s">
        <v>17740</v>
      </c>
      <c r="VJ23" s="1" t="s">
        <v>17741</v>
      </c>
      <c r="VK23" s="1" t="s">
        <v>17742</v>
      </c>
      <c r="VL23" s="1" t="s">
        <v>17743</v>
      </c>
      <c r="VM23" s="1" t="s">
        <v>17744</v>
      </c>
      <c r="VN23" s="1" t="s">
        <v>17745</v>
      </c>
      <c r="VO23" s="1" t="s">
        <v>17746</v>
      </c>
      <c r="VP23" s="1" t="s">
        <v>17747</v>
      </c>
      <c r="VQ23" s="1" t="s">
        <v>17748</v>
      </c>
      <c r="VR23" s="1" t="s">
        <v>17749</v>
      </c>
      <c r="VS23" s="1" t="s">
        <v>17750</v>
      </c>
      <c r="VT23" s="1" t="s">
        <v>17751</v>
      </c>
      <c r="VU23" s="1" t="s">
        <v>17752</v>
      </c>
      <c r="VV23" s="1" t="s">
        <v>17753</v>
      </c>
      <c r="VW23" s="1" t="s">
        <v>17754</v>
      </c>
      <c r="VX23" s="1" t="s">
        <v>17755</v>
      </c>
      <c r="VY23" s="1" t="s">
        <v>17756</v>
      </c>
      <c r="VZ23" s="1" t="s">
        <v>17757</v>
      </c>
      <c r="WA23" s="1" t="s">
        <v>17758</v>
      </c>
      <c r="WB23" s="1" t="s">
        <v>17759</v>
      </c>
      <c r="WC23" s="1" t="s">
        <v>17760</v>
      </c>
      <c r="WD23" s="1" t="s">
        <v>17761</v>
      </c>
      <c r="WE23" s="1" t="s">
        <v>17762</v>
      </c>
      <c r="WF23" s="1" t="s">
        <v>17763</v>
      </c>
      <c r="WG23" s="1" t="s">
        <v>17764</v>
      </c>
      <c r="WH23" s="1" t="s">
        <v>17765</v>
      </c>
      <c r="WI23" s="1" t="s">
        <v>17766</v>
      </c>
      <c r="WJ23" s="1" t="s">
        <v>17767</v>
      </c>
      <c r="WK23" s="1" t="s">
        <v>17768</v>
      </c>
      <c r="WL23" s="1" t="s">
        <v>17769</v>
      </c>
      <c r="WM23" s="1" t="s">
        <v>17770</v>
      </c>
      <c r="WN23" s="1" t="s">
        <v>17771</v>
      </c>
      <c r="WO23" s="1" t="s">
        <v>17772</v>
      </c>
      <c r="WP23" s="1" t="s">
        <v>17773</v>
      </c>
      <c r="WQ23" s="1" t="s">
        <v>17774</v>
      </c>
      <c r="WR23" s="1" t="s">
        <v>17775</v>
      </c>
      <c r="WS23" s="1" t="s">
        <v>17776</v>
      </c>
      <c r="WT23" s="1" t="s">
        <v>17777</v>
      </c>
      <c r="WU23" s="1" t="s">
        <v>17778</v>
      </c>
      <c r="WV23" s="1" t="s">
        <v>17779</v>
      </c>
      <c r="WW23" s="1" t="s">
        <v>17780</v>
      </c>
      <c r="WX23" s="1" t="s">
        <v>17781</v>
      </c>
      <c r="WY23" s="1" t="s">
        <v>17782</v>
      </c>
      <c r="WZ23" s="1" t="s">
        <v>17783</v>
      </c>
      <c r="XA23" s="1" t="s">
        <v>17784</v>
      </c>
      <c r="XB23" s="1" t="s">
        <v>17785</v>
      </c>
      <c r="XC23" s="1" t="s">
        <v>17786</v>
      </c>
      <c r="XD23" s="1" t="s">
        <v>17787</v>
      </c>
      <c r="XE23" s="1" t="s">
        <v>17788</v>
      </c>
      <c r="XF23" s="1" t="s">
        <v>17789</v>
      </c>
      <c r="XG23" s="1" t="s">
        <v>17790</v>
      </c>
      <c r="XH23" s="1" t="s">
        <v>17791</v>
      </c>
      <c r="XI23" s="1" t="s">
        <v>17792</v>
      </c>
      <c r="XJ23" s="1" t="s">
        <v>17793</v>
      </c>
      <c r="XK23" s="1" t="s">
        <v>17794</v>
      </c>
      <c r="XL23" s="1" t="s">
        <v>17795</v>
      </c>
      <c r="XM23" s="1" t="s">
        <v>17796</v>
      </c>
      <c r="XN23" s="1" t="s">
        <v>17797</v>
      </c>
      <c r="XO23" s="1" t="s">
        <v>17798</v>
      </c>
      <c r="XP23" s="1" t="s">
        <v>17799</v>
      </c>
      <c r="XQ23" s="1" t="s">
        <v>17800</v>
      </c>
      <c r="XR23" s="1" t="s">
        <v>17801</v>
      </c>
      <c r="XS23" s="1" t="s">
        <v>17802</v>
      </c>
      <c r="XT23" s="1" t="s">
        <v>17803</v>
      </c>
      <c r="XU23" s="1" t="s">
        <v>17804</v>
      </c>
      <c r="XV23" s="1" t="s">
        <v>17805</v>
      </c>
      <c r="XW23" s="1" t="s">
        <v>17806</v>
      </c>
      <c r="XX23" s="1" t="s">
        <v>17807</v>
      </c>
      <c r="XY23" s="1" t="s">
        <v>17808</v>
      </c>
      <c r="XZ23" s="1" t="s">
        <v>17809</v>
      </c>
      <c r="YA23" s="1" t="s">
        <v>17810</v>
      </c>
      <c r="YB23" s="1" t="s">
        <v>17811</v>
      </c>
      <c r="YC23" s="1" t="s">
        <v>17812</v>
      </c>
      <c r="YD23" s="1" t="s">
        <v>17813</v>
      </c>
      <c r="YE23" s="1" t="s">
        <v>17814</v>
      </c>
      <c r="YF23" s="1" t="s">
        <v>17815</v>
      </c>
      <c r="YG23" s="1" t="s">
        <v>17816</v>
      </c>
      <c r="YH23" s="1" t="s">
        <v>17817</v>
      </c>
      <c r="YI23" s="1" t="s">
        <v>17818</v>
      </c>
      <c r="YJ23" s="1" t="s">
        <v>17819</v>
      </c>
      <c r="YK23" s="1" t="s">
        <v>17820</v>
      </c>
      <c r="YL23" s="1" t="s">
        <v>17821</v>
      </c>
      <c r="YM23" s="1" t="s">
        <v>17822</v>
      </c>
      <c r="YN23" s="1" t="s">
        <v>17823</v>
      </c>
      <c r="YO23" s="1" t="s">
        <v>17824</v>
      </c>
      <c r="YP23" s="1" t="s">
        <v>17825</v>
      </c>
      <c r="YQ23" s="1" t="s">
        <v>17826</v>
      </c>
      <c r="YR23" s="1" t="s">
        <v>17827</v>
      </c>
      <c r="YS23" s="1" t="s">
        <v>17828</v>
      </c>
      <c r="YT23" s="1" t="s">
        <v>17829</v>
      </c>
      <c r="YU23" s="1" t="s">
        <v>17830</v>
      </c>
      <c r="YV23" s="1" t="s">
        <v>17831</v>
      </c>
      <c r="YW23" s="1" t="s">
        <v>17832</v>
      </c>
      <c r="YX23" s="1" t="s">
        <v>17833</v>
      </c>
      <c r="YY23" s="1" t="s">
        <v>17834</v>
      </c>
      <c r="YZ23" s="1" t="s">
        <v>17835</v>
      </c>
      <c r="ZA23" s="1" t="s">
        <v>17836</v>
      </c>
      <c r="ZB23" s="1" t="s">
        <v>17837</v>
      </c>
      <c r="ZC23" s="1" t="s">
        <v>17838</v>
      </c>
      <c r="ZD23" s="1" t="s">
        <v>17839</v>
      </c>
      <c r="ZE23" s="1" t="s">
        <v>17840</v>
      </c>
      <c r="ZF23" s="1" t="s">
        <v>17841</v>
      </c>
      <c r="ZG23" s="1" t="s">
        <v>17842</v>
      </c>
      <c r="ZH23" s="1" t="s">
        <v>17843</v>
      </c>
      <c r="ZI23" s="1" t="s">
        <v>17844</v>
      </c>
      <c r="ZJ23" s="1" t="s">
        <v>17845</v>
      </c>
      <c r="ZK23" s="1" t="s">
        <v>17846</v>
      </c>
      <c r="ZL23" s="1" t="s">
        <v>17847</v>
      </c>
      <c r="ZM23" s="1" t="s">
        <v>17848</v>
      </c>
      <c r="ZN23" s="1" t="s">
        <v>17849</v>
      </c>
      <c r="ZO23" s="1" t="s">
        <v>17850</v>
      </c>
      <c r="ZP23" s="1" t="s">
        <v>17851</v>
      </c>
      <c r="ZQ23" s="1" t="s">
        <v>17852</v>
      </c>
      <c r="ZR23" s="1" t="s">
        <v>17853</v>
      </c>
      <c r="ZS23" s="1" t="s">
        <v>17854</v>
      </c>
      <c r="ZT23" s="1" t="s">
        <v>17855</v>
      </c>
      <c r="ZU23" s="1" t="s">
        <v>17856</v>
      </c>
      <c r="ZV23" s="1" t="s">
        <v>17857</v>
      </c>
      <c r="ZW23" s="1" t="s">
        <v>17858</v>
      </c>
      <c r="ZX23" s="1" t="s">
        <v>17859</v>
      </c>
      <c r="ZY23" s="1" t="s">
        <v>17860</v>
      </c>
      <c r="ZZ23" s="1" t="s">
        <v>17861</v>
      </c>
      <c r="AAA23" s="1" t="s">
        <v>17862</v>
      </c>
      <c r="AAB23" s="1" t="s">
        <v>17863</v>
      </c>
      <c r="AAC23" s="1" t="s">
        <v>17864</v>
      </c>
      <c r="AAD23" s="1" t="s">
        <v>17865</v>
      </c>
      <c r="AAE23" s="1" t="s">
        <v>17866</v>
      </c>
      <c r="AAF23" s="1" t="s">
        <v>17867</v>
      </c>
      <c r="AAG23" s="1" t="s">
        <v>17868</v>
      </c>
      <c r="AAH23" s="1" t="s">
        <v>17869</v>
      </c>
      <c r="AAI23" s="1" t="s">
        <v>17870</v>
      </c>
      <c r="AAJ23" s="1" t="s">
        <v>17871</v>
      </c>
      <c r="AAK23" s="1" t="s">
        <v>17872</v>
      </c>
      <c r="AAL23" s="1" t="s">
        <v>17873</v>
      </c>
      <c r="AAM23" s="1" t="s">
        <v>17874</v>
      </c>
      <c r="AAN23" s="1" t="s">
        <v>17875</v>
      </c>
      <c r="AAO23" s="1" t="s">
        <v>17876</v>
      </c>
      <c r="AAP23" s="1" t="s">
        <v>17877</v>
      </c>
      <c r="AAQ23" s="1" t="s">
        <v>17878</v>
      </c>
      <c r="AAR23" s="1" t="s">
        <v>17879</v>
      </c>
      <c r="AAS23" s="1" t="s">
        <v>17880</v>
      </c>
      <c r="AAT23" s="1" t="s">
        <v>17881</v>
      </c>
      <c r="AAU23" s="1" t="s">
        <v>17882</v>
      </c>
      <c r="AAV23" s="1" t="s">
        <v>17883</v>
      </c>
      <c r="AAW23" s="1" t="s">
        <v>17884</v>
      </c>
      <c r="AAX23" s="1" t="s">
        <v>17885</v>
      </c>
      <c r="AAY23" s="1" t="s">
        <v>17886</v>
      </c>
      <c r="AAZ23" s="1" t="s">
        <v>17887</v>
      </c>
      <c r="ABA23" s="1" t="s">
        <v>17888</v>
      </c>
      <c r="ABB23" s="1" t="s">
        <v>17889</v>
      </c>
      <c r="ABC23" s="1" t="s">
        <v>17890</v>
      </c>
      <c r="ABD23" s="1" t="s">
        <v>17891</v>
      </c>
      <c r="ABE23" s="1" t="s">
        <v>17892</v>
      </c>
      <c r="ABF23" s="1" t="s">
        <v>17893</v>
      </c>
      <c r="ABG23" s="1" t="s">
        <v>17894</v>
      </c>
      <c r="ABH23" s="1" t="s">
        <v>17895</v>
      </c>
      <c r="ABI23" s="1" t="s">
        <v>17896</v>
      </c>
      <c r="ABJ23" s="1" t="s">
        <v>17897</v>
      </c>
      <c r="ABK23" s="1" t="s">
        <v>17898</v>
      </c>
      <c r="ABL23" s="1" t="s">
        <v>17899</v>
      </c>
      <c r="ABM23" s="1" t="s">
        <v>17900</v>
      </c>
      <c r="ABN23" s="1" t="s">
        <v>17901</v>
      </c>
      <c r="ABO23" s="1" t="s">
        <v>17902</v>
      </c>
      <c r="ABP23" s="1" t="s">
        <v>17903</v>
      </c>
      <c r="ABQ23" s="1" t="s">
        <v>17904</v>
      </c>
      <c r="ABR23" s="1" t="s">
        <v>17905</v>
      </c>
      <c r="ABS23" s="1" t="s">
        <v>17906</v>
      </c>
      <c r="ABT23" s="1" t="s">
        <v>17907</v>
      </c>
      <c r="ABU23" s="1" t="s">
        <v>17908</v>
      </c>
      <c r="ABV23" s="1" t="s">
        <v>17909</v>
      </c>
      <c r="ABW23" s="1" t="s">
        <v>17910</v>
      </c>
      <c r="ABX23" s="1" t="s">
        <v>17911</v>
      </c>
      <c r="ABY23" s="1" t="s">
        <v>17912</v>
      </c>
      <c r="ABZ23" s="1" t="s">
        <v>17913</v>
      </c>
      <c r="ACA23" s="1" t="s">
        <v>17914</v>
      </c>
      <c r="ACB23" s="1" t="s">
        <v>17915</v>
      </c>
      <c r="ACC23" s="1" t="s">
        <v>17916</v>
      </c>
      <c r="ACD23" s="1" t="s">
        <v>17917</v>
      </c>
      <c r="ACE23" s="1" t="s">
        <v>17918</v>
      </c>
      <c r="ACF23" s="1" t="s">
        <v>17919</v>
      </c>
      <c r="ACG23" s="1" t="s">
        <v>17920</v>
      </c>
      <c r="ACH23" s="1" t="s">
        <v>17921</v>
      </c>
      <c r="ACI23" s="1" t="s">
        <v>17922</v>
      </c>
      <c r="ACJ23" s="1" t="s">
        <v>17923</v>
      </c>
      <c r="ACK23" s="1" t="s">
        <v>17924</v>
      </c>
      <c r="ACL23" s="1" t="s">
        <v>17925</v>
      </c>
      <c r="ACM23" s="1" t="s">
        <v>17926</v>
      </c>
      <c r="ACN23" s="1" t="s">
        <v>17927</v>
      </c>
      <c r="ACO23" s="1" t="s">
        <v>17928</v>
      </c>
      <c r="ACP23" s="1" t="s">
        <v>17929</v>
      </c>
      <c r="ACQ23" s="1" t="s">
        <v>17930</v>
      </c>
      <c r="ACR23" s="1" t="s">
        <v>17931</v>
      </c>
      <c r="ACS23" s="1" t="s">
        <v>17932</v>
      </c>
      <c r="ACT23" s="1" t="s">
        <v>17933</v>
      </c>
      <c r="ACU23" s="1" t="s">
        <v>17934</v>
      </c>
      <c r="ACV23" s="1" t="s">
        <v>17935</v>
      </c>
      <c r="ACW23" s="1" t="s">
        <v>23</v>
      </c>
      <c r="ACX23" s="1" t="s">
        <v>6310</v>
      </c>
    </row>
    <row r="24" spans="1:778" x14ac:dyDescent="0.2">
      <c r="A24" s="1" t="s">
        <v>62</v>
      </c>
      <c r="B24" s="1" t="s">
        <v>17936</v>
      </c>
      <c r="C24" s="1" t="s">
        <v>17937</v>
      </c>
      <c r="D24" s="1" t="s">
        <v>17938</v>
      </c>
      <c r="E24" s="1" t="s">
        <v>17939</v>
      </c>
      <c r="F24" s="1" t="s">
        <v>17940</v>
      </c>
      <c r="G24" s="1" t="s">
        <v>17941</v>
      </c>
      <c r="H24" s="1" t="s">
        <v>17942</v>
      </c>
      <c r="I24" s="1" t="s">
        <v>17943</v>
      </c>
      <c r="J24" s="1" t="s">
        <v>17944</v>
      </c>
      <c r="K24" s="1" t="s">
        <v>17945</v>
      </c>
      <c r="L24" s="1" t="s">
        <v>17946</v>
      </c>
      <c r="M24" s="1" t="s">
        <v>17947</v>
      </c>
      <c r="N24" s="1" t="s">
        <v>17948</v>
      </c>
      <c r="O24" s="1" t="s">
        <v>17949</v>
      </c>
      <c r="P24" s="1" t="s">
        <v>17950</v>
      </c>
      <c r="Q24" s="1" t="s">
        <v>17951</v>
      </c>
      <c r="R24" s="1" t="s">
        <v>17952</v>
      </c>
      <c r="S24" s="1" t="s">
        <v>17953</v>
      </c>
      <c r="T24" s="1" t="s">
        <v>17954</v>
      </c>
      <c r="U24" s="1" t="s">
        <v>17955</v>
      </c>
      <c r="V24" s="1" t="s">
        <v>17956</v>
      </c>
      <c r="W24" s="1" t="s">
        <v>17957</v>
      </c>
      <c r="X24" s="1" t="s">
        <v>17958</v>
      </c>
      <c r="Y24" s="1" t="s">
        <v>17959</v>
      </c>
      <c r="Z24" s="1" t="s">
        <v>17960</v>
      </c>
      <c r="AA24" s="1" t="s">
        <v>17961</v>
      </c>
      <c r="AB24" s="1" t="s">
        <v>17962</v>
      </c>
      <c r="AC24" s="1" t="s">
        <v>17963</v>
      </c>
      <c r="AD24" s="1" t="s">
        <v>17964</v>
      </c>
      <c r="AE24" s="1" t="s">
        <v>17965</v>
      </c>
      <c r="AF24" s="1" t="s">
        <v>17966</v>
      </c>
      <c r="AG24" s="1" t="s">
        <v>17967</v>
      </c>
      <c r="AH24" s="1" t="s">
        <v>17968</v>
      </c>
      <c r="AI24" s="1" t="s">
        <v>17969</v>
      </c>
      <c r="AJ24" s="1" t="s">
        <v>17970</v>
      </c>
      <c r="AK24" s="1" t="s">
        <v>17971</v>
      </c>
      <c r="AL24" s="1" t="s">
        <v>17972</v>
      </c>
      <c r="AM24" s="1" t="s">
        <v>17973</v>
      </c>
      <c r="AN24" s="1" t="s">
        <v>17974</v>
      </c>
      <c r="AO24" s="1" t="s">
        <v>17975</v>
      </c>
      <c r="AP24" s="1" t="s">
        <v>17976</v>
      </c>
      <c r="AQ24" s="1" t="s">
        <v>17977</v>
      </c>
      <c r="AR24" s="1" t="s">
        <v>17978</v>
      </c>
      <c r="AS24" s="1" t="s">
        <v>17979</v>
      </c>
      <c r="AT24" s="1" t="s">
        <v>17980</v>
      </c>
      <c r="AU24" s="1" t="s">
        <v>17981</v>
      </c>
      <c r="AV24" s="1" t="s">
        <v>17982</v>
      </c>
      <c r="AW24" s="1" t="s">
        <v>17983</v>
      </c>
      <c r="AX24" s="1" t="s">
        <v>17984</v>
      </c>
      <c r="AY24" s="1" t="s">
        <v>17985</v>
      </c>
      <c r="AZ24" s="1" t="s">
        <v>17986</v>
      </c>
      <c r="BA24" s="1" t="s">
        <v>17987</v>
      </c>
      <c r="BB24" s="1" t="s">
        <v>17988</v>
      </c>
      <c r="BC24" s="1" t="s">
        <v>17989</v>
      </c>
      <c r="BD24" s="1" t="s">
        <v>17990</v>
      </c>
      <c r="BE24" s="1" t="s">
        <v>17991</v>
      </c>
      <c r="BF24" s="1" t="s">
        <v>17992</v>
      </c>
      <c r="BG24" s="1" t="s">
        <v>17993</v>
      </c>
      <c r="BH24" s="1" t="s">
        <v>17994</v>
      </c>
      <c r="BI24" s="1" t="s">
        <v>17995</v>
      </c>
      <c r="BJ24" s="1" t="s">
        <v>17996</v>
      </c>
      <c r="BK24" s="1" t="s">
        <v>17997</v>
      </c>
      <c r="BL24" s="1" t="s">
        <v>17998</v>
      </c>
      <c r="BM24" s="1" t="s">
        <v>17999</v>
      </c>
      <c r="BN24" s="1" t="s">
        <v>18000</v>
      </c>
      <c r="BO24" s="1" t="s">
        <v>18001</v>
      </c>
      <c r="BP24" s="1" t="s">
        <v>18002</v>
      </c>
      <c r="BQ24" s="1" t="s">
        <v>18003</v>
      </c>
      <c r="BR24" s="1" t="s">
        <v>18004</v>
      </c>
      <c r="BS24" s="1" t="s">
        <v>18005</v>
      </c>
      <c r="BT24" s="1" t="s">
        <v>18006</v>
      </c>
      <c r="BU24" s="1" t="s">
        <v>18007</v>
      </c>
      <c r="BV24" s="1" t="s">
        <v>18008</v>
      </c>
      <c r="BW24" s="1" t="s">
        <v>18009</v>
      </c>
      <c r="BX24" s="1" t="s">
        <v>18010</v>
      </c>
      <c r="BY24" s="1" t="s">
        <v>18011</v>
      </c>
      <c r="BZ24" s="1" t="s">
        <v>18012</v>
      </c>
      <c r="CA24" s="1" t="s">
        <v>18013</v>
      </c>
      <c r="CB24" s="1" t="s">
        <v>18014</v>
      </c>
      <c r="CC24" s="1" t="s">
        <v>18015</v>
      </c>
      <c r="CD24" s="1" t="s">
        <v>18016</v>
      </c>
      <c r="CE24" s="1" t="s">
        <v>18017</v>
      </c>
      <c r="CF24" s="1" t="s">
        <v>18018</v>
      </c>
      <c r="CG24" s="1" t="s">
        <v>18019</v>
      </c>
      <c r="CH24" s="1" t="s">
        <v>18020</v>
      </c>
      <c r="CI24" s="1" t="s">
        <v>18021</v>
      </c>
      <c r="CJ24" s="1" t="s">
        <v>18022</v>
      </c>
      <c r="CK24" s="1" t="s">
        <v>18023</v>
      </c>
      <c r="CL24" s="1" t="s">
        <v>18024</v>
      </c>
      <c r="CM24" s="1" t="s">
        <v>18025</v>
      </c>
      <c r="CN24" s="1" t="s">
        <v>18026</v>
      </c>
      <c r="CO24" s="1" t="s">
        <v>18027</v>
      </c>
      <c r="CP24" s="1" t="s">
        <v>18028</v>
      </c>
      <c r="CQ24" s="1" t="s">
        <v>18029</v>
      </c>
      <c r="CR24" s="1" t="s">
        <v>18030</v>
      </c>
      <c r="CS24" s="1" t="s">
        <v>18031</v>
      </c>
      <c r="CT24" s="1" t="s">
        <v>18032</v>
      </c>
      <c r="CU24" s="1" t="s">
        <v>18033</v>
      </c>
      <c r="CV24" s="1" t="s">
        <v>18034</v>
      </c>
      <c r="CW24" s="1" t="s">
        <v>18035</v>
      </c>
      <c r="CX24" s="1" t="s">
        <v>18036</v>
      </c>
      <c r="CY24" s="1" t="s">
        <v>18037</v>
      </c>
      <c r="CZ24" s="1" t="s">
        <v>18038</v>
      </c>
      <c r="DA24" s="1" t="s">
        <v>18039</v>
      </c>
      <c r="DB24" s="1" t="s">
        <v>18040</v>
      </c>
      <c r="DC24" s="1" t="s">
        <v>18041</v>
      </c>
      <c r="DD24" s="1" t="s">
        <v>18042</v>
      </c>
      <c r="DE24" s="1" t="s">
        <v>18043</v>
      </c>
      <c r="DF24" s="1" t="s">
        <v>18044</v>
      </c>
      <c r="DG24" s="1" t="s">
        <v>18045</v>
      </c>
      <c r="DH24" s="1" t="s">
        <v>18046</v>
      </c>
      <c r="DI24" s="1" t="s">
        <v>18047</v>
      </c>
      <c r="DJ24" s="1" t="s">
        <v>18048</v>
      </c>
      <c r="DK24" s="1" t="s">
        <v>18049</v>
      </c>
      <c r="DL24" s="1" t="s">
        <v>18050</v>
      </c>
      <c r="DM24" s="1" t="s">
        <v>18051</v>
      </c>
      <c r="DN24" s="1" t="s">
        <v>18052</v>
      </c>
      <c r="DO24" s="1" t="s">
        <v>18053</v>
      </c>
      <c r="DP24" s="1" t="s">
        <v>18054</v>
      </c>
      <c r="DQ24" s="1" t="s">
        <v>18055</v>
      </c>
      <c r="DR24" s="1" t="s">
        <v>18056</v>
      </c>
      <c r="DS24" s="1" t="s">
        <v>18057</v>
      </c>
      <c r="DT24" s="1" t="s">
        <v>18058</v>
      </c>
      <c r="DU24" s="1" t="s">
        <v>18059</v>
      </c>
      <c r="DV24" s="1" t="s">
        <v>18060</v>
      </c>
      <c r="DW24" s="1" t="s">
        <v>18061</v>
      </c>
      <c r="DX24" s="1" t="s">
        <v>18062</v>
      </c>
      <c r="DY24" s="1" t="s">
        <v>18063</v>
      </c>
      <c r="DZ24" s="1" t="s">
        <v>18064</v>
      </c>
      <c r="EA24" s="1" t="s">
        <v>18065</v>
      </c>
      <c r="EB24" s="1" t="s">
        <v>18066</v>
      </c>
      <c r="EC24" s="1" t="s">
        <v>18067</v>
      </c>
      <c r="ED24" s="1" t="s">
        <v>18068</v>
      </c>
      <c r="EE24" s="1" t="s">
        <v>18069</v>
      </c>
      <c r="EF24" s="1" t="s">
        <v>18070</v>
      </c>
      <c r="EG24" s="1" t="s">
        <v>18071</v>
      </c>
      <c r="EH24" s="1" t="s">
        <v>18072</v>
      </c>
      <c r="EI24" s="1" t="s">
        <v>18073</v>
      </c>
      <c r="EJ24" s="1" t="s">
        <v>18074</v>
      </c>
      <c r="EK24" s="1" t="s">
        <v>18075</v>
      </c>
      <c r="EL24" s="1" t="s">
        <v>18076</v>
      </c>
      <c r="EM24" s="1" t="s">
        <v>18077</v>
      </c>
      <c r="EN24" s="1" t="s">
        <v>18078</v>
      </c>
      <c r="EO24" s="1" t="s">
        <v>18079</v>
      </c>
      <c r="EP24" s="1" t="s">
        <v>18080</v>
      </c>
      <c r="EQ24" s="1" t="s">
        <v>18081</v>
      </c>
      <c r="ER24" s="1" t="s">
        <v>18082</v>
      </c>
      <c r="ES24" s="1" t="s">
        <v>18083</v>
      </c>
      <c r="ET24" s="1" t="s">
        <v>18084</v>
      </c>
      <c r="EU24" s="1" t="s">
        <v>18085</v>
      </c>
      <c r="EV24" s="1" t="s">
        <v>18086</v>
      </c>
      <c r="EW24" s="1" t="s">
        <v>18087</v>
      </c>
      <c r="EX24" s="1" t="s">
        <v>18088</v>
      </c>
      <c r="EY24" s="1" t="s">
        <v>18089</v>
      </c>
      <c r="EZ24" s="1" t="s">
        <v>18090</v>
      </c>
      <c r="FA24" s="1" t="s">
        <v>18091</v>
      </c>
      <c r="FB24" s="1" t="s">
        <v>18092</v>
      </c>
      <c r="FC24" s="1" t="s">
        <v>18093</v>
      </c>
      <c r="FD24" s="1" t="s">
        <v>18094</v>
      </c>
      <c r="FE24" s="1" t="s">
        <v>18095</v>
      </c>
      <c r="FF24" s="1" t="s">
        <v>18096</v>
      </c>
      <c r="FG24" s="1" t="s">
        <v>18097</v>
      </c>
      <c r="FH24" s="1" t="s">
        <v>18098</v>
      </c>
      <c r="FI24" s="1" t="s">
        <v>18099</v>
      </c>
      <c r="FJ24" s="1" t="s">
        <v>18100</v>
      </c>
      <c r="FK24" s="1" t="s">
        <v>18101</v>
      </c>
      <c r="FL24" s="1" t="s">
        <v>18102</v>
      </c>
      <c r="FM24" s="1" t="s">
        <v>18103</v>
      </c>
      <c r="FN24" s="1" t="s">
        <v>18104</v>
      </c>
      <c r="FO24" s="1" t="s">
        <v>18105</v>
      </c>
      <c r="FP24" s="1" t="s">
        <v>18106</v>
      </c>
      <c r="FQ24" s="1" t="s">
        <v>18107</v>
      </c>
      <c r="FR24" s="1" t="s">
        <v>18108</v>
      </c>
      <c r="FS24" s="1" t="s">
        <v>18109</v>
      </c>
      <c r="FT24" s="1" t="s">
        <v>18110</v>
      </c>
      <c r="FU24" s="1" t="s">
        <v>18111</v>
      </c>
      <c r="FV24" s="1" t="s">
        <v>18112</v>
      </c>
      <c r="FW24" s="1" t="s">
        <v>18113</v>
      </c>
      <c r="FX24" s="1" t="s">
        <v>18114</v>
      </c>
      <c r="FY24" s="1" t="s">
        <v>18115</v>
      </c>
      <c r="FZ24" s="1" t="s">
        <v>18116</v>
      </c>
      <c r="GA24" s="1" t="s">
        <v>18117</v>
      </c>
      <c r="GB24" s="1" t="s">
        <v>18118</v>
      </c>
      <c r="GC24" s="1" t="s">
        <v>18119</v>
      </c>
      <c r="GD24" s="1" t="s">
        <v>18120</v>
      </c>
      <c r="GE24" s="1" t="s">
        <v>18121</v>
      </c>
      <c r="GF24" s="1" t="s">
        <v>18122</v>
      </c>
      <c r="GG24" s="1" t="s">
        <v>18123</v>
      </c>
      <c r="GH24" s="1" t="s">
        <v>18124</v>
      </c>
      <c r="GI24" s="1" t="s">
        <v>18125</v>
      </c>
      <c r="GJ24" s="1" t="s">
        <v>18126</v>
      </c>
      <c r="GK24" s="1" t="s">
        <v>18127</v>
      </c>
      <c r="GL24" s="1" t="s">
        <v>18128</v>
      </c>
      <c r="GM24" s="1" t="s">
        <v>18129</v>
      </c>
      <c r="GN24" s="1" t="s">
        <v>18130</v>
      </c>
      <c r="GO24" s="1" t="s">
        <v>18131</v>
      </c>
      <c r="GP24" s="1" t="s">
        <v>18132</v>
      </c>
      <c r="GQ24" s="1" t="s">
        <v>18133</v>
      </c>
      <c r="GR24" s="1" t="s">
        <v>18134</v>
      </c>
      <c r="GS24" s="1" t="s">
        <v>18135</v>
      </c>
      <c r="GT24" s="1" t="s">
        <v>18136</v>
      </c>
      <c r="GU24" s="1" t="s">
        <v>18137</v>
      </c>
      <c r="GV24" s="1" t="s">
        <v>18138</v>
      </c>
      <c r="GW24" s="1" t="s">
        <v>18139</v>
      </c>
      <c r="GX24" s="1" t="s">
        <v>18140</v>
      </c>
      <c r="GY24" s="1" t="s">
        <v>18141</v>
      </c>
      <c r="GZ24" s="1" t="s">
        <v>18142</v>
      </c>
      <c r="HA24" s="1" t="s">
        <v>18143</v>
      </c>
      <c r="HB24" s="1" t="s">
        <v>18144</v>
      </c>
      <c r="HC24" s="1" t="s">
        <v>18145</v>
      </c>
      <c r="HD24" s="1" t="s">
        <v>18146</v>
      </c>
      <c r="HE24" s="1" t="s">
        <v>18147</v>
      </c>
      <c r="HF24" s="1" t="s">
        <v>18148</v>
      </c>
      <c r="HG24" s="1" t="s">
        <v>18149</v>
      </c>
      <c r="HH24" s="1" t="s">
        <v>18150</v>
      </c>
      <c r="HI24" s="1" t="s">
        <v>18151</v>
      </c>
      <c r="HJ24" s="1" t="s">
        <v>18152</v>
      </c>
      <c r="HK24" s="1" t="s">
        <v>18153</v>
      </c>
      <c r="HL24" s="1" t="s">
        <v>18154</v>
      </c>
      <c r="HM24" s="1" t="s">
        <v>18155</v>
      </c>
      <c r="HN24" s="1" t="s">
        <v>18156</v>
      </c>
      <c r="HO24" s="1" t="s">
        <v>18157</v>
      </c>
      <c r="HP24" s="1" t="s">
        <v>18158</v>
      </c>
      <c r="HQ24" s="1" t="s">
        <v>18159</v>
      </c>
      <c r="HR24" s="1" t="s">
        <v>18160</v>
      </c>
      <c r="HS24" s="1" t="s">
        <v>18161</v>
      </c>
      <c r="HT24" s="1" t="s">
        <v>18162</v>
      </c>
      <c r="HU24" s="1" t="s">
        <v>18163</v>
      </c>
      <c r="HV24" s="1" t="s">
        <v>18164</v>
      </c>
      <c r="HW24" s="1" t="s">
        <v>18165</v>
      </c>
      <c r="HX24" s="1" t="s">
        <v>18166</v>
      </c>
      <c r="HY24" s="1" t="s">
        <v>18167</v>
      </c>
      <c r="HZ24" s="1" t="s">
        <v>18168</v>
      </c>
      <c r="IA24" s="1" t="s">
        <v>18169</v>
      </c>
      <c r="IB24" s="1" t="s">
        <v>18170</v>
      </c>
      <c r="IC24" s="1" t="s">
        <v>18171</v>
      </c>
      <c r="ID24" s="1" t="s">
        <v>18172</v>
      </c>
      <c r="IE24" s="1" t="s">
        <v>18173</v>
      </c>
      <c r="IF24" s="1" t="s">
        <v>18174</v>
      </c>
      <c r="IG24" s="1" t="s">
        <v>18175</v>
      </c>
      <c r="IH24" s="1" t="s">
        <v>18176</v>
      </c>
      <c r="II24" s="1" t="s">
        <v>18177</v>
      </c>
      <c r="IJ24" s="1" t="s">
        <v>18178</v>
      </c>
      <c r="IK24" s="1" t="s">
        <v>18179</v>
      </c>
      <c r="IL24" s="1" t="s">
        <v>18180</v>
      </c>
      <c r="IM24" s="1" t="s">
        <v>18181</v>
      </c>
      <c r="IN24" s="1" t="s">
        <v>18182</v>
      </c>
      <c r="IO24" s="1" t="s">
        <v>18183</v>
      </c>
      <c r="IP24" s="1" t="s">
        <v>18184</v>
      </c>
      <c r="IQ24" s="1" t="s">
        <v>18185</v>
      </c>
      <c r="IR24" s="1" t="s">
        <v>18186</v>
      </c>
      <c r="IS24" s="1" t="s">
        <v>18187</v>
      </c>
      <c r="IT24" s="1" t="s">
        <v>18188</v>
      </c>
      <c r="IU24" s="1" t="s">
        <v>18189</v>
      </c>
      <c r="IV24" s="1" t="s">
        <v>18190</v>
      </c>
      <c r="IW24" s="1" t="s">
        <v>18191</v>
      </c>
      <c r="IX24" s="1" t="s">
        <v>18192</v>
      </c>
      <c r="IY24" s="1" t="s">
        <v>18193</v>
      </c>
      <c r="IZ24" s="1" t="s">
        <v>18194</v>
      </c>
      <c r="JA24" s="1" t="s">
        <v>18195</v>
      </c>
      <c r="JB24" s="1" t="s">
        <v>18196</v>
      </c>
      <c r="JC24" s="1" t="s">
        <v>18197</v>
      </c>
      <c r="JD24" s="1" t="s">
        <v>18198</v>
      </c>
      <c r="JE24" s="1" t="s">
        <v>18199</v>
      </c>
      <c r="JF24" s="1" t="s">
        <v>18200</v>
      </c>
      <c r="JG24" s="1" t="s">
        <v>18201</v>
      </c>
      <c r="JH24" s="1" t="s">
        <v>18202</v>
      </c>
      <c r="JI24" s="1" t="s">
        <v>18203</v>
      </c>
      <c r="JJ24" s="1" t="s">
        <v>18204</v>
      </c>
      <c r="JK24" s="1" t="s">
        <v>18205</v>
      </c>
      <c r="JL24" s="1" t="s">
        <v>18206</v>
      </c>
      <c r="JM24" s="1" t="s">
        <v>18207</v>
      </c>
      <c r="JN24" s="1" t="s">
        <v>18208</v>
      </c>
      <c r="JO24" s="1" t="s">
        <v>18209</v>
      </c>
      <c r="JP24" s="1" t="s">
        <v>18210</v>
      </c>
      <c r="JQ24" s="1" t="s">
        <v>18211</v>
      </c>
      <c r="JR24" s="1" t="s">
        <v>18212</v>
      </c>
      <c r="JS24" s="1" t="s">
        <v>18213</v>
      </c>
      <c r="JT24" s="1" t="s">
        <v>18214</v>
      </c>
      <c r="JU24" s="1" t="s">
        <v>18215</v>
      </c>
      <c r="JV24" s="1" t="s">
        <v>18216</v>
      </c>
      <c r="JW24" s="1" t="s">
        <v>18217</v>
      </c>
      <c r="JX24" s="1" t="s">
        <v>18218</v>
      </c>
      <c r="JY24" s="1" t="s">
        <v>18219</v>
      </c>
      <c r="JZ24" s="1" t="s">
        <v>18220</v>
      </c>
      <c r="KA24" s="1" t="s">
        <v>18221</v>
      </c>
      <c r="KB24" s="1" t="s">
        <v>18222</v>
      </c>
      <c r="KC24" s="1" t="s">
        <v>18223</v>
      </c>
      <c r="KD24" s="1" t="s">
        <v>18224</v>
      </c>
      <c r="KE24" s="1" t="s">
        <v>18225</v>
      </c>
      <c r="KF24" s="1" t="s">
        <v>18226</v>
      </c>
      <c r="KG24" s="1" t="s">
        <v>18227</v>
      </c>
      <c r="KH24" s="1" t="s">
        <v>18228</v>
      </c>
      <c r="KI24" s="1" t="s">
        <v>18229</v>
      </c>
      <c r="KJ24" s="1" t="s">
        <v>18230</v>
      </c>
      <c r="KK24" s="1" t="s">
        <v>18231</v>
      </c>
      <c r="KL24" s="1" t="s">
        <v>18232</v>
      </c>
      <c r="KM24" s="1" t="s">
        <v>18233</v>
      </c>
      <c r="KN24" s="1" t="s">
        <v>18234</v>
      </c>
      <c r="KO24" s="1" t="s">
        <v>18235</v>
      </c>
      <c r="KP24" s="1" t="s">
        <v>18236</v>
      </c>
      <c r="KQ24" s="1" t="s">
        <v>18237</v>
      </c>
      <c r="KR24" s="1" t="s">
        <v>18238</v>
      </c>
      <c r="KS24" s="1" t="s">
        <v>18239</v>
      </c>
      <c r="KT24" s="1" t="s">
        <v>18240</v>
      </c>
      <c r="KU24" s="1" t="s">
        <v>18241</v>
      </c>
      <c r="KV24" s="1" t="s">
        <v>18242</v>
      </c>
      <c r="KW24" s="1" t="s">
        <v>18243</v>
      </c>
      <c r="KX24" s="1" t="s">
        <v>18244</v>
      </c>
      <c r="KY24" s="1" t="s">
        <v>18245</v>
      </c>
      <c r="KZ24" s="1" t="s">
        <v>18246</v>
      </c>
      <c r="LA24" s="1" t="s">
        <v>18247</v>
      </c>
      <c r="LB24" s="1" t="s">
        <v>18248</v>
      </c>
      <c r="LC24" s="1" t="s">
        <v>18249</v>
      </c>
      <c r="LD24" s="1" t="s">
        <v>18250</v>
      </c>
      <c r="LE24" s="1" t="s">
        <v>18251</v>
      </c>
      <c r="LF24" s="1" t="s">
        <v>18252</v>
      </c>
      <c r="LG24" s="1" t="s">
        <v>18253</v>
      </c>
      <c r="LH24" s="1" t="s">
        <v>18254</v>
      </c>
      <c r="LI24" s="1" t="s">
        <v>18255</v>
      </c>
      <c r="LJ24" s="1" t="s">
        <v>18256</v>
      </c>
      <c r="LK24" s="1" t="s">
        <v>18257</v>
      </c>
      <c r="LL24" s="1" t="s">
        <v>18258</v>
      </c>
      <c r="LM24" s="1" t="s">
        <v>18259</v>
      </c>
      <c r="LN24" s="1" t="s">
        <v>18260</v>
      </c>
      <c r="LO24" s="1" t="s">
        <v>18261</v>
      </c>
      <c r="LP24" s="1" t="s">
        <v>18262</v>
      </c>
      <c r="LQ24" s="1" t="s">
        <v>18263</v>
      </c>
      <c r="LR24" s="1" t="s">
        <v>18264</v>
      </c>
      <c r="LS24" s="1" t="s">
        <v>18265</v>
      </c>
      <c r="LT24" s="1" t="s">
        <v>18266</v>
      </c>
      <c r="LU24" s="1" t="s">
        <v>18267</v>
      </c>
      <c r="LV24" s="1" t="s">
        <v>18268</v>
      </c>
      <c r="LW24" s="1" t="s">
        <v>18269</v>
      </c>
      <c r="LX24" s="1" t="s">
        <v>18270</v>
      </c>
      <c r="LY24" s="1" t="s">
        <v>18271</v>
      </c>
      <c r="LZ24" s="1" t="s">
        <v>18272</v>
      </c>
      <c r="MA24" s="1" t="s">
        <v>18273</v>
      </c>
      <c r="MB24" s="1" t="s">
        <v>18274</v>
      </c>
      <c r="MC24" s="1" t="s">
        <v>18275</v>
      </c>
      <c r="MD24" s="1" t="s">
        <v>18276</v>
      </c>
      <c r="ME24" s="1" t="s">
        <v>18277</v>
      </c>
      <c r="MF24" s="1" t="s">
        <v>18278</v>
      </c>
      <c r="MG24" s="1" t="s">
        <v>18279</v>
      </c>
      <c r="MH24" s="1" t="s">
        <v>18280</v>
      </c>
      <c r="MI24" s="1" t="s">
        <v>18281</v>
      </c>
      <c r="MJ24" s="1" t="s">
        <v>18282</v>
      </c>
      <c r="MK24" s="1" t="s">
        <v>18283</v>
      </c>
      <c r="ML24" s="1" t="s">
        <v>18284</v>
      </c>
      <c r="MM24" s="1" t="s">
        <v>18285</v>
      </c>
      <c r="MN24" s="1" t="s">
        <v>18286</v>
      </c>
      <c r="MO24" s="1" t="s">
        <v>18287</v>
      </c>
      <c r="MP24" s="1" t="s">
        <v>18288</v>
      </c>
      <c r="MQ24" s="1" t="s">
        <v>18289</v>
      </c>
      <c r="MR24" s="1" t="s">
        <v>18290</v>
      </c>
      <c r="MS24" s="1" t="s">
        <v>18291</v>
      </c>
      <c r="MT24" s="1" t="s">
        <v>18292</v>
      </c>
      <c r="MU24" s="1" t="s">
        <v>18293</v>
      </c>
      <c r="MV24" s="1" t="s">
        <v>18294</v>
      </c>
      <c r="MW24" s="1" t="s">
        <v>18295</v>
      </c>
      <c r="MX24" s="1" t="s">
        <v>18296</v>
      </c>
      <c r="MY24" s="1" t="s">
        <v>18297</v>
      </c>
      <c r="MZ24" s="1" t="s">
        <v>18298</v>
      </c>
      <c r="NA24" s="1" t="s">
        <v>18299</v>
      </c>
      <c r="NB24" s="1" t="s">
        <v>18300</v>
      </c>
      <c r="NC24" s="1" t="s">
        <v>18301</v>
      </c>
      <c r="ND24" s="1" t="s">
        <v>18302</v>
      </c>
      <c r="NE24" s="1" t="s">
        <v>18303</v>
      </c>
      <c r="NF24" s="1" t="s">
        <v>18304</v>
      </c>
      <c r="NG24" s="1" t="s">
        <v>18305</v>
      </c>
      <c r="NH24" s="1" t="s">
        <v>18306</v>
      </c>
      <c r="NI24" s="1" t="s">
        <v>18307</v>
      </c>
      <c r="NJ24" s="1" t="s">
        <v>18308</v>
      </c>
      <c r="NK24" s="1" t="s">
        <v>18309</v>
      </c>
      <c r="NL24" s="1" t="s">
        <v>18310</v>
      </c>
      <c r="NM24" s="1" t="s">
        <v>18311</v>
      </c>
      <c r="NN24" s="1" t="s">
        <v>18312</v>
      </c>
      <c r="NO24" s="1" t="s">
        <v>18313</v>
      </c>
      <c r="NP24" s="1" t="s">
        <v>18314</v>
      </c>
      <c r="NQ24" s="1" t="s">
        <v>18315</v>
      </c>
      <c r="NR24" s="1" t="s">
        <v>18316</v>
      </c>
      <c r="NS24" s="1" t="s">
        <v>18317</v>
      </c>
      <c r="NT24" s="1" t="s">
        <v>18318</v>
      </c>
      <c r="NU24" s="1" t="s">
        <v>18319</v>
      </c>
      <c r="NV24" s="1" t="s">
        <v>18320</v>
      </c>
      <c r="NW24" s="1" t="s">
        <v>18321</v>
      </c>
      <c r="NX24" s="1" t="s">
        <v>18322</v>
      </c>
      <c r="NY24" s="1" t="s">
        <v>18323</v>
      </c>
      <c r="NZ24" s="1" t="s">
        <v>18324</v>
      </c>
      <c r="OA24" s="1" t="s">
        <v>18325</v>
      </c>
      <c r="OB24" s="1" t="s">
        <v>18326</v>
      </c>
      <c r="OC24" s="1" t="s">
        <v>18327</v>
      </c>
      <c r="OD24" s="1" t="s">
        <v>18328</v>
      </c>
      <c r="OE24" s="1" t="s">
        <v>18329</v>
      </c>
      <c r="OF24" s="1" t="s">
        <v>18330</v>
      </c>
      <c r="OG24" s="1" t="s">
        <v>18331</v>
      </c>
      <c r="OH24" s="1" t="s">
        <v>18332</v>
      </c>
      <c r="OI24" s="1" t="s">
        <v>18333</v>
      </c>
      <c r="OJ24" s="1" t="s">
        <v>18334</v>
      </c>
      <c r="OK24" s="1" t="s">
        <v>18335</v>
      </c>
      <c r="OL24" s="1" t="s">
        <v>18336</v>
      </c>
      <c r="OM24" s="1" t="s">
        <v>18337</v>
      </c>
      <c r="ON24" s="1" t="s">
        <v>18338</v>
      </c>
      <c r="OO24" s="1" t="s">
        <v>18339</v>
      </c>
      <c r="OP24" s="1" t="s">
        <v>18340</v>
      </c>
      <c r="OQ24" s="1" t="s">
        <v>18341</v>
      </c>
      <c r="OR24" s="1" t="s">
        <v>18342</v>
      </c>
      <c r="OS24" s="1" t="s">
        <v>18343</v>
      </c>
      <c r="OT24" s="1" t="s">
        <v>18344</v>
      </c>
      <c r="OU24" s="1" t="s">
        <v>18345</v>
      </c>
      <c r="OV24" s="1" t="s">
        <v>18346</v>
      </c>
      <c r="OW24" s="1" t="s">
        <v>18347</v>
      </c>
      <c r="OX24" s="1" t="s">
        <v>18348</v>
      </c>
      <c r="OY24" s="1" t="s">
        <v>18349</v>
      </c>
      <c r="OZ24" s="1" t="s">
        <v>18350</v>
      </c>
      <c r="PA24" s="1" t="s">
        <v>18351</v>
      </c>
      <c r="PB24" s="1" t="s">
        <v>18352</v>
      </c>
      <c r="PC24" s="1" t="s">
        <v>18353</v>
      </c>
      <c r="PD24" s="1" t="s">
        <v>18354</v>
      </c>
      <c r="PE24" s="1" t="s">
        <v>18355</v>
      </c>
      <c r="PF24" s="1" t="s">
        <v>18356</v>
      </c>
      <c r="PG24" s="1" t="s">
        <v>18357</v>
      </c>
      <c r="PH24" s="1" t="s">
        <v>18358</v>
      </c>
      <c r="PI24" s="1" t="s">
        <v>18359</v>
      </c>
      <c r="PJ24" s="1" t="s">
        <v>18360</v>
      </c>
      <c r="PK24" s="1" t="s">
        <v>18361</v>
      </c>
      <c r="PL24" s="1" t="s">
        <v>18362</v>
      </c>
      <c r="PM24" s="1" t="s">
        <v>18363</v>
      </c>
      <c r="PN24" s="1" t="s">
        <v>18364</v>
      </c>
      <c r="PO24" s="1" t="s">
        <v>18365</v>
      </c>
      <c r="PP24" s="1" t="s">
        <v>18366</v>
      </c>
      <c r="PQ24" s="1" t="s">
        <v>18367</v>
      </c>
      <c r="PR24" s="1" t="s">
        <v>18368</v>
      </c>
      <c r="PS24" s="1" t="s">
        <v>18369</v>
      </c>
      <c r="PT24" s="1" t="s">
        <v>18370</v>
      </c>
      <c r="PU24" s="1" t="s">
        <v>18371</v>
      </c>
      <c r="PV24" s="1" t="s">
        <v>18372</v>
      </c>
      <c r="PW24" s="1" t="s">
        <v>18373</v>
      </c>
      <c r="PX24" s="1" t="s">
        <v>18374</v>
      </c>
      <c r="PY24" s="1" t="s">
        <v>18375</v>
      </c>
      <c r="PZ24" s="1" t="s">
        <v>18376</v>
      </c>
      <c r="QA24" s="1" t="s">
        <v>18377</v>
      </c>
      <c r="QB24" s="1" t="s">
        <v>18378</v>
      </c>
      <c r="QC24" s="1" t="s">
        <v>18379</v>
      </c>
      <c r="QD24" s="1" t="s">
        <v>18380</v>
      </c>
      <c r="QE24" s="1" t="s">
        <v>18381</v>
      </c>
      <c r="QF24" s="1" t="s">
        <v>18382</v>
      </c>
      <c r="QG24" s="1" t="s">
        <v>18383</v>
      </c>
      <c r="QH24" s="1" t="s">
        <v>18384</v>
      </c>
      <c r="QI24" s="1" t="s">
        <v>18385</v>
      </c>
      <c r="QJ24" s="1" t="s">
        <v>18386</v>
      </c>
      <c r="QK24" s="1" t="s">
        <v>18387</v>
      </c>
      <c r="QL24" s="1" t="s">
        <v>18388</v>
      </c>
      <c r="QM24" s="1" t="s">
        <v>18389</v>
      </c>
      <c r="QN24" s="1" t="s">
        <v>18390</v>
      </c>
      <c r="QO24" s="1" t="s">
        <v>18391</v>
      </c>
      <c r="QP24" s="1" t="s">
        <v>18392</v>
      </c>
      <c r="QQ24" s="1" t="s">
        <v>18393</v>
      </c>
      <c r="QR24" s="1" t="s">
        <v>18394</v>
      </c>
      <c r="QS24" s="1" t="s">
        <v>18395</v>
      </c>
      <c r="QT24" s="1" t="s">
        <v>18396</v>
      </c>
      <c r="QU24" s="1" t="s">
        <v>18397</v>
      </c>
      <c r="QV24" s="1" t="s">
        <v>18398</v>
      </c>
      <c r="QW24" s="1" t="s">
        <v>18399</v>
      </c>
      <c r="QX24" s="1" t="s">
        <v>18400</v>
      </c>
      <c r="QY24" s="1" t="s">
        <v>18401</v>
      </c>
      <c r="QZ24" s="1" t="s">
        <v>18402</v>
      </c>
      <c r="RA24" s="1" t="s">
        <v>18403</v>
      </c>
      <c r="RB24" s="1" t="s">
        <v>18404</v>
      </c>
      <c r="RC24" s="1" t="s">
        <v>18405</v>
      </c>
      <c r="RD24" s="1" t="s">
        <v>18406</v>
      </c>
      <c r="RE24" s="1" t="s">
        <v>18407</v>
      </c>
      <c r="RF24" s="1" t="s">
        <v>18408</v>
      </c>
      <c r="RG24" s="1" t="s">
        <v>18409</v>
      </c>
      <c r="RH24" s="1" t="s">
        <v>18410</v>
      </c>
      <c r="RI24" s="1" t="s">
        <v>18411</v>
      </c>
      <c r="RJ24" s="1" t="s">
        <v>18412</v>
      </c>
      <c r="RK24" s="1" t="s">
        <v>18413</v>
      </c>
      <c r="RL24" s="1" t="s">
        <v>18414</v>
      </c>
      <c r="RM24" s="1" t="s">
        <v>18415</v>
      </c>
      <c r="RN24" s="1" t="s">
        <v>18416</v>
      </c>
      <c r="RO24" s="1" t="s">
        <v>18417</v>
      </c>
      <c r="RP24" s="1" t="s">
        <v>18418</v>
      </c>
      <c r="RQ24" s="1" t="s">
        <v>18419</v>
      </c>
      <c r="RR24" s="1" t="s">
        <v>18420</v>
      </c>
      <c r="RS24" s="1" t="s">
        <v>18421</v>
      </c>
      <c r="RT24" s="1" t="s">
        <v>18422</v>
      </c>
      <c r="RU24" s="1" t="s">
        <v>18423</v>
      </c>
      <c r="RV24" s="1" t="s">
        <v>18424</v>
      </c>
      <c r="RW24" s="1" t="s">
        <v>18425</v>
      </c>
      <c r="RX24" s="1" t="s">
        <v>18426</v>
      </c>
      <c r="RY24" s="1" t="s">
        <v>18427</v>
      </c>
      <c r="RZ24" s="1" t="s">
        <v>18428</v>
      </c>
      <c r="SA24" s="1" t="s">
        <v>18429</v>
      </c>
      <c r="SB24" s="1" t="s">
        <v>18430</v>
      </c>
      <c r="SC24" s="1" t="s">
        <v>18431</v>
      </c>
      <c r="SD24" s="1" t="s">
        <v>18432</v>
      </c>
      <c r="SE24" s="1" t="s">
        <v>18433</v>
      </c>
      <c r="SF24" s="1" t="s">
        <v>18434</v>
      </c>
      <c r="SG24" s="1" t="s">
        <v>18435</v>
      </c>
      <c r="SH24" s="1" t="s">
        <v>18436</v>
      </c>
      <c r="SI24" s="1" t="s">
        <v>18437</v>
      </c>
      <c r="SJ24" s="1" t="s">
        <v>18438</v>
      </c>
      <c r="SK24" s="1" t="s">
        <v>18439</v>
      </c>
      <c r="SL24" s="1" t="s">
        <v>18440</v>
      </c>
      <c r="SM24" s="1" t="s">
        <v>18441</v>
      </c>
      <c r="SN24" s="1" t="s">
        <v>18442</v>
      </c>
      <c r="SO24" s="1" t="s">
        <v>18443</v>
      </c>
      <c r="SP24" s="1" t="s">
        <v>18444</v>
      </c>
      <c r="SQ24" s="1" t="s">
        <v>18445</v>
      </c>
      <c r="SR24" s="1" t="s">
        <v>18446</v>
      </c>
      <c r="SS24" s="1" t="s">
        <v>18447</v>
      </c>
      <c r="ST24" s="1" t="s">
        <v>18448</v>
      </c>
      <c r="SU24" s="1" t="s">
        <v>18449</v>
      </c>
      <c r="SV24" s="1" t="s">
        <v>18450</v>
      </c>
      <c r="SW24" s="1" t="s">
        <v>18451</v>
      </c>
      <c r="SX24" s="1" t="s">
        <v>18452</v>
      </c>
      <c r="SY24" s="1" t="s">
        <v>18453</v>
      </c>
      <c r="SZ24" s="1" t="s">
        <v>18454</v>
      </c>
      <c r="TA24" s="1" t="s">
        <v>18455</v>
      </c>
      <c r="TB24" s="1" t="s">
        <v>18456</v>
      </c>
      <c r="TC24" s="1" t="s">
        <v>18457</v>
      </c>
      <c r="TD24" s="1" t="s">
        <v>18458</v>
      </c>
      <c r="TE24" s="1" t="s">
        <v>18459</v>
      </c>
      <c r="TF24" s="1" t="s">
        <v>18460</v>
      </c>
      <c r="TG24" s="1" t="s">
        <v>18461</v>
      </c>
      <c r="TH24" s="1" t="s">
        <v>18462</v>
      </c>
      <c r="TI24" s="1" t="s">
        <v>18463</v>
      </c>
      <c r="TJ24" s="1" t="s">
        <v>18464</v>
      </c>
      <c r="TK24" s="1" t="s">
        <v>18465</v>
      </c>
      <c r="TL24" s="1" t="s">
        <v>18466</v>
      </c>
      <c r="TM24" s="1" t="s">
        <v>18467</v>
      </c>
      <c r="TN24" s="1" t="s">
        <v>18468</v>
      </c>
      <c r="TO24" s="1" t="s">
        <v>18469</v>
      </c>
      <c r="TP24" s="1" t="s">
        <v>18470</v>
      </c>
      <c r="TQ24" s="1" t="s">
        <v>18471</v>
      </c>
      <c r="TR24" s="1" t="s">
        <v>18472</v>
      </c>
      <c r="TS24" s="1" t="s">
        <v>18473</v>
      </c>
      <c r="TT24" s="1" t="s">
        <v>18474</v>
      </c>
      <c r="TU24" s="1" t="s">
        <v>18475</v>
      </c>
      <c r="TV24" s="1" t="s">
        <v>18476</v>
      </c>
      <c r="TW24" s="1" t="s">
        <v>18477</v>
      </c>
      <c r="TX24" s="1" t="s">
        <v>18478</v>
      </c>
      <c r="TY24" s="1" t="s">
        <v>18479</v>
      </c>
      <c r="TZ24" s="1" t="s">
        <v>18480</v>
      </c>
      <c r="UA24" s="1" t="s">
        <v>18481</v>
      </c>
      <c r="UB24" s="1" t="s">
        <v>18482</v>
      </c>
      <c r="UC24" s="1" t="s">
        <v>18483</v>
      </c>
      <c r="UD24" s="1" t="s">
        <v>18484</v>
      </c>
      <c r="UE24" s="1" t="s">
        <v>18485</v>
      </c>
      <c r="UF24" s="1" t="s">
        <v>18486</v>
      </c>
      <c r="UG24" s="1" t="s">
        <v>18487</v>
      </c>
      <c r="UH24" s="1" t="s">
        <v>18488</v>
      </c>
      <c r="UI24" s="1" t="s">
        <v>18489</v>
      </c>
      <c r="UJ24" s="1" t="s">
        <v>18490</v>
      </c>
      <c r="UK24" s="1" t="s">
        <v>18491</v>
      </c>
      <c r="UL24" s="1" t="s">
        <v>18492</v>
      </c>
      <c r="UM24" s="1" t="s">
        <v>18493</v>
      </c>
      <c r="UN24" s="1" t="s">
        <v>18494</v>
      </c>
      <c r="UO24" s="1" t="s">
        <v>18495</v>
      </c>
      <c r="UP24" s="1" t="s">
        <v>18496</v>
      </c>
      <c r="UQ24" s="1" t="s">
        <v>18497</v>
      </c>
      <c r="UR24" s="1" t="s">
        <v>18498</v>
      </c>
      <c r="US24" s="1" t="s">
        <v>18499</v>
      </c>
      <c r="UT24" s="1" t="s">
        <v>18500</v>
      </c>
      <c r="UU24" s="1" t="s">
        <v>18501</v>
      </c>
      <c r="UV24" s="1" t="s">
        <v>18502</v>
      </c>
      <c r="UW24" s="1" t="s">
        <v>18503</v>
      </c>
      <c r="UX24" s="1" t="s">
        <v>18504</v>
      </c>
      <c r="UY24" s="1" t="s">
        <v>18505</v>
      </c>
      <c r="UZ24" s="1" t="s">
        <v>18506</v>
      </c>
      <c r="VA24" s="1" t="s">
        <v>18507</v>
      </c>
      <c r="VB24" s="1" t="s">
        <v>18508</v>
      </c>
      <c r="VC24" s="1" t="s">
        <v>18509</v>
      </c>
      <c r="VD24" s="1" t="s">
        <v>18510</v>
      </c>
      <c r="VE24" s="1" t="s">
        <v>18511</v>
      </c>
      <c r="VF24" s="1" t="s">
        <v>18512</v>
      </c>
      <c r="VG24" s="1" t="s">
        <v>18513</v>
      </c>
      <c r="VH24" s="1" t="s">
        <v>18514</v>
      </c>
      <c r="VI24" s="1" t="s">
        <v>18515</v>
      </c>
      <c r="VJ24" s="1" t="s">
        <v>18516</v>
      </c>
      <c r="VK24" s="1" t="s">
        <v>18517</v>
      </c>
      <c r="VL24" s="1" t="s">
        <v>18518</v>
      </c>
      <c r="VM24" s="1" t="s">
        <v>18519</v>
      </c>
      <c r="VN24" s="1" t="s">
        <v>18520</v>
      </c>
      <c r="VO24" s="1" t="s">
        <v>18521</v>
      </c>
      <c r="VP24" s="1" t="s">
        <v>18522</v>
      </c>
      <c r="VQ24" s="1" t="s">
        <v>18523</v>
      </c>
      <c r="VR24" s="1" t="s">
        <v>18524</v>
      </c>
      <c r="VS24" s="1" t="s">
        <v>18525</v>
      </c>
      <c r="VT24" s="1" t="s">
        <v>18526</v>
      </c>
      <c r="VU24" s="1" t="s">
        <v>18527</v>
      </c>
      <c r="VV24" s="1" t="s">
        <v>18528</v>
      </c>
      <c r="VW24" s="1" t="s">
        <v>18529</v>
      </c>
      <c r="VX24" s="1" t="s">
        <v>18530</v>
      </c>
      <c r="VY24" s="1" t="s">
        <v>18531</v>
      </c>
      <c r="VZ24" s="1" t="s">
        <v>18532</v>
      </c>
      <c r="WA24" s="1" t="s">
        <v>18533</v>
      </c>
      <c r="WB24" s="1" t="s">
        <v>18534</v>
      </c>
      <c r="WC24" s="1" t="s">
        <v>18535</v>
      </c>
      <c r="WD24" s="1" t="s">
        <v>18536</v>
      </c>
      <c r="WE24" s="1" t="s">
        <v>18537</v>
      </c>
      <c r="WF24" s="1" t="s">
        <v>18538</v>
      </c>
      <c r="WG24" s="1" t="s">
        <v>18539</v>
      </c>
      <c r="WH24" s="1" t="s">
        <v>18540</v>
      </c>
      <c r="WI24" s="1" t="s">
        <v>18541</v>
      </c>
      <c r="WJ24" s="1" t="s">
        <v>18542</v>
      </c>
      <c r="WK24" s="1" t="s">
        <v>18543</v>
      </c>
      <c r="WL24" s="1" t="s">
        <v>18544</v>
      </c>
      <c r="WM24" s="1" t="s">
        <v>18545</v>
      </c>
      <c r="WN24" s="1" t="s">
        <v>18546</v>
      </c>
      <c r="WO24" s="1" t="s">
        <v>18547</v>
      </c>
      <c r="WP24" s="1" t="s">
        <v>18548</v>
      </c>
      <c r="WQ24" s="1" t="s">
        <v>18549</v>
      </c>
      <c r="WR24" s="1" t="s">
        <v>18550</v>
      </c>
      <c r="WS24" s="1" t="s">
        <v>18551</v>
      </c>
      <c r="WT24" s="1" t="s">
        <v>18552</v>
      </c>
      <c r="WU24" s="1" t="s">
        <v>18553</v>
      </c>
      <c r="WV24" s="1" t="s">
        <v>18554</v>
      </c>
      <c r="WW24" s="1" t="s">
        <v>18555</v>
      </c>
      <c r="WX24" s="1" t="s">
        <v>18556</v>
      </c>
      <c r="WY24" s="1" t="s">
        <v>18557</v>
      </c>
      <c r="WZ24" s="1" t="s">
        <v>18558</v>
      </c>
      <c r="XA24" s="1" t="s">
        <v>18559</v>
      </c>
      <c r="XB24" s="1" t="s">
        <v>18560</v>
      </c>
      <c r="XC24" s="1" t="s">
        <v>18561</v>
      </c>
      <c r="XD24" s="1" t="s">
        <v>18562</v>
      </c>
      <c r="XE24" s="1" t="s">
        <v>18563</v>
      </c>
      <c r="XF24" s="1" t="s">
        <v>18564</v>
      </c>
      <c r="XG24" s="1" t="s">
        <v>18565</v>
      </c>
      <c r="XH24" s="1" t="s">
        <v>18566</v>
      </c>
      <c r="XI24" s="1" t="s">
        <v>18567</v>
      </c>
      <c r="XJ24" s="1" t="s">
        <v>18568</v>
      </c>
      <c r="XK24" s="1" t="s">
        <v>18569</v>
      </c>
      <c r="XL24" s="1" t="s">
        <v>18570</v>
      </c>
      <c r="XM24" s="1" t="s">
        <v>18571</v>
      </c>
      <c r="XN24" s="1" t="s">
        <v>18572</v>
      </c>
      <c r="XO24" s="1" t="s">
        <v>18573</v>
      </c>
      <c r="XP24" s="1" t="s">
        <v>18574</v>
      </c>
      <c r="XQ24" s="1" t="s">
        <v>18575</v>
      </c>
      <c r="XR24" s="1" t="s">
        <v>18576</v>
      </c>
      <c r="XS24" s="1" t="s">
        <v>18577</v>
      </c>
      <c r="XT24" s="1" t="s">
        <v>18578</v>
      </c>
      <c r="XU24" s="1" t="s">
        <v>18579</v>
      </c>
      <c r="XV24" s="1" t="s">
        <v>18580</v>
      </c>
      <c r="XW24" s="1" t="s">
        <v>18581</v>
      </c>
      <c r="XX24" s="1" t="s">
        <v>18582</v>
      </c>
      <c r="XY24" s="1" t="s">
        <v>18583</v>
      </c>
      <c r="XZ24" s="1" t="s">
        <v>18584</v>
      </c>
      <c r="YA24" s="1" t="s">
        <v>18585</v>
      </c>
      <c r="YB24" s="1" t="s">
        <v>18586</v>
      </c>
      <c r="YC24" s="1" t="s">
        <v>18587</v>
      </c>
      <c r="YD24" s="1" t="s">
        <v>18588</v>
      </c>
      <c r="YE24" s="1" t="s">
        <v>18589</v>
      </c>
      <c r="YF24" s="1" t="s">
        <v>18590</v>
      </c>
      <c r="YG24" s="1" t="s">
        <v>18591</v>
      </c>
      <c r="YH24" s="1" t="s">
        <v>18592</v>
      </c>
      <c r="YI24" s="1" t="s">
        <v>18593</v>
      </c>
      <c r="YJ24" s="1" t="s">
        <v>18594</v>
      </c>
      <c r="YK24" s="1" t="s">
        <v>18595</v>
      </c>
      <c r="YL24" s="1" t="s">
        <v>18596</v>
      </c>
      <c r="YM24" s="1" t="s">
        <v>18597</v>
      </c>
      <c r="YN24" s="1" t="s">
        <v>18598</v>
      </c>
      <c r="YO24" s="1" t="s">
        <v>18599</v>
      </c>
      <c r="YP24" s="1" t="s">
        <v>18600</v>
      </c>
      <c r="YQ24" s="1" t="s">
        <v>18601</v>
      </c>
      <c r="YR24" s="1" t="s">
        <v>18602</v>
      </c>
      <c r="YS24" s="1" t="s">
        <v>18603</v>
      </c>
      <c r="YT24" s="1" t="s">
        <v>18604</v>
      </c>
      <c r="YU24" s="1" t="s">
        <v>18605</v>
      </c>
      <c r="YV24" s="1" t="s">
        <v>18606</v>
      </c>
      <c r="YW24" s="1" t="s">
        <v>18607</v>
      </c>
      <c r="YX24" s="1" t="s">
        <v>18608</v>
      </c>
      <c r="YY24" s="1" t="s">
        <v>18609</v>
      </c>
      <c r="YZ24" s="1" t="s">
        <v>18610</v>
      </c>
      <c r="ZA24" s="1" t="s">
        <v>18611</v>
      </c>
      <c r="ZB24" s="1" t="s">
        <v>18612</v>
      </c>
      <c r="ZC24" s="1" t="s">
        <v>18613</v>
      </c>
      <c r="ZD24" s="1" t="s">
        <v>18614</v>
      </c>
      <c r="ZE24" s="1" t="s">
        <v>18615</v>
      </c>
      <c r="ZF24" s="1" t="s">
        <v>18616</v>
      </c>
      <c r="ZG24" s="1" t="s">
        <v>18617</v>
      </c>
      <c r="ZH24" s="1" t="s">
        <v>18618</v>
      </c>
      <c r="ZI24" s="1" t="s">
        <v>18619</v>
      </c>
      <c r="ZJ24" s="1" t="s">
        <v>18620</v>
      </c>
      <c r="ZK24" s="1" t="s">
        <v>18621</v>
      </c>
      <c r="ZL24" s="1" t="s">
        <v>18622</v>
      </c>
      <c r="ZM24" s="1" t="s">
        <v>18623</v>
      </c>
      <c r="ZN24" s="1" t="s">
        <v>18624</v>
      </c>
      <c r="ZO24" s="1" t="s">
        <v>18625</v>
      </c>
      <c r="ZP24" s="1" t="s">
        <v>18626</v>
      </c>
      <c r="ZQ24" s="1" t="s">
        <v>18627</v>
      </c>
      <c r="ZR24" s="1" t="s">
        <v>18628</v>
      </c>
      <c r="ZS24" s="1" t="s">
        <v>18629</v>
      </c>
      <c r="ZT24" s="1" t="s">
        <v>18630</v>
      </c>
      <c r="ZU24" s="1" t="s">
        <v>18631</v>
      </c>
      <c r="ZV24" s="1" t="s">
        <v>18632</v>
      </c>
      <c r="ZW24" s="1" t="s">
        <v>18633</v>
      </c>
      <c r="ZX24" s="1" t="s">
        <v>18634</v>
      </c>
      <c r="ZY24" s="1" t="s">
        <v>18635</v>
      </c>
      <c r="ZZ24" s="1" t="s">
        <v>18636</v>
      </c>
      <c r="AAA24" s="1" t="s">
        <v>18637</v>
      </c>
      <c r="AAB24" s="1" t="s">
        <v>18638</v>
      </c>
      <c r="AAC24" s="1" t="s">
        <v>18639</v>
      </c>
      <c r="AAD24" s="1" t="s">
        <v>18640</v>
      </c>
      <c r="AAE24" s="1" t="s">
        <v>18641</v>
      </c>
      <c r="AAF24" s="1" t="s">
        <v>18642</v>
      </c>
      <c r="AAG24" s="1" t="s">
        <v>18643</v>
      </c>
      <c r="AAH24" s="1" t="s">
        <v>18644</v>
      </c>
      <c r="AAI24" s="1" t="s">
        <v>18645</v>
      </c>
      <c r="AAJ24" s="1" t="s">
        <v>18646</v>
      </c>
      <c r="AAK24" s="1" t="s">
        <v>18647</v>
      </c>
      <c r="AAL24" s="1" t="s">
        <v>18648</v>
      </c>
      <c r="AAM24" s="1" t="s">
        <v>18649</v>
      </c>
      <c r="AAN24" s="1" t="s">
        <v>18650</v>
      </c>
      <c r="AAO24" s="1" t="s">
        <v>18651</v>
      </c>
      <c r="AAP24" s="1" t="s">
        <v>18652</v>
      </c>
      <c r="AAQ24" s="1" t="s">
        <v>18653</v>
      </c>
      <c r="AAR24" s="1" t="s">
        <v>18654</v>
      </c>
      <c r="AAS24" s="1" t="s">
        <v>18655</v>
      </c>
      <c r="AAT24" s="1" t="s">
        <v>18656</v>
      </c>
      <c r="AAU24" s="1" t="s">
        <v>18657</v>
      </c>
      <c r="AAV24" s="1" t="s">
        <v>18658</v>
      </c>
      <c r="AAW24" s="1" t="s">
        <v>18659</v>
      </c>
      <c r="AAX24" s="1" t="s">
        <v>18660</v>
      </c>
      <c r="AAY24" s="1" t="s">
        <v>18661</v>
      </c>
      <c r="AAZ24" s="1" t="s">
        <v>18662</v>
      </c>
      <c r="ABA24" s="1" t="s">
        <v>18663</v>
      </c>
      <c r="ABB24" s="1" t="s">
        <v>18664</v>
      </c>
      <c r="ABC24" s="1" t="s">
        <v>18665</v>
      </c>
      <c r="ABD24" s="1" t="s">
        <v>18666</v>
      </c>
      <c r="ABE24" s="1" t="s">
        <v>18667</v>
      </c>
      <c r="ABF24" s="1" t="s">
        <v>18668</v>
      </c>
      <c r="ABG24" s="1" t="s">
        <v>18669</v>
      </c>
      <c r="ABH24" s="1" t="s">
        <v>18670</v>
      </c>
      <c r="ABI24" s="1" t="s">
        <v>18671</v>
      </c>
      <c r="ABJ24" s="1" t="s">
        <v>18672</v>
      </c>
      <c r="ABK24" s="1" t="s">
        <v>18673</v>
      </c>
      <c r="ABL24" s="1" t="s">
        <v>18674</v>
      </c>
      <c r="ABM24" s="1" t="s">
        <v>18675</v>
      </c>
      <c r="ABN24" s="1" t="s">
        <v>18676</v>
      </c>
      <c r="ABO24" s="1" t="s">
        <v>18677</v>
      </c>
      <c r="ABP24" s="1" t="s">
        <v>18678</v>
      </c>
      <c r="ABQ24" s="1" t="s">
        <v>18679</v>
      </c>
      <c r="ABR24" s="1" t="s">
        <v>18680</v>
      </c>
      <c r="ABS24" s="1" t="s">
        <v>18681</v>
      </c>
      <c r="ABT24" s="1" t="s">
        <v>18682</v>
      </c>
      <c r="ABU24" s="1" t="s">
        <v>18683</v>
      </c>
      <c r="ABV24" s="1" t="s">
        <v>18684</v>
      </c>
      <c r="ABW24" s="1" t="s">
        <v>18685</v>
      </c>
      <c r="ABX24" s="1" t="s">
        <v>18686</v>
      </c>
      <c r="ABY24" s="1" t="s">
        <v>18687</v>
      </c>
      <c r="ABZ24" s="1" t="s">
        <v>18688</v>
      </c>
      <c r="ACA24" s="1" t="s">
        <v>18689</v>
      </c>
      <c r="ACB24" s="1" t="s">
        <v>18690</v>
      </c>
      <c r="ACC24" s="1" t="s">
        <v>18691</v>
      </c>
      <c r="ACD24" s="1" t="s">
        <v>18692</v>
      </c>
      <c r="ACE24" s="1" t="s">
        <v>18693</v>
      </c>
      <c r="ACF24" s="1" t="s">
        <v>18694</v>
      </c>
      <c r="ACG24" s="1" t="s">
        <v>18695</v>
      </c>
      <c r="ACH24" s="1" t="s">
        <v>18696</v>
      </c>
      <c r="ACI24" s="1" t="s">
        <v>18697</v>
      </c>
      <c r="ACJ24" s="1" t="s">
        <v>18698</v>
      </c>
      <c r="ACK24" s="1" t="s">
        <v>18699</v>
      </c>
      <c r="ACL24" s="1" t="s">
        <v>18700</v>
      </c>
      <c r="ACM24" s="1" t="s">
        <v>18701</v>
      </c>
      <c r="ACN24" s="1" t="s">
        <v>18702</v>
      </c>
      <c r="ACO24" s="1" t="s">
        <v>18703</v>
      </c>
      <c r="ACP24" s="1" t="s">
        <v>18704</v>
      </c>
      <c r="ACQ24" s="1" t="s">
        <v>18705</v>
      </c>
      <c r="ACR24" s="1" t="s">
        <v>18706</v>
      </c>
      <c r="ACS24" s="1" t="s">
        <v>18707</v>
      </c>
      <c r="ACT24" s="1" t="s">
        <v>18708</v>
      </c>
      <c r="ACU24" s="1" t="s">
        <v>18709</v>
      </c>
      <c r="ACV24" s="1" t="s">
        <v>18710</v>
      </c>
      <c r="ACW24" s="1" t="s">
        <v>12</v>
      </c>
      <c r="ACX24" s="1" t="s">
        <v>1500</v>
      </c>
    </row>
    <row r="25" spans="1:778" x14ac:dyDescent="0.2">
      <c r="A25" s="1" t="s">
        <v>50</v>
      </c>
      <c r="B25" s="1" t="s">
        <v>18711</v>
      </c>
      <c r="C25" s="1" t="s">
        <v>18712</v>
      </c>
      <c r="D25" s="1" t="s">
        <v>18713</v>
      </c>
      <c r="E25" s="1" t="s">
        <v>18714</v>
      </c>
      <c r="F25" s="1" t="s">
        <v>18715</v>
      </c>
      <c r="G25" s="1" t="s">
        <v>18716</v>
      </c>
      <c r="H25" s="1" t="s">
        <v>18717</v>
      </c>
      <c r="I25" s="1" t="s">
        <v>18718</v>
      </c>
      <c r="J25" s="1" t="s">
        <v>18719</v>
      </c>
      <c r="K25" s="1" t="s">
        <v>18720</v>
      </c>
      <c r="L25" s="1" t="s">
        <v>18721</v>
      </c>
      <c r="M25" s="1" t="s">
        <v>18722</v>
      </c>
      <c r="N25" s="1" t="s">
        <v>18723</v>
      </c>
      <c r="O25" s="1" t="s">
        <v>18724</v>
      </c>
      <c r="P25" s="1" t="s">
        <v>18725</v>
      </c>
      <c r="Q25" s="1" t="s">
        <v>18726</v>
      </c>
      <c r="R25" s="1" t="s">
        <v>18727</v>
      </c>
      <c r="S25" s="1" t="s">
        <v>18728</v>
      </c>
      <c r="T25" s="1" t="s">
        <v>18729</v>
      </c>
      <c r="U25" s="1" t="s">
        <v>18730</v>
      </c>
      <c r="V25" s="1" t="s">
        <v>18731</v>
      </c>
      <c r="W25" s="1" t="s">
        <v>18732</v>
      </c>
      <c r="X25" s="1" t="s">
        <v>18733</v>
      </c>
      <c r="Y25" s="1" t="s">
        <v>18734</v>
      </c>
      <c r="Z25" s="1" t="s">
        <v>18735</v>
      </c>
      <c r="AA25" s="1" t="s">
        <v>18736</v>
      </c>
      <c r="AB25" s="1" t="s">
        <v>18737</v>
      </c>
      <c r="AC25" s="1" t="s">
        <v>18738</v>
      </c>
      <c r="AD25" s="1" t="s">
        <v>18739</v>
      </c>
      <c r="AE25" s="1" t="s">
        <v>18740</v>
      </c>
      <c r="AF25" s="1" t="s">
        <v>18741</v>
      </c>
      <c r="AG25" s="1" t="s">
        <v>18742</v>
      </c>
      <c r="AH25" s="1" t="s">
        <v>18743</v>
      </c>
      <c r="AI25" s="1" t="s">
        <v>18744</v>
      </c>
      <c r="AJ25" s="1" t="s">
        <v>18745</v>
      </c>
      <c r="AK25" s="1" t="s">
        <v>18746</v>
      </c>
      <c r="AL25" s="1" t="s">
        <v>18747</v>
      </c>
      <c r="AM25" s="1" t="s">
        <v>18748</v>
      </c>
      <c r="AN25" s="1" t="s">
        <v>18749</v>
      </c>
      <c r="AO25" s="1" t="s">
        <v>18750</v>
      </c>
      <c r="AP25" s="1" t="s">
        <v>18751</v>
      </c>
      <c r="AQ25" s="1" t="s">
        <v>18752</v>
      </c>
      <c r="AR25" s="1" t="s">
        <v>18753</v>
      </c>
      <c r="AS25" s="1" t="s">
        <v>18754</v>
      </c>
      <c r="AT25" s="1" t="s">
        <v>18755</v>
      </c>
      <c r="AU25" s="1" t="s">
        <v>18756</v>
      </c>
      <c r="AV25" s="1" t="s">
        <v>18757</v>
      </c>
      <c r="AW25" s="1" t="s">
        <v>18758</v>
      </c>
      <c r="AX25" s="1" t="s">
        <v>18759</v>
      </c>
      <c r="AY25" s="1" t="s">
        <v>18760</v>
      </c>
      <c r="AZ25" s="1" t="s">
        <v>18761</v>
      </c>
      <c r="BA25" s="1" t="s">
        <v>18762</v>
      </c>
      <c r="BB25" s="1" t="s">
        <v>18763</v>
      </c>
      <c r="BC25" s="1" t="s">
        <v>18764</v>
      </c>
      <c r="BD25" s="1" t="s">
        <v>18765</v>
      </c>
      <c r="BE25" s="1" t="s">
        <v>18766</v>
      </c>
      <c r="BF25" s="1" t="s">
        <v>18767</v>
      </c>
      <c r="BG25" s="1" t="s">
        <v>18768</v>
      </c>
      <c r="BH25" s="1" t="s">
        <v>18769</v>
      </c>
      <c r="BI25" s="1" t="s">
        <v>18770</v>
      </c>
      <c r="BJ25" s="1" t="s">
        <v>18771</v>
      </c>
      <c r="BK25" s="1" t="s">
        <v>18772</v>
      </c>
      <c r="BL25" s="1" t="s">
        <v>18773</v>
      </c>
      <c r="BM25" s="1" t="s">
        <v>18774</v>
      </c>
      <c r="BN25" s="1" t="s">
        <v>18775</v>
      </c>
      <c r="BO25" s="1" t="s">
        <v>18776</v>
      </c>
      <c r="BP25" s="1" t="s">
        <v>18777</v>
      </c>
      <c r="BQ25" s="1" t="s">
        <v>18778</v>
      </c>
      <c r="BR25" s="1" t="s">
        <v>18779</v>
      </c>
      <c r="BS25" s="1" t="s">
        <v>18780</v>
      </c>
      <c r="BT25" s="1" t="s">
        <v>18781</v>
      </c>
      <c r="BU25" s="1" t="s">
        <v>18782</v>
      </c>
      <c r="BV25" s="1" t="s">
        <v>18783</v>
      </c>
      <c r="BW25" s="1" t="s">
        <v>18784</v>
      </c>
      <c r="BX25" s="1" t="s">
        <v>18785</v>
      </c>
      <c r="BY25" s="1" t="s">
        <v>18786</v>
      </c>
      <c r="BZ25" s="1" t="s">
        <v>18787</v>
      </c>
      <c r="CA25" s="1" t="s">
        <v>18788</v>
      </c>
      <c r="CB25" s="1" t="s">
        <v>18789</v>
      </c>
      <c r="CC25" s="1" t="s">
        <v>18790</v>
      </c>
      <c r="CD25" s="1" t="s">
        <v>18791</v>
      </c>
      <c r="CE25" s="1" t="s">
        <v>18792</v>
      </c>
      <c r="CF25" s="1" t="s">
        <v>18793</v>
      </c>
      <c r="CG25" s="1" t="s">
        <v>18794</v>
      </c>
      <c r="CH25" s="1" t="s">
        <v>18795</v>
      </c>
      <c r="CI25" s="1" t="s">
        <v>18796</v>
      </c>
      <c r="CJ25" s="1" t="s">
        <v>18797</v>
      </c>
      <c r="CK25" s="1" t="s">
        <v>18798</v>
      </c>
      <c r="CL25" s="1" t="s">
        <v>18799</v>
      </c>
      <c r="CM25" s="1" t="s">
        <v>18800</v>
      </c>
      <c r="CN25" s="1" t="s">
        <v>18801</v>
      </c>
      <c r="CO25" s="1" t="s">
        <v>18802</v>
      </c>
      <c r="CP25" s="1" t="s">
        <v>18803</v>
      </c>
      <c r="CQ25" s="1" t="s">
        <v>18804</v>
      </c>
      <c r="CR25" s="1" t="s">
        <v>18805</v>
      </c>
      <c r="CS25" s="1" t="s">
        <v>18806</v>
      </c>
      <c r="CT25" s="1" t="s">
        <v>18807</v>
      </c>
      <c r="CU25" s="1" t="s">
        <v>18808</v>
      </c>
      <c r="CV25" s="1" t="s">
        <v>18809</v>
      </c>
      <c r="CW25" s="1" t="s">
        <v>18810</v>
      </c>
      <c r="CX25" s="1" t="s">
        <v>18811</v>
      </c>
      <c r="CY25" s="1" t="s">
        <v>18812</v>
      </c>
      <c r="CZ25" s="1" t="s">
        <v>18813</v>
      </c>
      <c r="DA25" s="1" t="s">
        <v>18814</v>
      </c>
      <c r="DB25" s="1" t="s">
        <v>18815</v>
      </c>
      <c r="DC25" s="1" t="s">
        <v>18816</v>
      </c>
      <c r="DD25" s="1" t="s">
        <v>18817</v>
      </c>
      <c r="DE25" s="1" t="s">
        <v>18818</v>
      </c>
      <c r="DF25" s="1" t="s">
        <v>18819</v>
      </c>
      <c r="DG25" s="1" t="s">
        <v>18820</v>
      </c>
      <c r="DH25" s="1" t="s">
        <v>18821</v>
      </c>
      <c r="DI25" s="1" t="s">
        <v>18822</v>
      </c>
      <c r="DJ25" s="1" t="s">
        <v>18823</v>
      </c>
      <c r="DK25" s="1" t="s">
        <v>18824</v>
      </c>
      <c r="DL25" s="1" t="s">
        <v>18825</v>
      </c>
      <c r="DM25" s="1" t="s">
        <v>18826</v>
      </c>
      <c r="DN25" s="1" t="s">
        <v>18827</v>
      </c>
      <c r="DO25" s="1" t="s">
        <v>18828</v>
      </c>
      <c r="DP25" s="1" t="s">
        <v>18829</v>
      </c>
      <c r="DQ25" s="1" t="s">
        <v>18830</v>
      </c>
      <c r="DR25" s="1" t="s">
        <v>18831</v>
      </c>
      <c r="DS25" s="1" t="s">
        <v>18832</v>
      </c>
      <c r="DT25" s="1" t="s">
        <v>18833</v>
      </c>
      <c r="DU25" s="1" t="s">
        <v>18834</v>
      </c>
      <c r="DV25" s="1" t="s">
        <v>18835</v>
      </c>
      <c r="DW25" s="1" t="s">
        <v>18836</v>
      </c>
      <c r="DX25" s="1" t="s">
        <v>18837</v>
      </c>
      <c r="DY25" s="1" t="s">
        <v>18838</v>
      </c>
      <c r="DZ25" s="1" t="s">
        <v>18839</v>
      </c>
      <c r="EA25" s="1" t="s">
        <v>18840</v>
      </c>
      <c r="EB25" s="1" t="s">
        <v>18841</v>
      </c>
      <c r="EC25" s="1" t="s">
        <v>18842</v>
      </c>
      <c r="ED25" s="1" t="s">
        <v>18843</v>
      </c>
      <c r="EE25" s="1" t="s">
        <v>18844</v>
      </c>
      <c r="EF25" s="1" t="s">
        <v>18845</v>
      </c>
      <c r="EG25" s="1" t="s">
        <v>18846</v>
      </c>
      <c r="EH25" s="1" t="s">
        <v>18847</v>
      </c>
      <c r="EI25" s="1" t="s">
        <v>18848</v>
      </c>
      <c r="EJ25" s="1" t="s">
        <v>18849</v>
      </c>
      <c r="EK25" s="1" t="s">
        <v>18850</v>
      </c>
      <c r="EL25" s="1" t="s">
        <v>18851</v>
      </c>
      <c r="EM25" s="1" t="s">
        <v>18852</v>
      </c>
      <c r="EN25" s="1" t="s">
        <v>18853</v>
      </c>
      <c r="EO25" s="1" t="s">
        <v>18854</v>
      </c>
      <c r="EP25" s="1" t="s">
        <v>18855</v>
      </c>
      <c r="EQ25" s="1" t="s">
        <v>18856</v>
      </c>
      <c r="ER25" s="1" t="s">
        <v>18857</v>
      </c>
      <c r="ES25" s="1" t="s">
        <v>18858</v>
      </c>
      <c r="ET25" s="1" t="s">
        <v>18859</v>
      </c>
      <c r="EU25" s="1" t="s">
        <v>18860</v>
      </c>
      <c r="EV25" s="1" t="s">
        <v>18861</v>
      </c>
      <c r="EW25" s="1" t="s">
        <v>18862</v>
      </c>
      <c r="EX25" s="1" t="s">
        <v>18863</v>
      </c>
      <c r="EY25" s="1" t="s">
        <v>18864</v>
      </c>
      <c r="EZ25" s="1" t="s">
        <v>18865</v>
      </c>
      <c r="FA25" s="1" t="s">
        <v>18866</v>
      </c>
      <c r="FB25" s="1" t="s">
        <v>18867</v>
      </c>
      <c r="FC25" s="1" t="s">
        <v>18868</v>
      </c>
      <c r="FD25" s="1" t="s">
        <v>18869</v>
      </c>
      <c r="FE25" s="1" t="s">
        <v>18870</v>
      </c>
      <c r="FF25" s="1" t="s">
        <v>18871</v>
      </c>
      <c r="FG25" s="1" t="s">
        <v>18872</v>
      </c>
      <c r="FH25" s="1" t="s">
        <v>18873</v>
      </c>
      <c r="FI25" s="1" t="s">
        <v>18874</v>
      </c>
      <c r="FJ25" s="1" t="s">
        <v>18875</v>
      </c>
      <c r="FK25" s="1" t="s">
        <v>18876</v>
      </c>
      <c r="FL25" s="1" t="s">
        <v>18877</v>
      </c>
      <c r="FM25" s="1" t="s">
        <v>18878</v>
      </c>
      <c r="FN25" s="1" t="s">
        <v>18879</v>
      </c>
      <c r="FO25" s="1" t="s">
        <v>18880</v>
      </c>
      <c r="FP25" s="1" t="s">
        <v>18881</v>
      </c>
      <c r="FQ25" s="1" t="s">
        <v>18882</v>
      </c>
      <c r="FR25" s="1" t="s">
        <v>18883</v>
      </c>
      <c r="FS25" s="1" t="s">
        <v>18884</v>
      </c>
      <c r="FT25" s="1" t="s">
        <v>18885</v>
      </c>
      <c r="FU25" s="1" t="s">
        <v>18886</v>
      </c>
      <c r="FV25" s="1" t="s">
        <v>18887</v>
      </c>
      <c r="FW25" s="1" t="s">
        <v>18888</v>
      </c>
      <c r="FX25" s="1" t="s">
        <v>18889</v>
      </c>
      <c r="FY25" s="1" t="s">
        <v>18890</v>
      </c>
      <c r="FZ25" s="1" t="s">
        <v>18891</v>
      </c>
      <c r="GA25" s="1" t="s">
        <v>18892</v>
      </c>
      <c r="GB25" s="1" t="s">
        <v>18893</v>
      </c>
      <c r="GC25" s="1" t="s">
        <v>18894</v>
      </c>
      <c r="GD25" s="1" t="s">
        <v>18895</v>
      </c>
      <c r="GE25" s="1" t="s">
        <v>18896</v>
      </c>
      <c r="GF25" s="1" t="s">
        <v>18897</v>
      </c>
      <c r="GG25" s="1" t="s">
        <v>18898</v>
      </c>
      <c r="GH25" s="1" t="s">
        <v>18899</v>
      </c>
      <c r="GI25" s="1" t="s">
        <v>18900</v>
      </c>
      <c r="GJ25" s="1" t="s">
        <v>18901</v>
      </c>
      <c r="GK25" s="1" t="s">
        <v>18902</v>
      </c>
      <c r="GL25" s="1" t="s">
        <v>18903</v>
      </c>
      <c r="GM25" s="1" t="s">
        <v>18904</v>
      </c>
      <c r="GN25" s="1" t="s">
        <v>18905</v>
      </c>
      <c r="GO25" s="1" t="s">
        <v>18906</v>
      </c>
      <c r="GP25" s="1" t="s">
        <v>18907</v>
      </c>
      <c r="GQ25" s="1" t="s">
        <v>18908</v>
      </c>
      <c r="GR25" s="1" t="s">
        <v>18909</v>
      </c>
      <c r="GS25" s="1" t="s">
        <v>18910</v>
      </c>
      <c r="GT25" s="1" t="s">
        <v>18911</v>
      </c>
      <c r="GU25" s="1" t="s">
        <v>18912</v>
      </c>
      <c r="GV25" s="1" t="s">
        <v>18913</v>
      </c>
      <c r="GW25" s="1" t="s">
        <v>18914</v>
      </c>
      <c r="GX25" s="1" t="s">
        <v>18915</v>
      </c>
      <c r="GY25" s="1" t="s">
        <v>18916</v>
      </c>
      <c r="GZ25" s="1" t="s">
        <v>18917</v>
      </c>
      <c r="HA25" s="1" t="s">
        <v>18918</v>
      </c>
      <c r="HB25" s="1" t="s">
        <v>18919</v>
      </c>
      <c r="HC25" s="1" t="s">
        <v>18920</v>
      </c>
      <c r="HD25" s="1" t="s">
        <v>18921</v>
      </c>
      <c r="HE25" s="1" t="s">
        <v>18922</v>
      </c>
      <c r="HF25" s="1" t="s">
        <v>18923</v>
      </c>
      <c r="HG25" s="1" t="s">
        <v>18924</v>
      </c>
      <c r="HH25" s="1" t="s">
        <v>18925</v>
      </c>
      <c r="HI25" s="1" t="s">
        <v>18926</v>
      </c>
      <c r="HJ25" s="1" t="s">
        <v>18927</v>
      </c>
      <c r="HK25" s="1" t="s">
        <v>18928</v>
      </c>
      <c r="HL25" s="1" t="s">
        <v>18929</v>
      </c>
      <c r="HM25" s="1" t="s">
        <v>18930</v>
      </c>
      <c r="HN25" s="1" t="s">
        <v>18931</v>
      </c>
      <c r="HO25" s="1" t="s">
        <v>18932</v>
      </c>
      <c r="HP25" s="1" t="s">
        <v>18933</v>
      </c>
      <c r="HQ25" s="1" t="s">
        <v>18934</v>
      </c>
      <c r="HR25" s="1" t="s">
        <v>18935</v>
      </c>
      <c r="HS25" s="1" t="s">
        <v>18936</v>
      </c>
      <c r="HT25" s="1" t="s">
        <v>18937</v>
      </c>
      <c r="HU25" s="1" t="s">
        <v>18938</v>
      </c>
      <c r="HV25" s="1" t="s">
        <v>18939</v>
      </c>
      <c r="HW25" s="1" t="s">
        <v>18940</v>
      </c>
      <c r="HX25" s="1" t="s">
        <v>18941</v>
      </c>
      <c r="HY25" s="1" t="s">
        <v>18942</v>
      </c>
      <c r="HZ25" s="1" t="s">
        <v>18943</v>
      </c>
      <c r="IA25" s="1" t="s">
        <v>18944</v>
      </c>
      <c r="IB25" s="1" t="s">
        <v>18945</v>
      </c>
      <c r="IC25" s="1" t="s">
        <v>18946</v>
      </c>
      <c r="ID25" s="1" t="s">
        <v>18947</v>
      </c>
      <c r="IE25" s="1" t="s">
        <v>18948</v>
      </c>
      <c r="IF25" s="1" t="s">
        <v>18949</v>
      </c>
      <c r="IG25" s="1" t="s">
        <v>18950</v>
      </c>
      <c r="IH25" s="1" t="s">
        <v>18951</v>
      </c>
      <c r="II25" s="1" t="s">
        <v>18952</v>
      </c>
      <c r="IJ25" s="1" t="s">
        <v>18953</v>
      </c>
      <c r="IK25" s="1" t="s">
        <v>18954</v>
      </c>
      <c r="IL25" s="1" t="s">
        <v>18955</v>
      </c>
      <c r="IM25" s="1" t="s">
        <v>18956</v>
      </c>
      <c r="IN25" s="1" t="s">
        <v>18957</v>
      </c>
      <c r="IO25" s="1" t="s">
        <v>18958</v>
      </c>
      <c r="IP25" s="1" t="s">
        <v>18959</v>
      </c>
      <c r="IQ25" s="1" t="s">
        <v>18960</v>
      </c>
      <c r="IR25" s="1" t="s">
        <v>18961</v>
      </c>
      <c r="IS25" s="1" t="s">
        <v>18962</v>
      </c>
      <c r="IT25" s="1" t="s">
        <v>18963</v>
      </c>
      <c r="IU25" s="1" t="s">
        <v>18964</v>
      </c>
      <c r="IV25" s="1" t="s">
        <v>18965</v>
      </c>
      <c r="IW25" s="1" t="s">
        <v>18966</v>
      </c>
      <c r="IX25" s="1" t="s">
        <v>18967</v>
      </c>
      <c r="IY25" s="1" t="s">
        <v>18968</v>
      </c>
      <c r="IZ25" s="1" t="s">
        <v>18969</v>
      </c>
      <c r="JA25" s="1" t="s">
        <v>18970</v>
      </c>
      <c r="JB25" s="1" t="s">
        <v>18971</v>
      </c>
      <c r="JC25" s="1" t="s">
        <v>18972</v>
      </c>
      <c r="JD25" s="1" t="s">
        <v>18973</v>
      </c>
      <c r="JE25" s="1" t="s">
        <v>18974</v>
      </c>
      <c r="JF25" s="1" t="s">
        <v>18975</v>
      </c>
      <c r="JG25" s="1" t="s">
        <v>18976</v>
      </c>
      <c r="JH25" s="1" t="s">
        <v>18977</v>
      </c>
      <c r="JI25" s="1" t="s">
        <v>18978</v>
      </c>
      <c r="JJ25" s="1" t="s">
        <v>18979</v>
      </c>
      <c r="JK25" s="1" t="s">
        <v>18980</v>
      </c>
      <c r="JL25" s="1" t="s">
        <v>18981</v>
      </c>
      <c r="JM25" s="1" t="s">
        <v>18982</v>
      </c>
      <c r="JN25" s="1" t="s">
        <v>18983</v>
      </c>
      <c r="JO25" s="1" t="s">
        <v>18984</v>
      </c>
      <c r="JP25" s="1" t="s">
        <v>18985</v>
      </c>
      <c r="JQ25" s="1" t="s">
        <v>18986</v>
      </c>
      <c r="JR25" s="1" t="s">
        <v>18987</v>
      </c>
      <c r="JS25" s="1" t="s">
        <v>18988</v>
      </c>
      <c r="JT25" s="1" t="s">
        <v>18989</v>
      </c>
      <c r="JU25" s="1" t="s">
        <v>18990</v>
      </c>
      <c r="JV25" s="1" t="s">
        <v>18991</v>
      </c>
      <c r="JW25" s="1" t="s">
        <v>18992</v>
      </c>
      <c r="JX25" s="1" t="s">
        <v>18993</v>
      </c>
      <c r="JY25" s="1" t="s">
        <v>18994</v>
      </c>
      <c r="JZ25" s="1" t="s">
        <v>18995</v>
      </c>
      <c r="KA25" s="1" t="s">
        <v>18996</v>
      </c>
      <c r="KB25" s="1" t="s">
        <v>18997</v>
      </c>
      <c r="KC25" s="1" t="s">
        <v>18998</v>
      </c>
      <c r="KD25" s="1" t="s">
        <v>18999</v>
      </c>
      <c r="KE25" s="1" t="s">
        <v>19000</v>
      </c>
      <c r="KF25" s="1" t="s">
        <v>19001</v>
      </c>
      <c r="KG25" s="1" t="s">
        <v>19002</v>
      </c>
      <c r="KH25" s="1" t="s">
        <v>19003</v>
      </c>
      <c r="KI25" s="1" t="s">
        <v>19004</v>
      </c>
      <c r="KJ25" s="1" t="s">
        <v>19005</v>
      </c>
      <c r="KK25" s="1" t="s">
        <v>19006</v>
      </c>
      <c r="KL25" s="1" t="s">
        <v>19007</v>
      </c>
      <c r="KM25" s="1" t="s">
        <v>19008</v>
      </c>
      <c r="KN25" s="1" t="s">
        <v>19009</v>
      </c>
      <c r="KO25" s="1" t="s">
        <v>19010</v>
      </c>
      <c r="KP25" s="1" t="s">
        <v>19011</v>
      </c>
      <c r="KQ25" s="1" t="s">
        <v>19012</v>
      </c>
      <c r="KR25" s="1" t="s">
        <v>19013</v>
      </c>
      <c r="KS25" s="1" t="s">
        <v>19014</v>
      </c>
      <c r="KT25" s="1" t="s">
        <v>19015</v>
      </c>
      <c r="KU25" s="1" t="s">
        <v>19016</v>
      </c>
      <c r="KV25" s="1" t="s">
        <v>19017</v>
      </c>
      <c r="KW25" s="1" t="s">
        <v>19018</v>
      </c>
      <c r="KX25" s="1" t="s">
        <v>19019</v>
      </c>
      <c r="KY25" s="1" t="s">
        <v>19020</v>
      </c>
      <c r="KZ25" s="1" t="s">
        <v>19021</v>
      </c>
      <c r="LA25" s="1" t="s">
        <v>19022</v>
      </c>
      <c r="LB25" s="1" t="s">
        <v>19023</v>
      </c>
      <c r="LC25" s="1" t="s">
        <v>19024</v>
      </c>
      <c r="LD25" s="1" t="s">
        <v>19025</v>
      </c>
      <c r="LE25" s="1" t="s">
        <v>19026</v>
      </c>
      <c r="LF25" s="1" t="s">
        <v>19027</v>
      </c>
      <c r="LG25" s="1" t="s">
        <v>19028</v>
      </c>
      <c r="LH25" s="1" t="s">
        <v>19029</v>
      </c>
      <c r="LI25" s="1" t="s">
        <v>19030</v>
      </c>
      <c r="LJ25" s="1" t="s">
        <v>19031</v>
      </c>
      <c r="LK25" s="1" t="s">
        <v>19032</v>
      </c>
      <c r="LL25" s="1" t="s">
        <v>19033</v>
      </c>
      <c r="LM25" s="1" t="s">
        <v>19034</v>
      </c>
      <c r="LN25" s="1" t="s">
        <v>19035</v>
      </c>
      <c r="LO25" s="1" t="s">
        <v>19036</v>
      </c>
      <c r="LP25" s="1" t="s">
        <v>19037</v>
      </c>
      <c r="LQ25" s="1" t="s">
        <v>19038</v>
      </c>
      <c r="LR25" s="1" t="s">
        <v>19039</v>
      </c>
      <c r="LS25" s="1" t="s">
        <v>19040</v>
      </c>
      <c r="LT25" s="1" t="s">
        <v>19041</v>
      </c>
      <c r="LU25" s="1" t="s">
        <v>19042</v>
      </c>
      <c r="LV25" s="1" t="s">
        <v>19043</v>
      </c>
      <c r="LW25" s="1" t="s">
        <v>19044</v>
      </c>
      <c r="LX25" s="1" t="s">
        <v>19045</v>
      </c>
      <c r="LY25" s="1" t="s">
        <v>19046</v>
      </c>
      <c r="LZ25" s="1" t="s">
        <v>19047</v>
      </c>
      <c r="MA25" s="1" t="s">
        <v>19048</v>
      </c>
      <c r="MB25" s="1" t="s">
        <v>19049</v>
      </c>
      <c r="MC25" s="1" t="s">
        <v>19050</v>
      </c>
      <c r="MD25" s="1" t="s">
        <v>19051</v>
      </c>
      <c r="ME25" s="1" t="s">
        <v>19052</v>
      </c>
      <c r="MF25" s="1" t="s">
        <v>19053</v>
      </c>
      <c r="MG25" s="1" t="s">
        <v>19054</v>
      </c>
      <c r="MH25" s="1" t="s">
        <v>19055</v>
      </c>
      <c r="MI25" s="1" t="s">
        <v>19056</v>
      </c>
      <c r="MJ25" s="1" t="s">
        <v>19057</v>
      </c>
      <c r="MK25" s="1" t="s">
        <v>19058</v>
      </c>
      <c r="ML25" s="1" t="s">
        <v>19059</v>
      </c>
      <c r="MM25" s="1" t="s">
        <v>19060</v>
      </c>
      <c r="MN25" s="1" t="s">
        <v>19061</v>
      </c>
      <c r="MO25" s="1" t="s">
        <v>19062</v>
      </c>
      <c r="MP25" s="1" t="s">
        <v>19063</v>
      </c>
      <c r="MQ25" s="1" t="s">
        <v>19064</v>
      </c>
      <c r="MR25" s="1" t="s">
        <v>19065</v>
      </c>
      <c r="MS25" s="1" t="s">
        <v>19066</v>
      </c>
      <c r="MT25" s="1" t="s">
        <v>19067</v>
      </c>
      <c r="MU25" s="1" t="s">
        <v>19068</v>
      </c>
      <c r="MV25" s="1" t="s">
        <v>19069</v>
      </c>
      <c r="MW25" s="1" t="s">
        <v>19070</v>
      </c>
      <c r="MX25" s="1" t="s">
        <v>19071</v>
      </c>
      <c r="MY25" s="1" t="s">
        <v>19072</v>
      </c>
      <c r="MZ25" s="1" t="s">
        <v>19073</v>
      </c>
      <c r="NA25" s="1" t="s">
        <v>19074</v>
      </c>
      <c r="NB25" s="1" t="s">
        <v>19075</v>
      </c>
      <c r="NC25" s="1" t="s">
        <v>19076</v>
      </c>
      <c r="ND25" s="1" t="s">
        <v>19077</v>
      </c>
      <c r="NE25" s="1" t="s">
        <v>19078</v>
      </c>
      <c r="NF25" s="1" t="s">
        <v>19079</v>
      </c>
      <c r="NG25" s="1" t="s">
        <v>19080</v>
      </c>
      <c r="NH25" s="1" t="s">
        <v>19081</v>
      </c>
      <c r="NI25" s="1" t="s">
        <v>19082</v>
      </c>
      <c r="NJ25" s="1" t="s">
        <v>19083</v>
      </c>
      <c r="NK25" s="1" t="s">
        <v>19084</v>
      </c>
      <c r="NL25" s="1" t="s">
        <v>19085</v>
      </c>
      <c r="NM25" s="1" t="s">
        <v>19086</v>
      </c>
      <c r="NN25" s="1" t="s">
        <v>19087</v>
      </c>
      <c r="NO25" s="1" t="s">
        <v>19088</v>
      </c>
      <c r="NP25" s="1" t="s">
        <v>19089</v>
      </c>
      <c r="NQ25" s="1" t="s">
        <v>19090</v>
      </c>
      <c r="NR25" s="1" t="s">
        <v>19091</v>
      </c>
      <c r="NS25" s="1" t="s">
        <v>19092</v>
      </c>
      <c r="NT25" s="1" t="s">
        <v>19093</v>
      </c>
      <c r="NU25" s="1" t="s">
        <v>19094</v>
      </c>
      <c r="NV25" s="1" t="s">
        <v>19095</v>
      </c>
      <c r="NW25" s="1" t="s">
        <v>19096</v>
      </c>
      <c r="NX25" s="1" t="s">
        <v>19097</v>
      </c>
      <c r="NY25" s="1" t="s">
        <v>19098</v>
      </c>
      <c r="NZ25" s="1" t="s">
        <v>19099</v>
      </c>
      <c r="OA25" s="1" t="s">
        <v>19100</v>
      </c>
      <c r="OB25" s="1" t="s">
        <v>19101</v>
      </c>
      <c r="OC25" s="1" t="s">
        <v>19102</v>
      </c>
      <c r="OD25" s="1" t="s">
        <v>19103</v>
      </c>
      <c r="OE25" s="1" t="s">
        <v>19104</v>
      </c>
      <c r="OF25" s="1" t="s">
        <v>19105</v>
      </c>
      <c r="OG25" s="1" t="s">
        <v>19106</v>
      </c>
      <c r="OH25" s="1" t="s">
        <v>19107</v>
      </c>
      <c r="OI25" s="1" t="s">
        <v>19108</v>
      </c>
      <c r="OJ25" s="1" t="s">
        <v>19109</v>
      </c>
      <c r="OK25" s="1" t="s">
        <v>19110</v>
      </c>
      <c r="OL25" s="1" t="s">
        <v>19111</v>
      </c>
      <c r="OM25" s="1" t="s">
        <v>19112</v>
      </c>
      <c r="ON25" s="1" t="s">
        <v>19113</v>
      </c>
      <c r="OO25" s="1" t="s">
        <v>19114</v>
      </c>
      <c r="OP25" s="1" t="s">
        <v>19115</v>
      </c>
      <c r="OQ25" s="1" t="s">
        <v>19116</v>
      </c>
      <c r="OR25" s="1" t="s">
        <v>19117</v>
      </c>
      <c r="OS25" s="1" t="s">
        <v>19118</v>
      </c>
      <c r="OT25" s="1" t="s">
        <v>19119</v>
      </c>
      <c r="OU25" s="1" t="s">
        <v>19120</v>
      </c>
      <c r="OV25" s="1" t="s">
        <v>19121</v>
      </c>
      <c r="OW25" s="1" t="s">
        <v>19122</v>
      </c>
      <c r="OX25" s="1" t="s">
        <v>19123</v>
      </c>
      <c r="OY25" s="1" t="s">
        <v>19124</v>
      </c>
      <c r="OZ25" s="1" t="s">
        <v>19125</v>
      </c>
      <c r="PA25" s="1" t="s">
        <v>19126</v>
      </c>
      <c r="PB25" s="1" t="s">
        <v>19127</v>
      </c>
      <c r="PC25" s="1" t="s">
        <v>19128</v>
      </c>
      <c r="PD25" s="1" t="s">
        <v>19129</v>
      </c>
      <c r="PE25" s="1" t="s">
        <v>19130</v>
      </c>
      <c r="PF25" s="1" t="s">
        <v>19131</v>
      </c>
      <c r="PG25" s="1" t="s">
        <v>19132</v>
      </c>
      <c r="PH25" s="1" t="s">
        <v>19133</v>
      </c>
      <c r="PI25" s="1" t="s">
        <v>19134</v>
      </c>
      <c r="PJ25" s="1" t="s">
        <v>19135</v>
      </c>
      <c r="PK25" s="1" t="s">
        <v>19136</v>
      </c>
      <c r="PL25" s="1" t="s">
        <v>19137</v>
      </c>
      <c r="PM25" s="1" t="s">
        <v>19138</v>
      </c>
      <c r="PN25" s="1" t="s">
        <v>19139</v>
      </c>
      <c r="PO25" s="1" t="s">
        <v>19140</v>
      </c>
      <c r="PP25" s="1" t="s">
        <v>19141</v>
      </c>
      <c r="PQ25" s="1" t="s">
        <v>19142</v>
      </c>
      <c r="PR25" s="1" t="s">
        <v>19143</v>
      </c>
      <c r="PS25" s="1" t="s">
        <v>19144</v>
      </c>
      <c r="PT25" s="1" t="s">
        <v>19145</v>
      </c>
      <c r="PU25" s="1" t="s">
        <v>19146</v>
      </c>
      <c r="PV25" s="1" t="s">
        <v>19147</v>
      </c>
      <c r="PW25" s="1" t="s">
        <v>19148</v>
      </c>
      <c r="PX25" s="1" t="s">
        <v>19149</v>
      </c>
      <c r="PY25" s="1" t="s">
        <v>19150</v>
      </c>
      <c r="PZ25" s="1" t="s">
        <v>19151</v>
      </c>
      <c r="QA25" s="1" t="s">
        <v>19152</v>
      </c>
      <c r="QB25" s="1" t="s">
        <v>19153</v>
      </c>
      <c r="QC25" s="1" t="s">
        <v>19154</v>
      </c>
      <c r="QD25" s="1" t="s">
        <v>19155</v>
      </c>
      <c r="QE25" s="1" t="s">
        <v>19156</v>
      </c>
      <c r="QF25" s="1" t="s">
        <v>19157</v>
      </c>
      <c r="QG25" s="1" t="s">
        <v>19158</v>
      </c>
      <c r="QH25" s="1" t="s">
        <v>19159</v>
      </c>
      <c r="QI25" s="1" t="s">
        <v>19160</v>
      </c>
      <c r="QJ25" s="1" t="s">
        <v>19161</v>
      </c>
      <c r="QK25" s="1" t="s">
        <v>19162</v>
      </c>
      <c r="QL25" s="1" t="s">
        <v>19163</v>
      </c>
      <c r="QM25" s="1" t="s">
        <v>19164</v>
      </c>
      <c r="QN25" s="1" t="s">
        <v>19165</v>
      </c>
      <c r="QO25" s="1" t="s">
        <v>19166</v>
      </c>
      <c r="QP25" s="1" t="s">
        <v>19167</v>
      </c>
      <c r="QQ25" s="1" t="s">
        <v>19168</v>
      </c>
      <c r="QR25" s="1" t="s">
        <v>19169</v>
      </c>
      <c r="QS25" s="1" t="s">
        <v>19170</v>
      </c>
      <c r="QT25" s="1" t="s">
        <v>19171</v>
      </c>
      <c r="QU25" s="1" t="s">
        <v>19172</v>
      </c>
      <c r="QV25" s="1" t="s">
        <v>19173</v>
      </c>
      <c r="QW25" s="1" t="s">
        <v>19174</v>
      </c>
      <c r="QX25" s="1" t="s">
        <v>19175</v>
      </c>
      <c r="QY25" s="1" t="s">
        <v>19176</v>
      </c>
      <c r="QZ25" s="1" t="s">
        <v>19177</v>
      </c>
      <c r="RA25" s="1" t="s">
        <v>19178</v>
      </c>
      <c r="RB25" s="1" t="s">
        <v>19179</v>
      </c>
      <c r="RC25" s="1" t="s">
        <v>19180</v>
      </c>
      <c r="RD25" s="1" t="s">
        <v>19181</v>
      </c>
      <c r="RE25" s="1" t="s">
        <v>19182</v>
      </c>
      <c r="RF25" s="1" t="s">
        <v>19183</v>
      </c>
      <c r="RG25" s="1" t="s">
        <v>19184</v>
      </c>
      <c r="RH25" s="1" t="s">
        <v>19185</v>
      </c>
      <c r="RI25" s="1" t="s">
        <v>19186</v>
      </c>
      <c r="RJ25" s="1" t="s">
        <v>19187</v>
      </c>
      <c r="RK25" s="1" t="s">
        <v>19188</v>
      </c>
      <c r="RL25" s="1" t="s">
        <v>19189</v>
      </c>
      <c r="RM25" s="1" t="s">
        <v>19190</v>
      </c>
      <c r="RN25" s="1" t="s">
        <v>19191</v>
      </c>
      <c r="RO25" s="1" t="s">
        <v>19192</v>
      </c>
      <c r="RP25" s="1" t="s">
        <v>19193</v>
      </c>
      <c r="RQ25" s="1" t="s">
        <v>19194</v>
      </c>
      <c r="RR25" s="1" t="s">
        <v>19195</v>
      </c>
      <c r="RS25" s="1" t="s">
        <v>19196</v>
      </c>
      <c r="RT25" s="1" t="s">
        <v>19197</v>
      </c>
      <c r="RU25" s="1" t="s">
        <v>19198</v>
      </c>
      <c r="RV25" s="1" t="s">
        <v>19199</v>
      </c>
      <c r="RW25" s="1" t="s">
        <v>19200</v>
      </c>
      <c r="RX25" s="1" t="s">
        <v>19201</v>
      </c>
      <c r="RY25" s="1" t="s">
        <v>19202</v>
      </c>
      <c r="RZ25" s="1" t="s">
        <v>19203</v>
      </c>
      <c r="SA25" s="1" t="s">
        <v>19204</v>
      </c>
      <c r="SB25" s="1" t="s">
        <v>19205</v>
      </c>
      <c r="SC25" s="1" t="s">
        <v>19206</v>
      </c>
      <c r="SD25" s="1" t="s">
        <v>19207</v>
      </c>
      <c r="SE25" s="1" t="s">
        <v>19208</v>
      </c>
      <c r="SF25" s="1" t="s">
        <v>19209</v>
      </c>
      <c r="SG25" s="1" t="s">
        <v>19210</v>
      </c>
      <c r="SH25" s="1" t="s">
        <v>19211</v>
      </c>
      <c r="SI25" s="1" t="s">
        <v>19212</v>
      </c>
      <c r="SJ25" s="1" t="s">
        <v>19213</v>
      </c>
      <c r="SK25" s="1" t="s">
        <v>19214</v>
      </c>
      <c r="SL25" s="1" t="s">
        <v>19215</v>
      </c>
      <c r="SM25" s="1" t="s">
        <v>19216</v>
      </c>
      <c r="SN25" s="1" t="s">
        <v>19217</v>
      </c>
      <c r="SO25" s="1" t="s">
        <v>19218</v>
      </c>
      <c r="SP25" s="1" t="s">
        <v>19219</v>
      </c>
      <c r="SQ25" s="1" t="s">
        <v>19220</v>
      </c>
      <c r="SR25" s="1" t="s">
        <v>19221</v>
      </c>
      <c r="SS25" s="1" t="s">
        <v>19222</v>
      </c>
      <c r="ST25" s="1" t="s">
        <v>19223</v>
      </c>
      <c r="SU25" s="1" t="s">
        <v>19224</v>
      </c>
      <c r="SV25" s="1" t="s">
        <v>19225</v>
      </c>
      <c r="SW25" s="1" t="s">
        <v>19226</v>
      </c>
      <c r="SX25" s="1" t="s">
        <v>19227</v>
      </c>
      <c r="SY25" s="1" t="s">
        <v>19228</v>
      </c>
      <c r="SZ25" s="1" t="s">
        <v>19229</v>
      </c>
      <c r="TA25" s="1" t="s">
        <v>19230</v>
      </c>
      <c r="TB25" s="1" t="s">
        <v>19231</v>
      </c>
      <c r="TC25" s="1" t="s">
        <v>19232</v>
      </c>
      <c r="TD25" s="1" t="s">
        <v>19233</v>
      </c>
      <c r="TE25" s="1" t="s">
        <v>19234</v>
      </c>
      <c r="TF25" s="1" t="s">
        <v>19235</v>
      </c>
      <c r="TG25" s="1" t="s">
        <v>19236</v>
      </c>
      <c r="TH25" s="1" t="s">
        <v>19237</v>
      </c>
      <c r="TI25" s="1" t="s">
        <v>19238</v>
      </c>
      <c r="TJ25" s="1" t="s">
        <v>19239</v>
      </c>
      <c r="TK25" s="1" t="s">
        <v>19240</v>
      </c>
      <c r="TL25" s="1" t="s">
        <v>19241</v>
      </c>
      <c r="TM25" s="1" t="s">
        <v>19242</v>
      </c>
      <c r="TN25" s="1" t="s">
        <v>19243</v>
      </c>
      <c r="TO25" s="1" t="s">
        <v>19244</v>
      </c>
      <c r="TP25" s="1" t="s">
        <v>19245</v>
      </c>
      <c r="TQ25" s="1" t="s">
        <v>19246</v>
      </c>
      <c r="TR25" s="1" t="s">
        <v>19247</v>
      </c>
      <c r="TS25" s="1" t="s">
        <v>19248</v>
      </c>
      <c r="TT25" s="1" t="s">
        <v>19249</v>
      </c>
      <c r="TU25" s="1" t="s">
        <v>19250</v>
      </c>
      <c r="TV25" s="1" t="s">
        <v>19251</v>
      </c>
      <c r="TW25" s="1" t="s">
        <v>19252</v>
      </c>
      <c r="TX25" s="1" t="s">
        <v>19253</v>
      </c>
      <c r="TY25" s="1" t="s">
        <v>19254</v>
      </c>
      <c r="TZ25" s="1" t="s">
        <v>19255</v>
      </c>
      <c r="UA25" s="1" t="s">
        <v>19256</v>
      </c>
      <c r="UB25" s="1" t="s">
        <v>19257</v>
      </c>
      <c r="UC25" s="1" t="s">
        <v>19258</v>
      </c>
      <c r="UD25" s="1" t="s">
        <v>19259</v>
      </c>
      <c r="UE25" s="1" t="s">
        <v>19260</v>
      </c>
      <c r="UF25" s="1" t="s">
        <v>19261</v>
      </c>
      <c r="UG25" s="1" t="s">
        <v>19262</v>
      </c>
      <c r="UH25" s="1" t="s">
        <v>19263</v>
      </c>
      <c r="UI25" s="1" t="s">
        <v>19264</v>
      </c>
      <c r="UJ25" s="1" t="s">
        <v>19265</v>
      </c>
      <c r="UK25" s="1" t="s">
        <v>19266</v>
      </c>
      <c r="UL25" s="1" t="s">
        <v>19267</v>
      </c>
      <c r="UM25" s="1" t="s">
        <v>19268</v>
      </c>
      <c r="UN25" s="1" t="s">
        <v>19269</v>
      </c>
      <c r="UO25" s="1" t="s">
        <v>19270</v>
      </c>
      <c r="UP25" s="1" t="s">
        <v>19271</v>
      </c>
      <c r="UQ25" s="1" t="s">
        <v>19272</v>
      </c>
      <c r="UR25" s="1" t="s">
        <v>19273</v>
      </c>
      <c r="US25" s="1" t="s">
        <v>19274</v>
      </c>
      <c r="UT25" s="1" t="s">
        <v>19275</v>
      </c>
      <c r="UU25" s="1" t="s">
        <v>19276</v>
      </c>
      <c r="UV25" s="1" t="s">
        <v>19277</v>
      </c>
      <c r="UW25" s="1" t="s">
        <v>19278</v>
      </c>
      <c r="UX25" s="1" t="s">
        <v>19279</v>
      </c>
      <c r="UY25" s="1" t="s">
        <v>19280</v>
      </c>
      <c r="UZ25" s="1" t="s">
        <v>19281</v>
      </c>
      <c r="VA25" s="1" t="s">
        <v>19282</v>
      </c>
      <c r="VB25" s="1" t="s">
        <v>19283</v>
      </c>
      <c r="VC25" s="1" t="s">
        <v>19284</v>
      </c>
      <c r="VD25" s="1" t="s">
        <v>19285</v>
      </c>
      <c r="VE25" s="1" t="s">
        <v>19286</v>
      </c>
      <c r="VF25" s="1" t="s">
        <v>19287</v>
      </c>
      <c r="VG25" s="1" t="s">
        <v>19288</v>
      </c>
      <c r="VH25" s="1" t="s">
        <v>19289</v>
      </c>
      <c r="VI25" s="1" t="s">
        <v>19290</v>
      </c>
      <c r="VJ25" s="1" t="s">
        <v>19291</v>
      </c>
      <c r="VK25" s="1" t="s">
        <v>19292</v>
      </c>
      <c r="VL25" s="1" t="s">
        <v>19293</v>
      </c>
      <c r="VM25" s="1" t="s">
        <v>19294</v>
      </c>
      <c r="VN25" s="1" t="s">
        <v>19295</v>
      </c>
      <c r="VO25" s="1" t="s">
        <v>19296</v>
      </c>
      <c r="VP25" s="1" t="s">
        <v>19297</v>
      </c>
      <c r="VQ25" s="1" t="s">
        <v>19298</v>
      </c>
      <c r="VR25" s="1" t="s">
        <v>19299</v>
      </c>
      <c r="VS25" s="1" t="s">
        <v>19300</v>
      </c>
      <c r="VT25" s="1" t="s">
        <v>19301</v>
      </c>
      <c r="VU25" s="1" t="s">
        <v>19302</v>
      </c>
      <c r="VV25" s="1" t="s">
        <v>19303</v>
      </c>
      <c r="VW25" s="1" t="s">
        <v>19304</v>
      </c>
      <c r="VX25" s="1" t="s">
        <v>19305</v>
      </c>
      <c r="VY25" s="1" t="s">
        <v>19306</v>
      </c>
      <c r="VZ25" s="1" t="s">
        <v>19307</v>
      </c>
      <c r="WA25" s="1" t="s">
        <v>19308</v>
      </c>
      <c r="WB25" s="1" t="s">
        <v>19309</v>
      </c>
      <c r="WC25" s="1" t="s">
        <v>19310</v>
      </c>
      <c r="WD25" s="1" t="s">
        <v>19311</v>
      </c>
      <c r="WE25" s="1" t="s">
        <v>19312</v>
      </c>
      <c r="WF25" s="1" t="s">
        <v>19313</v>
      </c>
      <c r="WG25" s="1" t="s">
        <v>19314</v>
      </c>
      <c r="WH25" s="1" t="s">
        <v>19315</v>
      </c>
      <c r="WI25" s="1" t="s">
        <v>19316</v>
      </c>
      <c r="WJ25" s="1" t="s">
        <v>19317</v>
      </c>
      <c r="WK25" s="1" t="s">
        <v>19318</v>
      </c>
      <c r="WL25" s="1" t="s">
        <v>19319</v>
      </c>
      <c r="WM25" s="1" t="s">
        <v>19320</v>
      </c>
      <c r="WN25" s="1" t="s">
        <v>19321</v>
      </c>
      <c r="WO25" s="1" t="s">
        <v>19322</v>
      </c>
      <c r="WP25" s="1" t="s">
        <v>19323</v>
      </c>
      <c r="WQ25" s="1" t="s">
        <v>19324</v>
      </c>
      <c r="WR25" s="1" t="s">
        <v>19325</v>
      </c>
      <c r="WS25" s="1" t="s">
        <v>19326</v>
      </c>
      <c r="WT25" s="1" t="s">
        <v>19327</v>
      </c>
      <c r="WU25" s="1" t="s">
        <v>19328</v>
      </c>
      <c r="WV25" s="1" t="s">
        <v>19329</v>
      </c>
      <c r="WW25" s="1" t="s">
        <v>19330</v>
      </c>
      <c r="WX25" s="1" t="s">
        <v>19331</v>
      </c>
      <c r="WY25" s="1" t="s">
        <v>19332</v>
      </c>
      <c r="WZ25" s="1" t="s">
        <v>19333</v>
      </c>
      <c r="XA25" s="1" t="s">
        <v>19334</v>
      </c>
      <c r="XB25" s="1" t="s">
        <v>19335</v>
      </c>
      <c r="XC25" s="1" t="s">
        <v>19336</v>
      </c>
      <c r="XD25" s="1" t="s">
        <v>19337</v>
      </c>
      <c r="XE25" s="1" t="s">
        <v>19338</v>
      </c>
      <c r="XF25" s="1" t="s">
        <v>19339</v>
      </c>
      <c r="XG25" s="1" t="s">
        <v>19340</v>
      </c>
      <c r="XH25" s="1" t="s">
        <v>19341</v>
      </c>
      <c r="XI25" s="1" t="s">
        <v>19342</v>
      </c>
      <c r="XJ25" s="1" t="s">
        <v>19343</v>
      </c>
      <c r="XK25" s="1" t="s">
        <v>19344</v>
      </c>
      <c r="XL25" s="1" t="s">
        <v>19345</v>
      </c>
      <c r="XM25" s="1" t="s">
        <v>19346</v>
      </c>
      <c r="XN25" s="1" t="s">
        <v>19347</v>
      </c>
      <c r="XO25" s="1" t="s">
        <v>19348</v>
      </c>
      <c r="XP25" s="1" t="s">
        <v>19349</v>
      </c>
      <c r="XQ25" s="1" t="s">
        <v>19350</v>
      </c>
      <c r="XR25" s="1" t="s">
        <v>19351</v>
      </c>
      <c r="XS25" s="1" t="s">
        <v>19352</v>
      </c>
      <c r="XT25" s="1" t="s">
        <v>19353</v>
      </c>
      <c r="XU25" s="1" t="s">
        <v>19354</v>
      </c>
      <c r="XV25" s="1" t="s">
        <v>19355</v>
      </c>
      <c r="XW25" s="1" t="s">
        <v>19356</v>
      </c>
      <c r="XX25" s="1" t="s">
        <v>19357</v>
      </c>
      <c r="XY25" s="1" t="s">
        <v>19358</v>
      </c>
      <c r="XZ25" s="1" t="s">
        <v>19359</v>
      </c>
      <c r="YA25" s="1" t="s">
        <v>19360</v>
      </c>
      <c r="YB25" s="1" t="s">
        <v>19361</v>
      </c>
      <c r="YC25" s="1" t="s">
        <v>19362</v>
      </c>
      <c r="YD25" s="1" t="s">
        <v>19363</v>
      </c>
      <c r="YE25" s="1" t="s">
        <v>19364</v>
      </c>
      <c r="YF25" s="1" t="s">
        <v>19365</v>
      </c>
      <c r="YG25" s="1" t="s">
        <v>19366</v>
      </c>
      <c r="YH25" s="1" t="s">
        <v>19367</v>
      </c>
      <c r="YI25" s="1" t="s">
        <v>19368</v>
      </c>
      <c r="YJ25" s="1" t="s">
        <v>19369</v>
      </c>
      <c r="YK25" s="1" t="s">
        <v>19370</v>
      </c>
      <c r="YL25" s="1" t="s">
        <v>19371</v>
      </c>
      <c r="YM25" s="1" t="s">
        <v>19372</v>
      </c>
      <c r="YN25" s="1" t="s">
        <v>19373</v>
      </c>
      <c r="YO25" s="1" t="s">
        <v>19374</v>
      </c>
      <c r="YP25" s="1" t="s">
        <v>19375</v>
      </c>
      <c r="YQ25" s="1" t="s">
        <v>19376</v>
      </c>
      <c r="YR25" s="1" t="s">
        <v>19377</v>
      </c>
      <c r="YS25" s="1" t="s">
        <v>19378</v>
      </c>
      <c r="YT25" s="1" t="s">
        <v>19379</v>
      </c>
      <c r="YU25" s="1" t="s">
        <v>19380</v>
      </c>
      <c r="YV25" s="1" t="s">
        <v>19381</v>
      </c>
      <c r="YW25" s="1" t="s">
        <v>19382</v>
      </c>
      <c r="YX25" s="1" t="s">
        <v>19383</v>
      </c>
      <c r="YY25" s="1" t="s">
        <v>19384</v>
      </c>
      <c r="YZ25" s="1" t="s">
        <v>19385</v>
      </c>
      <c r="ZA25" s="1" t="s">
        <v>19386</v>
      </c>
      <c r="ZB25" s="1" t="s">
        <v>19387</v>
      </c>
      <c r="ZC25" s="1" t="s">
        <v>19388</v>
      </c>
      <c r="ZD25" s="1" t="s">
        <v>19389</v>
      </c>
      <c r="ZE25" s="1" t="s">
        <v>19390</v>
      </c>
      <c r="ZF25" s="1" t="s">
        <v>19391</v>
      </c>
      <c r="ZG25" s="1" t="s">
        <v>19392</v>
      </c>
      <c r="ZH25" s="1" t="s">
        <v>19393</v>
      </c>
      <c r="ZI25" s="1" t="s">
        <v>19394</v>
      </c>
      <c r="ZJ25" s="1" t="s">
        <v>19395</v>
      </c>
      <c r="ZK25" s="1" t="s">
        <v>19396</v>
      </c>
      <c r="ZL25" s="1" t="s">
        <v>19397</v>
      </c>
      <c r="ZM25" s="1" t="s">
        <v>19398</v>
      </c>
      <c r="ZN25" s="1" t="s">
        <v>19399</v>
      </c>
      <c r="ZO25" s="1" t="s">
        <v>19400</v>
      </c>
      <c r="ZP25" s="1" t="s">
        <v>19401</v>
      </c>
      <c r="ZQ25" s="1" t="s">
        <v>19402</v>
      </c>
      <c r="ZR25" s="1" t="s">
        <v>19403</v>
      </c>
      <c r="ZS25" s="1" t="s">
        <v>19404</v>
      </c>
      <c r="ZT25" s="1" t="s">
        <v>19405</v>
      </c>
      <c r="ZU25" s="1" t="s">
        <v>19406</v>
      </c>
      <c r="ZV25" s="1" t="s">
        <v>19407</v>
      </c>
      <c r="ZW25" s="1" t="s">
        <v>19408</v>
      </c>
      <c r="ZX25" s="1" t="s">
        <v>19409</v>
      </c>
      <c r="ZY25" s="1" t="s">
        <v>19410</v>
      </c>
      <c r="ZZ25" s="1" t="s">
        <v>19411</v>
      </c>
      <c r="AAA25" s="1" t="s">
        <v>19412</v>
      </c>
      <c r="AAB25" s="1" t="s">
        <v>19413</v>
      </c>
      <c r="AAC25" s="1" t="s">
        <v>19414</v>
      </c>
      <c r="AAD25" s="1" t="s">
        <v>19415</v>
      </c>
      <c r="AAE25" s="1" t="s">
        <v>19416</v>
      </c>
      <c r="AAF25" s="1" t="s">
        <v>19417</v>
      </c>
      <c r="AAG25" s="1" t="s">
        <v>19418</v>
      </c>
      <c r="AAH25" s="1" t="s">
        <v>19419</v>
      </c>
      <c r="AAI25" s="1" t="s">
        <v>19420</v>
      </c>
      <c r="AAJ25" s="1" t="s">
        <v>19421</v>
      </c>
      <c r="AAK25" s="1" t="s">
        <v>19422</v>
      </c>
      <c r="AAL25" s="1" t="s">
        <v>19423</v>
      </c>
      <c r="AAM25" s="1" t="s">
        <v>19424</v>
      </c>
      <c r="AAN25" s="1" t="s">
        <v>19425</v>
      </c>
      <c r="AAO25" s="1" t="s">
        <v>19426</v>
      </c>
      <c r="AAP25" s="1" t="s">
        <v>19427</v>
      </c>
      <c r="AAQ25" s="1" t="s">
        <v>19428</v>
      </c>
      <c r="AAR25" s="1" t="s">
        <v>19429</v>
      </c>
      <c r="AAS25" s="1" t="s">
        <v>19430</v>
      </c>
      <c r="AAT25" s="1" t="s">
        <v>19431</v>
      </c>
      <c r="AAU25" s="1" t="s">
        <v>19432</v>
      </c>
      <c r="AAV25" s="1" t="s">
        <v>19433</v>
      </c>
      <c r="AAW25" s="1" t="s">
        <v>19434</v>
      </c>
      <c r="AAX25" s="1" t="s">
        <v>19435</v>
      </c>
      <c r="AAY25" s="1" t="s">
        <v>19436</v>
      </c>
      <c r="AAZ25" s="1" t="s">
        <v>19437</v>
      </c>
      <c r="ABA25" s="1" t="s">
        <v>19438</v>
      </c>
      <c r="ABB25" s="1" t="s">
        <v>19439</v>
      </c>
      <c r="ABC25" s="1" t="s">
        <v>19440</v>
      </c>
      <c r="ABD25" s="1" t="s">
        <v>19441</v>
      </c>
      <c r="ABE25" s="1" t="s">
        <v>19442</v>
      </c>
      <c r="ABF25" s="1" t="s">
        <v>19443</v>
      </c>
      <c r="ABG25" s="1" t="s">
        <v>19444</v>
      </c>
      <c r="ABH25" s="1" t="s">
        <v>19445</v>
      </c>
      <c r="ABI25" s="1" t="s">
        <v>19446</v>
      </c>
      <c r="ABJ25" s="1" t="s">
        <v>19447</v>
      </c>
      <c r="ABK25" s="1" t="s">
        <v>19448</v>
      </c>
      <c r="ABL25" s="1" t="s">
        <v>19449</v>
      </c>
      <c r="ABM25" s="1" t="s">
        <v>19450</v>
      </c>
      <c r="ABN25" s="1" t="s">
        <v>19451</v>
      </c>
      <c r="ABO25" s="1" t="s">
        <v>19452</v>
      </c>
      <c r="ABP25" s="1" t="s">
        <v>19453</v>
      </c>
      <c r="ABQ25" s="1" t="s">
        <v>19454</v>
      </c>
      <c r="ABR25" s="1" t="s">
        <v>19455</v>
      </c>
      <c r="ABS25" s="1" t="s">
        <v>19456</v>
      </c>
      <c r="ABT25" s="1" t="s">
        <v>19457</v>
      </c>
      <c r="ABU25" s="1" t="s">
        <v>19458</v>
      </c>
      <c r="ABV25" s="1" t="s">
        <v>19459</v>
      </c>
      <c r="ABW25" s="1" t="s">
        <v>19460</v>
      </c>
      <c r="ABX25" s="1" t="s">
        <v>19461</v>
      </c>
      <c r="ABY25" s="1" t="s">
        <v>19462</v>
      </c>
      <c r="ABZ25" s="1" t="s">
        <v>19463</v>
      </c>
      <c r="ACA25" s="1" t="s">
        <v>19464</v>
      </c>
      <c r="ACB25" s="1" t="s">
        <v>19465</v>
      </c>
      <c r="ACC25" s="1" t="s">
        <v>19466</v>
      </c>
      <c r="ACD25" s="1" t="s">
        <v>19467</v>
      </c>
      <c r="ACE25" s="1" t="s">
        <v>19468</v>
      </c>
      <c r="ACF25" s="1" t="s">
        <v>19469</v>
      </c>
      <c r="ACG25" s="1" t="s">
        <v>19470</v>
      </c>
      <c r="ACH25" s="1" t="s">
        <v>19471</v>
      </c>
      <c r="ACI25" s="1" t="s">
        <v>19472</v>
      </c>
      <c r="ACJ25" s="1" t="s">
        <v>19473</v>
      </c>
      <c r="ACK25" s="1" t="s">
        <v>19474</v>
      </c>
      <c r="ACL25" s="1" t="s">
        <v>19475</v>
      </c>
      <c r="ACM25" s="1" t="s">
        <v>19476</v>
      </c>
      <c r="ACN25" s="1" t="s">
        <v>19477</v>
      </c>
      <c r="ACO25" s="1" t="s">
        <v>19478</v>
      </c>
      <c r="ACP25" s="1" t="s">
        <v>19479</v>
      </c>
      <c r="ACQ25" s="1" t="s">
        <v>19480</v>
      </c>
      <c r="ACR25" s="1" t="s">
        <v>19481</v>
      </c>
      <c r="ACS25" s="1" t="s">
        <v>19482</v>
      </c>
      <c r="ACT25" s="1" t="s">
        <v>19483</v>
      </c>
      <c r="ACU25" s="1" t="s">
        <v>19484</v>
      </c>
      <c r="ACV25" s="1" t="s">
        <v>19485</v>
      </c>
      <c r="ACW25" s="1" t="s">
        <v>12</v>
      </c>
      <c r="ACX25" s="1" t="s">
        <v>1500</v>
      </c>
    </row>
    <row r="26" spans="1:778" x14ac:dyDescent="0.2">
      <c r="A26" s="1" t="s">
        <v>58</v>
      </c>
      <c r="B26" s="1" t="s">
        <v>19486</v>
      </c>
      <c r="C26" s="1" t="s">
        <v>19487</v>
      </c>
      <c r="D26" s="1" t="s">
        <v>19488</v>
      </c>
      <c r="E26" s="1" t="s">
        <v>19489</v>
      </c>
      <c r="F26" s="1" t="s">
        <v>19490</v>
      </c>
      <c r="G26" s="1" t="s">
        <v>19491</v>
      </c>
      <c r="H26" s="1" t="s">
        <v>19492</v>
      </c>
      <c r="I26" s="1" t="s">
        <v>19493</v>
      </c>
      <c r="J26" s="1" t="s">
        <v>19494</v>
      </c>
      <c r="K26" s="1" t="s">
        <v>19495</v>
      </c>
      <c r="L26" s="1" t="s">
        <v>19496</v>
      </c>
      <c r="M26" s="1" t="s">
        <v>19497</v>
      </c>
      <c r="N26" s="1" t="s">
        <v>19498</v>
      </c>
      <c r="O26" s="1" t="s">
        <v>19499</v>
      </c>
      <c r="P26" s="1" t="s">
        <v>19500</v>
      </c>
      <c r="Q26" s="1" t="s">
        <v>19501</v>
      </c>
      <c r="R26" s="1" t="s">
        <v>19502</v>
      </c>
      <c r="S26" s="1" t="s">
        <v>19503</v>
      </c>
      <c r="T26" s="1" t="s">
        <v>19504</v>
      </c>
      <c r="U26" s="1" t="s">
        <v>19505</v>
      </c>
      <c r="V26" s="1" t="s">
        <v>19506</v>
      </c>
      <c r="W26" s="1" t="s">
        <v>19507</v>
      </c>
      <c r="X26" s="1" t="s">
        <v>19508</v>
      </c>
      <c r="Y26" s="1" t="s">
        <v>19509</v>
      </c>
      <c r="Z26" s="1" t="s">
        <v>19510</v>
      </c>
      <c r="AA26" s="1" t="s">
        <v>19511</v>
      </c>
      <c r="AB26" s="1" t="s">
        <v>19512</v>
      </c>
      <c r="AC26" s="1" t="s">
        <v>19513</v>
      </c>
      <c r="AD26" s="1" t="s">
        <v>19514</v>
      </c>
      <c r="AE26" s="1" t="s">
        <v>19515</v>
      </c>
      <c r="AF26" s="1" t="s">
        <v>19516</v>
      </c>
      <c r="AG26" s="1" t="s">
        <v>19517</v>
      </c>
      <c r="AH26" s="1" t="s">
        <v>19518</v>
      </c>
      <c r="AI26" s="1" t="s">
        <v>19519</v>
      </c>
      <c r="AJ26" s="1" t="s">
        <v>19520</v>
      </c>
      <c r="AK26" s="1" t="s">
        <v>19521</v>
      </c>
      <c r="AL26" s="1" t="s">
        <v>19522</v>
      </c>
      <c r="AM26" s="1" t="s">
        <v>19523</v>
      </c>
      <c r="AN26" s="1" t="s">
        <v>19524</v>
      </c>
      <c r="AO26" s="1" t="s">
        <v>19525</v>
      </c>
      <c r="AP26" s="1" t="s">
        <v>19526</v>
      </c>
      <c r="AQ26" s="1" t="s">
        <v>19527</v>
      </c>
      <c r="AR26" s="1" t="s">
        <v>19528</v>
      </c>
      <c r="AS26" s="1" t="s">
        <v>19529</v>
      </c>
      <c r="AT26" s="1" t="s">
        <v>19530</v>
      </c>
      <c r="AU26" s="1" t="s">
        <v>19531</v>
      </c>
      <c r="AV26" s="1" t="s">
        <v>19532</v>
      </c>
      <c r="AW26" s="1" t="s">
        <v>19533</v>
      </c>
      <c r="AX26" s="1" t="s">
        <v>19534</v>
      </c>
      <c r="AY26" s="1" t="s">
        <v>19535</v>
      </c>
      <c r="AZ26" s="1" t="s">
        <v>19536</v>
      </c>
      <c r="BA26" s="1" t="s">
        <v>19537</v>
      </c>
      <c r="BB26" s="1" t="s">
        <v>19538</v>
      </c>
      <c r="BC26" s="1" t="s">
        <v>19539</v>
      </c>
      <c r="BD26" s="1" t="s">
        <v>19540</v>
      </c>
      <c r="BE26" s="1" t="s">
        <v>19541</v>
      </c>
      <c r="BF26" s="1" t="s">
        <v>19542</v>
      </c>
      <c r="BG26" s="1" t="s">
        <v>19543</v>
      </c>
      <c r="BH26" s="1" t="s">
        <v>19544</v>
      </c>
      <c r="BI26" s="1" t="s">
        <v>19545</v>
      </c>
      <c r="BJ26" s="1" t="s">
        <v>19546</v>
      </c>
      <c r="BK26" s="1" t="s">
        <v>19547</v>
      </c>
      <c r="BL26" s="1" t="s">
        <v>19548</v>
      </c>
      <c r="BM26" s="1" t="s">
        <v>19549</v>
      </c>
      <c r="BN26" s="1" t="s">
        <v>19550</v>
      </c>
      <c r="BO26" s="1" t="s">
        <v>19551</v>
      </c>
      <c r="BP26" s="1" t="s">
        <v>19552</v>
      </c>
      <c r="BQ26" s="1" t="s">
        <v>19553</v>
      </c>
      <c r="BR26" s="1" t="s">
        <v>19554</v>
      </c>
      <c r="BS26" s="1" t="s">
        <v>19555</v>
      </c>
      <c r="BT26" s="1" t="s">
        <v>19556</v>
      </c>
      <c r="BU26" s="1" t="s">
        <v>19557</v>
      </c>
      <c r="BV26" s="1" t="s">
        <v>19558</v>
      </c>
      <c r="BW26" s="1" t="s">
        <v>19559</v>
      </c>
      <c r="BX26" s="1" t="s">
        <v>19560</v>
      </c>
      <c r="BY26" s="1" t="s">
        <v>19561</v>
      </c>
      <c r="BZ26" s="1" t="s">
        <v>19562</v>
      </c>
      <c r="CA26" s="1" t="s">
        <v>19563</v>
      </c>
      <c r="CB26" s="1" t="s">
        <v>19564</v>
      </c>
      <c r="CC26" s="1" t="s">
        <v>19565</v>
      </c>
      <c r="CD26" s="1" t="s">
        <v>19566</v>
      </c>
      <c r="CE26" s="1" t="s">
        <v>19567</v>
      </c>
      <c r="CF26" s="1" t="s">
        <v>19568</v>
      </c>
      <c r="CG26" s="1" t="s">
        <v>19569</v>
      </c>
      <c r="CH26" s="1" t="s">
        <v>19570</v>
      </c>
      <c r="CI26" s="1" t="s">
        <v>19571</v>
      </c>
      <c r="CJ26" s="1" t="s">
        <v>19572</v>
      </c>
      <c r="CK26" s="1" t="s">
        <v>19573</v>
      </c>
      <c r="CL26" s="1" t="s">
        <v>19574</v>
      </c>
      <c r="CM26" s="1" t="s">
        <v>19575</v>
      </c>
      <c r="CN26" s="1" t="s">
        <v>19576</v>
      </c>
      <c r="CO26" s="1" t="s">
        <v>19577</v>
      </c>
      <c r="CP26" s="1" t="s">
        <v>19578</v>
      </c>
      <c r="CQ26" s="1" t="s">
        <v>19579</v>
      </c>
      <c r="CR26" s="1" t="s">
        <v>19580</v>
      </c>
      <c r="CS26" s="1" t="s">
        <v>19581</v>
      </c>
      <c r="CT26" s="1" t="s">
        <v>19582</v>
      </c>
      <c r="CU26" s="1" t="s">
        <v>19583</v>
      </c>
      <c r="CV26" s="1" t="s">
        <v>19584</v>
      </c>
      <c r="CW26" s="1" t="s">
        <v>19585</v>
      </c>
      <c r="CX26" s="1" t="s">
        <v>19586</v>
      </c>
      <c r="CY26" s="1" t="s">
        <v>19587</v>
      </c>
      <c r="CZ26" s="1" t="s">
        <v>19588</v>
      </c>
      <c r="DA26" s="1" t="s">
        <v>19589</v>
      </c>
      <c r="DB26" s="1" t="s">
        <v>19590</v>
      </c>
      <c r="DC26" s="1" t="s">
        <v>19591</v>
      </c>
      <c r="DD26" s="1" t="s">
        <v>19592</v>
      </c>
      <c r="DE26" s="1" t="s">
        <v>19593</v>
      </c>
      <c r="DF26" s="1" t="s">
        <v>19594</v>
      </c>
      <c r="DG26" s="1" t="s">
        <v>19595</v>
      </c>
      <c r="DH26" s="1" t="s">
        <v>19596</v>
      </c>
      <c r="DI26" s="1" t="s">
        <v>19597</v>
      </c>
      <c r="DJ26" s="1" t="s">
        <v>19598</v>
      </c>
      <c r="DK26" s="1" t="s">
        <v>19599</v>
      </c>
      <c r="DL26" s="1" t="s">
        <v>19600</v>
      </c>
      <c r="DM26" s="1" t="s">
        <v>19601</v>
      </c>
      <c r="DN26" s="1" t="s">
        <v>19602</v>
      </c>
      <c r="DO26" s="1" t="s">
        <v>19603</v>
      </c>
      <c r="DP26" s="1" t="s">
        <v>19604</v>
      </c>
      <c r="DQ26" s="1" t="s">
        <v>19605</v>
      </c>
      <c r="DR26" s="1" t="s">
        <v>19606</v>
      </c>
      <c r="DS26" s="1" t="s">
        <v>19607</v>
      </c>
      <c r="DT26" s="1" t="s">
        <v>19608</v>
      </c>
      <c r="DU26" s="1" t="s">
        <v>19609</v>
      </c>
      <c r="DV26" s="1" t="s">
        <v>19610</v>
      </c>
      <c r="DW26" s="1" t="s">
        <v>19611</v>
      </c>
      <c r="DX26" s="1" t="s">
        <v>19612</v>
      </c>
      <c r="DY26" s="1" t="s">
        <v>19613</v>
      </c>
      <c r="DZ26" s="1" t="s">
        <v>19614</v>
      </c>
      <c r="EA26" s="1" t="s">
        <v>19615</v>
      </c>
      <c r="EB26" s="1" t="s">
        <v>19616</v>
      </c>
      <c r="EC26" s="1" t="s">
        <v>19617</v>
      </c>
      <c r="ED26" s="1" t="s">
        <v>19618</v>
      </c>
      <c r="EE26" s="1" t="s">
        <v>19619</v>
      </c>
      <c r="EF26" s="1" t="s">
        <v>19620</v>
      </c>
      <c r="EG26" s="1" t="s">
        <v>19621</v>
      </c>
      <c r="EH26" s="1" t="s">
        <v>19622</v>
      </c>
      <c r="EI26" s="1" t="s">
        <v>19623</v>
      </c>
      <c r="EJ26" s="1" t="s">
        <v>19624</v>
      </c>
      <c r="EK26" s="1" t="s">
        <v>19625</v>
      </c>
      <c r="EL26" s="1" t="s">
        <v>19626</v>
      </c>
      <c r="EM26" s="1" t="s">
        <v>19627</v>
      </c>
      <c r="EN26" s="1" t="s">
        <v>19628</v>
      </c>
      <c r="EO26" s="1" t="s">
        <v>19629</v>
      </c>
      <c r="EP26" s="1" t="s">
        <v>19630</v>
      </c>
      <c r="EQ26" s="1" t="s">
        <v>19631</v>
      </c>
      <c r="ER26" s="1" t="s">
        <v>19632</v>
      </c>
      <c r="ES26" s="1" t="s">
        <v>19633</v>
      </c>
      <c r="ET26" s="1" t="s">
        <v>19634</v>
      </c>
      <c r="EU26" s="1" t="s">
        <v>19635</v>
      </c>
      <c r="EV26" s="1" t="s">
        <v>19636</v>
      </c>
      <c r="EW26" s="1" t="s">
        <v>19637</v>
      </c>
      <c r="EX26" s="1" t="s">
        <v>19638</v>
      </c>
      <c r="EY26" s="1" t="s">
        <v>19639</v>
      </c>
      <c r="EZ26" s="1" t="s">
        <v>19640</v>
      </c>
      <c r="FA26" s="1" t="s">
        <v>19641</v>
      </c>
      <c r="FB26" s="1" t="s">
        <v>19642</v>
      </c>
      <c r="FC26" s="1" t="s">
        <v>19643</v>
      </c>
      <c r="FD26" s="1" t="s">
        <v>19644</v>
      </c>
      <c r="FE26" s="1" t="s">
        <v>19645</v>
      </c>
      <c r="FF26" s="1" t="s">
        <v>19646</v>
      </c>
      <c r="FG26" s="1" t="s">
        <v>19647</v>
      </c>
      <c r="FH26" s="1" t="s">
        <v>19648</v>
      </c>
      <c r="FI26" s="1" t="s">
        <v>19649</v>
      </c>
      <c r="FJ26" s="1" t="s">
        <v>19650</v>
      </c>
      <c r="FK26" s="1" t="s">
        <v>19651</v>
      </c>
      <c r="FL26" s="1" t="s">
        <v>19652</v>
      </c>
      <c r="FM26" s="1" t="s">
        <v>19653</v>
      </c>
      <c r="FN26" s="1" t="s">
        <v>19654</v>
      </c>
      <c r="FO26" s="1" t="s">
        <v>19655</v>
      </c>
      <c r="FP26" s="1" t="s">
        <v>19656</v>
      </c>
      <c r="FQ26" s="1" t="s">
        <v>19657</v>
      </c>
      <c r="FR26" s="1" t="s">
        <v>19658</v>
      </c>
      <c r="FS26" s="1" t="s">
        <v>19659</v>
      </c>
      <c r="FT26" s="1" t="s">
        <v>19660</v>
      </c>
      <c r="FU26" s="1" t="s">
        <v>19661</v>
      </c>
      <c r="FV26" s="1" t="s">
        <v>19662</v>
      </c>
      <c r="FW26" s="1" t="s">
        <v>19663</v>
      </c>
      <c r="FX26" s="1" t="s">
        <v>19664</v>
      </c>
      <c r="FY26" s="1" t="s">
        <v>19665</v>
      </c>
      <c r="FZ26" s="1" t="s">
        <v>19666</v>
      </c>
      <c r="GA26" s="1" t="s">
        <v>19667</v>
      </c>
      <c r="GB26" s="1" t="s">
        <v>19668</v>
      </c>
      <c r="GC26" s="1" t="s">
        <v>19669</v>
      </c>
      <c r="GD26" s="1" t="s">
        <v>19670</v>
      </c>
      <c r="GE26" s="1" t="s">
        <v>19671</v>
      </c>
      <c r="GF26" s="1" t="s">
        <v>19672</v>
      </c>
      <c r="GG26" s="1" t="s">
        <v>19673</v>
      </c>
      <c r="GH26" s="1" t="s">
        <v>19674</v>
      </c>
      <c r="GI26" s="1" t="s">
        <v>19675</v>
      </c>
      <c r="GJ26" s="1" t="s">
        <v>19676</v>
      </c>
      <c r="GK26" s="1" t="s">
        <v>19677</v>
      </c>
      <c r="GL26" s="1" t="s">
        <v>19678</v>
      </c>
      <c r="GM26" s="1" t="s">
        <v>19679</v>
      </c>
      <c r="GN26" s="1" t="s">
        <v>19680</v>
      </c>
      <c r="GO26" s="1" t="s">
        <v>19681</v>
      </c>
      <c r="GP26" s="1" t="s">
        <v>19682</v>
      </c>
      <c r="GQ26" s="1" t="s">
        <v>19683</v>
      </c>
      <c r="GR26" s="1" t="s">
        <v>19684</v>
      </c>
      <c r="GS26" s="1" t="s">
        <v>19685</v>
      </c>
      <c r="GT26" s="1" t="s">
        <v>19686</v>
      </c>
      <c r="GU26" s="1" t="s">
        <v>19687</v>
      </c>
      <c r="GV26" s="1" t="s">
        <v>19688</v>
      </c>
      <c r="GW26" s="1" t="s">
        <v>19689</v>
      </c>
      <c r="GX26" s="1" t="s">
        <v>19690</v>
      </c>
      <c r="GY26" s="1" t="s">
        <v>19691</v>
      </c>
      <c r="GZ26" s="1" t="s">
        <v>19692</v>
      </c>
      <c r="HA26" s="1" t="s">
        <v>19693</v>
      </c>
      <c r="HB26" s="1" t="s">
        <v>19694</v>
      </c>
      <c r="HC26" s="1" t="s">
        <v>19695</v>
      </c>
      <c r="HD26" s="1" t="s">
        <v>19696</v>
      </c>
      <c r="HE26" s="1" t="s">
        <v>19697</v>
      </c>
      <c r="HF26" s="1" t="s">
        <v>19698</v>
      </c>
      <c r="HG26" s="1" t="s">
        <v>19699</v>
      </c>
      <c r="HH26" s="1" t="s">
        <v>19700</v>
      </c>
      <c r="HI26" s="1" t="s">
        <v>19701</v>
      </c>
      <c r="HJ26" s="1" t="s">
        <v>19702</v>
      </c>
      <c r="HK26" s="1" t="s">
        <v>19703</v>
      </c>
      <c r="HL26" s="1" t="s">
        <v>19704</v>
      </c>
      <c r="HM26" s="1" t="s">
        <v>19705</v>
      </c>
      <c r="HN26" s="1" t="s">
        <v>19706</v>
      </c>
      <c r="HO26" s="1" t="s">
        <v>19707</v>
      </c>
      <c r="HP26" s="1" t="s">
        <v>19708</v>
      </c>
      <c r="HQ26" s="1" t="s">
        <v>19709</v>
      </c>
      <c r="HR26" s="1" t="s">
        <v>19710</v>
      </c>
      <c r="HS26" s="1" t="s">
        <v>19711</v>
      </c>
      <c r="HT26" s="1" t="s">
        <v>19712</v>
      </c>
      <c r="HU26" s="1" t="s">
        <v>19713</v>
      </c>
      <c r="HV26" s="1" t="s">
        <v>19714</v>
      </c>
      <c r="HW26" s="1" t="s">
        <v>19715</v>
      </c>
      <c r="HX26" s="1" t="s">
        <v>19716</v>
      </c>
      <c r="HY26" s="1" t="s">
        <v>19717</v>
      </c>
      <c r="HZ26" s="1" t="s">
        <v>19718</v>
      </c>
      <c r="IA26" s="1" t="s">
        <v>19719</v>
      </c>
      <c r="IB26" s="1" t="s">
        <v>19720</v>
      </c>
      <c r="IC26" s="1" t="s">
        <v>19721</v>
      </c>
      <c r="ID26" s="1" t="s">
        <v>19722</v>
      </c>
      <c r="IE26" s="1" t="s">
        <v>19723</v>
      </c>
      <c r="IF26" s="1" t="s">
        <v>19724</v>
      </c>
      <c r="IG26" s="1" t="s">
        <v>19725</v>
      </c>
      <c r="IH26" s="1" t="s">
        <v>19726</v>
      </c>
      <c r="II26" s="1" t="s">
        <v>19727</v>
      </c>
      <c r="IJ26" s="1" t="s">
        <v>19728</v>
      </c>
      <c r="IK26" s="1" t="s">
        <v>19729</v>
      </c>
      <c r="IL26" s="1" t="s">
        <v>19730</v>
      </c>
      <c r="IM26" s="1" t="s">
        <v>19731</v>
      </c>
      <c r="IN26" s="1" t="s">
        <v>19732</v>
      </c>
      <c r="IO26" s="1" t="s">
        <v>19733</v>
      </c>
      <c r="IP26" s="1" t="s">
        <v>19734</v>
      </c>
      <c r="IQ26" s="1" t="s">
        <v>19735</v>
      </c>
      <c r="IR26" s="1" t="s">
        <v>19736</v>
      </c>
      <c r="IS26" s="1" t="s">
        <v>19737</v>
      </c>
      <c r="IT26" s="1" t="s">
        <v>19738</v>
      </c>
      <c r="IU26" s="1" t="s">
        <v>19739</v>
      </c>
      <c r="IV26" s="1" t="s">
        <v>19740</v>
      </c>
      <c r="IW26" s="1" t="s">
        <v>19741</v>
      </c>
      <c r="IX26" s="1" t="s">
        <v>19742</v>
      </c>
      <c r="IY26" s="1" t="s">
        <v>19743</v>
      </c>
      <c r="IZ26" s="1" t="s">
        <v>19744</v>
      </c>
      <c r="JA26" s="1" t="s">
        <v>19745</v>
      </c>
      <c r="JB26" s="1" t="s">
        <v>19746</v>
      </c>
      <c r="JC26" s="1" t="s">
        <v>19747</v>
      </c>
      <c r="JD26" s="1" t="s">
        <v>19748</v>
      </c>
      <c r="JE26" s="1" t="s">
        <v>19749</v>
      </c>
      <c r="JF26" s="1" t="s">
        <v>19750</v>
      </c>
      <c r="JG26" s="1" t="s">
        <v>19751</v>
      </c>
      <c r="JH26" s="1" t="s">
        <v>19752</v>
      </c>
      <c r="JI26" s="1" t="s">
        <v>19753</v>
      </c>
      <c r="JJ26" s="1" t="s">
        <v>19754</v>
      </c>
      <c r="JK26" s="1" t="s">
        <v>19755</v>
      </c>
      <c r="JL26" s="1" t="s">
        <v>19756</v>
      </c>
      <c r="JM26" s="1" t="s">
        <v>19757</v>
      </c>
      <c r="JN26" s="1" t="s">
        <v>19758</v>
      </c>
      <c r="JO26" s="1" t="s">
        <v>19759</v>
      </c>
      <c r="JP26" s="1" t="s">
        <v>19760</v>
      </c>
      <c r="JQ26" s="1" t="s">
        <v>19761</v>
      </c>
      <c r="JR26" s="1" t="s">
        <v>19762</v>
      </c>
      <c r="JS26" s="1" t="s">
        <v>19763</v>
      </c>
      <c r="JT26" s="1" t="s">
        <v>19764</v>
      </c>
      <c r="JU26" s="1" t="s">
        <v>19765</v>
      </c>
      <c r="JV26" s="1" t="s">
        <v>19766</v>
      </c>
      <c r="JW26" s="1" t="s">
        <v>19767</v>
      </c>
      <c r="JX26" s="1" t="s">
        <v>19768</v>
      </c>
      <c r="JY26" s="1" t="s">
        <v>19769</v>
      </c>
      <c r="JZ26" s="1" t="s">
        <v>19770</v>
      </c>
      <c r="KA26" s="1" t="s">
        <v>19771</v>
      </c>
      <c r="KB26" s="1" t="s">
        <v>19772</v>
      </c>
      <c r="KC26" s="1" t="s">
        <v>19773</v>
      </c>
      <c r="KD26" s="1" t="s">
        <v>19774</v>
      </c>
      <c r="KE26" s="1" t="s">
        <v>19775</v>
      </c>
      <c r="KF26" s="1" t="s">
        <v>19776</v>
      </c>
      <c r="KG26" s="1" t="s">
        <v>19777</v>
      </c>
      <c r="KH26" s="1" t="s">
        <v>19778</v>
      </c>
      <c r="KI26" s="1" t="s">
        <v>19779</v>
      </c>
      <c r="KJ26" s="1" t="s">
        <v>19780</v>
      </c>
      <c r="KK26" s="1" t="s">
        <v>19781</v>
      </c>
      <c r="KL26" s="1" t="s">
        <v>19782</v>
      </c>
      <c r="KM26" s="1" t="s">
        <v>19783</v>
      </c>
      <c r="KN26" s="1" t="s">
        <v>19784</v>
      </c>
      <c r="KO26" s="1" t="s">
        <v>19785</v>
      </c>
      <c r="KP26" s="1" t="s">
        <v>19786</v>
      </c>
      <c r="KQ26" s="1" t="s">
        <v>19787</v>
      </c>
      <c r="KR26" s="1" t="s">
        <v>19788</v>
      </c>
      <c r="KS26" s="1" t="s">
        <v>19789</v>
      </c>
      <c r="KT26" s="1" t="s">
        <v>19790</v>
      </c>
      <c r="KU26" s="1" t="s">
        <v>19791</v>
      </c>
      <c r="KV26" s="1" t="s">
        <v>19792</v>
      </c>
      <c r="KW26" s="1" t="s">
        <v>19793</v>
      </c>
      <c r="KX26" s="1" t="s">
        <v>19794</v>
      </c>
      <c r="KY26" s="1" t="s">
        <v>19795</v>
      </c>
      <c r="KZ26" s="1" t="s">
        <v>19796</v>
      </c>
      <c r="LA26" s="1" t="s">
        <v>19797</v>
      </c>
      <c r="LB26" s="1" t="s">
        <v>19798</v>
      </c>
      <c r="LC26" s="1" t="s">
        <v>19799</v>
      </c>
      <c r="LD26" s="1" t="s">
        <v>19800</v>
      </c>
      <c r="LE26" s="1" t="s">
        <v>19801</v>
      </c>
      <c r="LF26" s="1" t="s">
        <v>19802</v>
      </c>
      <c r="LG26" s="1" t="s">
        <v>19803</v>
      </c>
      <c r="LH26" s="1" t="s">
        <v>19804</v>
      </c>
      <c r="LI26" s="1" t="s">
        <v>19805</v>
      </c>
      <c r="LJ26" s="1" t="s">
        <v>19806</v>
      </c>
      <c r="LK26" s="1" t="s">
        <v>19807</v>
      </c>
      <c r="LL26" s="1" t="s">
        <v>19808</v>
      </c>
      <c r="LM26" s="1" t="s">
        <v>19809</v>
      </c>
      <c r="LN26" s="1" t="s">
        <v>19810</v>
      </c>
      <c r="LO26" s="1" t="s">
        <v>19811</v>
      </c>
      <c r="LP26" s="1" t="s">
        <v>19812</v>
      </c>
      <c r="LQ26" s="1" t="s">
        <v>19813</v>
      </c>
      <c r="LR26" s="1" t="s">
        <v>19814</v>
      </c>
      <c r="LS26" s="1" t="s">
        <v>19815</v>
      </c>
      <c r="LT26" s="1" t="s">
        <v>19816</v>
      </c>
      <c r="LU26" s="1" t="s">
        <v>19817</v>
      </c>
      <c r="LV26" s="1" t="s">
        <v>19818</v>
      </c>
      <c r="LW26" s="1" t="s">
        <v>19819</v>
      </c>
      <c r="LX26" s="1" t="s">
        <v>19820</v>
      </c>
      <c r="LY26" s="1" t="s">
        <v>19821</v>
      </c>
      <c r="LZ26" s="1" t="s">
        <v>19822</v>
      </c>
      <c r="MA26" s="1" t="s">
        <v>19823</v>
      </c>
      <c r="MB26" s="1" t="s">
        <v>19824</v>
      </c>
      <c r="MC26" s="1" t="s">
        <v>19825</v>
      </c>
      <c r="MD26" s="1" t="s">
        <v>19826</v>
      </c>
      <c r="ME26" s="1" t="s">
        <v>19827</v>
      </c>
      <c r="MF26" s="1" t="s">
        <v>19828</v>
      </c>
      <c r="MG26" s="1" t="s">
        <v>19829</v>
      </c>
      <c r="MH26" s="1" t="s">
        <v>19830</v>
      </c>
      <c r="MI26" s="1" t="s">
        <v>19831</v>
      </c>
      <c r="MJ26" s="1" t="s">
        <v>19832</v>
      </c>
      <c r="MK26" s="1" t="s">
        <v>19833</v>
      </c>
      <c r="ML26" s="1" t="s">
        <v>19834</v>
      </c>
      <c r="MM26" s="1" t="s">
        <v>19835</v>
      </c>
      <c r="MN26" s="1" t="s">
        <v>19836</v>
      </c>
      <c r="MO26" s="1" t="s">
        <v>19837</v>
      </c>
      <c r="MP26" s="1" t="s">
        <v>19838</v>
      </c>
      <c r="MQ26" s="1" t="s">
        <v>19839</v>
      </c>
      <c r="MR26" s="1" t="s">
        <v>19840</v>
      </c>
      <c r="MS26" s="1" t="s">
        <v>19841</v>
      </c>
      <c r="MT26" s="1" t="s">
        <v>19842</v>
      </c>
      <c r="MU26" s="1" t="s">
        <v>19843</v>
      </c>
      <c r="MV26" s="1" t="s">
        <v>19844</v>
      </c>
      <c r="MW26" s="1" t="s">
        <v>19845</v>
      </c>
      <c r="MX26" s="1" t="s">
        <v>19846</v>
      </c>
      <c r="MY26" s="1" t="s">
        <v>19847</v>
      </c>
      <c r="MZ26" s="1" t="s">
        <v>19848</v>
      </c>
      <c r="NA26" s="1" t="s">
        <v>19849</v>
      </c>
      <c r="NB26" s="1" t="s">
        <v>19850</v>
      </c>
      <c r="NC26" s="1" t="s">
        <v>19851</v>
      </c>
      <c r="ND26" s="1" t="s">
        <v>19852</v>
      </c>
      <c r="NE26" s="1" t="s">
        <v>19853</v>
      </c>
      <c r="NF26" s="1" t="s">
        <v>19854</v>
      </c>
      <c r="NG26" s="1" t="s">
        <v>19855</v>
      </c>
      <c r="NH26" s="1" t="s">
        <v>19856</v>
      </c>
      <c r="NI26" s="1" t="s">
        <v>19857</v>
      </c>
      <c r="NJ26" s="1" t="s">
        <v>19858</v>
      </c>
      <c r="NK26" s="1" t="s">
        <v>19859</v>
      </c>
      <c r="NL26" s="1" t="s">
        <v>19860</v>
      </c>
      <c r="NM26" s="1" t="s">
        <v>19861</v>
      </c>
      <c r="NN26" s="1" t="s">
        <v>19862</v>
      </c>
      <c r="NO26" s="1" t="s">
        <v>19863</v>
      </c>
      <c r="NP26" s="1" t="s">
        <v>19864</v>
      </c>
      <c r="NQ26" s="1" t="s">
        <v>19865</v>
      </c>
      <c r="NR26" s="1" t="s">
        <v>19866</v>
      </c>
      <c r="NS26" s="1" t="s">
        <v>19867</v>
      </c>
      <c r="NT26" s="1" t="s">
        <v>19868</v>
      </c>
      <c r="NU26" s="1" t="s">
        <v>19869</v>
      </c>
      <c r="NV26" s="1" t="s">
        <v>19870</v>
      </c>
      <c r="NW26" s="1" t="s">
        <v>19871</v>
      </c>
      <c r="NX26" s="1" t="s">
        <v>19872</v>
      </c>
      <c r="NY26" s="1" t="s">
        <v>19873</v>
      </c>
      <c r="NZ26" s="1" t="s">
        <v>19874</v>
      </c>
      <c r="OA26" s="1" t="s">
        <v>19875</v>
      </c>
      <c r="OB26" s="1" t="s">
        <v>19876</v>
      </c>
      <c r="OC26" s="1" t="s">
        <v>19877</v>
      </c>
      <c r="OD26" s="1" t="s">
        <v>19878</v>
      </c>
      <c r="OE26" s="1" t="s">
        <v>19879</v>
      </c>
      <c r="OF26" s="1" t="s">
        <v>19880</v>
      </c>
      <c r="OG26" s="1" t="s">
        <v>19881</v>
      </c>
      <c r="OH26" s="1" t="s">
        <v>19882</v>
      </c>
      <c r="OI26" s="1" t="s">
        <v>19883</v>
      </c>
      <c r="OJ26" s="1" t="s">
        <v>19884</v>
      </c>
      <c r="OK26" s="1" t="s">
        <v>19885</v>
      </c>
      <c r="OL26" s="1" t="s">
        <v>19886</v>
      </c>
      <c r="OM26" s="1" t="s">
        <v>19887</v>
      </c>
      <c r="ON26" s="1" t="s">
        <v>19888</v>
      </c>
      <c r="OO26" s="1" t="s">
        <v>19889</v>
      </c>
      <c r="OP26" s="1" t="s">
        <v>19890</v>
      </c>
      <c r="OQ26" s="1" t="s">
        <v>19891</v>
      </c>
      <c r="OR26" s="1" t="s">
        <v>19892</v>
      </c>
      <c r="OS26" s="1" t="s">
        <v>19893</v>
      </c>
      <c r="OT26" s="1" t="s">
        <v>19894</v>
      </c>
      <c r="OU26" s="1" t="s">
        <v>19895</v>
      </c>
      <c r="OV26" s="1" t="s">
        <v>19896</v>
      </c>
      <c r="OW26" s="1" t="s">
        <v>19897</v>
      </c>
      <c r="OX26" s="1" t="s">
        <v>19898</v>
      </c>
      <c r="OY26" s="1" t="s">
        <v>19899</v>
      </c>
      <c r="OZ26" s="1" t="s">
        <v>19900</v>
      </c>
      <c r="PA26" s="1" t="s">
        <v>19901</v>
      </c>
      <c r="PB26" s="1" t="s">
        <v>19902</v>
      </c>
      <c r="PC26" s="1" t="s">
        <v>19903</v>
      </c>
      <c r="PD26" s="1" t="s">
        <v>19904</v>
      </c>
      <c r="PE26" s="1" t="s">
        <v>19905</v>
      </c>
      <c r="PF26" s="1" t="s">
        <v>19906</v>
      </c>
      <c r="PG26" s="1" t="s">
        <v>19907</v>
      </c>
      <c r="PH26" s="1" t="s">
        <v>19908</v>
      </c>
      <c r="PI26" s="1" t="s">
        <v>19909</v>
      </c>
      <c r="PJ26" s="1" t="s">
        <v>19910</v>
      </c>
      <c r="PK26" s="1" t="s">
        <v>19911</v>
      </c>
      <c r="PL26" s="1" t="s">
        <v>19912</v>
      </c>
      <c r="PM26" s="1" t="s">
        <v>19913</v>
      </c>
      <c r="PN26" s="1" t="s">
        <v>19914</v>
      </c>
      <c r="PO26" s="1" t="s">
        <v>19915</v>
      </c>
      <c r="PP26" s="1" t="s">
        <v>19916</v>
      </c>
      <c r="PQ26" s="1" t="s">
        <v>19917</v>
      </c>
      <c r="PR26" s="1" t="s">
        <v>19918</v>
      </c>
      <c r="PS26" s="1" t="s">
        <v>19919</v>
      </c>
      <c r="PT26" s="1" t="s">
        <v>19920</v>
      </c>
      <c r="PU26" s="1" t="s">
        <v>19921</v>
      </c>
      <c r="PV26" s="1" t="s">
        <v>19922</v>
      </c>
      <c r="PW26" s="1" t="s">
        <v>19923</v>
      </c>
      <c r="PX26" s="1" t="s">
        <v>19924</v>
      </c>
      <c r="PY26" s="1" t="s">
        <v>19925</v>
      </c>
      <c r="PZ26" s="1" t="s">
        <v>19926</v>
      </c>
      <c r="QA26" s="1" t="s">
        <v>19927</v>
      </c>
      <c r="QB26" s="1" t="s">
        <v>19928</v>
      </c>
      <c r="QC26" s="1" t="s">
        <v>19929</v>
      </c>
      <c r="QD26" s="1" t="s">
        <v>19930</v>
      </c>
      <c r="QE26" s="1" t="s">
        <v>19931</v>
      </c>
      <c r="QF26" s="1" t="s">
        <v>19932</v>
      </c>
      <c r="QG26" s="1" t="s">
        <v>19933</v>
      </c>
      <c r="QH26" s="1" t="s">
        <v>19934</v>
      </c>
      <c r="QI26" s="1" t="s">
        <v>19935</v>
      </c>
      <c r="QJ26" s="1" t="s">
        <v>19936</v>
      </c>
      <c r="QK26" s="1" t="s">
        <v>19937</v>
      </c>
      <c r="QL26" s="1" t="s">
        <v>19938</v>
      </c>
      <c r="QM26" s="1" t="s">
        <v>19939</v>
      </c>
      <c r="QN26" s="1" t="s">
        <v>19940</v>
      </c>
      <c r="QO26" s="1" t="s">
        <v>19941</v>
      </c>
      <c r="QP26" s="1" t="s">
        <v>19942</v>
      </c>
      <c r="QQ26" s="1" t="s">
        <v>19943</v>
      </c>
      <c r="QR26" s="1" t="s">
        <v>19944</v>
      </c>
      <c r="QS26" s="1" t="s">
        <v>19945</v>
      </c>
      <c r="QT26" s="1" t="s">
        <v>19946</v>
      </c>
      <c r="QU26" s="1" t="s">
        <v>19947</v>
      </c>
      <c r="QV26" s="1" t="s">
        <v>19948</v>
      </c>
      <c r="QW26" s="1" t="s">
        <v>19949</v>
      </c>
      <c r="QX26" s="1" t="s">
        <v>19950</v>
      </c>
      <c r="QY26" s="1" t="s">
        <v>19951</v>
      </c>
      <c r="QZ26" s="1" t="s">
        <v>19952</v>
      </c>
      <c r="RA26" s="1" t="s">
        <v>19953</v>
      </c>
      <c r="RB26" s="1" t="s">
        <v>19954</v>
      </c>
      <c r="RC26" s="1" t="s">
        <v>19955</v>
      </c>
      <c r="RD26" s="1" t="s">
        <v>19956</v>
      </c>
      <c r="RE26" s="1" t="s">
        <v>19957</v>
      </c>
      <c r="RF26" s="1" t="s">
        <v>19958</v>
      </c>
      <c r="RG26" s="1" t="s">
        <v>19959</v>
      </c>
      <c r="RH26" s="1" t="s">
        <v>19960</v>
      </c>
      <c r="RI26" s="1" t="s">
        <v>19961</v>
      </c>
      <c r="RJ26" s="1" t="s">
        <v>19962</v>
      </c>
      <c r="RK26" s="1" t="s">
        <v>19963</v>
      </c>
      <c r="RL26" s="1" t="s">
        <v>19964</v>
      </c>
      <c r="RM26" s="1" t="s">
        <v>19965</v>
      </c>
      <c r="RN26" s="1" t="s">
        <v>19966</v>
      </c>
      <c r="RO26" s="1" t="s">
        <v>19967</v>
      </c>
      <c r="RP26" s="1" t="s">
        <v>19968</v>
      </c>
      <c r="RQ26" s="1" t="s">
        <v>19969</v>
      </c>
      <c r="RR26" s="1" t="s">
        <v>19970</v>
      </c>
      <c r="RS26" s="1" t="s">
        <v>19971</v>
      </c>
      <c r="RT26" s="1" t="s">
        <v>19972</v>
      </c>
      <c r="RU26" s="1" t="s">
        <v>19973</v>
      </c>
      <c r="RV26" s="1" t="s">
        <v>19974</v>
      </c>
      <c r="RW26" s="1" t="s">
        <v>19975</v>
      </c>
      <c r="RX26" s="1" t="s">
        <v>19976</v>
      </c>
      <c r="RY26" s="1" t="s">
        <v>19977</v>
      </c>
      <c r="RZ26" s="1" t="s">
        <v>19978</v>
      </c>
      <c r="SA26" s="1" t="s">
        <v>19979</v>
      </c>
      <c r="SB26" s="1" t="s">
        <v>19980</v>
      </c>
      <c r="SC26" s="1" t="s">
        <v>19981</v>
      </c>
      <c r="SD26" s="1" t="s">
        <v>19982</v>
      </c>
      <c r="SE26" s="1" t="s">
        <v>19983</v>
      </c>
      <c r="SF26" s="1" t="s">
        <v>19984</v>
      </c>
      <c r="SG26" s="1" t="s">
        <v>19985</v>
      </c>
      <c r="SH26" s="1" t="s">
        <v>19986</v>
      </c>
      <c r="SI26" s="1" t="s">
        <v>19987</v>
      </c>
      <c r="SJ26" s="1" t="s">
        <v>19988</v>
      </c>
      <c r="SK26" s="1" t="s">
        <v>19989</v>
      </c>
      <c r="SL26" s="1" t="s">
        <v>19990</v>
      </c>
      <c r="SM26" s="1" t="s">
        <v>19991</v>
      </c>
      <c r="SN26" s="1" t="s">
        <v>19992</v>
      </c>
      <c r="SO26" s="1" t="s">
        <v>19993</v>
      </c>
      <c r="SP26" s="1" t="s">
        <v>19994</v>
      </c>
      <c r="SQ26" s="1" t="s">
        <v>19995</v>
      </c>
      <c r="SR26" s="1" t="s">
        <v>19996</v>
      </c>
      <c r="SS26" s="1" t="s">
        <v>19997</v>
      </c>
      <c r="ST26" s="1" t="s">
        <v>19998</v>
      </c>
      <c r="SU26" s="1" t="s">
        <v>19999</v>
      </c>
      <c r="SV26" s="1" t="s">
        <v>20000</v>
      </c>
      <c r="SW26" s="1" t="s">
        <v>20001</v>
      </c>
      <c r="SX26" s="1" t="s">
        <v>20002</v>
      </c>
      <c r="SY26" s="1" t="s">
        <v>20003</v>
      </c>
      <c r="SZ26" s="1" t="s">
        <v>20004</v>
      </c>
      <c r="TA26" s="1" t="s">
        <v>20005</v>
      </c>
      <c r="TB26" s="1" t="s">
        <v>20006</v>
      </c>
      <c r="TC26" s="1" t="s">
        <v>20007</v>
      </c>
      <c r="TD26" s="1" t="s">
        <v>20008</v>
      </c>
      <c r="TE26" s="1" t="s">
        <v>20009</v>
      </c>
      <c r="TF26" s="1" t="s">
        <v>20010</v>
      </c>
      <c r="TG26" s="1" t="s">
        <v>20011</v>
      </c>
      <c r="TH26" s="1" t="s">
        <v>20012</v>
      </c>
      <c r="TI26" s="1" t="s">
        <v>20013</v>
      </c>
      <c r="TJ26" s="1" t="s">
        <v>20014</v>
      </c>
      <c r="TK26" s="1" t="s">
        <v>20015</v>
      </c>
      <c r="TL26" s="1" t="s">
        <v>20016</v>
      </c>
      <c r="TM26" s="1" t="s">
        <v>20017</v>
      </c>
      <c r="TN26" s="1" t="s">
        <v>20018</v>
      </c>
      <c r="TO26" s="1" t="s">
        <v>20019</v>
      </c>
      <c r="TP26" s="1" t="s">
        <v>20020</v>
      </c>
      <c r="TQ26" s="1" t="s">
        <v>20021</v>
      </c>
      <c r="TR26" s="1" t="s">
        <v>20022</v>
      </c>
      <c r="TS26" s="1" t="s">
        <v>20023</v>
      </c>
      <c r="TT26" s="1" t="s">
        <v>20024</v>
      </c>
      <c r="TU26" s="1" t="s">
        <v>20025</v>
      </c>
      <c r="TV26" s="1" t="s">
        <v>20026</v>
      </c>
      <c r="TW26" s="1" t="s">
        <v>20027</v>
      </c>
      <c r="TX26" s="1" t="s">
        <v>20028</v>
      </c>
      <c r="TY26" s="1" t="s">
        <v>20029</v>
      </c>
      <c r="TZ26" s="1" t="s">
        <v>20030</v>
      </c>
      <c r="UA26" s="1" t="s">
        <v>20031</v>
      </c>
      <c r="UB26" s="1" t="s">
        <v>20032</v>
      </c>
      <c r="UC26" s="1" t="s">
        <v>20033</v>
      </c>
      <c r="UD26" s="1" t="s">
        <v>20034</v>
      </c>
      <c r="UE26" s="1" t="s">
        <v>20035</v>
      </c>
      <c r="UF26" s="1" t="s">
        <v>20036</v>
      </c>
      <c r="UG26" s="1" t="s">
        <v>20037</v>
      </c>
      <c r="UH26" s="1" t="s">
        <v>20038</v>
      </c>
      <c r="UI26" s="1" t="s">
        <v>20039</v>
      </c>
      <c r="UJ26" s="1" t="s">
        <v>20040</v>
      </c>
      <c r="UK26" s="1" t="s">
        <v>20041</v>
      </c>
      <c r="UL26" s="1" t="s">
        <v>20042</v>
      </c>
      <c r="UM26" s="1" t="s">
        <v>20043</v>
      </c>
      <c r="UN26" s="1" t="s">
        <v>20044</v>
      </c>
      <c r="UO26" s="1" t="s">
        <v>20045</v>
      </c>
      <c r="UP26" s="1" t="s">
        <v>20046</v>
      </c>
      <c r="UQ26" s="1" t="s">
        <v>20047</v>
      </c>
      <c r="UR26" s="1" t="s">
        <v>20048</v>
      </c>
      <c r="US26" s="1" t="s">
        <v>20049</v>
      </c>
      <c r="UT26" s="1" t="s">
        <v>20050</v>
      </c>
      <c r="UU26" s="1" t="s">
        <v>20051</v>
      </c>
      <c r="UV26" s="1" t="s">
        <v>20052</v>
      </c>
      <c r="UW26" s="1" t="s">
        <v>20053</v>
      </c>
      <c r="UX26" s="1" t="s">
        <v>20054</v>
      </c>
      <c r="UY26" s="1" t="s">
        <v>20055</v>
      </c>
      <c r="UZ26" s="1" t="s">
        <v>20056</v>
      </c>
      <c r="VA26" s="1" t="s">
        <v>20057</v>
      </c>
      <c r="VB26" s="1" t="s">
        <v>20058</v>
      </c>
      <c r="VC26" s="1" t="s">
        <v>20059</v>
      </c>
      <c r="VD26" s="1" t="s">
        <v>20060</v>
      </c>
      <c r="VE26" s="1" t="s">
        <v>20061</v>
      </c>
      <c r="VF26" s="1" t="s">
        <v>20062</v>
      </c>
      <c r="VG26" s="1" t="s">
        <v>20063</v>
      </c>
      <c r="VH26" s="1" t="s">
        <v>20064</v>
      </c>
      <c r="VI26" s="1" t="s">
        <v>20065</v>
      </c>
      <c r="VJ26" s="1" t="s">
        <v>20066</v>
      </c>
      <c r="VK26" s="1" t="s">
        <v>20067</v>
      </c>
      <c r="VL26" s="1" t="s">
        <v>20068</v>
      </c>
      <c r="VM26" s="1" t="s">
        <v>20069</v>
      </c>
      <c r="VN26" s="1" t="s">
        <v>20070</v>
      </c>
      <c r="VO26" s="1" t="s">
        <v>20071</v>
      </c>
      <c r="VP26" s="1" t="s">
        <v>20072</v>
      </c>
      <c r="VQ26" s="1" t="s">
        <v>20073</v>
      </c>
      <c r="VR26" s="1" t="s">
        <v>20074</v>
      </c>
      <c r="VS26" s="1" t="s">
        <v>20075</v>
      </c>
      <c r="VT26" s="1" t="s">
        <v>20076</v>
      </c>
      <c r="VU26" s="1" t="s">
        <v>20077</v>
      </c>
      <c r="VV26" s="1" t="s">
        <v>20078</v>
      </c>
      <c r="VW26" s="1" t="s">
        <v>20079</v>
      </c>
      <c r="VX26" s="1" t="s">
        <v>20080</v>
      </c>
      <c r="VY26" s="1" t="s">
        <v>20081</v>
      </c>
      <c r="VZ26" s="1" t="s">
        <v>20082</v>
      </c>
      <c r="WA26" s="1" t="s">
        <v>20083</v>
      </c>
      <c r="WB26" s="1" t="s">
        <v>20084</v>
      </c>
      <c r="WC26" s="1" t="s">
        <v>20085</v>
      </c>
      <c r="WD26" s="1" t="s">
        <v>20086</v>
      </c>
      <c r="WE26" s="1" t="s">
        <v>20087</v>
      </c>
      <c r="WF26" s="1" t="s">
        <v>20088</v>
      </c>
      <c r="WG26" s="1" t="s">
        <v>20089</v>
      </c>
      <c r="WH26" s="1" t="s">
        <v>20090</v>
      </c>
      <c r="WI26" s="1" t="s">
        <v>20091</v>
      </c>
      <c r="WJ26" s="1" t="s">
        <v>20092</v>
      </c>
      <c r="WK26" s="1" t="s">
        <v>20093</v>
      </c>
      <c r="WL26" s="1" t="s">
        <v>20094</v>
      </c>
      <c r="WM26" s="1" t="s">
        <v>20095</v>
      </c>
      <c r="WN26" s="1" t="s">
        <v>20096</v>
      </c>
      <c r="WO26" s="1" t="s">
        <v>20097</v>
      </c>
      <c r="WP26" s="1" t="s">
        <v>20098</v>
      </c>
      <c r="WQ26" s="1" t="s">
        <v>20099</v>
      </c>
      <c r="WR26" s="1" t="s">
        <v>20100</v>
      </c>
      <c r="WS26" s="1" t="s">
        <v>20101</v>
      </c>
      <c r="WT26" s="1" t="s">
        <v>20102</v>
      </c>
      <c r="WU26" s="1" t="s">
        <v>20103</v>
      </c>
      <c r="WV26" s="1" t="s">
        <v>20104</v>
      </c>
      <c r="WW26" s="1" t="s">
        <v>20105</v>
      </c>
      <c r="WX26" s="1" t="s">
        <v>20106</v>
      </c>
      <c r="WY26" s="1" t="s">
        <v>20107</v>
      </c>
      <c r="WZ26" s="1" t="s">
        <v>20108</v>
      </c>
      <c r="XA26" s="1" t="s">
        <v>20109</v>
      </c>
      <c r="XB26" s="1" t="s">
        <v>20110</v>
      </c>
      <c r="XC26" s="1" t="s">
        <v>20111</v>
      </c>
      <c r="XD26" s="1" t="s">
        <v>20112</v>
      </c>
      <c r="XE26" s="1" t="s">
        <v>20113</v>
      </c>
      <c r="XF26" s="1" t="s">
        <v>20114</v>
      </c>
      <c r="XG26" s="1" t="s">
        <v>20115</v>
      </c>
      <c r="XH26" s="1" t="s">
        <v>20116</v>
      </c>
      <c r="XI26" s="1" t="s">
        <v>20117</v>
      </c>
      <c r="XJ26" s="1" t="s">
        <v>20118</v>
      </c>
      <c r="XK26" s="1" t="s">
        <v>20119</v>
      </c>
      <c r="XL26" s="1" t="s">
        <v>20120</v>
      </c>
      <c r="XM26" s="1" t="s">
        <v>20121</v>
      </c>
      <c r="XN26" s="1" t="s">
        <v>20122</v>
      </c>
      <c r="XO26" s="1" t="s">
        <v>20123</v>
      </c>
      <c r="XP26" s="1" t="s">
        <v>20124</v>
      </c>
      <c r="XQ26" s="1" t="s">
        <v>20125</v>
      </c>
      <c r="XR26" s="1" t="s">
        <v>20126</v>
      </c>
      <c r="XS26" s="1" t="s">
        <v>20127</v>
      </c>
      <c r="XT26" s="1" t="s">
        <v>20128</v>
      </c>
      <c r="XU26" s="1" t="s">
        <v>20129</v>
      </c>
      <c r="XV26" s="1" t="s">
        <v>20130</v>
      </c>
      <c r="XW26" s="1" t="s">
        <v>20131</v>
      </c>
      <c r="XX26" s="1" t="s">
        <v>20132</v>
      </c>
      <c r="XY26" s="1" t="s">
        <v>20133</v>
      </c>
      <c r="XZ26" s="1" t="s">
        <v>20134</v>
      </c>
      <c r="YA26" s="1" t="s">
        <v>20135</v>
      </c>
      <c r="YB26" s="1" t="s">
        <v>20136</v>
      </c>
      <c r="YC26" s="1" t="s">
        <v>20137</v>
      </c>
      <c r="YD26" s="1" t="s">
        <v>20138</v>
      </c>
      <c r="YE26" s="1" t="s">
        <v>20139</v>
      </c>
      <c r="YF26" s="1" t="s">
        <v>20140</v>
      </c>
      <c r="YG26" s="1" t="s">
        <v>20141</v>
      </c>
      <c r="YH26" s="1" t="s">
        <v>20142</v>
      </c>
      <c r="YI26" s="1" t="s">
        <v>20143</v>
      </c>
      <c r="YJ26" s="1" t="s">
        <v>20144</v>
      </c>
      <c r="YK26" s="1" t="s">
        <v>20145</v>
      </c>
      <c r="YL26" s="1" t="s">
        <v>20146</v>
      </c>
      <c r="YM26" s="1" t="s">
        <v>20147</v>
      </c>
      <c r="YN26" s="1" t="s">
        <v>20148</v>
      </c>
      <c r="YO26" s="1" t="s">
        <v>20149</v>
      </c>
      <c r="YP26" s="1" t="s">
        <v>20150</v>
      </c>
      <c r="YQ26" s="1" t="s">
        <v>20151</v>
      </c>
      <c r="YR26" s="1" t="s">
        <v>20152</v>
      </c>
      <c r="YS26" s="1" t="s">
        <v>20153</v>
      </c>
      <c r="YT26" s="1" t="s">
        <v>20154</v>
      </c>
      <c r="YU26" s="1" t="s">
        <v>20155</v>
      </c>
      <c r="YV26" s="1" t="s">
        <v>20156</v>
      </c>
      <c r="YW26" s="1" t="s">
        <v>20157</v>
      </c>
      <c r="YX26" s="1" t="s">
        <v>20158</v>
      </c>
      <c r="YY26" s="1" t="s">
        <v>20159</v>
      </c>
      <c r="YZ26" s="1" t="s">
        <v>20160</v>
      </c>
      <c r="ZA26" s="1" t="s">
        <v>20161</v>
      </c>
      <c r="ZB26" s="1" t="s">
        <v>20162</v>
      </c>
      <c r="ZC26" s="1" t="s">
        <v>20163</v>
      </c>
      <c r="ZD26" s="1" t="s">
        <v>20164</v>
      </c>
      <c r="ZE26" s="1" t="s">
        <v>20165</v>
      </c>
      <c r="ZF26" s="1" t="s">
        <v>20166</v>
      </c>
      <c r="ZG26" s="1" t="s">
        <v>20167</v>
      </c>
      <c r="ZH26" s="1" t="s">
        <v>20168</v>
      </c>
      <c r="ZI26" s="1" t="s">
        <v>20169</v>
      </c>
      <c r="ZJ26" s="1" t="s">
        <v>20170</v>
      </c>
      <c r="ZK26" s="1" t="s">
        <v>20171</v>
      </c>
      <c r="ZL26" s="1" t="s">
        <v>20172</v>
      </c>
      <c r="ZM26" s="1" t="s">
        <v>20173</v>
      </c>
      <c r="ZN26" s="1" t="s">
        <v>20174</v>
      </c>
      <c r="ZO26" s="1" t="s">
        <v>20175</v>
      </c>
      <c r="ZP26" s="1" t="s">
        <v>20176</v>
      </c>
      <c r="ZQ26" s="1" t="s">
        <v>20177</v>
      </c>
      <c r="ZR26" s="1" t="s">
        <v>20178</v>
      </c>
      <c r="ZS26" s="1" t="s">
        <v>20179</v>
      </c>
      <c r="ZT26" s="1" t="s">
        <v>20180</v>
      </c>
      <c r="ZU26" s="1" t="s">
        <v>20181</v>
      </c>
      <c r="ZV26" s="1" t="s">
        <v>20182</v>
      </c>
      <c r="ZW26" s="1" t="s">
        <v>20183</v>
      </c>
      <c r="ZX26" s="1" t="s">
        <v>20184</v>
      </c>
      <c r="ZY26" s="1" t="s">
        <v>20185</v>
      </c>
      <c r="ZZ26" s="1" t="s">
        <v>20186</v>
      </c>
      <c r="AAA26" s="1" t="s">
        <v>20187</v>
      </c>
      <c r="AAB26" s="1" t="s">
        <v>20188</v>
      </c>
      <c r="AAC26" s="1" t="s">
        <v>20189</v>
      </c>
      <c r="AAD26" s="1" t="s">
        <v>20190</v>
      </c>
      <c r="AAE26" s="1" t="s">
        <v>20191</v>
      </c>
      <c r="AAF26" s="1" t="s">
        <v>20192</v>
      </c>
      <c r="AAG26" s="1" t="s">
        <v>20193</v>
      </c>
      <c r="AAH26" s="1" t="s">
        <v>20194</v>
      </c>
      <c r="AAI26" s="1" t="s">
        <v>20195</v>
      </c>
      <c r="AAJ26" s="1" t="s">
        <v>20196</v>
      </c>
      <c r="AAK26" s="1" t="s">
        <v>20197</v>
      </c>
      <c r="AAL26" s="1" t="s">
        <v>20198</v>
      </c>
      <c r="AAM26" s="1" t="s">
        <v>20199</v>
      </c>
      <c r="AAN26" s="1" t="s">
        <v>20200</v>
      </c>
      <c r="AAO26" s="1" t="s">
        <v>20201</v>
      </c>
      <c r="AAP26" s="1" t="s">
        <v>20202</v>
      </c>
      <c r="AAQ26" s="1" t="s">
        <v>20203</v>
      </c>
      <c r="AAR26" s="1" t="s">
        <v>20204</v>
      </c>
      <c r="AAS26" s="1" t="s">
        <v>20205</v>
      </c>
      <c r="AAT26" s="1" t="s">
        <v>20206</v>
      </c>
      <c r="AAU26" s="1" t="s">
        <v>20207</v>
      </c>
      <c r="AAV26" s="1" t="s">
        <v>20208</v>
      </c>
      <c r="AAW26" s="1" t="s">
        <v>20209</v>
      </c>
      <c r="AAX26" s="1" t="s">
        <v>20210</v>
      </c>
      <c r="AAY26" s="1" t="s">
        <v>20211</v>
      </c>
      <c r="AAZ26" s="1" t="s">
        <v>20212</v>
      </c>
      <c r="ABA26" s="1" t="s">
        <v>20213</v>
      </c>
      <c r="ABB26" s="1" t="s">
        <v>20214</v>
      </c>
      <c r="ABC26" s="1" t="s">
        <v>20215</v>
      </c>
      <c r="ABD26" s="1" t="s">
        <v>20216</v>
      </c>
      <c r="ABE26" s="1" t="s">
        <v>20217</v>
      </c>
      <c r="ABF26" s="1" t="s">
        <v>20218</v>
      </c>
      <c r="ABG26" s="1" t="s">
        <v>20219</v>
      </c>
      <c r="ABH26" s="1" t="s">
        <v>20220</v>
      </c>
      <c r="ABI26" s="1" t="s">
        <v>20221</v>
      </c>
      <c r="ABJ26" s="1" t="s">
        <v>20222</v>
      </c>
      <c r="ABK26" s="1" t="s">
        <v>20223</v>
      </c>
      <c r="ABL26" s="1" t="s">
        <v>20224</v>
      </c>
      <c r="ABM26" s="1" t="s">
        <v>20225</v>
      </c>
      <c r="ABN26" s="1" t="s">
        <v>20226</v>
      </c>
      <c r="ABO26" s="1" t="s">
        <v>20227</v>
      </c>
      <c r="ABP26" s="1" t="s">
        <v>20228</v>
      </c>
      <c r="ABQ26" s="1" t="s">
        <v>20229</v>
      </c>
      <c r="ABR26" s="1" t="s">
        <v>20230</v>
      </c>
      <c r="ABS26" s="1" t="s">
        <v>20231</v>
      </c>
      <c r="ABT26" s="1" t="s">
        <v>20232</v>
      </c>
      <c r="ABU26" s="1" t="s">
        <v>20233</v>
      </c>
      <c r="ABV26" s="1" t="s">
        <v>20234</v>
      </c>
      <c r="ABW26" s="1" t="s">
        <v>20235</v>
      </c>
      <c r="ABX26" s="1" t="s">
        <v>20236</v>
      </c>
      <c r="ABY26" s="1" t="s">
        <v>20237</v>
      </c>
      <c r="ABZ26" s="1" t="s">
        <v>20238</v>
      </c>
      <c r="ACA26" s="1" t="s">
        <v>20239</v>
      </c>
      <c r="ACB26" s="1" t="s">
        <v>20240</v>
      </c>
      <c r="ACC26" s="1" t="s">
        <v>20241</v>
      </c>
      <c r="ACD26" s="1" t="s">
        <v>20242</v>
      </c>
      <c r="ACE26" s="1" t="s">
        <v>20243</v>
      </c>
      <c r="ACF26" s="1" t="s">
        <v>20244</v>
      </c>
      <c r="ACG26" s="1" t="s">
        <v>20245</v>
      </c>
      <c r="ACH26" s="1" t="s">
        <v>20246</v>
      </c>
      <c r="ACI26" s="1" t="s">
        <v>20247</v>
      </c>
      <c r="ACJ26" s="1" t="s">
        <v>20248</v>
      </c>
      <c r="ACK26" s="1" t="s">
        <v>20249</v>
      </c>
      <c r="ACL26" s="1" t="s">
        <v>20250</v>
      </c>
      <c r="ACM26" s="1" t="s">
        <v>20251</v>
      </c>
      <c r="ACN26" s="1" t="s">
        <v>20252</v>
      </c>
      <c r="ACO26" s="1" t="s">
        <v>20253</v>
      </c>
      <c r="ACP26" s="1" t="s">
        <v>20254</v>
      </c>
      <c r="ACQ26" s="1" t="s">
        <v>20255</v>
      </c>
      <c r="ACR26" s="1" t="s">
        <v>20256</v>
      </c>
      <c r="ACS26" s="1" t="s">
        <v>20257</v>
      </c>
      <c r="ACT26" s="1" t="s">
        <v>20258</v>
      </c>
      <c r="ACU26" s="1" t="s">
        <v>20259</v>
      </c>
      <c r="ACV26" s="1" t="s">
        <v>20260</v>
      </c>
      <c r="ACW26" s="1" t="s">
        <v>12</v>
      </c>
      <c r="ACX26" s="1" t="s">
        <v>1500</v>
      </c>
    </row>
    <row r="27" spans="1:778" x14ac:dyDescent="0.2">
      <c r="A27" s="1" t="s">
        <v>30</v>
      </c>
      <c r="B27" s="1" t="s">
        <v>20261</v>
      </c>
      <c r="C27" s="1" t="s">
        <v>20262</v>
      </c>
      <c r="D27" s="1" t="s">
        <v>20263</v>
      </c>
      <c r="E27" s="1" t="s">
        <v>20264</v>
      </c>
      <c r="F27" s="1" t="s">
        <v>20265</v>
      </c>
      <c r="G27" s="1" t="s">
        <v>20266</v>
      </c>
      <c r="H27" s="1" t="s">
        <v>20267</v>
      </c>
      <c r="I27" s="1" t="s">
        <v>20268</v>
      </c>
      <c r="J27" s="1" t="s">
        <v>20269</v>
      </c>
      <c r="K27" s="1" t="s">
        <v>20270</v>
      </c>
      <c r="L27" s="1" t="s">
        <v>20271</v>
      </c>
      <c r="M27" s="1" t="s">
        <v>20272</v>
      </c>
      <c r="N27" s="1" t="s">
        <v>20273</v>
      </c>
      <c r="O27" s="1" t="s">
        <v>20274</v>
      </c>
      <c r="P27" s="1" t="s">
        <v>20275</v>
      </c>
      <c r="Q27" s="1" t="s">
        <v>20276</v>
      </c>
      <c r="R27" s="1" t="s">
        <v>20277</v>
      </c>
      <c r="S27" s="1" t="s">
        <v>20278</v>
      </c>
      <c r="T27" s="1" t="s">
        <v>20279</v>
      </c>
      <c r="U27" s="1" t="s">
        <v>20280</v>
      </c>
      <c r="V27" s="1" t="s">
        <v>20281</v>
      </c>
      <c r="W27" s="1" t="s">
        <v>20282</v>
      </c>
      <c r="X27" s="1" t="s">
        <v>20283</v>
      </c>
      <c r="Y27" s="1" t="s">
        <v>20284</v>
      </c>
      <c r="Z27" s="1" t="s">
        <v>20285</v>
      </c>
      <c r="AA27" s="1" t="s">
        <v>20286</v>
      </c>
      <c r="AB27" s="1" t="s">
        <v>20287</v>
      </c>
      <c r="AC27" s="1" t="s">
        <v>20288</v>
      </c>
      <c r="AD27" s="1" t="s">
        <v>20289</v>
      </c>
      <c r="AE27" s="1" t="s">
        <v>20290</v>
      </c>
      <c r="AF27" s="1" t="s">
        <v>20291</v>
      </c>
      <c r="AG27" s="1" t="s">
        <v>20292</v>
      </c>
      <c r="AH27" s="1" t="s">
        <v>20293</v>
      </c>
      <c r="AI27" s="1" t="s">
        <v>20294</v>
      </c>
      <c r="AJ27" s="1" t="s">
        <v>20295</v>
      </c>
      <c r="AK27" s="1" t="s">
        <v>20296</v>
      </c>
      <c r="AL27" s="1" t="s">
        <v>20297</v>
      </c>
      <c r="AM27" s="1" t="s">
        <v>20298</v>
      </c>
      <c r="AN27" s="1" t="s">
        <v>20299</v>
      </c>
      <c r="AO27" s="1" t="s">
        <v>20300</v>
      </c>
      <c r="AP27" s="1" t="s">
        <v>20301</v>
      </c>
      <c r="AQ27" s="1" t="s">
        <v>20302</v>
      </c>
      <c r="AR27" s="1" t="s">
        <v>20303</v>
      </c>
      <c r="AS27" s="1" t="s">
        <v>20304</v>
      </c>
      <c r="AT27" s="1" t="s">
        <v>20305</v>
      </c>
      <c r="AU27" s="1" t="s">
        <v>20306</v>
      </c>
      <c r="AV27" s="1" t="s">
        <v>20307</v>
      </c>
      <c r="AW27" s="1" t="s">
        <v>20308</v>
      </c>
      <c r="AX27" s="1" t="s">
        <v>20309</v>
      </c>
      <c r="AY27" s="1" t="s">
        <v>20310</v>
      </c>
      <c r="AZ27" s="1" t="s">
        <v>20311</v>
      </c>
      <c r="BA27" s="1" t="s">
        <v>20312</v>
      </c>
      <c r="BB27" s="1" t="s">
        <v>20313</v>
      </c>
      <c r="BC27" s="1" t="s">
        <v>20314</v>
      </c>
      <c r="BD27" s="1" t="s">
        <v>20315</v>
      </c>
      <c r="BE27" s="1" t="s">
        <v>20316</v>
      </c>
      <c r="BF27" s="1" t="s">
        <v>20317</v>
      </c>
      <c r="BG27" s="1" t="s">
        <v>20318</v>
      </c>
      <c r="BH27" s="1" t="s">
        <v>20319</v>
      </c>
      <c r="BI27" s="1" t="s">
        <v>20320</v>
      </c>
      <c r="BJ27" s="1" t="s">
        <v>20321</v>
      </c>
      <c r="BK27" s="1" t="s">
        <v>20322</v>
      </c>
      <c r="BL27" s="1" t="s">
        <v>20323</v>
      </c>
      <c r="BM27" s="1" t="s">
        <v>20324</v>
      </c>
      <c r="BN27" s="1" t="s">
        <v>20325</v>
      </c>
      <c r="BO27" s="1" t="s">
        <v>20326</v>
      </c>
      <c r="BP27" s="1" t="s">
        <v>20327</v>
      </c>
      <c r="BQ27" s="1" t="s">
        <v>20328</v>
      </c>
      <c r="BR27" s="1" t="s">
        <v>20329</v>
      </c>
      <c r="BS27" s="1" t="s">
        <v>20330</v>
      </c>
      <c r="BT27" s="1" t="s">
        <v>20331</v>
      </c>
      <c r="BU27" s="1" t="s">
        <v>20332</v>
      </c>
      <c r="BV27" s="1" t="s">
        <v>20333</v>
      </c>
      <c r="BW27" s="1" t="s">
        <v>20334</v>
      </c>
      <c r="BX27" s="1" t="s">
        <v>20335</v>
      </c>
      <c r="BY27" s="1" t="s">
        <v>20336</v>
      </c>
      <c r="BZ27" s="1" t="s">
        <v>20337</v>
      </c>
      <c r="CA27" s="1" t="s">
        <v>20338</v>
      </c>
      <c r="CB27" s="1" t="s">
        <v>20339</v>
      </c>
      <c r="CC27" s="1" t="s">
        <v>20340</v>
      </c>
      <c r="CD27" s="1" t="s">
        <v>20341</v>
      </c>
      <c r="CE27" s="1" t="s">
        <v>20342</v>
      </c>
      <c r="CF27" s="1" t="s">
        <v>20343</v>
      </c>
      <c r="CG27" s="1" t="s">
        <v>20344</v>
      </c>
      <c r="CH27" s="1" t="s">
        <v>20345</v>
      </c>
      <c r="CI27" s="1" t="s">
        <v>20346</v>
      </c>
      <c r="CJ27" s="1" t="s">
        <v>20347</v>
      </c>
      <c r="CK27" s="1" t="s">
        <v>20348</v>
      </c>
      <c r="CL27" s="1" t="s">
        <v>20349</v>
      </c>
      <c r="CM27" s="1" t="s">
        <v>20350</v>
      </c>
      <c r="CN27" s="1" t="s">
        <v>20351</v>
      </c>
      <c r="CO27" s="1" t="s">
        <v>20352</v>
      </c>
      <c r="CP27" s="1" t="s">
        <v>20353</v>
      </c>
      <c r="CQ27" s="1" t="s">
        <v>20354</v>
      </c>
      <c r="CR27" s="1" t="s">
        <v>20355</v>
      </c>
      <c r="CS27" s="1" t="s">
        <v>20356</v>
      </c>
      <c r="CT27" s="1" t="s">
        <v>20357</v>
      </c>
      <c r="CU27" s="1" t="s">
        <v>20358</v>
      </c>
      <c r="CV27" s="1" t="s">
        <v>20359</v>
      </c>
      <c r="CW27" s="1" t="s">
        <v>20360</v>
      </c>
      <c r="CX27" s="1" t="s">
        <v>20361</v>
      </c>
      <c r="CY27" s="1" t="s">
        <v>20362</v>
      </c>
      <c r="CZ27" s="1" t="s">
        <v>20363</v>
      </c>
      <c r="DA27" s="1" t="s">
        <v>20364</v>
      </c>
      <c r="DB27" s="1" t="s">
        <v>20365</v>
      </c>
      <c r="DC27" s="1" t="s">
        <v>20366</v>
      </c>
      <c r="DD27" s="1" t="s">
        <v>20367</v>
      </c>
      <c r="DE27" s="1" t="s">
        <v>20368</v>
      </c>
      <c r="DF27" s="1" t="s">
        <v>20369</v>
      </c>
      <c r="DG27" s="1" t="s">
        <v>20370</v>
      </c>
      <c r="DH27" s="1" t="s">
        <v>20371</v>
      </c>
      <c r="DI27" s="1" t="s">
        <v>20372</v>
      </c>
      <c r="DJ27" s="1" t="s">
        <v>20373</v>
      </c>
      <c r="DK27" s="1" t="s">
        <v>20374</v>
      </c>
      <c r="DL27" s="1" t="s">
        <v>20375</v>
      </c>
      <c r="DM27" s="1" t="s">
        <v>20376</v>
      </c>
      <c r="DN27" s="1" t="s">
        <v>20377</v>
      </c>
      <c r="DO27" s="1" t="s">
        <v>20378</v>
      </c>
      <c r="DP27" s="1" t="s">
        <v>20379</v>
      </c>
      <c r="DQ27" s="1" t="s">
        <v>20380</v>
      </c>
      <c r="DR27" s="1" t="s">
        <v>20381</v>
      </c>
      <c r="DS27" s="1" t="s">
        <v>20382</v>
      </c>
      <c r="DT27" s="1" t="s">
        <v>20383</v>
      </c>
      <c r="DU27" s="1" t="s">
        <v>20384</v>
      </c>
      <c r="DV27" s="1" t="s">
        <v>20385</v>
      </c>
      <c r="DW27" s="1" t="s">
        <v>20386</v>
      </c>
      <c r="DX27" s="1" t="s">
        <v>20387</v>
      </c>
      <c r="DY27" s="1" t="s">
        <v>20388</v>
      </c>
      <c r="DZ27" s="1" t="s">
        <v>20389</v>
      </c>
      <c r="EA27" s="1" t="s">
        <v>20390</v>
      </c>
      <c r="EB27" s="1" t="s">
        <v>20391</v>
      </c>
      <c r="EC27" s="1" t="s">
        <v>20392</v>
      </c>
      <c r="ED27" s="1" t="s">
        <v>20393</v>
      </c>
      <c r="EE27" s="1" t="s">
        <v>20394</v>
      </c>
      <c r="EF27" s="1" t="s">
        <v>20395</v>
      </c>
      <c r="EG27" s="1" t="s">
        <v>20396</v>
      </c>
      <c r="EH27" s="1" t="s">
        <v>20397</v>
      </c>
      <c r="EI27" s="1" t="s">
        <v>20398</v>
      </c>
      <c r="EJ27" s="1" t="s">
        <v>20399</v>
      </c>
      <c r="EK27" s="1" t="s">
        <v>20400</v>
      </c>
      <c r="EL27" s="1" t="s">
        <v>20401</v>
      </c>
      <c r="EM27" s="1" t="s">
        <v>20402</v>
      </c>
      <c r="EN27" s="1" t="s">
        <v>20403</v>
      </c>
      <c r="EO27" s="1" t="s">
        <v>20404</v>
      </c>
      <c r="EP27" s="1" t="s">
        <v>20405</v>
      </c>
      <c r="EQ27" s="1" t="s">
        <v>20406</v>
      </c>
      <c r="ER27" s="1" t="s">
        <v>20407</v>
      </c>
      <c r="ES27" s="1" t="s">
        <v>20408</v>
      </c>
      <c r="ET27" s="1" t="s">
        <v>20409</v>
      </c>
      <c r="EU27" s="1" t="s">
        <v>20410</v>
      </c>
      <c r="EV27" s="1" t="s">
        <v>20411</v>
      </c>
      <c r="EW27" s="1" t="s">
        <v>20412</v>
      </c>
      <c r="EX27" s="1" t="s">
        <v>20413</v>
      </c>
      <c r="EY27" s="1" t="s">
        <v>20414</v>
      </c>
      <c r="EZ27" s="1" t="s">
        <v>20415</v>
      </c>
      <c r="FA27" s="1" t="s">
        <v>20416</v>
      </c>
      <c r="FB27" s="1" t="s">
        <v>20417</v>
      </c>
      <c r="FC27" s="1" t="s">
        <v>20418</v>
      </c>
      <c r="FD27" s="1" t="s">
        <v>20419</v>
      </c>
      <c r="FE27" s="1" t="s">
        <v>20420</v>
      </c>
      <c r="FF27" s="1" t="s">
        <v>20421</v>
      </c>
      <c r="FG27" s="1" t="s">
        <v>20422</v>
      </c>
      <c r="FH27" s="1" t="s">
        <v>20423</v>
      </c>
      <c r="FI27" s="1" t="s">
        <v>20424</v>
      </c>
      <c r="FJ27" s="1" t="s">
        <v>20425</v>
      </c>
      <c r="FK27" s="1" t="s">
        <v>20426</v>
      </c>
      <c r="FL27" s="1" t="s">
        <v>20427</v>
      </c>
      <c r="FM27" s="1" t="s">
        <v>20428</v>
      </c>
      <c r="FN27" s="1" t="s">
        <v>20429</v>
      </c>
      <c r="FO27" s="1" t="s">
        <v>20430</v>
      </c>
      <c r="FP27" s="1" t="s">
        <v>20431</v>
      </c>
      <c r="FQ27" s="1" t="s">
        <v>20432</v>
      </c>
      <c r="FR27" s="1" t="s">
        <v>20433</v>
      </c>
      <c r="FS27" s="1" t="s">
        <v>20434</v>
      </c>
      <c r="FT27" s="1" t="s">
        <v>20435</v>
      </c>
      <c r="FU27" s="1" t="s">
        <v>20436</v>
      </c>
      <c r="FV27" s="1" t="s">
        <v>20437</v>
      </c>
      <c r="FW27" s="1" t="s">
        <v>20438</v>
      </c>
      <c r="FX27" s="1" t="s">
        <v>20439</v>
      </c>
      <c r="FY27" s="1" t="s">
        <v>20440</v>
      </c>
      <c r="FZ27" s="1" t="s">
        <v>20441</v>
      </c>
      <c r="GA27" s="1" t="s">
        <v>20442</v>
      </c>
      <c r="GB27" s="1" t="s">
        <v>20443</v>
      </c>
      <c r="GC27" s="1" t="s">
        <v>20444</v>
      </c>
      <c r="GD27" s="1" t="s">
        <v>20445</v>
      </c>
      <c r="GE27" s="1" t="s">
        <v>20446</v>
      </c>
      <c r="GF27" s="1" t="s">
        <v>20447</v>
      </c>
      <c r="GG27" s="1" t="s">
        <v>20448</v>
      </c>
      <c r="GH27" s="1" t="s">
        <v>20449</v>
      </c>
      <c r="GI27" s="1" t="s">
        <v>20450</v>
      </c>
      <c r="GJ27" s="1" t="s">
        <v>20451</v>
      </c>
      <c r="GK27" s="1" t="s">
        <v>20452</v>
      </c>
      <c r="GL27" s="1" t="s">
        <v>20453</v>
      </c>
      <c r="GM27" s="1" t="s">
        <v>20454</v>
      </c>
      <c r="GN27" s="1" t="s">
        <v>20455</v>
      </c>
      <c r="GO27" s="1" t="s">
        <v>20456</v>
      </c>
      <c r="GP27" s="1" t="s">
        <v>20457</v>
      </c>
      <c r="GQ27" s="1" t="s">
        <v>20458</v>
      </c>
      <c r="GR27" s="1" t="s">
        <v>20459</v>
      </c>
      <c r="GS27" s="1" t="s">
        <v>20460</v>
      </c>
      <c r="GT27" s="1" t="s">
        <v>20461</v>
      </c>
      <c r="GU27" s="1" t="s">
        <v>20462</v>
      </c>
      <c r="GV27" s="1" t="s">
        <v>20463</v>
      </c>
      <c r="GW27" s="1" t="s">
        <v>20464</v>
      </c>
      <c r="GX27" s="1" t="s">
        <v>20465</v>
      </c>
      <c r="GY27" s="1" t="s">
        <v>20466</v>
      </c>
      <c r="GZ27" s="1" t="s">
        <v>20467</v>
      </c>
      <c r="HA27" s="1" t="s">
        <v>20468</v>
      </c>
      <c r="HB27" s="1" t="s">
        <v>20469</v>
      </c>
      <c r="HC27" s="1" t="s">
        <v>20470</v>
      </c>
      <c r="HD27" s="1" t="s">
        <v>20471</v>
      </c>
      <c r="HE27" s="1" t="s">
        <v>20472</v>
      </c>
      <c r="HF27" s="1" t="s">
        <v>20473</v>
      </c>
      <c r="HG27" s="1" t="s">
        <v>20474</v>
      </c>
      <c r="HH27" s="1" t="s">
        <v>20475</v>
      </c>
      <c r="HI27" s="1" t="s">
        <v>20476</v>
      </c>
      <c r="HJ27" s="1" t="s">
        <v>20477</v>
      </c>
      <c r="HK27" s="1" t="s">
        <v>20478</v>
      </c>
      <c r="HL27" s="1" t="s">
        <v>20479</v>
      </c>
      <c r="HM27" s="1" t="s">
        <v>20480</v>
      </c>
      <c r="HN27" s="1" t="s">
        <v>20481</v>
      </c>
      <c r="HO27" s="1" t="s">
        <v>20482</v>
      </c>
      <c r="HP27" s="1" t="s">
        <v>20483</v>
      </c>
      <c r="HQ27" s="1" t="s">
        <v>20484</v>
      </c>
      <c r="HR27" s="1" t="s">
        <v>20485</v>
      </c>
      <c r="HS27" s="1" t="s">
        <v>20486</v>
      </c>
      <c r="HT27" s="1" t="s">
        <v>20487</v>
      </c>
      <c r="HU27" s="1" t="s">
        <v>20488</v>
      </c>
      <c r="HV27" s="1" t="s">
        <v>20489</v>
      </c>
      <c r="HW27" s="1" t="s">
        <v>20490</v>
      </c>
      <c r="HX27" s="1" t="s">
        <v>20491</v>
      </c>
      <c r="HY27" s="1" t="s">
        <v>20492</v>
      </c>
      <c r="HZ27" s="1" t="s">
        <v>20493</v>
      </c>
      <c r="IA27" s="1" t="s">
        <v>20494</v>
      </c>
      <c r="IB27" s="1" t="s">
        <v>20495</v>
      </c>
      <c r="IC27" s="1" t="s">
        <v>20496</v>
      </c>
      <c r="ID27" s="1" t="s">
        <v>20497</v>
      </c>
      <c r="IE27" s="1" t="s">
        <v>20498</v>
      </c>
      <c r="IF27" s="1" t="s">
        <v>20499</v>
      </c>
      <c r="IG27" s="1" t="s">
        <v>20500</v>
      </c>
      <c r="IH27" s="1" t="s">
        <v>20501</v>
      </c>
      <c r="II27" s="1" t="s">
        <v>20502</v>
      </c>
      <c r="IJ27" s="1" t="s">
        <v>20503</v>
      </c>
      <c r="IK27" s="1" t="s">
        <v>20504</v>
      </c>
      <c r="IL27" s="1" t="s">
        <v>20505</v>
      </c>
      <c r="IM27" s="1" t="s">
        <v>20506</v>
      </c>
      <c r="IN27" s="1" t="s">
        <v>20507</v>
      </c>
      <c r="IO27" s="1" t="s">
        <v>20508</v>
      </c>
      <c r="IP27" s="1" t="s">
        <v>20509</v>
      </c>
      <c r="IQ27" s="1" t="s">
        <v>20510</v>
      </c>
      <c r="IR27" s="1" t="s">
        <v>20511</v>
      </c>
      <c r="IS27" s="1" t="s">
        <v>20512</v>
      </c>
      <c r="IT27" s="1" t="s">
        <v>20513</v>
      </c>
      <c r="IU27" s="1" t="s">
        <v>20514</v>
      </c>
      <c r="IV27" s="1" t="s">
        <v>20515</v>
      </c>
      <c r="IW27" s="1" t="s">
        <v>20516</v>
      </c>
      <c r="IX27" s="1" t="s">
        <v>20517</v>
      </c>
      <c r="IY27" s="1" t="s">
        <v>20518</v>
      </c>
      <c r="IZ27" s="1" t="s">
        <v>20519</v>
      </c>
      <c r="JA27" s="1" t="s">
        <v>20520</v>
      </c>
      <c r="JB27" s="1" t="s">
        <v>20521</v>
      </c>
      <c r="JC27" s="1" t="s">
        <v>20522</v>
      </c>
      <c r="JD27" s="1" t="s">
        <v>20523</v>
      </c>
      <c r="JE27" s="1" t="s">
        <v>20524</v>
      </c>
      <c r="JF27" s="1" t="s">
        <v>20525</v>
      </c>
      <c r="JG27" s="1" t="s">
        <v>20526</v>
      </c>
      <c r="JH27" s="1" t="s">
        <v>20527</v>
      </c>
      <c r="JI27" s="1" t="s">
        <v>20528</v>
      </c>
      <c r="JJ27" s="1" t="s">
        <v>20529</v>
      </c>
      <c r="JK27" s="1" t="s">
        <v>20530</v>
      </c>
      <c r="JL27" s="1" t="s">
        <v>20531</v>
      </c>
      <c r="JM27" s="1" t="s">
        <v>20532</v>
      </c>
      <c r="JN27" s="1" t="s">
        <v>20533</v>
      </c>
      <c r="JO27" s="1" t="s">
        <v>20534</v>
      </c>
      <c r="JP27" s="1" t="s">
        <v>20535</v>
      </c>
      <c r="JQ27" s="1" t="s">
        <v>20536</v>
      </c>
      <c r="JR27" s="1" t="s">
        <v>20537</v>
      </c>
      <c r="JS27" s="1" t="s">
        <v>20538</v>
      </c>
      <c r="JT27" s="1" t="s">
        <v>20539</v>
      </c>
      <c r="JU27" s="1" t="s">
        <v>20540</v>
      </c>
      <c r="JV27" s="1" t="s">
        <v>20541</v>
      </c>
      <c r="JW27" s="1" t="s">
        <v>20542</v>
      </c>
      <c r="JX27" s="1" t="s">
        <v>20543</v>
      </c>
      <c r="JY27" s="1" t="s">
        <v>20544</v>
      </c>
      <c r="JZ27" s="1" t="s">
        <v>20545</v>
      </c>
      <c r="KA27" s="1" t="s">
        <v>20546</v>
      </c>
      <c r="KB27" s="1" t="s">
        <v>20547</v>
      </c>
      <c r="KC27" s="1" t="s">
        <v>20548</v>
      </c>
      <c r="KD27" s="1" t="s">
        <v>20549</v>
      </c>
      <c r="KE27" s="1" t="s">
        <v>20550</v>
      </c>
      <c r="KF27" s="1" t="s">
        <v>20551</v>
      </c>
      <c r="KG27" s="1" t="s">
        <v>20552</v>
      </c>
      <c r="KH27" s="1" t="s">
        <v>20553</v>
      </c>
      <c r="KI27" s="1" t="s">
        <v>20554</v>
      </c>
      <c r="KJ27" s="1" t="s">
        <v>20555</v>
      </c>
      <c r="KK27" s="1" t="s">
        <v>20556</v>
      </c>
      <c r="KL27" s="1" t="s">
        <v>20557</v>
      </c>
      <c r="KM27" s="1" t="s">
        <v>20558</v>
      </c>
      <c r="KN27" s="1" t="s">
        <v>20559</v>
      </c>
      <c r="KO27" s="1" t="s">
        <v>20560</v>
      </c>
      <c r="KP27" s="1" t="s">
        <v>20561</v>
      </c>
      <c r="KQ27" s="1" t="s">
        <v>20562</v>
      </c>
      <c r="KR27" s="1" t="s">
        <v>20563</v>
      </c>
      <c r="KS27" s="1" t="s">
        <v>20564</v>
      </c>
      <c r="KT27" s="1" t="s">
        <v>20565</v>
      </c>
      <c r="KU27" s="1" t="s">
        <v>20566</v>
      </c>
      <c r="KV27" s="1" t="s">
        <v>20567</v>
      </c>
      <c r="KW27" s="1" t="s">
        <v>20568</v>
      </c>
      <c r="KX27" s="1" t="s">
        <v>20569</v>
      </c>
      <c r="KY27" s="1" t="s">
        <v>20570</v>
      </c>
      <c r="KZ27" s="1" t="s">
        <v>20571</v>
      </c>
      <c r="LA27" s="1" t="s">
        <v>20572</v>
      </c>
      <c r="LB27" s="1" t="s">
        <v>20573</v>
      </c>
      <c r="LC27" s="1" t="s">
        <v>20574</v>
      </c>
      <c r="LD27" s="1" t="s">
        <v>20575</v>
      </c>
      <c r="LE27" s="1" t="s">
        <v>20576</v>
      </c>
      <c r="LF27" s="1" t="s">
        <v>20577</v>
      </c>
      <c r="LG27" s="1" t="s">
        <v>20578</v>
      </c>
      <c r="LH27" s="1" t="s">
        <v>20579</v>
      </c>
      <c r="LI27" s="1" t="s">
        <v>20580</v>
      </c>
      <c r="LJ27" s="1" t="s">
        <v>20581</v>
      </c>
      <c r="LK27" s="1" t="s">
        <v>20582</v>
      </c>
      <c r="LL27" s="1" t="s">
        <v>20583</v>
      </c>
      <c r="LM27" s="1" t="s">
        <v>20584</v>
      </c>
      <c r="LN27" s="1" t="s">
        <v>20585</v>
      </c>
      <c r="LO27" s="1" t="s">
        <v>20586</v>
      </c>
      <c r="LP27" s="1" t="s">
        <v>20587</v>
      </c>
      <c r="LQ27" s="1" t="s">
        <v>20588</v>
      </c>
      <c r="LR27" s="1" t="s">
        <v>20589</v>
      </c>
      <c r="LS27" s="1" t="s">
        <v>20590</v>
      </c>
      <c r="LT27" s="1" t="s">
        <v>20591</v>
      </c>
      <c r="LU27" s="1" t="s">
        <v>20592</v>
      </c>
      <c r="LV27" s="1" t="s">
        <v>20593</v>
      </c>
      <c r="LW27" s="1" t="s">
        <v>20594</v>
      </c>
      <c r="LX27" s="1" t="s">
        <v>20595</v>
      </c>
      <c r="LY27" s="1" t="s">
        <v>20596</v>
      </c>
      <c r="LZ27" s="1" t="s">
        <v>20597</v>
      </c>
      <c r="MA27" s="1" t="s">
        <v>20598</v>
      </c>
      <c r="MB27" s="1" t="s">
        <v>20599</v>
      </c>
      <c r="MC27" s="1" t="s">
        <v>20600</v>
      </c>
      <c r="MD27" s="1" t="s">
        <v>20601</v>
      </c>
      <c r="ME27" s="1" t="s">
        <v>20602</v>
      </c>
      <c r="MF27" s="1" t="s">
        <v>20603</v>
      </c>
      <c r="MG27" s="1" t="s">
        <v>20604</v>
      </c>
      <c r="MH27" s="1" t="s">
        <v>20605</v>
      </c>
      <c r="MI27" s="1" t="s">
        <v>20606</v>
      </c>
      <c r="MJ27" s="1" t="s">
        <v>20607</v>
      </c>
      <c r="MK27" s="1" t="s">
        <v>20608</v>
      </c>
      <c r="ML27" s="1" t="s">
        <v>20609</v>
      </c>
      <c r="MM27" s="1" t="s">
        <v>20610</v>
      </c>
      <c r="MN27" s="1" t="s">
        <v>20611</v>
      </c>
      <c r="MO27" s="1" t="s">
        <v>20612</v>
      </c>
      <c r="MP27" s="1" t="s">
        <v>20613</v>
      </c>
      <c r="MQ27" s="1" t="s">
        <v>20614</v>
      </c>
      <c r="MR27" s="1" t="s">
        <v>20615</v>
      </c>
      <c r="MS27" s="1" t="s">
        <v>20616</v>
      </c>
      <c r="MT27" s="1" t="s">
        <v>20617</v>
      </c>
      <c r="MU27" s="1" t="s">
        <v>20618</v>
      </c>
      <c r="MV27" s="1" t="s">
        <v>20619</v>
      </c>
      <c r="MW27" s="1" t="s">
        <v>20620</v>
      </c>
      <c r="MX27" s="1" t="s">
        <v>20621</v>
      </c>
      <c r="MY27" s="1" t="s">
        <v>20622</v>
      </c>
      <c r="MZ27" s="1" t="s">
        <v>20623</v>
      </c>
      <c r="NA27" s="1" t="s">
        <v>20624</v>
      </c>
      <c r="NB27" s="1" t="s">
        <v>20625</v>
      </c>
      <c r="NC27" s="1" t="s">
        <v>20626</v>
      </c>
      <c r="ND27" s="1" t="s">
        <v>20627</v>
      </c>
      <c r="NE27" s="1" t="s">
        <v>20628</v>
      </c>
      <c r="NF27" s="1" t="s">
        <v>20629</v>
      </c>
      <c r="NG27" s="1" t="s">
        <v>20630</v>
      </c>
      <c r="NH27" s="1" t="s">
        <v>20631</v>
      </c>
      <c r="NI27" s="1" t="s">
        <v>20632</v>
      </c>
      <c r="NJ27" s="1" t="s">
        <v>20633</v>
      </c>
      <c r="NK27" s="1" t="s">
        <v>20634</v>
      </c>
      <c r="NL27" s="1" t="s">
        <v>20635</v>
      </c>
      <c r="NM27" s="1" t="s">
        <v>20636</v>
      </c>
      <c r="NN27" s="1" t="s">
        <v>20637</v>
      </c>
      <c r="NO27" s="1" t="s">
        <v>20638</v>
      </c>
      <c r="NP27" s="1" t="s">
        <v>20639</v>
      </c>
      <c r="NQ27" s="1" t="s">
        <v>20640</v>
      </c>
      <c r="NR27" s="1" t="s">
        <v>20641</v>
      </c>
      <c r="NS27" s="1" t="s">
        <v>20642</v>
      </c>
      <c r="NT27" s="1" t="s">
        <v>20643</v>
      </c>
      <c r="NU27" s="1" t="s">
        <v>20644</v>
      </c>
      <c r="NV27" s="1" t="s">
        <v>20645</v>
      </c>
      <c r="NW27" s="1" t="s">
        <v>20646</v>
      </c>
      <c r="NX27" s="1" t="s">
        <v>20647</v>
      </c>
      <c r="NY27" s="1" t="s">
        <v>20648</v>
      </c>
      <c r="NZ27" s="1" t="s">
        <v>20649</v>
      </c>
      <c r="OA27" s="1" t="s">
        <v>20650</v>
      </c>
      <c r="OB27" s="1" t="s">
        <v>20651</v>
      </c>
      <c r="OC27" s="1" t="s">
        <v>20652</v>
      </c>
      <c r="OD27" s="1" t="s">
        <v>20653</v>
      </c>
      <c r="OE27" s="1" t="s">
        <v>20654</v>
      </c>
      <c r="OF27" s="1" t="s">
        <v>20655</v>
      </c>
      <c r="OG27" s="1" t="s">
        <v>20656</v>
      </c>
      <c r="OH27" s="1" t="s">
        <v>20657</v>
      </c>
      <c r="OI27" s="1" t="s">
        <v>20658</v>
      </c>
      <c r="OJ27" s="1" t="s">
        <v>20659</v>
      </c>
      <c r="OK27" s="1" t="s">
        <v>20660</v>
      </c>
      <c r="OL27" s="1" t="s">
        <v>20661</v>
      </c>
      <c r="OM27" s="1" t="s">
        <v>20662</v>
      </c>
      <c r="ON27" s="1" t="s">
        <v>20663</v>
      </c>
      <c r="OO27" s="1" t="s">
        <v>20664</v>
      </c>
      <c r="OP27" s="1" t="s">
        <v>20665</v>
      </c>
      <c r="OQ27" s="1" t="s">
        <v>20666</v>
      </c>
      <c r="OR27" s="1" t="s">
        <v>20667</v>
      </c>
      <c r="OS27" s="1" t="s">
        <v>20668</v>
      </c>
      <c r="OT27" s="1" t="s">
        <v>20669</v>
      </c>
      <c r="OU27" s="1" t="s">
        <v>20670</v>
      </c>
      <c r="OV27" s="1" t="s">
        <v>20671</v>
      </c>
      <c r="OW27" s="1" t="s">
        <v>20672</v>
      </c>
      <c r="OX27" s="1" t="s">
        <v>20673</v>
      </c>
      <c r="OY27" s="1" t="s">
        <v>20674</v>
      </c>
      <c r="OZ27" s="1" t="s">
        <v>20675</v>
      </c>
      <c r="PA27" s="1" t="s">
        <v>20676</v>
      </c>
      <c r="PB27" s="1" t="s">
        <v>20677</v>
      </c>
      <c r="PC27" s="1" t="s">
        <v>20678</v>
      </c>
      <c r="PD27" s="1" t="s">
        <v>20679</v>
      </c>
      <c r="PE27" s="1" t="s">
        <v>20680</v>
      </c>
      <c r="PF27" s="1" t="s">
        <v>20681</v>
      </c>
      <c r="PG27" s="1" t="s">
        <v>20682</v>
      </c>
      <c r="PH27" s="1" t="s">
        <v>20683</v>
      </c>
      <c r="PI27" s="1" t="s">
        <v>20684</v>
      </c>
      <c r="PJ27" s="1" t="s">
        <v>20685</v>
      </c>
      <c r="PK27" s="1" t="s">
        <v>20686</v>
      </c>
      <c r="PL27" s="1" t="s">
        <v>20687</v>
      </c>
      <c r="PM27" s="1" t="s">
        <v>20688</v>
      </c>
      <c r="PN27" s="1" t="s">
        <v>20689</v>
      </c>
      <c r="PO27" s="1" t="s">
        <v>20690</v>
      </c>
      <c r="PP27" s="1" t="s">
        <v>20691</v>
      </c>
      <c r="PQ27" s="1" t="s">
        <v>20692</v>
      </c>
      <c r="PR27" s="1" t="s">
        <v>20693</v>
      </c>
      <c r="PS27" s="1" t="s">
        <v>20694</v>
      </c>
      <c r="PT27" s="1" t="s">
        <v>20695</v>
      </c>
      <c r="PU27" s="1" t="s">
        <v>20696</v>
      </c>
      <c r="PV27" s="1" t="s">
        <v>20697</v>
      </c>
      <c r="PW27" s="1" t="s">
        <v>20698</v>
      </c>
      <c r="PX27" s="1" t="s">
        <v>20699</v>
      </c>
      <c r="PY27" s="1" t="s">
        <v>20700</v>
      </c>
      <c r="PZ27" s="1" t="s">
        <v>20701</v>
      </c>
      <c r="QA27" s="1" t="s">
        <v>20702</v>
      </c>
      <c r="QB27" s="1" t="s">
        <v>20703</v>
      </c>
      <c r="QC27" s="1" t="s">
        <v>20704</v>
      </c>
      <c r="QD27" s="1" t="s">
        <v>20705</v>
      </c>
      <c r="QE27" s="1" t="s">
        <v>20706</v>
      </c>
      <c r="QF27" s="1" t="s">
        <v>20707</v>
      </c>
      <c r="QG27" s="1" t="s">
        <v>20708</v>
      </c>
      <c r="QH27" s="1" t="s">
        <v>20709</v>
      </c>
      <c r="QI27" s="1" t="s">
        <v>20710</v>
      </c>
      <c r="QJ27" s="1" t="s">
        <v>20711</v>
      </c>
      <c r="QK27" s="1" t="s">
        <v>20712</v>
      </c>
      <c r="QL27" s="1" t="s">
        <v>20713</v>
      </c>
      <c r="QM27" s="1" t="s">
        <v>20714</v>
      </c>
      <c r="QN27" s="1" t="s">
        <v>20715</v>
      </c>
      <c r="QO27" s="1" t="s">
        <v>20716</v>
      </c>
      <c r="QP27" s="1" t="s">
        <v>20717</v>
      </c>
      <c r="QQ27" s="1" t="s">
        <v>20718</v>
      </c>
      <c r="QR27" s="1" t="s">
        <v>20719</v>
      </c>
      <c r="QS27" s="1" t="s">
        <v>20720</v>
      </c>
      <c r="QT27" s="1" t="s">
        <v>20721</v>
      </c>
      <c r="QU27" s="1" t="s">
        <v>20722</v>
      </c>
      <c r="QV27" s="1" t="s">
        <v>20723</v>
      </c>
      <c r="QW27" s="1" t="s">
        <v>20724</v>
      </c>
      <c r="QX27" s="1" t="s">
        <v>20725</v>
      </c>
      <c r="QY27" s="1" t="s">
        <v>20726</v>
      </c>
      <c r="QZ27" s="1" t="s">
        <v>20727</v>
      </c>
      <c r="RA27" s="1" t="s">
        <v>20728</v>
      </c>
      <c r="RB27" s="1" t="s">
        <v>20729</v>
      </c>
      <c r="RC27" s="1" t="s">
        <v>20730</v>
      </c>
      <c r="RD27" s="1" t="s">
        <v>20731</v>
      </c>
      <c r="RE27" s="1" t="s">
        <v>20732</v>
      </c>
      <c r="RF27" s="1" t="s">
        <v>20733</v>
      </c>
      <c r="RG27" s="1" t="s">
        <v>20734</v>
      </c>
      <c r="RH27" s="1" t="s">
        <v>20735</v>
      </c>
      <c r="RI27" s="1" t="s">
        <v>20736</v>
      </c>
      <c r="RJ27" s="1" t="s">
        <v>20737</v>
      </c>
      <c r="RK27" s="1" t="s">
        <v>20738</v>
      </c>
      <c r="RL27" s="1" t="s">
        <v>20739</v>
      </c>
      <c r="RM27" s="1" t="s">
        <v>20740</v>
      </c>
      <c r="RN27" s="1" t="s">
        <v>20741</v>
      </c>
      <c r="RO27" s="1" t="s">
        <v>20742</v>
      </c>
      <c r="RP27" s="1" t="s">
        <v>20743</v>
      </c>
      <c r="RQ27" s="1" t="s">
        <v>20744</v>
      </c>
      <c r="RR27" s="1" t="s">
        <v>20745</v>
      </c>
      <c r="RS27" s="1" t="s">
        <v>20746</v>
      </c>
      <c r="RT27" s="1" t="s">
        <v>20747</v>
      </c>
      <c r="RU27" s="1" t="s">
        <v>20748</v>
      </c>
      <c r="RV27" s="1" t="s">
        <v>20749</v>
      </c>
      <c r="RW27" s="1" t="s">
        <v>20750</v>
      </c>
      <c r="RX27" s="1" t="s">
        <v>20751</v>
      </c>
      <c r="RY27" s="1" t="s">
        <v>20752</v>
      </c>
      <c r="RZ27" s="1" t="s">
        <v>20753</v>
      </c>
      <c r="SA27" s="1" t="s">
        <v>20754</v>
      </c>
      <c r="SB27" s="1" t="s">
        <v>20755</v>
      </c>
      <c r="SC27" s="1" t="s">
        <v>20756</v>
      </c>
      <c r="SD27" s="1" t="s">
        <v>20757</v>
      </c>
      <c r="SE27" s="1" t="s">
        <v>20758</v>
      </c>
      <c r="SF27" s="1" t="s">
        <v>20759</v>
      </c>
      <c r="SG27" s="1" t="s">
        <v>20760</v>
      </c>
      <c r="SH27" s="1" t="s">
        <v>20761</v>
      </c>
      <c r="SI27" s="1" t="s">
        <v>20762</v>
      </c>
      <c r="SJ27" s="1" t="s">
        <v>20763</v>
      </c>
      <c r="SK27" s="1" t="s">
        <v>20764</v>
      </c>
      <c r="SL27" s="1" t="s">
        <v>20765</v>
      </c>
      <c r="SM27" s="1" t="s">
        <v>20766</v>
      </c>
      <c r="SN27" s="1" t="s">
        <v>20767</v>
      </c>
      <c r="SO27" s="1" t="s">
        <v>20768</v>
      </c>
      <c r="SP27" s="1" t="s">
        <v>20769</v>
      </c>
      <c r="SQ27" s="1" t="s">
        <v>20770</v>
      </c>
      <c r="SR27" s="1" t="s">
        <v>20771</v>
      </c>
      <c r="SS27" s="1" t="s">
        <v>20772</v>
      </c>
      <c r="ST27" s="1" t="s">
        <v>20773</v>
      </c>
      <c r="SU27" s="1" t="s">
        <v>20774</v>
      </c>
      <c r="SV27" s="1" t="s">
        <v>20775</v>
      </c>
      <c r="SW27" s="1" t="s">
        <v>20776</v>
      </c>
      <c r="SX27" s="1" t="s">
        <v>20777</v>
      </c>
      <c r="SY27" s="1" t="s">
        <v>20778</v>
      </c>
      <c r="SZ27" s="1" t="s">
        <v>20779</v>
      </c>
      <c r="TA27" s="1" t="s">
        <v>20780</v>
      </c>
      <c r="TB27" s="1" t="s">
        <v>20781</v>
      </c>
      <c r="TC27" s="1" t="s">
        <v>20782</v>
      </c>
      <c r="TD27" s="1" t="s">
        <v>20783</v>
      </c>
      <c r="TE27" s="1" t="s">
        <v>20784</v>
      </c>
      <c r="TF27" s="1" t="s">
        <v>20785</v>
      </c>
      <c r="TG27" s="1" t="s">
        <v>20786</v>
      </c>
      <c r="TH27" s="1" t="s">
        <v>20787</v>
      </c>
      <c r="TI27" s="1" t="s">
        <v>20788</v>
      </c>
      <c r="TJ27" s="1" t="s">
        <v>20789</v>
      </c>
      <c r="TK27" s="1" t="s">
        <v>20790</v>
      </c>
      <c r="TL27" s="1" t="s">
        <v>20791</v>
      </c>
      <c r="TM27" s="1" t="s">
        <v>20792</v>
      </c>
      <c r="TN27" s="1" t="s">
        <v>20793</v>
      </c>
      <c r="TO27" s="1" t="s">
        <v>20794</v>
      </c>
      <c r="TP27" s="1" t="s">
        <v>20795</v>
      </c>
      <c r="TQ27" s="1" t="s">
        <v>20796</v>
      </c>
      <c r="TR27" s="1" t="s">
        <v>20797</v>
      </c>
      <c r="TS27" s="1" t="s">
        <v>20798</v>
      </c>
      <c r="TT27" s="1" t="s">
        <v>20799</v>
      </c>
      <c r="TU27" s="1" t="s">
        <v>20800</v>
      </c>
      <c r="TV27" s="1" t="s">
        <v>20801</v>
      </c>
      <c r="TW27" s="1" t="s">
        <v>20802</v>
      </c>
      <c r="TX27" s="1" t="s">
        <v>20803</v>
      </c>
      <c r="TY27" s="1" t="s">
        <v>20804</v>
      </c>
      <c r="TZ27" s="1" t="s">
        <v>20805</v>
      </c>
      <c r="UA27" s="1" t="s">
        <v>20806</v>
      </c>
      <c r="UB27" s="1" t="s">
        <v>20807</v>
      </c>
      <c r="UC27" s="1" t="s">
        <v>20808</v>
      </c>
      <c r="UD27" s="1" t="s">
        <v>20809</v>
      </c>
      <c r="UE27" s="1" t="s">
        <v>20810</v>
      </c>
      <c r="UF27" s="1" t="s">
        <v>20811</v>
      </c>
      <c r="UG27" s="1" t="s">
        <v>20812</v>
      </c>
      <c r="UH27" s="1" t="s">
        <v>20813</v>
      </c>
      <c r="UI27" s="1" t="s">
        <v>20814</v>
      </c>
      <c r="UJ27" s="1" t="s">
        <v>20815</v>
      </c>
      <c r="UK27" s="1" t="s">
        <v>20816</v>
      </c>
      <c r="UL27" s="1" t="s">
        <v>20817</v>
      </c>
      <c r="UM27" s="1" t="s">
        <v>20818</v>
      </c>
      <c r="UN27" s="1" t="s">
        <v>20819</v>
      </c>
      <c r="UO27" s="1" t="s">
        <v>20820</v>
      </c>
      <c r="UP27" s="1" t="s">
        <v>20821</v>
      </c>
      <c r="UQ27" s="1" t="s">
        <v>20822</v>
      </c>
      <c r="UR27" s="1" t="s">
        <v>20823</v>
      </c>
      <c r="US27" s="1" t="s">
        <v>20824</v>
      </c>
      <c r="UT27" s="1" t="s">
        <v>20825</v>
      </c>
      <c r="UU27" s="1" t="s">
        <v>20826</v>
      </c>
      <c r="UV27" s="1" t="s">
        <v>20827</v>
      </c>
      <c r="UW27" s="1" t="s">
        <v>20828</v>
      </c>
      <c r="UX27" s="1" t="s">
        <v>20829</v>
      </c>
      <c r="UY27" s="1" t="s">
        <v>20830</v>
      </c>
      <c r="UZ27" s="1" t="s">
        <v>20831</v>
      </c>
      <c r="VA27" s="1" t="s">
        <v>20832</v>
      </c>
      <c r="VB27" s="1" t="s">
        <v>20833</v>
      </c>
      <c r="VC27" s="1" t="s">
        <v>20834</v>
      </c>
      <c r="VD27" s="1" t="s">
        <v>20835</v>
      </c>
      <c r="VE27" s="1" t="s">
        <v>20836</v>
      </c>
      <c r="VF27" s="1" t="s">
        <v>20837</v>
      </c>
      <c r="VG27" s="1" t="s">
        <v>20838</v>
      </c>
      <c r="VH27" s="1" t="s">
        <v>20839</v>
      </c>
      <c r="VI27" s="1" t="s">
        <v>20840</v>
      </c>
      <c r="VJ27" s="1" t="s">
        <v>20841</v>
      </c>
      <c r="VK27" s="1" t="s">
        <v>20842</v>
      </c>
      <c r="VL27" s="1" t="s">
        <v>20843</v>
      </c>
      <c r="VM27" s="1" t="s">
        <v>20844</v>
      </c>
      <c r="VN27" s="1" t="s">
        <v>20845</v>
      </c>
      <c r="VO27" s="1" t="s">
        <v>20846</v>
      </c>
      <c r="VP27" s="1" t="s">
        <v>20847</v>
      </c>
      <c r="VQ27" s="1" t="s">
        <v>20848</v>
      </c>
      <c r="VR27" s="1" t="s">
        <v>20849</v>
      </c>
      <c r="VS27" s="1" t="s">
        <v>20850</v>
      </c>
      <c r="VT27" s="1" t="s">
        <v>20851</v>
      </c>
      <c r="VU27" s="1" t="s">
        <v>20852</v>
      </c>
      <c r="VV27" s="1" t="s">
        <v>20853</v>
      </c>
      <c r="VW27" s="1" t="s">
        <v>20854</v>
      </c>
      <c r="VX27" s="1" t="s">
        <v>20855</v>
      </c>
      <c r="VY27" s="1" t="s">
        <v>20856</v>
      </c>
      <c r="VZ27" s="1" t="s">
        <v>20857</v>
      </c>
      <c r="WA27" s="1" t="s">
        <v>20858</v>
      </c>
      <c r="WB27" s="1" t="s">
        <v>20859</v>
      </c>
      <c r="WC27" s="1" t="s">
        <v>20860</v>
      </c>
      <c r="WD27" s="1" t="s">
        <v>20861</v>
      </c>
      <c r="WE27" s="1" t="s">
        <v>20862</v>
      </c>
      <c r="WF27" s="1" t="s">
        <v>20863</v>
      </c>
      <c r="WG27" s="1" t="s">
        <v>20864</v>
      </c>
      <c r="WH27" s="1" t="s">
        <v>20865</v>
      </c>
      <c r="WI27" s="1" t="s">
        <v>20866</v>
      </c>
      <c r="WJ27" s="1" t="s">
        <v>20867</v>
      </c>
      <c r="WK27" s="1" t="s">
        <v>20868</v>
      </c>
      <c r="WL27" s="1" t="s">
        <v>20869</v>
      </c>
      <c r="WM27" s="1" t="s">
        <v>20870</v>
      </c>
      <c r="WN27" s="1" t="s">
        <v>20871</v>
      </c>
      <c r="WO27" s="1" t="s">
        <v>20872</v>
      </c>
      <c r="WP27" s="1" t="s">
        <v>20873</v>
      </c>
      <c r="WQ27" s="1" t="s">
        <v>20874</v>
      </c>
      <c r="WR27" s="1" t="s">
        <v>20875</v>
      </c>
      <c r="WS27" s="1" t="s">
        <v>20876</v>
      </c>
      <c r="WT27" s="1" t="s">
        <v>20877</v>
      </c>
      <c r="WU27" s="1" t="s">
        <v>20878</v>
      </c>
      <c r="WV27" s="1" t="s">
        <v>20879</v>
      </c>
      <c r="WW27" s="1" t="s">
        <v>20880</v>
      </c>
      <c r="WX27" s="1" t="s">
        <v>20881</v>
      </c>
      <c r="WY27" s="1" t="s">
        <v>20882</v>
      </c>
      <c r="WZ27" s="1" t="s">
        <v>20883</v>
      </c>
      <c r="XA27" s="1" t="s">
        <v>20884</v>
      </c>
      <c r="XB27" s="1" t="s">
        <v>20885</v>
      </c>
      <c r="XC27" s="1" t="s">
        <v>20886</v>
      </c>
      <c r="XD27" s="1" t="s">
        <v>20887</v>
      </c>
      <c r="XE27" s="1" t="s">
        <v>20888</v>
      </c>
      <c r="XF27" s="1" t="s">
        <v>20889</v>
      </c>
      <c r="XG27" s="1" t="s">
        <v>20890</v>
      </c>
      <c r="XH27" s="1" t="s">
        <v>20891</v>
      </c>
      <c r="XI27" s="1" t="s">
        <v>20892</v>
      </c>
      <c r="XJ27" s="1" t="s">
        <v>20893</v>
      </c>
      <c r="XK27" s="1" t="s">
        <v>20894</v>
      </c>
      <c r="XL27" s="1" t="s">
        <v>20895</v>
      </c>
      <c r="XM27" s="1" t="s">
        <v>20896</v>
      </c>
      <c r="XN27" s="1" t="s">
        <v>20897</v>
      </c>
      <c r="XO27" s="1" t="s">
        <v>20898</v>
      </c>
      <c r="XP27" s="1" t="s">
        <v>20899</v>
      </c>
      <c r="XQ27" s="1" t="s">
        <v>20900</v>
      </c>
      <c r="XR27" s="1" t="s">
        <v>20901</v>
      </c>
      <c r="XS27" s="1" t="s">
        <v>20902</v>
      </c>
      <c r="XT27" s="1" t="s">
        <v>20903</v>
      </c>
      <c r="XU27" s="1" t="s">
        <v>20904</v>
      </c>
      <c r="XV27" s="1" t="s">
        <v>20905</v>
      </c>
      <c r="XW27" s="1" t="s">
        <v>20906</v>
      </c>
      <c r="XX27" s="1" t="s">
        <v>20907</v>
      </c>
      <c r="XY27" s="1" t="s">
        <v>20908</v>
      </c>
      <c r="XZ27" s="1" t="s">
        <v>20909</v>
      </c>
      <c r="YA27" s="1" t="s">
        <v>20910</v>
      </c>
      <c r="YB27" s="1" t="s">
        <v>20911</v>
      </c>
      <c r="YC27" s="1" t="s">
        <v>20912</v>
      </c>
      <c r="YD27" s="1" t="s">
        <v>20913</v>
      </c>
      <c r="YE27" s="1" t="s">
        <v>20914</v>
      </c>
      <c r="YF27" s="1" t="s">
        <v>20915</v>
      </c>
      <c r="YG27" s="1" t="s">
        <v>20916</v>
      </c>
      <c r="YH27" s="1" t="s">
        <v>20917</v>
      </c>
      <c r="YI27" s="1" t="s">
        <v>20918</v>
      </c>
      <c r="YJ27" s="1" t="s">
        <v>20919</v>
      </c>
      <c r="YK27" s="1" t="s">
        <v>20920</v>
      </c>
      <c r="YL27" s="1" t="s">
        <v>20921</v>
      </c>
      <c r="YM27" s="1" t="s">
        <v>20922</v>
      </c>
      <c r="YN27" s="1" t="s">
        <v>20923</v>
      </c>
      <c r="YO27" s="1" t="s">
        <v>20924</v>
      </c>
      <c r="YP27" s="1" t="s">
        <v>20925</v>
      </c>
      <c r="YQ27" s="1" t="s">
        <v>20926</v>
      </c>
      <c r="YR27" s="1" t="s">
        <v>20927</v>
      </c>
      <c r="YS27" s="1" t="s">
        <v>20928</v>
      </c>
      <c r="YT27" s="1" t="s">
        <v>20929</v>
      </c>
      <c r="YU27" s="1" t="s">
        <v>20930</v>
      </c>
      <c r="YV27" s="1" t="s">
        <v>20931</v>
      </c>
      <c r="YW27" s="1" t="s">
        <v>20932</v>
      </c>
      <c r="YX27" s="1" t="s">
        <v>20933</v>
      </c>
      <c r="YY27" s="1" t="s">
        <v>20934</v>
      </c>
      <c r="YZ27" s="1" t="s">
        <v>20935</v>
      </c>
      <c r="ZA27" s="1" t="s">
        <v>20936</v>
      </c>
      <c r="ZB27" s="1" t="s">
        <v>20937</v>
      </c>
      <c r="ZC27" s="1" t="s">
        <v>20938</v>
      </c>
      <c r="ZD27" s="1" t="s">
        <v>20939</v>
      </c>
      <c r="ZE27" s="1" t="s">
        <v>20940</v>
      </c>
      <c r="ZF27" s="1" t="s">
        <v>20941</v>
      </c>
      <c r="ZG27" s="1" t="s">
        <v>20942</v>
      </c>
      <c r="ZH27" s="1" t="s">
        <v>20943</v>
      </c>
      <c r="ZI27" s="1" t="s">
        <v>20944</v>
      </c>
      <c r="ZJ27" s="1" t="s">
        <v>20945</v>
      </c>
      <c r="ZK27" s="1" t="s">
        <v>20946</v>
      </c>
      <c r="ZL27" s="1" t="s">
        <v>20947</v>
      </c>
      <c r="ZM27" s="1" t="s">
        <v>20948</v>
      </c>
      <c r="ZN27" s="1" t="s">
        <v>20949</v>
      </c>
      <c r="ZO27" s="1" t="s">
        <v>20950</v>
      </c>
      <c r="ZP27" s="1" t="s">
        <v>20951</v>
      </c>
      <c r="ZQ27" s="1" t="s">
        <v>20952</v>
      </c>
      <c r="ZR27" s="1" t="s">
        <v>20953</v>
      </c>
      <c r="ZS27" s="1" t="s">
        <v>20954</v>
      </c>
      <c r="ZT27" s="1" t="s">
        <v>20955</v>
      </c>
      <c r="ZU27" s="1" t="s">
        <v>20956</v>
      </c>
      <c r="ZV27" s="1" t="s">
        <v>20957</v>
      </c>
      <c r="ZW27" s="1" t="s">
        <v>20958</v>
      </c>
      <c r="ZX27" s="1" t="s">
        <v>20959</v>
      </c>
      <c r="ZY27" s="1" t="s">
        <v>20960</v>
      </c>
      <c r="ZZ27" s="1" t="s">
        <v>20961</v>
      </c>
      <c r="AAA27" s="1" t="s">
        <v>20962</v>
      </c>
      <c r="AAB27" s="1" t="s">
        <v>20963</v>
      </c>
      <c r="AAC27" s="1" t="s">
        <v>20964</v>
      </c>
      <c r="AAD27" s="1" t="s">
        <v>20965</v>
      </c>
      <c r="AAE27" s="1" t="s">
        <v>20966</v>
      </c>
      <c r="AAF27" s="1" t="s">
        <v>20967</v>
      </c>
      <c r="AAG27" s="1" t="s">
        <v>20968</v>
      </c>
      <c r="AAH27" s="1" t="s">
        <v>20969</v>
      </c>
      <c r="AAI27" s="1" t="s">
        <v>20970</v>
      </c>
      <c r="AAJ27" s="1" t="s">
        <v>20971</v>
      </c>
      <c r="AAK27" s="1" t="s">
        <v>20972</v>
      </c>
      <c r="AAL27" s="1" t="s">
        <v>20973</v>
      </c>
      <c r="AAM27" s="1" t="s">
        <v>20974</v>
      </c>
      <c r="AAN27" s="1" t="s">
        <v>20975</v>
      </c>
      <c r="AAO27" s="1" t="s">
        <v>20976</v>
      </c>
      <c r="AAP27" s="1" t="s">
        <v>20977</v>
      </c>
      <c r="AAQ27" s="1" t="s">
        <v>20978</v>
      </c>
      <c r="AAR27" s="1" t="s">
        <v>20979</v>
      </c>
      <c r="AAS27" s="1" t="s">
        <v>20980</v>
      </c>
      <c r="AAT27" s="1" t="s">
        <v>20981</v>
      </c>
      <c r="AAU27" s="1" t="s">
        <v>20982</v>
      </c>
      <c r="AAV27" s="1" t="s">
        <v>20983</v>
      </c>
      <c r="AAW27" s="1" t="s">
        <v>20984</v>
      </c>
      <c r="AAX27" s="1" t="s">
        <v>20985</v>
      </c>
      <c r="AAY27" s="1" t="s">
        <v>20986</v>
      </c>
      <c r="AAZ27" s="1" t="s">
        <v>20987</v>
      </c>
      <c r="ABA27" s="1" t="s">
        <v>20988</v>
      </c>
      <c r="ABB27" s="1" t="s">
        <v>20989</v>
      </c>
      <c r="ABC27" s="1" t="s">
        <v>20990</v>
      </c>
      <c r="ABD27" s="1" t="s">
        <v>20991</v>
      </c>
      <c r="ABE27" s="1" t="s">
        <v>20992</v>
      </c>
      <c r="ABF27" s="1" t="s">
        <v>20993</v>
      </c>
      <c r="ABG27" s="1" t="s">
        <v>20994</v>
      </c>
      <c r="ABH27" s="1" t="s">
        <v>20995</v>
      </c>
      <c r="ABI27" s="1" t="s">
        <v>20996</v>
      </c>
      <c r="ABJ27" s="1" t="s">
        <v>20997</v>
      </c>
      <c r="ABK27" s="1" t="s">
        <v>20998</v>
      </c>
      <c r="ABL27" s="1" t="s">
        <v>20999</v>
      </c>
      <c r="ABM27" s="1" t="s">
        <v>21000</v>
      </c>
      <c r="ABN27" s="1" t="s">
        <v>21001</v>
      </c>
      <c r="ABO27" s="1" t="s">
        <v>21002</v>
      </c>
      <c r="ABP27" s="1" t="s">
        <v>21003</v>
      </c>
      <c r="ABQ27" s="1" t="s">
        <v>21004</v>
      </c>
      <c r="ABR27" s="1" t="s">
        <v>21005</v>
      </c>
      <c r="ABS27" s="1" t="s">
        <v>21006</v>
      </c>
      <c r="ABT27" s="1" t="s">
        <v>21007</v>
      </c>
      <c r="ABU27" s="1" t="s">
        <v>21008</v>
      </c>
      <c r="ABV27" s="1" t="s">
        <v>21009</v>
      </c>
      <c r="ABW27" s="1" t="s">
        <v>21010</v>
      </c>
      <c r="ABX27" s="1" t="s">
        <v>21011</v>
      </c>
      <c r="ABY27" s="1" t="s">
        <v>21012</v>
      </c>
      <c r="ABZ27" s="1" t="s">
        <v>21013</v>
      </c>
      <c r="ACA27" s="1" t="s">
        <v>21014</v>
      </c>
      <c r="ACB27" s="1" t="s">
        <v>21015</v>
      </c>
      <c r="ACC27" s="1" t="s">
        <v>21016</v>
      </c>
      <c r="ACD27" s="1" t="s">
        <v>21017</v>
      </c>
      <c r="ACE27" s="1" t="s">
        <v>21018</v>
      </c>
      <c r="ACF27" s="1" t="s">
        <v>21019</v>
      </c>
      <c r="ACG27" s="1" t="s">
        <v>21020</v>
      </c>
      <c r="ACH27" s="1" t="s">
        <v>21021</v>
      </c>
      <c r="ACI27" s="1" t="s">
        <v>21022</v>
      </c>
      <c r="ACJ27" s="1" t="s">
        <v>21023</v>
      </c>
      <c r="ACK27" s="1" t="s">
        <v>21024</v>
      </c>
      <c r="ACL27" s="1" t="s">
        <v>21025</v>
      </c>
      <c r="ACM27" s="1" t="s">
        <v>21026</v>
      </c>
      <c r="ACN27" s="1" t="s">
        <v>21027</v>
      </c>
      <c r="ACO27" s="1" t="s">
        <v>21028</v>
      </c>
      <c r="ACP27" s="1" t="s">
        <v>21029</v>
      </c>
      <c r="ACQ27" s="1" t="s">
        <v>21030</v>
      </c>
      <c r="ACR27" s="1" t="s">
        <v>21031</v>
      </c>
      <c r="ACS27" s="1" t="s">
        <v>21032</v>
      </c>
      <c r="ACT27" s="1" t="s">
        <v>21033</v>
      </c>
      <c r="ACU27" s="1" t="s">
        <v>21034</v>
      </c>
      <c r="ACV27" s="1" t="s">
        <v>21035</v>
      </c>
      <c r="ACW27" s="1" t="s">
        <v>17</v>
      </c>
      <c r="ACX27" s="1" t="s">
        <v>1502</v>
      </c>
    </row>
    <row r="28" spans="1:778" x14ac:dyDescent="0.2">
      <c r="A28" s="1" t="s">
        <v>67</v>
      </c>
      <c r="B28" s="1" t="s">
        <v>21036</v>
      </c>
      <c r="C28" s="1" t="s">
        <v>21037</v>
      </c>
      <c r="D28" s="1" t="s">
        <v>21038</v>
      </c>
      <c r="E28" s="1" t="s">
        <v>21039</v>
      </c>
      <c r="F28" s="1" t="s">
        <v>21040</v>
      </c>
      <c r="G28" s="1" t="s">
        <v>21041</v>
      </c>
      <c r="H28" s="1" t="s">
        <v>21042</v>
      </c>
      <c r="I28" s="1" t="s">
        <v>21043</v>
      </c>
      <c r="J28" s="1" t="s">
        <v>21044</v>
      </c>
      <c r="K28" s="1" t="s">
        <v>21045</v>
      </c>
      <c r="L28" s="1" t="s">
        <v>21046</v>
      </c>
      <c r="M28" s="1" t="s">
        <v>21047</v>
      </c>
      <c r="N28" s="1" t="s">
        <v>21048</v>
      </c>
      <c r="O28" s="1" t="s">
        <v>21049</v>
      </c>
      <c r="P28" s="1" t="s">
        <v>21050</v>
      </c>
      <c r="Q28" s="1" t="s">
        <v>21051</v>
      </c>
      <c r="R28" s="1" t="s">
        <v>21052</v>
      </c>
      <c r="S28" s="1" t="s">
        <v>21053</v>
      </c>
      <c r="T28" s="1" t="s">
        <v>21054</v>
      </c>
      <c r="U28" s="1" t="s">
        <v>21055</v>
      </c>
      <c r="V28" s="1" t="s">
        <v>21056</v>
      </c>
      <c r="W28" s="1" t="s">
        <v>21057</v>
      </c>
      <c r="X28" s="1" t="s">
        <v>21058</v>
      </c>
      <c r="Y28" s="1" t="s">
        <v>21059</v>
      </c>
      <c r="Z28" s="1" t="s">
        <v>21060</v>
      </c>
      <c r="AA28" s="1" t="s">
        <v>21061</v>
      </c>
      <c r="AB28" s="1" t="s">
        <v>21062</v>
      </c>
      <c r="AC28" s="1" t="s">
        <v>21063</v>
      </c>
      <c r="AD28" s="1" t="s">
        <v>21064</v>
      </c>
      <c r="AE28" s="1" t="s">
        <v>21065</v>
      </c>
      <c r="AF28" s="1" t="s">
        <v>21066</v>
      </c>
      <c r="AG28" s="1" t="s">
        <v>21067</v>
      </c>
      <c r="AH28" s="1" t="s">
        <v>21068</v>
      </c>
      <c r="AI28" s="1" t="s">
        <v>21069</v>
      </c>
      <c r="AJ28" s="1" t="s">
        <v>21070</v>
      </c>
      <c r="AK28" s="1" t="s">
        <v>21071</v>
      </c>
      <c r="AL28" s="1" t="s">
        <v>21072</v>
      </c>
      <c r="AM28" s="1" t="s">
        <v>21073</v>
      </c>
      <c r="AN28" s="1" t="s">
        <v>21074</v>
      </c>
      <c r="AO28" s="1" t="s">
        <v>21075</v>
      </c>
      <c r="AP28" s="1" t="s">
        <v>21076</v>
      </c>
      <c r="AQ28" s="1" t="s">
        <v>21077</v>
      </c>
      <c r="AR28" s="1" t="s">
        <v>21078</v>
      </c>
      <c r="AS28" s="1" t="s">
        <v>21079</v>
      </c>
      <c r="AT28" s="1" t="s">
        <v>21080</v>
      </c>
      <c r="AU28" s="1" t="s">
        <v>21081</v>
      </c>
      <c r="AV28" s="1" t="s">
        <v>21082</v>
      </c>
      <c r="AW28" s="1" t="s">
        <v>21083</v>
      </c>
      <c r="AX28" s="1" t="s">
        <v>21084</v>
      </c>
      <c r="AY28" s="1" t="s">
        <v>21085</v>
      </c>
      <c r="AZ28" s="1" t="s">
        <v>21086</v>
      </c>
      <c r="BA28" s="1" t="s">
        <v>21087</v>
      </c>
      <c r="BB28" s="1" t="s">
        <v>21088</v>
      </c>
      <c r="BC28" s="1" t="s">
        <v>21089</v>
      </c>
      <c r="BD28" s="1" t="s">
        <v>21090</v>
      </c>
      <c r="BE28" s="1" t="s">
        <v>21091</v>
      </c>
      <c r="BF28" s="1" t="s">
        <v>21092</v>
      </c>
      <c r="BG28" s="1" t="s">
        <v>21093</v>
      </c>
      <c r="BH28" s="1" t="s">
        <v>21094</v>
      </c>
      <c r="BI28" s="1" t="s">
        <v>21095</v>
      </c>
      <c r="BJ28" s="1" t="s">
        <v>21096</v>
      </c>
      <c r="BK28" s="1" t="s">
        <v>21097</v>
      </c>
      <c r="BL28" s="1" t="s">
        <v>21098</v>
      </c>
      <c r="BM28" s="1" t="s">
        <v>21099</v>
      </c>
      <c r="BN28" s="1" t="s">
        <v>21100</v>
      </c>
      <c r="BO28" s="1" t="s">
        <v>21101</v>
      </c>
      <c r="BP28" s="1" t="s">
        <v>21102</v>
      </c>
      <c r="BQ28" s="1" t="s">
        <v>21103</v>
      </c>
      <c r="BR28" s="1" t="s">
        <v>21104</v>
      </c>
      <c r="BS28" s="1" t="s">
        <v>21105</v>
      </c>
      <c r="BT28" s="1" t="s">
        <v>21106</v>
      </c>
      <c r="BU28" s="1" t="s">
        <v>21107</v>
      </c>
      <c r="BV28" s="1" t="s">
        <v>21108</v>
      </c>
      <c r="BW28" s="1" t="s">
        <v>21109</v>
      </c>
      <c r="BX28" s="1" t="s">
        <v>21110</v>
      </c>
      <c r="BY28" s="1" t="s">
        <v>21111</v>
      </c>
      <c r="BZ28" s="1" t="s">
        <v>21112</v>
      </c>
      <c r="CA28" s="1" t="s">
        <v>21113</v>
      </c>
      <c r="CB28" s="1" t="s">
        <v>21114</v>
      </c>
      <c r="CC28" s="1" t="s">
        <v>21115</v>
      </c>
      <c r="CD28" s="1" t="s">
        <v>21116</v>
      </c>
      <c r="CE28" s="1" t="s">
        <v>21117</v>
      </c>
      <c r="CF28" s="1" t="s">
        <v>21118</v>
      </c>
      <c r="CG28" s="1" t="s">
        <v>21119</v>
      </c>
      <c r="CH28" s="1" t="s">
        <v>21120</v>
      </c>
      <c r="CI28" s="1" t="s">
        <v>21121</v>
      </c>
      <c r="CJ28" s="1" t="s">
        <v>21122</v>
      </c>
      <c r="CK28" s="1" t="s">
        <v>21123</v>
      </c>
      <c r="CL28" s="1" t="s">
        <v>21124</v>
      </c>
      <c r="CM28" s="1" t="s">
        <v>21125</v>
      </c>
      <c r="CN28" s="1" t="s">
        <v>21126</v>
      </c>
      <c r="CO28" s="1" t="s">
        <v>21127</v>
      </c>
      <c r="CP28" s="1" t="s">
        <v>21128</v>
      </c>
      <c r="CQ28" s="1" t="s">
        <v>21129</v>
      </c>
      <c r="CR28" s="1" t="s">
        <v>21130</v>
      </c>
      <c r="CS28" s="1" t="s">
        <v>21131</v>
      </c>
      <c r="CT28" s="1" t="s">
        <v>21132</v>
      </c>
      <c r="CU28" s="1" t="s">
        <v>21133</v>
      </c>
      <c r="CV28" s="1" t="s">
        <v>21134</v>
      </c>
      <c r="CW28" s="1" t="s">
        <v>21135</v>
      </c>
      <c r="CX28" s="1" t="s">
        <v>21136</v>
      </c>
      <c r="CY28" s="1" t="s">
        <v>21137</v>
      </c>
      <c r="CZ28" s="1" t="s">
        <v>21138</v>
      </c>
      <c r="DA28" s="1" t="s">
        <v>21139</v>
      </c>
      <c r="DB28" s="1" t="s">
        <v>21140</v>
      </c>
      <c r="DC28" s="1" t="s">
        <v>21141</v>
      </c>
      <c r="DD28" s="1" t="s">
        <v>21142</v>
      </c>
      <c r="DE28" s="1" t="s">
        <v>21143</v>
      </c>
      <c r="DF28" s="1" t="s">
        <v>21144</v>
      </c>
      <c r="DG28" s="1" t="s">
        <v>21145</v>
      </c>
      <c r="DH28" s="1" t="s">
        <v>21146</v>
      </c>
      <c r="DI28" s="1" t="s">
        <v>21147</v>
      </c>
      <c r="DJ28" s="1" t="s">
        <v>21148</v>
      </c>
      <c r="DK28" s="1" t="s">
        <v>21149</v>
      </c>
      <c r="DL28" s="1" t="s">
        <v>21150</v>
      </c>
      <c r="DM28" s="1" t="s">
        <v>21151</v>
      </c>
      <c r="DN28" s="1" t="s">
        <v>21152</v>
      </c>
      <c r="DO28" s="1" t="s">
        <v>21153</v>
      </c>
      <c r="DP28" s="1" t="s">
        <v>21154</v>
      </c>
      <c r="DQ28" s="1" t="s">
        <v>21155</v>
      </c>
      <c r="DR28" s="1" t="s">
        <v>21156</v>
      </c>
      <c r="DS28" s="1" t="s">
        <v>21157</v>
      </c>
      <c r="DT28" s="1" t="s">
        <v>21158</v>
      </c>
      <c r="DU28" s="1" t="s">
        <v>21159</v>
      </c>
      <c r="DV28" s="1" t="s">
        <v>21160</v>
      </c>
      <c r="DW28" s="1" t="s">
        <v>21161</v>
      </c>
      <c r="DX28" s="1" t="s">
        <v>21162</v>
      </c>
      <c r="DY28" s="1" t="s">
        <v>21163</v>
      </c>
      <c r="DZ28" s="1" t="s">
        <v>21164</v>
      </c>
      <c r="EA28" s="1" t="s">
        <v>21165</v>
      </c>
      <c r="EB28" s="1" t="s">
        <v>21166</v>
      </c>
      <c r="EC28" s="1" t="s">
        <v>21167</v>
      </c>
      <c r="ED28" s="1" t="s">
        <v>21168</v>
      </c>
      <c r="EE28" s="1" t="s">
        <v>21169</v>
      </c>
      <c r="EF28" s="1" t="s">
        <v>21170</v>
      </c>
      <c r="EG28" s="1" t="s">
        <v>21171</v>
      </c>
      <c r="EH28" s="1" t="s">
        <v>21172</v>
      </c>
      <c r="EI28" s="1" t="s">
        <v>21173</v>
      </c>
      <c r="EJ28" s="1" t="s">
        <v>21174</v>
      </c>
      <c r="EK28" s="1" t="s">
        <v>21175</v>
      </c>
      <c r="EL28" s="1" t="s">
        <v>21176</v>
      </c>
      <c r="EM28" s="1" t="s">
        <v>21177</v>
      </c>
      <c r="EN28" s="1" t="s">
        <v>21178</v>
      </c>
      <c r="EO28" s="1" t="s">
        <v>21179</v>
      </c>
      <c r="EP28" s="1" t="s">
        <v>21180</v>
      </c>
      <c r="EQ28" s="1" t="s">
        <v>21181</v>
      </c>
      <c r="ER28" s="1" t="s">
        <v>21182</v>
      </c>
      <c r="ES28" s="1" t="s">
        <v>21183</v>
      </c>
      <c r="ET28" s="1" t="s">
        <v>21184</v>
      </c>
      <c r="EU28" s="1" t="s">
        <v>21185</v>
      </c>
      <c r="EV28" s="1" t="s">
        <v>21186</v>
      </c>
      <c r="EW28" s="1" t="s">
        <v>21187</v>
      </c>
      <c r="EX28" s="1" t="s">
        <v>21188</v>
      </c>
      <c r="EY28" s="1" t="s">
        <v>21189</v>
      </c>
      <c r="EZ28" s="1" t="s">
        <v>21190</v>
      </c>
      <c r="FA28" s="1" t="s">
        <v>21191</v>
      </c>
      <c r="FB28" s="1" t="s">
        <v>21192</v>
      </c>
      <c r="FC28" s="1" t="s">
        <v>21193</v>
      </c>
      <c r="FD28" s="1" t="s">
        <v>21194</v>
      </c>
      <c r="FE28" s="1" t="s">
        <v>21195</v>
      </c>
      <c r="FF28" s="1" t="s">
        <v>21196</v>
      </c>
      <c r="FG28" s="1" t="s">
        <v>21197</v>
      </c>
      <c r="FH28" s="1" t="s">
        <v>21198</v>
      </c>
      <c r="FI28" s="1" t="s">
        <v>21199</v>
      </c>
      <c r="FJ28" s="1" t="s">
        <v>21200</v>
      </c>
      <c r="FK28" s="1" t="s">
        <v>21201</v>
      </c>
      <c r="FL28" s="1" t="s">
        <v>21202</v>
      </c>
      <c r="FM28" s="1" t="s">
        <v>21203</v>
      </c>
      <c r="FN28" s="1" t="s">
        <v>21204</v>
      </c>
      <c r="FO28" s="1" t="s">
        <v>21205</v>
      </c>
      <c r="FP28" s="1" t="s">
        <v>21206</v>
      </c>
      <c r="FQ28" s="1" t="s">
        <v>21207</v>
      </c>
      <c r="FR28" s="1" t="s">
        <v>21208</v>
      </c>
      <c r="FS28" s="1" t="s">
        <v>21209</v>
      </c>
      <c r="FT28" s="1" t="s">
        <v>21210</v>
      </c>
      <c r="FU28" s="1" t="s">
        <v>21211</v>
      </c>
      <c r="FV28" s="1" t="s">
        <v>21212</v>
      </c>
      <c r="FW28" s="1" t="s">
        <v>21213</v>
      </c>
      <c r="FX28" s="1" t="s">
        <v>21214</v>
      </c>
      <c r="FY28" s="1" t="s">
        <v>21215</v>
      </c>
      <c r="FZ28" s="1" t="s">
        <v>21216</v>
      </c>
      <c r="GA28" s="1" t="s">
        <v>21217</v>
      </c>
      <c r="GB28" s="1" t="s">
        <v>21218</v>
      </c>
      <c r="GC28" s="1" t="s">
        <v>21219</v>
      </c>
      <c r="GD28" s="1" t="s">
        <v>21220</v>
      </c>
      <c r="GE28" s="1" t="s">
        <v>21221</v>
      </c>
      <c r="GF28" s="1" t="s">
        <v>21222</v>
      </c>
      <c r="GG28" s="1" t="s">
        <v>21223</v>
      </c>
      <c r="GH28" s="1" t="s">
        <v>21224</v>
      </c>
      <c r="GI28" s="1" t="s">
        <v>21225</v>
      </c>
      <c r="GJ28" s="1" t="s">
        <v>21226</v>
      </c>
      <c r="GK28" s="1" t="s">
        <v>21227</v>
      </c>
      <c r="GL28" s="1" t="s">
        <v>21228</v>
      </c>
      <c r="GM28" s="1" t="s">
        <v>21229</v>
      </c>
      <c r="GN28" s="1" t="s">
        <v>21230</v>
      </c>
      <c r="GO28" s="1" t="s">
        <v>21231</v>
      </c>
      <c r="GP28" s="1" t="s">
        <v>21232</v>
      </c>
      <c r="GQ28" s="1" t="s">
        <v>21233</v>
      </c>
      <c r="GR28" s="1" t="s">
        <v>21234</v>
      </c>
      <c r="GS28" s="1" t="s">
        <v>21235</v>
      </c>
      <c r="GT28" s="1" t="s">
        <v>21236</v>
      </c>
      <c r="GU28" s="1" t="s">
        <v>21237</v>
      </c>
      <c r="GV28" s="1" t="s">
        <v>21238</v>
      </c>
      <c r="GW28" s="1" t="s">
        <v>21239</v>
      </c>
      <c r="GX28" s="1" t="s">
        <v>21240</v>
      </c>
      <c r="GY28" s="1" t="s">
        <v>21241</v>
      </c>
      <c r="GZ28" s="1" t="s">
        <v>21242</v>
      </c>
      <c r="HA28" s="1" t="s">
        <v>21243</v>
      </c>
      <c r="HB28" s="1" t="s">
        <v>21244</v>
      </c>
      <c r="HC28" s="1" t="s">
        <v>21245</v>
      </c>
      <c r="HD28" s="1" t="s">
        <v>21246</v>
      </c>
      <c r="HE28" s="1" t="s">
        <v>21247</v>
      </c>
      <c r="HF28" s="1" t="s">
        <v>21248</v>
      </c>
      <c r="HG28" s="1" t="s">
        <v>21249</v>
      </c>
      <c r="HH28" s="1" t="s">
        <v>21250</v>
      </c>
      <c r="HI28" s="1" t="s">
        <v>21251</v>
      </c>
      <c r="HJ28" s="1" t="s">
        <v>21252</v>
      </c>
      <c r="HK28" s="1" t="s">
        <v>21253</v>
      </c>
      <c r="HL28" s="1" t="s">
        <v>21254</v>
      </c>
      <c r="HM28" s="1" t="s">
        <v>21255</v>
      </c>
      <c r="HN28" s="1" t="s">
        <v>21256</v>
      </c>
      <c r="HO28" s="1" t="s">
        <v>21257</v>
      </c>
      <c r="HP28" s="1" t="s">
        <v>21258</v>
      </c>
      <c r="HQ28" s="1" t="s">
        <v>21259</v>
      </c>
      <c r="HR28" s="1" t="s">
        <v>21260</v>
      </c>
      <c r="HS28" s="1" t="s">
        <v>21261</v>
      </c>
      <c r="HT28" s="1" t="s">
        <v>21262</v>
      </c>
      <c r="HU28" s="1" t="s">
        <v>21263</v>
      </c>
      <c r="HV28" s="1" t="s">
        <v>21264</v>
      </c>
      <c r="HW28" s="1" t="s">
        <v>21265</v>
      </c>
      <c r="HX28" s="1" t="s">
        <v>21266</v>
      </c>
      <c r="HY28" s="1" t="s">
        <v>21267</v>
      </c>
      <c r="HZ28" s="1" t="s">
        <v>21268</v>
      </c>
      <c r="IA28" s="1" t="s">
        <v>21269</v>
      </c>
      <c r="IB28" s="1" t="s">
        <v>21270</v>
      </c>
      <c r="IC28" s="1" t="s">
        <v>21271</v>
      </c>
      <c r="ID28" s="1" t="s">
        <v>21272</v>
      </c>
      <c r="IE28" s="1" t="s">
        <v>21273</v>
      </c>
      <c r="IF28" s="1" t="s">
        <v>21274</v>
      </c>
      <c r="IG28" s="1" t="s">
        <v>21275</v>
      </c>
      <c r="IH28" s="1" t="s">
        <v>21276</v>
      </c>
      <c r="II28" s="1" t="s">
        <v>21277</v>
      </c>
      <c r="IJ28" s="1" t="s">
        <v>21278</v>
      </c>
      <c r="IK28" s="1" t="s">
        <v>21279</v>
      </c>
      <c r="IL28" s="1" t="s">
        <v>21280</v>
      </c>
      <c r="IM28" s="1" t="s">
        <v>21281</v>
      </c>
      <c r="IN28" s="1" t="s">
        <v>21282</v>
      </c>
      <c r="IO28" s="1" t="s">
        <v>21283</v>
      </c>
      <c r="IP28" s="1" t="s">
        <v>21284</v>
      </c>
      <c r="IQ28" s="1" t="s">
        <v>21285</v>
      </c>
      <c r="IR28" s="1" t="s">
        <v>21286</v>
      </c>
      <c r="IS28" s="1" t="s">
        <v>21287</v>
      </c>
      <c r="IT28" s="1" t="s">
        <v>21288</v>
      </c>
      <c r="IU28" s="1" t="s">
        <v>21289</v>
      </c>
      <c r="IV28" s="1" t="s">
        <v>21290</v>
      </c>
      <c r="IW28" s="1" t="s">
        <v>21291</v>
      </c>
      <c r="IX28" s="1" t="s">
        <v>21292</v>
      </c>
      <c r="IY28" s="1" t="s">
        <v>21293</v>
      </c>
      <c r="IZ28" s="1" t="s">
        <v>21294</v>
      </c>
      <c r="JA28" s="1" t="s">
        <v>21295</v>
      </c>
      <c r="JB28" s="1" t="s">
        <v>21296</v>
      </c>
      <c r="JC28" s="1" t="s">
        <v>21297</v>
      </c>
      <c r="JD28" s="1" t="s">
        <v>21298</v>
      </c>
      <c r="JE28" s="1" t="s">
        <v>21299</v>
      </c>
      <c r="JF28" s="1" t="s">
        <v>21300</v>
      </c>
      <c r="JG28" s="1" t="s">
        <v>21301</v>
      </c>
      <c r="JH28" s="1" t="s">
        <v>21302</v>
      </c>
      <c r="JI28" s="1" t="s">
        <v>21303</v>
      </c>
      <c r="JJ28" s="1" t="s">
        <v>21304</v>
      </c>
      <c r="JK28" s="1" t="s">
        <v>21305</v>
      </c>
      <c r="JL28" s="1" t="s">
        <v>21306</v>
      </c>
      <c r="JM28" s="1" t="s">
        <v>21307</v>
      </c>
      <c r="JN28" s="1" t="s">
        <v>21308</v>
      </c>
      <c r="JO28" s="1" t="s">
        <v>21309</v>
      </c>
      <c r="JP28" s="1" t="s">
        <v>21310</v>
      </c>
      <c r="JQ28" s="1" t="s">
        <v>21311</v>
      </c>
      <c r="JR28" s="1" t="s">
        <v>21312</v>
      </c>
      <c r="JS28" s="1" t="s">
        <v>21313</v>
      </c>
      <c r="JT28" s="1" t="s">
        <v>21314</v>
      </c>
      <c r="JU28" s="1" t="s">
        <v>21315</v>
      </c>
      <c r="JV28" s="1" t="s">
        <v>21316</v>
      </c>
      <c r="JW28" s="1" t="s">
        <v>21317</v>
      </c>
      <c r="JX28" s="1" t="s">
        <v>21318</v>
      </c>
      <c r="JY28" s="1" t="s">
        <v>21319</v>
      </c>
      <c r="JZ28" s="1" t="s">
        <v>21320</v>
      </c>
      <c r="KA28" s="1" t="s">
        <v>21321</v>
      </c>
      <c r="KB28" s="1" t="s">
        <v>21322</v>
      </c>
      <c r="KC28" s="1" t="s">
        <v>21323</v>
      </c>
      <c r="KD28" s="1" t="s">
        <v>21324</v>
      </c>
      <c r="KE28" s="1" t="s">
        <v>21325</v>
      </c>
      <c r="KF28" s="1" t="s">
        <v>21326</v>
      </c>
      <c r="KG28" s="1" t="s">
        <v>21327</v>
      </c>
      <c r="KH28" s="1" t="s">
        <v>21328</v>
      </c>
      <c r="KI28" s="1" t="s">
        <v>21329</v>
      </c>
      <c r="KJ28" s="1" t="s">
        <v>21330</v>
      </c>
      <c r="KK28" s="1" t="s">
        <v>21331</v>
      </c>
      <c r="KL28" s="1" t="s">
        <v>21332</v>
      </c>
      <c r="KM28" s="1" t="s">
        <v>21333</v>
      </c>
      <c r="KN28" s="1" t="s">
        <v>21334</v>
      </c>
      <c r="KO28" s="1" t="s">
        <v>21335</v>
      </c>
      <c r="KP28" s="1" t="s">
        <v>21336</v>
      </c>
      <c r="KQ28" s="1" t="s">
        <v>21337</v>
      </c>
      <c r="KR28" s="1" t="s">
        <v>21338</v>
      </c>
      <c r="KS28" s="1" t="s">
        <v>21339</v>
      </c>
      <c r="KT28" s="1" t="s">
        <v>21340</v>
      </c>
      <c r="KU28" s="1" t="s">
        <v>21341</v>
      </c>
      <c r="KV28" s="1" t="s">
        <v>21342</v>
      </c>
      <c r="KW28" s="1" t="s">
        <v>21343</v>
      </c>
      <c r="KX28" s="1" t="s">
        <v>21344</v>
      </c>
      <c r="KY28" s="1" t="s">
        <v>21345</v>
      </c>
      <c r="KZ28" s="1" t="s">
        <v>21346</v>
      </c>
      <c r="LA28" s="1" t="s">
        <v>21347</v>
      </c>
      <c r="LB28" s="1" t="s">
        <v>21348</v>
      </c>
      <c r="LC28" s="1" t="s">
        <v>21349</v>
      </c>
      <c r="LD28" s="1" t="s">
        <v>21350</v>
      </c>
      <c r="LE28" s="1" t="s">
        <v>21351</v>
      </c>
      <c r="LF28" s="1" t="s">
        <v>21352</v>
      </c>
      <c r="LG28" s="1" t="s">
        <v>21353</v>
      </c>
      <c r="LH28" s="1" t="s">
        <v>21354</v>
      </c>
      <c r="LI28" s="1" t="s">
        <v>21355</v>
      </c>
      <c r="LJ28" s="1" t="s">
        <v>21356</v>
      </c>
      <c r="LK28" s="1" t="s">
        <v>21357</v>
      </c>
      <c r="LL28" s="1" t="s">
        <v>21358</v>
      </c>
      <c r="LM28" s="1" t="s">
        <v>21359</v>
      </c>
      <c r="LN28" s="1" t="s">
        <v>21360</v>
      </c>
      <c r="LO28" s="1" t="s">
        <v>21361</v>
      </c>
      <c r="LP28" s="1" t="s">
        <v>21362</v>
      </c>
      <c r="LQ28" s="1" t="s">
        <v>21363</v>
      </c>
      <c r="LR28" s="1" t="s">
        <v>21364</v>
      </c>
      <c r="LS28" s="1" t="s">
        <v>21365</v>
      </c>
      <c r="LT28" s="1" t="s">
        <v>21366</v>
      </c>
      <c r="LU28" s="1" t="s">
        <v>21367</v>
      </c>
      <c r="LV28" s="1" t="s">
        <v>21368</v>
      </c>
      <c r="LW28" s="1" t="s">
        <v>21369</v>
      </c>
      <c r="LX28" s="1" t="s">
        <v>21370</v>
      </c>
      <c r="LY28" s="1" t="s">
        <v>21371</v>
      </c>
      <c r="LZ28" s="1" t="s">
        <v>21372</v>
      </c>
      <c r="MA28" s="1" t="s">
        <v>21373</v>
      </c>
      <c r="MB28" s="1" t="s">
        <v>21374</v>
      </c>
      <c r="MC28" s="1" t="s">
        <v>21375</v>
      </c>
      <c r="MD28" s="1" t="s">
        <v>21376</v>
      </c>
      <c r="ME28" s="1" t="s">
        <v>21377</v>
      </c>
      <c r="MF28" s="1" t="s">
        <v>21378</v>
      </c>
      <c r="MG28" s="1" t="s">
        <v>21379</v>
      </c>
      <c r="MH28" s="1" t="s">
        <v>21380</v>
      </c>
      <c r="MI28" s="1" t="s">
        <v>21381</v>
      </c>
      <c r="MJ28" s="1" t="s">
        <v>21382</v>
      </c>
      <c r="MK28" s="1" t="s">
        <v>21383</v>
      </c>
      <c r="ML28" s="1" t="s">
        <v>21384</v>
      </c>
      <c r="MM28" s="1" t="s">
        <v>21385</v>
      </c>
      <c r="MN28" s="1" t="s">
        <v>21386</v>
      </c>
      <c r="MO28" s="1" t="s">
        <v>21387</v>
      </c>
      <c r="MP28" s="1" t="s">
        <v>21388</v>
      </c>
      <c r="MQ28" s="1" t="s">
        <v>21389</v>
      </c>
      <c r="MR28" s="1" t="s">
        <v>21390</v>
      </c>
      <c r="MS28" s="1" t="s">
        <v>21391</v>
      </c>
      <c r="MT28" s="1" t="s">
        <v>21392</v>
      </c>
      <c r="MU28" s="1" t="s">
        <v>21393</v>
      </c>
      <c r="MV28" s="1" t="s">
        <v>21394</v>
      </c>
      <c r="MW28" s="1" t="s">
        <v>21395</v>
      </c>
      <c r="MX28" s="1" t="s">
        <v>21396</v>
      </c>
      <c r="MY28" s="1" t="s">
        <v>21397</v>
      </c>
      <c r="MZ28" s="1" t="s">
        <v>21398</v>
      </c>
      <c r="NA28" s="1" t="s">
        <v>21399</v>
      </c>
      <c r="NB28" s="1" t="s">
        <v>21400</v>
      </c>
      <c r="NC28" s="1" t="s">
        <v>21401</v>
      </c>
      <c r="ND28" s="1" t="s">
        <v>21402</v>
      </c>
      <c r="NE28" s="1" t="s">
        <v>21403</v>
      </c>
      <c r="NF28" s="1" t="s">
        <v>21404</v>
      </c>
      <c r="NG28" s="1" t="s">
        <v>21405</v>
      </c>
      <c r="NH28" s="1" t="s">
        <v>21406</v>
      </c>
      <c r="NI28" s="1" t="s">
        <v>21407</v>
      </c>
      <c r="NJ28" s="1" t="s">
        <v>21408</v>
      </c>
      <c r="NK28" s="1" t="s">
        <v>21409</v>
      </c>
      <c r="NL28" s="1" t="s">
        <v>21410</v>
      </c>
      <c r="NM28" s="1" t="s">
        <v>21411</v>
      </c>
      <c r="NN28" s="1" t="s">
        <v>21412</v>
      </c>
      <c r="NO28" s="1" t="s">
        <v>21413</v>
      </c>
      <c r="NP28" s="1" t="s">
        <v>21414</v>
      </c>
      <c r="NQ28" s="1" t="s">
        <v>21415</v>
      </c>
      <c r="NR28" s="1" t="s">
        <v>21416</v>
      </c>
      <c r="NS28" s="1" t="s">
        <v>21417</v>
      </c>
      <c r="NT28" s="1" t="s">
        <v>21418</v>
      </c>
      <c r="NU28" s="1" t="s">
        <v>21419</v>
      </c>
      <c r="NV28" s="1" t="s">
        <v>21420</v>
      </c>
      <c r="NW28" s="1" t="s">
        <v>21421</v>
      </c>
      <c r="NX28" s="1" t="s">
        <v>21422</v>
      </c>
      <c r="NY28" s="1" t="s">
        <v>21423</v>
      </c>
      <c r="NZ28" s="1" t="s">
        <v>21424</v>
      </c>
      <c r="OA28" s="1" t="s">
        <v>21425</v>
      </c>
      <c r="OB28" s="1" t="s">
        <v>21426</v>
      </c>
      <c r="OC28" s="1" t="s">
        <v>21427</v>
      </c>
      <c r="OD28" s="1" t="s">
        <v>21428</v>
      </c>
      <c r="OE28" s="1" t="s">
        <v>21429</v>
      </c>
      <c r="OF28" s="1" t="s">
        <v>21430</v>
      </c>
      <c r="OG28" s="1" t="s">
        <v>21431</v>
      </c>
      <c r="OH28" s="1" t="s">
        <v>21432</v>
      </c>
      <c r="OI28" s="1" t="s">
        <v>21433</v>
      </c>
      <c r="OJ28" s="1" t="s">
        <v>21434</v>
      </c>
      <c r="OK28" s="1" t="s">
        <v>21435</v>
      </c>
      <c r="OL28" s="1" t="s">
        <v>21436</v>
      </c>
      <c r="OM28" s="1" t="s">
        <v>21437</v>
      </c>
      <c r="ON28" s="1" t="s">
        <v>21438</v>
      </c>
      <c r="OO28" s="1" t="s">
        <v>21439</v>
      </c>
      <c r="OP28" s="1" t="s">
        <v>21440</v>
      </c>
      <c r="OQ28" s="1" t="s">
        <v>21441</v>
      </c>
      <c r="OR28" s="1" t="s">
        <v>21442</v>
      </c>
      <c r="OS28" s="1" t="s">
        <v>21443</v>
      </c>
      <c r="OT28" s="1" t="s">
        <v>21444</v>
      </c>
      <c r="OU28" s="1" t="s">
        <v>21445</v>
      </c>
      <c r="OV28" s="1" t="s">
        <v>21446</v>
      </c>
      <c r="OW28" s="1" t="s">
        <v>21447</v>
      </c>
      <c r="OX28" s="1" t="s">
        <v>21448</v>
      </c>
      <c r="OY28" s="1" t="s">
        <v>21449</v>
      </c>
      <c r="OZ28" s="1" t="s">
        <v>21450</v>
      </c>
      <c r="PA28" s="1" t="s">
        <v>21451</v>
      </c>
      <c r="PB28" s="1" t="s">
        <v>21452</v>
      </c>
      <c r="PC28" s="1" t="s">
        <v>21453</v>
      </c>
      <c r="PD28" s="1" t="s">
        <v>21454</v>
      </c>
      <c r="PE28" s="1" t="s">
        <v>21455</v>
      </c>
      <c r="PF28" s="1" t="s">
        <v>21456</v>
      </c>
      <c r="PG28" s="1" t="s">
        <v>21457</v>
      </c>
      <c r="PH28" s="1" t="s">
        <v>21458</v>
      </c>
      <c r="PI28" s="1" t="s">
        <v>21459</v>
      </c>
      <c r="PJ28" s="1" t="s">
        <v>21460</v>
      </c>
      <c r="PK28" s="1" t="s">
        <v>21461</v>
      </c>
      <c r="PL28" s="1" t="s">
        <v>21462</v>
      </c>
      <c r="PM28" s="1" t="s">
        <v>21463</v>
      </c>
      <c r="PN28" s="1" t="s">
        <v>21464</v>
      </c>
      <c r="PO28" s="1" t="s">
        <v>21465</v>
      </c>
      <c r="PP28" s="1" t="s">
        <v>21466</v>
      </c>
      <c r="PQ28" s="1" t="s">
        <v>21467</v>
      </c>
      <c r="PR28" s="1" t="s">
        <v>21468</v>
      </c>
      <c r="PS28" s="1" t="s">
        <v>21469</v>
      </c>
      <c r="PT28" s="1" t="s">
        <v>21470</v>
      </c>
      <c r="PU28" s="1" t="s">
        <v>21471</v>
      </c>
      <c r="PV28" s="1" t="s">
        <v>21472</v>
      </c>
      <c r="PW28" s="1" t="s">
        <v>21473</v>
      </c>
      <c r="PX28" s="1" t="s">
        <v>21474</v>
      </c>
      <c r="PY28" s="1" t="s">
        <v>21475</v>
      </c>
      <c r="PZ28" s="1" t="s">
        <v>21476</v>
      </c>
      <c r="QA28" s="1" t="s">
        <v>21477</v>
      </c>
      <c r="QB28" s="1" t="s">
        <v>21478</v>
      </c>
      <c r="QC28" s="1" t="s">
        <v>21479</v>
      </c>
      <c r="QD28" s="1" t="s">
        <v>21480</v>
      </c>
      <c r="QE28" s="1" t="s">
        <v>21481</v>
      </c>
      <c r="QF28" s="1" t="s">
        <v>21482</v>
      </c>
      <c r="QG28" s="1" t="s">
        <v>21483</v>
      </c>
      <c r="QH28" s="1" t="s">
        <v>21484</v>
      </c>
      <c r="QI28" s="1" t="s">
        <v>21485</v>
      </c>
      <c r="QJ28" s="1" t="s">
        <v>21486</v>
      </c>
      <c r="QK28" s="1" t="s">
        <v>21487</v>
      </c>
      <c r="QL28" s="1" t="s">
        <v>21488</v>
      </c>
      <c r="QM28" s="1" t="s">
        <v>21489</v>
      </c>
      <c r="QN28" s="1" t="s">
        <v>21490</v>
      </c>
      <c r="QO28" s="1" t="s">
        <v>21491</v>
      </c>
      <c r="QP28" s="1" t="s">
        <v>21492</v>
      </c>
      <c r="QQ28" s="1" t="s">
        <v>21493</v>
      </c>
      <c r="QR28" s="1" t="s">
        <v>21494</v>
      </c>
      <c r="QS28" s="1" t="s">
        <v>21495</v>
      </c>
      <c r="QT28" s="1" t="s">
        <v>21496</v>
      </c>
      <c r="QU28" s="1" t="s">
        <v>21497</v>
      </c>
      <c r="QV28" s="1" t="s">
        <v>21498</v>
      </c>
      <c r="QW28" s="1" t="s">
        <v>21499</v>
      </c>
      <c r="QX28" s="1" t="s">
        <v>21500</v>
      </c>
      <c r="QY28" s="1" t="s">
        <v>21501</v>
      </c>
      <c r="QZ28" s="1" t="s">
        <v>21502</v>
      </c>
      <c r="RA28" s="1" t="s">
        <v>21503</v>
      </c>
      <c r="RB28" s="1" t="s">
        <v>21504</v>
      </c>
      <c r="RC28" s="1" t="s">
        <v>21505</v>
      </c>
      <c r="RD28" s="1" t="s">
        <v>21506</v>
      </c>
      <c r="RE28" s="1" t="s">
        <v>21507</v>
      </c>
      <c r="RF28" s="1" t="s">
        <v>21508</v>
      </c>
      <c r="RG28" s="1" t="s">
        <v>21509</v>
      </c>
      <c r="RH28" s="1" t="s">
        <v>21510</v>
      </c>
      <c r="RI28" s="1" t="s">
        <v>21511</v>
      </c>
      <c r="RJ28" s="1" t="s">
        <v>21512</v>
      </c>
      <c r="RK28" s="1" t="s">
        <v>21513</v>
      </c>
      <c r="RL28" s="1" t="s">
        <v>21514</v>
      </c>
      <c r="RM28" s="1" t="s">
        <v>21515</v>
      </c>
      <c r="RN28" s="1" t="s">
        <v>21516</v>
      </c>
      <c r="RO28" s="1" t="s">
        <v>21517</v>
      </c>
      <c r="RP28" s="1" t="s">
        <v>21518</v>
      </c>
      <c r="RQ28" s="1" t="s">
        <v>21519</v>
      </c>
      <c r="RR28" s="1" t="s">
        <v>21520</v>
      </c>
      <c r="RS28" s="1" t="s">
        <v>21521</v>
      </c>
      <c r="RT28" s="1" t="s">
        <v>21522</v>
      </c>
      <c r="RU28" s="1" t="s">
        <v>21523</v>
      </c>
      <c r="RV28" s="1" t="s">
        <v>21524</v>
      </c>
      <c r="RW28" s="1" t="s">
        <v>21525</v>
      </c>
      <c r="RX28" s="1" t="s">
        <v>21526</v>
      </c>
      <c r="RY28" s="1" t="s">
        <v>21527</v>
      </c>
      <c r="RZ28" s="1" t="s">
        <v>21528</v>
      </c>
      <c r="SA28" s="1" t="s">
        <v>21529</v>
      </c>
      <c r="SB28" s="1" t="s">
        <v>21530</v>
      </c>
      <c r="SC28" s="1" t="s">
        <v>21531</v>
      </c>
      <c r="SD28" s="1" t="s">
        <v>21532</v>
      </c>
      <c r="SE28" s="1" t="s">
        <v>21533</v>
      </c>
      <c r="SF28" s="1" t="s">
        <v>21534</v>
      </c>
      <c r="SG28" s="1" t="s">
        <v>21535</v>
      </c>
      <c r="SH28" s="1" t="s">
        <v>21536</v>
      </c>
      <c r="SI28" s="1" t="s">
        <v>21537</v>
      </c>
      <c r="SJ28" s="1" t="s">
        <v>21538</v>
      </c>
      <c r="SK28" s="1" t="s">
        <v>21539</v>
      </c>
      <c r="SL28" s="1" t="s">
        <v>21540</v>
      </c>
      <c r="SM28" s="1" t="s">
        <v>21541</v>
      </c>
      <c r="SN28" s="1" t="s">
        <v>21542</v>
      </c>
      <c r="SO28" s="1" t="s">
        <v>21543</v>
      </c>
      <c r="SP28" s="1" t="s">
        <v>21544</v>
      </c>
      <c r="SQ28" s="1" t="s">
        <v>21545</v>
      </c>
      <c r="SR28" s="1" t="s">
        <v>21546</v>
      </c>
      <c r="SS28" s="1" t="s">
        <v>21547</v>
      </c>
      <c r="ST28" s="1" t="s">
        <v>21548</v>
      </c>
      <c r="SU28" s="1" t="s">
        <v>21549</v>
      </c>
      <c r="SV28" s="1" t="s">
        <v>21550</v>
      </c>
      <c r="SW28" s="1" t="s">
        <v>21551</v>
      </c>
      <c r="SX28" s="1" t="s">
        <v>21552</v>
      </c>
      <c r="SY28" s="1" t="s">
        <v>21553</v>
      </c>
      <c r="SZ28" s="1" t="s">
        <v>21554</v>
      </c>
      <c r="TA28" s="1" t="s">
        <v>21555</v>
      </c>
      <c r="TB28" s="1" t="s">
        <v>21556</v>
      </c>
      <c r="TC28" s="1" t="s">
        <v>21557</v>
      </c>
      <c r="TD28" s="1" t="s">
        <v>21558</v>
      </c>
      <c r="TE28" s="1" t="s">
        <v>21559</v>
      </c>
      <c r="TF28" s="1" t="s">
        <v>21560</v>
      </c>
      <c r="TG28" s="1" t="s">
        <v>21561</v>
      </c>
      <c r="TH28" s="1" t="s">
        <v>21562</v>
      </c>
      <c r="TI28" s="1" t="s">
        <v>21563</v>
      </c>
      <c r="TJ28" s="1" t="s">
        <v>21564</v>
      </c>
      <c r="TK28" s="1" t="s">
        <v>21565</v>
      </c>
      <c r="TL28" s="1" t="s">
        <v>21566</v>
      </c>
      <c r="TM28" s="1" t="s">
        <v>21567</v>
      </c>
      <c r="TN28" s="1" t="s">
        <v>21568</v>
      </c>
      <c r="TO28" s="1" t="s">
        <v>21569</v>
      </c>
      <c r="TP28" s="1" t="s">
        <v>21570</v>
      </c>
      <c r="TQ28" s="1" t="s">
        <v>21571</v>
      </c>
      <c r="TR28" s="1" t="s">
        <v>21572</v>
      </c>
      <c r="TS28" s="1" t="s">
        <v>21573</v>
      </c>
      <c r="TT28" s="1" t="s">
        <v>21574</v>
      </c>
      <c r="TU28" s="1" t="s">
        <v>21575</v>
      </c>
      <c r="TV28" s="1" t="s">
        <v>21576</v>
      </c>
      <c r="TW28" s="1" t="s">
        <v>21577</v>
      </c>
      <c r="TX28" s="1" t="s">
        <v>21578</v>
      </c>
      <c r="TY28" s="1" t="s">
        <v>21579</v>
      </c>
      <c r="TZ28" s="1" t="s">
        <v>21580</v>
      </c>
      <c r="UA28" s="1" t="s">
        <v>21581</v>
      </c>
      <c r="UB28" s="1" t="s">
        <v>21582</v>
      </c>
      <c r="UC28" s="1" t="s">
        <v>21583</v>
      </c>
      <c r="UD28" s="1" t="s">
        <v>21584</v>
      </c>
      <c r="UE28" s="1" t="s">
        <v>21585</v>
      </c>
      <c r="UF28" s="1" t="s">
        <v>21586</v>
      </c>
      <c r="UG28" s="1" t="s">
        <v>21587</v>
      </c>
      <c r="UH28" s="1" t="s">
        <v>21588</v>
      </c>
      <c r="UI28" s="1" t="s">
        <v>21589</v>
      </c>
      <c r="UJ28" s="1" t="s">
        <v>21590</v>
      </c>
      <c r="UK28" s="1" t="s">
        <v>21591</v>
      </c>
      <c r="UL28" s="1" t="s">
        <v>21592</v>
      </c>
      <c r="UM28" s="1" t="s">
        <v>21593</v>
      </c>
      <c r="UN28" s="1" t="s">
        <v>21594</v>
      </c>
      <c r="UO28" s="1" t="s">
        <v>21595</v>
      </c>
      <c r="UP28" s="1" t="s">
        <v>21596</v>
      </c>
      <c r="UQ28" s="1" t="s">
        <v>21597</v>
      </c>
      <c r="UR28" s="1" t="s">
        <v>21598</v>
      </c>
      <c r="US28" s="1" t="s">
        <v>21599</v>
      </c>
      <c r="UT28" s="1" t="s">
        <v>21600</v>
      </c>
      <c r="UU28" s="1" t="s">
        <v>21601</v>
      </c>
      <c r="UV28" s="1" t="s">
        <v>21602</v>
      </c>
      <c r="UW28" s="1" t="s">
        <v>21603</v>
      </c>
      <c r="UX28" s="1" t="s">
        <v>21604</v>
      </c>
      <c r="UY28" s="1" t="s">
        <v>21605</v>
      </c>
      <c r="UZ28" s="1" t="s">
        <v>21606</v>
      </c>
      <c r="VA28" s="1" t="s">
        <v>21607</v>
      </c>
      <c r="VB28" s="1" t="s">
        <v>21608</v>
      </c>
      <c r="VC28" s="1" t="s">
        <v>21609</v>
      </c>
      <c r="VD28" s="1" t="s">
        <v>21610</v>
      </c>
      <c r="VE28" s="1" t="s">
        <v>21611</v>
      </c>
      <c r="VF28" s="1" t="s">
        <v>21612</v>
      </c>
      <c r="VG28" s="1" t="s">
        <v>21613</v>
      </c>
      <c r="VH28" s="1" t="s">
        <v>21614</v>
      </c>
      <c r="VI28" s="1" t="s">
        <v>21615</v>
      </c>
      <c r="VJ28" s="1" t="s">
        <v>21616</v>
      </c>
      <c r="VK28" s="1" t="s">
        <v>21617</v>
      </c>
      <c r="VL28" s="1" t="s">
        <v>21618</v>
      </c>
      <c r="VM28" s="1" t="s">
        <v>21619</v>
      </c>
      <c r="VN28" s="1" t="s">
        <v>21620</v>
      </c>
      <c r="VO28" s="1" t="s">
        <v>21621</v>
      </c>
      <c r="VP28" s="1" t="s">
        <v>21622</v>
      </c>
      <c r="VQ28" s="1" t="s">
        <v>21623</v>
      </c>
      <c r="VR28" s="1" t="s">
        <v>21624</v>
      </c>
      <c r="VS28" s="1" t="s">
        <v>21625</v>
      </c>
      <c r="VT28" s="1" t="s">
        <v>21626</v>
      </c>
      <c r="VU28" s="1" t="s">
        <v>21627</v>
      </c>
      <c r="VV28" s="1" t="s">
        <v>21628</v>
      </c>
      <c r="VW28" s="1" t="s">
        <v>21629</v>
      </c>
      <c r="VX28" s="1" t="s">
        <v>21630</v>
      </c>
      <c r="VY28" s="1" t="s">
        <v>21631</v>
      </c>
      <c r="VZ28" s="1" t="s">
        <v>21632</v>
      </c>
      <c r="WA28" s="1" t="s">
        <v>21633</v>
      </c>
      <c r="WB28" s="1" t="s">
        <v>21634</v>
      </c>
      <c r="WC28" s="1" t="s">
        <v>21635</v>
      </c>
      <c r="WD28" s="1" t="s">
        <v>21636</v>
      </c>
      <c r="WE28" s="1" t="s">
        <v>21637</v>
      </c>
      <c r="WF28" s="1" t="s">
        <v>21638</v>
      </c>
      <c r="WG28" s="1" t="s">
        <v>21639</v>
      </c>
      <c r="WH28" s="1" t="s">
        <v>21640</v>
      </c>
      <c r="WI28" s="1" t="s">
        <v>21641</v>
      </c>
      <c r="WJ28" s="1" t="s">
        <v>21642</v>
      </c>
      <c r="WK28" s="1" t="s">
        <v>21643</v>
      </c>
      <c r="WL28" s="1" t="s">
        <v>21644</v>
      </c>
      <c r="WM28" s="1" t="s">
        <v>21645</v>
      </c>
      <c r="WN28" s="1" t="s">
        <v>21646</v>
      </c>
      <c r="WO28" s="1" t="s">
        <v>21647</v>
      </c>
      <c r="WP28" s="1" t="s">
        <v>21648</v>
      </c>
      <c r="WQ28" s="1" t="s">
        <v>21649</v>
      </c>
      <c r="WR28" s="1" t="s">
        <v>21650</v>
      </c>
      <c r="WS28" s="1" t="s">
        <v>21651</v>
      </c>
      <c r="WT28" s="1" t="s">
        <v>21652</v>
      </c>
      <c r="WU28" s="1" t="s">
        <v>21653</v>
      </c>
      <c r="WV28" s="1" t="s">
        <v>21654</v>
      </c>
      <c r="WW28" s="1" t="s">
        <v>21655</v>
      </c>
      <c r="WX28" s="1" t="s">
        <v>21656</v>
      </c>
      <c r="WY28" s="1" t="s">
        <v>21657</v>
      </c>
      <c r="WZ28" s="1" t="s">
        <v>21658</v>
      </c>
      <c r="XA28" s="1" t="s">
        <v>21659</v>
      </c>
      <c r="XB28" s="1" t="s">
        <v>21660</v>
      </c>
      <c r="XC28" s="1" t="s">
        <v>21661</v>
      </c>
      <c r="XD28" s="1" t="s">
        <v>21662</v>
      </c>
      <c r="XE28" s="1" t="s">
        <v>21663</v>
      </c>
      <c r="XF28" s="1" t="s">
        <v>21664</v>
      </c>
      <c r="XG28" s="1" t="s">
        <v>21665</v>
      </c>
      <c r="XH28" s="1" t="s">
        <v>21666</v>
      </c>
      <c r="XI28" s="1" t="s">
        <v>21667</v>
      </c>
      <c r="XJ28" s="1" t="s">
        <v>21668</v>
      </c>
      <c r="XK28" s="1" t="s">
        <v>21669</v>
      </c>
      <c r="XL28" s="1" t="s">
        <v>21670</v>
      </c>
      <c r="XM28" s="1" t="s">
        <v>21671</v>
      </c>
      <c r="XN28" s="1" t="s">
        <v>21672</v>
      </c>
      <c r="XO28" s="1" t="s">
        <v>21673</v>
      </c>
      <c r="XP28" s="1" t="s">
        <v>21674</v>
      </c>
      <c r="XQ28" s="1" t="s">
        <v>21675</v>
      </c>
      <c r="XR28" s="1" t="s">
        <v>21676</v>
      </c>
      <c r="XS28" s="1" t="s">
        <v>21677</v>
      </c>
      <c r="XT28" s="1" t="s">
        <v>21678</v>
      </c>
      <c r="XU28" s="1" t="s">
        <v>21679</v>
      </c>
      <c r="XV28" s="1" t="s">
        <v>21680</v>
      </c>
      <c r="XW28" s="1" t="s">
        <v>21681</v>
      </c>
      <c r="XX28" s="1" t="s">
        <v>21682</v>
      </c>
      <c r="XY28" s="1" t="s">
        <v>21683</v>
      </c>
      <c r="XZ28" s="1" t="s">
        <v>21684</v>
      </c>
      <c r="YA28" s="1" t="s">
        <v>21685</v>
      </c>
      <c r="YB28" s="1" t="s">
        <v>21686</v>
      </c>
      <c r="YC28" s="1" t="s">
        <v>21687</v>
      </c>
      <c r="YD28" s="1" t="s">
        <v>21688</v>
      </c>
      <c r="YE28" s="1" t="s">
        <v>21689</v>
      </c>
      <c r="YF28" s="1" t="s">
        <v>21690</v>
      </c>
      <c r="YG28" s="1" t="s">
        <v>21691</v>
      </c>
      <c r="YH28" s="1" t="s">
        <v>21692</v>
      </c>
      <c r="YI28" s="1" t="s">
        <v>21693</v>
      </c>
      <c r="YJ28" s="1" t="s">
        <v>21694</v>
      </c>
      <c r="YK28" s="1" t="s">
        <v>21695</v>
      </c>
      <c r="YL28" s="1" t="s">
        <v>21696</v>
      </c>
      <c r="YM28" s="1" t="s">
        <v>21697</v>
      </c>
      <c r="YN28" s="1" t="s">
        <v>21698</v>
      </c>
      <c r="YO28" s="1" t="s">
        <v>21699</v>
      </c>
      <c r="YP28" s="1" t="s">
        <v>21700</v>
      </c>
      <c r="YQ28" s="1" t="s">
        <v>21701</v>
      </c>
      <c r="YR28" s="1" t="s">
        <v>21702</v>
      </c>
      <c r="YS28" s="1" t="s">
        <v>21703</v>
      </c>
      <c r="YT28" s="1" t="s">
        <v>21704</v>
      </c>
      <c r="YU28" s="1" t="s">
        <v>21705</v>
      </c>
      <c r="YV28" s="1" t="s">
        <v>21706</v>
      </c>
      <c r="YW28" s="1" t="s">
        <v>21707</v>
      </c>
      <c r="YX28" s="1" t="s">
        <v>21708</v>
      </c>
      <c r="YY28" s="1" t="s">
        <v>21709</v>
      </c>
      <c r="YZ28" s="1" t="s">
        <v>21710</v>
      </c>
      <c r="ZA28" s="1" t="s">
        <v>21711</v>
      </c>
      <c r="ZB28" s="1" t="s">
        <v>21712</v>
      </c>
      <c r="ZC28" s="1" t="s">
        <v>21713</v>
      </c>
      <c r="ZD28" s="1" t="s">
        <v>21714</v>
      </c>
      <c r="ZE28" s="1" t="s">
        <v>21715</v>
      </c>
      <c r="ZF28" s="1" t="s">
        <v>21716</v>
      </c>
      <c r="ZG28" s="1" t="s">
        <v>21717</v>
      </c>
      <c r="ZH28" s="1" t="s">
        <v>21718</v>
      </c>
      <c r="ZI28" s="1" t="s">
        <v>21719</v>
      </c>
      <c r="ZJ28" s="1" t="s">
        <v>21720</v>
      </c>
      <c r="ZK28" s="1" t="s">
        <v>21721</v>
      </c>
      <c r="ZL28" s="1" t="s">
        <v>21722</v>
      </c>
      <c r="ZM28" s="1" t="s">
        <v>21723</v>
      </c>
      <c r="ZN28" s="1" t="s">
        <v>21724</v>
      </c>
      <c r="ZO28" s="1" t="s">
        <v>21725</v>
      </c>
      <c r="ZP28" s="1" t="s">
        <v>21726</v>
      </c>
      <c r="ZQ28" s="1" t="s">
        <v>21727</v>
      </c>
      <c r="ZR28" s="1" t="s">
        <v>21728</v>
      </c>
      <c r="ZS28" s="1" t="s">
        <v>21729</v>
      </c>
      <c r="ZT28" s="1" t="s">
        <v>21730</v>
      </c>
      <c r="ZU28" s="1" t="s">
        <v>21731</v>
      </c>
      <c r="ZV28" s="1" t="s">
        <v>21732</v>
      </c>
      <c r="ZW28" s="1" t="s">
        <v>21733</v>
      </c>
      <c r="ZX28" s="1" t="s">
        <v>21734</v>
      </c>
      <c r="ZY28" s="1" t="s">
        <v>21735</v>
      </c>
      <c r="ZZ28" s="1" t="s">
        <v>21736</v>
      </c>
      <c r="AAA28" s="1" t="s">
        <v>21737</v>
      </c>
      <c r="AAB28" s="1" t="s">
        <v>21738</v>
      </c>
      <c r="AAC28" s="1" t="s">
        <v>21739</v>
      </c>
      <c r="AAD28" s="1" t="s">
        <v>21740</v>
      </c>
      <c r="AAE28" s="1" t="s">
        <v>21741</v>
      </c>
      <c r="AAF28" s="1" t="s">
        <v>21742</v>
      </c>
      <c r="AAG28" s="1" t="s">
        <v>21743</v>
      </c>
      <c r="AAH28" s="1" t="s">
        <v>21744</v>
      </c>
      <c r="AAI28" s="1" t="s">
        <v>21745</v>
      </c>
      <c r="AAJ28" s="1" t="s">
        <v>21746</v>
      </c>
      <c r="AAK28" s="1" t="s">
        <v>21747</v>
      </c>
      <c r="AAL28" s="1" t="s">
        <v>21748</v>
      </c>
      <c r="AAM28" s="1" t="s">
        <v>21749</v>
      </c>
      <c r="AAN28" s="1" t="s">
        <v>21750</v>
      </c>
      <c r="AAO28" s="1" t="s">
        <v>21751</v>
      </c>
      <c r="AAP28" s="1" t="s">
        <v>21752</v>
      </c>
      <c r="AAQ28" s="1" t="s">
        <v>21753</v>
      </c>
      <c r="AAR28" s="1" t="s">
        <v>21754</v>
      </c>
      <c r="AAS28" s="1" t="s">
        <v>21755</v>
      </c>
      <c r="AAT28" s="1" t="s">
        <v>21756</v>
      </c>
      <c r="AAU28" s="1" t="s">
        <v>21757</v>
      </c>
      <c r="AAV28" s="1" t="s">
        <v>21758</v>
      </c>
      <c r="AAW28" s="1" t="s">
        <v>21759</v>
      </c>
      <c r="AAX28" s="1" t="s">
        <v>21760</v>
      </c>
      <c r="AAY28" s="1" t="s">
        <v>21761</v>
      </c>
      <c r="AAZ28" s="1" t="s">
        <v>21762</v>
      </c>
      <c r="ABA28" s="1" t="s">
        <v>21763</v>
      </c>
      <c r="ABB28" s="1" t="s">
        <v>21764</v>
      </c>
      <c r="ABC28" s="1" t="s">
        <v>21765</v>
      </c>
      <c r="ABD28" s="1" t="s">
        <v>21766</v>
      </c>
      <c r="ABE28" s="1" t="s">
        <v>21767</v>
      </c>
      <c r="ABF28" s="1" t="s">
        <v>21768</v>
      </c>
      <c r="ABG28" s="1" t="s">
        <v>21769</v>
      </c>
      <c r="ABH28" s="1" t="s">
        <v>21770</v>
      </c>
      <c r="ABI28" s="1" t="s">
        <v>21771</v>
      </c>
      <c r="ABJ28" s="1" t="s">
        <v>21772</v>
      </c>
      <c r="ABK28" s="1" t="s">
        <v>21773</v>
      </c>
      <c r="ABL28" s="1" t="s">
        <v>21774</v>
      </c>
      <c r="ABM28" s="1" t="s">
        <v>21775</v>
      </c>
      <c r="ABN28" s="1" t="s">
        <v>21776</v>
      </c>
      <c r="ABO28" s="1" t="s">
        <v>21777</v>
      </c>
      <c r="ABP28" s="1" t="s">
        <v>21778</v>
      </c>
      <c r="ABQ28" s="1" t="s">
        <v>21779</v>
      </c>
      <c r="ABR28" s="1" t="s">
        <v>21780</v>
      </c>
      <c r="ABS28" s="1" t="s">
        <v>21781</v>
      </c>
      <c r="ABT28" s="1" t="s">
        <v>21782</v>
      </c>
      <c r="ABU28" s="1" t="s">
        <v>21783</v>
      </c>
      <c r="ABV28" s="1" t="s">
        <v>21784</v>
      </c>
      <c r="ABW28" s="1" t="s">
        <v>21785</v>
      </c>
      <c r="ABX28" s="1" t="s">
        <v>21786</v>
      </c>
      <c r="ABY28" s="1" t="s">
        <v>21787</v>
      </c>
      <c r="ABZ28" s="1" t="s">
        <v>21788</v>
      </c>
      <c r="ACA28" s="1" t="s">
        <v>21789</v>
      </c>
      <c r="ACB28" s="1" t="s">
        <v>21790</v>
      </c>
      <c r="ACC28" s="1" t="s">
        <v>21791</v>
      </c>
      <c r="ACD28" s="1" t="s">
        <v>21792</v>
      </c>
      <c r="ACE28" s="1" t="s">
        <v>21793</v>
      </c>
      <c r="ACF28" s="1" t="s">
        <v>21794</v>
      </c>
      <c r="ACG28" s="1" t="s">
        <v>21795</v>
      </c>
      <c r="ACH28" s="1" t="s">
        <v>21796</v>
      </c>
      <c r="ACI28" s="1" t="s">
        <v>21797</v>
      </c>
      <c r="ACJ28" s="1" t="s">
        <v>21798</v>
      </c>
      <c r="ACK28" s="1" t="s">
        <v>21799</v>
      </c>
      <c r="ACL28" s="1" t="s">
        <v>21800</v>
      </c>
      <c r="ACM28" s="1" t="s">
        <v>21801</v>
      </c>
      <c r="ACN28" s="1" t="s">
        <v>21802</v>
      </c>
      <c r="ACO28" s="1" t="s">
        <v>21803</v>
      </c>
      <c r="ACP28" s="1" t="s">
        <v>21804</v>
      </c>
      <c r="ACQ28" s="1" t="s">
        <v>21805</v>
      </c>
      <c r="ACR28" s="1" t="s">
        <v>21806</v>
      </c>
      <c r="ACS28" s="1" t="s">
        <v>21807</v>
      </c>
      <c r="ACT28" s="1" t="s">
        <v>21808</v>
      </c>
      <c r="ACU28" s="1" t="s">
        <v>21809</v>
      </c>
      <c r="ACV28" s="1" t="s">
        <v>21810</v>
      </c>
      <c r="ACW28" s="1" t="s">
        <v>6</v>
      </c>
      <c r="ACX28" s="1" t="s">
        <v>1501</v>
      </c>
    </row>
    <row r="29" spans="1:778" x14ac:dyDescent="0.2">
      <c r="A29" s="1" t="s">
        <v>1508</v>
      </c>
      <c r="B29" s="1" t="s">
        <v>21811</v>
      </c>
      <c r="C29" s="1" t="s">
        <v>21812</v>
      </c>
      <c r="D29" s="1" t="s">
        <v>21813</v>
      </c>
      <c r="E29" s="1" t="s">
        <v>21814</v>
      </c>
      <c r="F29" s="1" t="s">
        <v>21815</v>
      </c>
      <c r="G29" s="1" t="s">
        <v>21816</v>
      </c>
      <c r="H29" s="1" t="s">
        <v>21817</v>
      </c>
      <c r="I29" s="1" t="s">
        <v>21818</v>
      </c>
      <c r="J29" s="1" t="s">
        <v>21819</v>
      </c>
      <c r="K29" s="1" t="s">
        <v>21820</v>
      </c>
      <c r="L29" s="1" t="s">
        <v>21821</v>
      </c>
      <c r="M29" s="1" t="s">
        <v>21822</v>
      </c>
      <c r="N29" s="1" t="s">
        <v>21823</v>
      </c>
      <c r="O29" s="1" t="s">
        <v>21824</v>
      </c>
      <c r="P29" s="1" t="s">
        <v>21825</v>
      </c>
      <c r="Q29" s="1" t="s">
        <v>21826</v>
      </c>
      <c r="R29" s="1" t="s">
        <v>21827</v>
      </c>
      <c r="S29" s="1" t="s">
        <v>21828</v>
      </c>
      <c r="T29" s="1" t="s">
        <v>21829</v>
      </c>
      <c r="U29" s="1" t="s">
        <v>21830</v>
      </c>
      <c r="V29" s="1" t="s">
        <v>21831</v>
      </c>
      <c r="W29" s="1" t="s">
        <v>21832</v>
      </c>
      <c r="X29" s="1" t="s">
        <v>21833</v>
      </c>
      <c r="Y29" s="1" t="s">
        <v>21834</v>
      </c>
      <c r="Z29" s="1" t="s">
        <v>21835</v>
      </c>
      <c r="AA29" s="1" t="s">
        <v>21836</v>
      </c>
      <c r="AB29" s="1" t="s">
        <v>21837</v>
      </c>
      <c r="AC29" s="1" t="s">
        <v>21838</v>
      </c>
      <c r="AD29" s="1" t="s">
        <v>21839</v>
      </c>
      <c r="AE29" s="1" t="s">
        <v>21840</v>
      </c>
      <c r="AF29" s="1" t="s">
        <v>21841</v>
      </c>
      <c r="AG29" s="1" t="s">
        <v>21842</v>
      </c>
      <c r="AH29" s="1" t="s">
        <v>21843</v>
      </c>
      <c r="AI29" s="1" t="s">
        <v>21844</v>
      </c>
      <c r="AJ29" s="1" t="s">
        <v>21845</v>
      </c>
      <c r="AK29" s="1" t="s">
        <v>21846</v>
      </c>
      <c r="AL29" s="1" t="s">
        <v>21847</v>
      </c>
      <c r="AM29" s="1" t="s">
        <v>21848</v>
      </c>
      <c r="AN29" s="1" t="s">
        <v>21849</v>
      </c>
      <c r="AO29" s="1" t="s">
        <v>21850</v>
      </c>
      <c r="AP29" s="1" t="s">
        <v>21851</v>
      </c>
      <c r="AQ29" s="1" t="s">
        <v>21852</v>
      </c>
      <c r="AR29" s="1" t="s">
        <v>21853</v>
      </c>
      <c r="AS29" s="1" t="s">
        <v>21854</v>
      </c>
      <c r="AT29" s="1" t="s">
        <v>21855</v>
      </c>
      <c r="AU29" s="1" t="s">
        <v>21856</v>
      </c>
      <c r="AV29" s="1" t="s">
        <v>21857</v>
      </c>
      <c r="AW29" s="1" t="s">
        <v>21858</v>
      </c>
      <c r="AX29" s="1" t="s">
        <v>21859</v>
      </c>
      <c r="AY29" s="1" t="s">
        <v>21860</v>
      </c>
      <c r="AZ29" s="1" t="s">
        <v>21861</v>
      </c>
      <c r="BA29" s="1" t="s">
        <v>21862</v>
      </c>
      <c r="BB29" s="1" t="s">
        <v>21863</v>
      </c>
      <c r="BC29" s="1" t="s">
        <v>21864</v>
      </c>
      <c r="BD29" s="1" t="s">
        <v>21865</v>
      </c>
      <c r="BE29" s="1" t="s">
        <v>21866</v>
      </c>
      <c r="BF29" s="1" t="s">
        <v>21867</v>
      </c>
      <c r="BG29" s="1" t="s">
        <v>21868</v>
      </c>
      <c r="BH29" s="1" t="s">
        <v>21869</v>
      </c>
      <c r="BI29" s="1" t="s">
        <v>21870</v>
      </c>
      <c r="BJ29" s="1" t="s">
        <v>21871</v>
      </c>
      <c r="BK29" s="1" t="s">
        <v>21872</v>
      </c>
      <c r="BL29" s="1" t="s">
        <v>21873</v>
      </c>
      <c r="BM29" s="1" t="s">
        <v>21874</v>
      </c>
      <c r="BN29" s="1" t="s">
        <v>21875</v>
      </c>
      <c r="BO29" s="1" t="s">
        <v>21876</v>
      </c>
      <c r="BP29" s="1" t="s">
        <v>21877</v>
      </c>
      <c r="BQ29" s="1" t="s">
        <v>21878</v>
      </c>
      <c r="BR29" s="1" t="s">
        <v>21879</v>
      </c>
      <c r="BS29" s="1" t="s">
        <v>21880</v>
      </c>
      <c r="BT29" s="1" t="s">
        <v>21881</v>
      </c>
      <c r="BU29" s="1" t="s">
        <v>21882</v>
      </c>
      <c r="BV29" s="1" t="s">
        <v>21883</v>
      </c>
      <c r="BW29" s="1" t="s">
        <v>21884</v>
      </c>
      <c r="BX29" s="1" t="s">
        <v>21885</v>
      </c>
      <c r="BY29" s="1" t="s">
        <v>21886</v>
      </c>
      <c r="BZ29" s="1" t="s">
        <v>21887</v>
      </c>
      <c r="CA29" s="1" t="s">
        <v>21888</v>
      </c>
      <c r="CB29" s="1" t="s">
        <v>21889</v>
      </c>
      <c r="CC29" s="1" t="s">
        <v>21890</v>
      </c>
      <c r="CD29" s="1" t="s">
        <v>21891</v>
      </c>
      <c r="CE29" s="1" t="s">
        <v>21892</v>
      </c>
      <c r="CF29" s="1" t="s">
        <v>21893</v>
      </c>
      <c r="CG29" s="1" t="s">
        <v>21894</v>
      </c>
      <c r="CH29" s="1" t="s">
        <v>21895</v>
      </c>
      <c r="CI29" s="1" t="s">
        <v>21896</v>
      </c>
      <c r="CJ29" s="1" t="s">
        <v>21897</v>
      </c>
      <c r="CK29" s="1" t="s">
        <v>21898</v>
      </c>
      <c r="CL29" s="1" t="s">
        <v>21899</v>
      </c>
      <c r="CM29" s="1" t="s">
        <v>21900</v>
      </c>
      <c r="CN29" s="1" t="s">
        <v>21901</v>
      </c>
      <c r="CO29" s="1" t="s">
        <v>21902</v>
      </c>
      <c r="CP29" s="1" t="s">
        <v>21903</v>
      </c>
      <c r="CQ29" s="1" t="s">
        <v>21904</v>
      </c>
      <c r="CR29" s="1" t="s">
        <v>21905</v>
      </c>
      <c r="CS29" s="1" t="s">
        <v>21906</v>
      </c>
      <c r="CT29" s="1" t="s">
        <v>21907</v>
      </c>
      <c r="CU29" s="1" t="s">
        <v>21908</v>
      </c>
      <c r="CV29" s="1" t="s">
        <v>21909</v>
      </c>
      <c r="CW29" s="1" t="s">
        <v>21910</v>
      </c>
      <c r="CX29" s="1" t="s">
        <v>21911</v>
      </c>
      <c r="CY29" s="1" t="s">
        <v>21912</v>
      </c>
      <c r="CZ29" s="1" t="s">
        <v>21913</v>
      </c>
      <c r="DA29" s="1" t="s">
        <v>21914</v>
      </c>
      <c r="DB29" s="1" t="s">
        <v>21915</v>
      </c>
      <c r="DC29" s="1" t="s">
        <v>21916</v>
      </c>
      <c r="DD29" s="1" t="s">
        <v>21917</v>
      </c>
      <c r="DE29" s="1" t="s">
        <v>21918</v>
      </c>
      <c r="DF29" s="1" t="s">
        <v>21919</v>
      </c>
      <c r="DG29" s="1" t="s">
        <v>21920</v>
      </c>
      <c r="DH29" s="1" t="s">
        <v>21921</v>
      </c>
      <c r="DI29" s="1" t="s">
        <v>21922</v>
      </c>
      <c r="DJ29" s="1" t="s">
        <v>21923</v>
      </c>
      <c r="DK29" s="1" t="s">
        <v>21924</v>
      </c>
      <c r="DL29" s="1" t="s">
        <v>21925</v>
      </c>
      <c r="DM29" s="1" t="s">
        <v>21926</v>
      </c>
      <c r="DN29" s="1" t="s">
        <v>21927</v>
      </c>
      <c r="DO29" s="1" t="s">
        <v>21928</v>
      </c>
      <c r="DP29" s="1" t="s">
        <v>21929</v>
      </c>
      <c r="DQ29" s="1" t="s">
        <v>21930</v>
      </c>
      <c r="DR29" s="1" t="s">
        <v>21931</v>
      </c>
      <c r="DS29" s="1" t="s">
        <v>21932</v>
      </c>
      <c r="DT29" s="1" t="s">
        <v>21933</v>
      </c>
      <c r="DU29" s="1" t="s">
        <v>21934</v>
      </c>
      <c r="DV29" s="1" t="s">
        <v>21935</v>
      </c>
      <c r="DW29" s="1" t="s">
        <v>21936</v>
      </c>
      <c r="DX29" s="1" t="s">
        <v>21937</v>
      </c>
      <c r="DY29" s="1" t="s">
        <v>21938</v>
      </c>
      <c r="DZ29" s="1" t="s">
        <v>21939</v>
      </c>
      <c r="EA29" s="1" t="s">
        <v>21940</v>
      </c>
      <c r="EB29" s="1" t="s">
        <v>21941</v>
      </c>
      <c r="EC29" s="1" t="s">
        <v>21942</v>
      </c>
      <c r="ED29" s="1" t="s">
        <v>21943</v>
      </c>
      <c r="EE29" s="1" t="s">
        <v>21944</v>
      </c>
      <c r="EF29" s="1" t="s">
        <v>21945</v>
      </c>
      <c r="EG29" s="1" t="s">
        <v>21946</v>
      </c>
      <c r="EH29" s="1" t="s">
        <v>21947</v>
      </c>
      <c r="EI29" s="1" t="s">
        <v>21948</v>
      </c>
      <c r="EJ29" s="1" t="s">
        <v>21949</v>
      </c>
      <c r="EK29" s="1" t="s">
        <v>21950</v>
      </c>
      <c r="EL29" s="1" t="s">
        <v>21951</v>
      </c>
      <c r="EM29" s="1" t="s">
        <v>21952</v>
      </c>
      <c r="EN29" s="1" t="s">
        <v>21953</v>
      </c>
      <c r="EO29" s="1" t="s">
        <v>21954</v>
      </c>
      <c r="EP29" s="1" t="s">
        <v>21955</v>
      </c>
      <c r="EQ29" s="1" t="s">
        <v>21956</v>
      </c>
      <c r="ER29" s="1" t="s">
        <v>21957</v>
      </c>
      <c r="ES29" s="1" t="s">
        <v>21958</v>
      </c>
      <c r="ET29" s="1" t="s">
        <v>21959</v>
      </c>
      <c r="EU29" s="1" t="s">
        <v>21960</v>
      </c>
      <c r="EV29" s="1" t="s">
        <v>21961</v>
      </c>
      <c r="EW29" s="1" t="s">
        <v>21962</v>
      </c>
      <c r="EX29" s="1" t="s">
        <v>21963</v>
      </c>
      <c r="EY29" s="1" t="s">
        <v>21964</v>
      </c>
      <c r="EZ29" s="1" t="s">
        <v>21965</v>
      </c>
      <c r="FA29" s="1" t="s">
        <v>21966</v>
      </c>
      <c r="FB29" s="1" t="s">
        <v>21967</v>
      </c>
      <c r="FC29" s="1" t="s">
        <v>21968</v>
      </c>
      <c r="FD29" s="1" t="s">
        <v>21969</v>
      </c>
      <c r="FE29" s="1" t="s">
        <v>21970</v>
      </c>
      <c r="FF29" s="1" t="s">
        <v>21971</v>
      </c>
      <c r="FG29" s="1" t="s">
        <v>21972</v>
      </c>
      <c r="FH29" s="1" t="s">
        <v>21973</v>
      </c>
      <c r="FI29" s="1" t="s">
        <v>21974</v>
      </c>
      <c r="FJ29" s="1" t="s">
        <v>21975</v>
      </c>
      <c r="FK29" s="1" t="s">
        <v>21976</v>
      </c>
      <c r="FL29" s="1" t="s">
        <v>21977</v>
      </c>
      <c r="FM29" s="1" t="s">
        <v>21978</v>
      </c>
      <c r="FN29" s="1" t="s">
        <v>21979</v>
      </c>
      <c r="FO29" s="1" t="s">
        <v>21980</v>
      </c>
      <c r="FP29" s="1" t="s">
        <v>21981</v>
      </c>
      <c r="FQ29" s="1" t="s">
        <v>21982</v>
      </c>
      <c r="FR29" s="1" t="s">
        <v>21983</v>
      </c>
      <c r="FS29" s="1" t="s">
        <v>21984</v>
      </c>
      <c r="FT29" s="1" t="s">
        <v>21985</v>
      </c>
      <c r="FU29" s="1" t="s">
        <v>21986</v>
      </c>
      <c r="FV29" s="1" t="s">
        <v>21987</v>
      </c>
      <c r="FW29" s="1" t="s">
        <v>21988</v>
      </c>
      <c r="FX29" s="1" t="s">
        <v>21989</v>
      </c>
      <c r="FY29" s="1" t="s">
        <v>21990</v>
      </c>
      <c r="FZ29" s="1" t="s">
        <v>21991</v>
      </c>
      <c r="GA29" s="1" t="s">
        <v>21992</v>
      </c>
      <c r="GB29" s="1" t="s">
        <v>21993</v>
      </c>
      <c r="GC29" s="1" t="s">
        <v>21994</v>
      </c>
      <c r="GD29" s="1" t="s">
        <v>21995</v>
      </c>
      <c r="GE29" s="1" t="s">
        <v>21996</v>
      </c>
      <c r="GF29" s="1" t="s">
        <v>21997</v>
      </c>
      <c r="GG29" s="1" t="s">
        <v>21998</v>
      </c>
      <c r="GH29" s="1" t="s">
        <v>21999</v>
      </c>
      <c r="GI29" s="1" t="s">
        <v>22000</v>
      </c>
      <c r="GJ29" s="1" t="s">
        <v>22001</v>
      </c>
      <c r="GK29" s="1" t="s">
        <v>22002</v>
      </c>
      <c r="GL29" s="1" t="s">
        <v>22003</v>
      </c>
      <c r="GM29" s="1" t="s">
        <v>22004</v>
      </c>
      <c r="GN29" s="1" t="s">
        <v>22005</v>
      </c>
      <c r="GO29" s="1" t="s">
        <v>22006</v>
      </c>
      <c r="GP29" s="1" t="s">
        <v>22007</v>
      </c>
      <c r="GQ29" s="1" t="s">
        <v>22008</v>
      </c>
      <c r="GR29" s="1" t="s">
        <v>22009</v>
      </c>
      <c r="GS29" s="1" t="s">
        <v>22010</v>
      </c>
      <c r="GT29" s="1" t="s">
        <v>22011</v>
      </c>
      <c r="GU29" s="1" t="s">
        <v>22012</v>
      </c>
      <c r="GV29" s="1" t="s">
        <v>22013</v>
      </c>
      <c r="GW29" s="1" t="s">
        <v>22014</v>
      </c>
      <c r="GX29" s="1" t="s">
        <v>22015</v>
      </c>
      <c r="GY29" s="1" t="s">
        <v>22016</v>
      </c>
      <c r="GZ29" s="1" t="s">
        <v>22017</v>
      </c>
      <c r="HA29" s="1" t="s">
        <v>22018</v>
      </c>
      <c r="HB29" s="1" t="s">
        <v>22019</v>
      </c>
      <c r="HC29" s="1" t="s">
        <v>22020</v>
      </c>
      <c r="HD29" s="1" t="s">
        <v>22021</v>
      </c>
      <c r="HE29" s="1" t="s">
        <v>22022</v>
      </c>
      <c r="HF29" s="1" t="s">
        <v>22023</v>
      </c>
      <c r="HG29" s="1" t="s">
        <v>22024</v>
      </c>
      <c r="HH29" s="1" t="s">
        <v>22025</v>
      </c>
      <c r="HI29" s="1" t="s">
        <v>22026</v>
      </c>
      <c r="HJ29" s="1" t="s">
        <v>22027</v>
      </c>
      <c r="HK29" s="1" t="s">
        <v>22028</v>
      </c>
      <c r="HL29" s="1" t="s">
        <v>22029</v>
      </c>
      <c r="HM29" s="1" t="s">
        <v>22030</v>
      </c>
      <c r="HN29" s="1" t="s">
        <v>22031</v>
      </c>
      <c r="HO29" s="1" t="s">
        <v>22032</v>
      </c>
      <c r="HP29" s="1" t="s">
        <v>22033</v>
      </c>
      <c r="HQ29" s="1" t="s">
        <v>22034</v>
      </c>
      <c r="HR29" s="1" t="s">
        <v>22035</v>
      </c>
      <c r="HS29" s="1" t="s">
        <v>22036</v>
      </c>
      <c r="HT29" s="1" t="s">
        <v>22037</v>
      </c>
      <c r="HU29" s="1" t="s">
        <v>22038</v>
      </c>
      <c r="HV29" s="1" t="s">
        <v>22039</v>
      </c>
      <c r="HW29" s="1" t="s">
        <v>22040</v>
      </c>
      <c r="HX29" s="1" t="s">
        <v>22041</v>
      </c>
      <c r="HY29" s="1" t="s">
        <v>22042</v>
      </c>
      <c r="HZ29" s="1" t="s">
        <v>22043</v>
      </c>
      <c r="IA29" s="1" t="s">
        <v>22044</v>
      </c>
      <c r="IB29" s="1" t="s">
        <v>22045</v>
      </c>
      <c r="IC29" s="1" t="s">
        <v>22046</v>
      </c>
      <c r="ID29" s="1" t="s">
        <v>22047</v>
      </c>
      <c r="IE29" s="1" t="s">
        <v>22048</v>
      </c>
      <c r="IF29" s="1" t="s">
        <v>22049</v>
      </c>
      <c r="IG29" s="1" t="s">
        <v>22050</v>
      </c>
      <c r="IH29" s="1" t="s">
        <v>22051</v>
      </c>
      <c r="II29" s="1" t="s">
        <v>22052</v>
      </c>
      <c r="IJ29" s="1" t="s">
        <v>22053</v>
      </c>
      <c r="IK29" s="1" t="s">
        <v>22054</v>
      </c>
      <c r="IL29" s="1" t="s">
        <v>22055</v>
      </c>
      <c r="IM29" s="1" t="s">
        <v>22056</v>
      </c>
      <c r="IN29" s="1" t="s">
        <v>22057</v>
      </c>
      <c r="IO29" s="1" t="s">
        <v>22058</v>
      </c>
      <c r="IP29" s="1" t="s">
        <v>22059</v>
      </c>
      <c r="IQ29" s="1" t="s">
        <v>22060</v>
      </c>
      <c r="IR29" s="1" t="s">
        <v>22061</v>
      </c>
      <c r="IS29" s="1" t="s">
        <v>22062</v>
      </c>
      <c r="IT29" s="1" t="s">
        <v>22063</v>
      </c>
      <c r="IU29" s="1" t="s">
        <v>22064</v>
      </c>
      <c r="IV29" s="1" t="s">
        <v>22065</v>
      </c>
      <c r="IW29" s="1" t="s">
        <v>22066</v>
      </c>
      <c r="IX29" s="1" t="s">
        <v>22067</v>
      </c>
      <c r="IY29" s="1" t="s">
        <v>22068</v>
      </c>
      <c r="IZ29" s="1" t="s">
        <v>22069</v>
      </c>
      <c r="JA29" s="1" t="s">
        <v>22070</v>
      </c>
      <c r="JB29" s="1" t="s">
        <v>22071</v>
      </c>
      <c r="JC29" s="1" t="s">
        <v>22072</v>
      </c>
      <c r="JD29" s="1" t="s">
        <v>22073</v>
      </c>
      <c r="JE29" s="1" t="s">
        <v>22074</v>
      </c>
      <c r="JF29" s="1" t="s">
        <v>22075</v>
      </c>
      <c r="JG29" s="1" t="s">
        <v>22076</v>
      </c>
      <c r="JH29" s="1" t="s">
        <v>22077</v>
      </c>
      <c r="JI29" s="1" t="s">
        <v>22078</v>
      </c>
      <c r="JJ29" s="1" t="s">
        <v>22079</v>
      </c>
      <c r="JK29" s="1" t="s">
        <v>22080</v>
      </c>
      <c r="JL29" s="1" t="s">
        <v>22081</v>
      </c>
      <c r="JM29" s="1" t="s">
        <v>22082</v>
      </c>
      <c r="JN29" s="1" t="s">
        <v>22083</v>
      </c>
      <c r="JO29" s="1" t="s">
        <v>22084</v>
      </c>
      <c r="JP29" s="1" t="s">
        <v>22085</v>
      </c>
      <c r="JQ29" s="1" t="s">
        <v>22086</v>
      </c>
      <c r="JR29" s="1" t="s">
        <v>22087</v>
      </c>
      <c r="JS29" s="1" t="s">
        <v>22088</v>
      </c>
      <c r="JT29" s="1" t="s">
        <v>22089</v>
      </c>
      <c r="JU29" s="1" t="s">
        <v>22090</v>
      </c>
      <c r="JV29" s="1" t="s">
        <v>22091</v>
      </c>
      <c r="JW29" s="1" t="s">
        <v>22092</v>
      </c>
      <c r="JX29" s="1" t="s">
        <v>22093</v>
      </c>
      <c r="JY29" s="1" t="s">
        <v>22094</v>
      </c>
      <c r="JZ29" s="1" t="s">
        <v>22095</v>
      </c>
      <c r="KA29" s="1" t="s">
        <v>22096</v>
      </c>
      <c r="KB29" s="1" t="s">
        <v>22097</v>
      </c>
      <c r="KC29" s="1" t="s">
        <v>22098</v>
      </c>
      <c r="KD29" s="1" t="s">
        <v>22099</v>
      </c>
      <c r="KE29" s="1" t="s">
        <v>22100</v>
      </c>
      <c r="KF29" s="1" t="s">
        <v>22101</v>
      </c>
      <c r="KG29" s="1" t="s">
        <v>22102</v>
      </c>
      <c r="KH29" s="1" t="s">
        <v>22103</v>
      </c>
      <c r="KI29" s="1" t="s">
        <v>22104</v>
      </c>
      <c r="KJ29" s="1" t="s">
        <v>22105</v>
      </c>
      <c r="KK29" s="1" t="s">
        <v>22106</v>
      </c>
      <c r="KL29" s="1" t="s">
        <v>22107</v>
      </c>
      <c r="KM29" s="1" t="s">
        <v>22108</v>
      </c>
      <c r="KN29" s="1" t="s">
        <v>22109</v>
      </c>
      <c r="KO29" s="1" t="s">
        <v>22110</v>
      </c>
      <c r="KP29" s="1" t="s">
        <v>22111</v>
      </c>
      <c r="KQ29" s="1" t="s">
        <v>22112</v>
      </c>
      <c r="KR29" s="1" t="s">
        <v>22113</v>
      </c>
      <c r="KS29" s="1" t="s">
        <v>22114</v>
      </c>
      <c r="KT29" s="1" t="s">
        <v>22115</v>
      </c>
      <c r="KU29" s="1" t="s">
        <v>22116</v>
      </c>
      <c r="KV29" s="1" t="s">
        <v>22117</v>
      </c>
      <c r="KW29" s="1" t="s">
        <v>22118</v>
      </c>
      <c r="KX29" s="1" t="s">
        <v>22119</v>
      </c>
      <c r="KY29" s="1" t="s">
        <v>22120</v>
      </c>
      <c r="KZ29" s="1" t="s">
        <v>22121</v>
      </c>
      <c r="LA29" s="1" t="s">
        <v>22122</v>
      </c>
      <c r="LB29" s="1" t="s">
        <v>22123</v>
      </c>
      <c r="LC29" s="1" t="s">
        <v>22124</v>
      </c>
      <c r="LD29" s="1" t="s">
        <v>22125</v>
      </c>
      <c r="LE29" s="1" t="s">
        <v>22126</v>
      </c>
      <c r="LF29" s="1" t="s">
        <v>22127</v>
      </c>
      <c r="LG29" s="1" t="s">
        <v>22128</v>
      </c>
      <c r="LH29" s="1" t="s">
        <v>22129</v>
      </c>
      <c r="LI29" s="1" t="s">
        <v>22130</v>
      </c>
      <c r="LJ29" s="1" t="s">
        <v>22131</v>
      </c>
      <c r="LK29" s="1" t="s">
        <v>22132</v>
      </c>
      <c r="LL29" s="1" t="s">
        <v>22133</v>
      </c>
      <c r="LM29" s="1" t="s">
        <v>22134</v>
      </c>
      <c r="LN29" s="1" t="s">
        <v>22135</v>
      </c>
      <c r="LO29" s="1" t="s">
        <v>22136</v>
      </c>
      <c r="LP29" s="1" t="s">
        <v>22137</v>
      </c>
      <c r="LQ29" s="1" t="s">
        <v>22138</v>
      </c>
      <c r="LR29" s="1" t="s">
        <v>22139</v>
      </c>
      <c r="LS29" s="1" t="s">
        <v>22140</v>
      </c>
      <c r="LT29" s="1" t="s">
        <v>22141</v>
      </c>
      <c r="LU29" s="1" t="s">
        <v>22142</v>
      </c>
      <c r="LV29" s="1" t="s">
        <v>22143</v>
      </c>
      <c r="LW29" s="1" t="s">
        <v>22144</v>
      </c>
      <c r="LX29" s="1" t="s">
        <v>22145</v>
      </c>
      <c r="LY29" s="1" t="s">
        <v>22146</v>
      </c>
      <c r="LZ29" s="1" t="s">
        <v>22147</v>
      </c>
      <c r="MA29" s="1" t="s">
        <v>22148</v>
      </c>
      <c r="MB29" s="1" t="s">
        <v>22149</v>
      </c>
      <c r="MC29" s="1" t="s">
        <v>22150</v>
      </c>
      <c r="MD29" s="1" t="s">
        <v>22151</v>
      </c>
      <c r="ME29" s="1" t="s">
        <v>22152</v>
      </c>
      <c r="MF29" s="1" t="s">
        <v>22153</v>
      </c>
      <c r="MG29" s="1" t="s">
        <v>22154</v>
      </c>
      <c r="MH29" s="1" t="s">
        <v>22155</v>
      </c>
      <c r="MI29" s="1" t="s">
        <v>22156</v>
      </c>
      <c r="MJ29" s="1" t="s">
        <v>22157</v>
      </c>
      <c r="MK29" s="1" t="s">
        <v>22158</v>
      </c>
      <c r="ML29" s="1" t="s">
        <v>22159</v>
      </c>
      <c r="MM29" s="1" t="s">
        <v>22160</v>
      </c>
      <c r="MN29" s="1" t="s">
        <v>22161</v>
      </c>
      <c r="MO29" s="1" t="s">
        <v>22162</v>
      </c>
      <c r="MP29" s="1" t="s">
        <v>22163</v>
      </c>
      <c r="MQ29" s="1" t="s">
        <v>22164</v>
      </c>
      <c r="MR29" s="1" t="s">
        <v>22165</v>
      </c>
      <c r="MS29" s="1" t="s">
        <v>22166</v>
      </c>
      <c r="MT29" s="1" t="s">
        <v>22167</v>
      </c>
      <c r="MU29" s="1" t="s">
        <v>22168</v>
      </c>
      <c r="MV29" s="1" t="s">
        <v>22169</v>
      </c>
      <c r="MW29" s="1" t="s">
        <v>22170</v>
      </c>
      <c r="MX29" s="1" t="s">
        <v>22171</v>
      </c>
      <c r="MY29" s="1" t="s">
        <v>22172</v>
      </c>
      <c r="MZ29" s="1" t="s">
        <v>22173</v>
      </c>
      <c r="NA29" s="1" t="s">
        <v>22174</v>
      </c>
      <c r="NB29" s="1" t="s">
        <v>22175</v>
      </c>
      <c r="NC29" s="1" t="s">
        <v>22176</v>
      </c>
      <c r="ND29" s="1" t="s">
        <v>22177</v>
      </c>
      <c r="NE29" s="1" t="s">
        <v>22178</v>
      </c>
      <c r="NF29" s="1" t="s">
        <v>22179</v>
      </c>
      <c r="NG29" s="1" t="s">
        <v>22180</v>
      </c>
      <c r="NH29" s="1" t="s">
        <v>22181</v>
      </c>
      <c r="NI29" s="1" t="s">
        <v>22182</v>
      </c>
      <c r="NJ29" s="1" t="s">
        <v>22183</v>
      </c>
      <c r="NK29" s="1" t="s">
        <v>22184</v>
      </c>
      <c r="NL29" s="1" t="s">
        <v>22185</v>
      </c>
      <c r="NM29" s="1" t="s">
        <v>22186</v>
      </c>
      <c r="NN29" s="1" t="s">
        <v>22187</v>
      </c>
      <c r="NO29" s="1" t="s">
        <v>22188</v>
      </c>
      <c r="NP29" s="1" t="s">
        <v>22189</v>
      </c>
      <c r="NQ29" s="1" t="s">
        <v>22190</v>
      </c>
      <c r="NR29" s="1" t="s">
        <v>22191</v>
      </c>
      <c r="NS29" s="1" t="s">
        <v>22192</v>
      </c>
      <c r="NT29" s="1" t="s">
        <v>22193</v>
      </c>
      <c r="NU29" s="1" t="s">
        <v>22194</v>
      </c>
      <c r="NV29" s="1" t="s">
        <v>22195</v>
      </c>
      <c r="NW29" s="1" t="s">
        <v>22196</v>
      </c>
      <c r="NX29" s="1" t="s">
        <v>22197</v>
      </c>
      <c r="NY29" s="1" t="s">
        <v>22198</v>
      </c>
      <c r="NZ29" s="1" t="s">
        <v>22199</v>
      </c>
      <c r="OA29" s="1" t="s">
        <v>22200</v>
      </c>
      <c r="OB29" s="1" t="s">
        <v>22201</v>
      </c>
      <c r="OC29" s="1" t="s">
        <v>22202</v>
      </c>
      <c r="OD29" s="1" t="s">
        <v>22203</v>
      </c>
      <c r="OE29" s="1" t="s">
        <v>22204</v>
      </c>
      <c r="OF29" s="1" t="s">
        <v>22205</v>
      </c>
      <c r="OG29" s="1" t="s">
        <v>22206</v>
      </c>
      <c r="OH29" s="1" t="s">
        <v>22207</v>
      </c>
      <c r="OI29" s="1" t="s">
        <v>22208</v>
      </c>
      <c r="OJ29" s="1" t="s">
        <v>22209</v>
      </c>
      <c r="OK29" s="1" t="s">
        <v>22210</v>
      </c>
      <c r="OL29" s="1" t="s">
        <v>22211</v>
      </c>
      <c r="OM29" s="1" t="s">
        <v>22212</v>
      </c>
      <c r="ON29" s="1" t="s">
        <v>22213</v>
      </c>
      <c r="OO29" s="1" t="s">
        <v>22214</v>
      </c>
      <c r="OP29" s="1" t="s">
        <v>22215</v>
      </c>
      <c r="OQ29" s="1" t="s">
        <v>22216</v>
      </c>
      <c r="OR29" s="1" t="s">
        <v>22217</v>
      </c>
      <c r="OS29" s="1" t="s">
        <v>22218</v>
      </c>
      <c r="OT29" s="1" t="s">
        <v>22219</v>
      </c>
      <c r="OU29" s="1" t="s">
        <v>22220</v>
      </c>
      <c r="OV29" s="1" t="s">
        <v>22221</v>
      </c>
      <c r="OW29" s="1" t="s">
        <v>22222</v>
      </c>
      <c r="OX29" s="1" t="s">
        <v>22223</v>
      </c>
      <c r="OY29" s="1" t="s">
        <v>22224</v>
      </c>
      <c r="OZ29" s="1" t="s">
        <v>22225</v>
      </c>
      <c r="PA29" s="1" t="s">
        <v>22226</v>
      </c>
      <c r="PB29" s="1" t="s">
        <v>22227</v>
      </c>
      <c r="PC29" s="1" t="s">
        <v>22228</v>
      </c>
      <c r="PD29" s="1" t="s">
        <v>22229</v>
      </c>
      <c r="PE29" s="1" t="s">
        <v>22230</v>
      </c>
      <c r="PF29" s="1" t="s">
        <v>22231</v>
      </c>
      <c r="PG29" s="1" t="s">
        <v>22232</v>
      </c>
      <c r="PH29" s="1" t="s">
        <v>22233</v>
      </c>
      <c r="PI29" s="1" t="s">
        <v>22234</v>
      </c>
      <c r="PJ29" s="1" t="s">
        <v>22235</v>
      </c>
      <c r="PK29" s="1" t="s">
        <v>22236</v>
      </c>
      <c r="PL29" s="1" t="s">
        <v>22237</v>
      </c>
      <c r="PM29" s="1" t="s">
        <v>22238</v>
      </c>
      <c r="PN29" s="1" t="s">
        <v>22239</v>
      </c>
      <c r="PO29" s="1" t="s">
        <v>22240</v>
      </c>
      <c r="PP29" s="1" t="s">
        <v>22241</v>
      </c>
      <c r="PQ29" s="1" t="s">
        <v>22242</v>
      </c>
      <c r="PR29" s="1" t="s">
        <v>22243</v>
      </c>
      <c r="PS29" s="1" t="s">
        <v>22244</v>
      </c>
      <c r="PT29" s="1" t="s">
        <v>22245</v>
      </c>
      <c r="PU29" s="1" t="s">
        <v>22246</v>
      </c>
      <c r="PV29" s="1" t="s">
        <v>22247</v>
      </c>
      <c r="PW29" s="1" t="s">
        <v>22248</v>
      </c>
      <c r="PX29" s="1" t="s">
        <v>22249</v>
      </c>
      <c r="PY29" s="1" t="s">
        <v>22250</v>
      </c>
      <c r="PZ29" s="1" t="s">
        <v>22251</v>
      </c>
      <c r="QA29" s="1" t="s">
        <v>22252</v>
      </c>
      <c r="QB29" s="1" t="s">
        <v>22253</v>
      </c>
      <c r="QC29" s="1" t="s">
        <v>22254</v>
      </c>
      <c r="QD29" s="1" t="s">
        <v>22255</v>
      </c>
      <c r="QE29" s="1" t="s">
        <v>22256</v>
      </c>
      <c r="QF29" s="1" t="s">
        <v>22257</v>
      </c>
      <c r="QG29" s="1" t="s">
        <v>22258</v>
      </c>
      <c r="QH29" s="1" t="s">
        <v>22259</v>
      </c>
      <c r="QI29" s="1" t="s">
        <v>22260</v>
      </c>
      <c r="QJ29" s="1" t="s">
        <v>22261</v>
      </c>
      <c r="QK29" s="1" t="s">
        <v>22262</v>
      </c>
      <c r="QL29" s="1" t="s">
        <v>22263</v>
      </c>
      <c r="QM29" s="1" t="s">
        <v>22264</v>
      </c>
      <c r="QN29" s="1" t="s">
        <v>22265</v>
      </c>
      <c r="QO29" s="1" t="s">
        <v>22266</v>
      </c>
      <c r="QP29" s="1" t="s">
        <v>22267</v>
      </c>
      <c r="QQ29" s="1" t="s">
        <v>22268</v>
      </c>
      <c r="QR29" s="1" t="s">
        <v>22269</v>
      </c>
      <c r="QS29" s="1" t="s">
        <v>22270</v>
      </c>
      <c r="QT29" s="1" t="s">
        <v>22271</v>
      </c>
      <c r="QU29" s="1" t="s">
        <v>22272</v>
      </c>
      <c r="QV29" s="1" t="s">
        <v>22273</v>
      </c>
      <c r="QW29" s="1" t="s">
        <v>22274</v>
      </c>
      <c r="QX29" s="1" t="s">
        <v>22275</v>
      </c>
      <c r="QY29" s="1" t="s">
        <v>22276</v>
      </c>
      <c r="QZ29" s="1" t="s">
        <v>22277</v>
      </c>
      <c r="RA29" s="1" t="s">
        <v>22278</v>
      </c>
      <c r="RB29" s="1" t="s">
        <v>22279</v>
      </c>
      <c r="RC29" s="1" t="s">
        <v>22280</v>
      </c>
      <c r="RD29" s="1" t="s">
        <v>22281</v>
      </c>
      <c r="RE29" s="1" t="s">
        <v>22282</v>
      </c>
      <c r="RF29" s="1" t="s">
        <v>22283</v>
      </c>
      <c r="RG29" s="1" t="s">
        <v>22284</v>
      </c>
      <c r="RH29" s="1" t="s">
        <v>22285</v>
      </c>
      <c r="RI29" s="1" t="s">
        <v>22286</v>
      </c>
      <c r="RJ29" s="1" t="s">
        <v>22287</v>
      </c>
      <c r="RK29" s="1" t="s">
        <v>22288</v>
      </c>
      <c r="RL29" s="1" t="s">
        <v>22289</v>
      </c>
      <c r="RM29" s="1" t="s">
        <v>22290</v>
      </c>
      <c r="RN29" s="1" t="s">
        <v>22291</v>
      </c>
      <c r="RO29" s="1" t="s">
        <v>22292</v>
      </c>
      <c r="RP29" s="1" t="s">
        <v>22293</v>
      </c>
      <c r="RQ29" s="1" t="s">
        <v>22294</v>
      </c>
      <c r="RR29" s="1" t="s">
        <v>22295</v>
      </c>
      <c r="RS29" s="1" t="s">
        <v>22296</v>
      </c>
      <c r="RT29" s="1" t="s">
        <v>22297</v>
      </c>
      <c r="RU29" s="1" t="s">
        <v>22298</v>
      </c>
      <c r="RV29" s="1" t="s">
        <v>22299</v>
      </c>
      <c r="RW29" s="1" t="s">
        <v>22300</v>
      </c>
      <c r="RX29" s="1" t="s">
        <v>22301</v>
      </c>
      <c r="RY29" s="1" t="s">
        <v>22302</v>
      </c>
      <c r="RZ29" s="1" t="s">
        <v>22303</v>
      </c>
      <c r="SA29" s="1" t="s">
        <v>22304</v>
      </c>
      <c r="SB29" s="1" t="s">
        <v>22305</v>
      </c>
      <c r="SC29" s="1" t="s">
        <v>22306</v>
      </c>
      <c r="SD29" s="1" t="s">
        <v>22307</v>
      </c>
      <c r="SE29" s="1" t="s">
        <v>22308</v>
      </c>
      <c r="SF29" s="1" t="s">
        <v>22309</v>
      </c>
      <c r="SG29" s="1" t="s">
        <v>22310</v>
      </c>
      <c r="SH29" s="1" t="s">
        <v>22311</v>
      </c>
      <c r="SI29" s="1" t="s">
        <v>22312</v>
      </c>
      <c r="SJ29" s="1" t="s">
        <v>22313</v>
      </c>
      <c r="SK29" s="1" t="s">
        <v>22314</v>
      </c>
      <c r="SL29" s="1" t="s">
        <v>22315</v>
      </c>
      <c r="SM29" s="1" t="s">
        <v>22316</v>
      </c>
      <c r="SN29" s="1" t="s">
        <v>22317</v>
      </c>
      <c r="SO29" s="1" t="s">
        <v>22318</v>
      </c>
      <c r="SP29" s="1" t="s">
        <v>22319</v>
      </c>
      <c r="SQ29" s="1" t="s">
        <v>22320</v>
      </c>
      <c r="SR29" s="1" t="s">
        <v>22321</v>
      </c>
      <c r="SS29" s="1" t="s">
        <v>22322</v>
      </c>
      <c r="ST29" s="1" t="s">
        <v>22323</v>
      </c>
      <c r="SU29" s="1" t="s">
        <v>22324</v>
      </c>
      <c r="SV29" s="1" t="s">
        <v>22325</v>
      </c>
      <c r="SW29" s="1" t="s">
        <v>22326</v>
      </c>
      <c r="SX29" s="1" t="s">
        <v>22327</v>
      </c>
      <c r="SY29" s="1" t="s">
        <v>22328</v>
      </c>
      <c r="SZ29" s="1" t="s">
        <v>22329</v>
      </c>
      <c r="TA29" s="1" t="s">
        <v>22330</v>
      </c>
      <c r="TB29" s="1" t="s">
        <v>22331</v>
      </c>
      <c r="TC29" s="1" t="s">
        <v>22332</v>
      </c>
      <c r="TD29" s="1" t="s">
        <v>22333</v>
      </c>
      <c r="TE29" s="1" t="s">
        <v>22334</v>
      </c>
      <c r="TF29" s="1" t="s">
        <v>22335</v>
      </c>
      <c r="TG29" s="1" t="s">
        <v>22336</v>
      </c>
      <c r="TH29" s="1" t="s">
        <v>22337</v>
      </c>
      <c r="TI29" s="1" t="s">
        <v>22338</v>
      </c>
      <c r="TJ29" s="1" t="s">
        <v>22339</v>
      </c>
      <c r="TK29" s="1" t="s">
        <v>22340</v>
      </c>
      <c r="TL29" s="1" t="s">
        <v>22341</v>
      </c>
      <c r="TM29" s="1" t="s">
        <v>22342</v>
      </c>
      <c r="TN29" s="1" t="s">
        <v>22343</v>
      </c>
      <c r="TO29" s="1" t="s">
        <v>22344</v>
      </c>
      <c r="TP29" s="1" t="s">
        <v>22345</v>
      </c>
      <c r="TQ29" s="1" t="s">
        <v>22346</v>
      </c>
      <c r="TR29" s="1" t="s">
        <v>22347</v>
      </c>
      <c r="TS29" s="1" t="s">
        <v>22348</v>
      </c>
      <c r="TT29" s="1" t="s">
        <v>22349</v>
      </c>
      <c r="TU29" s="1" t="s">
        <v>22350</v>
      </c>
      <c r="TV29" s="1" t="s">
        <v>22351</v>
      </c>
      <c r="TW29" s="1" t="s">
        <v>22352</v>
      </c>
      <c r="TX29" s="1" t="s">
        <v>22353</v>
      </c>
      <c r="TY29" s="1" t="s">
        <v>22354</v>
      </c>
      <c r="TZ29" s="1" t="s">
        <v>22355</v>
      </c>
      <c r="UA29" s="1" t="s">
        <v>22356</v>
      </c>
      <c r="UB29" s="1" t="s">
        <v>22357</v>
      </c>
      <c r="UC29" s="1" t="s">
        <v>22358</v>
      </c>
      <c r="UD29" s="1" t="s">
        <v>22359</v>
      </c>
      <c r="UE29" s="1" t="s">
        <v>22360</v>
      </c>
      <c r="UF29" s="1" t="s">
        <v>22361</v>
      </c>
      <c r="UG29" s="1" t="s">
        <v>22362</v>
      </c>
      <c r="UH29" s="1" t="s">
        <v>22363</v>
      </c>
      <c r="UI29" s="1" t="s">
        <v>22364</v>
      </c>
      <c r="UJ29" s="1" t="s">
        <v>22365</v>
      </c>
      <c r="UK29" s="1" t="s">
        <v>22366</v>
      </c>
      <c r="UL29" s="1" t="s">
        <v>22367</v>
      </c>
      <c r="UM29" s="1" t="s">
        <v>22368</v>
      </c>
      <c r="UN29" s="1" t="s">
        <v>22369</v>
      </c>
      <c r="UO29" s="1" t="s">
        <v>22370</v>
      </c>
      <c r="UP29" s="1" t="s">
        <v>22371</v>
      </c>
      <c r="UQ29" s="1" t="s">
        <v>22372</v>
      </c>
      <c r="UR29" s="1" t="s">
        <v>22373</v>
      </c>
      <c r="US29" s="1" t="s">
        <v>22374</v>
      </c>
      <c r="UT29" s="1" t="s">
        <v>22375</v>
      </c>
      <c r="UU29" s="1" t="s">
        <v>22376</v>
      </c>
      <c r="UV29" s="1" t="s">
        <v>22377</v>
      </c>
      <c r="UW29" s="1" t="s">
        <v>22378</v>
      </c>
      <c r="UX29" s="1" t="s">
        <v>22379</v>
      </c>
      <c r="UY29" s="1" t="s">
        <v>22380</v>
      </c>
      <c r="UZ29" s="1" t="s">
        <v>22381</v>
      </c>
      <c r="VA29" s="1" t="s">
        <v>22382</v>
      </c>
      <c r="VB29" s="1" t="s">
        <v>22383</v>
      </c>
      <c r="VC29" s="1" t="s">
        <v>22384</v>
      </c>
      <c r="VD29" s="1" t="s">
        <v>22385</v>
      </c>
      <c r="VE29" s="1" t="s">
        <v>22386</v>
      </c>
      <c r="VF29" s="1" t="s">
        <v>22387</v>
      </c>
      <c r="VG29" s="1" t="s">
        <v>22388</v>
      </c>
      <c r="VH29" s="1" t="s">
        <v>22389</v>
      </c>
      <c r="VI29" s="1" t="s">
        <v>22390</v>
      </c>
      <c r="VJ29" s="1" t="s">
        <v>22391</v>
      </c>
      <c r="VK29" s="1" t="s">
        <v>22392</v>
      </c>
      <c r="VL29" s="1" t="s">
        <v>22393</v>
      </c>
      <c r="VM29" s="1" t="s">
        <v>22394</v>
      </c>
      <c r="VN29" s="1" t="s">
        <v>22395</v>
      </c>
      <c r="VO29" s="1" t="s">
        <v>22396</v>
      </c>
      <c r="VP29" s="1" t="s">
        <v>22397</v>
      </c>
      <c r="VQ29" s="1" t="s">
        <v>22398</v>
      </c>
      <c r="VR29" s="1" t="s">
        <v>22399</v>
      </c>
      <c r="VS29" s="1" t="s">
        <v>22400</v>
      </c>
      <c r="VT29" s="1" t="s">
        <v>22401</v>
      </c>
      <c r="VU29" s="1" t="s">
        <v>22402</v>
      </c>
      <c r="VV29" s="1" t="s">
        <v>22403</v>
      </c>
      <c r="VW29" s="1" t="s">
        <v>22404</v>
      </c>
      <c r="VX29" s="1" t="s">
        <v>22405</v>
      </c>
      <c r="VY29" s="1" t="s">
        <v>22406</v>
      </c>
      <c r="VZ29" s="1" t="s">
        <v>22407</v>
      </c>
      <c r="WA29" s="1" t="s">
        <v>22408</v>
      </c>
      <c r="WB29" s="1" t="s">
        <v>22409</v>
      </c>
      <c r="WC29" s="1" t="s">
        <v>22410</v>
      </c>
      <c r="WD29" s="1" t="s">
        <v>22411</v>
      </c>
      <c r="WE29" s="1" t="s">
        <v>22412</v>
      </c>
      <c r="WF29" s="1" t="s">
        <v>22413</v>
      </c>
      <c r="WG29" s="1" t="s">
        <v>22414</v>
      </c>
      <c r="WH29" s="1" t="s">
        <v>22415</v>
      </c>
      <c r="WI29" s="1" t="s">
        <v>22416</v>
      </c>
      <c r="WJ29" s="1" t="s">
        <v>22417</v>
      </c>
      <c r="WK29" s="1" t="s">
        <v>22418</v>
      </c>
      <c r="WL29" s="1" t="s">
        <v>22419</v>
      </c>
      <c r="WM29" s="1" t="s">
        <v>22420</v>
      </c>
      <c r="WN29" s="1" t="s">
        <v>22421</v>
      </c>
      <c r="WO29" s="1" t="s">
        <v>22422</v>
      </c>
      <c r="WP29" s="1" t="s">
        <v>22423</v>
      </c>
      <c r="WQ29" s="1" t="s">
        <v>22424</v>
      </c>
      <c r="WR29" s="1" t="s">
        <v>22425</v>
      </c>
      <c r="WS29" s="1" t="s">
        <v>22426</v>
      </c>
      <c r="WT29" s="1" t="s">
        <v>22427</v>
      </c>
      <c r="WU29" s="1" t="s">
        <v>22428</v>
      </c>
      <c r="WV29" s="1" t="s">
        <v>22429</v>
      </c>
      <c r="WW29" s="1" t="s">
        <v>22430</v>
      </c>
      <c r="WX29" s="1" t="s">
        <v>22431</v>
      </c>
      <c r="WY29" s="1" t="s">
        <v>22432</v>
      </c>
      <c r="WZ29" s="1" t="s">
        <v>22433</v>
      </c>
      <c r="XA29" s="1" t="s">
        <v>22434</v>
      </c>
      <c r="XB29" s="1" t="s">
        <v>22435</v>
      </c>
      <c r="XC29" s="1" t="s">
        <v>22436</v>
      </c>
      <c r="XD29" s="1" t="s">
        <v>22437</v>
      </c>
      <c r="XE29" s="1" t="s">
        <v>22438</v>
      </c>
      <c r="XF29" s="1" t="s">
        <v>22439</v>
      </c>
      <c r="XG29" s="1" t="s">
        <v>22440</v>
      </c>
      <c r="XH29" s="1" t="s">
        <v>22441</v>
      </c>
      <c r="XI29" s="1" t="s">
        <v>22442</v>
      </c>
      <c r="XJ29" s="1" t="s">
        <v>22443</v>
      </c>
      <c r="XK29" s="1" t="s">
        <v>22444</v>
      </c>
      <c r="XL29" s="1" t="s">
        <v>22445</v>
      </c>
      <c r="XM29" s="1" t="s">
        <v>22446</v>
      </c>
      <c r="XN29" s="1" t="s">
        <v>22447</v>
      </c>
      <c r="XO29" s="1" t="s">
        <v>22448</v>
      </c>
      <c r="XP29" s="1" t="s">
        <v>22449</v>
      </c>
      <c r="XQ29" s="1" t="s">
        <v>22450</v>
      </c>
      <c r="XR29" s="1" t="s">
        <v>22451</v>
      </c>
      <c r="XS29" s="1" t="s">
        <v>22452</v>
      </c>
      <c r="XT29" s="1" t="s">
        <v>22453</v>
      </c>
      <c r="XU29" s="1" t="s">
        <v>22454</v>
      </c>
      <c r="XV29" s="1" t="s">
        <v>22455</v>
      </c>
      <c r="XW29" s="1" t="s">
        <v>22456</v>
      </c>
      <c r="XX29" s="1" t="s">
        <v>22457</v>
      </c>
      <c r="XY29" s="1" t="s">
        <v>22458</v>
      </c>
      <c r="XZ29" s="1" t="s">
        <v>22459</v>
      </c>
      <c r="YA29" s="1" t="s">
        <v>22460</v>
      </c>
      <c r="YB29" s="1" t="s">
        <v>22461</v>
      </c>
      <c r="YC29" s="1" t="s">
        <v>22462</v>
      </c>
      <c r="YD29" s="1" t="s">
        <v>22463</v>
      </c>
      <c r="YE29" s="1" t="s">
        <v>22464</v>
      </c>
      <c r="YF29" s="1" t="s">
        <v>22465</v>
      </c>
      <c r="YG29" s="1" t="s">
        <v>22466</v>
      </c>
      <c r="YH29" s="1" t="s">
        <v>22467</v>
      </c>
      <c r="YI29" s="1" t="s">
        <v>22468</v>
      </c>
      <c r="YJ29" s="1" t="s">
        <v>22469</v>
      </c>
      <c r="YK29" s="1" t="s">
        <v>22470</v>
      </c>
      <c r="YL29" s="1" t="s">
        <v>22471</v>
      </c>
      <c r="YM29" s="1" t="s">
        <v>22472</v>
      </c>
      <c r="YN29" s="1" t="s">
        <v>22473</v>
      </c>
      <c r="YO29" s="1" t="s">
        <v>22474</v>
      </c>
      <c r="YP29" s="1" t="s">
        <v>22475</v>
      </c>
      <c r="YQ29" s="1" t="s">
        <v>22476</v>
      </c>
      <c r="YR29" s="1" t="s">
        <v>22477</v>
      </c>
      <c r="YS29" s="1" t="s">
        <v>22478</v>
      </c>
      <c r="YT29" s="1" t="s">
        <v>22479</v>
      </c>
      <c r="YU29" s="1" t="s">
        <v>22480</v>
      </c>
      <c r="YV29" s="1" t="s">
        <v>22481</v>
      </c>
      <c r="YW29" s="1" t="s">
        <v>22482</v>
      </c>
      <c r="YX29" s="1" t="s">
        <v>22483</v>
      </c>
      <c r="YY29" s="1" t="s">
        <v>22484</v>
      </c>
      <c r="YZ29" s="1" t="s">
        <v>22485</v>
      </c>
      <c r="ZA29" s="1" t="s">
        <v>22486</v>
      </c>
      <c r="ZB29" s="1" t="s">
        <v>22487</v>
      </c>
      <c r="ZC29" s="1" t="s">
        <v>22488</v>
      </c>
      <c r="ZD29" s="1" t="s">
        <v>22489</v>
      </c>
      <c r="ZE29" s="1" t="s">
        <v>22490</v>
      </c>
      <c r="ZF29" s="1" t="s">
        <v>22491</v>
      </c>
      <c r="ZG29" s="1" t="s">
        <v>22492</v>
      </c>
      <c r="ZH29" s="1" t="s">
        <v>22493</v>
      </c>
      <c r="ZI29" s="1" t="s">
        <v>22494</v>
      </c>
      <c r="ZJ29" s="1" t="s">
        <v>22495</v>
      </c>
      <c r="ZK29" s="1" t="s">
        <v>22496</v>
      </c>
      <c r="ZL29" s="1" t="s">
        <v>22497</v>
      </c>
      <c r="ZM29" s="1" t="s">
        <v>22498</v>
      </c>
      <c r="ZN29" s="1" t="s">
        <v>22499</v>
      </c>
      <c r="ZO29" s="1" t="s">
        <v>22500</v>
      </c>
      <c r="ZP29" s="1" t="s">
        <v>22501</v>
      </c>
      <c r="ZQ29" s="1" t="s">
        <v>22502</v>
      </c>
      <c r="ZR29" s="1" t="s">
        <v>22503</v>
      </c>
      <c r="ZS29" s="1" t="s">
        <v>22504</v>
      </c>
      <c r="ZT29" s="1" t="s">
        <v>22505</v>
      </c>
      <c r="ZU29" s="1" t="s">
        <v>22506</v>
      </c>
      <c r="ZV29" s="1" t="s">
        <v>22507</v>
      </c>
      <c r="ZW29" s="1" t="s">
        <v>22508</v>
      </c>
      <c r="ZX29" s="1" t="s">
        <v>22509</v>
      </c>
      <c r="ZY29" s="1" t="s">
        <v>22510</v>
      </c>
      <c r="ZZ29" s="1" t="s">
        <v>22511</v>
      </c>
      <c r="AAA29" s="1" t="s">
        <v>22512</v>
      </c>
      <c r="AAB29" s="1" t="s">
        <v>22513</v>
      </c>
      <c r="AAC29" s="1" t="s">
        <v>22514</v>
      </c>
      <c r="AAD29" s="1" t="s">
        <v>22515</v>
      </c>
      <c r="AAE29" s="1" t="s">
        <v>22516</v>
      </c>
      <c r="AAF29" s="1" t="s">
        <v>22517</v>
      </c>
      <c r="AAG29" s="1" t="s">
        <v>22518</v>
      </c>
      <c r="AAH29" s="1" t="s">
        <v>22519</v>
      </c>
      <c r="AAI29" s="1" t="s">
        <v>22520</v>
      </c>
      <c r="AAJ29" s="1" t="s">
        <v>22521</v>
      </c>
      <c r="AAK29" s="1" t="s">
        <v>22522</v>
      </c>
      <c r="AAL29" s="1" t="s">
        <v>22523</v>
      </c>
      <c r="AAM29" s="1" t="s">
        <v>22524</v>
      </c>
      <c r="AAN29" s="1" t="s">
        <v>22525</v>
      </c>
      <c r="AAO29" s="1" t="s">
        <v>22526</v>
      </c>
      <c r="AAP29" s="1" t="s">
        <v>22527</v>
      </c>
      <c r="AAQ29" s="1" t="s">
        <v>22528</v>
      </c>
      <c r="AAR29" s="1" t="s">
        <v>22529</v>
      </c>
      <c r="AAS29" s="1" t="s">
        <v>22530</v>
      </c>
      <c r="AAT29" s="1" t="s">
        <v>22531</v>
      </c>
      <c r="AAU29" s="1" t="s">
        <v>22532</v>
      </c>
      <c r="AAV29" s="1" t="s">
        <v>22533</v>
      </c>
      <c r="AAW29" s="1" t="s">
        <v>22534</v>
      </c>
      <c r="AAX29" s="1" t="s">
        <v>22535</v>
      </c>
      <c r="AAY29" s="1" t="s">
        <v>22536</v>
      </c>
      <c r="AAZ29" s="1" t="s">
        <v>22537</v>
      </c>
      <c r="ABA29" s="1" t="s">
        <v>22538</v>
      </c>
      <c r="ABB29" s="1" t="s">
        <v>22539</v>
      </c>
      <c r="ABC29" s="1" t="s">
        <v>22540</v>
      </c>
      <c r="ABD29" s="1" t="s">
        <v>22541</v>
      </c>
      <c r="ABE29" s="1" t="s">
        <v>22542</v>
      </c>
      <c r="ABF29" s="1" t="s">
        <v>22543</v>
      </c>
      <c r="ABG29" s="1" t="s">
        <v>22544</v>
      </c>
      <c r="ABH29" s="1" t="s">
        <v>22545</v>
      </c>
      <c r="ABI29" s="1" t="s">
        <v>22546</v>
      </c>
      <c r="ABJ29" s="1" t="s">
        <v>22547</v>
      </c>
      <c r="ABK29" s="1" t="s">
        <v>22548</v>
      </c>
      <c r="ABL29" s="1" t="s">
        <v>22549</v>
      </c>
      <c r="ABM29" s="1" t="s">
        <v>22550</v>
      </c>
      <c r="ABN29" s="1" t="s">
        <v>22551</v>
      </c>
      <c r="ABO29" s="1" t="s">
        <v>22552</v>
      </c>
      <c r="ABP29" s="1" t="s">
        <v>22553</v>
      </c>
      <c r="ABQ29" s="1" t="s">
        <v>22554</v>
      </c>
      <c r="ABR29" s="1" t="s">
        <v>22555</v>
      </c>
      <c r="ABS29" s="1" t="s">
        <v>22556</v>
      </c>
      <c r="ABT29" s="1" t="s">
        <v>22557</v>
      </c>
      <c r="ABU29" s="1" t="s">
        <v>22558</v>
      </c>
      <c r="ABV29" s="1" t="s">
        <v>22559</v>
      </c>
      <c r="ABW29" s="1" t="s">
        <v>22560</v>
      </c>
      <c r="ABX29" s="1" t="s">
        <v>22561</v>
      </c>
      <c r="ABY29" s="1" t="s">
        <v>22562</v>
      </c>
      <c r="ABZ29" s="1" t="s">
        <v>22563</v>
      </c>
      <c r="ACA29" s="1" t="s">
        <v>22564</v>
      </c>
      <c r="ACB29" s="1" t="s">
        <v>22565</v>
      </c>
      <c r="ACC29" s="1" t="s">
        <v>22566</v>
      </c>
      <c r="ACD29" s="1" t="s">
        <v>22567</v>
      </c>
      <c r="ACE29" s="1" t="s">
        <v>22568</v>
      </c>
      <c r="ACF29" s="1" t="s">
        <v>22569</v>
      </c>
      <c r="ACG29" s="1" t="s">
        <v>22570</v>
      </c>
      <c r="ACH29" s="1" t="s">
        <v>22571</v>
      </c>
      <c r="ACI29" s="1" t="s">
        <v>22572</v>
      </c>
      <c r="ACJ29" s="1" t="s">
        <v>22573</v>
      </c>
      <c r="ACK29" s="1" t="s">
        <v>22574</v>
      </c>
      <c r="ACL29" s="1" t="s">
        <v>22575</v>
      </c>
      <c r="ACM29" s="1" t="s">
        <v>22576</v>
      </c>
      <c r="ACN29" s="1" t="s">
        <v>22577</v>
      </c>
      <c r="ACO29" s="1" t="s">
        <v>22578</v>
      </c>
      <c r="ACP29" s="1" t="s">
        <v>22579</v>
      </c>
      <c r="ACQ29" s="1" t="s">
        <v>22580</v>
      </c>
      <c r="ACR29" s="1" t="s">
        <v>22581</v>
      </c>
      <c r="ACS29" s="1" t="s">
        <v>22582</v>
      </c>
      <c r="ACT29" s="1" t="s">
        <v>22583</v>
      </c>
      <c r="ACU29" s="1" t="s">
        <v>22584</v>
      </c>
      <c r="ACV29" s="1" t="s">
        <v>22585</v>
      </c>
      <c r="ACW29" s="1" t="s">
        <v>32</v>
      </c>
      <c r="ACX29" s="1" t="s">
        <v>1499</v>
      </c>
    </row>
    <row r="30" spans="1:778" x14ac:dyDescent="0.2">
      <c r="A30" s="1" t="s">
        <v>77</v>
      </c>
      <c r="B30" s="1" t="s">
        <v>22586</v>
      </c>
      <c r="C30" s="1" t="s">
        <v>22587</v>
      </c>
      <c r="D30" s="1" t="s">
        <v>22588</v>
      </c>
      <c r="E30" s="1" t="s">
        <v>22589</v>
      </c>
      <c r="F30" s="1" t="s">
        <v>22590</v>
      </c>
      <c r="G30" s="1" t="s">
        <v>22591</v>
      </c>
      <c r="H30" s="1" t="s">
        <v>22592</v>
      </c>
      <c r="I30" s="1" t="s">
        <v>22593</v>
      </c>
      <c r="J30" s="1" t="s">
        <v>22594</v>
      </c>
      <c r="K30" s="1" t="s">
        <v>22595</v>
      </c>
      <c r="L30" s="1" t="s">
        <v>22596</v>
      </c>
      <c r="M30" s="1" t="s">
        <v>22597</v>
      </c>
      <c r="N30" s="1" t="s">
        <v>22598</v>
      </c>
      <c r="O30" s="1" t="s">
        <v>22599</v>
      </c>
      <c r="P30" s="1" t="s">
        <v>22600</v>
      </c>
      <c r="Q30" s="1" t="s">
        <v>22601</v>
      </c>
      <c r="R30" s="1" t="s">
        <v>22602</v>
      </c>
      <c r="S30" s="1" t="s">
        <v>22603</v>
      </c>
      <c r="T30" s="1" t="s">
        <v>22604</v>
      </c>
      <c r="U30" s="1" t="s">
        <v>22605</v>
      </c>
      <c r="V30" s="1" t="s">
        <v>22606</v>
      </c>
      <c r="W30" s="1" t="s">
        <v>22607</v>
      </c>
      <c r="X30" s="1" t="s">
        <v>22608</v>
      </c>
      <c r="Y30" s="1" t="s">
        <v>22609</v>
      </c>
      <c r="Z30" s="1" t="s">
        <v>22610</v>
      </c>
      <c r="AA30" s="1" t="s">
        <v>22611</v>
      </c>
      <c r="AB30" s="1" t="s">
        <v>22612</v>
      </c>
      <c r="AC30" s="1" t="s">
        <v>22613</v>
      </c>
      <c r="AD30" s="1" t="s">
        <v>22614</v>
      </c>
      <c r="AE30" s="1" t="s">
        <v>22615</v>
      </c>
      <c r="AF30" s="1" t="s">
        <v>22616</v>
      </c>
      <c r="AG30" s="1" t="s">
        <v>22617</v>
      </c>
      <c r="AH30" s="1" t="s">
        <v>22618</v>
      </c>
      <c r="AI30" s="1" t="s">
        <v>22619</v>
      </c>
      <c r="AJ30" s="1" t="s">
        <v>22620</v>
      </c>
      <c r="AK30" s="1" t="s">
        <v>22621</v>
      </c>
      <c r="AL30" s="1" t="s">
        <v>22622</v>
      </c>
      <c r="AM30" s="1" t="s">
        <v>22623</v>
      </c>
      <c r="AN30" s="1" t="s">
        <v>22624</v>
      </c>
      <c r="AO30" s="1" t="s">
        <v>22625</v>
      </c>
      <c r="AP30" s="1" t="s">
        <v>22626</v>
      </c>
      <c r="AQ30" s="1" t="s">
        <v>22627</v>
      </c>
      <c r="AR30" s="1" t="s">
        <v>22628</v>
      </c>
      <c r="AS30" s="1" t="s">
        <v>22629</v>
      </c>
      <c r="AT30" s="1" t="s">
        <v>22630</v>
      </c>
      <c r="AU30" s="1" t="s">
        <v>22631</v>
      </c>
      <c r="AV30" s="1" t="s">
        <v>22632</v>
      </c>
      <c r="AW30" s="1" t="s">
        <v>22633</v>
      </c>
      <c r="AX30" s="1" t="s">
        <v>22634</v>
      </c>
      <c r="AY30" s="1" t="s">
        <v>22635</v>
      </c>
      <c r="AZ30" s="1" t="s">
        <v>22636</v>
      </c>
      <c r="BA30" s="1" t="s">
        <v>22637</v>
      </c>
      <c r="BB30" s="1" t="s">
        <v>22638</v>
      </c>
      <c r="BC30" s="1" t="s">
        <v>22639</v>
      </c>
      <c r="BD30" s="1" t="s">
        <v>22640</v>
      </c>
      <c r="BE30" s="1" t="s">
        <v>22641</v>
      </c>
      <c r="BF30" s="1" t="s">
        <v>22642</v>
      </c>
      <c r="BG30" s="1" t="s">
        <v>22643</v>
      </c>
      <c r="BH30" s="1" t="s">
        <v>22644</v>
      </c>
      <c r="BI30" s="1" t="s">
        <v>22645</v>
      </c>
      <c r="BJ30" s="1" t="s">
        <v>22646</v>
      </c>
      <c r="BK30" s="1" t="s">
        <v>22647</v>
      </c>
      <c r="BL30" s="1" t="s">
        <v>22648</v>
      </c>
      <c r="BM30" s="1" t="s">
        <v>22649</v>
      </c>
      <c r="BN30" s="1" t="s">
        <v>22650</v>
      </c>
      <c r="BO30" s="1" t="s">
        <v>22651</v>
      </c>
      <c r="BP30" s="1" t="s">
        <v>22652</v>
      </c>
      <c r="BQ30" s="1" t="s">
        <v>22653</v>
      </c>
      <c r="BR30" s="1" t="s">
        <v>22654</v>
      </c>
      <c r="BS30" s="1" t="s">
        <v>22655</v>
      </c>
      <c r="BT30" s="1" t="s">
        <v>22656</v>
      </c>
      <c r="BU30" s="1" t="s">
        <v>22657</v>
      </c>
      <c r="BV30" s="1" t="s">
        <v>22658</v>
      </c>
      <c r="BW30" s="1" t="s">
        <v>22659</v>
      </c>
      <c r="BX30" s="1" t="s">
        <v>22660</v>
      </c>
      <c r="BY30" s="1" t="s">
        <v>22661</v>
      </c>
      <c r="BZ30" s="1" t="s">
        <v>22662</v>
      </c>
      <c r="CA30" s="1" t="s">
        <v>22663</v>
      </c>
      <c r="CB30" s="1" t="s">
        <v>22664</v>
      </c>
      <c r="CC30" s="1" t="s">
        <v>22665</v>
      </c>
      <c r="CD30" s="1" t="s">
        <v>22666</v>
      </c>
      <c r="CE30" s="1" t="s">
        <v>22667</v>
      </c>
      <c r="CF30" s="1" t="s">
        <v>22668</v>
      </c>
      <c r="CG30" s="1" t="s">
        <v>22669</v>
      </c>
      <c r="CH30" s="1" t="s">
        <v>22670</v>
      </c>
      <c r="CI30" s="1" t="s">
        <v>22671</v>
      </c>
      <c r="CJ30" s="1" t="s">
        <v>22672</v>
      </c>
      <c r="CK30" s="1" t="s">
        <v>22673</v>
      </c>
      <c r="CL30" s="1" t="s">
        <v>22674</v>
      </c>
      <c r="CM30" s="1" t="s">
        <v>22675</v>
      </c>
      <c r="CN30" s="1" t="s">
        <v>22676</v>
      </c>
      <c r="CO30" s="1" t="s">
        <v>22677</v>
      </c>
      <c r="CP30" s="1" t="s">
        <v>22678</v>
      </c>
      <c r="CQ30" s="1" t="s">
        <v>22679</v>
      </c>
      <c r="CR30" s="1" t="s">
        <v>22680</v>
      </c>
      <c r="CS30" s="1" t="s">
        <v>22681</v>
      </c>
      <c r="CT30" s="1" t="s">
        <v>22682</v>
      </c>
      <c r="CU30" s="1" t="s">
        <v>22683</v>
      </c>
      <c r="CV30" s="1" t="s">
        <v>22684</v>
      </c>
      <c r="CW30" s="1" t="s">
        <v>22685</v>
      </c>
      <c r="CX30" s="1" t="s">
        <v>22686</v>
      </c>
      <c r="CY30" s="1" t="s">
        <v>22687</v>
      </c>
      <c r="CZ30" s="1" t="s">
        <v>22688</v>
      </c>
      <c r="DA30" s="1" t="s">
        <v>22689</v>
      </c>
      <c r="DB30" s="1" t="s">
        <v>22690</v>
      </c>
      <c r="DC30" s="1" t="s">
        <v>22691</v>
      </c>
      <c r="DD30" s="1" t="s">
        <v>22692</v>
      </c>
      <c r="DE30" s="1" t="s">
        <v>22693</v>
      </c>
      <c r="DF30" s="1" t="s">
        <v>22694</v>
      </c>
      <c r="DG30" s="1" t="s">
        <v>22695</v>
      </c>
      <c r="DH30" s="1" t="s">
        <v>22696</v>
      </c>
      <c r="DI30" s="1" t="s">
        <v>22697</v>
      </c>
      <c r="DJ30" s="1" t="s">
        <v>22698</v>
      </c>
      <c r="DK30" s="1" t="s">
        <v>22699</v>
      </c>
      <c r="DL30" s="1" t="s">
        <v>22700</v>
      </c>
      <c r="DM30" s="1" t="s">
        <v>22701</v>
      </c>
      <c r="DN30" s="1" t="s">
        <v>22702</v>
      </c>
      <c r="DO30" s="1" t="s">
        <v>22703</v>
      </c>
      <c r="DP30" s="1" t="s">
        <v>22704</v>
      </c>
      <c r="DQ30" s="1" t="s">
        <v>22705</v>
      </c>
      <c r="DR30" s="1" t="s">
        <v>22706</v>
      </c>
      <c r="DS30" s="1" t="s">
        <v>22707</v>
      </c>
      <c r="DT30" s="1" t="s">
        <v>22708</v>
      </c>
      <c r="DU30" s="1" t="s">
        <v>22709</v>
      </c>
      <c r="DV30" s="1" t="s">
        <v>22710</v>
      </c>
      <c r="DW30" s="1" t="s">
        <v>22711</v>
      </c>
      <c r="DX30" s="1" t="s">
        <v>22712</v>
      </c>
      <c r="DY30" s="1" t="s">
        <v>22713</v>
      </c>
      <c r="DZ30" s="1" t="s">
        <v>22714</v>
      </c>
      <c r="EA30" s="1" t="s">
        <v>22715</v>
      </c>
      <c r="EB30" s="1" t="s">
        <v>22716</v>
      </c>
      <c r="EC30" s="1" t="s">
        <v>22717</v>
      </c>
      <c r="ED30" s="1" t="s">
        <v>22718</v>
      </c>
      <c r="EE30" s="1" t="s">
        <v>22719</v>
      </c>
      <c r="EF30" s="1" t="s">
        <v>22720</v>
      </c>
      <c r="EG30" s="1" t="s">
        <v>22721</v>
      </c>
      <c r="EH30" s="1" t="s">
        <v>22722</v>
      </c>
      <c r="EI30" s="1" t="s">
        <v>22723</v>
      </c>
      <c r="EJ30" s="1" t="s">
        <v>22724</v>
      </c>
      <c r="EK30" s="1" t="s">
        <v>22725</v>
      </c>
      <c r="EL30" s="1" t="s">
        <v>22726</v>
      </c>
      <c r="EM30" s="1" t="s">
        <v>22727</v>
      </c>
      <c r="EN30" s="1" t="s">
        <v>22728</v>
      </c>
      <c r="EO30" s="1" t="s">
        <v>22729</v>
      </c>
      <c r="EP30" s="1" t="s">
        <v>22730</v>
      </c>
      <c r="EQ30" s="1" t="s">
        <v>22731</v>
      </c>
      <c r="ER30" s="1" t="s">
        <v>22732</v>
      </c>
      <c r="ES30" s="1" t="s">
        <v>22733</v>
      </c>
      <c r="ET30" s="1" t="s">
        <v>22734</v>
      </c>
      <c r="EU30" s="1" t="s">
        <v>22735</v>
      </c>
      <c r="EV30" s="1" t="s">
        <v>22736</v>
      </c>
      <c r="EW30" s="1" t="s">
        <v>22737</v>
      </c>
      <c r="EX30" s="1" t="s">
        <v>22738</v>
      </c>
      <c r="EY30" s="1" t="s">
        <v>22739</v>
      </c>
      <c r="EZ30" s="1" t="s">
        <v>22740</v>
      </c>
      <c r="FA30" s="1" t="s">
        <v>22741</v>
      </c>
      <c r="FB30" s="1" t="s">
        <v>22742</v>
      </c>
      <c r="FC30" s="1" t="s">
        <v>22743</v>
      </c>
      <c r="FD30" s="1" t="s">
        <v>22744</v>
      </c>
      <c r="FE30" s="1" t="s">
        <v>22745</v>
      </c>
      <c r="FF30" s="1" t="s">
        <v>22746</v>
      </c>
      <c r="FG30" s="1" t="s">
        <v>22747</v>
      </c>
      <c r="FH30" s="1" t="s">
        <v>22748</v>
      </c>
      <c r="FI30" s="1" t="s">
        <v>22749</v>
      </c>
      <c r="FJ30" s="1" t="s">
        <v>22750</v>
      </c>
      <c r="FK30" s="1" t="s">
        <v>22751</v>
      </c>
      <c r="FL30" s="1" t="s">
        <v>22752</v>
      </c>
      <c r="FM30" s="1" t="s">
        <v>22753</v>
      </c>
      <c r="FN30" s="1" t="s">
        <v>22754</v>
      </c>
      <c r="FO30" s="1" t="s">
        <v>22755</v>
      </c>
      <c r="FP30" s="1" t="s">
        <v>22756</v>
      </c>
      <c r="FQ30" s="1" t="s">
        <v>22757</v>
      </c>
      <c r="FR30" s="1" t="s">
        <v>22758</v>
      </c>
      <c r="FS30" s="1" t="s">
        <v>22759</v>
      </c>
      <c r="FT30" s="1" t="s">
        <v>22760</v>
      </c>
      <c r="FU30" s="1" t="s">
        <v>22761</v>
      </c>
      <c r="FV30" s="1" t="s">
        <v>22762</v>
      </c>
      <c r="FW30" s="1" t="s">
        <v>22763</v>
      </c>
      <c r="FX30" s="1" t="s">
        <v>22764</v>
      </c>
      <c r="FY30" s="1" t="s">
        <v>22765</v>
      </c>
      <c r="FZ30" s="1" t="s">
        <v>22766</v>
      </c>
      <c r="GA30" s="1" t="s">
        <v>22767</v>
      </c>
      <c r="GB30" s="1" t="s">
        <v>22768</v>
      </c>
      <c r="GC30" s="1" t="s">
        <v>22769</v>
      </c>
      <c r="GD30" s="1" t="s">
        <v>22770</v>
      </c>
      <c r="GE30" s="1" t="s">
        <v>22771</v>
      </c>
      <c r="GF30" s="1" t="s">
        <v>22772</v>
      </c>
      <c r="GG30" s="1" t="s">
        <v>22773</v>
      </c>
      <c r="GH30" s="1" t="s">
        <v>22774</v>
      </c>
      <c r="GI30" s="1" t="s">
        <v>22775</v>
      </c>
      <c r="GJ30" s="1" t="s">
        <v>22776</v>
      </c>
      <c r="GK30" s="1" t="s">
        <v>22777</v>
      </c>
      <c r="GL30" s="1" t="s">
        <v>22778</v>
      </c>
      <c r="GM30" s="1" t="s">
        <v>22779</v>
      </c>
      <c r="GN30" s="1" t="s">
        <v>22780</v>
      </c>
      <c r="GO30" s="1" t="s">
        <v>22781</v>
      </c>
      <c r="GP30" s="1" t="s">
        <v>22782</v>
      </c>
      <c r="GQ30" s="1" t="s">
        <v>22783</v>
      </c>
      <c r="GR30" s="1" t="s">
        <v>22784</v>
      </c>
      <c r="GS30" s="1" t="s">
        <v>22785</v>
      </c>
      <c r="GT30" s="1" t="s">
        <v>22786</v>
      </c>
      <c r="GU30" s="1" t="s">
        <v>22787</v>
      </c>
      <c r="GV30" s="1" t="s">
        <v>22788</v>
      </c>
      <c r="GW30" s="1" t="s">
        <v>22789</v>
      </c>
      <c r="GX30" s="1" t="s">
        <v>22790</v>
      </c>
      <c r="GY30" s="1" t="s">
        <v>22791</v>
      </c>
      <c r="GZ30" s="1" t="s">
        <v>22792</v>
      </c>
      <c r="HA30" s="1" t="s">
        <v>22793</v>
      </c>
      <c r="HB30" s="1" t="s">
        <v>22794</v>
      </c>
      <c r="HC30" s="1" t="s">
        <v>22795</v>
      </c>
      <c r="HD30" s="1" t="s">
        <v>22796</v>
      </c>
      <c r="HE30" s="1" t="s">
        <v>22797</v>
      </c>
      <c r="HF30" s="1" t="s">
        <v>22798</v>
      </c>
      <c r="HG30" s="1" t="s">
        <v>22799</v>
      </c>
      <c r="HH30" s="1" t="s">
        <v>22800</v>
      </c>
      <c r="HI30" s="1" t="s">
        <v>22801</v>
      </c>
      <c r="HJ30" s="1" t="s">
        <v>22802</v>
      </c>
      <c r="HK30" s="1" t="s">
        <v>22803</v>
      </c>
      <c r="HL30" s="1" t="s">
        <v>22804</v>
      </c>
      <c r="HM30" s="1" t="s">
        <v>22805</v>
      </c>
      <c r="HN30" s="1" t="s">
        <v>22806</v>
      </c>
      <c r="HO30" s="1" t="s">
        <v>22807</v>
      </c>
      <c r="HP30" s="1" t="s">
        <v>22808</v>
      </c>
      <c r="HQ30" s="1" t="s">
        <v>22809</v>
      </c>
      <c r="HR30" s="1" t="s">
        <v>22810</v>
      </c>
      <c r="HS30" s="1" t="s">
        <v>22811</v>
      </c>
      <c r="HT30" s="1" t="s">
        <v>22812</v>
      </c>
      <c r="HU30" s="1" t="s">
        <v>22813</v>
      </c>
      <c r="HV30" s="1" t="s">
        <v>22814</v>
      </c>
      <c r="HW30" s="1" t="s">
        <v>22815</v>
      </c>
      <c r="HX30" s="1" t="s">
        <v>22816</v>
      </c>
      <c r="HY30" s="1" t="s">
        <v>22817</v>
      </c>
      <c r="HZ30" s="1" t="s">
        <v>22818</v>
      </c>
      <c r="IA30" s="1" t="s">
        <v>22819</v>
      </c>
      <c r="IB30" s="1" t="s">
        <v>22820</v>
      </c>
      <c r="IC30" s="1" t="s">
        <v>22821</v>
      </c>
      <c r="ID30" s="1" t="s">
        <v>22822</v>
      </c>
      <c r="IE30" s="1" t="s">
        <v>22823</v>
      </c>
      <c r="IF30" s="1" t="s">
        <v>22824</v>
      </c>
      <c r="IG30" s="1" t="s">
        <v>22825</v>
      </c>
      <c r="IH30" s="1" t="s">
        <v>22826</v>
      </c>
      <c r="II30" s="1" t="s">
        <v>22827</v>
      </c>
      <c r="IJ30" s="1" t="s">
        <v>22828</v>
      </c>
      <c r="IK30" s="1" t="s">
        <v>22829</v>
      </c>
      <c r="IL30" s="1" t="s">
        <v>22830</v>
      </c>
      <c r="IM30" s="1" t="s">
        <v>22831</v>
      </c>
      <c r="IN30" s="1" t="s">
        <v>22832</v>
      </c>
      <c r="IO30" s="1" t="s">
        <v>22833</v>
      </c>
      <c r="IP30" s="1" t="s">
        <v>22834</v>
      </c>
      <c r="IQ30" s="1" t="s">
        <v>22835</v>
      </c>
      <c r="IR30" s="1" t="s">
        <v>22836</v>
      </c>
      <c r="IS30" s="1" t="s">
        <v>22837</v>
      </c>
      <c r="IT30" s="1" t="s">
        <v>22838</v>
      </c>
      <c r="IU30" s="1" t="s">
        <v>22839</v>
      </c>
      <c r="IV30" s="1" t="s">
        <v>22840</v>
      </c>
      <c r="IW30" s="1" t="s">
        <v>22841</v>
      </c>
      <c r="IX30" s="1" t="s">
        <v>22842</v>
      </c>
      <c r="IY30" s="1" t="s">
        <v>22843</v>
      </c>
      <c r="IZ30" s="1" t="s">
        <v>22844</v>
      </c>
      <c r="JA30" s="1" t="s">
        <v>22845</v>
      </c>
      <c r="JB30" s="1" t="s">
        <v>22846</v>
      </c>
      <c r="JC30" s="1" t="s">
        <v>22847</v>
      </c>
      <c r="JD30" s="1" t="s">
        <v>22848</v>
      </c>
      <c r="JE30" s="1" t="s">
        <v>22849</v>
      </c>
      <c r="JF30" s="1" t="s">
        <v>22850</v>
      </c>
      <c r="JG30" s="1" t="s">
        <v>22851</v>
      </c>
      <c r="JH30" s="1" t="s">
        <v>22852</v>
      </c>
      <c r="JI30" s="1" t="s">
        <v>22853</v>
      </c>
      <c r="JJ30" s="1" t="s">
        <v>22854</v>
      </c>
      <c r="JK30" s="1" t="s">
        <v>22855</v>
      </c>
      <c r="JL30" s="1" t="s">
        <v>22856</v>
      </c>
      <c r="JM30" s="1" t="s">
        <v>22857</v>
      </c>
      <c r="JN30" s="1" t="s">
        <v>22858</v>
      </c>
      <c r="JO30" s="1" t="s">
        <v>22859</v>
      </c>
      <c r="JP30" s="1" t="s">
        <v>22860</v>
      </c>
      <c r="JQ30" s="1" t="s">
        <v>22861</v>
      </c>
      <c r="JR30" s="1" t="s">
        <v>22862</v>
      </c>
      <c r="JS30" s="1" t="s">
        <v>22863</v>
      </c>
      <c r="JT30" s="1" t="s">
        <v>22864</v>
      </c>
      <c r="JU30" s="1" t="s">
        <v>22865</v>
      </c>
      <c r="JV30" s="1" t="s">
        <v>22866</v>
      </c>
      <c r="JW30" s="1" t="s">
        <v>22867</v>
      </c>
      <c r="JX30" s="1" t="s">
        <v>22868</v>
      </c>
      <c r="JY30" s="1" t="s">
        <v>22869</v>
      </c>
      <c r="JZ30" s="1" t="s">
        <v>22870</v>
      </c>
      <c r="KA30" s="1" t="s">
        <v>22871</v>
      </c>
      <c r="KB30" s="1" t="s">
        <v>22872</v>
      </c>
      <c r="KC30" s="1" t="s">
        <v>22873</v>
      </c>
      <c r="KD30" s="1" t="s">
        <v>22874</v>
      </c>
      <c r="KE30" s="1" t="s">
        <v>22875</v>
      </c>
      <c r="KF30" s="1" t="s">
        <v>22876</v>
      </c>
      <c r="KG30" s="1" t="s">
        <v>22877</v>
      </c>
      <c r="KH30" s="1" t="s">
        <v>22878</v>
      </c>
      <c r="KI30" s="1" t="s">
        <v>22879</v>
      </c>
      <c r="KJ30" s="1" t="s">
        <v>22880</v>
      </c>
      <c r="KK30" s="1" t="s">
        <v>22881</v>
      </c>
      <c r="KL30" s="1" t="s">
        <v>22882</v>
      </c>
      <c r="KM30" s="1" t="s">
        <v>22883</v>
      </c>
      <c r="KN30" s="1" t="s">
        <v>22884</v>
      </c>
      <c r="KO30" s="1" t="s">
        <v>22885</v>
      </c>
      <c r="KP30" s="1" t="s">
        <v>22886</v>
      </c>
      <c r="KQ30" s="1" t="s">
        <v>22887</v>
      </c>
      <c r="KR30" s="1" t="s">
        <v>22888</v>
      </c>
      <c r="KS30" s="1" t="s">
        <v>22889</v>
      </c>
      <c r="KT30" s="1" t="s">
        <v>22890</v>
      </c>
      <c r="KU30" s="1" t="s">
        <v>22891</v>
      </c>
      <c r="KV30" s="1" t="s">
        <v>22892</v>
      </c>
      <c r="KW30" s="1" t="s">
        <v>22893</v>
      </c>
      <c r="KX30" s="1" t="s">
        <v>22894</v>
      </c>
      <c r="KY30" s="1" t="s">
        <v>22895</v>
      </c>
      <c r="KZ30" s="1" t="s">
        <v>22896</v>
      </c>
      <c r="LA30" s="1" t="s">
        <v>22897</v>
      </c>
      <c r="LB30" s="1" t="s">
        <v>22898</v>
      </c>
      <c r="LC30" s="1" t="s">
        <v>22899</v>
      </c>
      <c r="LD30" s="1" t="s">
        <v>22900</v>
      </c>
      <c r="LE30" s="1" t="s">
        <v>22901</v>
      </c>
      <c r="LF30" s="1" t="s">
        <v>22902</v>
      </c>
      <c r="LG30" s="1" t="s">
        <v>22903</v>
      </c>
      <c r="LH30" s="1" t="s">
        <v>22904</v>
      </c>
      <c r="LI30" s="1" t="s">
        <v>22905</v>
      </c>
      <c r="LJ30" s="1" t="s">
        <v>22906</v>
      </c>
      <c r="LK30" s="1" t="s">
        <v>22907</v>
      </c>
      <c r="LL30" s="1" t="s">
        <v>22908</v>
      </c>
      <c r="LM30" s="1" t="s">
        <v>22909</v>
      </c>
      <c r="LN30" s="1" t="s">
        <v>22910</v>
      </c>
      <c r="LO30" s="1" t="s">
        <v>22911</v>
      </c>
      <c r="LP30" s="1" t="s">
        <v>22912</v>
      </c>
      <c r="LQ30" s="1" t="s">
        <v>22913</v>
      </c>
      <c r="LR30" s="1" t="s">
        <v>22914</v>
      </c>
      <c r="LS30" s="1" t="s">
        <v>22915</v>
      </c>
      <c r="LT30" s="1" t="s">
        <v>22916</v>
      </c>
      <c r="LU30" s="1" t="s">
        <v>22917</v>
      </c>
      <c r="LV30" s="1" t="s">
        <v>22918</v>
      </c>
      <c r="LW30" s="1" t="s">
        <v>22919</v>
      </c>
      <c r="LX30" s="1" t="s">
        <v>22920</v>
      </c>
      <c r="LY30" s="1" t="s">
        <v>22921</v>
      </c>
      <c r="LZ30" s="1" t="s">
        <v>22922</v>
      </c>
      <c r="MA30" s="1" t="s">
        <v>22923</v>
      </c>
      <c r="MB30" s="1" t="s">
        <v>22924</v>
      </c>
      <c r="MC30" s="1" t="s">
        <v>22925</v>
      </c>
      <c r="MD30" s="1" t="s">
        <v>22926</v>
      </c>
      <c r="ME30" s="1" t="s">
        <v>22927</v>
      </c>
      <c r="MF30" s="1" t="s">
        <v>22928</v>
      </c>
      <c r="MG30" s="1" t="s">
        <v>22929</v>
      </c>
      <c r="MH30" s="1" t="s">
        <v>22930</v>
      </c>
      <c r="MI30" s="1" t="s">
        <v>22931</v>
      </c>
      <c r="MJ30" s="1" t="s">
        <v>22932</v>
      </c>
      <c r="MK30" s="1" t="s">
        <v>22933</v>
      </c>
      <c r="ML30" s="1" t="s">
        <v>22934</v>
      </c>
      <c r="MM30" s="1" t="s">
        <v>22935</v>
      </c>
      <c r="MN30" s="1" t="s">
        <v>22936</v>
      </c>
      <c r="MO30" s="1" t="s">
        <v>22937</v>
      </c>
      <c r="MP30" s="1" t="s">
        <v>22938</v>
      </c>
      <c r="MQ30" s="1" t="s">
        <v>22939</v>
      </c>
      <c r="MR30" s="1" t="s">
        <v>22940</v>
      </c>
      <c r="MS30" s="1" t="s">
        <v>22941</v>
      </c>
      <c r="MT30" s="1" t="s">
        <v>22942</v>
      </c>
      <c r="MU30" s="1" t="s">
        <v>22943</v>
      </c>
      <c r="MV30" s="1" t="s">
        <v>22944</v>
      </c>
      <c r="MW30" s="1" t="s">
        <v>22945</v>
      </c>
      <c r="MX30" s="1" t="s">
        <v>22946</v>
      </c>
      <c r="MY30" s="1" t="s">
        <v>22947</v>
      </c>
      <c r="MZ30" s="1" t="s">
        <v>22948</v>
      </c>
      <c r="NA30" s="1" t="s">
        <v>22949</v>
      </c>
      <c r="NB30" s="1" t="s">
        <v>22950</v>
      </c>
      <c r="NC30" s="1" t="s">
        <v>22951</v>
      </c>
      <c r="ND30" s="1" t="s">
        <v>22952</v>
      </c>
      <c r="NE30" s="1" t="s">
        <v>22953</v>
      </c>
      <c r="NF30" s="1" t="s">
        <v>22954</v>
      </c>
      <c r="NG30" s="1" t="s">
        <v>22955</v>
      </c>
      <c r="NH30" s="1" t="s">
        <v>22956</v>
      </c>
      <c r="NI30" s="1" t="s">
        <v>22957</v>
      </c>
      <c r="NJ30" s="1" t="s">
        <v>22958</v>
      </c>
      <c r="NK30" s="1" t="s">
        <v>22959</v>
      </c>
      <c r="NL30" s="1" t="s">
        <v>22960</v>
      </c>
      <c r="NM30" s="1" t="s">
        <v>22961</v>
      </c>
      <c r="NN30" s="1" t="s">
        <v>22962</v>
      </c>
      <c r="NO30" s="1" t="s">
        <v>22963</v>
      </c>
      <c r="NP30" s="1" t="s">
        <v>22964</v>
      </c>
      <c r="NQ30" s="1" t="s">
        <v>22965</v>
      </c>
      <c r="NR30" s="1" t="s">
        <v>22966</v>
      </c>
      <c r="NS30" s="1" t="s">
        <v>22967</v>
      </c>
      <c r="NT30" s="1" t="s">
        <v>22968</v>
      </c>
      <c r="NU30" s="1" t="s">
        <v>22969</v>
      </c>
      <c r="NV30" s="1" t="s">
        <v>22970</v>
      </c>
      <c r="NW30" s="1" t="s">
        <v>22971</v>
      </c>
      <c r="NX30" s="1" t="s">
        <v>22972</v>
      </c>
      <c r="NY30" s="1" t="s">
        <v>22973</v>
      </c>
      <c r="NZ30" s="1" t="s">
        <v>22974</v>
      </c>
      <c r="OA30" s="1" t="s">
        <v>22975</v>
      </c>
      <c r="OB30" s="1" t="s">
        <v>22976</v>
      </c>
      <c r="OC30" s="1" t="s">
        <v>22977</v>
      </c>
      <c r="OD30" s="1" t="s">
        <v>22978</v>
      </c>
      <c r="OE30" s="1" t="s">
        <v>22979</v>
      </c>
      <c r="OF30" s="1" t="s">
        <v>22980</v>
      </c>
      <c r="OG30" s="1" t="s">
        <v>22981</v>
      </c>
      <c r="OH30" s="1" t="s">
        <v>22982</v>
      </c>
      <c r="OI30" s="1" t="s">
        <v>22983</v>
      </c>
      <c r="OJ30" s="1" t="s">
        <v>22984</v>
      </c>
      <c r="OK30" s="1" t="s">
        <v>22985</v>
      </c>
      <c r="OL30" s="1" t="s">
        <v>22986</v>
      </c>
      <c r="OM30" s="1" t="s">
        <v>22987</v>
      </c>
      <c r="ON30" s="1" t="s">
        <v>22988</v>
      </c>
      <c r="OO30" s="1" t="s">
        <v>22989</v>
      </c>
      <c r="OP30" s="1" t="s">
        <v>22990</v>
      </c>
      <c r="OQ30" s="1" t="s">
        <v>22991</v>
      </c>
      <c r="OR30" s="1" t="s">
        <v>22992</v>
      </c>
      <c r="OS30" s="1" t="s">
        <v>22993</v>
      </c>
      <c r="OT30" s="1" t="s">
        <v>22994</v>
      </c>
      <c r="OU30" s="1" t="s">
        <v>22995</v>
      </c>
      <c r="OV30" s="1" t="s">
        <v>22996</v>
      </c>
      <c r="OW30" s="1" t="s">
        <v>22997</v>
      </c>
      <c r="OX30" s="1" t="s">
        <v>22998</v>
      </c>
      <c r="OY30" s="1" t="s">
        <v>22999</v>
      </c>
      <c r="OZ30" s="1" t="s">
        <v>23000</v>
      </c>
      <c r="PA30" s="1" t="s">
        <v>23001</v>
      </c>
      <c r="PB30" s="1" t="s">
        <v>23002</v>
      </c>
      <c r="PC30" s="1" t="s">
        <v>23003</v>
      </c>
      <c r="PD30" s="1" t="s">
        <v>23004</v>
      </c>
      <c r="PE30" s="1" t="s">
        <v>23005</v>
      </c>
      <c r="PF30" s="1" t="s">
        <v>23006</v>
      </c>
      <c r="PG30" s="1" t="s">
        <v>23007</v>
      </c>
      <c r="PH30" s="1" t="s">
        <v>23008</v>
      </c>
      <c r="PI30" s="1" t="s">
        <v>23009</v>
      </c>
      <c r="PJ30" s="1" t="s">
        <v>23010</v>
      </c>
      <c r="PK30" s="1" t="s">
        <v>23011</v>
      </c>
      <c r="PL30" s="1" t="s">
        <v>23012</v>
      </c>
      <c r="PM30" s="1" t="s">
        <v>23013</v>
      </c>
      <c r="PN30" s="1" t="s">
        <v>23014</v>
      </c>
      <c r="PO30" s="1" t="s">
        <v>23015</v>
      </c>
      <c r="PP30" s="1" t="s">
        <v>23016</v>
      </c>
      <c r="PQ30" s="1" t="s">
        <v>23017</v>
      </c>
      <c r="PR30" s="1" t="s">
        <v>23018</v>
      </c>
      <c r="PS30" s="1" t="s">
        <v>23019</v>
      </c>
      <c r="PT30" s="1" t="s">
        <v>23020</v>
      </c>
      <c r="PU30" s="1" t="s">
        <v>23021</v>
      </c>
      <c r="PV30" s="1" t="s">
        <v>23022</v>
      </c>
      <c r="PW30" s="1" t="s">
        <v>23023</v>
      </c>
      <c r="PX30" s="1" t="s">
        <v>23024</v>
      </c>
      <c r="PY30" s="1" t="s">
        <v>23025</v>
      </c>
      <c r="PZ30" s="1" t="s">
        <v>23026</v>
      </c>
      <c r="QA30" s="1" t="s">
        <v>23027</v>
      </c>
      <c r="QB30" s="1" t="s">
        <v>23028</v>
      </c>
      <c r="QC30" s="1" t="s">
        <v>23029</v>
      </c>
      <c r="QD30" s="1" t="s">
        <v>23030</v>
      </c>
      <c r="QE30" s="1" t="s">
        <v>23031</v>
      </c>
      <c r="QF30" s="1" t="s">
        <v>23032</v>
      </c>
      <c r="QG30" s="1" t="s">
        <v>23033</v>
      </c>
      <c r="QH30" s="1" t="s">
        <v>23034</v>
      </c>
      <c r="QI30" s="1" t="s">
        <v>23035</v>
      </c>
      <c r="QJ30" s="1" t="s">
        <v>23036</v>
      </c>
      <c r="QK30" s="1" t="s">
        <v>23037</v>
      </c>
      <c r="QL30" s="1" t="s">
        <v>23038</v>
      </c>
      <c r="QM30" s="1" t="s">
        <v>23039</v>
      </c>
      <c r="QN30" s="1" t="s">
        <v>23040</v>
      </c>
      <c r="QO30" s="1" t="s">
        <v>23041</v>
      </c>
      <c r="QP30" s="1" t="s">
        <v>23042</v>
      </c>
      <c r="QQ30" s="1" t="s">
        <v>23043</v>
      </c>
      <c r="QR30" s="1" t="s">
        <v>23044</v>
      </c>
      <c r="QS30" s="1" t="s">
        <v>23045</v>
      </c>
      <c r="QT30" s="1" t="s">
        <v>23046</v>
      </c>
      <c r="QU30" s="1" t="s">
        <v>23047</v>
      </c>
      <c r="QV30" s="1" t="s">
        <v>23048</v>
      </c>
      <c r="QW30" s="1" t="s">
        <v>23049</v>
      </c>
      <c r="QX30" s="1" t="s">
        <v>23050</v>
      </c>
      <c r="QY30" s="1" t="s">
        <v>23051</v>
      </c>
      <c r="QZ30" s="1" t="s">
        <v>23052</v>
      </c>
      <c r="RA30" s="1" t="s">
        <v>23053</v>
      </c>
      <c r="RB30" s="1" t="s">
        <v>23054</v>
      </c>
      <c r="RC30" s="1" t="s">
        <v>23055</v>
      </c>
      <c r="RD30" s="1" t="s">
        <v>23056</v>
      </c>
      <c r="RE30" s="1" t="s">
        <v>23057</v>
      </c>
      <c r="RF30" s="1" t="s">
        <v>23058</v>
      </c>
      <c r="RG30" s="1" t="s">
        <v>23059</v>
      </c>
      <c r="RH30" s="1" t="s">
        <v>23060</v>
      </c>
      <c r="RI30" s="1" t="s">
        <v>23061</v>
      </c>
      <c r="RJ30" s="1" t="s">
        <v>23062</v>
      </c>
      <c r="RK30" s="1" t="s">
        <v>23063</v>
      </c>
      <c r="RL30" s="1" t="s">
        <v>23064</v>
      </c>
      <c r="RM30" s="1" t="s">
        <v>23065</v>
      </c>
      <c r="RN30" s="1" t="s">
        <v>23066</v>
      </c>
      <c r="RO30" s="1" t="s">
        <v>23067</v>
      </c>
      <c r="RP30" s="1" t="s">
        <v>23068</v>
      </c>
      <c r="RQ30" s="1" t="s">
        <v>23069</v>
      </c>
      <c r="RR30" s="1" t="s">
        <v>23070</v>
      </c>
      <c r="RS30" s="1" t="s">
        <v>23071</v>
      </c>
      <c r="RT30" s="1" t="s">
        <v>23072</v>
      </c>
      <c r="RU30" s="1" t="s">
        <v>23073</v>
      </c>
      <c r="RV30" s="1" t="s">
        <v>23074</v>
      </c>
      <c r="RW30" s="1" t="s">
        <v>23075</v>
      </c>
      <c r="RX30" s="1" t="s">
        <v>23076</v>
      </c>
      <c r="RY30" s="1" t="s">
        <v>23077</v>
      </c>
      <c r="RZ30" s="1" t="s">
        <v>23078</v>
      </c>
      <c r="SA30" s="1" t="s">
        <v>23079</v>
      </c>
      <c r="SB30" s="1" t="s">
        <v>23080</v>
      </c>
      <c r="SC30" s="1" t="s">
        <v>23081</v>
      </c>
      <c r="SD30" s="1" t="s">
        <v>23082</v>
      </c>
      <c r="SE30" s="1" t="s">
        <v>23083</v>
      </c>
      <c r="SF30" s="1" t="s">
        <v>23084</v>
      </c>
      <c r="SG30" s="1" t="s">
        <v>23085</v>
      </c>
      <c r="SH30" s="1" t="s">
        <v>23086</v>
      </c>
      <c r="SI30" s="1" t="s">
        <v>23087</v>
      </c>
      <c r="SJ30" s="1" t="s">
        <v>23088</v>
      </c>
      <c r="SK30" s="1" t="s">
        <v>23089</v>
      </c>
      <c r="SL30" s="1" t="s">
        <v>23090</v>
      </c>
      <c r="SM30" s="1" t="s">
        <v>23091</v>
      </c>
      <c r="SN30" s="1" t="s">
        <v>23092</v>
      </c>
      <c r="SO30" s="1" t="s">
        <v>23093</v>
      </c>
      <c r="SP30" s="1" t="s">
        <v>23094</v>
      </c>
      <c r="SQ30" s="1" t="s">
        <v>23095</v>
      </c>
      <c r="SR30" s="1" t="s">
        <v>23096</v>
      </c>
      <c r="SS30" s="1" t="s">
        <v>23097</v>
      </c>
      <c r="ST30" s="1" t="s">
        <v>23098</v>
      </c>
      <c r="SU30" s="1" t="s">
        <v>23099</v>
      </c>
      <c r="SV30" s="1" t="s">
        <v>23100</v>
      </c>
      <c r="SW30" s="1" t="s">
        <v>23101</v>
      </c>
      <c r="SX30" s="1" t="s">
        <v>23102</v>
      </c>
      <c r="SY30" s="1" t="s">
        <v>23103</v>
      </c>
      <c r="SZ30" s="1" t="s">
        <v>23104</v>
      </c>
      <c r="TA30" s="1" t="s">
        <v>23105</v>
      </c>
      <c r="TB30" s="1" t="s">
        <v>23106</v>
      </c>
      <c r="TC30" s="1" t="s">
        <v>23107</v>
      </c>
      <c r="TD30" s="1" t="s">
        <v>23108</v>
      </c>
      <c r="TE30" s="1" t="s">
        <v>23109</v>
      </c>
      <c r="TF30" s="1" t="s">
        <v>23110</v>
      </c>
      <c r="TG30" s="1" t="s">
        <v>23111</v>
      </c>
      <c r="TH30" s="1" t="s">
        <v>23112</v>
      </c>
      <c r="TI30" s="1" t="s">
        <v>23113</v>
      </c>
      <c r="TJ30" s="1" t="s">
        <v>23114</v>
      </c>
      <c r="TK30" s="1" t="s">
        <v>23115</v>
      </c>
      <c r="TL30" s="1" t="s">
        <v>23116</v>
      </c>
      <c r="TM30" s="1" t="s">
        <v>23117</v>
      </c>
      <c r="TN30" s="1" t="s">
        <v>23118</v>
      </c>
      <c r="TO30" s="1" t="s">
        <v>23119</v>
      </c>
      <c r="TP30" s="1" t="s">
        <v>23120</v>
      </c>
      <c r="TQ30" s="1" t="s">
        <v>23121</v>
      </c>
      <c r="TR30" s="1" t="s">
        <v>23122</v>
      </c>
      <c r="TS30" s="1" t="s">
        <v>23123</v>
      </c>
      <c r="TT30" s="1" t="s">
        <v>23124</v>
      </c>
      <c r="TU30" s="1" t="s">
        <v>23125</v>
      </c>
      <c r="TV30" s="1" t="s">
        <v>23126</v>
      </c>
      <c r="TW30" s="1" t="s">
        <v>23127</v>
      </c>
      <c r="TX30" s="1" t="s">
        <v>23128</v>
      </c>
      <c r="TY30" s="1" t="s">
        <v>23129</v>
      </c>
      <c r="TZ30" s="1" t="s">
        <v>23130</v>
      </c>
      <c r="UA30" s="1" t="s">
        <v>23131</v>
      </c>
      <c r="UB30" s="1" t="s">
        <v>23132</v>
      </c>
      <c r="UC30" s="1" t="s">
        <v>23133</v>
      </c>
      <c r="UD30" s="1" t="s">
        <v>23134</v>
      </c>
      <c r="UE30" s="1" t="s">
        <v>23135</v>
      </c>
      <c r="UF30" s="1" t="s">
        <v>23136</v>
      </c>
      <c r="UG30" s="1" t="s">
        <v>23137</v>
      </c>
      <c r="UH30" s="1" t="s">
        <v>23138</v>
      </c>
      <c r="UI30" s="1" t="s">
        <v>23139</v>
      </c>
      <c r="UJ30" s="1" t="s">
        <v>23140</v>
      </c>
      <c r="UK30" s="1" t="s">
        <v>23141</v>
      </c>
      <c r="UL30" s="1" t="s">
        <v>23142</v>
      </c>
      <c r="UM30" s="1" t="s">
        <v>23143</v>
      </c>
      <c r="UN30" s="1" t="s">
        <v>23144</v>
      </c>
      <c r="UO30" s="1" t="s">
        <v>23145</v>
      </c>
      <c r="UP30" s="1" t="s">
        <v>23146</v>
      </c>
      <c r="UQ30" s="1" t="s">
        <v>23147</v>
      </c>
      <c r="UR30" s="1" t="s">
        <v>23148</v>
      </c>
      <c r="US30" s="1" t="s">
        <v>23149</v>
      </c>
      <c r="UT30" s="1" t="s">
        <v>23150</v>
      </c>
      <c r="UU30" s="1" t="s">
        <v>23151</v>
      </c>
      <c r="UV30" s="1" t="s">
        <v>23152</v>
      </c>
      <c r="UW30" s="1" t="s">
        <v>23153</v>
      </c>
      <c r="UX30" s="1" t="s">
        <v>23154</v>
      </c>
      <c r="UY30" s="1" t="s">
        <v>23155</v>
      </c>
      <c r="UZ30" s="1" t="s">
        <v>23156</v>
      </c>
      <c r="VA30" s="1" t="s">
        <v>23157</v>
      </c>
      <c r="VB30" s="1" t="s">
        <v>23158</v>
      </c>
      <c r="VC30" s="1" t="s">
        <v>23159</v>
      </c>
      <c r="VD30" s="1" t="s">
        <v>23160</v>
      </c>
      <c r="VE30" s="1" t="s">
        <v>23161</v>
      </c>
      <c r="VF30" s="1" t="s">
        <v>23162</v>
      </c>
      <c r="VG30" s="1" t="s">
        <v>23163</v>
      </c>
      <c r="VH30" s="1" t="s">
        <v>23164</v>
      </c>
      <c r="VI30" s="1" t="s">
        <v>23165</v>
      </c>
      <c r="VJ30" s="1" t="s">
        <v>23166</v>
      </c>
      <c r="VK30" s="1" t="s">
        <v>23167</v>
      </c>
      <c r="VL30" s="1" t="s">
        <v>23168</v>
      </c>
      <c r="VM30" s="1" t="s">
        <v>23169</v>
      </c>
      <c r="VN30" s="1" t="s">
        <v>23170</v>
      </c>
      <c r="VO30" s="1" t="s">
        <v>23171</v>
      </c>
      <c r="VP30" s="1" t="s">
        <v>23172</v>
      </c>
      <c r="VQ30" s="1" t="s">
        <v>23173</v>
      </c>
      <c r="VR30" s="1" t="s">
        <v>23174</v>
      </c>
      <c r="VS30" s="1" t="s">
        <v>23175</v>
      </c>
      <c r="VT30" s="1" t="s">
        <v>23176</v>
      </c>
      <c r="VU30" s="1" t="s">
        <v>23177</v>
      </c>
      <c r="VV30" s="1" t="s">
        <v>23178</v>
      </c>
      <c r="VW30" s="1" t="s">
        <v>23179</v>
      </c>
      <c r="VX30" s="1" t="s">
        <v>23180</v>
      </c>
      <c r="VY30" s="1" t="s">
        <v>23181</v>
      </c>
      <c r="VZ30" s="1" t="s">
        <v>23182</v>
      </c>
      <c r="WA30" s="1" t="s">
        <v>23183</v>
      </c>
      <c r="WB30" s="1" t="s">
        <v>23184</v>
      </c>
      <c r="WC30" s="1" t="s">
        <v>23185</v>
      </c>
      <c r="WD30" s="1" t="s">
        <v>23186</v>
      </c>
      <c r="WE30" s="1" t="s">
        <v>23187</v>
      </c>
      <c r="WF30" s="1" t="s">
        <v>23188</v>
      </c>
      <c r="WG30" s="1" t="s">
        <v>23189</v>
      </c>
      <c r="WH30" s="1" t="s">
        <v>23190</v>
      </c>
      <c r="WI30" s="1" t="s">
        <v>23191</v>
      </c>
      <c r="WJ30" s="1" t="s">
        <v>23192</v>
      </c>
      <c r="WK30" s="1" t="s">
        <v>23193</v>
      </c>
      <c r="WL30" s="1" t="s">
        <v>23194</v>
      </c>
      <c r="WM30" s="1" t="s">
        <v>23195</v>
      </c>
      <c r="WN30" s="1" t="s">
        <v>23196</v>
      </c>
      <c r="WO30" s="1" t="s">
        <v>23197</v>
      </c>
      <c r="WP30" s="1" t="s">
        <v>23198</v>
      </c>
      <c r="WQ30" s="1" t="s">
        <v>23199</v>
      </c>
      <c r="WR30" s="1" t="s">
        <v>23200</v>
      </c>
      <c r="WS30" s="1" t="s">
        <v>23201</v>
      </c>
      <c r="WT30" s="1" t="s">
        <v>23202</v>
      </c>
      <c r="WU30" s="1" t="s">
        <v>23203</v>
      </c>
      <c r="WV30" s="1" t="s">
        <v>23204</v>
      </c>
      <c r="WW30" s="1" t="s">
        <v>23205</v>
      </c>
      <c r="WX30" s="1" t="s">
        <v>23206</v>
      </c>
      <c r="WY30" s="1" t="s">
        <v>23207</v>
      </c>
      <c r="WZ30" s="1" t="s">
        <v>23208</v>
      </c>
      <c r="XA30" s="1" t="s">
        <v>23209</v>
      </c>
      <c r="XB30" s="1" t="s">
        <v>23210</v>
      </c>
      <c r="XC30" s="1" t="s">
        <v>23211</v>
      </c>
      <c r="XD30" s="1" t="s">
        <v>23212</v>
      </c>
      <c r="XE30" s="1" t="s">
        <v>23213</v>
      </c>
      <c r="XF30" s="1" t="s">
        <v>23214</v>
      </c>
      <c r="XG30" s="1" t="s">
        <v>23215</v>
      </c>
      <c r="XH30" s="1" t="s">
        <v>23216</v>
      </c>
      <c r="XI30" s="1" t="s">
        <v>23217</v>
      </c>
      <c r="XJ30" s="1" t="s">
        <v>23218</v>
      </c>
      <c r="XK30" s="1" t="s">
        <v>23219</v>
      </c>
      <c r="XL30" s="1" t="s">
        <v>23220</v>
      </c>
      <c r="XM30" s="1" t="s">
        <v>23221</v>
      </c>
      <c r="XN30" s="1" t="s">
        <v>23222</v>
      </c>
      <c r="XO30" s="1" t="s">
        <v>23223</v>
      </c>
      <c r="XP30" s="1" t="s">
        <v>23224</v>
      </c>
      <c r="XQ30" s="1" t="s">
        <v>23225</v>
      </c>
      <c r="XR30" s="1" t="s">
        <v>23226</v>
      </c>
      <c r="XS30" s="1" t="s">
        <v>23227</v>
      </c>
      <c r="XT30" s="1" t="s">
        <v>23228</v>
      </c>
      <c r="XU30" s="1" t="s">
        <v>23229</v>
      </c>
      <c r="XV30" s="1" t="s">
        <v>23230</v>
      </c>
      <c r="XW30" s="1" t="s">
        <v>23231</v>
      </c>
      <c r="XX30" s="1" t="s">
        <v>23232</v>
      </c>
      <c r="XY30" s="1" t="s">
        <v>23233</v>
      </c>
      <c r="XZ30" s="1" t="s">
        <v>23234</v>
      </c>
      <c r="YA30" s="1" t="s">
        <v>23235</v>
      </c>
      <c r="YB30" s="1" t="s">
        <v>23236</v>
      </c>
      <c r="YC30" s="1" t="s">
        <v>23237</v>
      </c>
      <c r="YD30" s="1" t="s">
        <v>23238</v>
      </c>
      <c r="YE30" s="1" t="s">
        <v>23239</v>
      </c>
      <c r="YF30" s="1" t="s">
        <v>23240</v>
      </c>
      <c r="YG30" s="1" t="s">
        <v>23241</v>
      </c>
      <c r="YH30" s="1" t="s">
        <v>23242</v>
      </c>
      <c r="YI30" s="1" t="s">
        <v>23243</v>
      </c>
      <c r="YJ30" s="1" t="s">
        <v>23244</v>
      </c>
      <c r="YK30" s="1" t="s">
        <v>23245</v>
      </c>
      <c r="YL30" s="1" t="s">
        <v>23246</v>
      </c>
      <c r="YM30" s="1" t="s">
        <v>23247</v>
      </c>
      <c r="YN30" s="1" t="s">
        <v>23248</v>
      </c>
      <c r="YO30" s="1" t="s">
        <v>23249</v>
      </c>
      <c r="YP30" s="1" t="s">
        <v>23250</v>
      </c>
      <c r="YQ30" s="1" t="s">
        <v>23251</v>
      </c>
      <c r="YR30" s="1" t="s">
        <v>23252</v>
      </c>
      <c r="YS30" s="1" t="s">
        <v>23253</v>
      </c>
      <c r="YT30" s="1" t="s">
        <v>23254</v>
      </c>
      <c r="YU30" s="1" t="s">
        <v>23255</v>
      </c>
      <c r="YV30" s="1" t="s">
        <v>23256</v>
      </c>
      <c r="YW30" s="1" t="s">
        <v>23257</v>
      </c>
      <c r="YX30" s="1" t="s">
        <v>23258</v>
      </c>
      <c r="YY30" s="1" t="s">
        <v>23259</v>
      </c>
      <c r="YZ30" s="1" t="s">
        <v>23260</v>
      </c>
      <c r="ZA30" s="1" t="s">
        <v>23261</v>
      </c>
      <c r="ZB30" s="1" t="s">
        <v>23262</v>
      </c>
      <c r="ZC30" s="1" t="s">
        <v>23263</v>
      </c>
      <c r="ZD30" s="1" t="s">
        <v>23264</v>
      </c>
      <c r="ZE30" s="1" t="s">
        <v>23265</v>
      </c>
      <c r="ZF30" s="1" t="s">
        <v>23266</v>
      </c>
      <c r="ZG30" s="1" t="s">
        <v>23267</v>
      </c>
      <c r="ZH30" s="1" t="s">
        <v>23268</v>
      </c>
      <c r="ZI30" s="1" t="s">
        <v>23269</v>
      </c>
      <c r="ZJ30" s="1" t="s">
        <v>23270</v>
      </c>
      <c r="ZK30" s="1" t="s">
        <v>23271</v>
      </c>
      <c r="ZL30" s="1" t="s">
        <v>23272</v>
      </c>
      <c r="ZM30" s="1" t="s">
        <v>23273</v>
      </c>
      <c r="ZN30" s="1" t="s">
        <v>23274</v>
      </c>
      <c r="ZO30" s="1" t="s">
        <v>23275</v>
      </c>
      <c r="ZP30" s="1" t="s">
        <v>23276</v>
      </c>
      <c r="ZQ30" s="1" t="s">
        <v>23277</v>
      </c>
      <c r="ZR30" s="1" t="s">
        <v>23278</v>
      </c>
      <c r="ZS30" s="1" t="s">
        <v>23279</v>
      </c>
      <c r="ZT30" s="1" t="s">
        <v>23280</v>
      </c>
      <c r="ZU30" s="1" t="s">
        <v>23281</v>
      </c>
      <c r="ZV30" s="1" t="s">
        <v>23282</v>
      </c>
      <c r="ZW30" s="1" t="s">
        <v>23283</v>
      </c>
      <c r="ZX30" s="1" t="s">
        <v>23284</v>
      </c>
      <c r="ZY30" s="1" t="s">
        <v>23285</v>
      </c>
      <c r="ZZ30" s="1" t="s">
        <v>23286</v>
      </c>
      <c r="AAA30" s="1" t="s">
        <v>23287</v>
      </c>
      <c r="AAB30" s="1" t="s">
        <v>23288</v>
      </c>
      <c r="AAC30" s="1" t="s">
        <v>23289</v>
      </c>
      <c r="AAD30" s="1" t="s">
        <v>23290</v>
      </c>
      <c r="AAE30" s="1" t="s">
        <v>23291</v>
      </c>
      <c r="AAF30" s="1" t="s">
        <v>23292</v>
      </c>
      <c r="AAG30" s="1" t="s">
        <v>23293</v>
      </c>
      <c r="AAH30" s="1" t="s">
        <v>23294</v>
      </c>
      <c r="AAI30" s="1" t="s">
        <v>23295</v>
      </c>
      <c r="AAJ30" s="1" t="s">
        <v>23296</v>
      </c>
      <c r="AAK30" s="1" t="s">
        <v>23297</v>
      </c>
      <c r="AAL30" s="1" t="s">
        <v>23298</v>
      </c>
      <c r="AAM30" s="1" t="s">
        <v>23299</v>
      </c>
      <c r="AAN30" s="1" t="s">
        <v>23300</v>
      </c>
      <c r="AAO30" s="1" t="s">
        <v>23301</v>
      </c>
      <c r="AAP30" s="1" t="s">
        <v>23302</v>
      </c>
      <c r="AAQ30" s="1" t="s">
        <v>23303</v>
      </c>
      <c r="AAR30" s="1" t="s">
        <v>23304</v>
      </c>
      <c r="AAS30" s="1" t="s">
        <v>23305</v>
      </c>
      <c r="AAT30" s="1" t="s">
        <v>23306</v>
      </c>
      <c r="AAU30" s="1" t="s">
        <v>23307</v>
      </c>
      <c r="AAV30" s="1" t="s">
        <v>23308</v>
      </c>
      <c r="AAW30" s="1" t="s">
        <v>23309</v>
      </c>
      <c r="AAX30" s="1" t="s">
        <v>23310</v>
      </c>
      <c r="AAY30" s="1" t="s">
        <v>23311</v>
      </c>
      <c r="AAZ30" s="1" t="s">
        <v>23312</v>
      </c>
      <c r="ABA30" s="1" t="s">
        <v>23313</v>
      </c>
      <c r="ABB30" s="1" t="s">
        <v>23314</v>
      </c>
      <c r="ABC30" s="1" t="s">
        <v>23315</v>
      </c>
      <c r="ABD30" s="1" t="s">
        <v>23316</v>
      </c>
      <c r="ABE30" s="1" t="s">
        <v>23317</v>
      </c>
      <c r="ABF30" s="1" t="s">
        <v>23318</v>
      </c>
      <c r="ABG30" s="1" t="s">
        <v>23319</v>
      </c>
      <c r="ABH30" s="1" t="s">
        <v>23320</v>
      </c>
      <c r="ABI30" s="1" t="s">
        <v>23321</v>
      </c>
      <c r="ABJ30" s="1" t="s">
        <v>23322</v>
      </c>
      <c r="ABK30" s="1" t="s">
        <v>23323</v>
      </c>
      <c r="ABL30" s="1" t="s">
        <v>23324</v>
      </c>
      <c r="ABM30" s="1" t="s">
        <v>23325</v>
      </c>
      <c r="ABN30" s="1" t="s">
        <v>23326</v>
      </c>
      <c r="ABO30" s="1" t="s">
        <v>23327</v>
      </c>
      <c r="ABP30" s="1" t="s">
        <v>23328</v>
      </c>
      <c r="ABQ30" s="1" t="s">
        <v>23329</v>
      </c>
      <c r="ABR30" s="1" t="s">
        <v>23330</v>
      </c>
      <c r="ABS30" s="1" t="s">
        <v>23331</v>
      </c>
      <c r="ABT30" s="1" t="s">
        <v>23332</v>
      </c>
      <c r="ABU30" s="1" t="s">
        <v>23333</v>
      </c>
      <c r="ABV30" s="1" t="s">
        <v>23334</v>
      </c>
      <c r="ABW30" s="1" t="s">
        <v>23335</v>
      </c>
      <c r="ABX30" s="1" t="s">
        <v>23336</v>
      </c>
      <c r="ABY30" s="1" t="s">
        <v>23337</v>
      </c>
      <c r="ABZ30" s="1" t="s">
        <v>23338</v>
      </c>
      <c r="ACA30" s="1" t="s">
        <v>23339</v>
      </c>
      <c r="ACB30" s="1" t="s">
        <v>23340</v>
      </c>
      <c r="ACC30" s="1" t="s">
        <v>23341</v>
      </c>
      <c r="ACD30" s="1" t="s">
        <v>23342</v>
      </c>
      <c r="ACE30" s="1" t="s">
        <v>23343</v>
      </c>
      <c r="ACF30" s="1" t="s">
        <v>23344</v>
      </c>
      <c r="ACG30" s="1" t="s">
        <v>23345</v>
      </c>
      <c r="ACH30" s="1" t="s">
        <v>23346</v>
      </c>
      <c r="ACI30" s="1" t="s">
        <v>23347</v>
      </c>
      <c r="ACJ30" s="1" t="s">
        <v>23348</v>
      </c>
      <c r="ACK30" s="1" t="s">
        <v>23349</v>
      </c>
      <c r="ACL30" s="1" t="s">
        <v>23350</v>
      </c>
      <c r="ACM30" s="1" t="s">
        <v>23351</v>
      </c>
      <c r="ACN30" s="1" t="s">
        <v>23352</v>
      </c>
      <c r="ACO30" s="1" t="s">
        <v>23353</v>
      </c>
      <c r="ACP30" s="1" t="s">
        <v>23354</v>
      </c>
      <c r="ACQ30" s="1" t="s">
        <v>23355</v>
      </c>
      <c r="ACR30" s="1" t="s">
        <v>23356</v>
      </c>
      <c r="ACS30" s="1" t="s">
        <v>23357</v>
      </c>
      <c r="ACT30" s="1" t="s">
        <v>23358</v>
      </c>
      <c r="ACU30" s="1" t="s">
        <v>23359</v>
      </c>
      <c r="ACV30" s="1" t="s">
        <v>23360</v>
      </c>
      <c r="ACW30" s="1" t="s">
        <v>6</v>
      </c>
      <c r="ACX30" s="1" t="s">
        <v>1501</v>
      </c>
    </row>
    <row r="31" spans="1:778" x14ac:dyDescent="0.2">
      <c r="A31" s="1" t="s">
        <v>1506</v>
      </c>
      <c r="B31" s="1" t="s">
        <v>23361</v>
      </c>
      <c r="C31" s="1" t="s">
        <v>23362</v>
      </c>
      <c r="D31" s="1" t="s">
        <v>23363</v>
      </c>
      <c r="E31" s="1" t="s">
        <v>23364</v>
      </c>
      <c r="F31" s="1" t="s">
        <v>23365</v>
      </c>
      <c r="G31" s="1" t="s">
        <v>23366</v>
      </c>
      <c r="H31" s="1" t="s">
        <v>23367</v>
      </c>
      <c r="I31" s="1" t="s">
        <v>23368</v>
      </c>
      <c r="J31" s="1" t="s">
        <v>23369</v>
      </c>
      <c r="K31" s="1" t="s">
        <v>23370</v>
      </c>
      <c r="L31" s="1" t="s">
        <v>23371</v>
      </c>
      <c r="M31" s="1" t="s">
        <v>23372</v>
      </c>
      <c r="N31" s="1" t="s">
        <v>23373</v>
      </c>
      <c r="O31" s="1" t="s">
        <v>23374</v>
      </c>
      <c r="P31" s="1" t="s">
        <v>23375</v>
      </c>
      <c r="Q31" s="1" t="s">
        <v>23376</v>
      </c>
      <c r="R31" s="1" t="s">
        <v>23377</v>
      </c>
      <c r="S31" s="1" t="s">
        <v>23378</v>
      </c>
      <c r="T31" s="1" t="s">
        <v>23379</v>
      </c>
      <c r="U31" s="1" t="s">
        <v>23380</v>
      </c>
      <c r="V31" s="1" t="s">
        <v>23381</v>
      </c>
      <c r="W31" s="1" t="s">
        <v>23382</v>
      </c>
      <c r="X31" s="1" t="s">
        <v>23383</v>
      </c>
      <c r="Y31" s="1" t="s">
        <v>23384</v>
      </c>
      <c r="Z31" s="1" t="s">
        <v>23385</v>
      </c>
      <c r="AA31" s="1" t="s">
        <v>23386</v>
      </c>
      <c r="AB31" s="1" t="s">
        <v>23387</v>
      </c>
      <c r="AC31" s="1" t="s">
        <v>23388</v>
      </c>
      <c r="AD31" s="1" t="s">
        <v>23389</v>
      </c>
      <c r="AE31" s="1" t="s">
        <v>23390</v>
      </c>
      <c r="AF31" s="1" t="s">
        <v>23391</v>
      </c>
      <c r="AG31" s="1" t="s">
        <v>23392</v>
      </c>
      <c r="AH31" s="1" t="s">
        <v>23393</v>
      </c>
      <c r="AI31" s="1" t="s">
        <v>23394</v>
      </c>
      <c r="AJ31" s="1" t="s">
        <v>23395</v>
      </c>
      <c r="AK31" s="1" t="s">
        <v>23396</v>
      </c>
      <c r="AL31" s="1" t="s">
        <v>23397</v>
      </c>
      <c r="AM31" s="1" t="s">
        <v>23398</v>
      </c>
      <c r="AN31" s="1" t="s">
        <v>23399</v>
      </c>
      <c r="AO31" s="1" t="s">
        <v>23400</v>
      </c>
      <c r="AP31" s="1" t="s">
        <v>23401</v>
      </c>
      <c r="AQ31" s="1" t="s">
        <v>23402</v>
      </c>
      <c r="AR31" s="1" t="s">
        <v>23403</v>
      </c>
      <c r="AS31" s="1" t="s">
        <v>23404</v>
      </c>
      <c r="AT31" s="1" t="s">
        <v>23405</v>
      </c>
      <c r="AU31" s="1" t="s">
        <v>23406</v>
      </c>
      <c r="AV31" s="1" t="s">
        <v>23407</v>
      </c>
      <c r="AW31" s="1" t="s">
        <v>23408</v>
      </c>
      <c r="AX31" s="1" t="s">
        <v>23409</v>
      </c>
      <c r="AY31" s="1" t="s">
        <v>23410</v>
      </c>
      <c r="AZ31" s="1" t="s">
        <v>23411</v>
      </c>
      <c r="BA31" s="1" t="s">
        <v>23412</v>
      </c>
      <c r="BB31" s="1" t="s">
        <v>23413</v>
      </c>
      <c r="BC31" s="1" t="s">
        <v>23414</v>
      </c>
      <c r="BD31" s="1" t="s">
        <v>23415</v>
      </c>
      <c r="BE31" s="1" t="s">
        <v>23416</v>
      </c>
      <c r="BF31" s="1" t="s">
        <v>23417</v>
      </c>
      <c r="BG31" s="1" t="s">
        <v>23418</v>
      </c>
      <c r="BH31" s="1" t="s">
        <v>23419</v>
      </c>
      <c r="BI31" s="1" t="s">
        <v>23420</v>
      </c>
      <c r="BJ31" s="1" t="s">
        <v>23421</v>
      </c>
      <c r="BK31" s="1" t="s">
        <v>23422</v>
      </c>
      <c r="BL31" s="1" t="s">
        <v>23423</v>
      </c>
      <c r="BM31" s="1" t="s">
        <v>23424</v>
      </c>
      <c r="BN31" s="1" t="s">
        <v>23425</v>
      </c>
      <c r="BO31" s="1" t="s">
        <v>23426</v>
      </c>
      <c r="BP31" s="1" t="s">
        <v>23427</v>
      </c>
      <c r="BQ31" s="1" t="s">
        <v>23428</v>
      </c>
      <c r="BR31" s="1" t="s">
        <v>23429</v>
      </c>
      <c r="BS31" s="1" t="s">
        <v>23430</v>
      </c>
      <c r="BT31" s="1" t="s">
        <v>23431</v>
      </c>
      <c r="BU31" s="1" t="s">
        <v>23432</v>
      </c>
      <c r="BV31" s="1" t="s">
        <v>23433</v>
      </c>
      <c r="BW31" s="1" t="s">
        <v>23434</v>
      </c>
      <c r="BX31" s="1" t="s">
        <v>23435</v>
      </c>
      <c r="BY31" s="1" t="s">
        <v>23436</v>
      </c>
      <c r="BZ31" s="1" t="s">
        <v>23437</v>
      </c>
      <c r="CA31" s="1" t="s">
        <v>23438</v>
      </c>
      <c r="CB31" s="1" t="s">
        <v>23439</v>
      </c>
      <c r="CC31" s="1" t="s">
        <v>23440</v>
      </c>
      <c r="CD31" s="1" t="s">
        <v>23441</v>
      </c>
      <c r="CE31" s="1" t="s">
        <v>23442</v>
      </c>
      <c r="CF31" s="1" t="s">
        <v>23443</v>
      </c>
      <c r="CG31" s="1" t="s">
        <v>23444</v>
      </c>
      <c r="CH31" s="1" t="s">
        <v>23445</v>
      </c>
      <c r="CI31" s="1" t="s">
        <v>23446</v>
      </c>
      <c r="CJ31" s="1" t="s">
        <v>23447</v>
      </c>
      <c r="CK31" s="1" t="s">
        <v>23448</v>
      </c>
      <c r="CL31" s="1" t="s">
        <v>23449</v>
      </c>
      <c r="CM31" s="1" t="s">
        <v>23450</v>
      </c>
      <c r="CN31" s="1" t="s">
        <v>23451</v>
      </c>
      <c r="CO31" s="1" t="s">
        <v>23452</v>
      </c>
      <c r="CP31" s="1" t="s">
        <v>23453</v>
      </c>
      <c r="CQ31" s="1" t="s">
        <v>23454</v>
      </c>
      <c r="CR31" s="1" t="s">
        <v>23455</v>
      </c>
      <c r="CS31" s="1" t="s">
        <v>23456</v>
      </c>
      <c r="CT31" s="1" t="s">
        <v>23457</v>
      </c>
      <c r="CU31" s="1" t="s">
        <v>23458</v>
      </c>
      <c r="CV31" s="1" t="s">
        <v>23459</v>
      </c>
      <c r="CW31" s="1" t="s">
        <v>23460</v>
      </c>
      <c r="CX31" s="1" t="s">
        <v>23461</v>
      </c>
      <c r="CY31" s="1" t="s">
        <v>23462</v>
      </c>
      <c r="CZ31" s="1" t="s">
        <v>23463</v>
      </c>
      <c r="DA31" s="1" t="s">
        <v>23464</v>
      </c>
      <c r="DB31" s="1" t="s">
        <v>23465</v>
      </c>
      <c r="DC31" s="1" t="s">
        <v>23466</v>
      </c>
      <c r="DD31" s="1" t="s">
        <v>23467</v>
      </c>
      <c r="DE31" s="1" t="s">
        <v>23468</v>
      </c>
      <c r="DF31" s="1" t="s">
        <v>23469</v>
      </c>
      <c r="DG31" s="1" t="s">
        <v>23470</v>
      </c>
      <c r="DH31" s="1" t="s">
        <v>23471</v>
      </c>
      <c r="DI31" s="1" t="s">
        <v>23472</v>
      </c>
      <c r="DJ31" s="1" t="s">
        <v>23473</v>
      </c>
      <c r="DK31" s="1" t="s">
        <v>23474</v>
      </c>
      <c r="DL31" s="1" t="s">
        <v>23475</v>
      </c>
      <c r="DM31" s="1" t="s">
        <v>23476</v>
      </c>
      <c r="DN31" s="1" t="s">
        <v>23477</v>
      </c>
      <c r="DO31" s="1" t="s">
        <v>23478</v>
      </c>
      <c r="DP31" s="1" t="s">
        <v>23479</v>
      </c>
      <c r="DQ31" s="1" t="s">
        <v>23480</v>
      </c>
      <c r="DR31" s="1" t="s">
        <v>23481</v>
      </c>
      <c r="DS31" s="1" t="s">
        <v>23482</v>
      </c>
      <c r="DT31" s="1" t="s">
        <v>23483</v>
      </c>
      <c r="DU31" s="1" t="s">
        <v>23484</v>
      </c>
      <c r="DV31" s="1" t="s">
        <v>23485</v>
      </c>
      <c r="DW31" s="1" t="s">
        <v>23486</v>
      </c>
      <c r="DX31" s="1" t="s">
        <v>23487</v>
      </c>
      <c r="DY31" s="1" t="s">
        <v>23488</v>
      </c>
      <c r="DZ31" s="1" t="s">
        <v>23489</v>
      </c>
      <c r="EA31" s="1" t="s">
        <v>23490</v>
      </c>
      <c r="EB31" s="1" t="s">
        <v>23491</v>
      </c>
      <c r="EC31" s="1" t="s">
        <v>23492</v>
      </c>
      <c r="ED31" s="1" t="s">
        <v>23493</v>
      </c>
      <c r="EE31" s="1" t="s">
        <v>23494</v>
      </c>
      <c r="EF31" s="1" t="s">
        <v>23495</v>
      </c>
      <c r="EG31" s="1" t="s">
        <v>23496</v>
      </c>
      <c r="EH31" s="1" t="s">
        <v>23497</v>
      </c>
      <c r="EI31" s="1" t="s">
        <v>23498</v>
      </c>
      <c r="EJ31" s="1" t="s">
        <v>23499</v>
      </c>
      <c r="EK31" s="1" t="s">
        <v>23500</v>
      </c>
      <c r="EL31" s="1" t="s">
        <v>23501</v>
      </c>
      <c r="EM31" s="1" t="s">
        <v>23502</v>
      </c>
      <c r="EN31" s="1" t="s">
        <v>23503</v>
      </c>
      <c r="EO31" s="1" t="s">
        <v>23504</v>
      </c>
      <c r="EP31" s="1" t="s">
        <v>23505</v>
      </c>
      <c r="EQ31" s="1" t="s">
        <v>23506</v>
      </c>
      <c r="ER31" s="1" t="s">
        <v>23507</v>
      </c>
      <c r="ES31" s="1" t="s">
        <v>23508</v>
      </c>
      <c r="ET31" s="1" t="s">
        <v>23509</v>
      </c>
      <c r="EU31" s="1" t="s">
        <v>23510</v>
      </c>
      <c r="EV31" s="1" t="s">
        <v>23511</v>
      </c>
      <c r="EW31" s="1" t="s">
        <v>23512</v>
      </c>
      <c r="EX31" s="1" t="s">
        <v>23513</v>
      </c>
      <c r="EY31" s="1" t="s">
        <v>23514</v>
      </c>
      <c r="EZ31" s="1" t="s">
        <v>23515</v>
      </c>
      <c r="FA31" s="1" t="s">
        <v>23516</v>
      </c>
      <c r="FB31" s="1" t="s">
        <v>23517</v>
      </c>
      <c r="FC31" s="1" t="s">
        <v>23518</v>
      </c>
      <c r="FD31" s="1" t="s">
        <v>23519</v>
      </c>
      <c r="FE31" s="1" t="s">
        <v>23520</v>
      </c>
      <c r="FF31" s="1" t="s">
        <v>23521</v>
      </c>
      <c r="FG31" s="1" t="s">
        <v>23522</v>
      </c>
      <c r="FH31" s="1" t="s">
        <v>23523</v>
      </c>
      <c r="FI31" s="1" t="s">
        <v>23524</v>
      </c>
      <c r="FJ31" s="1" t="s">
        <v>23525</v>
      </c>
      <c r="FK31" s="1" t="s">
        <v>23526</v>
      </c>
      <c r="FL31" s="1" t="s">
        <v>23527</v>
      </c>
      <c r="FM31" s="1" t="s">
        <v>23528</v>
      </c>
      <c r="FN31" s="1" t="s">
        <v>23529</v>
      </c>
      <c r="FO31" s="1" t="s">
        <v>23530</v>
      </c>
      <c r="FP31" s="1" t="s">
        <v>23531</v>
      </c>
      <c r="FQ31" s="1" t="s">
        <v>23532</v>
      </c>
      <c r="FR31" s="1" t="s">
        <v>23533</v>
      </c>
      <c r="FS31" s="1" t="s">
        <v>23534</v>
      </c>
      <c r="FT31" s="1" t="s">
        <v>23535</v>
      </c>
      <c r="FU31" s="1" t="s">
        <v>23536</v>
      </c>
      <c r="FV31" s="1" t="s">
        <v>23537</v>
      </c>
      <c r="FW31" s="1" t="s">
        <v>23538</v>
      </c>
      <c r="FX31" s="1" t="s">
        <v>23539</v>
      </c>
      <c r="FY31" s="1" t="s">
        <v>23540</v>
      </c>
      <c r="FZ31" s="1" t="s">
        <v>23541</v>
      </c>
      <c r="GA31" s="1" t="s">
        <v>23542</v>
      </c>
      <c r="GB31" s="1" t="s">
        <v>23543</v>
      </c>
      <c r="GC31" s="1" t="s">
        <v>23544</v>
      </c>
      <c r="GD31" s="1" t="s">
        <v>23545</v>
      </c>
      <c r="GE31" s="1" t="s">
        <v>23546</v>
      </c>
      <c r="GF31" s="1" t="s">
        <v>23547</v>
      </c>
      <c r="GG31" s="1" t="s">
        <v>23548</v>
      </c>
      <c r="GH31" s="1" t="s">
        <v>23549</v>
      </c>
      <c r="GI31" s="1" t="s">
        <v>23550</v>
      </c>
      <c r="GJ31" s="1" t="s">
        <v>23551</v>
      </c>
      <c r="GK31" s="1" t="s">
        <v>23552</v>
      </c>
      <c r="GL31" s="1" t="s">
        <v>23553</v>
      </c>
      <c r="GM31" s="1" t="s">
        <v>23554</v>
      </c>
      <c r="GN31" s="1" t="s">
        <v>23555</v>
      </c>
      <c r="GO31" s="1" t="s">
        <v>23556</v>
      </c>
      <c r="GP31" s="1" t="s">
        <v>23557</v>
      </c>
      <c r="GQ31" s="1" t="s">
        <v>23558</v>
      </c>
      <c r="GR31" s="1" t="s">
        <v>23559</v>
      </c>
      <c r="GS31" s="1" t="s">
        <v>23560</v>
      </c>
      <c r="GT31" s="1" t="s">
        <v>23561</v>
      </c>
      <c r="GU31" s="1" t="s">
        <v>23562</v>
      </c>
      <c r="GV31" s="1" t="s">
        <v>23563</v>
      </c>
      <c r="GW31" s="1" t="s">
        <v>23564</v>
      </c>
      <c r="GX31" s="1" t="s">
        <v>23565</v>
      </c>
      <c r="GY31" s="1" t="s">
        <v>23566</v>
      </c>
      <c r="GZ31" s="1" t="s">
        <v>23567</v>
      </c>
      <c r="HA31" s="1" t="s">
        <v>23568</v>
      </c>
      <c r="HB31" s="1" t="s">
        <v>23569</v>
      </c>
      <c r="HC31" s="1" t="s">
        <v>23570</v>
      </c>
      <c r="HD31" s="1" t="s">
        <v>23571</v>
      </c>
      <c r="HE31" s="1" t="s">
        <v>23572</v>
      </c>
      <c r="HF31" s="1" t="s">
        <v>23573</v>
      </c>
      <c r="HG31" s="1" t="s">
        <v>23574</v>
      </c>
      <c r="HH31" s="1" t="s">
        <v>23575</v>
      </c>
      <c r="HI31" s="1" t="s">
        <v>23576</v>
      </c>
      <c r="HJ31" s="1" t="s">
        <v>23577</v>
      </c>
      <c r="HK31" s="1" t="s">
        <v>23578</v>
      </c>
      <c r="HL31" s="1" t="s">
        <v>23579</v>
      </c>
      <c r="HM31" s="1" t="s">
        <v>23580</v>
      </c>
      <c r="HN31" s="1" t="s">
        <v>23581</v>
      </c>
      <c r="HO31" s="1" t="s">
        <v>23582</v>
      </c>
      <c r="HP31" s="1" t="s">
        <v>23583</v>
      </c>
      <c r="HQ31" s="1" t="s">
        <v>23584</v>
      </c>
      <c r="HR31" s="1" t="s">
        <v>23585</v>
      </c>
      <c r="HS31" s="1" t="s">
        <v>23586</v>
      </c>
      <c r="HT31" s="1" t="s">
        <v>23587</v>
      </c>
      <c r="HU31" s="1" t="s">
        <v>23588</v>
      </c>
      <c r="HV31" s="1" t="s">
        <v>23589</v>
      </c>
      <c r="HW31" s="1" t="s">
        <v>23590</v>
      </c>
      <c r="HX31" s="1" t="s">
        <v>23591</v>
      </c>
      <c r="HY31" s="1" t="s">
        <v>23592</v>
      </c>
      <c r="HZ31" s="1" t="s">
        <v>23593</v>
      </c>
      <c r="IA31" s="1" t="s">
        <v>23594</v>
      </c>
      <c r="IB31" s="1" t="s">
        <v>23595</v>
      </c>
      <c r="IC31" s="1" t="s">
        <v>23596</v>
      </c>
      <c r="ID31" s="1" t="s">
        <v>23597</v>
      </c>
      <c r="IE31" s="1" t="s">
        <v>23598</v>
      </c>
      <c r="IF31" s="1" t="s">
        <v>23599</v>
      </c>
      <c r="IG31" s="1" t="s">
        <v>23600</v>
      </c>
      <c r="IH31" s="1" t="s">
        <v>23601</v>
      </c>
      <c r="II31" s="1" t="s">
        <v>23602</v>
      </c>
      <c r="IJ31" s="1" t="s">
        <v>23603</v>
      </c>
      <c r="IK31" s="1" t="s">
        <v>23604</v>
      </c>
      <c r="IL31" s="1" t="s">
        <v>23605</v>
      </c>
      <c r="IM31" s="1" t="s">
        <v>23606</v>
      </c>
      <c r="IN31" s="1" t="s">
        <v>23607</v>
      </c>
      <c r="IO31" s="1" t="s">
        <v>23608</v>
      </c>
      <c r="IP31" s="1" t="s">
        <v>23609</v>
      </c>
      <c r="IQ31" s="1" t="s">
        <v>23610</v>
      </c>
      <c r="IR31" s="1" t="s">
        <v>23611</v>
      </c>
      <c r="IS31" s="1" t="s">
        <v>23612</v>
      </c>
      <c r="IT31" s="1" t="s">
        <v>23613</v>
      </c>
      <c r="IU31" s="1" t="s">
        <v>23614</v>
      </c>
      <c r="IV31" s="1" t="s">
        <v>23615</v>
      </c>
      <c r="IW31" s="1" t="s">
        <v>23616</v>
      </c>
      <c r="IX31" s="1" t="s">
        <v>23617</v>
      </c>
      <c r="IY31" s="1" t="s">
        <v>23618</v>
      </c>
      <c r="IZ31" s="1" t="s">
        <v>23619</v>
      </c>
      <c r="JA31" s="1" t="s">
        <v>23620</v>
      </c>
      <c r="JB31" s="1" t="s">
        <v>23621</v>
      </c>
      <c r="JC31" s="1" t="s">
        <v>23622</v>
      </c>
      <c r="JD31" s="1" t="s">
        <v>23623</v>
      </c>
      <c r="JE31" s="1" t="s">
        <v>23624</v>
      </c>
      <c r="JF31" s="1" t="s">
        <v>23625</v>
      </c>
      <c r="JG31" s="1" t="s">
        <v>23626</v>
      </c>
      <c r="JH31" s="1" t="s">
        <v>23627</v>
      </c>
      <c r="JI31" s="1" t="s">
        <v>23628</v>
      </c>
      <c r="JJ31" s="1" t="s">
        <v>23629</v>
      </c>
      <c r="JK31" s="1" t="s">
        <v>23630</v>
      </c>
      <c r="JL31" s="1" t="s">
        <v>23631</v>
      </c>
      <c r="JM31" s="1" t="s">
        <v>23632</v>
      </c>
      <c r="JN31" s="1" t="s">
        <v>23633</v>
      </c>
      <c r="JO31" s="1" t="s">
        <v>23634</v>
      </c>
      <c r="JP31" s="1" t="s">
        <v>23635</v>
      </c>
      <c r="JQ31" s="1" t="s">
        <v>23636</v>
      </c>
      <c r="JR31" s="1" t="s">
        <v>23637</v>
      </c>
      <c r="JS31" s="1" t="s">
        <v>23638</v>
      </c>
      <c r="JT31" s="1" t="s">
        <v>23639</v>
      </c>
      <c r="JU31" s="1" t="s">
        <v>23640</v>
      </c>
      <c r="JV31" s="1" t="s">
        <v>23641</v>
      </c>
      <c r="JW31" s="1" t="s">
        <v>23642</v>
      </c>
      <c r="JX31" s="1" t="s">
        <v>23643</v>
      </c>
      <c r="JY31" s="1" t="s">
        <v>23644</v>
      </c>
      <c r="JZ31" s="1" t="s">
        <v>23645</v>
      </c>
      <c r="KA31" s="1" t="s">
        <v>23646</v>
      </c>
      <c r="KB31" s="1" t="s">
        <v>23647</v>
      </c>
      <c r="KC31" s="1" t="s">
        <v>23648</v>
      </c>
      <c r="KD31" s="1" t="s">
        <v>23649</v>
      </c>
      <c r="KE31" s="1" t="s">
        <v>23650</v>
      </c>
      <c r="KF31" s="1" t="s">
        <v>23651</v>
      </c>
      <c r="KG31" s="1" t="s">
        <v>23652</v>
      </c>
      <c r="KH31" s="1" t="s">
        <v>23653</v>
      </c>
      <c r="KI31" s="1" t="s">
        <v>23654</v>
      </c>
      <c r="KJ31" s="1" t="s">
        <v>23655</v>
      </c>
      <c r="KK31" s="1" t="s">
        <v>23656</v>
      </c>
      <c r="KL31" s="1" t="s">
        <v>23657</v>
      </c>
      <c r="KM31" s="1" t="s">
        <v>23658</v>
      </c>
      <c r="KN31" s="1" t="s">
        <v>23659</v>
      </c>
      <c r="KO31" s="1" t="s">
        <v>23660</v>
      </c>
      <c r="KP31" s="1" t="s">
        <v>23661</v>
      </c>
      <c r="KQ31" s="1" t="s">
        <v>23662</v>
      </c>
      <c r="KR31" s="1" t="s">
        <v>23663</v>
      </c>
      <c r="KS31" s="1" t="s">
        <v>23664</v>
      </c>
      <c r="KT31" s="1" t="s">
        <v>23665</v>
      </c>
      <c r="KU31" s="1" t="s">
        <v>23666</v>
      </c>
      <c r="KV31" s="1" t="s">
        <v>23667</v>
      </c>
      <c r="KW31" s="1" t="s">
        <v>23668</v>
      </c>
      <c r="KX31" s="1" t="s">
        <v>23669</v>
      </c>
      <c r="KY31" s="1" t="s">
        <v>23670</v>
      </c>
      <c r="KZ31" s="1" t="s">
        <v>23671</v>
      </c>
      <c r="LA31" s="1" t="s">
        <v>23672</v>
      </c>
      <c r="LB31" s="1" t="s">
        <v>23673</v>
      </c>
      <c r="LC31" s="1" t="s">
        <v>23674</v>
      </c>
      <c r="LD31" s="1" t="s">
        <v>23675</v>
      </c>
      <c r="LE31" s="1" t="s">
        <v>23676</v>
      </c>
      <c r="LF31" s="1" t="s">
        <v>23677</v>
      </c>
      <c r="LG31" s="1" t="s">
        <v>23678</v>
      </c>
      <c r="LH31" s="1" t="s">
        <v>23679</v>
      </c>
      <c r="LI31" s="1" t="s">
        <v>23680</v>
      </c>
      <c r="LJ31" s="1" t="s">
        <v>23681</v>
      </c>
      <c r="LK31" s="1" t="s">
        <v>23682</v>
      </c>
      <c r="LL31" s="1" t="s">
        <v>23683</v>
      </c>
      <c r="LM31" s="1" t="s">
        <v>23684</v>
      </c>
      <c r="LN31" s="1" t="s">
        <v>23685</v>
      </c>
      <c r="LO31" s="1" t="s">
        <v>23686</v>
      </c>
      <c r="LP31" s="1" t="s">
        <v>23687</v>
      </c>
      <c r="LQ31" s="1" t="s">
        <v>23688</v>
      </c>
      <c r="LR31" s="1" t="s">
        <v>23689</v>
      </c>
      <c r="LS31" s="1" t="s">
        <v>23690</v>
      </c>
      <c r="LT31" s="1" t="s">
        <v>23691</v>
      </c>
      <c r="LU31" s="1" t="s">
        <v>23692</v>
      </c>
      <c r="LV31" s="1" t="s">
        <v>23693</v>
      </c>
      <c r="LW31" s="1" t="s">
        <v>23694</v>
      </c>
      <c r="LX31" s="1" t="s">
        <v>23695</v>
      </c>
      <c r="LY31" s="1" t="s">
        <v>23696</v>
      </c>
      <c r="LZ31" s="1" t="s">
        <v>23697</v>
      </c>
      <c r="MA31" s="1" t="s">
        <v>23698</v>
      </c>
      <c r="MB31" s="1" t="s">
        <v>23699</v>
      </c>
      <c r="MC31" s="1" t="s">
        <v>23700</v>
      </c>
      <c r="MD31" s="1" t="s">
        <v>23701</v>
      </c>
      <c r="ME31" s="1" t="s">
        <v>23702</v>
      </c>
      <c r="MF31" s="1" t="s">
        <v>23703</v>
      </c>
      <c r="MG31" s="1" t="s">
        <v>23704</v>
      </c>
      <c r="MH31" s="1" t="s">
        <v>23705</v>
      </c>
      <c r="MI31" s="1" t="s">
        <v>23706</v>
      </c>
      <c r="MJ31" s="1" t="s">
        <v>23707</v>
      </c>
      <c r="MK31" s="1" t="s">
        <v>23708</v>
      </c>
      <c r="ML31" s="1" t="s">
        <v>23709</v>
      </c>
      <c r="MM31" s="1" t="s">
        <v>23710</v>
      </c>
      <c r="MN31" s="1" t="s">
        <v>23711</v>
      </c>
      <c r="MO31" s="1" t="s">
        <v>23712</v>
      </c>
      <c r="MP31" s="1" t="s">
        <v>23713</v>
      </c>
      <c r="MQ31" s="1" t="s">
        <v>23714</v>
      </c>
      <c r="MR31" s="1" t="s">
        <v>23715</v>
      </c>
      <c r="MS31" s="1" t="s">
        <v>23716</v>
      </c>
      <c r="MT31" s="1" t="s">
        <v>23717</v>
      </c>
      <c r="MU31" s="1" t="s">
        <v>23718</v>
      </c>
      <c r="MV31" s="1" t="s">
        <v>23719</v>
      </c>
      <c r="MW31" s="1" t="s">
        <v>23720</v>
      </c>
      <c r="MX31" s="1" t="s">
        <v>23721</v>
      </c>
      <c r="MY31" s="1" t="s">
        <v>23722</v>
      </c>
      <c r="MZ31" s="1" t="s">
        <v>23723</v>
      </c>
      <c r="NA31" s="1" t="s">
        <v>23724</v>
      </c>
      <c r="NB31" s="1" t="s">
        <v>23725</v>
      </c>
      <c r="NC31" s="1" t="s">
        <v>23726</v>
      </c>
      <c r="ND31" s="1" t="s">
        <v>23727</v>
      </c>
      <c r="NE31" s="1" t="s">
        <v>23728</v>
      </c>
      <c r="NF31" s="1" t="s">
        <v>23729</v>
      </c>
      <c r="NG31" s="1" t="s">
        <v>23730</v>
      </c>
      <c r="NH31" s="1" t="s">
        <v>23731</v>
      </c>
      <c r="NI31" s="1" t="s">
        <v>23732</v>
      </c>
      <c r="NJ31" s="1" t="s">
        <v>23733</v>
      </c>
      <c r="NK31" s="1" t="s">
        <v>23734</v>
      </c>
      <c r="NL31" s="1" t="s">
        <v>23735</v>
      </c>
      <c r="NM31" s="1" t="s">
        <v>23736</v>
      </c>
      <c r="NN31" s="1" t="s">
        <v>23737</v>
      </c>
      <c r="NO31" s="1" t="s">
        <v>23738</v>
      </c>
      <c r="NP31" s="1" t="s">
        <v>23739</v>
      </c>
      <c r="NQ31" s="1" t="s">
        <v>23740</v>
      </c>
      <c r="NR31" s="1" t="s">
        <v>23741</v>
      </c>
      <c r="NS31" s="1" t="s">
        <v>23742</v>
      </c>
      <c r="NT31" s="1" t="s">
        <v>23743</v>
      </c>
      <c r="NU31" s="1" t="s">
        <v>23744</v>
      </c>
      <c r="NV31" s="1" t="s">
        <v>23745</v>
      </c>
      <c r="NW31" s="1" t="s">
        <v>23746</v>
      </c>
      <c r="NX31" s="1" t="s">
        <v>23747</v>
      </c>
      <c r="NY31" s="1" t="s">
        <v>23748</v>
      </c>
      <c r="NZ31" s="1" t="s">
        <v>23749</v>
      </c>
      <c r="OA31" s="1" t="s">
        <v>23750</v>
      </c>
      <c r="OB31" s="1" t="s">
        <v>23751</v>
      </c>
      <c r="OC31" s="1" t="s">
        <v>23752</v>
      </c>
      <c r="OD31" s="1" t="s">
        <v>23753</v>
      </c>
      <c r="OE31" s="1" t="s">
        <v>23754</v>
      </c>
      <c r="OF31" s="1" t="s">
        <v>23755</v>
      </c>
      <c r="OG31" s="1" t="s">
        <v>23756</v>
      </c>
      <c r="OH31" s="1" t="s">
        <v>23757</v>
      </c>
      <c r="OI31" s="1" t="s">
        <v>23758</v>
      </c>
      <c r="OJ31" s="1" t="s">
        <v>23759</v>
      </c>
      <c r="OK31" s="1" t="s">
        <v>23760</v>
      </c>
      <c r="OL31" s="1" t="s">
        <v>23761</v>
      </c>
      <c r="OM31" s="1" t="s">
        <v>23762</v>
      </c>
      <c r="ON31" s="1" t="s">
        <v>23763</v>
      </c>
      <c r="OO31" s="1" t="s">
        <v>23764</v>
      </c>
      <c r="OP31" s="1" t="s">
        <v>23765</v>
      </c>
      <c r="OQ31" s="1" t="s">
        <v>23766</v>
      </c>
      <c r="OR31" s="1" t="s">
        <v>23767</v>
      </c>
      <c r="OS31" s="1" t="s">
        <v>23768</v>
      </c>
      <c r="OT31" s="1" t="s">
        <v>23769</v>
      </c>
      <c r="OU31" s="1" t="s">
        <v>23770</v>
      </c>
      <c r="OV31" s="1" t="s">
        <v>23771</v>
      </c>
      <c r="OW31" s="1" t="s">
        <v>23772</v>
      </c>
      <c r="OX31" s="1" t="s">
        <v>23773</v>
      </c>
      <c r="OY31" s="1" t="s">
        <v>23774</v>
      </c>
      <c r="OZ31" s="1" t="s">
        <v>23775</v>
      </c>
      <c r="PA31" s="1" t="s">
        <v>23776</v>
      </c>
      <c r="PB31" s="1" t="s">
        <v>23777</v>
      </c>
      <c r="PC31" s="1" t="s">
        <v>23778</v>
      </c>
      <c r="PD31" s="1" t="s">
        <v>23779</v>
      </c>
      <c r="PE31" s="1" t="s">
        <v>23780</v>
      </c>
      <c r="PF31" s="1" t="s">
        <v>23781</v>
      </c>
      <c r="PG31" s="1" t="s">
        <v>23782</v>
      </c>
      <c r="PH31" s="1" t="s">
        <v>23783</v>
      </c>
      <c r="PI31" s="1" t="s">
        <v>23784</v>
      </c>
      <c r="PJ31" s="1" t="s">
        <v>23785</v>
      </c>
      <c r="PK31" s="1" t="s">
        <v>23786</v>
      </c>
      <c r="PL31" s="1" t="s">
        <v>23787</v>
      </c>
      <c r="PM31" s="1" t="s">
        <v>23788</v>
      </c>
      <c r="PN31" s="1" t="s">
        <v>23789</v>
      </c>
      <c r="PO31" s="1" t="s">
        <v>23790</v>
      </c>
      <c r="PP31" s="1" t="s">
        <v>23791</v>
      </c>
      <c r="PQ31" s="1" t="s">
        <v>23792</v>
      </c>
      <c r="PR31" s="1" t="s">
        <v>23793</v>
      </c>
      <c r="PS31" s="1" t="s">
        <v>23794</v>
      </c>
      <c r="PT31" s="1" t="s">
        <v>23795</v>
      </c>
      <c r="PU31" s="1" t="s">
        <v>23796</v>
      </c>
      <c r="PV31" s="1" t="s">
        <v>23797</v>
      </c>
      <c r="PW31" s="1" t="s">
        <v>23798</v>
      </c>
      <c r="PX31" s="1" t="s">
        <v>23799</v>
      </c>
      <c r="PY31" s="1" t="s">
        <v>23800</v>
      </c>
      <c r="PZ31" s="1" t="s">
        <v>23801</v>
      </c>
      <c r="QA31" s="1" t="s">
        <v>23802</v>
      </c>
      <c r="QB31" s="1" t="s">
        <v>23803</v>
      </c>
      <c r="QC31" s="1" t="s">
        <v>23804</v>
      </c>
      <c r="QD31" s="1" t="s">
        <v>23805</v>
      </c>
      <c r="QE31" s="1" t="s">
        <v>23806</v>
      </c>
      <c r="QF31" s="1" t="s">
        <v>23807</v>
      </c>
      <c r="QG31" s="1" t="s">
        <v>23808</v>
      </c>
      <c r="QH31" s="1" t="s">
        <v>23809</v>
      </c>
      <c r="QI31" s="1" t="s">
        <v>23810</v>
      </c>
      <c r="QJ31" s="1" t="s">
        <v>23811</v>
      </c>
      <c r="QK31" s="1" t="s">
        <v>23812</v>
      </c>
      <c r="QL31" s="1" t="s">
        <v>23813</v>
      </c>
      <c r="QM31" s="1" t="s">
        <v>23814</v>
      </c>
      <c r="QN31" s="1" t="s">
        <v>23815</v>
      </c>
      <c r="QO31" s="1" t="s">
        <v>23816</v>
      </c>
      <c r="QP31" s="1" t="s">
        <v>23817</v>
      </c>
      <c r="QQ31" s="1" t="s">
        <v>23818</v>
      </c>
      <c r="QR31" s="1" t="s">
        <v>23819</v>
      </c>
      <c r="QS31" s="1" t="s">
        <v>23820</v>
      </c>
      <c r="QT31" s="1" t="s">
        <v>23821</v>
      </c>
      <c r="QU31" s="1" t="s">
        <v>23822</v>
      </c>
      <c r="QV31" s="1" t="s">
        <v>23823</v>
      </c>
      <c r="QW31" s="1" t="s">
        <v>23824</v>
      </c>
      <c r="QX31" s="1" t="s">
        <v>23825</v>
      </c>
      <c r="QY31" s="1" t="s">
        <v>23826</v>
      </c>
      <c r="QZ31" s="1" t="s">
        <v>23827</v>
      </c>
      <c r="RA31" s="1" t="s">
        <v>23828</v>
      </c>
      <c r="RB31" s="1" t="s">
        <v>23829</v>
      </c>
      <c r="RC31" s="1" t="s">
        <v>23830</v>
      </c>
      <c r="RD31" s="1" t="s">
        <v>23831</v>
      </c>
      <c r="RE31" s="1" t="s">
        <v>23832</v>
      </c>
      <c r="RF31" s="1" t="s">
        <v>23833</v>
      </c>
      <c r="RG31" s="1" t="s">
        <v>23834</v>
      </c>
      <c r="RH31" s="1" t="s">
        <v>23835</v>
      </c>
      <c r="RI31" s="1" t="s">
        <v>23836</v>
      </c>
      <c r="RJ31" s="1" t="s">
        <v>23837</v>
      </c>
      <c r="RK31" s="1" t="s">
        <v>23838</v>
      </c>
      <c r="RL31" s="1" t="s">
        <v>23839</v>
      </c>
      <c r="RM31" s="1" t="s">
        <v>23840</v>
      </c>
      <c r="RN31" s="1" t="s">
        <v>23841</v>
      </c>
      <c r="RO31" s="1" t="s">
        <v>23842</v>
      </c>
      <c r="RP31" s="1" t="s">
        <v>23843</v>
      </c>
      <c r="RQ31" s="1" t="s">
        <v>23844</v>
      </c>
      <c r="RR31" s="1" t="s">
        <v>23845</v>
      </c>
      <c r="RS31" s="1" t="s">
        <v>23846</v>
      </c>
      <c r="RT31" s="1" t="s">
        <v>23847</v>
      </c>
      <c r="RU31" s="1" t="s">
        <v>23848</v>
      </c>
      <c r="RV31" s="1" t="s">
        <v>23849</v>
      </c>
      <c r="RW31" s="1" t="s">
        <v>23850</v>
      </c>
      <c r="RX31" s="1" t="s">
        <v>23851</v>
      </c>
      <c r="RY31" s="1" t="s">
        <v>23852</v>
      </c>
      <c r="RZ31" s="1" t="s">
        <v>23853</v>
      </c>
      <c r="SA31" s="1" t="s">
        <v>23854</v>
      </c>
      <c r="SB31" s="1" t="s">
        <v>23855</v>
      </c>
      <c r="SC31" s="1" t="s">
        <v>23856</v>
      </c>
      <c r="SD31" s="1" t="s">
        <v>23857</v>
      </c>
      <c r="SE31" s="1" t="s">
        <v>23858</v>
      </c>
      <c r="SF31" s="1" t="s">
        <v>23859</v>
      </c>
      <c r="SG31" s="1" t="s">
        <v>23860</v>
      </c>
      <c r="SH31" s="1" t="s">
        <v>23861</v>
      </c>
      <c r="SI31" s="1" t="s">
        <v>23862</v>
      </c>
      <c r="SJ31" s="1" t="s">
        <v>23863</v>
      </c>
      <c r="SK31" s="1" t="s">
        <v>23864</v>
      </c>
      <c r="SL31" s="1" t="s">
        <v>23865</v>
      </c>
      <c r="SM31" s="1" t="s">
        <v>23866</v>
      </c>
      <c r="SN31" s="1" t="s">
        <v>23867</v>
      </c>
      <c r="SO31" s="1" t="s">
        <v>23868</v>
      </c>
      <c r="SP31" s="1" t="s">
        <v>23869</v>
      </c>
      <c r="SQ31" s="1" t="s">
        <v>23870</v>
      </c>
      <c r="SR31" s="1" t="s">
        <v>23871</v>
      </c>
      <c r="SS31" s="1" t="s">
        <v>23872</v>
      </c>
      <c r="ST31" s="1" t="s">
        <v>23873</v>
      </c>
      <c r="SU31" s="1" t="s">
        <v>23874</v>
      </c>
      <c r="SV31" s="1" t="s">
        <v>23875</v>
      </c>
      <c r="SW31" s="1" t="s">
        <v>23876</v>
      </c>
      <c r="SX31" s="1" t="s">
        <v>23877</v>
      </c>
      <c r="SY31" s="1" t="s">
        <v>23878</v>
      </c>
      <c r="SZ31" s="1" t="s">
        <v>23879</v>
      </c>
      <c r="TA31" s="1" t="s">
        <v>23880</v>
      </c>
      <c r="TB31" s="1" t="s">
        <v>23881</v>
      </c>
      <c r="TC31" s="1" t="s">
        <v>23882</v>
      </c>
      <c r="TD31" s="1" t="s">
        <v>23883</v>
      </c>
      <c r="TE31" s="1" t="s">
        <v>23884</v>
      </c>
      <c r="TF31" s="1" t="s">
        <v>23885</v>
      </c>
      <c r="TG31" s="1" t="s">
        <v>23886</v>
      </c>
      <c r="TH31" s="1" t="s">
        <v>23887</v>
      </c>
      <c r="TI31" s="1" t="s">
        <v>23888</v>
      </c>
      <c r="TJ31" s="1" t="s">
        <v>23889</v>
      </c>
      <c r="TK31" s="1" t="s">
        <v>23890</v>
      </c>
      <c r="TL31" s="1" t="s">
        <v>23891</v>
      </c>
      <c r="TM31" s="1" t="s">
        <v>23892</v>
      </c>
      <c r="TN31" s="1" t="s">
        <v>23893</v>
      </c>
      <c r="TO31" s="1" t="s">
        <v>23894</v>
      </c>
      <c r="TP31" s="1" t="s">
        <v>23895</v>
      </c>
      <c r="TQ31" s="1" t="s">
        <v>23896</v>
      </c>
      <c r="TR31" s="1" t="s">
        <v>23897</v>
      </c>
      <c r="TS31" s="1" t="s">
        <v>23898</v>
      </c>
      <c r="TT31" s="1" t="s">
        <v>23899</v>
      </c>
      <c r="TU31" s="1" t="s">
        <v>23900</v>
      </c>
      <c r="TV31" s="1" t="s">
        <v>23901</v>
      </c>
      <c r="TW31" s="1" t="s">
        <v>23902</v>
      </c>
      <c r="TX31" s="1" t="s">
        <v>23903</v>
      </c>
      <c r="TY31" s="1" t="s">
        <v>23904</v>
      </c>
      <c r="TZ31" s="1" t="s">
        <v>23905</v>
      </c>
      <c r="UA31" s="1" t="s">
        <v>23906</v>
      </c>
      <c r="UB31" s="1" t="s">
        <v>23907</v>
      </c>
      <c r="UC31" s="1" t="s">
        <v>23908</v>
      </c>
      <c r="UD31" s="1" t="s">
        <v>23909</v>
      </c>
      <c r="UE31" s="1" t="s">
        <v>23910</v>
      </c>
      <c r="UF31" s="1" t="s">
        <v>23911</v>
      </c>
      <c r="UG31" s="1" t="s">
        <v>23912</v>
      </c>
      <c r="UH31" s="1" t="s">
        <v>23913</v>
      </c>
      <c r="UI31" s="1" t="s">
        <v>23914</v>
      </c>
      <c r="UJ31" s="1" t="s">
        <v>23915</v>
      </c>
      <c r="UK31" s="1" t="s">
        <v>23916</v>
      </c>
      <c r="UL31" s="1" t="s">
        <v>23917</v>
      </c>
      <c r="UM31" s="1" t="s">
        <v>23918</v>
      </c>
      <c r="UN31" s="1" t="s">
        <v>23919</v>
      </c>
      <c r="UO31" s="1" t="s">
        <v>23920</v>
      </c>
      <c r="UP31" s="1" t="s">
        <v>23921</v>
      </c>
      <c r="UQ31" s="1" t="s">
        <v>23922</v>
      </c>
      <c r="UR31" s="1" t="s">
        <v>23923</v>
      </c>
      <c r="US31" s="1" t="s">
        <v>23924</v>
      </c>
      <c r="UT31" s="1" t="s">
        <v>23925</v>
      </c>
      <c r="UU31" s="1" t="s">
        <v>23926</v>
      </c>
      <c r="UV31" s="1" t="s">
        <v>23927</v>
      </c>
      <c r="UW31" s="1" t="s">
        <v>23928</v>
      </c>
      <c r="UX31" s="1" t="s">
        <v>23929</v>
      </c>
      <c r="UY31" s="1" t="s">
        <v>23930</v>
      </c>
      <c r="UZ31" s="1" t="s">
        <v>23931</v>
      </c>
      <c r="VA31" s="1" t="s">
        <v>23932</v>
      </c>
      <c r="VB31" s="1" t="s">
        <v>23933</v>
      </c>
      <c r="VC31" s="1" t="s">
        <v>23934</v>
      </c>
      <c r="VD31" s="1" t="s">
        <v>23935</v>
      </c>
      <c r="VE31" s="1" t="s">
        <v>23936</v>
      </c>
      <c r="VF31" s="1" t="s">
        <v>23937</v>
      </c>
      <c r="VG31" s="1" t="s">
        <v>23938</v>
      </c>
      <c r="VH31" s="1" t="s">
        <v>23939</v>
      </c>
      <c r="VI31" s="1" t="s">
        <v>23940</v>
      </c>
      <c r="VJ31" s="1" t="s">
        <v>23941</v>
      </c>
      <c r="VK31" s="1" t="s">
        <v>23942</v>
      </c>
      <c r="VL31" s="1" t="s">
        <v>23943</v>
      </c>
      <c r="VM31" s="1" t="s">
        <v>23944</v>
      </c>
      <c r="VN31" s="1" t="s">
        <v>23945</v>
      </c>
      <c r="VO31" s="1" t="s">
        <v>23946</v>
      </c>
      <c r="VP31" s="1" t="s">
        <v>23947</v>
      </c>
      <c r="VQ31" s="1" t="s">
        <v>23948</v>
      </c>
      <c r="VR31" s="1" t="s">
        <v>23949</v>
      </c>
      <c r="VS31" s="1" t="s">
        <v>23950</v>
      </c>
      <c r="VT31" s="1" t="s">
        <v>23951</v>
      </c>
      <c r="VU31" s="1" t="s">
        <v>23952</v>
      </c>
      <c r="VV31" s="1" t="s">
        <v>23953</v>
      </c>
      <c r="VW31" s="1" t="s">
        <v>23954</v>
      </c>
      <c r="VX31" s="1" t="s">
        <v>23955</v>
      </c>
      <c r="VY31" s="1" t="s">
        <v>23956</v>
      </c>
      <c r="VZ31" s="1" t="s">
        <v>23957</v>
      </c>
      <c r="WA31" s="1" t="s">
        <v>23958</v>
      </c>
      <c r="WB31" s="1" t="s">
        <v>23959</v>
      </c>
      <c r="WC31" s="1" t="s">
        <v>23960</v>
      </c>
      <c r="WD31" s="1" t="s">
        <v>23961</v>
      </c>
      <c r="WE31" s="1" t="s">
        <v>23962</v>
      </c>
      <c r="WF31" s="1" t="s">
        <v>23963</v>
      </c>
      <c r="WG31" s="1" t="s">
        <v>23964</v>
      </c>
      <c r="WH31" s="1" t="s">
        <v>23965</v>
      </c>
      <c r="WI31" s="1" t="s">
        <v>23966</v>
      </c>
      <c r="WJ31" s="1" t="s">
        <v>23967</v>
      </c>
      <c r="WK31" s="1" t="s">
        <v>23968</v>
      </c>
      <c r="WL31" s="1" t="s">
        <v>23969</v>
      </c>
      <c r="WM31" s="1" t="s">
        <v>23970</v>
      </c>
      <c r="WN31" s="1" t="s">
        <v>23971</v>
      </c>
      <c r="WO31" s="1" t="s">
        <v>23972</v>
      </c>
      <c r="WP31" s="1" t="s">
        <v>23973</v>
      </c>
      <c r="WQ31" s="1" t="s">
        <v>23974</v>
      </c>
      <c r="WR31" s="1" t="s">
        <v>23975</v>
      </c>
      <c r="WS31" s="1" t="s">
        <v>23976</v>
      </c>
      <c r="WT31" s="1" t="s">
        <v>23977</v>
      </c>
      <c r="WU31" s="1" t="s">
        <v>23978</v>
      </c>
      <c r="WV31" s="1" t="s">
        <v>23979</v>
      </c>
      <c r="WW31" s="1" t="s">
        <v>23980</v>
      </c>
      <c r="WX31" s="1" t="s">
        <v>23981</v>
      </c>
      <c r="WY31" s="1" t="s">
        <v>23982</v>
      </c>
      <c r="WZ31" s="1" t="s">
        <v>23983</v>
      </c>
      <c r="XA31" s="1" t="s">
        <v>23984</v>
      </c>
      <c r="XB31" s="1" t="s">
        <v>23985</v>
      </c>
      <c r="XC31" s="1" t="s">
        <v>23986</v>
      </c>
      <c r="XD31" s="1" t="s">
        <v>23987</v>
      </c>
      <c r="XE31" s="1" t="s">
        <v>23988</v>
      </c>
      <c r="XF31" s="1" t="s">
        <v>23989</v>
      </c>
      <c r="XG31" s="1" t="s">
        <v>23990</v>
      </c>
      <c r="XH31" s="1" t="s">
        <v>23991</v>
      </c>
      <c r="XI31" s="1" t="s">
        <v>23992</v>
      </c>
      <c r="XJ31" s="1" t="s">
        <v>23993</v>
      </c>
      <c r="XK31" s="1" t="s">
        <v>23994</v>
      </c>
      <c r="XL31" s="1" t="s">
        <v>23995</v>
      </c>
      <c r="XM31" s="1" t="s">
        <v>23996</v>
      </c>
      <c r="XN31" s="1" t="s">
        <v>23997</v>
      </c>
      <c r="XO31" s="1" t="s">
        <v>23998</v>
      </c>
      <c r="XP31" s="1" t="s">
        <v>23999</v>
      </c>
      <c r="XQ31" s="1" t="s">
        <v>24000</v>
      </c>
      <c r="XR31" s="1" t="s">
        <v>24001</v>
      </c>
      <c r="XS31" s="1" t="s">
        <v>24002</v>
      </c>
      <c r="XT31" s="1" t="s">
        <v>24003</v>
      </c>
      <c r="XU31" s="1" t="s">
        <v>24004</v>
      </c>
      <c r="XV31" s="1" t="s">
        <v>24005</v>
      </c>
      <c r="XW31" s="1" t="s">
        <v>24006</v>
      </c>
      <c r="XX31" s="1" t="s">
        <v>24007</v>
      </c>
      <c r="XY31" s="1" t="s">
        <v>24008</v>
      </c>
      <c r="XZ31" s="1" t="s">
        <v>24009</v>
      </c>
      <c r="YA31" s="1" t="s">
        <v>24010</v>
      </c>
      <c r="YB31" s="1" t="s">
        <v>24011</v>
      </c>
      <c r="YC31" s="1" t="s">
        <v>24012</v>
      </c>
      <c r="YD31" s="1" t="s">
        <v>24013</v>
      </c>
      <c r="YE31" s="1" t="s">
        <v>24014</v>
      </c>
      <c r="YF31" s="1" t="s">
        <v>24015</v>
      </c>
      <c r="YG31" s="1" t="s">
        <v>24016</v>
      </c>
      <c r="YH31" s="1" t="s">
        <v>24017</v>
      </c>
      <c r="YI31" s="1" t="s">
        <v>24018</v>
      </c>
      <c r="YJ31" s="1" t="s">
        <v>24019</v>
      </c>
      <c r="YK31" s="1" t="s">
        <v>24020</v>
      </c>
      <c r="YL31" s="1" t="s">
        <v>24021</v>
      </c>
      <c r="YM31" s="1" t="s">
        <v>24022</v>
      </c>
      <c r="YN31" s="1" t="s">
        <v>24023</v>
      </c>
      <c r="YO31" s="1" t="s">
        <v>24024</v>
      </c>
      <c r="YP31" s="1" t="s">
        <v>24025</v>
      </c>
      <c r="YQ31" s="1" t="s">
        <v>24026</v>
      </c>
      <c r="YR31" s="1" t="s">
        <v>24027</v>
      </c>
      <c r="YS31" s="1" t="s">
        <v>24028</v>
      </c>
      <c r="YT31" s="1" t="s">
        <v>24029</v>
      </c>
      <c r="YU31" s="1" t="s">
        <v>24030</v>
      </c>
      <c r="YV31" s="1" t="s">
        <v>24031</v>
      </c>
      <c r="YW31" s="1" t="s">
        <v>24032</v>
      </c>
      <c r="YX31" s="1" t="s">
        <v>24033</v>
      </c>
      <c r="YY31" s="1" t="s">
        <v>24034</v>
      </c>
      <c r="YZ31" s="1" t="s">
        <v>24035</v>
      </c>
      <c r="ZA31" s="1" t="s">
        <v>24036</v>
      </c>
      <c r="ZB31" s="1" t="s">
        <v>24037</v>
      </c>
      <c r="ZC31" s="1" t="s">
        <v>24038</v>
      </c>
      <c r="ZD31" s="1" t="s">
        <v>24039</v>
      </c>
      <c r="ZE31" s="1" t="s">
        <v>24040</v>
      </c>
      <c r="ZF31" s="1" t="s">
        <v>24041</v>
      </c>
      <c r="ZG31" s="1" t="s">
        <v>24042</v>
      </c>
      <c r="ZH31" s="1" t="s">
        <v>24043</v>
      </c>
      <c r="ZI31" s="1" t="s">
        <v>24044</v>
      </c>
      <c r="ZJ31" s="1" t="s">
        <v>24045</v>
      </c>
      <c r="ZK31" s="1" t="s">
        <v>24046</v>
      </c>
      <c r="ZL31" s="1" t="s">
        <v>24047</v>
      </c>
      <c r="ZM31" s="1" t="s">
        <v>24048</v>
      </c>
      <c r="ZN31" s="1" t="s">
        <v>24049</v>
      </c>
      <c r="ZO31" s="1" t="s">
        <v>24050</v>
      </c>
      <c r="ZP31" s="1" t="s">
        <v>24051</v>
      </c>
      <c r="ZQ31" s="1" t="s">
        <v>24052</v>
      </c>
      <c r="ZR31" s="1" t="s">
        <v>24053</v>
      </c>
      <c r="ZS31" s="1" t="s">
        <v>24054</v>
      </c>
      <c r="ZT31" s="1" t="s">
        <v>24055</v>
      </c>
      <c r="ZU31" s="1" t="s">
        <v>24056</v>
      </c>
      <c r="ZV31" s="1" t="s">
        <v>24057</v>
      </c>
      <c r="ZW31" s="1" t="s">
        <v>24058</v>
      </c>
      <c r="ZX31" s="1" t="s">
        <v>24059</v>
      </c>
      <c r="ZY31" s="1" t="s">
        <v>24060</v>
      </c>
      <c r="ZZ31" s="1" t="s">
        <v>24061</v>
      </c>
      <c r="AAA31" s="1" t="s">
        <v>24062</v>
      </c>
      <c r="AAB31" s="1" t="s">
        <v>24063</v>
      </c>
      <c r="AAC31" s="1" t="s">
        <v>24064</v>
      </c>
      <c r="AAD31" s="1" t="s">
        <v>24065</v>
      </c>
      <c r="AAE31" s="1" t="s">
        <v>24066</v>
      </c>
      <c r="AAF31" s="1" t="s">
        <v>24067</v>
      </c>
      <c r="AAG31" s="1" t="s">
        <v>24068</v>
      </c>
      <c r="AAH31" s="1" t="s">
        <v>24069</v>
      </c>
      <c r="AAI31" s="1" t="s">
        <v>24070</v>
      </c>
      <c r="AAJ31" s="1" t="s">
        <v>24071</v>
      </c>
      <c r="AAK31" s="1" t="s">
        <v>24072</v>
      </c>
      <c r="AAL31" s="1" t="s">
        <v>24073</v>
      </c>
      <c r="AAM31" s="1" t="s">
        <v>24074</v>
      </c>
      <c r="AAN31" s="1" t="s">
        <v>24075</v>
      </c>
      <c r="AAO31" s="1" t="s">
        <v>24076</v>
      </c>
      <c r="AAP31" s="1" t="s">
        <v>24077</v>
      </c>
      <c r="AAQ31" s="1" t="s">
        <v>24078</v>
      </c>
      <c r="AAR31" s="1" t="s">
        <v>24079</v>
      </c>
      <c r="AAS31" s="1" t="s">
        <v>24080</v>
      </c>
      <c r="AAT31" s="1" t="s">
        <v>24081</v>
      </c>
      <c r="AAU31" s="1" t="s">
        <v>24082</v>
      </c>
      <c r="AAV31" s="1" t="s">
        <v>24083</v>
      </c>
      <c r="AAW31" s="1" t="s">
        <v>24084</v>
      </c>
      <c r="AAX31" s="1" t="s">
        <v>24085</v>
      </c>
      <c r="AAY31" s="1" t="s">
        <v>24086</v>
      </c>
      <c r="AAZ31" s="1" t="s">
        <v>24087</v>
      </c>
      <c r="ABA31" s="1" t="s">
        <v>24088</v>
      </c>
      <c r="ABB31" s="1" t="s">
        <v>24089</v>
      </c>
      <c r="ABC31" s="1" t="s">
        <v>24090</v>
      </c>
      <c r="ABD31" s="1" t="s">
        <v>24091</v>
      </c>
      <c r="ABE31" s="1" t="s">
        <v>24092</v>
      </c>
      <c r="ABF31" s="1" t="s">
        <v>24093</v>
      </c>
      <c r="ABG31" s="1" t="s">
        <v>24094</v>
      </c>
      <c r="ABH31" s="1" t="s">
        <v>24095</v>
      </c>
      <c r="ABI31" s="1" t="s">
        <v>24096</v>
      </c>
      <c r="ABJ31" s="1" t="s">
        <v>24097</v>
      </c>
      <c r="ABK31" s="1" t="s">
        <v>24098</v>
      </c>
      <c r="ABL31" s="1" t="s">
        <v>24099</v>
      </c>
      <c r="ABM31" s="1" t="s">
        <v>24100</v>
      </c>
      <c r="ABN31" s="1" t="s">
        <v>24101</v>
      </c>
      <c r="ABO31" s="1" t="s">
        <v>24102</v>
      </c>
      <c r="ABP31" s="1" t="s">
        <v>24103</v>
      </c>
      <c r="ABQ31" s="1" t="s">
        <v>24104</v>
      </c>
      <c r="ABR31" s="1" t="s">
        <v>24105</v>
      </c>
      <c r="ABS31" s="1" t="s">
        <v>24106</v>
      </c>
      <c r="ABT31" s="1" t="s">
        <v>24107</v>
      </c>
      <c r="ABU31" s="1" t="s">
        <v>24108</v>
      </c>
      <c r="ABV31" s="1" t="s">
        <v>24109</v>
      </c>
      <c r="ABW31" s="1" t="s">
        <v>24110</v>
      </c>
      <c r="ABX31" s="1" t="s">
        <v>24111</v>
      </c>
      <c r="ABY31" s="1" t="s">
        <v>24112</v>
      </c>
      <c r="ABZ31" s="1" t="s">
        <v>24113</v>
      </c>
      <c r="ACA31" s="1" t="s">
        <v>24114</v>
      </c>
      <c r="ACB31" s="1" t="s">
        <v>24115</v>
      </c>
      <c r="ACC31" s="1" t="s">
        <v>24116</v>
      </c>
      <c r="ACD31" s="1" t="s">
        <v>24117</v>
      </c>
      <c r="ACE31" s="1" t="s">
        <v>24118</v>
      </c>
      <c r="ACF31" s="1" t="s">
        <v>24119</v>
      </c>
      <c r="ACG31" s="1" t="s">
        <v>24120</v>
      </c>
      <c r="ACH31" s="1" t="s">
        <v>24121</v>
      </c>
      <c r="ACI31" s="1" t="s">
        <v>24122</v>
      </c>
      <c r="ACJ31" s="1" t="s">
        <v>24123</v>
      </c>
      <c r="ACK31" s="1" t="s">
        <v>24124</v>
      </c>
      <c r="ACL31" s="1" t="s">
        <v>24125</v>
      </c>
      <c r="ACM31" s="1" t="s">
        <v>24126</v>
      </c>
      <c r="ACN31" s="1" t="s">
        <v>24127</v>
      </c>
      <c r="ACO31" s="1" t="s">
        <v>24128</v>
      </c>
      <c r="ACP31" s="1" t="s">
        <v>24129</v>
      </c>
      <c r="ACQ31" s="1" t="s">
        <v>24130</v>
      </c>
      <c r="ACR31" s="1" t="s">
        <v>24131</v>
      </c>
      <c r="ACS31" s="1" t="s">
        <v>24132</v>
      </c>
      <c r="ACT31" s="1" t="s">
        <v>24133</v>
      </c>
      <c r="ACU31" s="1" t="s">
        <v>24134</v>
      </c>
      <c r="ACV31" s="1" t="s">
        <v>24135</v>
      </c>
      <c r="ACW31" s="1" t="s">
        <v>23</v>
      </c>
      <c r="ACX31" s="1" t="s">
        <v>6310</v>
      </c>
    </row>
    <row r="32" spans="1:778" x14ac:dyDescent="0.2">
      <c r="A32" s="1" t="s">
        <v>48</v>
      </c>
      <c r="B32" s="1" t="s">
        <v>24136</v>
      </c>
      <c r="C32" s="1" t="s">
        <v>24137</v>
      </c>
      <c r="D32" s="1" t="s">
        <v>24138</v>
      </c>
      <c r="E32" s="1" t="s">
        <v>24139</v>
      </c>
      <c r="F32" s="1" t="s">
        <v>24140</v>
      </c>
      <c r="G32" s="1" t="s">
        <v>24141</v>
      </c>
      <c r="H32" s="1" t="s">
        <v>24142</v>
      </c>
      <c r="I32" s="1" t="s">
        <v>24143</v>
      </c>
      <c r="J32" s="1" t="s">
        <v>24144</v>
      </c>
      <c r="K32" s="1" t="s">
        <v>24145</v>
      </c>
      <c r="L32" s="1" t="s">
        <v>24146</v>
      </c>
      <c r="M32" s="1" t="s">
        <v>24147</v>
      </c>
      <c r="N32" s="1" t="s">
        <v>24148</v>
      </c>
      <c r="O32" s="1" t="s">
        <v>24149</v>
      </c>
      <c r="P32" s="1" t="s">
        <v>24150</v>
      </c>
      <c r="Q32" s="1" t="s">
        <v>24151</v>
      </c>
      <c r="R32" s="1" t="s">
        <v>24152</v>
      </c>
      <c r="S32" s="1" t="s">
        <v>24153</v>
      </c>
      <c r="T32" s="1" t="s">
        <v>24154</v>
      </c>
      <c r="U32" s="1" t="s">
        <v>24155</v>
      </c>
      <c r="V32" s="1" t="s">
        <v>24156</v>
      </c>
      <c r="W32" s="1" t="s">
        <v>24157</v>
      </c>
      <c r="X32" s="1" t="s">
        <v>24158</v>
      </c>
      <c r="Y32" s="1" t="s">
        <v>24159</v>
      </c>
      <c r="Z32" s="1" t="s">
        <v>24160</v>
      </c>
      <c r="AA32" s="1" t="s">
        <v>24161</v>
      </c>
      <c r="AB32" s="1" t="s">
        <v>24162</v>
      </c>
      <c r="AC32" s="1" t="s">
        <v>24163</v>
      </c>
      <c r="AD32" s="1" t="s">
        <v>24164</v>
      </c>
      <c r="AE32" s="1" t="s">
        <v>24165</v>
      </c>
      <c r="AF32" s="1" t="s">
        <v>24166</v>
      </c>
      <c r="AG32" s="1" t="s">
        <v>24167</v>
      </c>
      <c r="AH32" s="1" t="s">
        <v>24168</v>
      </c>
      <c r="AI32" s="1" t="s">
        <v>24169</v>
      </c>
      <c r="AJ32" s="1" t="s">
        <v>24170</v>
      </c>
      <c r="AK32" s="1" t="s">
        <v>24171</v>
      </c>
      <c r="AL32" s="1" t="s">
        <v>24172</v>
      </c>
      <c r="AM32" s="1" t="s">
        <v>24173</v>
      </c>
      <c r="AN32" s="1" t="s">
        <v>24174</v>
      </c>
      <c r="AO32" s="1" t="s">
        <v>24175</v>
      </c>
      <c r="AP32" s="1" t="s">
        <v>24176</v>
      </c>
      <c r="AQ32" s="1" t="s">
        <v>24177</v>
      </c>
      <c r="AR32" s="1" t="s">
        <v>24178</v>
      </c>
      <c r="AS32" s="1" t="s">
        <v>24179</v>
      </c>
      <c r="AT32" s="1" t="s">
        <v>24180</v>
      </c>
      <c r="AU32" s="1" t="s">
        <v>24181</v>
      </c>
      <c r="AV32" s="1" t="s">
        <v>24182</v>
      </c>
      <c r="AW32" s="1" t="s">
        <v>24183</v>
      </c>
      <c r="AX32" s="1" t="s">
        <v>24184</v>
      </c>
      <c r="AY32" s="1" t="s">
        <v>24185</v>
      </c>
      <c r="AZ32" s="1" t="s">
        <v>24186</v>
      </c>
      <c r="BA32" s="1" t="s">
        <v>24187</v>
      </c>
      <c r="BB32" s="1" t="s">
        <v>24188</v>
      </c>
      <c r="BC32" s="1" t="s">
        <v>24189</v>
      </c>
      <c r="BD32" s="1" t="s">
        <v>24190</v>
      </c>
      <c r="BE32" s="1" t="s">
        <v>24191</v>
      </c>
      <c r="BF32" s="1" t="s">
        <v>24192</v>
      </c>
      <c r="BG32" s="1" t="s">
        <v>24193</v>
      </c>
      <c r="BH32" s="1" t="s">
        <v>24194</v>
      </c>
      <c r="BI32" s="1" t="s">
        <v>24195</v>
      </c>
      <c r="BJ32" s="1" t="s">
        <v>24196</v>
      </c>
      <c r="BK32" s="1" t="s">
        <v>24197</v>
      </c>
      <c r="BL32" s="1" t="s">
        <v>24198</v>
      </c>
      <c r="BM32" s="1" t="s">
        <v>24199</v>
      </c>
      <c r="BN32" s="1" t="s">
        <v>24200</v>
      </c>
      <c r="BO32" s="1" t="s">
        <v>24201</v>
      </c>
      <c r="BP32" s="1" t="s">
        <v>24202</v>
      </c>
      <c r="BQ32" s="1" t="s">
        <v>24203</v>
      </c>
      <c r="BR32" s="1" t="s">
        <v>24204</v>
      </c>
      <c r="BS32" s="1" t="s">
        <v>24205</v>
      </c>
      <c r="BT32" s="1" t="s">
        <v>24206</v>
      </c>
      <c r="BU32" s="1" t="s">
        <v>24207</v>
      </c>
      <c r="BV32" s="1" t="s">
        <v>24208</v>
      </c>
      <c r="BW32" s="1" t="s">
        <v>24209</v>
      </c>
      <c r="BX32" s="1" t="s">
        <v>24210</v>
      </c>
      <c r="BY32" s="1" t="s">
        <v>24211</v>
      </c>
      <c r="BZ32" s="1" t="s">
        <v>24212</v>
      </c>
      <c r="CA32" s="1" t="s">
        <v>24213</v>
      </c>
      <c r="CB32" s="1" t="s">
        <v>24214</v>
      </c>
      <c r="CC32" s="1" t="s">
        <v>24215</v>
      </c>
      <c r="CD32" s="1" t="s">
        <v>24216</v>
      </c>
      <c r="CE32" s="1" t="s">
        <v>24217</v>
      </c>
      <c r="CF32" s="1" t="s">
        <v>24218</v>
      </c>
      <c r="CG32" s="1" t="s">
        <v>24219</v>
      </c>
      <c r="CH32" s="1" t="s">
        <v>24220</v>
      </c>
      <c r="CI32" s="1" t="s">
        <v>24221</v>
      </c>
      <c r="CJ32" s="1" t="s">
        <v>24222</v>
      </c>
      <c r="CK32" s="1" t="s">
        <v>24223</v>
      </c>
      <c r="CL32" s="1" t="s">
        <v>24224</v>
      </c>
      <c r="CM32" s="1" t="s">
        <v>24225</v>
      </c>
      <c r="CN32" s="1" t="s">
        <v>24226</v>
      </c>
      <c r="CO32" s="1" t="s">
        <v>24227</v>
      </c>
      <c r="CP32" s="1" t="s">
        <v>24228</v>
      </c>
      <c r="CQ32" s="1" t="s">
        <v>24229</v>
      </c>
      <c r="CR32" s="1" t="s">
        <v>24230</v>
      </c>
      <c r="CS32" s="1" t="s">
        <v>24231</v>
      </c>
      <c r="CT32" s="1" t="s">
        <v>24232</v>
      </c>
      <c r="CU32" s="1" t="s">
        <v>24233</v>
      </c>
      <c r="CV32" s="1" t="s">
        <v>24234</v>
      </c>
      <c r="CW32" s="1" t="s">
        <v>24235</v>
      </c>
      <c r="CX32" s="1" t="s">
        <v>24236</v>
      </c>
      <c r="CY32" s="1" t="s">
        <v>24237</v>
      </c>
      <c r="CZ32" s="1" t="s">
        <v>24238</v>
      </c>
      <c r="DA32" s="1" t="s">
        <v>24239</v>
      </c>
      <c r="DB32" s="1" t="s">
        <v>24240</v>
      </c>
      <c r="DC32" s="1" t="s">
        <v>24241</v>
      </c>
      <c r="DD32" s="1" t="s">
        <v>24242</v>
      </c>
      <c r="DE32" s="1" t="s">
        <v>24243</v>
      </c>
      <c r="DF32" s="1" t="s">
        <v>24244</v>
      </c>
      <c r="DG32" s="1" t="s">
        <v>24245</v>
      </c>
      <c r="DH32" s="1" t="s">
        <v>24246</v>
      </c>
      <c r="DI32" s="1" t="s">
        <v>24247</v>
      </c>
      <c r="DJ32" s="1" t="s">
        <v>24248</v>
      </c>
      <c r="DK32" s="1" t="s">
        <v>24249</v>
      </c>
      <c r="DL32" s="1" t="s">
        <v>24250</v>
      </c>
      <c r="DM32" s="1" t="s">
        <v>24251</v>
      </c>
      <c r="DN32" s="1" t="s">
        <v>24252</v>
      </c>
      <c r="DO32" s="1" t="s">
        <v>24253</v>
      </c>
      <c r="DP32" s="1" t="s">
        <v>24254</v>
      </c>
      <c r="DQ32" s="1" t="s">
        <v>24255</v>
      </c>
      <c r="DR32" s="1" t="s">
        <v>24256</v>
      </c>
      <c r="DS32" s="1" t="s">
        <v>24257</v>
      </c>
      <c r="DT32" s="1" t="s">
        <v>24258</v>
      </c>
      <c r="DU32" s="1" t="s">
        <v>24259</v>
      </c>
      <c r="DV32" s="1" t="s">
        <v>24260</v>
      </c>
      <c r="DW32" s="1" t="s">
        <v>24261</v>
      </c>
      <c r="DX32" s="1" t="s">
        <v>24262</v>
      </c>
      <c r="DY32" s="1" t="s">
        <v>24263</v>
      </c>
      <c r="DZ32" s="1" t="s">
        <v>24264</v>
      </c>
      <c r="EA32" s="1" t="s">
        <v>24265</v>
      </c>
      <c r="EB32" s="1" t="s">
        <v>24266</v>
      </c>
      <c r="EC32" s="1" t="s">
        <v>24267</v>
      </c>
      <c r="ED32" s="1" t="s">
        <v>24268</v>
      </c>
      <c r="EE32" s="1" t="s">
        <v>24269</v>
      </c>
      <c r="EF32" s="1" t="s">
        <v>24270</v>
      </c>
      <c r="EG32" s="1" t="s">
        <v>24271</v>
      </c>
      <c r="EH32" s="1" t="s">
        <v>24272</v>
      </c>
      <c r="EI32" s="1" t="s">
        <v>24273</v>
      </c>
      <c r="EJ32" s="1" t="s">
        <v>24274</v>
      </c>
      <c r="EK32" s="1" t="s">
        <v>24275</v>
      </c>
      <c r="EL32" s="1" t="s">
        <v>24276</v>
      </c>
      <c r="EM32" s="1" t="s">
        <v>24277</v>
      </c>
      <c r="EN32" s="1" t="s">
        <v>24278</v>
      </c>
      <c r="EO32" s="1" t="s">
        <v>24279</v>
      </c>
      <c r="EP32" s="1" t="s">
        <v>24280</v>
      </c>
      <c r="EQ32" s="1" t="s">
        <v>24281</v>
      </c>
      <c r="ER32" s="1" t="s">
        <v>24282</v>
      </c>
      <c r="ES32" s="1" t="s">
        <v>24283</v>
      </c>
      <c r="ET32" s="1" t="s">
        <v>24284</v>
      </c>
      <c r="EU32" s="1" t="s">
        <v>24285</v>
      </c>
      <c r="EV32" s="1" t="s">
        <v>24286</v>
      </c>
      <c r="EW32" s="1" t="s">
        <v>24287</v>
      </c>
      <c r="EX32" s="1" t="s">
        <v>24288</v>
      </c>
      <c r="EY32" s="1" t="s">
        <v>24289</v>
      </c>
      <c r="EZ32" s="1" t="s">
        <v>24290</v>
      </c>
      <c r="FA32" s="1" t="s">
        <v>24291</v>
      </c>
      <c r="FB32" s="1" t="s">
        <v>24292</v>
      </c>
      <c r="FC32" s="1" t="s">
        <v>24293</v>
      </c>
      <c r="FD32" s="1" t="s">
        <v>24294</v>
      </c>
      <c r="FE32" s="1" t="s">
        <v>24295</v>
      </c>
      <c r="FF32" s="1" t="s">
        <v>24296</v>
      </c>
      <c r="FG32" s="1" t="s">
        <v>24297</v>
      </c>
      <c r="FH32" s="1" t="s">
        <v>24298</v>
      </c>
      <c r="FI32" s="1" t="s">
        <v>24299</v>
      </c>
      <c r="FJ32" s="1" t="s">
        <v>24300</v>
      </c>
      <c r="FK32" s="1" t="s">
        <v>24301</v>
      </c>
      <c r="FL32" s="1" t="s">
        <v>24302</v>
      </c>
      <c r="FM32" s="1" t="s">
        <v>24303</v>
      </c>
      <c r="FN32" s="1" t="s">
        <v>24304</v>
      </c>
      <c r="FO32" s="1" t="s">
        <v>24305</v>
      </c>
      <c r="FP32" s="1" t="s">
        <v>24306</v>
      </c>
      <c r="FQ32" s="1" t="s">
        <v>24307</v>
      </c>
      <c r="FR32" s="1" t="s">
        <v>24308</v>
      </c>
      <c r="FS32" s="1" t="s">
        <v>24309</v>
      </c>
      <c r="FT32" s="1" t="s">
        <v>24310</v>
      </c>
      <c r="FU32" s="1" t="s">
        <v>24311</v>
      </c>
      <c r="FV32" s="1" t="s">
        <v>24312</v>
      </c>
      <c r="FW32" s="1" t="s">
        <v>24313</v>
      </c>
      <c r="FX32" s="1" t="s">
        <v>24314</v>
      </c>
      <c r="FY32" s="1" t="s">
        <v>24315</v>
      </c>
      <c r="FZ32" s="1" t="s">
        <v>24316</v>
      </c>
      <c r="GA32" s="1" t="s">
        <v>24317</v>
      </c>
      <c r="GB32" s="1" t="s">
        <v>24318</v>
      </c>
      <c r="GC32" s="1" t="s">
        <v>24319</v>
      </c>
      <c r="GD32" s="1" t="s">
        <v>24320</v>
      </c>
      <c r="GE32" s="1" t="s">
        <v>24321</v>
      </c>
      <c r="GF32" s="1" t="s">
        <v>24322</v>
      </c>
      <c r="GG32" s="1" t="s">
        <v>24323</v>
      </c>
      <c r="GH32" s="1" t="s">
        <v>24324</v>
      </c>
      <c r="GI32" s="1" t="s">
        <v>24325</v>
      </c>
      <c r="GJ32" s="1" t="s">
        <v>24326</v>
      </c>
      <c r="GK32" s="1" t="s">
        <v>24327</v>
      </c>
      <c r="GL32" s="1" t="s">
        <v>24328</v>
      </c>
      <c r="GM32" s="1" t="s">
        <v>24329</v>
      </c>
      <c r="GN32" s="1" t="s">
        <v>24330</v>
      </c>
      <c r="GO32" s="1" t="s">
        <v>24331</v>
      </c>
      <c r="GP32" s="1" t="s">
        <v>24332</v>
      </c>
      <c r="GQ32" s="1" t="s">
        <v>24333</v>
      </c>
      <c r="GR32" s="1" t="s">
        <v>24334</v>
      </c>
      <c r="GS32" s="1" t="s">
        <v>24335</v>
      </c>
      <c r="GT32" s="1" t="s">
        <v>24336</v>
      </c>
      <c r="GU32" s="1" t="s">
        <v>24337</v>
      </c>
      <c r="GV32" s="1" t="s">
        <v>24338</v>
      </c>
      <c r="GW32" s="1" t="s">
        <v>24339</v>
      </c>
      <c r="GX32" s="1" t="s">
        <v>24340</v>
      </c>
      <c r="GY32" s="1" t="s">
        <v>24341</v>
      </c>
      <c r="GZ32" s="1" t="s">
        <v>24342</v>
      </c>
      <c r="HA32" s="1" t="s">
        <v>24343</v>
      </c>
      <c r="HB32" s="1" t="s">
        <v>24344</v>
      </c>
      <c r="HC32" s="1" t="s">
        <v>24345</v>
      </c>
      <c r="HD32" s="1" t="s">
        <v>24346</v>
      </c>
      <c r="HE32" s="1" t="s">
        <v>24347</v>
      </c>
      <c r="HF32" s="1" t="s">
        <v>24348</v>
      </c>
      <c r="HG32" s="1" t="s">
        <v>24349</v>
      </c>
      <c r="HH32" s="1" t="s">
        <v>24350</v>
      </c>
      <c r="HI32" s="1" t="s">
        <v>24351</v>
      </c>
      <c r="HJ32" s="1" t="s">
        <v>24352</v>
      </c>
      <c r="HK32" s="1" t="s">
        <v>24353</v>
      </c>
      <c r="HL32" s="1" t="s">
        <v>24354</v>
      </c>
      <c r="HM32" s="1" t="s">
        <v>24355</v>
      </c>
      <c r="HN32" s="1" t="s">
        <v>24356</v>
      </c>
      <c r="HO32" s="1" t="s">
        <v>24357</v>
      </c>
      <c r="HP32" s="1" t="s">
        <v>24358</v>
      </c>
      <c r="HQ32" s="1" t="s">
        <v>24359</v>
      </c>
      <c r="HR32" s="1" t="s">
        <v>24360</v>
      </c>
      <c r="HS32" s="1" t="s">
        <v>24361</v>
      </c>
      <c r="HT32" s="1" t="s">
        <v>24362</v>
      </c>
      <c r="HU32" s="1" t="s">
        <v>24363</v>
      </c>
      <c r="HV32" s="1" t="s">
        <v>24364</v>
      </c>
      <c r="HW32" s="1" t="s">
        <v>24365</v>
      </c>
      <c r="HX32" s="1" t="s">
        <v>24366</v>
      </c>
      <c r="HY32" s="1" t="s">
        <v>24367</v>
      </c>
      <c r="HZ32" s="1" t="s">
        <v>24368</v>
      </c>
      <c r="IA32" s="1" t="s">
        <v>24369</v>
      </c>
      <c r="IB32" s="1" t="s">
        <v>24370</v>
      </c>
      <c r="IC32" s="1" t="s">
        <v>24371</v>
      </c>
      <c r="ID32" s="1" t="s">
        <v>24372</v>
      </c>
      <c r="IE32" s="1" t="s">
        <v>24373</v>
      </c>
      <c r="IF32" s="1" t="s">
        <v>24374</v>
      </c>
      <c r="IG32" s="1" t="s">
        <v>24375</v>
      </c>
      <c r="IH32" s="1" t="s">
        <v>24376</v>
      </c>
      <c r="II32" s="1" t="s">
        <v>24377</v>
      </c>
      <c r="IJ32" s="1" t="s">
        <v>24378</v>
      </c>
      <c r="IK32" s="1" t="s">
        <v>24379</v>
      </c>
      <c r="IL32" s="1" t="s">
        <v>24380</v>
      </c>
      <c r="IM32" s="1" t="s">
        <v>24381</v>
      </c>
      <c r="IN32" s="1" t="s">
        <v>24382</v>
      </c>
      <c r="IO32" s="1" t="s">
        <v>24383</v>
      </c>
      <c r="IP32" s="1" t="s">
        <v>24384</v>
      </c>
      <c r="IQ32" s="1" t="s">
        <v>24385</v>
      </c>
      <c r="IR32" s="1" t="s">
        <v>24386</v>
      </c>
      <c r="IS32" s="1" t="s">
        <v>24387</v>
      </c>
      <c r="IT32" s="1" t="s">
        <v>24388</v>
      </c>
      <c r="IU32" s="1" t="s">
        <v>24389</v>
      </c>
      <c r="IV32" s="1" t="s">
        <v>24390</v>
      </c>
      <c r="IW32" s="1" t="s">
        <v>24391</v>
      </c>
      <c r="IX32" s="1" t="s">
        <v>24392</v>
      </c>
      <c r="IY32" s="1" t="s">
        <v>24393</v>
      </c>
      <c r="IZ32" s="1" t="s">
        <v>24394</v>
      </c>
      <c r="JA32" s="1" t="s">
        <v>24395</v>
      </c>
      <c r="JB32" s="1" t="s">
        <v>24396</v>
      </c>
      <c r="JC32" s="1" t="s">
        <v>24397</v>
      </c>
      <c r="JD32" s="1" t="s">
        <v>24398</v>
      </c>
      <c r="JE32" s="1" t="s">
        <v>24399</v>
      </c>
      <c r="JF32" s="1" t="s">
        <v>24400</v>
      </c>
      <c r="JG32" s="1" t="s">
        <v>24401</v>
      </c>
      <c r="JH32" s="1" t="s">
        <v>24402</v>
      </c>
      <c r="JI32" s="1" t="s">
        <v>24403</v>
      </c>
      <c r="JJ32" s="1" t="s">
        <v>24404</v>
      </c>
      <c r="JK32" s="1" t="s">
        <v>24405</v>
      </c>
      <c r="JL32" s="1" t="s">
        <v>24406</v>
      </c>
      <c r="JM32" s="1" t="s">
        <v>24407</v>
      </c>
      <c r="JN32" s="1" t="s">
        <v>24408</v>
      </c>
      <c r="JO32" s="1" t="s">
        <v>24409</v>
      </c>
      <c r="JP32" s="1" t="s">
        <v>24410</v>
      </c>
      <c r="JQ32" s="1" t="s">
        <v>24411</v>
      </c>
      <c r="JR32" s="1" t="s">
        <v>24412</v>
      </c>
      <c r="JS32" s="1" t="s">
        <v>24413</v>
      </c>
      <c r="JT32" s="1" t="s">
        <v>24414</v>
      </c>
      <c r="JU32" s="1" t="s">
        <v>24415</v>
      </c>
      <c r="JV32" s="1" t="s">
        <v>24416</v>
      </c>
      <c r="JW32" s="1" t="s">
        <v>24417</v>
      </c>
      <c r="JX32" s="1" t="s">
        <v>24418</v>
      </c>
      <c r="JY32" s="1" t="s">
        <v>24419</v>
      </c>
      <c r="JZ32" s="1" t="s">
        <v>24420</v>
      </c>
      <c r="KA32" s="1" t="s">
        <v>24421</v>
      </c>
      <c r="KB32" s="1" t="s">
        <v>24422</v>
      </c>
      <c r="KC32" s="1" t="s">
        <v>24423</v>
      </c>
      <c r="KD32" s="1" t="s">
        <v>24424</v>
      </c>
      <c r="KE32" s="1" t="s">
        <v>24425</v>
      </c>
      <c r="KF32" s="1" t="s">
        <v>24426</v>
      </c>
      <c r="KG32" s="1" t="s">
        <v>24427</v>
      </c>
      <c r="KH32" s="1" t="s">
        <v>24428</v>
      </c>
      <c r="KI32" s="1" t="s">
        <v>24429</v>
      </c>
      <c r="KJ32" s="1" t="s">
        <v>24430</v>
      </c>
      <c r="KK32" s="1" t="s">
        <v>24431</v>
      </c>
      <c r="KL32" s="1" t="s">
        <v>24432</v>
      </c>
      <c r="KM32" s="1" t="s">
        <v>24433</v>
      </c>
      <c r="KN32" s="1" t="s">
        <v>24434</v>
      </c>
      <c r="KO32" s="1" t="s">
        <v>24435</v>
      </c>
      <c r="KP32" s="1" t="s">
        <v>24436</v>
      </c>
      <c r="KQ32" s="1" t="s">
        <v>24437</v>
      </c>
      <c r="KR32" s="1" t="s">
        <v>24438</v>
      </c>
      <c r="KS32" s="1" t="s">
        <v>24439</v>
      </c>
      <c r="KT32" s="1" t="s">
        <v>24440</v>
      </c>
      <c r="KU32" s="1" t="s">
        <v>24441</v>
      </c>
      <c r="KV32" s="1" t="s">
        <v>24442</v>
      </c>
      <c r="KW32" s="1" t="s">
        <v>24443</v>
      </c>
      <c r="KX32" s="1" t="s">
        <v>24444</v>
      </c>
      <c r="KY32" s="1" t="s">
        <v>24445</v>
      </c>
      <c r="KZ32" s="1" t="s">
        <v>24446</v>
      </c>
      <c r="LA32" s="1" t="s">
        <v>24447</v>
      </c>
      <c r="LB32" s="1" t="s">
        <v>24448</v>
      </c>
      <c r="LC32" s="1" t="s">
        <v>24449</v>
      </c>
      <c r="LD32" s="1" t="s">
        <v>24450</v>
      </c>
      <c r="LE32" s="1" t="s">
        <v>24451</v>
      </c>
      <c r="LF32" s="1" t="s">
        <v>24452</v>
      </c>
      <c r="LG32" s="1" t="s">
        <v>24453</v>
      </c>
      <c r="LH32" s="1" t="s">
        <v>24454</v>
      </c>
      <c r="LI32" s="1" t="s">
        <v>24455</v>
      </c>
      <c r="LJ32" s="1" t="s">
        <v>24456</v>
      </c>
      <c r="LK32" s="1" t="s">
        <v>24457</v>
      </c>
      <c r="LL32" s="1" t="s">
        <v>24458</v>
      </c>
      <c r="LM32" s="1" t="s">
        <v>24459</v>
      </c>
      <c r="LN32" s="1" t="s">
        <v>24460</v>
      </c>
      <c r="LO32" s="1" t="s">
        <v>24461</v>
      </c>
      <c r="LP32" s="1" t="s">
        <v>24462</v>
      </c>
      <c r="LQ32" s="1" t="s">
        <v>24463</v>
      </c>
      <c r="LR32" s="1" t="s">
        <v>24464</v>
      </c>
      <c r="LS32" s="1" t="s">
        <v>24465</v>
      </c>
      <c r="LT32" s="1" t="s">
        <v>24466</v>
      </c>
      <c r="LU32" s="1" t="s">
        <v>24467</v>
      </c>
      <c r="LV32" s="1" t="s">
        <v>24468</v>
      </c>
      <c r="LW32" s="1" t="s">
        <v>24469</v>
      </c>
      <c r="LX32" s="1" t="s">
        <v>24470</v>
      </c>
      <c r="LY32" s="1" t="s">
        <v>24471</v>
      </c>
      <c r="LZ32" s="1" t="s">
        <v>24472</v>
      </c>
      <c r="MA32" s="1" t="s">
        <v>24473</v>
      </c>
      <c r="MB32" s="1" t="s">
        <v>24474</v>
      </c>
      <c r="MC32" s="1" t="s">
        <v>24475</v>
      </c>
      <c r="MD32" s="1" t="s">
        <v>24476</v>
      </c>
      <c r="ME32" s="1" t="s">
        <v>24477</v>
      </c>
      <c r="MF32" s="1" t="s">
        <v>24478</v>
      </c>
      <c r="MG32" s="1" t="s">
        <v>24479</v>
      </c>
      <c r="MH32" s="1" t="s">
        <v>24480</v>
      </c>
      <c r="MI32" s="1" t="s">
        <v>24481</v>
      </c>
      <c r="MJ32" s="1" t="s">
        <v>24482</v>
      </c>
      <c r="MK32" s="1" t="s">
        <v>24483</v>
      </c>
      <c r="ML32" s="1" t="s">
        <v>24484</v>
      </c>
      <c r="MM32" s="1" t="s">
        <v>24485</v>
      </c>
      <c r="MN32" s="1" t="s">
        <v>24486</v>
      </c>
      <c r="MO32" s="1" t="s">
        <v>24487</v>
      </c>
      <c r="MP32" s="1" t="s">
        <v>24488</v>
      </c>
      <c r="MQ32" s="1" t="s">
        <v>24489</v>
      </c>
      <c r="MR32" s="1" t="s">
        <v>24490</v>
      </c>
      <c r="MS32" s="1" t="s">
        <v>24491</v>
      </c>
      <c r="MT32" s="1" t="s">
        <v>24492</v>
      </c>
      <c r="MU32" s="1" t="s">
        <v>24493</v>
      </c>
      <c r="MV32" s="1" t="s">
        <v>24494</v>
      </c>
      <c r="MW32" s="1" t="s">
        <v>24495</v>
      </c>
      <c r="MX32" s="1" t="s">
        <v>24496</v>
      </c>
      <c r="MY32" s="1" t="s">
        <v>24497</v>
      </c>
      <c r="MZ32" s="1" t="s">
        <v>24498</v>
      </c>
      <c r="NA32" s="1" t="s">
        <v>24499</v>
      </c>
      <c r="NB32" s="1" t="s">
        <v>24500</v>
      </c>
      <c r="NC32" s="1" t="s">
        <v>24501</v>
      </c>
      <c r="ND32" s="1" t="s">
        <v>24502</v>
      </c>
      <c r="NE32" s="1" t="s">
        <v>24503</v>
      </c>
      <c r="NF32" s="1" t="s">
        <v>24504</v>
      </c>
      <c r="NG32" s="1" t="s">
        <v>24505</v>
      </c>
      <c r="NH32" s="1" t="s">
        <v>24506</v>
      </c>
      <c r="NI32" s="1" t="s">
        <v>24507</v>
      </c>
      <c r="NJ32" s="1" t="s">
        <v>24508</v>
      </c>
      <c r="NK32" s="1" t="s">
        <v>24509</v>
      </c>
      <c r="NL32" s="1" t="s">
        <v>24510</v>
      </c>
      <c r="NM32" s="1" t="s">
        <v>24511</v>
      </c>
      <c r="NN32" s="1" t="s">
        <v>24512</v>
      </c>
      <c r="NO32" s="1" t="s">
        <v>24513</v>
      </c>
      <c r="NP32" s="1" t="s">
        <v>24514</v>
      </c>
      <c r="NQ32" s="1" t="s">
        <v>24515</v>
      </c>
      <c r="NR32" s="1" t="s">
        <v>24516</v>
      </c>
      <c r="NS32" s="1" t="s">
        <v>24517</v>
      </c>
      <c r="NT32" s="1" t="s">
        <v>24518</v>
      </c>
      <c r="NU32" s="1" t="s">
        <v>24519</v>
      </c>
      <c r="NV32" s="1" t="s">
        <v>24520</v>
      </c>
      <c r="NW32" s="1" t="s">
        <v>24521</v>
      </c>
      <c r="NX32" s="1" t="s">
        <v>24522</v>
      </c>
      <c r="NY32" s="1" t="s">
        <v>24523</v>
      </c>
      <c r="NZ32" s="1" t="s">
        <v>24524</v>
      </c>
      <c r="OA32" s="1" t="s">
        <v>24525</v>
      </c>
      <c r="OB32" s="1" t="s">
        <v>24526</v>
      </c>
      <c r="OC32" s="1" t="s">
        <v>24527</v>
      </c>
      <c r="OD32" s="1" t="s">
        <v>24528</v>
      </c>
      <c r="OE32" s="1" t="s">
        <v>24529</v>
      </c>
      <c r="OF32" s="1" t="s">
        <v>24530</v>
      </c>
      <c r="OG32" s="1" t="s">
        <v>24531</v>
      </c>
      <c r="OH32" s="1" t="s">
        <v>24532</v>
      </c>
      <c r="OI32" s="1" t="s">
        <v>24533</v>
      </c>
      <c r="OJ32" s="1" t="s">
        <v>24534</v>
      </c>
      <c r="OK32" s="1" t="s">
        <v>24535</v>
      </c>
      <c r="OL32" s="1" t="s">
        <v>24536</v>
      </c>
      <c r="OM32" s="1" t="s">
        <v>24537</v>
      </c>
      <c r="ON32" s="1" t="s">
        <v>24538</v>
      </c>
      <c r="OO32" s="1" t="s">
        <v>24539</v>
      </c>
      <c r="OP32" s="1" t="s">
        <v>24540</v>
      </c>
      <c r="OQ32" s="1" t="s">
        <v>24541</v>
      </c>
      <c r="OR32" s="1" t="s">
        <v>24542</v>
      </c>
      <c r="OS32" s="1" t="s">
        <v>24543</v>
      </c>
      <c r="OT32" s="1" t="s">
        <v>24544</v>
      </c>
      <c r="OU32" s="1" t="s">
        <v>24545</v>
      </c>
      <c r="OV32" s="1" t="s">
        <v>24546</v>
      </c>
      <c r="OW32" s="1" t="s">
        <v>24547</v>
      </c>
      <c r="OX32" s="1" t="s">
        <v>24548</v>
      </c>
      <c r="OY32" s="1" t="s">
        <v>24549</v>
      </c>
      <c r="OZ32" s="1" t="s">
        <v>24550</v>
      </c>
      <c r="PA32" s="1" t="s">
        <v>24551</v>
      </c>
      <c r="PB32" s="1" t="s">
        <v>24552</v>
      </c>
      <c r="PC32" s="1" t="s">
        <v>24553</v>
      </c>
      <c r="PD32" s="1" t="s">
        <v>24554</v>
      </c>
      <c r="PE32" s="1" t="s">
        <v>24555</v>
      </c>
      <c r="PF32" s="1" t="s">
        <v>24556</v>
      </c>
      <c r="PG32" s="1" t="s">
        <v>24557</v>
      </c>
      <c r="PH32" s="1" t="s">
        <v>24558</v>
      </c>
      <c r="PI32" s="1" t="s">
        <v>24559</v>
      </c>
      <c r="PJ32" s="1" t="s">
        <v>24560</v>
      </c>
      <c r="PK32" s="1" t="s">
        <v>24561</v>
      </c>
      <c r="PL32" s="1" t="s">
        <v>24562</v>
      </c>
      <c r="PM32" s="1" t="s">
        <v>24563</v>
      </c>
      <c r="PN32" s="1" t="s">
        <v>24564</v>
      </c>
      <c r="PO32" s="1" t="s">
        <v>24565</v>
      </c>
      <c r="PP32" s="1" t="s">
        <v>24566</v>
      </c>
      <c r="PQ32" s="1" t="s">
        <v>24567</v>
      </c>
      <c r="PR32" s="1" t="s">
        <v>24568</v>
      </c>
      <c r="PS32" s="1" t="s">
        <v>24569</v>
      </c>
      <c r="PT32" s="1" t="s">
        <v>24570</v>
      </c>
      <c r="PU32" s="1" t="s">
        <v>24571</v>
      </c>
      <c r="PV32" s="1" t="s">
        <v>24572</v>
      </c>
      <c r="PW32" s="1" t="s">
        <v>24573</v>
      </c>
      <c r="PX32" s="1" t="s">
        <v>24574</v>
      </c>
      <c r="PY32" s="1" t="s">
        <v>24575</v>
      </c>
      <c r="PZ32" s="1" t="s">
        <v>24576</v>
      </c>
      <c r="QA32" s="1" t="s">
        <v>24577</v>
      </c>
      <c r="QB32" s="1" t="s">
        <v>24578</v>
      </c>
      <c r="QC32" s="1" t="s">
        <v>24579</v>
      </c>
      <c r="QD32" s="1" t="s">
        <v>24580</v>
      </c>
      <c r="QE32" s="1" t="s">
        <v>24581</v>
      </c>
      <c r="QF32" s="1" t="s">
        <v>24582</v>
      </c>
      <c r="QG32" s="1" t="s">
        <v>24583</v>
      </c>
      <c r="QH32" s="1" t="s">
        <v>24584</v>
      </c>
      <c r="QI32" s="1" t="s">
        <v>24585</v>
      </c>
      <c r="QJ32" s="1" t="s">
        <v>24586</v>
      </c>
      <c r="QK32" s="1" t="s">
        <v>24587</v>
      </c>
      <c r="QL32" s="1" t="s">
        <v>24588</v>
      </c>
      <c r="QM32" s="1" t="s">
        <v>24589</v>
      </c>
      <c r="QN32" s="1" t="s">
        <v>24590</v>
      </c>
      <c r="QO32" s="1" t="s">
        <v>24591</v>
      </c>
      <c r="QP32" s="1" t="s">
        <v>24592</v>
      </c>
      <c r="QQ32" s="1" t="s">
        <v>24593</v>
      </c>
      <c r="QR32" s="1" t="s">
        <v>24594</v>
      </c>
      <c r="QS32" s="1" t="s">
        <v>24595</v>
      </c>
      <c r="QT32" s="1" t="s">
        <v>24596</v>
      </c>
      <c r="QU32" s="1" t="s">
        <v>24597</v>
      </c>
      <c r="QV32" s="1" t="s">
        <v>24598</v>
      </c>
      <c r="QW32" s="1" t="s">
        <v>24599</v>
      </c>
      <c r="QX32" s="1" t="s">
        <v>24600</v>
      </c>
      <c r="QY32" s="1" t="s">
        <v>24601</v>
      </c>
      <c r="QZ32" s="1" t="s">
        <v>24602</v>
      </c>
      <c r="RA32" s="1" t="s">
        <v>24603</v>
      </c>
      <c r="RB32" s="1" t="s">
        <v>24604</v>
      </c>
      <c r="RC32" s="1" t="s">
        <v>24605</v>
      </c>
      <c r="RD32" s="1" t="s">
        <v>24606</v>
      </c>
      <c r="RE32" s="1" t="s">
        <v>24607</v>
      </c>
      <c r="RF32" s="1" t="s">
        <v>24608</v>
      </c>
      <c r="RG32" s="1" t="s">
        <v>24609</v>
      </c>
      <c r="RH32" s="1" t="s">
        <v>24610</v>
      </c>
      <c r="RI32" s="1" t="s">
        <v>24611</v>
      </c>
      <c r="RJ32" s="1" t="s">
        <v>24612</v>
      </c>
      <c r="RK32" s="1" t="s">
        <v>24613</v>
      </c>
      <c r="RL32" s="1" t="s">
        <v>24614</v>
      </c>
      <c r="RM32" s="1" t="s">
        <v>24615</v>
      </c>
      <c r="RN32" s="1" t="s">
        <v>24616</v>
      </c>
      <c r="RO32" s="1" t="s">
        <v>24617</v>
      </c>
      <c r="RP32" s="1" t="s">
        <v>24618</v>
      </c>
      <c r="RQ32" s="1" t="s">
        <v>24619</v>
      </c>
      <c r="RR32" s="1" t="s">
        <v>24620</v>
      </c>
      <c r="RS32" s="1" t="s">
        <v>24621</v>
      </c>
      <c r="RT32" s="1" t="s">
        <v>24622</v>
      </c>
      <c r="RU32" s="1" t="s">
        <v>24623</v>
      </c>
      <c r="RV32" s="1" t="s">
        <v>24624</v>
      </c>
      <c r="RW32" s="1" t="s">
        <v>24625</v>
      </c>
      <c r="RX32" s="1" t="s">
        <v>24626</v>
      </c>
      <c r="RY32" s="1" t="s">
        <v>24627</v>
      </c>
      <c r="RZ32" s="1" t="s">
        <v>24628</v>
      </c>
      <c r="SA32" s="1" t="s">
        <v>24629</v>
      </c>
      <c r="SB32" s="1" t="s">
        <v>24630</v>
      </c>
      <c r="SC32" s="1" t="s">
        <v>24631</v>
      </c>
      <c r="SD32" s="1" t="s">
        <v>24632</v>
      </c>
      <c r="SE32" s="1" t="s">
        <v>24633</v>
      </c>
      <c r="SF32" s="1" t="s">
        <v>24634</v>
      </c>
      <c r="SG32" s="1" t="s">
        <v>24635</v>
      </c>
      <c r="SH32" s="1" t="s">
        <v>24636</v>
      </c>
      <c r="SI32" s="1" t="s">
        <v>24637</v>
      </c>
      <c r="SJ32" s="1" t="s">
        <v>24638</v>
      </c>
      <c r="SK32" s="1" t="s">
        <v>24639</v>
      </c>
      <c r="SL32" s="1" t="s">
        <v>24640</v>
      </c>
      <c r="SM32" s="1" t="s">
        <v>24641</v>
      </c>
      <c r="SN32" s="1" t="s">
        <v>24642</v>
      </c>
      <c r="SO32" s="1" t="s">
        <v>24643</v>
      </c>
      <c r="SP32" s="1" t="s">
        <v>24644</v>
      </c>
      <c r="SQ32" s="1" t="s">
        <v>24645</v>
      </c>
      <c r="SR32" s="1" t="s">
        <v>24646</v>
      </c>
      <c r="SS32" s="1" t="s">
        <v>24647</v>
      </c>
      <c r="ST32" s="1" t="s">
        <v>24648</v>
      </c>
      <c r="SU32" s="1" t="s">
        <v>24649</v>
      </c>
      <c r="SV32" s="1" t="s">
        <v>24650</v>
      </c>
      <c r="SW32" s="1" t="s">
        <v>24651</v>
      </c>
      <c r="SX32" s="1" t="s">
        <v>24652</v>
      </c>
      <c r="SY32" s="1" t="s">
        <v>24653</v>
      </c>
      <c r="SZ32" s="1" t="s">
        <v>24654</v>
      </c>
      <c r="TA32" s="1" t="s">
        <v>24655</v>
      </c>
      <c r="TB32" s="1" t="s">
        <v>24656</v>
      </c>
      <c r="TC32" s="1" t="s">
        <v>24657</v>
      </c>
      <c r="TD32" s="1" t="s">
        <v>24658</v>
      </c>
      <c r="TE32" s="1" t="s">
        <v>24659</v>
      </c>
      <c r="TF32" s="1" t="s">
        <v>24660</v>
      </c>
      <c r="TG32" s="1" t="s">
        <v>24661</v>
      </c>
      <c r="TH32" s="1" t="s">
        <v>24662</v>
      </c>
      <c r="TI32" s="1" t="s">
        <v>24663</v>
      </c>
      <c r="TJ32" s="1" t="s">
        <v>24664</v>
      </c>
      <c r="TK32" s="1" t="s">
        <v>24665</v>
      </c>
      <c r="TL32" s="1" t="s">
        <v>24666</v>
      </c>
      <c r="TM32" s="1" t="s">
        <v>24667</v>
      </c>
      <c r="TN32" s="1" t="s">
        <v>24668</v>
      </c>
      <c r="TO32" s="1" t="s">
        <v>24669</v>
      </c>
      <c r="TP32" s="1" t="s">
        <v>24670</v>
      </c>
      <c r="TQ32" s="1" t="s">
        <v>24671</v>
      </c>
      <c r="TR32" s="1" t="s">
        <v>24672</v>
      </c>
      <c r="TS32" s="1" t="s">
        <v>24673</v>
      </c>
      <c r="TT32" s="1" t="s">
        <v>24674</v>
      </c>
      <c r="TU32" s="1" t="s">
        <v>24675</v>
      </c>
      <c r="TV32" s="1" t="s">
        <v>24676</v>
      </c>
      <c r="TW32" s="1" t="s">
        <v>24677</v>
      </c>
      <c r="TX32" s="1" t="s">
        <v>24678</v>
      </c>
      <c r="TY32" s="1" t="s">
        <v>24679</v>
      </c>
      <c r="TZ32" s="1" t="s">
        <v>24680</v>
      </c>
      <c r="UA32" s="1" t="s">
        <v>24681</v>
      </c>
      <c r="UB32" s="1" t="s">
        <v>24682</v>
      </c>
      <c r="UC32" s="1" t="s">
        <v>24683</v>
      </c>
      <c r="UD32" s="1" t="s">
        <v>24684</v>
      </c>
      <c r="UE32" s="1" t="s">
        <v>24685</v>
      </c>
      <c r="UF32" s="1" t="s">
        <v>24686</v>
      </c>
      <c r="UG32" s="1" t="s">
        <v>24687</v>
      </c>
      <c r="UH32" s="1" t="s">
        <v>24688</v>
      </c>
      <c r="UI32" s="1" t="s">
        <v>24689</v>
      </c>
      <c r="UJ32" s="1" t="s">
        <v>24690</v>
      </c>
      <c r="UK32" s="1" t="s">
        <v>24691</v>
      </c>
      <c r="UL32" s="1" t="s">
        <v>24692</v>
      </c>
      <c r="UM32" s="1" t="s">
        <v>24693</v>
      </c>
      <c r="UN32" s="1" t="s">
        <v>24694</v>
      </c>
      <c r="UO32" s="1" t="s">
        <v>24695</v>
      </c>
      <c r="UP32" s="1" t="s">
        <v>24696</v>
      </c>
      <c r="UQ32" s="1" t="s">
        <v>24697</v>
      </c>
      <c r="UR32" s="1" t="s">
        <v>24698</v>
      </c>
      <c r="US32" s="1" t="s">
        <v>24699</v>
      </c>
      <c r="UT32" s="1" t="s">
        <v>24700</v>
      </c>
      <c r="UU32" s="1" t="s">
        <v>24701</v>
      </c>
      <c r="UV32" s="1" t="s">
        <v>24702</v>
      </c>
      <c r="UW32" s="1" t="s">
        <v>24703</v>
      </c>
      <c r="UX32" s="1" t="s">
        <v>24704</v>
      </c>
      <c r="UY32" s="1" t="s">
        <v>24705</v>
      </c>
      <c r="UZ32" s="1" t="s">
        <v>24706</v>
      </c>
      <c r="VA32" s="1" t="s">
        <v>24707</v>
      </c>
      <c r="VB32" s="1" t="s">
        <v>24708</v>
      </c>
      <c r="VC32" s="1" t="s">
        <v>24709</v>
      </c>
      <c r="VD32" s="1" t="s">
        <v>24710</v>
      </c>
      <c r="VE32" s="1" t="s">
        <v>24711</v>
      </c>
      <c r="VF32" s="1" t="s">
        <v>24712</v>
      </c>
      <c r="VG32" s="1" t="s">
        <v>24713</v>
      </c>
      <c r="VH32" s="1" t="s">
        <v>24714</v>
      </c>
      <c r="VI32" s="1" t="s">
        <v>24715</v>
      </c>
      <c r="VJ32" s="1" t="s">
        <v>24716</v>
      </c>
      <c r="VK32" s="1" t="s">
        <v>24717</v>
      </c>
      <c r="VL32" s="1" t="s">
        <v>24718</v>
      </c>
      <c r="VM32" s="1" t="s">
        <v>24719</v>
      </c>
      <c r="VN32" s="1" t="s">
        <v>24720</v>
      </c>
      <c r="VO32" s="1" t="s">
        <v>24721</v>
      </c>
      <c r="VP32" s="1" t="s">
        <v>24722</v>
      </c>
      <c r="VQ32" s="1" t="s">
        <v>24723</v>
      </c>
      <c r="VR32" s="1" t="s">
        <v>24724</v>
      </c>
      <c r="VS32" s="1" t="s">
        <v>24725</v>
      </c>
      <c r="VT32" s="1" t="s">
        <v>24726</v>
      </c>
      <c r="VU32" s="1" t="s">
        <v>24727</v>
      </c>
      <c r="VV32" s="1" t="s">
        <v>24728</v>
      </c>
      <c r="VW32" s="1" t="s">
        <v>24729</v>
      </c>
      <c r="VX32" s="1" t="s">
        <v>24730</v>
      </c>
      <c r="VY32" s="1" t="s">
        <v>24731</v>
      </c>
      <c r="VZ32" s="1" t="s">
        <v>24732</v>
      </c>
      <c r="WA32" s="1" t="s">
        <v>24733</v>
      </c>
      <c r="WB32" s="1" t="s">
        <v>24734</v>
      </c>
      <c r="WC32" s="1" t="s">
        <v>24735</v>
      </c>
      <c r="WD32" s="1" t="s">
        <v>24736</v>
      </c>
      <c r="WE32" s="1" t="s">
        <v>24737</v>
      </c>
      <c r="WF32" s="1" t="s">
        <v>24738</v>
      </c>
      <c r="WG32" s="1" t="s">
        <v>24739</v>
      </c>
      <c r="WH32" s="1" t="s">
        <v>24740</v>
      </c>
      <c r="WI32" s="1" t="s">
        <v>24741</v>
      </c>
      <c r="WJ32" s="1" t="s">
        <v>24742</v>
      </c>
      <c r="WK32" s="1" t="s">
        <v>24743</v>
      </c>
      <c r="WL32" s="1" t="s">
        <v>24744</v>
      </c>
      <c r="WM32" s="1" t="s">
        <v>24745</v>
      </c>
      <c r="WN32" s="1" t="s">
        <v>24746</v>
      </c>
      <c r="WO32" s="1" t="s">
        <v>24747</v>
      </c>
      <c r="WP32" s="1" t="s">
        <v>24748</v>
      </c>
      <c r="WQ32" s="1" t="s">
        <v>24749</v>
      </c>
      <c r="WR32" s="1" t="s">
        <v>24750</v>
      </c>
      <c r="WS32" s="1" t="s">
        <v>24751</v>
      </c>
      <c r="WT32" s="1" t="s">
        <v>24752</v>
      </c>
      <c r="WU32" s="1" t="s">
        <v>24753</v>
      </c>
      <c r="WV32" s="1" t="s">
        <v>24754</v>
      </c>
      <c r="WW32" s="1" t="s">
        <v>24755</v>
      </c>
      <c r="WX32" s="1" t="s">
        <v>24756</v>
      </c>
      <c r="WY32" s="1" t="s">
        <v>24757</v>
      </c>
      <c r="WZ32" s="1" t="s">
        <v>24758</v>
      </c>
      <c r="XA32" s="1" t="s">
        <v>24759</v>
      </c>
      <c r="XB32" s="1" t="s">
        <v>24760</v>
      </c>
      <c r="XC32" s="1" t="s">
        <v>24761</v>
      </c>
      <c r="XD32" s="1" t="s">
        <v>24762</v>
      </c>
      <c r="XE32" s="1" t="s">
        <v>24763</v>
      </c>
      <c r="XF32" s="1" t="s">
        <v>24764</v>
      </c>
      <c r="XG32" s="1" t="s">
        <v>24765</v>
      </c>
      <c r="XH32" s="1" t="s">
        <v>24766</v>
      </c>
      <c r="XI32" s="1" t="s">
        <v>24767</v>
      </c>
      <c r="XJ32" s="1" t="s">
        <v>24768</v>
      </c>
      <c r="XK32" s="1" t="s">
        <v>24769</v>
      </c>
      <c r="XL32" s="1" t="s">
        <v>24770</v>
      </c>
      <c r="XM32" s="1" t="s">
        <v>24771</v>
      </c>
      <c r="XN32" s="1" t="s">
        <v>24772</v>
      </c>
      <c r="XO32" s="1" t="s">
        <v>24773</v>
      </c>
      <c r="XP32" s="1" t="s">
        <v>24774</v>
      </c>
      <c r="XQ32" s="1" t="s">
        <v>24775</v>
      </c>
      <c r="XR32" s="1" t="s">
        <v>24776</v>
      </c>
      <c r="XS32" s="1" t="s">
        <v>24777</v>
      </c>
      <c r="XT32" s="1" t="s">
        <v>24778</v>
      </c>
      <c r="XU32" s="1" t="s">
        <v>24779</v>
      </c>
      <c r="XV32" s="1" t="s">
        <v>24780</v>
      </c>
      <c r="XW32" s="1" t="s">
        <v>24781</v>
      </c>
      <c r="XX32" s="1" t="s">
        <v>24782</v>
      </c>
      <c r="XY32" s="1" t="s">
        <v>24783</v>
      </c>
      <c r="XZ32" s="1" t="s">
        <v>24784</v>
      </c>
      <c r="YA32" s="1" t="s">
        <v>24785</v>
      </c>
      <c r="YB32" s="1" t="s">
        <v>24786</v>
      </c>
      <c r="YC32" s="1" t="s">
        <v>24787</v>
      </c>
      <c r="YD32" s="1" t="s">
        <v>24788</v>
      </c>
      <c r="YE32" s="1" t="s">
        <v>24789</v>
      </c>
      <c r="YF32" s="1" t="s">
        <v>24790</v>
      </c>
      <c r="YG32" s="1" t="s">
        <v>24791</v>
      </c>
      <c r="YH32" s="1" t="s">
        <v>24792</v>
      </c>
      <c r="YI32" s="1" t="s">
        <v>24793</v>
      </c>
      <c r="YJ32" s="1" t="s">
        <v>24794</v>
      </c>
      <c r="YK32" s="1" t="s">
        <v>24795</v>
      </c>
      <c r="YL32" s="1" t="s">
        <v>24796</v>
      </c>
      <c r="YM32" s="1" t="s">
        <v>24797</v>
      </c>
      <c r="YN32" s="1" t="s">
        <v>24798</v>
      </c>
      <c r="YO32" s="1" t="s">
        <v>24799</v>
      </c>
      <c r="YP32" s="1" t="s">
        <v>24800</v>
      </c>
      <c r="YQ32" s="1" t="s">
        <v>24801</v>
      </c>
      <c r="YR32" s="1" t="s">
        <v>24802</v>
      </c>
      <c r="YS32" s="1" t="s">
        <v>24803</v>
      </c>
      <c r="YT32" s="1" t="s">
        <v>24804</v>
      </c>
      <c r="YU32" s="1" t="s">
        <v>24805</v>
      </c>
      <c r="YV32" s="1" t="s">
        <v>24806</v>
      </c>
      <c r="YW32" s="1" t="s">
        <v>24807</v>
      </c>
      <c r="YX32" s="1" t="s">
        <v>24808</v>
      </c>
      <c r="YY32" s="1" t="s">
        <v>24809</v>
      </c>
      <c r="YZ32" s="1" t="s">
        <v>24810</v>
      </c>
      <c r="ZA32" s="1" t="s">
        <v>24811</v>
      </c>
      <c r="ZB32" s="1" t="s">
        <v>24812</v>
      </c>
      <c r="ZC32" s="1" t="s">
        <v>24813</v>
      </c>
      <c r="ZD32" s="1" t="s">
        <v>24814</v>
      </c>
      <c r="ZE32" s="1" t="s">
        <v>24815</v>
      </c>
      <c r="ZF32" s="1" t="s">
        <v>24816</v>
      </c>
      <c r="ZG32" s="1" t="s">
        <v>24817</v>
      </c>
      <c r="ZH32" s="1" t="s">
        <v>24818</v>
      </c>
      <c r="ZI32" s="1" t="s">
        <v>24819</v>
      </c>
      <c r="ZJ32" s="1" t="s">
        <v>24820</v>
      </c>
      <c r="ZK32" s="1" t="s">
        <v>24821</v>
      </c>
      <c r="ZL32" s="1" t="s">
        <v>24822</v>
      </c>
      <c r="ZM32" s="1" t="s">
        <v>24823</v>
      </c>
      <c r="ZN32" s="1" t="s">
        <v>24824</v>
      </c>
      <c r="ZO32" s="1" t="s">
        <v>24825</v>
      </c>
      <c r="ZP32" s="1" t="s">
        <v>24826</v>
      </c>
      <c r="ZQ32" s="1" t="s">
        <v>24827</v>
      </c>
      <c r="ZR32" s="1" t="s">
        <v>24828</v>
      </c>
      <c r="ZS32" s="1" t="s">
        <v>24829</v>
      </c>
      <c r="ZT32" s="1" t="s">
        <v>24830</v>
      </c>
      <c r="ZU32" s="1" t="s">
        <v>24831</v>
      </c>
      <c r="ZV32" s="1" t="s">
        <v>24832</v>
      </c>
      <c r="ZW32" s="1" t="s">
        <v>24833</v>
      </c>
      <c r="ZX32" s="1" t="s">
        <v>24834</v>
      </c>
      <c r="ZY32" s="1" t="s">
        <v>24835</v>
      </c>
      <c r="ZZ32" s="1" t="s">
        <v>24836</v>
      </c>
      <c r="AAA32" s="1" t="s">
        <v>24837</v>
      </c>
      <c r="AAB32" s="1" t="s">
        <v>24838</v>
      </c>
      <c r="AAC32" s="1" t="s">
        <v>24839</v>
      </c>
      <c r="AAD32" s="1" t="s">
        <v>24840</v>
      </c>
      <c r="AAE32" s="1" t="s">
        <v>24841</v>
      </c>
      <c r="AAF32" s="1" t="s">
        <v>24842</v>
      </c>
      <c r="AAG32" s="1" t="s">
        <v>24843</v>
      </c>
      <c r="AAH32" s="1" t="s">
        <v>24844</v>
      </c>
      <c r="AAI32" s="1" t="s">
        <v>24845</v>
      </c>
      <c r="AAJ32" s="1" t="s">
        <v>24846</v>
      </c>
      <c r="AAK32" s="1" t="s">
        <v>24847</v>
      </c>
      <c r="AAL32" s="1" t="s">
        <v>24848</v>
      </c>
      <c r="AAM32" s="1" t="s">
        <v>24849</v>
      </c>
      <c r="AAN32" s="1" t="s">
        <v>24850</v>
      </c>
      <c r="AAO32" s="1" t="s">
        <v>24851</v>
      </c>
      <c r="AAP32" s="1" t="s">
        <v>24852</v>
      </c>
      <c r="AAQ32" s="1" t="s">
        <v>24853</v>
      </c>
      <c r="AAR32" s="1" t="s">
        <v>24854</v>
      </c>
      <c r="AAS32" s="1" t="s">
        <v>24855</v>
      </c>
      <c r="AAT32" s="1" t="s">
        <v>24856</v>
      </c>
      <c r="AAU32" s="1" t="s">
        <v>24857</v>
      </c>
      <c r="AAV32" s="1" t="s">
        <v>24858</v>
      </c>
      <c r="AAW32" s="1" t="s">
        <v>24859</v>
      </c>
      <c r="AAX32" s="1" t="s">
        <v>24860</v>
      </c>
      <c r="AAY32" s="1" t="s">
        <v>24861</v>
      </c>
      <c r="AAZ32" s="1" t="s">
        <v>24862</v>
      </c>
      <c r="ABA32" s="1" t="s">
        <v>24863</v>
      </c>
      <c r="ABB32" s="1" t="s">
        <v>24864</v>
      </c>
      <c r="ABC32" s="1" t="s">
        <v>24865</v>
      </c>
      <c r="ABD32" s="1" t="s">
        <v>24866</v>
      </c>
      <c r="ABE32" s="1" t="s">
        <v>24867</v>
      </c>
      <c r="ABF32" s="1" t="s">
        <v>24868</v>
      </c>
      <c r="ABG32" s="1" t="s">
        <v>24869</v>
      </c>
      <c r="ABH32" s="1" t="s">
        <v>24870</v>
      </c>
      <c r="ABI32" s="1" t="s">
        <v>24871</v>
      </c>
      <c r="ABJ32" s="1" t="s">
        <v>24872</v>
      </c>
      <c r="ABK32" s="1" t="s">
        <v>24873</v>
      </c>
      <c r="ABL32" s="1" t="s">
        <v>24874</v>
      </c>
      <c r="ABM32" s="1" t="s">
        <v>24875</v>
      </c>
      <c r="ABN32" s="1" t="s">
        <v>24876</v>
      </c>
      <c r="ABO32" s="1" t="s">
        <v>24877</v>
      </c>
      <c r="ABP32" s="1" t="s">
        <v>24878</v>
      </c>
      <c r="ABQ32" s="1" t="s">
        <v>24879</v>
      </c>
      <c r="ABR32" s="1" t="s">
        <v>24880</v>
      </c>
      <c r="ABS32" s="1" t="s">
        <v>24881</v>
      </c>
      <c r="ABT32" s="1" t="s">
        <v>24882</v>
      </c>
      <c r="ABU32" s="1" t="s">
        <v>24883</v>
      </c>
      <c r="ABV32" s="1" t="s">
        <v>24884</v>
      </c>
      <c r="ABW32" s="1" t="s">
        <v>24885</v>
      </c>
      <c r="ABX32" s="1" t="s">
        <v>24886</v>
      </c>
      <c r="ABY32" s="1" t="s">
        <v>24887</v>
      </c>
      <c r="ABZ32" s="1" t="s">
        <v>24888</v>
      </c>
      <c r="ACA32" s="1" t="s">
        <v>24889</v>
      </c>
      <c r="ACB32" s="1" t="s">
        <v>24890</v>
      </c>
      <c r="ACC32" s="1" t="s">
        <v>24891</v>
      </c>
      <c r="ACD32" s="1" t="s">
        <v>24892</v>
      </c>
      <c r="ACE32" s="1" t="s">
        <v>24893</v>
      </c>
      <c r="ACF32" s="1" t="s">
        <v>24894</v>
      </c>
      <c r="ACG32" s="1" t="s">
        <v>24895</v>
      </c>
      <c r="ACH32" s="1" t="s">
        <v>24896</v>
      </c>
      <c r="ACI32" s="1" t="s">
        <v>24897</v>
      </c>
      <c r="ACJ32" s="1" t="s">
        <v>24898</v>
      </c>
      <c r="ACK32" s="1" t="s">
        <v>24899</v>
      </c>
      <c r="ACL32" s="1" t="s">
        <v>24900</v>
      </c>
      <c r="ACM32" s="1" t="s">
        <v>24901</v>
      </c>
      <c r="ACN32" s="1" t="s">
        <v>24902</v>
      </c>
      <c r="ACO32" s="1" t="s">
        <v>24903</v>
      </c>
      <c r="ACP32" s="1" t="s">
        <v>24904</v>
      </c>
      <c r="ACQ32" s="1" t="s">
        <v>24905</v>
      </c>
      <c r="ACR32" s="1" t="s">
        <v>24906</v>
      </c>
      <c r="ACS32" s="1" t="s">
        <v>24907</v>
      </c>
      <c r="ACT32" s="1" t="s">
        <v>24908</v>
      </c>
      <c r="ACU32" s="1" t="s">
        <v>24909</v>
      </c>
      <c r="ACV32" s="1" t="s">
        <v>24910</v>
      </c>
      <c r="ACW32" s="1" t="s">
        <v>12</v>
      </c>
      <c r="ACX32" s="1" t="s">
        <v>1500</v>
      </c>
    </row>
    <row r="33" spans="1:778" x14ac:dyDescent="0.2">
      <c r="A33" s="1" t="s">
        <v>52</v>
      </c>
      <c r="B33" s="1" t="s">
        <v>24911</v>
      </c>
      <c r="C33" s="1" t="s">
        <v>24912</v>
      </c>
      <c r="D33" s="1" t="s">
        <v>24913</v>
      </c>
      <c r="E33" s="1" t="s">
        <v>24914</v>
      </c>
      <c r="F33" s="1" t="s">
        <v>24915</v>
      </c>
      <c r="G33" s="1" t="s">
        <v>24916</v>
      </c>
      <c r="H33" s="1" t="s">
        <v>24917</v>
      </c>
      <c r="I33" s="1" t="s">
        <v>24918</v>
      </c>
      <c r="J33" s="1" t="s">
        <v>24919</v>
      </c>
      <c r="K33" s="1" t="s">
        <v>24920</v>
      </c>
      <c r="L33" s="1" t="s">
        <v>24921</v>
      </c>
      <c r="M33" s="1" t="s">
        <v>24922</v>
      </c>
      <c r="N33" s="1" t="s">
        <v>24923</v>
      </c>
      <c r="O33" s="1" t="s">
        <v>24924</v>
      </c>
      <c r="P33" s="1" t="s">
        <v>24925</v>
      </c>
      <c r="Q33" s="1" t="s">
        <v>24926</v>
      </c>
      <c r="R33" s="1" t="s">
        <v>24927</v>
      </c>
      <c r="S33" s="1" t="s">
        <v>24928</v>
      </c>
      <c r="T33" s="1" t="s">
        <v>24929</v>
      </c>
      <c r="U33" s="1" t="s">
        <v>24930</v>
      </c>
      <c r="V33" s="1" t="s">
        <v>24931</v>
      </c>
      <c r="W33" s="1" t="s">
        <v>24932</v>
      </c>
      <c r="X33" s="1" t="s">
        <v>24933</v>
      </c>
      <c r="Y33" s="1" t="s">
        <v>24934</v>
      </c>
      <c r="Z33" s="1" t="s">
        <v>24935</v>
      </c>
      <c r="AA33" s="1" t="s">
        <v>24936</v>
      </c>
      <c r="AB33" s="1" t="s">
        <v>24937</v>
      </c>
      <c r="AC33" s="1" t="s">
        <v>24938</v>
      </c>
      <c r="AD33" s="1" t="s">
        <v>24939</v>
      </c>
      <c r="AE33" s="1" t="s">
        <v>24940</v>
      </c>
      <c r="AF33" s="1" t="s">
        <v>24941</v>
      </c>
      <c r="AG33" s="1" t="s">
        <v>24942</v>
      </c>
      <c r="AH33" s="1" t="s">
        <v>24943</v>
      </c>
      <c r="AI33" s="1" t="s">
        <v>24944</v>
      </c>
      <c r="AJ33" s="1" t="s">
        <v>24945</v>
      </c>
      <c r="AK33" s="1" t="s">
        <v>24946</v>
      </c>
      <c r="AL33" s="1" t="s">
        <v>24947</v>
      </c>
      <c r="AM33" s="1" t="s">
        <v>24948</v>
      </c>
      <c r="AN33" s="1" t="s">
        <v>24949</v>
      </c>
      <c r="AO33" s="1" t="s">
        <v>24950</v>
      </c>
      <c r="AP33" s="1" t="s">
        <v>24951</v>
      </c>
      <c r="AQ33" s="1" t="s">
        <v>24952</v>
      </c>
      <c r="AR33" s="1" t="s">
        <v>24953</v>
      </c>
      <c r="AS33" s="1" t="s">
        <v>24954</v>
      </c>
      <c r="AT33" s="1" t="s">
        <v>24955</v>
      </c>
      <c r="AU33" s="1" t="s">
        <v>24956</v>
      </c>
      <c r="AV33" s="1" t="s">
        <v>24957</v>
      </c>
      <c r="AW33" s="1" t="s">
        <v>24958</v>
      </c>
      <c r="AX33" s="1" t="s">
        <v>24959</v>
      </c>
      <c r="AY33" s="1" t="s">
        <v>24960</v>
      </c>
      <c r="AZ33" s="1" t="s">
        <v>24961</v>
      </c>
      <c r="BA33" s="1" t="s">
        <v>24962</v>
      </c>
      <c r="BB33" s="1" t="s">
        <v>24963</v>
      </c>
      <c r="BC33" s="1" t="s">
        <v>24964</v>
      </c>
      <c r="BD33" s="1" t="s">
        <v>24965</v>
      </c>
      <c r="BE33" s="1" t="s">
        <v>24966</v>
      </c>
      <c r="BF33" s="1" t="s">
        <v>24967</v>
      </c>
      <c r="BG33" s="1" t="s">
        <v>24968</v>
      </c>
      <c r="BH33" s="1" t="s">
        <v>24969</v>
      </c>
      <c r="BI33" s="1" t="s">
        <v>24970</v>
      </c>
      <c r="BJ33" s="1" t="s">
        <v>24971</v>
      </c>
      <c r="BK33" s="1" t="s">
        <v>24972</v>
      </c>
      <c r="BL33" s="1" t="s">
        <v>24973</v>
      </c>
      <c r="BM33" s="1" t="s">
        <v>24974</v>
      </c>
      <c r="BN33" s="1" t="s">
        <v>24975</v>
      </c>
      <c r="BO33" s="1" t="s">
        <v>24976</v>
      </c>
      <c r="BP33" s="1" t="s">
        <v>24977</v>
      </c>
      <c r="BQ33" s="1" t="s">
        <v>24978</v>
      </c>
      <c r="BR33" s="1" t="s">
        <v>24979</v>
      </c>
      <c r="BS33" s="1" t="s">
        <v>24980</v>
      </c>
      <c r="BT33" s="1" t="s">
        <v>24981</v>
      </c>
      <c r="BU33" s="1" t="s">
        <v>24982</v>
      </c>
      <c r="BV33" s="1" t="s">
        <v>24983</v>
      </c>
      <c r="BW33" s="1" t="s">
        <v>24984</v>
      </c>
      <c r="BX33" s="1" t="s">
        <v>24985</v>
      </c>
      <c r="BY33" s="1" t="s">
        <v>24986</v>
      </c>
      <c r="BZ33" s="1" t="s">
        <v>24987</v>
      </c>
      <c r="CA33" s="1" t="s">
        <v>24988</v>
      </c>
      <c r="CB33" s="1" t="s">
        <v>24989</v>
      </c>
      <c r="CC33" s="1" t="s">
        <v>24990</v>
      </c>
      <c r="CD33" s="1" t="s">
        <v>24991</v>
      </c>
      <c r="CE33" s="1" t="s">
        <v>24992</v>
      </c>
      <c r="CF33" s="1" t="s">
        <v>24993</v>
      </c>
      <c r="CG33" s="1" t="s">
        <v>24994</v>
      </c>
      <c r="CH33" s="1" t="s">
        <v>24995</v>
      </c>
      <c r="CI33" s="1" t="s">
        <v>24996</v>
      </c>
      <c r="CJ33" s="1" t="s">
        <v>24997</v>
      </c>
      <c r="CK33" s="1" t="s">
        <v>24998</v>
      </c>
      <c r="CL33" s="1" t="s">
        <v>24999</v>
      </c>
      <c r="CM33" s="1" t="s">
        <v>25000</v>
      </c>
      <c r="CN33" s="1" t="s">
        <v>25001</v>
      </c>
      <c r="CO33" s="1" t="s">
        <v>25002</v>
      </c>
      <c r="CP33" s="1" t="s">
        <v>25003</v>
      </c>
      <c r="CQ33" s="1" t="s">
        <v>25004</v>
      </c>
      <c r="CR33" s="1" t="s">
        <v>25005</v>
      </c>
      <c r="CS33" s="1" t="s">
        <v>25006</v>
      </c>
      <c r="CT33" s="1" t="s">
        <v>25007</v>
      </c>
      <c r="CU33" s="1" t="s">
        <v>25008</v>
      </c>
      <c r="CV33" s="1" t="s">
        <v>25009</v>
      </c>
      <c r="CW33" s="1" t="s">
        <v>25010</v>
      </c>
      <c r="CX33" s="1" t="s">
        <v>25011</v>
      </c>
      <c r="CY33" s="1" t="s">
        <v>25012</v>
      </c>
      <c r="CZ33" s="1" t="s">
        <v>25013</v>
      </c>
      <c r="DA33" s="1" t="s">
        <v>25014</v>
      </c>
      <c r="DB33" s="1" t="s">
        <v>25015</v>
      </c>
      <c r="DC33" s="1" t="s">
        <v>25016</v>
      </c>
      <c r="DD33" s="1" t="s">
        <v>25017</v>
      </c>
      <c r="DE33" s="1" t="s">
        <v>25018</v>
      </c>
      <c r="DF33" s="1" t="s">
        <v>25019</v>
      </c>
      <c r="DG33" s="1" t="s">
        <v>25020</v>
      </c>
      <c r="DH33" s="1" t="s">
        <v>25021</v>
      </c>
      <c r="DI33" s="1" t="s">
        <v>25022</v>
      </c>
      <c r="DJ33" s="1" t="s">
        <v>25023</v>
      </c>
      <c r="DK33" s="1" t="s">
        <v>25024</v>
      </c>
      <c r="DL33" s="1" t="s">
        <v>25025</v>
      </c>
      <c r="DM33" s="1" t="s">
        <v>25026</v>
      </c>
      <c r="DN33" s="1" t="s">
        <v>25027</v>
      </c>
      <c r="DO33" s="1" t="s">
        <v>25028</v>
      </c>
      <c r="DP33" s="1" t="s">
        <v>25029</v>
      </c>
      <c r="DQ33" s="1" t="s">
        <v>25030</v>
      </c>
      <c r="DR33" s="1" t="s">
        <v>25031</v>
      </c>
      <c r="DS33" s="1" t="s">
        <v>25032</v>
      </c>
      <c r="DT33" s="1" t="s">
        <v>25033</v>
      </c>
      <c r="DU33" s="1" t="s">
        <v>25034</v>
      </c>
      <c r="DV33" s="1" t="s">
        <v>25035</v>
      </c>
      <c r="DW33" s="1" t="s">
        <v>25036</v>
      </c>
      <c r="DX33" s="1" t="s">
        <v>25037</v>
      </c>
      <c r="DY33" s="1" t="s">
        <v>25038</v>
      </c>
      <c r="DZ33" s="1" t="s">
        <v>25039</v>
      </c>
      <c r="EA33" s="1" t="s">
        <v>25040</v>
      </c>
      <c r="EB33" s="1" t="s">
        <v>25041</v>
      </c>
      <c r="EC33" s="1" t="s">
        <v>25042</v>
      </c>
      <c r="ED33" s="1" t="s">
        <v>25043</v>
      </c>
      <c r="EE33" s="1" t="s">
        <v>25044</v>
      </c>
      <c r="EF33" s="1" t="s">
        <v>25045</v>
      </c>
      <c r="EG33" s="1" t="s">
        <v>25046</v>
      </c>
      <c r="EH33" s="1" t="s">
        <v>25047</v>
      </c>
      <c r="EI33" s="1" t="s">
        <v>25048</v>
      </c>
      <c r="EJ33" s="1" t="s">
        <v>25049</v>
      </c>
      <c r="EK33" s="1" t="s">
        <v>25050</v>
      </c>
      <c r="EL33" s="1" t="s">
        <v>25051</v>
      </c>
      <c r="EM33" s="1" t="s">
        <v>25052</v>
      </c>
      <c r="EN33" s="1" t="s">
        <v>25053</v>
      </c>
      <c r="EO33" s="1" t="s">
        <v>25054</v>
      </c>
      <c r="EP33" s="1" t="s">
        <v>25055</v>
      </c>
      <c r="EQ33" s="1" t="s">
        <v>25056</v>
      </c>
      <c r="ER33" s="1" t="s">
        <v>25057</v>
      </c>
      <c r="ES33" s="1" t="s">
        <v>25058</v>
      </c>
      <c r="ET33" s="1" t="s">
        <v>25059</v>
      </c>
      <c r="EU33" s="1" t="s">
        <v>25060</v>
      </c>
      <c r="EV33" s="1" t="s">
        <v>25061</v>
      </c>
      <c r="EW33" s="1" t="s">
        <v>25062</v>
      </c>
      <c r="EX33" s="1" t="s">
        <v>25063</v>
      </c>
      <c r="EY33" s="1" t="s">
        <v>25064</v>
      </c>
      <c r="EZ33" s="1" t="s">
        <v>25065</v>
      </c>
      <c r="FA33" s="1" t="s">
        <v>25066</v>
      </c>
      <c r="FB33" s="1" t="s">
        <v>25067</v>
      </c>
      <c r="FC33" s="1" t="s">
        <v>25068</v>
      </c>
      <c r="FD33" s="1" t="s">
        <v>25069</v>
      </c>
      <c r="FE33" s="1" t="s">
        <v>25070</v>
      </c>
      <c r="FF33" s="1" t="s">
        <v>25071</v>
      </c>
      <c r="FG33" s="1" t="s">
        <v>25072</v>
      </c>
      <c r="FH33" s="1" t="s">
        <v>25073</v>
      </c>
      <c r="FI33" s="1" t="s">
        <v>25074</v>
      </c>
      <c r="FJ33" s="1" t="s">
        <v>25075</v>
      </c>
      <c r="FK33" s="1" t="s">
        <v>25076</v>
      </c>
      <c r="FL33" s="1" t="s">
        <v>25077</v>
      </c>
      <c r="FM33" s="1" t="s">
        <v>25078</v>
      </c>
      <c r="FN33" s="1" t="s">
        <v>25079</v>
      </c>
      <c r="FO33" s="1" t="s">
        <v>25080</v>
      </c>
      <c r="FP33" s="1" t="s">
        <v>25081</v>
      </c>
      <c r="FQ33" s="1" t="s">
        <v>25082</v>
      </c>
      <c r="FR33" s="1" t="s">
        <v>25083</v>
      </c>
      <c r="FS33" s="1" t="s">
        <v>25084</v>
      </c>
      <c r="FT33" s="1" t="s">
        <v>25085</v>
      </c>
      <c r="FU33" s="1" t="s">
        <v>25086</v>
      </c>
      <c r="FV33" s="1" t="s">
        <v>25087</v>
      </c>
      <c r="FW33" s="1" t="s">
        <v>25088</v>
      </c>
      <c r="FX33" s="1" t="s">
        <v>25089</v>
      </c>
      <c r="FY33" s="1" t="s">
        <v>25090</v>
      </c>
      <c r="FZ33" s="1" t="s">
        <v>25091</v>
      </c>
      <c r="GA33" s="1" t="s">
        <v>25092</v>
      </c>
      <c r="GB33" s="1" t="s">
        <v>25093</v>
      </c>
      <c r="GC33" s="1" t="s">
        <v>25094</v>
      </c>
      <c r="GD33" s="1" t="s">
        <v>25095</v>
      </c>
      <c r="GE33" s="1" t="s">
        <v>25096</v>
      </c>
      <c r="GF33" s="1" t="s">
        <v>25097</v>
      </c>
      <c r="GG33" s="1" t="s">
        <v>25098</v>
      </c>
      <c r="GH33" s="1" t="s">
        <v>25099</v>
      </c>
      <c r="GI33" s="1" t="s">
        <v>25100</v>
      </c>
      <c r="GJ33" s="1" t="s">
        <v>25101</v>
      </c>
      <c r="GK33" s="1" t="s">
        <v>25102</v>
      </c>
      <c r="GL33" s="1" t="s">
        <v>25103</v>
      </c>
      <c r="GM33" s="1" t="s">
        <v>25104</v>
      </c>
      <c r="GN33" s="1" t="s">
        <v>25105</v>
      </c>
      <c r="GO33" s="1" t="s">
        <v>25106</v>
      </c>
      <c r="GP33" s="1" t="s">
        <v>25107</v>
      </c>
      <c r="GQ33" s="1" t="s">
        <v>25108</v>
      </c>
      <c r="GR33" s="1" t="s">
        <v>25109</v>
      </c>
      <c r="GS33" s="1" t="s">
        <v>25110</v>
      </c>
      <c r="GT33" s="1" t="s">
        <v>25111</v>
      </c>
      <c r="GU33" s="1" t="s">
        <v>25112</v>
      </c>
      <c r="GV33" s="1" t="s">
        <v>25113</v>
      </c>
      <c r="GW33" s="1" t="s">
        <v>25114</v>
      </c>
      <c r="GX33" s="1" t="s">
        <v>25115</v>
      </c>
      <c r="GY33" s="1" t="s">
        <v>25116</v>
      </c>
      <c r="GZ33" s="1" t="s">
        <v>25117</v>
      </c>
      <c r="HA33" s="1" t="s">
        <v>25118</v>
      </c>
      <c r="HB33" s="1" t="s">
        <v>25119</v>
      </c>
      <c r="HC33" s="1" t="s">
        <v>25120</v>
      </c>
      <c r="HD33" s="1" t="s">
        <v>25121</v>
      </c>
      <c r="HE33" s="1" t="s">
        <v>25122</v>
      </c>
      <c r="HF33" s="1" t="s">
        <v>25123</v>
      </c>
      <c r="HG33" s="1" t="s">
        <v>25124</v>
      </c>
      <c r="HH33" s="1" t="s">
        <v>25125</v>
      </c>
      <c r="HI33" s="1" t="s">
        <v>25126</v>
      </c>
      <c r="HJ33" s="1" t="s">
        <v>25127</v>
      </c>
      <c r="HK33" s="1" t="s">
        <v>25128</v>
      </c>
      <c r="HL33" s="1" t="s">
        <v>25129</v>
      </c>
      <c r="HM33" s="1" t="s">
        <v>25130</v>
      </c>
      <c r="HN33" s="1" t="s">
        <v>25131</v>
      </c>
      <c r="HO33" s="1" t="s">
        <v>25132</v>
      </c>
      <c r="HP33" s="1" t="s">
        <v>25133</v>
      </c>
      <c r="HQ33" s="1" t="s">
        <v>25134</v>
      </c>
      <c r="HR33" s="1" t="s">
        <v>25135</v>
      </c>
      <c r="HS33" s="1" t="s">
        <v>25136</v>
      </c>
      <c r="HT33" s="1" t="s">
        <v>25137</v>
      </c>
      <c r="HU33" s="1" t="s">
        <v>25138</v>
      </c>
      <c r="HV33" s="1" t="s">
        <v>25139</v>
      </c>
      <c r="HW33" s="1" t="s">
        <v>25140</v>
      </c>
      <c r="HX33" s="1" t="s">
        <v>25141</v>
      </c>
      <c r="HY33" s="1" t="s">
        <v>25142</v>
      </c>
      <c r="HZ33" s="1" t="s">
        <v>25143</v>
      </c>
      <c r="IA33" s="1" t="s">
        <v>25144</v>
      </c>
      <c r="IB33" s="1" t="s">
        <v>25145</v>
      </c>
      <c r="IC33" s="1" t="s">
        <v>25146</v>
      </c>
      <c r="ID33" s="1" t="s">
        <v>25147</v>
      </c>
      <c r="IE33" s="1" t="s">
        <v>25148</v>
      </c>
      <c r="IF33" s="1" t="s">
        <v>25149</v>
      </c>
      <c r="IG33" s="1" t="s">
        <v>25150</v>
      </c>
      <c r="IH33" s="1" t="s">
        <v>25151</v>
      </c>
      <c r="II33" s="1" t="s">
        <v>25152</v>
      </c>
      <c r="IJ33" s="1" t="s">
        <v>25153</v>
      </c>
      <c r="IK33" s="1" t="s">
        <v>25154</v>
      </c>
      <c r="IL33" s="1" t="s">
        <v>25155</v>
      </c>
      <c r="IM33" s="1" t="s">
        <v>25156</v>
      </c>
      <c r="IN33" s="1" t="s">
        <v>25157</v>
      </c>
      <c r="IO33" s="1" t="s">
        <v>25158</v>
      </c>
      <c r="IP33" s="1" t="s">
        <v>25159</v>
      </c>
      <c r="IQ33" s="1" t="s">
        <v>25160</v>
      </c>
      <c r="IR33" s="1" t="s">
        <v>25161</v>
      </c>
      <c r="IS33" s="1" t="s">
        <v>25162</v>
      </c>
      <c r="IT33" s="1" t="s">
        <v>25163</v>
      </c>
      <c r="IU33" s="1" t="s">
        <v>25164</v>
      </c>
      <c r="IV33" s="1" t="s">
        <v>25165</v>
      </c>
      <c r="IW33" s="1" t="s">
        <v>25166</v>
      </c>
      <c r="IX33" s="1" t="s">
        <v>25167</v>
      </c>
      <c r="IY33" s="1" t="s">
        <v>25168</v>
      </c>
      <c r="IZ33" s="1" t="s">
        <v>25169</v>
      </c>
      <c r="JA33" s="1" t="s">
        <v>25170</v>
      </c>
      <c r="JB33" s="1" t="s">
        <v>25171</v>
      </c>
      <c r="JC33" s="1" t="s">
        <v>25172</v>
      </c>
      <c r="JD33" s="1" t="s">
        <v>25173</v>
      </c>
      <c r="JE33" s="1" t="s">
        <v>25174</v>
      </c>
      <c r="JF33" s="1" t="s">
        <v>25175</v>
      </c>
      <c r="JG33" s="1" t="s">
        <v>25176</v>
      </c>
      <c r="JH33" s="1" t="s">
        <v>25177</v>
      </c>
      <c r="JI33" s="1" t="s">
        <v>25178</v>
      </c>
      <c r="JJ33" s="1" t="s">
        <v>25179</v>
      </c>
      <c r="JK33" s="1" t="s">
        <v>25180</v>
      </c>
      <c r="JL33" s="1" t="s">
        <v>25181</v>
      </c>
      <c r="JM33" s="1" t="s">
        <v>25182</v>
      </c>
      <c r="JN33" s="1" t="s">
        <v>25183</v>
      </c>
      <c r="JO33" s="1" t="s">
        <v>25184</v>
      </c>
      <c r="JP33" s="1" t="s">
        <v>25185</v>
      </c>
      <c r="JQ33" s="1" t="s">
        <v>25186</v>
      </c>
      <c r="JR33" s="1" t="s">
        <v>25187</v>
      </c>
      <c r="JS33" s="1" t="s">
        <v>25188</v>
      </c>
      <c r="JT33" s="1" t="s">
        <v>25189</v>
      </c>
      <c r="JU33" s="1" t="s">
        <v>25190</v>
      </c>
      <c r="JV33" s="1" t="s">
        <v>25191</v>
      </c>
      <c r="JW33" s="1" t="s">
        <v>25192</v>
      </c>
      <c r="JX33" s="1" t="s">
        <v>25193</v>
      </c>
      <c r="JY33" s="1" t="s">
        <v>25194</v>
      </c>
      <c r="JZ33" s="1" t="s">
        <v>25195</v>
      </c>
      <c r="KA33" s="1" t="s">
        <v>25196</v>
      </c>
      <c r="KB33" s="1" t="s">
        <v>25197</v>
      </c>
      <c r="KC33" s="1" t="s">
        <v>25198</v>
      </c>
      <c r="KD33" s="1" t="s">
        <v>25199</v>
      </c>
      <c r="KE33" s="1" t="s">
        <v>25200</v>
      </c>
      <c r="KF33" s="1" t="s">
        <v>25201</v>
      </c>
      <c r="KG33" s="1" t="s">
        <v>25202</v>
      </c>
      <c r="KH33" s="1" t="s">
        <v>25203</v>
      </c>
      <c r="KI33" s="1" t="s">
        <v>25204</v>
      </c>
      <c r="KJ33" s="1" t="s">
        <v>25205</v>
      </c>
      <c r="KK33" s="1" t="s">
        <v>25206</v>
      </c>
      <c r="KL33" s="1" t="s">
        <v>25207</v>
      </c>
      <c r="KM33" s="1" t="s">
        <v>25208</v>
      </c>
      <c r="KN33" s="1" t="s">
        <v>25209</v>
      </c>
      <c r="KO33" s="1" t="s">
        <v>25210</v>
      </c>
      <c r="KP33" s="1" t="s">
        <v>25211</v>
      </c>
      <c r="KQ33" s="1" t="s">
        <v>25212</v>
      </c>
      <c r="KR33" s="1" t="s">
        <v>25213</v>
      </c>
      <c r="KS33" s="1" t="s">
        <v>25214</v>
      </c>
      <c r="KT33" s="1" t="s">
        <v>25215</v>
      </c>
      <c r="KU33" s="1" t="s">
        <v>25216</v>
      </c>
      <c r="KV33" s="1" t="s">
        <v>25217</v>
      </c>
      <c r="KW33" s="1" t="s">
        <v>25218</v>
      </c>
      <c r="KX33" s="1" t="s">
        <v>25219</v>
      </c>
      <c r="KY33" s="1" t="s">
        <v>25220</v>
      </c>
      <c r="KZ33" s="1" t="s">
        <v>25221</v>
      </c>
      <c r="LA33" s="1" t="s">
        <v>25222</v>
      </c>
      <c r="LB33" s="1" t="s">
        <v>25223</v>
      </c>
      <c r="LC33" s="1" t="s">
        <v>25224</v>
      </c>
      <c r="LD33" s="1" t="s">
        <v>25225</v>
      </c>
      <c r="LE33" s="1" t="s">
        <v>25226</v>
      </c>
      <c r="LF33" s="1" t="s">
        <v>25227</v>
      </c>
      <c r="LG33" s="1" t="s">
        <v>25228</v>
      </c>
      <c r="LH33" s="1" t="s">
        <v>25229</v>
      </c>
      <c r="LI33" s="1" t="s">
        <v>25230</v>
      </c>
      <c r="LJ33" s="1" t="s">
        <v>25231</v>
      </c>
      <c r="LK33" s="1" t="s">
        <v>25232</v>
      </c>
      <c r="LL33" s="1" t="s">
        <v>25233</v>
      </c>
      <c r="LM33" s="1" t="s">
        <v>25234</v>
      </c>
      <c r="LN33" s="1" t="s">
        <v>25235</v>
      </c>
      <c r="LO33" s="1" t="s">
        <v>25236</v>
      </c>
      <c r="LP33" s="1" t="s">
        <v>25237</v>
      </c>
      <c r="LQ33" s="1" t="s">
        <v>25238</v>
      </c>
      <c r="LR33" s="1" t="s">
        <v>25239</v>
      </c>
      <c r="LS33" s="1" t="s">
        <v>25240</v>
      </c>
      <c r="LT33" s="1" t="s">
        <v>25241</v>
      </c>
      <c r="LU33" s="1" t="s">
        <v>25242</v>
      </c>
      <c r="LV33" s="1" t="s">
        <v>25243</v>
      </c>
      <c r="LW33" s="1" t="s">
        <v>25244</v>
      </c>
      <c r="LX33" s="1" t="s">
        <v>25245</v>
      </c>
      <c r="LY33" s="1" t="s">
        <v>25246</v>
      </c>
      <c r="LZ33" s="1" t="s">
        <v>25247</v>
      </c>
      <c r="MA33" s="1" t="s">
        <v>25248</v>
      </c>
      <c r="MB33" s="1" t="s">
        <v>25249</v>
      </c>
      <c r="MC33" s="1" t="s">
        <v>25250</v>
      </c>
      <c r="MD33" s="1" t="s">
        <v>25251</v>
      </c>
      <c r="ME33" s="1" t="s">
        <v>25252</v>
      </c>
      <c r="MF33" s="1" t="s">
        <v>25253</v>
      </c>
      <c r="MG33" s="1" t="s">
        <v>25254</v>
      </c>
      <c r="MH33" s="1" t="s">
        <v>25255</v>
      </c>
      <c r="MI33" s="1" t="s">
        <v>25256</v>
      </c>
      <c r="MJ33" s="1" t="s">
        <v>25257</v>
      </c>
      <c r="MK33" s="1" t="s">
        <v>25258</v>
      </c>
      <c r="ML33" s="1" t="s">
        <v>25259</v>
      </c>
      <c r="MM33" s="1" t="s">
        <v>25260</v>
      </c>
      <c r="MN33" s="1" t="s">
        <v>25261</v>
      </c>
      <c r="MO33" s="1" t="s">
        <v>25262</v>
      </c>
      <c r="MP33" s="1" t="s">
        <v>25263</v>
      </c>
      <c r="MQ33" s="1" t="s">
        <v>25264</v>
      </c>
      <c r="MR33" s="1" t="s">
        <v>25265</v>
      </c>
      <c r="MS33" s="1" t="s">
        <v>25266</v>
      </c>
      <c r="MT33" s="1" t="s">
        <v>25267</v>
      </c>
      <c r="MU33" s="1" t="s">
        <v>25268</v>
      </c>
      <c r="MV33" s="1" t="s">
        <v>25269</v>
      </c>
      <c r="MW33" s="1" t="s">
        <v>25270</v>
      </c>
      <c r="MX33" s="1" t="s">
        <v>25271</v>
      </c>
      <c r="MY33" s="1" t="s">
        <v>25272</v>
      </c>
      <c r="MZ33" s="1" t="s">
        <v>25273</v>
      </c>
      <c r="NA33" s="1" t="s">
        <v>25274</v>
      </c>
      <c r="NB33" s="1" t="s">
        <v>25275</v>
      </c>
      <c r="NC33" s="1" t="s">
        <v>25276</v>
      </c>
      <c r="ND33" s="1" t="s">
        <v>25277</v>
      </c>
      <c r="NE33" s="1" t="s">
        <v>25278</v>
      </c>
      <c r="NF33" s="1" t="s">
        <v>25279</v>
      </c>
      <c r="NG33" s="1" t="s">
        <v>25280</v>
      </c>
      <c r="NH33" s="1" t="s">
        <v>25281</v>
      </c>
      <c r="NI33" s="1" t="s">
        <v>25282</v>
      </c>
      <c r="NJ33" s="1" t="s">
        <v>25283</v>
      </c>
      <c r="NK33" s="1" t="s">
        <v>25284</v>
      </c>
      <c r="NL33" s="1" t="s">
        <v>25285</v>
      </c>
      <c r="NM33" s="1" t="s">
        <v>25286</v>
      </c>
      <c r="NN33" s="1" t="s">
        <v>25287</v>
      </c>
      <c r="NO33" s="1" t="s">
        <v>25288</v>
      </c>
      <c r="NP33" s="1" t="s">
        <v>25289</v>
      </c>
      <c r="NQ33" s="1" t="s">
        <v>25290</v>
      </c>
      <c r="NR33" s="1" t="s">
        <v>25291</v>
      </c>
      <c r="NS33" s="1" t="s">
        <v>25292</v>
      </c>
      <c r="NT33" s="1" t="s">
        <v>25293</v>
      </c>
      <c r="NU33" s="1" t="s">
        <v>25294</v>
      </c>
      <c r="NV33" s="1" t="s">
        <v>25295</v>
      </c>
      <c r="NW33" s="1" t="s">
        <v>25296</v>
      </c>
      <c r="NX33" s="1" t="s">
        <v>25297</v>
      </c>
      <c r="NY33" s="1" t="s">
        <v>25298</v>
      </c>
      <c r="NZ33" s="1" t="s">
        <v>25299</v>
      </c>
      <c r="OA33" s="1" t="s">
        <v>25300</v>
      </c>
      <c r="OB33" s="1" t="s">
        <v>25301</v>
      </c>
      <c r="OC33" s="1" t="s">
        <v>25302</v>
      </c>
      <c r="OD33" s="1" t="s">
        <v>25303</v>
      </c>
      <c r="OE33" s="1" t="s">
        <v>25304</v>
      </c>
      <c r="OF33" s="1" t="s">
        <v>25305</v>
      </c>
      <c r="OG33" s="1" t="s">
        <v>25306</v>
      </c>
      <c r="OH33" s="1" t="s">
        <v>25307</v>
      </c>
      <c r="OI33" s="1" t="s">
        <v>25308</v>
      </c>
      <c r="OJ33" s="1" t="s">
        <v>25309</v>
      </c>
      <c r="OK33" s="1" t="s">
        <v>25310</v>
      </c>
      <c r="OL33" s="1" t="s">
        <v>25311</v>
      </c>
      <c r="OM33" s="1" t="s">
        <v>25312</v>
      </c>
      <c r="ON33" s="1" t="s">
        <v>25313</v>
      </c>
      <c r="OO33" s="1" t="s">
        <v>25314</v>
      </c>
      <c r="OP33" s="1" t="s">
        <v>25315</v>
      </c>
      <c r="OQ33" s="1" t="s">
        <v>25316</v>
      </c>
      <c r="OR33" s="1" t="s">
        <v>25317</v>
      </c>
      <c r="OS33" s="1" t="s">
        <v>25318</v>
      </c>
      <c r="OT33" s="1" t="s">
        <v>25319</v>
      </c>
      <c r="OU33" s="1" t="s">
        <v>25320</v>
      </c>
      <c r="OV33" s="1" t="s">
        <v>25321</v>
      </c>
      <c r="OW33" s="1" t="s">
        <v>25322</v>
      </c>
      <c r="OX33" s="1" t="s">
        <v>25323</v>
      </c>
      <c r="OY33" s="1" t="s">
        <v>25324</v>
      </c>
      <c r="OZ33" s="1" t="s">
        <v>25325</v>
      </c>
      <c r="PA33" s="1" t="s">
        <v>25326</v>
      </c>
      <c r="PB33" s="1" t="s">
        <v>25327</v>
      </c>
      <c r="PC33" s="1" t="s">
        <v>25328</v>
      </c>
      <c r="PD33" s="1" t="s">
        <v>25329</v>
      </c>
      <c r="PE33" s="1" t="s">
        <v>25330</v>
      </c>
      <c r="PF33" s="1" t="s">
        <v>25331</v>
      </c>
      <c r="PG33" s="1" t="s">
        <v>25332</v>
      </c>
      <c r="PH33" s="1" t="s">
        <v>25333</v>
      </c>
      <c r="PI33" s="1" t="s">
        <v>25334</v>
      </c>
      <c r="PJ33" s="1" t="s">
        <v>25335</v>
      </c>
      <c r="PK33" s="1" t="s">
        <v>25336</v>
      </c>
      <c r="PL33" s="1" t="s">
        <v>25337</v>
      </c>
      <c r="PM33" s="1" t="s">
        <v>25338</v>
      </c>
      <c r="PN33" s="1" t="s">
        <v>25339</v>
      </c>
      <c r="PO33" s="1" t="s">
        <v>25340</v>
      </c>
      <c r="PP33" s="1" t="s">
        <v>25341</v>
      </c>
      <c r="PQ33" s="1" t="s">
        <v>25342</v>
      </c>
      <c r="PR33" s="1" t="s">
        <v>25343</v>
      </c>
      <c r="PS33" s="1" t="s">
        <v>25344</v>
      </c>
      <c r="PT33" s="1" t="s">
        <v>25345</v>
      </c>
      <c r="PU33" s="1" t="s">
        <v>25346</v>
      </c>
      <c r="PV33" s="1" t="s">
        <v>25347</v>
      </c>
      <c r="PW33" s="1" t="s">
        <v>25348</v>
      </c>
      <c r="PX33" s="1" t="s">
        <v>25349</v>
      </c>
      <c r="PY33" s="1" t="s">
        <v>25350</v>
      </c>
      <c r="PZ33" s="1" t="s">
        <v>25351</v>
      </c>
      <c r="QA33" s="1" t="s">
        <v>25352</v>
      </c>
      <c r="QB33" s="1" t="s">
        <v>25353</v>
      </c>
      <c r="QC33" s="1" t="s">
        <v>25354</v>
      </c>
      <c r="QD33" s="1" t="s">
        <v>25355</v>
      </c>
      <c r="QE33" s="1" t="s">
        <v>25356</v>
      </c>
      <c r="QF33" s="1" t="s">
        <v>25357</v>
      </c>
      <c r="QG33" s="1" t="s">
        <v>25358</v>
      </c>
      <c r="QH33" s="1" t="s">
        <v>25359</v>
      </c>
      <c r="QI33" s="1" t="s">
        <v>25360</v>
      </c>
      <c r="QJ33" s="1" t="s">
        <v>25361</v>
      </c>
      <c r="QK33" s="1" t="s">
        <v>25362</v>
      </c>
      <c r="QL33" s="1" t="s">
        <v>25363</v>
      </c>
      <c r="QM33" s="1" t="s">
        <v>25364</v>
      </c>
      <c r="QN33" s="1" t="s">
        <v>25365</v>
      </c>
      <c r="QO33" s="1" t="s">
        <v>25366</v>
      </c>
      <c r="QP33" s="1" t="s">
        <v>25367</v>
      </c>
      <c r="QQ33" s="1" t="s">
        <v>25368</v>
      </c>
      <c r="QR33" s="1" t="s">
        <v>25369</v>
      </c>
      <c r="QS33" s="1" t="s">
        <v>25370</v>
      </c>
      <c r="QT33" s="1" t="s">
        <v>25371</v>
      </c>
      <c r="QU33" s="1" t="s">
        <v>25372</v>
      </c>
      <c r="QV33" s="1" t="s">
        <v>25373</v>
      </c>
      <c r="QW33" s="1" t="s">
        <v>25374</v>
      </c>
      <c r="QX33" s="1" t="s">
        <v>25375</v>
      </c>
      <c r="QY33" s="1" t="s">
        <v>25376</v>
      </c>
      <c r="QZ33" s="1" t="s">
        <v>25377</v>
      </c>
      <c r="RA33" s="1" t="s">
        <v>25378</v>
      </c>
      <c r="RB33" s="1" t="s">
        <v>25379</v>
      </c>
      <c r="RC33" s="1" t="s">
        <v>25380</v>
      </c>
      <c r="RD33" s="1" t="s">
        <v>25381</v>
      </c>
      <c r="RE33" s="1" t="s">
        <v>25382</v>
      </c>
      <c r="RF33" s="1" t="s">
        <v>25383</v>
      </c>
      <c r="RG33" s="1" t="s">
        <v>25384</v>
      </c>
      <c r="RH33" s="1" t="s">
        <v>25385</v>
      </c>
      <c r="RI33" s="1" t="s">
        <v>25386</v>
      </c>
      <c r="RJ33" s="1" t="s">
        <v>25387</v>
      </c>
      <c r="RK33" s="1" t="s">
        <v>25388</v>
      </c>
      <c r="RL33" s="1" t="s">
        <v>25389</v>
      </c>
      <c r="RM33" s="1" t="s">
        <v>25390</v>
      </c>
      <c r="RN33" s="1" t="s">
        <v>25391</v>
      </c>
      <c r="RO33" s="1" t="s">
        <v>25392</v>
      </c>
      <c r="RP33" s="1" t="s">
        <v>25393</v>
      </c>
      <c r="RQ33" s="1" t="s">
        <v>25394</v>
      </c>
      <c r="RR33" s="1" t="s">
        <v>25395</v>
      </c>
      <c r="RS33" s="1" t="s">
        <v>25396</v>
      </c>
      <c r="RT33" s="1" t="s">
        <v>25397</v>
      </c>
      <c r="RU33" s="1" t="s">
        <v>25398</v>
      </c>
      <c r="RV33" s="1" t="s">
        <v>25399</v>
      </c>
      <c r="RW33" s="1" t="s">
        <v>25400</v>
      </c>
      <c r="RX33" s="1" t="s">
        <v>25401</v>
      </c>
      <c r="RY33" s="1" t="s">
        <v>25402</v>
      </c>
      <c r="RZ33" s="1" t="s">
        <v>25403</v>
      </c>
      <c r="SA33" s="1" t="s">
        <v>25404</v>
      </c>
      <c r="SB33" s="1" t="s">
        <v>25405</v>
      </c>
      <c r="SC33" s="1" t="s">
        <v>25406</v>
      </c>
      <c r="SD33" s="1" t="s">
        <v>25407</v>
      </c>
      <c r="SE33" s="1" t="s">
        <v>25408</v>
      </c>
      <c r="SF33" s="1" t="s">
        <v>25409</v>
      </c>
      <c r="SG33" s="1" t="s">
        <v>25410</v>
      </c>
      <c r="SH33" s="1" t="s">
        <v>25411</v>
      </c>
      <c r="SI33" s="1" t="s">
        <v>25412</v>
      </c>
      <c r="SJ33" s="1" t="s">
        <v>25413</v>
      </c>
      <c r="SK33" s="1" t="s">
        <v>25414</v>
      </c>
      <c r="SL33" s="1" t="s">
        <v>25415</v>
      </c>
      <c r="SM33" s="1" t="s">
        <v>25416</v>
      </c>
      <c r="SN33" s="1" t="s">
        <v>25417</v>
      </c>
      <c r="SO33" s="1" t="s">
        <v>25418</v>
      </c>
      <c r="SP33" s="1" t="s">
        <v>25419</v>
      </c>
      <c r="SQ33" s="1" t="s">
        <v>25420</v>
      </c>
      <c r="SR33" s="1" t="s">
        <v>25421</v>
      </c>
      <c r="SS33" s="1" t="s">
        <v>25422</v>
      </c>
      <c r="ST33" s="1" t="s">
        <v>25423</v>
      </c>
      <c r="SU33" s="1" t="s">
        <v>25424</v>
      </c>
      <c r="SV33" s="1" t="s">
        <v>25425</v>
      </c>
      <c r="SW33" s="1" t="s">
        <v>25426</v>
      </c>
      <c r="SX33" s="1" t="s">
        <v>25427</v>
      </c>
      <c r="SY33" s="1" t="s">
        <v>25428</v>
      </c>
      <c r="SZ33" s="1" t="s">
        <v>25429</v>
      </c>
      <c r="TA33" s="1" t="s">
        <v>25430</v>
      </c>
      <c r="TB33" s="1" t="s">
        <v>25431</v>
      </c>
      <c r="TC33" s="1" t="s">
        <v>25432</v>
      </c>
      <c r="TD33" s="1" t="s">
        <v>25433</v>
      </c>
      <c r="TE33" s="1" t="s">
        <v>25434</v>
      </c>
      <c r="TF33" s="1" t="s">
        <v>25435</v>
      </c>
      <c r="TG33" s="1" t="s">
        <v>25436</v>
      </c>
      <c r="TH33" s="1" t="s">
        <v>25437</v>
      </c>
      <c r="TI33" s="1" t="s">
        <v>25438</v>
      </c>
      <c r="TJ33" s="1" t="s">
        <v>25439</v>
      </c>
      <c r="TK33" s="1" t="s">
        <v>25440</v>
      </c>
      <c r="TL33" s="1" t="s">
        <v>25441</v>
      </c>
      <c r="TM33" s="1" t="s">
        <v>25442</v>
      </c>
      <c r="TN33" s="1" t="s">
        <v>25443</v>
      </c>
      <c r="TO33" s="1" t="s">
        <v>25444</v>
      </c>
      <c r="TP33" s="1" t="s">
        <v>25445</v>
      </c>
      <c r="TQ33" s="1" t="s">
        <v>25446</v>
      </c>
      <c r="TR33" s="1" t="s">
        <v>25447</v>
      </c>
      <c r="TS33" s="1" t="s">
        <v>25448</v>
      </c>
      <c r="TT33" s="1" t="s">
        <v>25449</v>
      </c>
      <c r="TU33" s="1" t="s">
        <v>25450</v>
      </c>
      <c r="TV33" s="1" t="s">
        <v>25451</v>
      </c>
      <c r="TW33" s="1" t="s">
        <v>25452</v>
      </c>
      <c r="TX33" s="1" t="s">
        <v>25453</v>
      </c>
      <c r="TY33" s="1" t="s">
        <v>25454</v>
      </c>
      <c r="TZ33" s="1" t="s">
        <v>25455</v>
      </c>
      <c r="UA33" s="1" t="s">
        <v>25456</v>
      </c>
      <c r="UB33" s="1" t="s">
        <v>25457</v>
      </c>
      <c r="UC33" s="1" t="s">
        <v>25458</v>
      </c>
      <c r="UD33" s="1" t="s">
        <v>25459</v>
      </c>
      <c r="UE33" s="1" t="s">
        <v>25460</v>
      </c>
      <c r="UF33" s="1" t="s">
        <v>25461</v>
      </c>
      <c r="UG33" s="1" t="s">
        <v>25462</v>
      </c>
      <c r="UH33" s="1" t="s">
        <v>25463</v>
      </c>
      <c r="UI33" s="1" t="s">
        <v>25464</v>
      </c>
      <c r="UJ33" s="1" t="s">
        <v>25465</v>
      </c>
      <c r="UK33" s="1" t="s">
        <v>25466</v>
      </c>
      <c r="UL33" s="1" t="s">
        <v>25467</v>
      </c>
      <c r="UM33" s="1" t="s">
        <v>25468</v>
      </c>
      <c r="UN33" s="1" t="s">
        <v>25469</v>
      </c>
      <c r="UO33" s="1" t="s">
        <v>25470</v>
      </c>
      <c r="UP33" s="1" t="s">
        <v>25471</v>
      </c>
      <c r="UQ33" s="1" t="s">
        <v>25472</v>
      </c>
      <c r="UR33" s="1" t="s">
        <v>25473</v>
      </c>
      <c r="US33" s="1" t="s">
        <v>25474</v>
      </c>
      <c r="UT33" s="1" t="s">
        <v>25475</v>
      </c>
      <c r="UU33" s="1" t="s">
        <v>25476</v>
      </c>
      <c r="UV33" s="1" t="s">
        <v>25477</v>
      </c>
      <c r="UW33" s="1" t="s">
        <v>25478</v>
      </c>
      <c r="UX33" s="1" t="s">
        <v>25479</v>
      </c>
      <c r="UY33" s="1" t="s">
        <v>25480</v>
      </c>
      <c r="UZ33" s="1" t="s">
        <v>25481</v>
      </c>
      <c r="VA33" s="1" t="s">
        <v>25482</v>
      </c>
      <c r="VB33" s="1" t="s">
        <v>25483</v>
      </c>
      <c r="VC33" s="1" t="s">
        <v>25484</v>
      </c>
      <c r="VD33" s="1" t="s">
        <v>25485</v>
      </c>
      <c r="VE33" s="1" t="s">
        <v>25486</v>
      </c>
      <c r="VF33" s="1" t="s">
        <v>25487</v>
      </c>
      <c r="VG33" s="1" t="s">
        <v>25488</v>
      </c>
      <c r="VH33" s="1" t="s">
        <v>25489</v>
      </c>
      <c r="VI33" s="1" t="s">
        <v>25490</v>
      </c>
      <c r="VJ33" s="1" t="s">
        <v>25491</v>
      </c>
      <c r="VK33" s="1" t="s">
        <v>25492</v>
      </c>
      <c r="VL33" s="1" t="s">
        <v>25493</v>
      </c>
      <c r="VM33" s="1" t="s">
        <v>25494</v>
      </c>
      <c r="VN33" s="1" t="s">
        <v>25495</v>
      </c>
      <c r="VO33" s="1" t="s">
        <v>25496</v>
      </c>
      <c r="VP33" s="1" t="s">
        <v>25497</v>
      </c>
      <c r="VQ33" s="1" t="s">
        <v>25498</v>
      </c>
      <c r="VR33" s="1" t="s">
        <v>25499</v>
      </c>
      <c r="VS33" s="1" t="s">
        <v>25500</v>
      </c>
      <c r="VT33" s="1" t="s">
        <v>25501</v>
      </c>
      <c r="VU33" s="1" t="s">
        <v>25502</v>
      </c>
      <c r="VV33" s="1" t="s">
        <v>25503</v>
      </c>
      <c r="VW33" s="1" t="s">
        <v>25504</v>
      </c>
      <c r="VX33" s="1" t="s">
        <v>25505</v>
      </c>
      <c r="VY33" s="1" t="s">
        <v>25506</v>
      </c>
      <c r="VZ33" s="1" t="s">
        <v>25507</v>
      </c>
      <c r="WA33" s="1" t="s">
        <v>25508</v>
      </c>
      <c r="WB33" s="1" t="s">
        <v>25509</v>
      </c>
      <c r="WC33" s="1" t="s">
        <v>25510</v>
      </c>
      <c r="WD33" s="1" t="s">
        <v>25511</v>
      </c>
      <c r="WE33" s="1" t="s">
        <v>25512</v>
      </c>
      <c r="WF33" s="1" t="s">
        <v>25513</v>
      </c>
      <c r="WG33" s="1" t="s">
        <v>25514</v>
      </c>
      <c r="WH33" s="1" t="s">
        <v>25515</v>
      </c>
      <c r="WI33" s="1" t="s">
        <v>25516</v>
      </c>
      <c r="WJ33" s="1" t="s">
        <v>25517</v>
      </c>
      <c r="WK33" s="1" t="s">
        <v>25518</v>
      </c>
      <c r="WL33" s="1" t="s">
        <v>25519</v>
      </c>
      <c r="WM33" s="1" t="s">
        <v>25520</v>
      </c>
      <c r="WN33" s="1" t="s">
        <v>25521</v>
      </c>
      <c r="WO33" s="1" t="s">
        <v>25522</v>
      </c>
      <c r="WP33" s="1" t="s">
        <v>25523</v>
      </c>
      <c r="WQ33" s="1" t="s">
        <v>25524</v>
      </c>
      <c r="WR33" s="1" t="s">
        <v>25525</v>
      </c>
      <c r="WS33" s="1" t="s">
        <v>25526</v>
      </c>
      <c r="WT33" s="1" t="s">
        <v>25527</v>
      </c>
      <c r="WU33" s="1" t="s">
        <v>25528</v>
      </c>
      <c r="WV33" s="1" t="s">
        <v>25529</v>
      </c>
      <c r="WW33" s="1" t="s">
        <v>25530</v>
      </c>
      <c r="WX33" s="1" t="s">
        <v>25531</v>
      </c>
      <c r="WY33" s="1" t="s">
        <v>25532</v>
      </c>
      <c r="WZ33" s="1" t="s">
        <v>25533</v>
      </c>
      <c r="XA33" s="1" t="s">
        <v>25534</v>
      </c>
      <c r="XB33" s="1" t="s">
        <v>25535</v>
      </c>
      <c r="XC33" s="1" t="s">
        <v>25536</v>
      </c>
      <c r="XD33" s="1" t="s">
        <v>25537</v>
      </c>
      <c r="XE33" s="1" t="s">
        <v>25538</v>
      </c>
      <c r="XF33" s="1" t="s">
        <v>25539</v>
      </c>
      <c r="XG33" s="1" t="s">
        <v>25540</v>
      </c>
      <c r="XH33" s="1" t="s">
        <v>25541</v>
      </c>
      <c r="XI33" s="1" t="s">
        <v>25542</v>
      </c>
      <c r="XJ33" s="1" t="s">
        <v>25543</v>
      </c>
      <c r="XK33" s="1" t="s">
        <v>25544</v>
      </c>
      <c r="XL33" s="1" t="s">
        <v>25545</v>
      </c>
      <c r="XM33" s="1" t="s">
        <v>25546</v>
      </c>
      <c r="XN33" s="1" t="s">
        <v>25547</v>
      </c>
      <c r="XO33" s="1" t="s">
        <v>25548</v>
      </c>
      <c r="XP33" s="1" t="s">
        <v>25549</v>
      </c>
      <c r="XQ33" s="1" t="s">
        <v>25550</v>
      </c>
      <c r="XR33" s="1" t="s">
        <v>25551</v>
      </c>
      <c r="XS33" s="1" t="s">
        <v>25552</v>
      </c>
      <c r="XT33" s="1" t="s">
        <v>25553</v>
      </c>
      <c r="XU33" s="1" t="s">
        <v>25554</v>
      </c>
      <c r="XV33" s="1" t="s">
        <v>25555</v>
      </c>
      <c r="XW33" s="1" t="s">
        <v>25556</v>
      </c>
      <c r="XX33" s="1" t="s">
        <v>25557</v>
      </c>
      <c r="XY33" s="1" t="s">
        <v>25558</v>
      </c>
      <c r="XZ33" s="1" t="s">
        <v>25559</v>
      </c>
      <c r="YA33" s="1" t="s">
        <v>25560</v>
      </c>
      <c r="YB33" s="1" t="s">
        <v>25561</v>
      </c>
      <c r="YC33" s="1" t="s">
        <v>25562</v>
      </c>
      <c r="YD33" s="1" t="s">
        <v>25563</v>
      </c>
      <c r="YE33" s="1" t="s">
        <v>25564</v>
      </c>
      <c r="YF33" s="1" t="s">
        <v>25565</v>
      </c>
      <c r="YG33" s="1" t="s">
        <v>25566</v>
      </c>
      <c r="YH33" s="1" t="s">
        <v>25567</v>
      </c>
      <c r="YI33" s="1" t="s">
        <v>25568</v>
      </c>
      <c r="YJ33" s="1" t="s">
        <v>25569</v>
      </c>
      <c r="YK33" s="1" t="s">
        <v>25570</v>
      </c>
      <c r="YL33" s="1" t="s">
        <v>25571</v>
      </c>
      <c r="YM33" s="1" t="s">
        <v>25572</v>
      </c>
      <c r="YN33" s="1" t="s">
        <v>25573</v>
      </c>
      <c r="YO33" s="1" t="s">
        <v>25574</v>
      </c>
      <c r="YP33" s="1" t="s">
        <v>25575</v>
      </c>
      <c r="YQ33" s="1" t="s">
        <v>25576</v>
      </c>
      <c r="YR33" s="1" t="s">
        <v>25577</v>
      </c>
      <c r="YS33" s="1" t="s">
        <v>25578</v>
      </c>
      <c r="YT33" s="1" t="s">
        <v>25579</v>
      </c>
      <c r="YU33" s="1" t="s">
        <v>25580</v>
      </c>
      <c r="YV33" s="1" t="s">
        <v>25581</v>
      </c>
      <c r="YW33" s="1" t="s">
        <v>25582</v>
      </c>
      <c r="YX33" s="1" t="s">
        <v>25583</v>
      </c>
      <c r="YY33" s="1" t="s">
        <v>25584</v>
      </c>
      <c r="YZ33" s="1" t="s">
        <v>25585</v>
      </c>
      <c r="ZA33" s="1" t="s">
        <v>25586</v>
      </c>
      <c r="ZB33" s="1" t="s">
        <v>25587</v>
      </c>
      <c r="ZC33" s="1" t="s">
        <v>25588</v>
      </c>
      <c r="ZD33" s="1" t="s">
        <v>25589</v>
      </c>
      <c r="ZE33" s="1" t="s">
        <v>25590</v>
      </c>
      <c r="ZF33" s="1" t="s">
        <v>25591</v>
      </c>
      <c r="ZG33" s="1" t="s">
        <v>25592</v>
      </c>
      <c r="ZH33" s="1" t="s">
        <v>25593</v>
      </c>
      <c r="ZI33" s="1" t="s">
        <v>25594</v>
      </c>
      <c r="ZJ33" s="1" t="s">
        <v>25595</v>
      </c>
      <c r="ZK33" s="1" t="s">
        <v>25596</v>
      </c>
      <c r="ZL33" s="1" t="s">
        <v>25597</v>
      </c>
      <c r="ZM33" s="1" t="s">
        <v>25598</v>
      </c>
      <c r="ZN33" s="1" t="s">
        <v>25599</v>
      </c>
      <c r="ZO33" s="1" t="s">
        <v>25600</v>
      </c>
      <c r="ZP33" s="1" t="s">
        <v>25601</v>
      </c>
      <c r="ZQ33" s="1" t="s">
        <v>25602</v>
      </c>
      <c r="ZR33" s="1" t="s">
        <v>25603</v>
      </c>
      <c r="ZS33" s="1" t="s">
        <v>25604</v>
      </c>
      <c r="ZT33" s="1" t="s">
        <v>25605</v>
      </c>
      <c r="ZU33" s="1" t="s">
        <v>25606</v>
      </c>
      <c r="ZV33" s="1" t="s">
        <v>25607</v>
      </c>
      <c r="ZW33" s="1" t="s">
        <v>25608</v>
      </c>
      <c r="ZX33" s="1" t="s">
        <v>25609</v>
      </c>
      <c r="ZY33" s="1" t="s">
        <v>25610</v>
      </c>
      <c r="ZZ33" s="1" t="s">
        <v>25611</v>
      </c>
      <c r="AAA33" s="1" t="s">
        <v>25612</v>
      </c>
      <c r="AAB33" s="1" t="s">
        <v>25613</v>
      </c>
      <c r="AAC33" s="1" t="s">
        <v>25614</v>
      </c>
      <c r="AAD33" s="1" t="s">
        <v>25615</v>
      </c>
      <c r="AAE33" s="1" t="s">
        <v>25616</v>
      </c>
      <c r="AAF33" s="1" t="s">
        <v>25617</v>
      </c>
      <c r="AAG33" s="1" t="s">
        <v>25618</v>
      </c>
      <c r="AAH33" s="1" t="s">
        <v>25619</v>
      </c>
      <c r="AAI33" s="1" t="s">
        <v>25620</v>
      </c>
      <c r="AAJ33" s="1" t="s">
        <v>25621</v>
      </c>
      <c r="AAK33" s="1" t="s">
        <v>25622</v>
      </c>
      <c r="AAL33" s="1" t="s">
        <v>25623</v>
      </c>
      <c r="AAM33" s="1" t="s">
        <v>25624</v>
      </c>
      <c r="AAN33" s="1" t="s">
        <v>25625</v>
      </c>
      <c r="AAO33" s="1" t="s">
        <v>25626</v>
      </c>
      <c r="AAP33" s="1" t="s">
        <v>25627</v>
      </c>
      <c r="AAQ33" s="1" t="s">
        <v>25628</v>
      </c>
      <c r="AAR33" s="1" t="s">
        <v>25629</v>
      </c>
      <c r="AAS33" s="1" t="s">
        <v>25630</v>
      </c>
      <c r="AAT33" s="1" t="s">
        <v>25631</v>
      </c>
      <c r="AAU33" s="1" t="s">
        <v>25632</v>
      </c>
      <c r="AAV33" s="1" t="s">
        <v>25633</v>
      </c>
      <c r="AAW33" s="1" t="s">
        <v>25634</v>
      </c>
      <c r="AAX33" s="1" t="s">
        <v>25635</v>
      </c>
      <c r="AAY33" s="1" t="s">
        <v>25636</v>
      </c>
      <c r="AAZ33" s="1" t="s">
        <v>25637</v>
      </c>
      <c r="ABA33" s="1" t="s">
        <v>25638</v>
      </c>
      <c r="ABB33" s="1" t="s">
        <v>25639</v>
      </c>
      <c r="ABC33" s="1" t="s">
        <v>25640</v>
      </c>
      <c r="ABD33" s="1" t="s">
        <v>25641</v>
      </c>
      <c r="ABE33" s="1" t="s">
        <v>25642</v>
      </c>
      <c r="ABF33" s="1" t="s">
        <v>25643</v>
      </c>
      <c r="ABG33" s="1" t="s">
        <v>25644</v>
      </c>
      <c r="ABH33" s="1" t="s">
        <v>25645</v>
      </c>
      <c r="ABI33" s="1" t="s">
        <v>25646</v>
      </c>
      <c r="ABJ33" s="1" t="s">
        <v>25647</v>
      </c>
      <c r="ABK33" s="1" t="s">
        <v>25648</v>
      </c>
      <c r="ABL33" s="1" t="s">
        <v>25649</v>
      </c>
      <c r="ABM33" s="1" t="s">
        <v>25650</v>
      </c>
      <c r="ABN33" s="1" t="s">
        <v>25651</v>
      </c>
      <c r="ABO33" s="1" t="s">
        <v>25652</v>
      </c>
      <c r="ABP33" s="1" t="s">
        <v>25653</v>
      </c>
      <c r="ABQ33" s="1" t="s">
        <v>25654</v>
      </c>
      <c r="ABR33" s="1" t="s">
        <v>25655</v>
      </c>
      <c r="ABS33" s="1" t="s">
        <v>25656</v>
      </c>
      <c r="ABT33" s="1" t="s">
        <v>25657</v>
      </c>
      <c r="ABU33" s="1" t="s">
        <v>25658</v>
      </c>
      <c r="ABV33" s="1" t="s">
        <v>25659</v>
      </c>
      <c r="ABW33" s="1" t="s">
        <v>25660</v>
      </c>
      <c r="ABX33" s="1" t="s">
        <v>25661</v>
      </c>
      <c r="ABY33" s="1" t="s">
        <v>25662</v>
      </c>
      <c r="ABZ33" s="1" t="s">
        <v>25663</v>
      </c>
      <c r="ACA33" s="1" t="s">
        <v>25664</v>
      </c>
      <c r="ACB33" s="1" t="s">
        <v>25665</v>
      </c>
      <c r="ACC33" s="1" t="s">
        <v>25666</v>
      </c>
      <c r="ACD33" s="1" t="s">
        <v>25667</v>
      </c>
      <c r="ACE33" s="1" t="s">
        <v>25668</v>
      </c>
      <c r="ACF33" s="1" t="s">
        <v>25669</v>
      </c>
      <c r="ACG33" s="1" t="s">
        <v>25670</v>
      </c>
      <c r="ACH33" s="1" t="s">
        <v>25671</v>
      </c>
      <c r="ACI33" s="1" t="s">
        <v>25672</v>
      </c>
      <c r="ACJ33" s="1" t="s">
        <v>25673</v>
      </c>
      <c r="ACK33" s="1" t="s">
        <v>25674</v>
      </c>
      <c r="ACL33" s="1" t="s">
        <v>25675</v>
      </c>
      <c r="ACM33" s="1" t="s">
        <v>25676</v>
      </c>
      <c r="ACN33" s="1" t="s">
        <v>25677</v>
      </c>
      <c r="ACO33" s="1" t="s">
        <v>25678</v>
      </c>
      <c r="ACP33" s="1" t="s">
        <v>25679</v>
      </c>
      <c r="ACQ33" s="1" t="s">
        <v>25680</v>
      </c>
      <c r="ACR33" s="1" t="s">
        <v>25681</v>
      </c>
      <c r="ACS33" s="1" t="s">
        <v>25682</v>
      </c>
      <c r="ACT33" s="1" t="s">
        <v>25683</v>
      </c>
      <c r="ACU33" s="1" t="s">
        <v>25684</v>
      </c>
      <c r="ACV33" s="1" t="s">
        <v>25685</v>
      </c>
      <c r="ACW33" s="1" t="s">
        <v>12</v>
      </c>
      <c r="ACX33" s="1" t="s">
        <v>1500</v>
      </c>
    </row>
    <row r="34" spans="1:778" x14ac:dyDescent="0.2">
      <c r="A34" s="1" t="s">
        <v>22</v>
      </c>
      <c r="B34" s="1" t="s">
        <v>25686</v>
      </c>
      <c r="C34" s="1" t="s">
        <v>25687</v>
      </c>
      <c r="D34" s="1" t="s">
        <v>25688</v>
      </c>
      <c r="E34" s="1" t="s">
        <v>25689</v>
      </c>
      <c r="F34" s="1" t="s">
        <v>25690</v>
      </c>
      <c r="G34" s="1" t="s">
        <v>25691</v>
      </c>
      <c r="H34" s="1" t="s">
        <v>25692</v>
      </c>
      <c r="I34" s="1" t="s">
        <v>25693</v>
      </c>
      <c r="J34" s="1" t="s">
        <v>25694</v>
      </c>
      <c r="K34" s="1" t="s">
        <v>25695</v>
      </c>
      <c r="L34" s="1" t="s">
        <v>25696</v>
      </c>
      <c r="M34" s="1" t="s">
        <v>25697</v>
      </c>
      <c r="N34" s="1" t="s">
        <v>25698</v>
      </c>
      <c r="O34" s="1" t="s">
        <v>25699</v>
      </c>
      <c r="P34" s="1" t="s">
        <v>25700</v>
      </c>
      <c r="Q34" s="1" t="s">
        <v>25701</v>
      </c>
      <c r="R34" s="1" t="s">
        <v>25702</v>
      </c>
      <c r="S34" s="1" t="s">
        <v>25703</v>
      </c>
      <c r="T34" s="1" t="s">
        <v>25704</v>
      </c>
      <c r="U34" s="1" t="s">
        <v>25705</v>
      </c>
      <c r="V34" s="1" t="s">
        <v>25706</v>
      </c>
      <c r="W34" s="1" t="s">
        <v>25707</v>
      </c>
      <c r="X34" s="1" t="s">
        <v>25708</v>
      </c>
      <c r="Y34" s="1" t="s">
        <v>25709</v>
      </c>
      <c r="Z34" s="1" t="s">
        <v>25710</v>
      </c>
      <c r="AA34" s="1" t="s">
        <v>25711</v>
      </c>
      <c r="AB34" s="1" t="s">
        <v>25712</v>
      </c>
      <c r="AC34" s="1" t="s">
        <v>25713</v>
      </c>
      <c r="AD34" s="1" t="s">
        <v>25714</v>
      </c>
      <c r="AE34" s="1" t="s">
        <v>25715</v>
      </c>
      <c r="AF34" s="1" t="s">
        <v>25716</v>
      </c>
      <c r="AG34" s="1" t="s">
        <v>25717</v>
      </c>
      <c r="AH34" s="1" t="s">
        <v>25718</v>
      </c>
      <c r="AI34" s="1" t="s">
        <v>25719</v>
      </c>
      <c r="AJ34" s="1" t="s">
        <v>25720</v>
      </c>
      <c r="AK34" s="1" t="s">
        <v>25721</v>
      </c>
      <c r="AL34" s="1" t="s">
        <v>25722</v>
      </c>
      <c r="AM34" s="1" t="s">
        <v>25723</v>
      </c>
      <c r="AN34" s="1" t="s">
        <v>25724</v>
      </c>
      <c r="AO34" s="1" t="s">
        <v>25725</v>
      </c>
      <c r="AP34" s="1" t="s">
        <v>25726</v>
      </c>
      <c r="AQ34" s="1" t="s">
        <v>25727</v>
      </c>
      <c r="AR34" s="1" t="s">
        <v>25728</v>
      </c>
      <c r="AS34" s="1" t="s">
        <v>25729</v>
      </c>
      <c r="AT34" s="1" t="s">
        <v>25730</v>
      </c>
      <c r="AU34" s="1" t="s">
        <v>25731</v>
      </c>
      <c r="AV34" s="1" t="s">
        <v>25732</v>
      </c>
      <c r="AW34" s="1" t="s">
        <v>25733</v>
      </c>
      <c r="AX34" s="1" t="s">
        <v>25734</v>
      </c>
      <c r="AY34" s="1" t="s">
        <v>25735</v>
      </c>
      <c r="AZ34" s="1" t="s">
        <v>25736</v>
      </c>
      <c r="BA34" s="1" t="s">
        <v>25737</v>
      </c>
      <c r="BB34" s="1" t="s">
        <v>25738</v>
      </c>
      <c r="BC34" s="1" t="s">
        <v>25739</v>
      </c>
      <c r="BD34" s="1" t="s">
        <v>25740</v>
      </c>
      <c r="BE34" s="1" t="s">
        <v>25741</v>
      </c>
      <c r="BF34" s="1" t="s">
        <v>25742</v>
      </c>
      <c r="BG34" s="1" t="s">
        <v>25743</v>
      </c>
      <c r="BH34" s="1" t="s">
        <v>25744</v>
      </c>
      <c r="BI34" s="1" t="s">
        <v>25745</v>
      </c>
      <c r="BJ34" s="1" t="s">
        <v>25746</v>
      </c>
      <c r="BK34" s="1" t="s">
        <v>25747</v>
      </c>
      <c r="BL34" s="1" t="s">
        <v>25748</v>
      </c>
      <c r="BM34" s="1" t="s">
        <v>25749</v>
      </c>
      <c r="BN34" s="1" t="s">
        <v>25750</v>
      </c>
      <c r="BO34" s="1" t="s">
        <v>25751</v>
      </c>
      <c r="BP34" s="1" t="s">
        <v>25752</v>
      </c>
      <c r="BQ34" s="1" t="s">
        <v>25753</v>
      </c>
      <c r="BR34" s="1" t="s">
        <v>25754</v>
      </c>
      <c r="BS34" s="1" t="s">
        <v>25755</v>
      </c>
      <c r="BT34" s="1" t="s">
        <v>25756</v>
      </c>
      <c r="BU34" s="1" t="s">
        <v>25757</v>
      </c>
      <c r="BV34" s="1" t="s">
        <v>25758</v>
      </c>
      <c r="BW34" s="1" t="s">
        <v>25759</v>
      </c>
      <c r="BX34" s="1" t="s">
        <v>25760</v>
      </c>
      <c r="BY34" s="1" t="s">
        <v>25761</v>
      </c>
      <c r="BZ34" s="1" t="s">
        <v>25762</v>
      </c>
      <c r="CA34" s="1" t="s">
        <v>25763</v>
      </c>
      <c r="CB34" s="1" t="s">
        <v>25764</v>
      </c>
      <c r="CC34" s="1" t="s">
        <v>25765</v>
      </c>
      <c r="CD34" s="1" t="s">
        <v>25766</v>
      </c>
      <c r="CE34" s="1" t="s">
        <v>25767</v>
      </c>
      <c r="CF34" s="1" t="s">
        <v>25768</v>
      </c>
      <c r="CG34" s="1" t="s">
        <v>25769</v>
      </c>
      <c r="CH34" s="1" t="s">
        <v>25770</v>
      </c>
      <c r="CI34" s="1" t="s">
        <v>25771</v>
      </c>
      <c r="CJ34" s="1" t="s">
        <v>25772</v>
      </c>
      <c r="CK34" s="1" t="s">
        <v>25773</v>
      </c>
      <c r="CL34" s="1" t="s">
        <v>25774</v>
      </c>
      <c r="CM34" s="1" t="s">
        <v>25775</v>
      </c>
      <c r="CN34" s="1" t="s">
        <v>25776</v>
      </c>
      <c r="CO34" s="1" t="s">
        <v>25777</v>
      </c>
      <c r="CP34" s="1" t="s">
        <v>25778</v>
      </c>
      <c r="CQ34" s="1" t="s">
        <v>25779</v>
      </c>
      <c r="CR34" s="1" t="s">
        <v>25780</v>
      </c>
      <c r="CS34" s="1" t="s">
        <v>25781</v>
      </c>
      <c r="CT34" s="1" t="s">
        <v>25782</v>
      </c>
      <c r="CU34" s="1" t="s">
        <v>25783</v>
      </c>
      <c r="CV34" s="1" t="s">
        <v>25784</v>
      </c>
      <c r="CW34" s="1" t="s">
        <v>25785</v>
      </c>
      <c r="CX34" s="1" t="s">
        <v>25786</v>
      </c>
      <c r="CY34" s="1" t="s">
        <v>25787</v>
      </c>
      <c r="CZ34" s="1" t="s">
        <v>25788</v>
      </c>
      <c r="DA34" s="1" t="s">
        <v>25789</v>
      </c>
      <c r="DB34" s="1" t="s">
        <v>25790</v>
      </c>
      <c r="DC34" s="1" t="s">
        <v>25791</v>
      </c>
      <c r="DD34" s="1" t="s">
        <v>25792</v>
      </c>
      <c r="DE34" s="1" t="s">
        <v>25793</v>
      </c>
      <c r="DF34" s="1" t="s">
        <v>25794</v>
      </c>
      <c r="DG34" s="1" t="s">
        <v>25795</v>
      </c>
      <c r="DH34" s="1" t="s">
        <v>25796</v>
      </c>
      <c r="DI34" s="1" t="s">
        <v>25797</v>
      </c>
      <c r="DJ34" s="1" t="s">
        <v>25798</v>
      </c>
      <c r="DK34" s="1" t="s">
        <v>25799</v>
      </c>
      <c r="DL34" s="1" t="s">
        <v>25800</v>
      </c>
      <c r="DM34" s="1" t="s">
        <v>25801</v>
      </c>
      <c r="DN34" s="1" t="s">
        <v>25802</v>
      </c>
      <c r="DO34" s="1" t="s">
        <v>25803</v>
      </c>
      <c r="DP34" s="1" t="s">
        <v>25804</v>
      </c>
      <c r="DQ34" s="1" t="s">
        <v>25805</v>
      </c>
      <c r="DR34" s="1" t="s">
        <v>25806</v>
      </c>
      <c r="DS34" s="1" t="s">
        <v>25807</v>
      </c>
      <c r="DT34" s="1" t="s">
        <v>25808</v>
      </c>
      <c r="DU34" s="1" t="s">
        <v>25809</v>
      </c>
      <c r="DV34" s="1" t="s">
        <v>25810</v>
      </c>
      <c r="DW34" s="1" t="s">
        <v>25811</v>
      </c>
      <c r="DX34" s="1" t="s">
        <v>25812</v>
      </c>
      <c r="DY34" s="1" t="s">
        <v>25813</v>
      </c>
      <c r="DZ34" s="1" t="s">
        <v>25814</v>
      </c>
      <c r="EA34" s="1" t="s">
        <v>25815</v>
      </c>
      <c r="EB34" s="1" t="s">
        <v>25816</v>
      </c>
      <c r="EC34" s="1" t="s">
        <v>25817</v>
      </c>
      <c r="ED34" s="1" t="s">
        <v>25818</v>
      </c>
      <c r="EE34" s="1" t="s">
        <v>25819</v>
      </c>
      <c r="EF34" s="1" t="s">
        <v>25820</v>
      </c>
      <c r="EG34" s="1" t="s">
        <v>25821</v>
      </c>
      <c r="EH34" s="1" t="s">
        <v>25822</v>
      </c>
      <c r="EI34" s="1" t="s">
        <v>25823</v>
      </c>
      <c r="EJ34" s="1" t="s">
        <v>25824</v>
      </c>
      <c r="EK34" s="1" t="s">
        <v>25825</v>
      </c>
      <c r="EL34" s="1" t="s">
        <v>25826</v>
      </c>
      <c r="EM34" s="1" t="s">
        <v>25827</v>
      </c>
      <c r="EN34" s="1" t="s">
        <v>25828</v>
      </c>
      <c r="EO34" s="1" t="s">
        <v>25829</v>
      </c>
      <c r="EP34" s="1" t="s">
        <v>25830</v>
      </c>
      <c r="EQ34" s="1" t="s">
        <v>25831</v>
      </c>
      <c r="ER34" s="1" t="s">
        <v>25832</v>
      </c>
      <c r="ES34" s="1" t="s">
        <v>25833</v>
      </c>
      <c r="ET34" s="1" t="s">
        <v>25834</v>
      </c>
      <c r="EU34" s="1" t="s">
        <v>25835</v>
      </c>
      <c r="EV34" s="1" t="s">
        <v>25836</v>
      </c>
      <c r="EW34" s="1" t="s">
        <v>25837</v>
      </c>
      <c r="EX34" s="1" t="s">
        <v>25838</v>
      </c>
      <c r="EY34" s="1" t="s">
        <v>25839</v>
      </c>
      <c r="EZ34" s="1" t="s">
        <v>25840</v>
      </c>
      <c r="FA34" s="1" t="s">
        <v>25841</v>
      </c>
      <c r="FB34" s="1" t="s">
        <v>25842</v>
      </c>
      <c r="FC34" s="1" t="s">
        <v>25843</v>
      </c>
      <c r="FD34" s="1" t="s">
        <v>25844</v>
      </c>
      <c r="FE34" s="1" t="s">
        <v>25845</v>
      </c>
      <c r="FF34" s="1" t="s">
        <v>25846</v>
      </c>
      <c r="FG34" s="1" t="s">
        <v>25847</v>
      </c>
      <c r="FH34" s="1" t="s">
        <v>25848</v>
      </c>
      <c r="FI34" s="1" t="s">
        <v>25849</v>
      </c>
      <c r="FJ34" s="1" t="s">
        <v>25850</v>
      </c>
      <c r="FK34" s="1" t="s">
        <v>25851</v>
      </c>
      <c r="FL34" s="1" t="s">
        <v>25852</v>
      </c>
      <c r="FM34" s="1" t="s">
        <v>25853</v>
      </c>
      <c r="FN34" s="1" t="s">
        <v>25854</v>
      </c>
      <c r="FO34" s="1" t="s">
        <v>25855</v>
      </c>
      <c r="FP34" s="1" t="s">
        <v>25856</v>
      </c>
      <c r="FQ34" s="1" t="s">
        <v>25857</v>
      </c>
      <c r="FR34" s="1" t="s">
        <v>25858</v>
      </c>
      <c r="FS34" s="1" t="s">
        <v>25859</v>
      </c>
      <c r="FT34" s="1" t="s">
        <v>25860</v>
      </c>
      <c r="FU34" s="1" t="s">
        <v>25861</v>
      </c>
      <c r="FV34" s="1" t="s">
        <v>25862</v>
      </c>
      <c r="FW34" s="1" t="s">
        <v>25863</v>
      </c>
      <c r="FX34" s="1" t="s">
        <v>25864</v>
      </c>
      <c r="FY34" s="1" t="s">
        <v>25865</v>
      </c>
      <c r="FZ34" s="1" t="s">
        <v>25866</v>
      </c>
      <c r="GA34" s="1" t="s">
        <v>25867</v>
      </c>
      <c r="GB34" s="1" t="s">
        <v>25868</v>
      </c>
      <c r="GC34" s="1" t="s">
        <v>25869</v>
      </c>
      <c r="GD34" s="1" t="s">
        <v>25870</v>
      </c>
      <c r="GE34" s="1" t="s">
        <v>25871</v>
      </c>
      <c r="GF34" s="1" t="s">
        <v>25872</v>
      </c>
      <c r="GG34" s="1" t="s">
        <v>25873</v>
      </c>
      <c r="GH34" s="1" t="s">
        <v>25874</v>
      </c>
      <c r="GI34" s="1" t="s">
        <v>25875</v>
      </c>
      <c r="GJ34" s="1" t="s">
        <v>25876</v>
      </c>
      <c r="GK34" s="1" t="s">
        <v>25877</v>
      </c>
      <c r="GL34" s="1" t="s">
        <v>25878</v>
      </c>
      <c r="GM34" s="1" t="s">
        <v>25879</v>
      </c>
      <c r="GN34" s="1" t="s">
        <v>25880</v>
      </c>
      <c r="GO34" s="1" t="s">
        <v>25881</v>
      </c>
      <c r="GP34" s="1" t="s">
        <v>25882</v>
      </c>
      <c r="GQ34" s="1" t="s">
        <v>25883</v>
      </c>
      <c r="GR34" s="1" t="s">
        <v>25884</v>
      </c>
      <c r="GS34" s="1" t="s">
        <v>25885</v>
      </c>
      <c r="GT34" s="1" t="s">
        <v>25886</v>
      </c>
      <c r="GU34" s="1" t="s">
        <v>25887</v>
      </c>
      <c r="GV34" s="1" t="s">
        <v>25888</v>
      </c>
      <c r="GW34" s="1" t="s">
        <v>25889</v>
      </c>
      <c r="GX34" s="1" t="s">
        <v>25890</v>
      </c>
      <c r="GY34" s="1" t="s">
        <v>25891</v>
      </c>
      <c r="GZ34" s="1" t="s">
        <v>25892</v>
      </c>
      <c r="HA34" s="1" t="s">
        <v>25893</v>
      </c>
      <c r="HB34" s="1" t="s">
        <v>25894</v>
      </c>
      <c r="HC34" s="1" t="s">
        <v>25895</v>
      </c>
      <c r="HD34" s="1" t="s">
        <v>25896</v>
      </c>
      <c r="HE34" s="1" t="s">
        <v>25897</v>
      </c>
      <c r="HF34" s="1" t="s">
        <v>25898</v>
      </c>
      <c r="HG34" s="1" t="s">
        <v>25899</v>
      </c>
      <c r="HH34" s="1" t="s">
        <v>25900</v>
      </c>
      <c r="HI34" s="1" t="s">
        <v>25901</v>
      </c>
      <c r="HJ34" s="1" t="s">
        <v>25902</v>
      </c>
      <c r="HK34" s="1" t="s">
        <v>25903</v>
      </c>
      <c r="HL34" s="1" t="s">
        <v>25904</v>
      </c>
      <c r="HM34" s="1" t="s">
        <v>25905</v>
      </c>
      <c r="HN34" s="1" t="s">
        <v>25906</v>
      </c>
      <c r="HO34" s="1" t="s">
        <v>25907</v>
      </c>
      <c r="HP34" s="1" t="s">
        <v>25908</v>
      </c>
      <c r="HQ34" s="1" t="s">
        <v>25909</v>
      </c>
      <c r="HR34" s="1" t="s">
        <v>25910</v>
      </c>
      <c r="HS34" s="1" t="s">
        <v>25911</v>
      </c>
      <c r="HT34" s="1" t="s">
        <v>25912</v>
      </c>
      <c r="HU34" s="1" t="s">
        <v>25913</v>
      </c>
      <c r="HV34" s="1" t="s">
        <v>25914</v>
      </c>
      <c r="HW34" s="1" t="s">
        <v>25915</v>
      </c>
      <c r="HX34" s="1" t="s">
        <v>25916</v>
      </c>
      <c r="HY34" s="1" t="s">
        <v>25917</v>
      </c>
      <c r="HZ34" s="1" t="s">
        <v>25918</v>
      </c>
      <c r="IA34" s="1" t="s">
        <v>25919</v>
      </c>
      <c r="IB34" s="1" t="s">
        <v>25920</v>
      </c>
      <c r="IC34" s="1" t="s">
        <v>25921</v>
      </c>
      <c r="ID34" s="1" t="s">
        <v>25922</v>
      </c>
      <c r="IE34" s="1" t="s">
        <v>25923</v>
      </c>
      <c r="IF34" s="1" t="s">
        <v>25924</v>
      </c>
      <c r="IG34" s="1" t="s">
        <v>25925</v>
      </c>
      <c r="IH34" s="1" t="s">
        <v>25926</v>
      </c>
      <c r="II34" s="1" t="s">
        <v>25927</v>
      </c>
      <c r="IJ34" s="1" t="s">
        <v>25928</v>
      </c>
      <c r="IK34" s="1" t="s">
        <v>25929</v>
      </c>
      <c r="IL34" s="1" t="s">
        <v>25930</v>
      </c>
      <c r="IM34" s="1" t="s">
        <v>25931</v>
      </c>
      <c r="IN34" s="1" t="s">
        <v>25932</v>
      </c>
      <c r="IO34" s="1" t="s">
        <v>25933</v>
      </c>
      <c r="IP34" s="1" t="s">
        <v>25934</v>
      </c>
      <c r="IQ34" s="1" t="s">
        <v>25935</v>
      </c>
      <c r="IR34" s="1" t="s">
        <v>25936</v>
      </c>
      <c r="IS34" s="1" t="s">
        <v>25937</v>
      </c>
      <c r="IT34" s="1" t="s">
        <v>25938</v>
      </c>
      <c r="IU34" s="1" t="s">
        <v>25939</v>
      </c>
      <c r="IV34" s="1" t="s">
        <v>25940</v>
      </c>
      <c r="IW34" s="1" t="s">
        <v>25941</v>
      </c>
      <c r="IX34" s="1" t="s">
        <v>25942</v>
      </c>
      <c r="IY34" s="1" t="s">
        <v>25943</v>
      </c>
      <c r="IZ34" s="1" t="s">
        <v>25944</v>
      </c>
      <c r="JA34" s="1" t="s">
        <v>25945</v>
      </c>
      <c r="JB34" s="1" t="s">
        <v>25946</v>
      </c>
      <c r="JC34" s="1" t="s">
        <v>25947</v>
      </c>
      <c r="JD34" s="1" t="s">
        <v>25948</v>
      </c>
      <c r="JE34" s="1" t="s">
        <v>25949</v>
      </c>
      <c r="JF34" s="1" t="s">
        <v>25950</v>
      </c>
      <c r="JG34" s="1" t="s">
        <v>25951</v>
      </c>
      <c r="JH34" s="1" t="s">
        <v>25952</v>
      </c>
      <c r="JI34" s="1" t="s">
        <v>25953</v>
      </c>
      <c r="JJ34" s="1" t="s">
        <v>25954</v>
      </c>
      <c r="JK34" s="1" t="s">
        <v>25955</v>
      </c>
      <c r="JL34" s="1" t="s">
        <v>25956</v>
      </c>
      <c r="JM34" s="1" t="s">
        <v>25957</v>
      </c>
      <c r="JN34" s="1" t="s">
        <v>25958</v>
      </c>
      <c r="JO34" s="1" t="s">
        <v>25959</v>
      </c>
      <c r="JP34" s="1" t="s">
        <v>25960</v>
      </c>
      <c r="JQ34" s="1" t="s">
        <v>25961</v>
      </c>
      <c r="JR34" s="1" t="s">
        <v>25962</v>
      </c>
      <c r="JS34" s="1" t="s">
        <v>25963</v>
      </c>
      <c r="JT34" s="1" t="s">
        <v>25964</v>
      </c>
      <c r="JU34" s="1" t="s">
        <v>25965</v>
      </c>
      <c r="JV34" s="1" t="s">
        <v>25966</v>
      </c>
      <c r="JW34" s="1" t="s">
        <v>25967</v>
      </c>
      <c r="JX34" s="1" t="s">
        <v>25968</v>
      </c>
      <c r="JY34" s="1" t="s">
        <v>25969</v>
      </c>
      <c r="JZ34" s="1" t="s">
        <v>25970</v>
      </c>
      <c r="KA34" s="1" t="s">
        <v>25971</v>
      </c>
      <c r="KB34" s="1" t="s">
        <v>25972</v>
      </c>
      <c r="KC34" s="1" t="s">
        <v>25973</v>
      </c>
      <c r="KD34" s="1" t="s">
        <v>25974</v>
      </c>
      <c r="KE34" s="1" t="s">
        <v>25975</v>
      </c>
      <c r="KF34" s="1" t="s">
        <v>25976</v>
      </c>
      <c r="KG34" s="1" t="s">
        <v>25977</v>
      </c>
      <c r="KH34" s="1" t="s">
        <v>25978</v>
      </c>
      <c r="KI34" s="1" t="s">
        <v>25979</v>
      </c>
      <c r="KJ34" s="1" t="s">
        <v>25980</v>
      </c>
      <c r="KK34" s="1" t="s">
        <v>25981</v>
      </c>
      <c r="KL34" s="1" t="s">
        <v>25982</v>
      </c>
      <c r="KM34" s="1" t="s">
        <v>25983</v>
      </c>
      <c r="KN34" s="1" t="s">
        <v>25984</v>
      </c>
      <c r="KO34" s="1" t="s">
        <v>25985</v>
      </c>
      <c r="KP34" s="1" t="s">
        <v>25986</v>
      </c>
      <c r="KQ34" s="1" t="s">
        <v>25987</v>
      </c>
      <c r="KR34" s="1" t="s">
        <v>25988</v>
      </c>
      <c r="KS34" s="1" t="s">
        <v>25989</v>
      </c>
      <c r="KT34" s="1" t="s">
        <v>25990</v>
      </c>
      <c r="KU34" s="1" t="s">
        <v>25991</v>
      </c>
      <c r="KV34" s="1" t="s">
        <v>25992</v>
      </c>
      <c r="KW34" s="1" t="s">
        <v>25993</v>
      </c>
      <c r="KX34" s="1" t="s">
        <v>25994</v>
      </c>
      <c r="KY34" s="1" t="s">
        <v>25995</v>
      </c>
      <c r="KZ34" s="1" t="s">
        <v>25996</v>
      </c>
      <c r="LA34" s="1" t="s">
        <v>25997</v>
      </c>
      <c r="LB34" s="1" t="s">
        <v>25998</v>
      </c>
      <c r="LC34" s="1" t="s">
        <v>25999</v>
      </c>
      <c r="LD34" s="1" t="s">
        <v>26000</v>
      </c>
      <c r="LE34" s="1" t="s">
        <v>26001</v>
      </c>
      <c r="LF34" s="1" t="s">
        <v>26002</v>
      </c>
      <c r="LG34" s="1" t="s">
        <v>26003</v>
      </c>
      <c r="LH34" s="1" t="s">
        <v>26004</v>
      </c>
      <c r="LI34" s="1" t="s">
        <v>26005</v>
      </c>
      <c r="LJ34" s="1" t="s">
        <v>26006</v>
      </c>
      <c r="LK34" s="1" t="s">
        <v>26007</v>
      </c>
      <c r="LL34" s="1" t="s">
        <v>26008</v>
      </c>
      <c r="LM34" s="1" t="s">
        <v>26009</v>
      </c>
      <c r="LN34" s="1" t="s">
        <v>26010</v>
      </c>
      <c r="LO34" s="1" t="s">
        <v>26011</v>
      </c>
      <c r="LP34" s="1" t="s">
        <v>26012</v>
      </c>
      <c r="LQ34" s="1" t="s">
        <v>26013</v>
      </c>
      <c r="LR34" s="1" t="s">
        <v>26014</v>
      </c>
      <c r="LS34" s="1" t="s">
        <v>26015</v>
      </c>
      <c r="LT34" s="1" t="s">
        <v>26016</v>
      </c>
      <c r="LU34" s="1" t="s">
        <v>26017</v>
      </c>
      <c r="LV34" s="1" t="s">
        <v>26018</v>
      </c>
      <c r="LW34" s="1" t="s">
        <v>26019</v>
      </c>
      <c r="LX34" s="1" t="s">
        <v>26020</v>
      </c>
      <c r="LY34" s="1" t="s">
        <v>26021</v>
      </c>
      <c r="LZ34" s="1" t="s">
        <v>26022</v>
      </c>
      <c r="MA34" s="1" t="s">
        <v>26023</v>
      </c>
      <c r="MB34" s="1" t="s">
        <v>26024</v>
      </c>
      <c r="MC34" s="1" t="s">
        <v>26025</v>
      </c>
      <c r="MD34" s="1" t="s">
        <v>26026</v>
      </c>
      <c r="ME34" s="1" t="s">
        <v>26027</v>
      </c>
      <c r="MF34" s="1" t="s">
        <v>26028</v>
      </c>
      <c r="MG34" s="1" t="s">
        <v>26029</v>
      </c>
      <c r="MH34" s="1" t="s">
        <v>26030</v>
      </c>
      <c r="MI34" s="1" t="s">
        <v>26031</v>
      </c>
      <c r="MJ34" s="1" t="s">
        <v>26032</v>
      </c>
      <c r="MK34" s="1" t="s">
        <v>26033</v>
      </c>
      <c r="ML34" s="1" t="s">
        <v>26034</v>
      </c>
      <c r="MM34" s="1" t="s">
        <v>26035</v>
      </c>
      <c r="MN34" s="1" t="s">
        <v>26036</v>
      </c>
      <c r="MO34" s="1" t="s">
        <v>26037</v>
      </c>
      <c r="MP34" s="1" t="s">
        <v>26038</v>
      </c>
      <c r="MQ34" s="1" t="s">
        <v>26039</v>
      </c>
      <c r="MR34" s="1" t="s">
        <v>26040</v>
      </c>
      <c r="MS34" s="1" t="s">
        <v>26041</v>
      </c>
      <c r="MT34" s="1" t="s">
        <v>26042</v>
      </c>
      <c r="MU34" s="1" t="s">
        <v>26043</v>
      </c>
      <c r="MV34" s="1" t="s">
        <v>26044</v>
      </c>
      <c r="MW34" s="1" t="s">
        <v>26045</v>
      </c>
      <c r="MX34" s="1" t="s">
        <v>26046</v>
      </c>
      <c r="MY34" s="1" t="s">
        <v>26047</v>
      </c>
      <c r="MZ34" s="1" t="s">
        <v>26048</v>
      </c>
      <c r="NA34" s="1" t="s">
        <v>26049</v>
      </c>
      <c r="NB34" s="1" t="s">
        <v>26050</v>
      </c>
      <c r="NC34" s="1" t="s">
        <v>26051</v>
      </c>
      <c r="ND34" s="1" t="s">
        <v>26052</v>
      </c>
      <c r="NE34" s="1" t="s">
        <v>26053</v>
      </c>
      <c r="NF34" s="1" t="s">
        <v>26054</v>
      </c>
      <c r="NG34" s="1" t="s">
        <v>26055</v>
      </c>
      <c r="NH34" s="1" t="s">
        <v>26056</v>
      </c>
      <c r="NI34" s="1" t="s">
        <v>26057</v>
      </c>
      <c r="NJ34" s="1" t="s">
        <v>26058</v>
      </c>
      <c r="NK34" s="1" t="s">
        <v>26059</v>
      </c>
      <c r="NL34" s="1" t="s">
        <v>26060</v>
      </c>
      <c r="NM34" s="1" t="s">
        <v>26061</v>
      </c>
      <c r="NN34" s="1" t="s">
        <v>26062</v>
      </c>
      <c r="NO34" s="1" t="s">
        <v>26063</v>
      </c>
      <c r="NP34" s="1" t="s">
        <v>26064</v>
      </c>
      <c r="NQ34" s="1" t="s">
        <v>26065</v>
      </c>
      <c r="NR34" s="1" t="s">
        <v>26066</v>
      </c>
      <c r="NS34" s="1" t="s">
        <v>26067</v>
      </c>
      <c r="NT34" s="1" t="s">
        <v>26068</v>
      </c>
      <c r="NU34" s="1" t="s">
        <v>26069</v>
      </c>
      <c r="NV34" s="1" t="s">
        <v>26070</v>
      </c>
      <c r="NW34" s="1" t="s">
        <v>26071</v>
      </c>
      <c r="NX34" s="1" t="s">
        <v>26072</v>
      </c>
      <c r="NY34" s="1" t="s">
        <v>26073</v>
      </c>
      <c r="NZ34" s="1" t="s">
        <v>26074</v>
      </c>
      <c r="OA34" s="1" t="s">
        <v>26075</v>
      </c>
      <c r="OB34" s="1" t="s">
        <v>26076</v>
      </c>
      <c r="OC34" s="1" t="s">
        <v>26077</v>
      </c>
      <c r="OD34" s="1" t="s">
        <v>26078</v>
      </c>
      <c r="OE34" s="1" t="s">
        <v>26079</v>
      </c>
      <c r="OF34" s="1" t="s">
        <v>26080</v>
      </c>
      <c r="OG34" s="1" t="s">
        <v>26081</v>
      </c>
      <c r="OH34" s="1" t="s">
        <v>26082</v>
      </c>
      <c r="OI34" s="1" t="s">
        <v>26083</v>
      </c>
      <c r="OJ34" s="1" t="s">
        <v>26084</v>
      </c>
      <c r="OK34" s="1" t="s">
        <v>26085</v>
      </c>
      <c r="OL34" s="1" t="s">
        <v>26086</v>
      </c>
      <c r="OM34" s="1" t="s">
        <v>26087</v>
      </c>
      <c r="ON34" s="1" t="s">
        <v>26088</v>
      </c>
      <c r="OO34" s="1" t="s">
        <v>26089</v>
      </c>
      <c r="OP34" s="1" t="s">
        <v>26090</v>
      </c>
      <c r="OQ34" s="1" t="s">
        <v>26091</v>
      </c>
      <c r="OR34" s="1" t="s">
        <v>26092</v>
      </c>
      <c r="OS34" s="1" t="s">
        <v>26093</v>
      </c>
      <c r="OT34" s="1" t="s">
        <v>26094</v>
      </c>
      <c r="OU34" s="1" t="s">
        <v>26095</v>
      </c>
      <c r="OV34" s="1" t="s">
        <v>26096</v>
      </c>
      <c r="OW34" s="1" t="s">
        <v>26097</v>
      </c>
      <c r="OX34" s="1" t="s">
        <v>26098</v>
      </c>
      <c r="OY34" s="1" t="s">
        <v>26099</v>
      </c>
      <c r="OZ34" s="1" t="s">
        <v>26100</v>
      </c>
      <c r="PA34" s="1" t="s">
        <v>26101</v>
      </c>
      <c r="PB34" s="1" t="s">
        <v>26102</v>
      </c>
      <c r="PC34" s="1" t="s">
        <v>26103</v>
      </c>
      <c r="PD34" s="1" t="s">
        <v>26104</v>
      </c>
      <c r="PE34" s="1" t="s">
        <v>26105</v>
      </c>
      <c r="PF34" s="1" t="s">
        <v>26106</v>
      </c>
      <c r="PG34" s="1" t="s">
        <v>26107</v>
      </c>
      <c r="PH34" s="1" t="s">
        <v>26108</v>
      </c>
      <c r="PI34" s="1" t="s">
        <v>26109</v>
      </c>
      <c r="PJ34" s="1" t="s">
        <v>26110</v>
      </c>
      <c r="PK34" s="1" t="s">
        <v>26111</v>
      </c>
      <c r="PL34" s="1" t="s">
        <v>26112</v>
      </c>
      <c r="PM34" s="1" t="s">
        <v>26113</v>
      </c>
      <c r="PN34" s="1" t="s">
        <v>26114</v>
      </c>
      <c r="PO34" s="1" t="s">
        <v>26115</v>
      </c>
      <c r="PP34" s="1" t="s">
        <v>26116</v>
      </c>
      <c r="PQ34" s="1" t="s">
        <v>26117</v>
      </c>
      <c r="PR34" s="1" t="s">
        <v>26118</v>
      </c>
      <c r="PS34" s="1" t="s">
        <v>26119</v>
      </c>
      <c r="PT34" s="1" t="s">
        <v>26120</v>
      </c>
      <c r="PU34" s="1" t="s">
        <v>26121</v>
      </c>
      <c r="PV34" s="1" t="s">
        <v>26122</v>
      </c>
      <c r="PW34" s="1" t="s">
        <v>26123</v>
      </c>
      <c r="PX34" s="1" t="s">
        <v>26124</v>
      </c>
      <c r="PY34" s="1" t="s">
        <v>26125</v>
      </c>
      <c r="PZ34" s="1" t="s">
        <v>26126</v>
      </c>
      <c r="QA34" s="1" t="s">
        <v>26127</v>
      </c>
      <c r="QB34" s="1" t="s">
        <v>26128</v>
      </c>
      <c r="QC34" s="1" t="s">
        <v>26129</v>
      </c>
      <c r="QD34" s="1" t="s">
        <v>26130</v>
      </c>
      <c r="QE34" s="1" t="s">
        <v>26131</v>
      </c>
      <c r="QF34" s="1" t="s">
        <v>26132</v>
      </c>
      <c r="QG34" s="1" t="s">
        <v>26133</v>
      </c>
      <c r="QH34" s="1" t="s">
        <v>26134</v>
      </c>
      <c r="QI34" s="1" t="s">
        <v>26135</v>
      </c>
      <c r="QJ34" s="1" t="s">
        <v>26136</v>
      </c>
      <c r="QK34" s="1" t="s">
        <v>26137</v>
      </c>
      <c r="QL34" s="1" t="s">
        <v>26138</v>
      </c>
      <c r="QM34" s="1" t="s">
        <v>26139</v>
      </c>
      <c r="QN34" s="1" t="s">
        <v>26140</v>
      </c>
      <c r="QO34" s="1" t="s">
        <v>26141</v>
      </c>
      <c r="QP34" s="1" t="s">
        <v>26142</v>
      </c>
      <c r="QQ34" s="1" t="s">
        <v>26143</v>
      </c>
      <c r="QR34" s="1" t="s">
        <v>26144</v>
      </c>
      <c r="QS34" s="1" t="s">
        <v>26145</v>
      </c>
      <c r="QT34" s="1" t="s">
        <v>26146</v>
      </c>
      <c r="QU34" s="1" t="s">
        <v>26147</v>
      </c>
      <c r="QV34" s="1" t="s">
        <v>26148</v>
      </c>
      <c r="QW34" s="1" t="s">
        <v>26149</v>
      </c>
      <c r="QX34" s="1" t="s">
        <v>26150</v>
      </c>
      <c r="QY34" s="1" t="s">
        <v>26151</v>
      </c>
      <c r="QZ34" s="1" t="s">
        <v>26152</v>
      </c>
      <c r="RA34" s="1" t="s">
        <v>26153</v>
      </c>
      <c r="RB34" s="1" t="s">
        <v>26154</v>
      </c>
      <c r="RC34" s="1" t="s">
        <v>26155</v>
      </c>
      <c r="RD34" s="1" t="s">
        <v>26156</v>
      </c>
      <c r="RE34" s="1" t="s">
        <v>26157</v>
      </c>
      <c r="RF34" s="1" t="s">
        <v>26158</v>
      </c>
      <c r="RG34" s="1" t="s">
        <v>26159</v>
      </c>
      <c r="RH34" s="1" t="s">
        <v>26160</v>
      </c>
      <c r="RI34" s="1" t="s">
        <v>26161</v>
      </c>
      <c r="RJ34" s="1" t="s">
        <v>26162</v>
      </c>
      <c r="RK34" s="1" t="s">
        <v>26163</v>
      </c>
      <c r="RL34" s="1" t="s">
        <v>26164</v>
      </c>
      <c r="RM34" s="1" t="s">
        <v>26165</v>
      </c>
      <c r="RN34" s="1" t="s">
        <v>26166</v>
      </c>
      <c r="RO34" s="1" t="s">
        <v>26167</v>
      </c>
      <c r="RP34" s="1" t="s">
        <v>26168</v>
      </c>
      <c r="RQ34" s="1" t="s">
        <v>26169</v>
      </c>
      <c r="RR34" s="1" t="s">
        <v>26170</v>
      </c>
      <c r="RS34" s="1" t="s">
        <v>26171</v>
      </c>
      <c r="RT34" s="1" t="s">
        <v>26172</v>
      </c>
      <c r="RU34" s="1" t="s">
        <v>26173</v>
      </c>
      <c r="RV34" s="1" t="s">
        <v>26174</v>
      </c>
      <c r="RW34" s="1" t="s">
        <v>26175</v>
      </c>
      <c r="RX34" s="1" t="s">
        <v>26176</v>
      </c>
      <c r="RY34" s="1" t="s">
        <v>26177</v>
      </c>
      <c r="RZ34" s="1" t="s">
        <v>26178</v>
      </c>
      <c r="SA34" s="1" t="s">
        <v>26179</v>
      </c>
      <c r="SB34" s="1" t="s">
        <v>26180</v>
      </c>
      <c r="SC34" s="1" t="s">
        <v>26181</v>
      </c>
      <c r="SD34" s="1" t="s">
        <v>26182</v>
      </c>
      <c r="SE34" s="1" t="s">
        <v>26183</v>
      </c>
      <c r="SF34" s="1" t="s">
        <v>26184</v>
      </c>
      <c r="SG34" s="1" t="s">
        <v>26185</v>
      </c>
      <c r="SH34" s="1" t="s">
        <v>26186</v>
      </c>
      <c r="SI34" s="1" t="s">
        <v>26187</v>
      </c>
      <c r="SJ34" s="1" t="s">
        <v>26188</v>
      </c>
      <c r="SK34" s="1" t="s">
        <v>26189</v>
      </c>
      <c r="SL34" s="1" t="s">
        <v>26190</v>
      </c>
      <c r="SM34" s="1" t="s">
        <v>26191</v>
      </c>
      <c r="SN34" s="1" t="s">
        <v>26192</v>
      </c>
      <c r="SO34" s="1" t="s">
        <v>26193</v>
      </c>
      <c r="SP34" s="1" t="s">
        <v>26194</v>
      </c>
      <c r="SQ34" s="1" t="s">
        <v>26195</v>
      </c>
      <c r="SR34" s="1" t="s">
        <v>26196</v>
      </c>
      <c r="SS34" s="1" t="s">
        <v>26197</v>
      </c>
      <c r="ST34" s="1" t="s">
        <v>26198</v>
      </c>
      <c r="SU34" s="1" t="s">
        <v>26199</v>
      </c>
      <c r="SV34" s="1" t="s">
        <v>26200</v>
      </c>
      <c r="SW34" s="1" t="s">
        <v>26201</v>
      </c>
      <c r="SX34" s="1" t="s">
        <v>26202</v>
      </c>
      <c r="SY34" s="1" t="s">
        <v>26203</v>
      </c>
      <c r="SZ34" s="1" t="s">
        <v>26204</v>
      </c>
      <c r="TA34" s="1" t="s">
        <v>26205</v>
      </c>
      <c r="TB34" s="1" t="s">
        <v>26206</v>
      </c>
      <c r="TC34" s="1" t="s">
        <v>26207</v>
      </c>
      <c r="TD34" s="1" t="s">
        <v>26208</v>
      </c>
      <c r="TE34" s="1" t="s">
        <v>26209</v>
      </c>
      <c r="TF34" s="1" t="s">
        <v>26210</v>
      </c>
      <c r="TG34" s="1" t="s">
        <v>26211</v>
      </c>
      <c r="TH34" s="1" t="s">
        <v>26212</v>
      </c>
      <c r="TI34" s="1" t="s">
        <v>26213</v>
      </c>
      <c r="TJ34" s="1" t="s">
        <v>26214</v>
      </c>
      <c r="TK34" s="1" t="s">
        <v>26215</v>
      </c>
      <c r="TL34" s="1" t="s">
        <v>26216</v>
      </c>
      <c r="TM34" s="1" t="s">
        <v>26217</v>
      </c>
      <c r="TN34" s="1" t="s">
        <v>26218</v>
      </c>
      <c r="TO34" s="1" t="s">
        <v>26219</v>
      </c>
      <c r="TP34" s="1" t="s">
        <v>26220</v>
      </c>
      <c r="TQ34" s="1" t="s">
        <v>26221</v>
      </c>
      <c r="TR34" s="1" t="s">
        <v>26222</v>
      </c>
      <c r="TS34" s="1" t="s">
        <v>26223</v>
      </c>
      <c r="TT34" s="1" t="s">
        <v>26224</v>
      </c>
      <c r="TU34" s="1" t="s">
        <v>26225</v>
      </c>
      <c r="TV34" s="1" t="s">
        <v>26226</v>
      </c>
      <c r="TW34" s="1" t="s">
        <v>26227</v>
      </c>
      <c r="TX34" s="1" t="s">
        <v>26228</v>
      </c>
      <c r="TY34" s="1" t="s">
        <v>26229</v>
      </c>
      <c r="TZ34" s="1" t="s">
        <v>26230</v>
      </c>
      <c r="UA34" s="1" t="s">
        <v>26231</v>
      </c>
      <c r="UB34" s="1" t="s">
        <v>26232</v>
      </c>
      <c r="UC34" s="1" t="s">
        <v>26233</v>
      </c>
      <c r="UD34" s="1" t="s">
        <v>26234</v>
      </c>
      <c r="UE34" s="1" t="s">
        <v>26235</v>
      </c>
      <c r="UF34" s="1" t="s">
        <v>26236</v>
      </c>
      <c r="UG34" s="1" t="s">
        <v>26237</v>
      </c>
      <c r="UH34" s="1" t="s">
        <v>26238</v>
      </c>
      <c r="UI34" s="1" t="s">
        <v>26239</v>
      </c>
      <c r="UJ34" s="1" t="s">
        <v>26240</v>
      </c>
      <c r="UK34" s="1" t="s">
        <v>26241</v>
      </c>
      <c r="UL34" s="1" t="s">
        <v>26242</v>
      </c>
      <c r="UM34" s="1" t="s">
        <v>26243</v>
      </c>
      <c r="UN34" s="1" t="s">
        <v>26244</v>
      </c>
      <c r="UO34" s="1" t="s">
        <v>26245</v>
      </c>
      <c r="UP34" s="1" t="s">
        <v>26246</v>
      </c>
      <c r="UQ34" s="1" t="s">
        <v>26247</v>
      </c>
      <c r="UR34" s="1" t="s">
        <v>26248</v>
      </c>
      <c r="US34" s="1" t="s">
        <v>26249</v>
      </c>
      <c r="UT34" s="1" t="s">
        <v>26250</v>
      </c>
      <c r="UU34" s="1" t="s">
        <v>26251</v>
      </c>
      <c r="UV34" s="1" t="s">
        <v>26252</v>
      </c>
      <c r="UW34" s="1" t="s">
        <v>26253</v>
      </c>
      <c r="UX34" s="1" t="s">
        <v>26254</v>
      </c>
      <c r="UY34" s="1" t="s">
        <v>26255</v>
      </c>
      <c r="UZ34" s="1" t="s">
        <v>26256</v>
      </c>
      <c r="VA34" s="1" t="s">
        <v>26257</v>
      </c>
      <c r="VB34" s="1" t="s">
        <v>26258</v>
      </c>
      <c r="VC34" s="1" t="s">
        <v>26259</v>
      </c>
      <c r="VD34" s="1" t="s">
        <v>26260</v>
      </c>
      <c r="VE34" s="1" t="s">
        <v>26261</v>
      </c>
      <c r="VF34" s="1" t="s">
        <v>26262</v>
      </c>
      <c r="VG34" s="1" t="s">
        <v>26263</v>
      </c>
      <c r="VH34" s="1" t="s">
        <v>26264</v>
      </c>
      <c r="VI34" s="1" t="s">
        <v>26265</v>
      </c>
      <c r="VJ34" s="1" t="s">
        <v>26266</v>
      </c>
      <c r="VK34" s="1" t="s">
        <v>26267</v>
      </c>
      <c r="VL34" s="1" t="s">
        <v>26268</v>
      </c>
      <c r="VM34" s="1" t="s">
        <v>26269</v>
      </c>
      <c r="VN34" s="1" t="s">
        <v>26270</v>
      </c>
      <c r="VO34" s="1" t="s">
        <v>26271</v>
      </c>
      <c r="VP34" s="1" t="s">
        <v>26272</v>
      </c>
      <c r="VQ34" s="1" t="s">
        <v>26273</v>
      </c>
      <c r="VR34" s="1" t="s">
        <v>26274</v>
      </c>
      <c r="VS34" s="1" t="s">
        <v>26275</v>
      </c>
      <c r="VT34" s="1" t="s">
        <v>26276</v>
      </c>
      <c r="VU34" s="1" t="s">
        <v>26277</v>
      </c>
      <c r="VV34" s="1" t="s">
        <v>26278</v>
      </c>
      <c r="VW34" s="1" t="s">
        <v>26279</v>
      </c>
      <c r="VX34" s="1" t="s">
        <v>26280</v>
      </c>
      <c r="VY34" s="1" t="s">
        <v>26281</v>
      </c>
      <c r="VZ34" s="1" t="s">
        <v>26282</v>
      </c>
      <c r="WA34" s="1" t="s">
        <v>26283</v>
      </c>
      <c r="WB34" s="1" t="s">
        <v>26284</v>
      </c>
      <c r="WC34" s="1" t="s">
        <v>26285</v>
      </c>
      <c r="WD34" s="1" t="s">
        <v>26286</v>
      </c>
      <c r="WE34" s="1" t="s">
        <v>26287</v>
      </c>
      <c r="WF34" s="1" t="s">
        <v>26288</v>
      </c>
      <c r="WG34" s="1" t="s">
        <v>26289</v>
      </c>
      <c r="WH34" s="1" t="s">
        <v>26290</v>
      </c>
      <c r="WI34" s="1" t="s">
        <v>26291</v>
      </c>
      <c r="WJ34" s="1" t="s">
        <v>26292</v>
      </c>
      <c r="WK34" s="1" t="s">
        <v>26293</v>
      </c>
      <c r="WL34" s="1" t="s">
        <v>26294</v>
      </c>
      <c r="WM34" s="1" t="s">
        <v>26295</v>
      </c>
      <c r="WN34" s="1" t="s">
        <v>26296</v>
      </c>
      <c r="WO34" s="1" t="s">
        <v>26297</v>
      </c>
      <c r="WP34" s="1" t="s">
        <v>26298</v>
      </c>
      <c r="WQ34" s="1" t="s">
        <v>26299</v>
      </c>
      <c r="WR34" s="1" t="s">
        <v>26300</v>
      </c>
      <c r="WS34" s="1" t="s">
        <v>26301</v>
      </c>
      <c r="WT34" s="1" t="s">
        <v>26302</v>
      </c>
      <c r="WU34" s="1" t="s">
        <v>26303</v>
      </c>
      <c r="WV34" s="1" t="s">
        <v>26304</v>
      </c>
      <c r="WW34" s="1" t="s">
        <v>26305</v>
      </c>
      <c r="WX34" s="1" t="s">
        <v>26306</v>
      </c>
      <c r="WY34" s="1" t="s">
        <v>26307</v>
      </c>
      <c r="WZ34" s="1" t="s">
        <v>26308</v>
      </c>
      <c r="XA34" s="1" t="s">
        <v>26309</v>
      </c>
      <c r="XB34" s="1" t="s">
        <v>26310</v>
      </c>
      <c r="XC34" s="1" t="s">
        <v>26311</v>
      </c>
      <c r="XD34" s="1" t="s">
        <v>26312</v>
      </c>
      <c r="XE34" s="1" t="s">
        <v>26313</v>
      </c>
      <c r="XF34" s="1" t="s">
        <v>26314</v>
      </c>
      <c r="XG34" s="1" t="s">
        <v>26315</v>
      </c>
      <c r="XH34" s="1" t="s">
        <v>26316</v>
      </c>
      <c r="XI34" s="1" t="s">
        <v>26317</v>
      </c>
      <c r="XJ34" s="1" t="s">
        <v>26318</v>
      </c>
      <c r="XK34" s="1" t="s">
        <v>26319</v>
      </c>
      <c r="XL34" s="1" t="s">
        <v>26320</v>
      </c>
      <c r="XM34" s="1" t="s">
        <v>26321</v>
      </c>
      <c r="XN34" s="1" t="s">
        <v>26322</v>
      </c>
      <c r="XO34" s="1" t="s">
        <v>26323</v>
      </c>
      <c r="XP34" s="1" t="s">
        <v>26324</v>
      </c>
      <c r="XQ34" s="1" t="s">
        <v>26325</v>
      </c>
      <c r="XR34" s="1" t="s">
        <v>26326</v>
      </c>
      <c r="XS34" s="1" t="s">
        <v>26327</v>
      </c>
      <c r="XT34" s="1" t="s">
        <v>26328</v>
      </c>
      <c r="XU34" s="1" t="s">
        <v>26329</v>
      </c>
      <c r="XV34" s="1" t="s">
        <v>26330</v>
      </c>
      <c r="XW34" s="1" t="s">
        <v>26331</v>
      </c>
      <c r="XX34" s="1" t="s">
        <v>26332</v>
      </c>
      <c r="XY34" s="1" t="s">
        <v>26333</v>
      </c>
      <c r="XZ34" s="1" t="s">
        <v>26334</v>
      </c>
      <c r="YA34" s="1" t="s">
        <v>26335</v>
      </c>
      <c r="YB34" s="1" t="s">
        <v>26336</v>
      </c>
      <c r="YC34" s="1" t="s">
        <v>26337</v>
      </c>
      <c r="YD34" s="1" t="s">
        <v>26338</v>
      </c>
      <c r="YE34" s="1" t="s">
        <v>26339</v>
      </c>
      <c r="YF34" s="1" t="s">
        <v>26340</v>
      </c>
      <c r="YG34" s="1" t="s">
        <v>26341</v>
      </c>
      <c r="YH34" s="1" t="s">
        <v>26342</v>
      </c>
      <c r="YI34" s="1" t="s">
        <v>26343</v>
      </c>
      <c r="YJ34" s="1" t="s">
        <v>26344</v>
      </c>
      <c r="YK34" s="1" t="s">
        <v>26345</v>
      </c>
      <c r="YL34" s="1" t="s">
        <v>26346</v>
      </c>
      <c r="YM34" s="1" t="s">
        <v>26347</v>
      </c>
      <c r="YN34" s="1" t="s">
        <v>26348</v>
      </c>
      <c r="YO34" s="1" t="s">
        <v>26349</v>
      </c>
      <c r="YP34" s="1" t="s">
        <v>26350</v>
      </c>
      <c r="YQ34" s="1" t="s">
        <v>26351</v>
      </c>
      <c r="YR34" s="1" t="s">
        <v>26352</v>
      </c>
      <c r="YS34" s="1" t="s">
        <v>26353</v>
      </c>
      <c r="YT34" s="1" t="s">
        <v>26354</v>
      </c>
      <c r="YU34" s="1" t="s">
        <v>26355</v>
      </c>
      <c r="YV34" s="1" t="s">
        <v>26356</v>
      </c>
      <c r="YW34" s="1" t="s">
        <v>26357</v>
      </c>
      <c r="YX34" s="1" t="s">
        <v>26358</v>
      </c>
      <c r="YY34" s="1" t="s">
        <v>26359</v>
      </c>
      <c r="YZ34" s="1" t="s">
        <v>26360</v>
      </c>
      <c r="ZA34" s="1" t="s">
        <v>26361</v>
      </c>
      <c r="ZB34" s="1" t="s">
        <v>26362</v>
      </c>
      <c r="ZC34" s="1" t="s">
        <v>26363</v>
      </c>
      <c r="ZD34" s="1" t="s">
        <v>26364</v>
      </c>
      <c r="ZE34" s="1" t="s">
        <v>26365</v>
      </c>
      <c r="ZF34" s="1" t="s">
        <v>26366</v>
      </c>
      <c r="ZG34" s="1" t="s">
        <v>26367</v>
      </c>
      <c r="ZH34" s="1" t="s">
        <v>26368</v>
      </c>
      <c r="ZI34" s="1" t="s">
        <v>26369</v>
      </c>
      <c r="ZJ34" s="1" t="s">
        <v>26370</v>
      </c>
      <c r="ZK34" s="1" t="s">
        <v>26371</v>
      </c>
      <c r="ZL34" s="1" t="s">
        <v>26372</v>
      </c>
      <c r="ZM34" s="1" t="s">
        <v>26373</v>
      </c>
      <c r="ZN34" s="1" t="s">
        <v>26374</v>
      </c>
      <c r="ZO34" s="1" t="s">
        <v>26375</v>
      </c>
      <c r="ZP34" s="1" t="s">
        <v>26376</v>
      </c>
      <c r="ZQ34" s="1" t="s">
        <v>26377</v>
      </c>
      <c r="ZR34" s="1" t="s">
        <v>26378</v>
      </c>
      <c r="ZS34" s="1" t="s">
        <v>26379</v>
      </c>
      <c r="ZT34" s="1" t="s">
        <v>26380</v>
      </c>
      <c r="ZU34" s="1" t="s">
        <v>26381</v>
      </c>
      <c r="ZV34" s="1" t="s">
        <v>26382</v>
      </c>
      <c r="ZW34" s="1" t="s">
        <v>26383</v>
      </c>
      <c r="ZX34" s="1" t="s">
        <v>26384</v>
      </c>
      <c r="ZY34" s="1" t="s">
        <v>26385</v>
      </c>
      <c r="ZZ34" s="1" t="s">
        <v>26386</v>
      </c>
      <c r="AAA34" s="1" t="s">
        <v>26387</v>
      </c>
      <c r="AAB34" s="1" t="s">
        <v>26388</v>
      </c>
      <c r="AAC34" s="1" t="s">
        <v>26389</v>
      </c>
      <c r="AAD34" s="1" t="s">
        <v>26390</v>
      </c>
      <c r="AAE34" s="1" t="s">
        <v>26391</v>
      </c>
      <c r="AAF34" s="1" t="s">
        <v>26392</v>
      </c>
      <c r="AAG34" s="1" t="s">
        <v>26393</v>
      </c>
      <c r="AAH34" s="1" t="s">
        <v>26394</v>
      </c>
      <c r="AAI34" s="1" t="s">
        <v>26395</v>
      </c>
      <c r="AAJ34" s="1" t="s">
        <v>26396</v>
      </c>
      <c r="AAK34" s="1" t="s">
        <v>26397</v>
      </c>
      <c r="AAL34" s="1" t="s">
        <v>26398</v>
      </c>
      <c r="AAM34" s="1" t="s">
        <v>26399</v>
      </c>
      <c r="AAN34" s="1" t="s">
        <v>26400</v>
      </c>
      <c r="AAO34" s="1" t="s">
        <v>26401</v>
      </c>
      <c r="AAP34" s="1" t="s">
        <v>26402</v>
      </c>
      <c r="AAQ34" s="1" t="s">
        <v>26403</v>
      </c>
      <c r="AAR34" s="1" t="s">
        <v>26404</v>
      </c>
      <c r="AAS34" s="1" t="s">
        <v>26405</v>
      </c>
      <c r="AAT34" s="1" t="s">
        <v>26406</v>
      </c>
      <c r="AAU34" s="1" t="s">
        <v>26407</v>
      </c>
      <c r="AAV34" s="1" t="s">
        <v>26408</v>
      </c>
      <c r="AAW34" s="1" t="s">
        <v>26409</v>
      </c>
      <c r="AAX34" s="1" t="s">
        <v>26410</v>
      </c>
      <c r="AAY34" s="1" t="s">
        <v>26411</v>
      </c>
      <c r="AAZ34" s="1" t="s">
        <v>26412</v>
      </c>
      <c r="ABA34" s="1" t="s">
        <v>26413</v>
      </c>
      <c r="ABB34" s="1" t="s">
        <v>26414</v>
      </c>
      <c r="ABC34" s="1" t="s">
        <v>26415</v>
      </c>
      <c r="ABD34" s="1" t="s">
        <v>26416</v>
      </c>
      <c r="ABE34" s="1" t="s">
        <v>26417</v>
      </c>
      <c r="ABF34" s="1" t="s">
        <v>26418</v>
      </c>
      <c r="ABG34" s="1" t="s">
        <v>26419</v>
      </c>
      <c r="ABH34" s="1" t="s">
        <v>26420</v>
      </c>
      <c r="ABI34" s="1" t="s">
        <v>26421</v>
      </c>
      <c r="ABJ34" s="1" t="s">
        <v>26422</v>
      </c>
      <c r="ABK34" s="1" t="s">
        <v>26423</v>
      </c>
      <c r="ABL34" s="1" t="s">
        <v>26424</v>
      </c>
      <c r="ABM34" s="1" t="s">
        <v>26425</v>
      </c>
      <c r="ABN34" s="1" t="s">
        <v>26426</v>
      </c>
      <c r="ABO34" s="1" t="s">
        <v>26427</v>
      </c>
      <c r="ABP34" s="1" t="s">
        <v>26428</v>
      </c>
      <c r="ABQ34" s="1" t="s">
        <v>26429</v>
      </c>
      <c r="ABR34" s="1" t="s">
        <v>26430</v>
      </c>
      <c r="ABS34" s="1" t="s">
        <v>26431</v>
      </c>
      <c r="ABT34" s="1" t="s">
        <v>26432</v>
      </c>
      <c r="ABU34" s="1" t="s">
        <v>26433</v>
      </c>
      <c r="ABV34" s="1" t="s">
        <v>26434</v>
      </c>
      <c r="ABW34" s="1" t="s">
        <v>26435</v>
      </c>
      <c r="ABX34" s="1" t="s">
        <v>26436</v>
      </c>
      <c r="ABY34" s="1" t="s">
        <v>26437</v>
      </c>
      <c r="ABZ34" s="1" t="s">
        <v>26438</v>
      </c>
      <c r="ACA34" s="1" t="s">
        <v>26439</v>
      </c>
      <c r="ACB34" s="1" t="s">
        <v>26440</v>
      </c>
      <c r="ACC34" s="1" t="s">
        <v>26441</v>
      </c>
      <c r="ACD34" s="1" t="s">
        <v>26442</v>
      </c>
      <c r="ACE34" s="1" t="s">
        <v>26443</v>
      </c>
      <c r="ACF34" s="1" t="s">
        <v>26444</v>
      </c>
      <c r="ACG34" s="1" t="s">
        <v>26445</v>
      </c>
      <c r="ACH34" s="1" t="s">
        <v>26446</v>
      </c>
      <c r="ACI34" s="1" t="s">
        <v>26447</v>
      </c>
      <c r="ACJ34" s="1" t="s">
        <v>26448</v>
      </c>
      <c r="ACK34" s="1" t="s">
        <v>26449</v>
      </c>
      <c r="ACL34" s="1" t="s">
        <v>26450</v>
      </c>
      <c r="ACM34" s="1" t="s">
        <v>26451</v>
      </c>
      <c r="ACN34" s="1" t="s">
        <v>26452</v>
      </c>
      <c r="ACO34" s="1" t="s">
        <v>26453</v>
      </c>
      <c r="ACP34" s="1" t="s">
        <v>26454</v>
      </c>
      <c r="ACQ34" s="1" t="s">
        <v>26455</v>
      </c>
      <c r="ACR34" s="1" t="s">
        <v>26456</v>
      </c>
      <c r="ACS34" s="1" t="s">
        <v>26457</v>
      </c>
      <c r="ACT34" s="1" t="s">
        <v>26458</v>
      </c>
      <c r="ACU34" s="1" t="s">
        <v>26459</v>
      </c>
      <c r="ACV34" s="1" t="s">
        <v>26460</v>
      </c>
      <c r="ACW34" s="1" t="s">
        <v>23</v>
      </c>
      <c r="ACX34" s="1" t="s">
        <v>6310</v>
      </c>
    </row>
    <row r="35" spans="1:778" x14ac:dyDescent="0.2">
      <c r="A35" s="1" t="s">
        <v>27</v>
      </c>
      <c r="B35" s="1" t="s">
        <v>26461</v>
      </c>
      <c r="C35" s="1" t="s">
        <v>26462</v>
      </c>
      <c r="D35" s="1" t="s">
        <v>26463</v>
      </c>
      <c r="E35" s="1" t="s">
        <v>26464</v>
      </c>
      <c r="F35" s="1" t="s">
        <v>26465</v>
      </c>
      <c r="G35" s="1" t="s">
        <v>26466</v>
      </c>
      <c r="H35" s="1" t="s">
        <v>26467</v>
      </c>
      <c r="I35" s="1" t="s">
        <v>26468</v>
      </c>
      <c r="J35" s="1" t="s">
        <v>26469</v>
      </c>
      <c r="K35" s="1" t="s">
        <v>26470</v>
      </c>
      <c r="L35" s="1" t="s">
        <v>26471</v>
      </c>
      <c r="M35" s="1" t="s">
        <v>26472</v>
      </c>
      <c r="N35" s="1" t="s">
        <v>26473</v>
      </c>
      <c r="O35" s="1" t="s">
        <v>26474</v>
      </c>
      <c r="P35" s="1" t="s">
        <v>26475</v>
      </c>
      <c r="Q35" s="1" t="s">
        <v>26476</v>
      </c>
      <c r="R35" s="1" t="s">
        <v>26477</v>
      </c>
      <c r="S35" s="1" t="s">
        <v>26478</v>
      </c>
      <c r="T35" s="1" t="s">
        <v>26479</v>
      </c>
      <c r="U35" s="1" t="s">
        <v>26480</v>
      </c>
      <c r="V35" s="1" t="s">
        <v>26481</v>
      </c>
      <c r="W35" s="1" t="s">
        <v>26482</v>
      </c>
      <c r="X35" s="1" t="s">
        <v>26483</v>
      </c>
      <c r="Y35" s="1" t="s">
        <v>26484</v>
      </c>
      <c r="Z35" s="1" t="s">
        <v>26485</v>
      </c>
      <c r="AA35" s="1" t="s">
        <v>26486</v>
      </c>
      <c r="AB35" s="1" t="s">
        <v>26487</v>
      </c>
      <c r="AC35" s="1" t="s">
        <v>26488</v>
      </c>
      <c r="AD35" s="1" t="s">
        <v>26489</v>
      </c>
      <c r="AE35" s="1" t="s">
        <v>26490</v>
      </c>
      <c r="AF35" s="1" t="s">
        <v>26491</v>
      </c>
      <c r="AG35" s="1" t="s">
        <v>26492</v>
      </c>
      <c r="AH35" s="1" t="s">
        <v>26493</v>
      </c>
      <c r="AI35" s="1" t="s">
        <v>26494</v>
      </c>
      <c r="AJ35" s="1" t="s">
        <v>26495</v>
      </c>
      <c r="AK35" s="1" t="s">
        <v>26496</v>
      </c>
      <c r="AL35" s="1" t="s">
        <v>26497</v>
      </c>
      <c r="AM35" s="1" t="s">
        <v>26498</v>
      </c>
      <c r="AN35" s="1" t="s">
        <v>26499</v>
      </c>
      <c r="AO35" s="1" t="s">
        <v>26500</v>
      </c>
      <c r="AP35" s="1" t="s">
        <v>26501</v>
      </c>
      <c r="AQ35" s="1" t="s">
        <v>26502</v>
      </c>
      <c r="AR35" s="1" t="s">
        <v>26503</v>
      </c>
      <c r="AS35" s="1" t="s">
        <v>26504</v>
      </c>
      <c r="AT35" s="1" t="s">
        <v>26505</v>
      </c>
      <c r="AU35" s="1" t="s">
        <v>26506</v>
      </c>
      <c r="AV35" s="1" t="s">
        <v>26507</v>
      </c>
      <c r="AW35" s="1" t="s">
        <v>26508</v>
      </c>
      <c r="AX35" s="1" t="s">
        <v>26509</v>
      </c>
      <c r="AY35" s="1" t="s">
        <v>26510</v>
      </c>
      <c r="AZ35" s="1" t="s">
        <v>26511</v>
      </c>
      <c r="BA35" s="1" t="s">
        <v>26512</v>
      </c>
      <c r="BB35" s="1" t="s">
        <v>26513</v>
      </c>
      <c r="BC35" s="1" t="s">
        <v>26514</v>
      </c>
      <c r="BD35" s="1" t="s">
        <v>26515</v>
      </c>
      <c r="BE35" s="1" t="s">
        <v>26516</v>
      </c>
      <c r="BF35" s="1" t="s">
        <v>26517</v>
      </c>
      <c r="BG35" s="1" t="s">
        <v>26518</v>
      </c>
      <c r="BH35" s="1" t="s">
        <v>26519</v>
      </c>
      <c r="BI35" s="1" t="s">
        <v>26520</v>
      </c>
      <c r="BJ35" s="1" t="s">
        <v>26521</v>
      </c>
      <c r="BK35" s="1" t="s">
        <v>26522</v>
      </c>
      <c r="BL35" s="1" t="s">
        <v>26523</v>
      </c>
      <c r="BM35" s="1" t="s">
        <v>26524</v>
      </c>
      <c r="BN35" s="1" t="s">
        <v>26525</v>
      </c>
      <c r="BO35" s="1" t="s">
        <v>26526</v>
      </c>
      <c r="BP35" s="1" t="s">
        <v>26527</v>
      </c>
      <c r="BQ35" s="1" t="s">
        <v>26528</v>
      </c>
      <c r="BR35" s="1" t="s">
        <v>26529</v>
      </c>
      <c r="BS35" s="1" t="s">
        <v>26530</v>
      </c>
      <c r="BT35" s="1" t="s">
        <v>26531</v>
      </c>
      <c r="BU35" s="1" t="s">
        <v>26532</v>
      </c>
      <c r="BV35" s="1" t="s">
        <v>26533</v>
      </c>
      <c r="BW35" s="1" t="s">
        <v>26534</v>
      </c>
      <c r="BX35" s="1" t="s">
        <v>26535</v>
      </c>
      <c r="BY35" s="1" t="s">
        <v>26536</v>
      </c>
      <c r="BZ35" s="1" t="s">
        <v>26537</v>
      </c>
      <c r="CA35" s="1" t="s">
        <v>26538</v>
      </c>
      <c r="CB35" s="1" t="s">
        <v>26539</v>
      </c>
      <c r="CC35" s="1" t="s">
        <v>26540</v>
      </c>
      <c r="CD35" s="1" t="s">
        <v>26541</v>
      </c>
      <c r="CE35" s="1" t="s">
        <v>26542</v>
      </c>
      <c r="CF35" s="1" t="s">
        <v>26543</v>
      </c>
      <c r="CG35" s="1" t="s">
        <v>26544</v>
      </c>
      <c r="CH35" s="1" t="s">
        <v>26545</v>
      </c>
      <c r="CI35" s="1" t="s">
        <v>26546</v>
      </c>
      <c r="CJ35" s="1" t="s">
        <v>26547</v>
      </c>
      <c r="CK35" s="1" t="s">
        <v>26548</v>
      </c>
      <c r="CL35" s="1" t="s">
        <v>26549</v>
      </c>
      <c r="CM35" s="1" t="s">
        <v>26550</v>
      </c>
      <c r="CN35" s="1" t="s">
        <v>26551</v>
      </c>
      <c r="CO35" s="1" t="s">
        <v>26552</v>
      </c>
      <c r="CP35" s="1" t="s">
        <v>26553</v>
      </c>
      <c r="CQ35" s="1" t="s">
        <v>26554</v>
      </c>
      <c r="CR35" s="1" t="s">
        <v>26555</v>
      </c>
      <c r="CS35" s="1" t="s">
        <v>26556</v>
      </c>
      <c r="CT35" s="1" t="s">
        <v>26557</v>
      </c>
      <c r="CU35" s="1" t="s">
        <v>26558</v>
      </c>
      <c r="CV35" s="1" t="s">
        <v>26559</v>
      </c>
      <c r="CW35" s="1" t="s">
        <v>26560</v>
      </c>
      <c r="CX35" s="1" t="s">
        <v>26561</v>
      </c>
      <c r="CY35" s="1" t="s">
        <v>26562</v>
      </c>
      <c r="CZ35" s="1" t="s">
        <v>26563</v>
      </c>
      <c r="DA35" s="1" t="s">
        <v>26564</v>
      </c>
      <c r="DB35" s="1" t="s">
        <v>26565</v>
      </c>
      <c r="DC35" s="1" t="s">
        <v>26566</v>
      </c>
      <c r="DD35" s="1" t="s">
        <v>26567</v>
      </c>
      <c r="DE35" s="1" t="s">
        <v>26568</v>
      </c>
      <c r="DF35" s="1" t="s">
        <v>26569</v>
      </c>
      <c r="DG35" s="1" t="s">
        <v>26570</v>
      </c>
      <c r="DH35" s="1" t="s">
        <v>26571</v>
      </c>
      <c r="DI35" s="1" t="s">
        <v>26572</v>
      </c>
      <c r="DJ35" s="1" t="s">
        <v>26573</v>
      </c>
      <c r="DK35" s="1" t="s">
        <v>26574</v>
      </c>
      <c r="DL35" s="1" t="s">
        <v>26575</v>
      </c>
      <c r="DM35" s="1" t="s">
        <v>26576</v>
      </c>
      <c r="DN35" s="1" t="s">
        <v>26577</v>
      </c>
      <c r="DO35" s="1" t="s">
        <v>26578</v>
      </c>
      <c r="DP35" s="1" t="s">
        <v>26579</v>
      </c>
      <c r="DQ35" s="1" t="s">
        <v>26580</v>
      </c>
      <c r="DR35" s="1" t="s">
        <v>26581</v>
      </c>
      <c r="DS35" s="1" t="s">
        <v>26582</v>
      </c>
      <c r="DT35" s="1" t="s">
        <v>26583</v>
      </c>
      <c r="DU35" s="1" t="s">
        <v>26584</v>
      </c>
      <c r="DV35" s="1" t="s">
        <v>26585</v>
      </c>
      <c r="DW35" s="1" t="s">
        <v>26586</v>
      </c>
      <c r="DX35" s="1" t="s">
        <v>26587</v>
      </c>
      <c r="DY35" s="1" t="s">
        <v>26588</v>
      </c>
      <c r="DZ35" s="1" t="s">
        <v>26589</v>
      </c>
      <c r="EA35" s="1" t="s">
        <v>26590</v>
      </c>
      <c r="EB35" s="1" t="s">
        <v>26591</v>
      </c>
      <c r="EC35" s="1" t="s">
        <v>26592</v>
      </c>
      <c r="ED35" s="1" t="s">
        <v>26593</v>
      </c>
      <c r="EE35" s="1" t="s">
        <v>26594</v>
      </c>
      <c r="EF35" s="1" t="s">
        <v>26595</v>
      </c>
      <c r="EG35" s="1" t="s">
        <v>26596</v>
      </c>
      <c r="EH35" s="1" t="s">
        <v>26597</v>
      </c>
      <c r="EI35" s="1" t="s">
        <v>26598</v>
      </c>
      <c r="EJ35" s="1" t="s">
        <v>26599</v>
      </c>
      <c r="EK35" s="1" t="s">
        <v>26600</v>
      </c>
      <c r="EL35" s="1" t="s">
        <v>26601</v>
      </c>
      <c r="EM35" s="1" t="s">
        <v>26602</v>
      </c>
      <c r="EN35" s="1" t="s">
        <v>26603</v>
      </c>
      <c r="EO35" s="1" t="s">
        <v>26604</v>
      </c>
      <c r="EP35" s="1" t="s">
        <v>26605</v>
      </c>
      <c r="EQ35" s="1" t="s">
        <v>26606</v>
      </c>
      <c r="ER35" s="1" t="s">
        <v>26607</v>
      </c>
      <c r="ES35" s="1" t="s">
        <v>26608</v>
      </c>
      <c r="ET35" s="1" t="s">
        <v>26609</v>
      </c>
      <c r="EU35" s="1" t="s">
        <v>26610</v>
      </c>
      <c r="EV35" s="1" t="s">
        <v>26611</v>
      </c>
      <c r="EW35" s="1" t="s">
        <v>26612</v>
      </c>
      <c r="EX35" s="1" t="s">
        <v>26613</v>
      </c>
      <c r="EY35" s="1" t="s">
        <v>26614</v>
      </c>
      <c r="EZ35" s="1" t="s">
        <v>26615</v>
      </c>
      <c r="FA35" s="1" t="s">
        <v>26616</v>
      </c>
      <c r="FB35" s="1" t="s">
        <v>26617</v>
      </c>
      <c r="FC35" s="1" t="s">
        <v>26618</v>
      </c>
      <c r="FD35" s="1" t="s">
        <v>26619</v>
      </c>
      <c r="FE35" s="1" t="s">
        <v>26620</v>
      </c>
      <c r="FF35" s="1" t="s">
        <v>26621</v>
      </c>
      <c r="FG35" s="1" t="s">
        <v>26622</v>
      </c>
      <c r="FH35" s="1" t="s">
        <v>26623</v>
      </c>
      <c r="FI35" s="1" t="s">
        <v>26624</v>
      </c>
      <c r="FJ35" s="1" t="s">
        <v>26625</v>
      </c>
      <c r="FK35" s="1" t="s">
        <v>26626</v>
      </c>
      <c r="FL35" s="1" t="s">
        <v>26627</v>
      </c>
      <c r="FM35" s="1" t="s">
        <v>26628</v>
      </c>
      <c r="FN35" s="1" t="s">
        <v>26629</v>
      </c>
      <c r="FO35" s="1" t="s">
        <v>26630</v>
      </c>
      <c r="FP35" s="1" t="s">
        <v>26631</v>
      </c>
      <c r="FQ35" s="1" t="s">
        <v>26632</v>
      </c>
      <c r="FR35" s="1" t="s">
        <v>26633</v>
      </c>
      <c r="FS35" s="1" t="s">
        <v>26634</v>
      </c>
      <c r="FT35" s="1" t="s">
        <v>26635</v>
      </c>
      <c r="FU35" s="1" t="s">
        <v>26636</v>
      </c>
      <c r="FV35" s="1" t="s">
        <v>26637</v>
      </c>
      <c r="FW35" s="1" t="s">
        <v>26638</v>
      </c>
      <c r="FX35" s="1" t="s">
        <v>26639</v>
      </c>
      <c r="FY35" s="1" t="s">
        <v>26640</v>
      </c>
      <c r="FZ35" s="1" t="s">
        <v>26641</v>
      </c>
      <c r="GA35" s="1" t="s">
        <v>26642</v>
      </c>
      <c r="GB35" s="1" t="s">
        <v>26643</v>
      </c>
      <c r="GC35" s="1" t="s">
        <v>26644</v>
      </c>
      <c r="GD35" s="1" t="s">
        <v>26645</v>
      </c>
      <c r="GE35" s="1" t="s">
        <v>26646</v>
      </c>
      <c r="GF35" s="1" t="s">
        <v>26647</v>
      </c>
      <c r="GG35" s="1" t="s">
        <v>26648</v>
      </c>
      <c r="GH35" s="1" t="s">
        <v>26649</v>
      </c>
      <c r="GI35" s="1" t="s">
        <v>26650</v>
      </c>
      <c r="GJ35" s="1" t="s">
        <v>26651</v>
      </c>
      <c r="GK35" s="1" t="s">
        <v>26652</v>
      </c>
      <c r="GL35" s="1" t="s">
        <v>26653</v>
      </c>
      <c r="GM35" s="1" t="s">
        <v>26654</v>
      </c>
      <c r="GN35" s="1" t="s">
        <v>26655</v>
      </c>
      <c r="GO35" s="1" t="s">
        <v>26656</v>
      </c>
      <c r="GP35" s="1" t="s">
        <v>26657</v>
      </c>
      <c r="GQ35" s="1" t="s">
        <v>26658</v>
      </c>
      <c r="GR35" s="1" t="s">
        <v>26659</v>
      </c>
      <c r="GS35" s="1" t="s">
        <v>26660</v>
      </c>
      <c r="GT35" s="1" t="s">
        <v>26661</v>
      </c>
      <c r="GU35" s="1" t="s">
        <v>26662</v>
      </c>
      <c r="GV35" s="1" t="s">
        <v>26663</v>
      </c>
      <c r="GW35" s="1" t="s">
        <v>26664</v>
      </c>
      <c r="GX35" s="1" t="s">
        <v>26665</v>
      </c>
      <c r="GY35" s="1" t="s">
        <v>26666</v>
      </c>
      <c r="GZ35" s="1" t="s">
        <v>26667</v>
      </c>
      <c r="HA35" s="1" t="s">
        <v>26668</v>
      </c>
      <c r="HB35" s="1" t="s">
        <v>26669</v>
      </c>
      <c r="HC35" s="1" t="s">
        <v>26670</v>
      </c>
      <c r="HD35" s="1" t="s">
        <v>26671</v>
      </c>
      <c r="HE35" s="1" t="s">
        <v>26672</v>
      </c>
      <c r="HF35" s="1" t="s">
        <v>26673</v>
      </c>
      <c r="HG35" s="1" t="s">
        <v>26674</v>
      </c>
      <c r="HH35" s="1" t="s">
        <v>26675</v>
      </c>
      <c r="HI35" s="1" t="s">
        <v>26676</v>
      </c>
      <c r="HJ35" s="1" t="s">
        <v>26677</v>
      </c>
      <c r="HK35" s="1" t="s">
        <v>26678</v>
      </c>
      <c r="HL35" s="1" t="s">
        <v>26679</v>
      </c>
      <c r="HM35" s="1" t="s">
        <v>26680</v>
      </c>
      <c r="HN35" s="1" t="s">
        <v>26681</v>
      </c>
      <c r="HO35" s="1" t="s">
        <v>26682</v>
      </c>
      <c r="HP35" s="1" t="s">
        <v>26683</v>
      </c>
      <c r="HQ35" s="1" t="s">
        <v>26684</v>
      </c>
      <c r="HR35" s="1" t="s">
        <v>26685</v>
      </c>
      <c r="HS35" s="1" t="s">
        <v>26686</v>
      </c>
      <c r="HT35" s="1" t="s">
        <v>26687</v>
      </c>
      <c r="HU35" s="1" t="s">
        <v>26688</v>
      </c>
      <c r="HV35" s="1" t="s">
        <v>26689</v>
      </c>
      <c r="HW35" s="1" t="s">
        <v>26690</v>
      </c>
      <c r="HX35" s="1" t="s">
        <v>26691</v>
      </c>
      <c r="HY35" s="1" t="s">
        <v>26692</v>
      </c>
      <c r="HZ35" s="1" t="s">
        <v>26693</v>
      </c>
      <c r="IA35" s="1" t="s">
        <v>26694</v>
      </c>
      <c r="IB35" s="1" t="s">
        <v>26695</v>
      </c>
      <c r="IC35" s="1" t="s">
        <v>26696</v>
      </c>
      <c r="ID35" s="1" t="s">
        <v>26697</v>
      </c>
      <c r="IE35" s="1" t="s">
        <v>26698</v>
      </c>
      <c r="IF35" s="1" t="s">
        <v>26699</v>
      </c>
      <c r="IG35" s="1" t="s">
        <v>26700</v>
      </c>
      <c r="IH35" s="1" t="s">
        <v>26701</v>
      </c>
      <c r="II35" s="1" t="s">
        <v>26702</v>
      </c>
      <c r="IJ35" s="1" t="s">
        <v>26703</v>
      </c>
      <c r="IK35" s="1" t="s">
        <v>26704</v>
      </c>
      <c r="IL35" s="1" t="s">
        <v>26705</v>
      </c>
      <c r="IM35" s="1" t="s">
        <v>26706</v>
      </c>
      <c r="IN35" s="1" t="s">
        <v>26707</v>
      </c>
      <c r="IO35" s="1" t="s">
        <v>26708</v>
      </c>
      <c r="IP35" s="1" t="s">
        <v>26709</v>
      </c>
      <c r="IQ35" s="1" t="s">
        <v>26710</v>
      </c>
      <c r="IR35" s="1" t="s">
        <v>26711</v>
      </c>
      <c r="IS35" s="1" t="s">
        <v>26712</v>
      </c>
      <c r="IT35" s="1" t="s">
        <v>26713</v>
      </c>
      <c r="IU35" s="1" t="s">
        <v>26714</v>
      </c>
      <c r="IV35" s="1" t="s">
        <v>26715</v>
      </c>
      <c r="IW35" s="1" t="s">
        <v>26716</v>
      </c>
      <c r="IX35" s="1" t="s">
        <v>26717</v>
      </c>
      <c r="IY35" s="1" t="s">
        <v>26718</v>
      </c>
      <c r="IZ35" s="1" t="s">
        <v>26719</v>
      </c>
      <c r="JA35" s="1" t="s">
        <v>26720</v>
      </c>
      <c r="JB35" s="1" t="s">
        <v>26721</v>
      </c>
      <c r="JC35" s="1" t="s">
        <v>26722</v>
      </c>
      <c r="JD35" s="1" t="s">
        <v>26723</v>
      </c>
      <c r="JE35" s="1" t="s">
        <v>26724</v>
      </c>
      <c r="JF35" s="1" t="s">
        <v>26725</v>
      </c>
      <c r="JG35" s="1" t="s">
        <v>26726</v>
      </c>
      <c r="JH35" s="1" t="s">
        <v>26727</v>
      </c>
      <c r="JI35" s="1" t="s">
        <v>26728</v>
      </c>
      <c r="JJ35" s="1" t="s">
        <v>26729</v>
      </c>
      <c r="JK35" s="1" t="s">
        <v>26730</v>
      </c>
      <c r="JL35" s="1" t="s">
        <v>26731</v>
      </c>
      <c r="JM35" s="1" t="s">
        <v>26732</v>
      </c>
      <c r="JN35" s="1" t="s">
        <v>26733</v>
      </c>
      <c r="JO35" s="1" t="s">
        <v>26734</v>
      </c>
      <c r="JP35" s="1" t="s">
        <v>26735</v>
      </c>
      <c r="JQ35" s="1" t="s">
        <v>26736</v>
      </c>
      <c r="JR35" s="1" t="s">
        <v>26737</v>
      </c>
      <c r="JS35" s="1" t="s">
        <v>26738</v>
      </c>
      <c r="JT35" s="1" t="s">
        <v>26739</v>
      </c>
      <c r="JU35" s="1" t="s">
        <v>26740</v>
      </c>
      <c r="JV35" s="1" t="s">
        <v>26741</v>
      </c>
      <c r="JW35" s="1" t="s">
        <v>26742</v>
      </c>
      <c r="JX35" s="1" t="s">
        <v>26743</v>
      </c>
      <c r="JY35" s="1" t="s">
        <v>26744</v>
      </c>
      <c r="JZ35" s="1" t="s">
        <v>26745</v>
      </c>
      <c r="KA35" s="1" t="s">
        <v>26746</v>
      </c>
      <c r="KB35" s="1" t="s">
        <v>26747</v>
      </c>
      <c r="KC35" s="1" t="s">
        <v>26748</v>
      </c>
      <c r="KD35" s="1" t="s">
        <v>26749</v>
      </c>
      <c r="KE35" s="1" t="s">
        <v>26750</v>
      </c>
      <c r="KF35" s="1" t="s">
        <v>26751</v>
      </c>
      <c r="KG35" s="1" t="s">
        <v>26752</v>
      </c>
      <c r="KH35" s="1" t="s">
        <v>26753</v>
      </c>
      <c r="KI35" s="1" t="s">
        <v>26754</v>
      </c>
      <c r="KJ35" s="1" t="s">
        <v>26755</v>
      </c>
      <c r="KK35" s="1" t="s">
        <v>26756</v>
      </c>
      <c r="KL35" s="1" t="s">
        <v>26757</v>
      </c>
      <c r="KM35" s="1" t="s">
        <v>26758</v>
      </c>
      <c r="KN35" s="1" t="s">
        <v>26759</v>
      </c>
      <c r="KO35" s="1" t="s">
        <v>26760</v>
      </c>
      <c r="KP35" s="1" t="s">
        <v>26761</v>
      </c>
      <c r="KQ35" s="1" t="s">
        <v>26762</v>
      </c>
      <c r="KR35" s="1" t="s">
        <v>26763</v>
      </c>
      <c r="KS35" s="1" t="s">
        <v>26764</v>
      </c>
      <c r="KT35" s="1" t="s">
        <v>26765</v>
      </c>
      <c r="KU35" s="1" t="s">
        <v>26766</v>
      </c>
      <c r="KV35" s="1" t="s">
        <v>26767</v>
      </c>
      <c r="KW35" s="1" t="s">
        <v>26768</v>
      </c>
      <c r="KX35" s="1" t="s">
        <v>26769</v>
      </c>
      <c r="KY35" s="1" t="s">
        <v>26770</v>
      </c>
      <c r="KZ35" s="1" t="s">
        <v>26771</v>
      </c>
      <c r="LA35" s="1" t="s">
        <v>26772</v>
      </c>
      <c r="LB35" s="1" t="s">
        <v>26773</v>
      </c>
      <c r="LC35" s="1" t="s">
        <v>26774</v>
      </c>
      <c r="LD35" s="1" t="s">
        <v>26775</v>
      </c>
      <c r="LE35" s="1" t="s">
        <v>26776</v>
      </c>
      <c r="LF35" s="1" t="s">
        <v>26777</v>
      </c>
      <c r="LG35" s="1" t="s">
        <v>26778</v>
      </c>
      <c r="LH35" s="1" t="s">
        <v>26779</v>
      </c>
      <c r="LI35" s="1" t="s">
        <v>26780</v>
      </c>
      <c r="LJ35" s="1" t="s">
        <v>26781</v>
      </c>
      <c r="LK35" s="1" t="s">
        <v>26782</v>
      </c>
      <c r="LL35" s="1" t="s">
        <v>26783</v>
      </c>
      <c r="LM35" s="1" t="s">
        <v>26784</v>
      </c>
      <c r="LN35" s="1" t="s">
        <v>26785</v>
      </c>
      <c r="LO35" s="1" t="s">
        <v>26786</v>
      </c>
      <c r="LP35" s="1" t="s">
        <v>26787</v>
      </c>
      <c r="LQ35" s="1" t="s">
        <v>26788</v>
      </c>
      <c r="LR35" s="1" t="s">
        <v>26789</v>
      </c>
      <c r="LS35" s="1" t="s">
        <v>26790</v>
      </c>
      <c r="LT35" s="1" t="s">
        <v>26791</v>
      </c>
      <c r="LU35" s="1" t="s">
        <v>26792</v>
      </c>
      <c r="LV35" s="1" t="s">
        <v>26793</v>
      </c>
      <c r="LW35" s="1" t="s">
        <v>26794</v>
      </c>
      <c r="LX35" s="1" t="s">
        <v>26795</v>
      </c>
      <c r="LY35" s="1" t="s">
        <v>26796</v>
      </c>
      <c r="LZ35" s="1" t="s">
        <v>26797</v>
      </c>
      <c r="MA35" s="1" t="s">
        <v>26798</v>
      </c>
      <c r="MB35" s="1" t="s">
        <v>26799</v>
      </c>
      <c r="MC35" s="1" t="s">
        <v>26800</v>
      </c>
      <c r="MD35" s="1" t="s">
        <v>26801</v>
      </c>
      <c r="ME35" s="1" t="s">
        <v>26802</v>
      </c>
      <c r="MF35" s="1" t="s">
        <v>26803</v>
      </c>
      <c r="MG35" s="1" t="s">
        <v>26804</v>
      </c>
      <c r="MH35" s="1" t="s">
        <v>26805</v>
      </c>
      <c r="MI35" s="1" t="s">
        <v>26806</v>
      </c>
      <c r="MJ35" s="1" t="s">
        <v>26807</v>
      </c>
      <c r="MK35" s="1" t="s">
        <v>26808</v>
      </c>
      <c r="ML35" s="1" t="s">
        <v>26809</v>
      </c>
      <c r="MM35" s="1" t="s">
        <v>26810</v>
      </c>
      <c r="MN35" s="1" t="s">
        <v>26811</v>
      </c>
      <c r="MO35" s="1" t="s">
        <v>26812</v>
      </c>
      <c r="MP35" s="1" t="s">
        <v>26813</v>
      </c>
      <c r="MQ35" s="1" t="s">
        <v>26814</v>
      </c>
      <c r="MR35" s="1" t="s">
        <v>26815</v>
      </c>
      <c r="MS35" s="1" t="s">
        <v>26816</v>
      </c>
      <c r="MT35" s="1" t="s">
        <v>26817</v>
      </c>
      <c r="MU35" s="1" t="s">
        <v>26818</v>
      </c>
      <c r="MV35" s="1" t="s">
        <v>26819</v>
      </c>
      <c r="MW35" s="1" t="s">
        <v>26820</v>
      </c>
      <c r="MX35" s="1" t="s">
        <v>26821</v>
      </c>
      <c r="MY35" s="1" t="s">
        <v>26822</v>
      </c>
      <c r="MZ35" s="1" t="s">
        <v>26823</v>
      </c>
      <c r="NA35" s="1" t="s">
        <v>26824</v>
      </c>
      <c r="NB35" s="1" t="s">
        <v>26825</v>
      </c>
      <c r="NC35" s="1" t="s">
        <v>26826</v>
      </c>
      <c r="ND35" s="1" t="s">
        <v>26827</v>
      </c>
      <c r="NE35" s="1" t="s">
        <v>26828</v>
      </c>
      <c r="NF35" s="1" t="s">
        <v>26829</v>
      </c>
      <c r="NG35" s="1" t="s">
        <v>26830</v>
      </c>
      <c r="NH35" s="1" t="s">
        <v>26831</v>
      </c>
      <c r="NI35" s="1" t="s">
        <v>26832</v>
      </c>
      <c r="NJ35" s="1" t="s">
        <v>26833</v>
      </c>
      <c r="NK35" s="1" t="s">
        <v>26834</v>
      </c>
      <c r="NL35" s="1" t="s">
        <v>26835</v>
      </c>
      <c r="NM35" s="1" t="s">
        <v>26836</v>
      </c>
      <c r="NN35" s="1" t="s">
        <v>26837</v>
      </c>
      <c r="NO35" s="1" t="s">
        <v>26838</v>
      </c>
      <c r="NP35" s="1" t="s">
        <v>26839</v>
      </c>
      <c r="NQ35" s="1" t="s">
        <v>26840</v>
      </c>
      <c r="NR35" s="1" t="s">
        <v>26841</v>
      </c>
      <c r="NS35" s="1" t="s">
        <v>26842</v>
      </c>
      <c r="NT35" s="1" t="s">
        <v>26843</v>
      </c>
      <c r="NU35" s="1" t="s">
        <v>26844</v>
      </c>
      <c r="NV35" s="1" t="s">
        <v>26845</v>
      </c>
      <c r="NW35" s="1" t="s">
        <v>26846</v>
      </c>
      <c r="NX35" s="1" t="s">
        <v>26847</v>
      </c>
      <c r="NY35" s="1" t="s">
        <v>26848</v>
      </c>
      <c r="NZ35" s="1" t="s">
        <v>26849</v>
      </c>
      <c r="OA35" s="1" t="s">
        <v>26850</v>
      </c>
      <c r="OB35" s="1" t="s">
        <v>26851</v>
      </c>
      <c r="OC35" s="1" t="s">
        <v>26852</v>
      </c>
      <c r="OD35" s="1" t="s">
        <v>26853</v>
      </c>
      <c r="OE35" s="1" t="s">
        <v>26854</v>
      </c>
      <c r="OF35" s="1" t="s">
        <v>26855</v>
      </c>
      <c r="OG35" s="1" t="s">
        <v>26856</v>
      </c>
      <c r="OH35" s="1" t="s">
        <v>26857</v>
      </c>
      <c r="OI35" s="1" t="s">
        <v>26858</v>
      </c>
      <c r="OJ35" s="1" t="s">
        <v>26859</v>
      </c>
      <c r="OK35" s="1" t="s">
        <v>26860</v>
      </c>
      <c r="OL35" s="1" t="s">
        <v>26861</v>
      </c>
      <c r="OM35" s="1" t="s">
        <v>26862</v>
      </c>
      <c r="ON35" s="1" t="s">
        <v>26863</v>
      </c>
      <c r="OO35" s="1" t="s">
        <v>26864</v>
      </c>
      <c r="OP35" s="1" t="s">
        <v>26865</v>
      </c>
      <c r="OQ35" s="1" t="s">
        <v>26866</v>
      </c>
      <c r="OR35" s="1" t="s">
        <v>26867</v>
      </c>
      <c r="OS35" s="1" t="s">
        <v>26868</v>
      </c>
      <c r="OT35" s="1" t="s">
        <v>26869</v>
      </c>
      <c r="OU35" s="1" t="s">
        <v>26870</v>
      </c>
      <c r="OV35" s="1" t="s">
        <v>26871</v>
      </c>
      <c r="OW35" s="1" t="s">
        <v>26872</v>
      </c>
      <c r="OX35" s="1" t="s">
        <v>26873</v>
      </c>
      <c r="OY35" s="1" t="s">
        <v>26874</v>
      </c>
      <c r="OZ35" s="1" t="s">
        <v>26875</v>
      </c>
      <c r="PA35" s="1" t="s">
        <v>26876</v>
      </c>
      <c r="PB35" s="1" t="s">
        <v>26877</v>
      </c>
      <c r="PC35" s="1" t="s">
        <v>26878</v>
      </c>
      <c r="PD35" s="1" t="s">
        <v>26879</v>
      </c>
      <c r="PE35" s="1" t="s">
        <v>26880</v>
      </c>
      <c r="PF35" s="1" t="s">
        <v>26881</v>
      </c>
      <c r="PG35" s="1" t="s">
        <v>26882</v>
      </c>
      <c r="PH35" s="1" t="s">
        <v>26883</v>
      </c>
      <c r="PI35" s="1" t="s">
        <v>26884</v>
      </c>
      <c r="PJ35" s="1" t="s">
        <v>26885</v>
      </c>
      <c r="PK35" s="1" t="s">
        <v>26886</v>
      </c>
      <c r="PL35" s="1" t="s">
        <v>26887</v>
      </c>
      <c r="PM35" s="1" t="s">
        <v>26888</v>
      </c>
      <c r="PN35" s="1" t="s">
        <v>26889</v>
      </c>
      <c r="PO35" s="1" t="s">
        <v>26890</v>
      </c>
      <c r="PP35" s="1" t="s">
        <v>26891</v>
      </c>
      <c r="PQ35" s="1" t="s">
        <v>26892</v>
      </c>
      <c r="PR35" s="1" t="s">
        <v>26893</v>
      </c>
      <c r="PS35" s="1" t="s">
        <v>26894</v>
      </c>
      <c r="PT35" s="1" t="s">
        <v>26895</v>
      </c>
      <c r="PU35" s="1" t="s">
        <v>26896</v>
      </c>
      <c r="PV35" s="1" t="s">
        <v>26897</v>
      </c>
      <c r="PW35" s="1" t="s">
        <v>26898</v>
      </c>
      <c r="PX35" s="1" t="s">
        <v>26899</v>
      </c>
      <c r="PY35" s="1" t="s">
        <v>26900</v>
      </c>
      <c r="PZ35" s="1" t="s">
        <v>26901</v>
      </c>
      <c r="QA35" s="1" t="s">
        <v>26902</v>
      </c>
      <c r="QB35" s="1" t="s">
        <v>26903</v>
      </c>
      <c r="QC35" s="1" t="s">
        <v>26904</v>
      </c>
      <c r="QD35" s="1" t="s">
        <v>26905</v>
      </c>
      <c r="QE35" s="1" t="s">
        <v>26906</v>
      </c>
      <c r="QF35" s="1" t="s">
        <v>26907</v>
      </c>
      <c r="QG35" s="1" t="s">
        <v>26908</v>
      </c>
      <c r="QH35" s="1" t="s">
        <v>26909</v>
      </c>
      <c r="QI35" s="1" t="s">
        <v>26910</v>
      </c>
      <c r="QJ35" s="1" t="s">
        <v>26911</v>
      </c>
      <c r="QK35" s="1" t="s">
        <v>26912</v>
      </c>
      <c r="QL35" s="1" t="s">
        <v>26913</v>
      </c>
      <c r="QM35" s="1" t="s">
        <v>26914</v>
      </c>
      <c r="QN35" s="1" t="s">
        <v>26915</v>
      </c>
      <c r="QO35" s="1" t="s">
        <v>26916</v>
      </c>
      <c r="QP35" s="1" t="s">
        <v>26917</v>
      </c>
      <c r="QQ35" s="1" t="s">
        <v>26918</v>
      </c>
      <c r="QR35" s="1" t="s">
        <v>26919</v>
      </c>
      <c r="QS35" s="1" t="s">
        <v>26920</v>
      </c>
      <c r="QT35" s="1" t="s">
        <v>26921</v>
      </c>
      <c r="QU35" s="1" t="s">
        <v>26922</v>
      </c>
      <c r="QV35" s="1" t="s">
        <v>26923</v>
      </c>
      <c r="QW35" s="1" t="s">
        <v>26924</v>
      </c>
      <c r="QX35" s="1" t="s">
        <v>26925</v>
      </c>
      <c r="QY35" s="1" t="s">
        <v>26926</v>
      </c>
      <c r="QZ35" s="1" t="s">
        <v>26927</v>
      </c>
      <c r="RA35" s="1" t="s">
        <v>26928</v>
      </c>
      <c r="RB35" s="1" t="s">
        <v>26929</v>
      </c>
      <c r="RC35" s="1" t="s">
        <v>26930</v>
      </c>
      <c r="RD35" s="1" t="s">
        <v>26931</v>
      </c>
      <c r="RE35" s="1" t="s">
        <v>26932</v>
      </c>
      <c r="RF35" s="1" t="s">
        <v>26933</v>
      </c>
      <c r="RG35" s="1" t="s">
        <v>26934</v>
      </c>
      <c r="RH35" s="1" t="s">
        <v>26935</v>
      </c>
      <c r="RI35" s="1" t="s">
        <v>26936</v>
      </c>
      <c r="RJ35" s="1" t="s">
        <v>26937</v>
      </c>
      <c r="RK35" s="1" t="s">
        <v>26938</v>
      </c>
      <c r="RL35" s="1" t="s">
        <v>26939</v>
      </c>
      <c r="RM35" s="1" t="s">
        <v>26940</v>
      </c>
      <c r="RN35" s="1" t="s">
        <v>26941</v>
      </c>
      <c r="RO35" s="1" t="s">
        <v>26942</v>
      </c>
      <c r="RP35" s="1" t="s">
        <v>26943</v>
      </c>
      <c r="RQ35" s="1" t="s">
        <v>26944</v>
      </c>
      <c r="RR35" s="1" t="s">
        <v>26945</v>
      </c>
      <c r="RS35" s="1" t="s">
        <v>26946</v>
      </c>
      <c r="RT35" s="1" t="s">
        <v>26947</v>
      </c>
      <c r="RU35" s="1" t="s">
        <v>26948</v>
      </c>
      <c r="RV35" s="1" t="s">
        <v>26949</v>
      </c>
      <c r="RW35" s="1" t="s">
        <v>26950</v>
      </c>
      <c r="RX35" s="1" t="s">
        <v>26951</v>
      </c>
      <c r="RY35" s="1" t="s">
        <v>26952</v>
      </c>
      <c r="RZ35" s="1" t="s">
        <v>26953</v>
      </c>
      <c r="SA35" s="1" t="s">
        <v>26954</v>
      </c>
      <c r="SB35" s="1" t="s">
        <v>26955</v>
      </c>
      <c r="SC35" s="1" t="s">
        <v>26956</v>
      </c>
      <c r="SD35" s="1" t="s">
        <v>26957</v>
      </c>
      <c r="SE35" s="1" t="s">
        <v>26958</v>
      </c>
      <c r="SF35" s="1" t="s">
        <v>26959</v>
      </c>
      <c r="SG35" s="1" t="s">
        <v>26960</v>
      </c>
      <c r="SH35" s="1" t="s">
        <v>26961</v>
      </c>
      <c r="SI35" s="1" t="s">
        <v>26962</v>
      </c>
      <c r="SJ35" s="1" t="s">
        <v>26963</v>
      </c>
      <c r="SK35" s="1" t="s">
        <v>26964</v>
      </c>
      <c r="SL35" s="1" t="s">
        <v>26965</v>
      </c>
      <c r="SM35" s="1" t="s">
        <v>26966</v>
      </c>
      <c r="SN35" s="1" t="s">
        <v>26967</v>
      </c>
      <c r="SO35" s="1" t="s">
        <v>26968</v>
      </c>
      <c r="SP35" s="1" t="s">
        <v>26969</v>
      </c>
      <c r="SQ35" s="1" t="s">
        <v>26970</v>
      </c>
      <c r="SR35" s="1" t="s">
        <v>26971</v>
      </c>
      <c r="SS35" s="1" t="s">
        <v>26972</v>
      </c>
      <c r="ST35" s="1" t="s">
        <v>26973</v>
      </c>
      <c r="SU35" s="1" t="s">
        <v>26974</v>
      </c>
      <c r="SV35" s="1" t="s">
        <v>26975</v>
      </c>
      <c r="SW35" s="1" t="s">
        <v>26976</v>
      </c>
      <c r="SX35" s="1" t="s">
        <v>26977</v>
      </c>
      <c r="SY35" s="1" t="s">
        <v>26978</v>
      </c>
      <c r="SZ35" s="1" t="s">
        <v>26979</v>
      </c>
      <c r="TA35" s="1" t="s">
        <v>26980</v>
      </c>
      <c r="TB35" s="1" t="s">
        <v>26981</v>
      </c>
      <c r="TC35" s="1" t="s">
        <v>26982</v>
      </c>
      <c r="TD35" s="1" t="s">
        <v>26983</v>
      </c>
      <c r="TE35" s="1" t="s">
        <v>26984</v>
      </c>
      <c r="TF35" s="1" t="s">
        <v>26985</v>
      </c>
      <c r="TG35" s="1" t="s">
        <v>26986</v>
      </c>
      <c r="TH35" s="1" t="s">
        <v>26987</v>
      </c>
      <c r="TI35" s="1" t="s">
        <v>26988</v>
      </c>
      <c r="TJ35" s="1" t="s">
        <v>26989</v>
      </c>
      <c r="TK35" s="1" t="s">
        <v>26990</v>
      </c>
      <c r="TL35" s="1" t="s">
        <v>26991</v>
      </c>
      <c r="TM35" s="1" t="s">
        <v>26992</v>
      </c>
      <c r="TN35" s="1" t="s">
        <v>26993</v>
      </c>
      <c r="TO35" s="1" t="s">
        <v>26994</v>
      </c>
      <c r="TP35" s="1" t="s">
        <v>26995</v>
      </c>
      <c r="TQ35" s="1" t="s">
        <v>26996</v>
      </c>
      <c r="TR35" s="1" t="s">
        <v>26997</v>
      </c>
      <c r="TS35" s="1" t="s">
        <v>26998</v>
      </c>
      <c r="TT35" s="1" t="s">
        <v>26999</v>
      </c>
      <c r="TU35" s="1" t="s">
        <v>27000</v>
      </c>
      <c r="TV35" s="1" t="s">
        <v>27001</v>
      </c>
      <c r="TW35" s="1" t="s">
        <v>27002</v>
      </c>
      <c r="TX35" s="1" t="s">
        <v>27003</v>
      </c>
      <c r="TY35" s="1" t="s">
        <v>27004</v>
      </c>
      <c r="TZ35" s="1" t="s">
        <v>27005</v>
      </c>
      <c r="UA35" s="1" t="s">
        <v>27006</v>
      </c>
      <c r="UB35" s="1" t="s">
        <v>27007</v>
      </c>
      <c r="UC35" s="1" t="s">
        <v>27008</v>
      </c>
      <c r="UD35" s="1" t="s">
        <v>27009</v>
      </c>
      <c r="UE35" s="1" t="s">
        <v>27010</v>
      </c>
      <c r="UF35" s="1" t="s">
        <v>27011</v>
      </c>
      <c r="UG35" s="1" t="s">
        <v>27012</v>
      </c>
      <c r="UH35" s="1" t="s">
        <v>27013</v>
      </c>
      <c r="UI35" s="1" t="s">
        <v>27014</v>
      </c>
      <c r="UJ35" s="1" t="s">
        <v>27015</v>
      </c>
      <c r="UK35" s="1" t="s">
        <v>27016</v>
      </c>
      <c r="UL35" s="1" t="s">
        <v>27017</v>
      </c>
      <c r="UM35" s="1" t="s">
        <v>27018</v>
      </c>
      <c r="UN35" s="1" t="s">
        <v>27019</v>
      </c>
      <c r="UO35" s="1" t="s">
        <v>27020</v>
      </c>
      <c r="UP35" s="1" t="s">
        <v>27021</v>
      </c>
      <c r="UQ35" s="1" t="s">
        <v>27022</v>
      </c>
      <c r="UR35" s="1" t="s">
        <v>27023</v>
      </c>
      <c r="US35" s="1" t="s">
        <v>27024</v>
      </c>
      <c r="UT35" s="1" t="s">
        <v>27025</v>
      </c>
      <c r="UU35" s="1" t="s">
        <v>27026</v>
      </c>
      <c r="UV35" s="1" t="s">
        <v>27027</v>
      </c>
      <c r="UW35" s="1" t="s">
        <v>27028</v>
      </c>
      <c r="UX35" s="1" t="s">
        <v>27029</v>
      </c>
      <c r="UY35" s="1" t="s">
        <v>27030</v>
      </c>
      <c r="UZ35" s="1" t="s">
        <v>27031</v>
      </c>
      <c r="VA35" s="1" t="s">
        <v>27032</v>
      </c>
      <c r="VB35" s="1" t="s">
        <v>27033</v>
      </c>
      <c r="VC35" s="1" t="s">
        <v>27034</v>
      </c>
      <c r="VD35" s="1" t="s">
        <v>27035</v>
      </c>
      <c r="VE35" s="1" t="s">
        <v>27036</v>
      </c>
      <c r="VF35" s="1" t="s">
        <v>27037</v>
      </c>
      <c r="VG35" s="1" t="s">
        <v>27038</v>
      </c>
      <c r="VH35" s="1" t="s">
        <v>27039</v>
      </c>
      <c r="VI35" s="1" t="s">
        <v>27040</v>
      </c>
      <c r="VJ35" s="1" t="s">
        <v>27041</v>
      </c>
      <c r="VK35" s="1" t="s">
        <v>27042</v>
      </c>
      <c r="VL35" s="1" t="s">
        <v>27043</v>
      </c>
      <c r="VM35" s="1" t="s">
        <v>27044</v>
      </c>
      <c r="VN35" s="1" t="s">
        <v>27045</v>
      </c>
      <c r="VO35" s="1" t="s">
        <v>27046</v>
      </c>
      <c r="VP35" s="1" t="s">
        <v>27047</v>
      </c>
      <c r="VQ35" s="1" t="s">
        <v>27048</v>
      </c>
      <c r="VR35" s="1" t="s">
        <v>27049</v>
      </c>
      <c r="VS35" s="1" t="s">
        <v>27050</v>
      </c>
      <c r="VT35" s="1" t="s">
        <v>27051</v>
      </c>
      <c r="VU35" s="1" t="s">
        <v>27052</v>
      </c>
      <c r="VV35" s="1" t="s">
        <v>27053</v>
      </c>
      <c r="VW35" s="1" t="s">
        <v>27054</v>
      </c>
      <c r="VX35" s="1" t="s">
        <v>27055</v>
      </c>
      <c r="VY35" s="1" t="s">
        <v>27056</v>
      </c>
      <c r="VZ35" s="1" t="s">
        <v>27057</v>
      </c>
      <c r="WA35" s="1" t="s">
        <v>27058</v>
      </c>
      <c r="WB35" s="1" t="s">
        <v>27059</v>
      </c>
      <c r="WC35" s="1" t="s">
        <v>27060</v>
      </c>
      <c r="WD35" s="1" t="s">
        <v>27061</v>
      </c>
      <c r="WE35" s="1" t="s">
        <v>27062</v>
      </c>
      <c r="WF35" s="1" t="s">
        <v>27063</v>
      </c>
      <c r="WG35" s="1" t="s">
        <v>27064</v>
      </c>
      <c r="WH35" s="1" t="s">
        <v>27065</v>
      </c>
      <c r="WI35" s="1" t="s">
        <v>27066</v>
      </c>
      <c r="WJ35" s="1" t="s">
        <v>27067</v>
      </c>
      <c r="WK35" s="1" t="s">
        <v>27068</v>
      </c>
      <c r="WL35" s="1" t="s">
        <v>27069</v>
      </c>
      <c r="WM35" s="1" t="s">
        <v>27070</v>
      </c>
      <c r="WN35" s="1" t="s">
        <v>27071</v>
      </c>
      <c r="WO35" s="1" t="s">
        <v>27072</v>
      </c>
      <c r="WP35" s="1" t="s">
        <v>27073</v>
      </c>
      <c r="WQ35" s="1" t="s">
        <v>27074</v>
      </c>
      <c r="WR35" s="1" t="s">
        <v>27075</v>
      </c>
      <c r="WS35" s="1" t="s">
        <v>27076</v>
      </c>
      <c r="WT35" s="1" t="s">
        <v>27077</v>
      </c>
      <c r="WU35" s="1" t="s">
        <v>27078</v>
      </c>
      <c r="WV35" s="1" t="s">
        <v>27079</v>
      </c>
      <c r="WW35" s="1" t="s">
        <v>27080</v>
      </c>
      <c r="WX35" s="1" t="s">
        <v>27081</v>
      </c>
      <c r="WY35" s="1" t="s">
        <v>27082</v>
      </c>
      <c r="WZ35" s="1" t="s">
        <v>27083</v>
      </c>
      <c r="XA35" s="1" t="s">
        <v>27084</v>
      </c>
      <c r="XB35" s="1" t="s">
        <v>27085</v>
      </c>
      <c r="XC35" s="1" t="s">
        <v>27086</v>
      </c>
      <c r="XD35" s="1" t="s">
        <v>27087</v>
      </c>
      <c r="XE35" s="1" t="s">
        <v>27088</v>
      </c>
      <c r="XF35" s="1" t="s">
        <v>27089</v>
      </c>
      <c r="XG35" s="1" t="s">
        <v>27090</v>
      </c>
      <c r="XH35" s="1" t="s">
        <v>27091</v>
      </c>
      <c r="XI35" s="1" t="s">
        <v>27092</v>
      </c>
      <c r="XJ35" s="1" t="s">
        <v>27093</v>
      </c>
      <c r="XK35" s="1" t="s">
        <v>27094</v>
      </c>
      <c r="XL35" s="1" t="s">
        <v>27095</v>
      </c>
      <c r="XM35" s="1" t="s">
        <v>27096</v>
      </c>
      <c r="XN35" s="1" t="s">
        <v>27097</v>
      </c>
      <c r="XO35" s="1" t="s">
        <v>27098</v>
      </c>
      <c r="XP35" s="1" t="s">
        <v>27099</v>
      </c>
      <c r="XQ35" s="1" t="s">
        <v>27100</v>
      </c>
      <c r="XR35" s="1" t="s">
        <v>27101</v>
      </c>
      <c r="XS35" s="1" t="s">
        <v>27102</v>
      </c>
      <c r="XT35" s="1" t="s">
        <v>27103</v>
      </c>
      <c r="XU35" s="1" t="s">
        <v>27104</v>
      </c>
      <c r="XV35" s="1" t="s">
        <v>27105</v>
      </c>
      <c r="XW35" s="1" t="s">
        <v>27106</v>
      </c>
      <c r="XX35" s="1" t="s">
        <v>27107</v>
      </c>
      <c r="XY35" s="1" t="s">
        <v>27108</v>
      </c>
      <c r="XZ35" s="1" t="s">
        <v>27109</v>
      </c>
      <c r="YA35" s="1" t="s">
        <v>27110</v>
      </c>
      <c r="YB35" s="1" t="s">
        <v>27111</v>
      </c>
      <c r="YC35" s="1" t="s">
        <v>27112</v>
      </c>
      <c r="YD35" s="1" t="s">
        <v>27113</v>
      </c>
      <c r="YE35" s="1" t="s">
        <v>27114</v>
      </c>
      <c r="YF35" s="1" t="s">
        <v>27115</v>
      </c>
      <c r="YG35" s="1" t="s">
        <v>27116</v>
      </c>
      <c r="YH35" s="1" t="s">
        <v>27117</v>
      </c>
      <c r="YI35" s="1" t="s">
        <v>27118</v>
      </c>
      <c r="YJ35" s="1" t="s">
        <v>27119</v>
      </c>
      <c r="YK35" s="1" t="s">
        <v>27120</v>
      </c>
      <c r="YL35" s="1" t="s">
        <v>27121</v>
      </c>
      <c r="YM35" s="1" t="s">
        <v>27122</v>
      </c>
      <c r="YN35" s="1" t="s">
        <v>27123</v>
      </c>
      <c r="YO35" s="1" t="s">
        <v>27124</v>
      </c>
      <c r="YP35" s="1" t="s">
        <v>27125</v>
      </c>
      <c r="YQ35" s="1" t="s">
        <v>27126</v>
      </c>
      <c r="YR35" s="1" t="s">
        <v>27127</v>
      </c>
      <c r="YS35" s="1" t="s">
        <v>27128</v>
      </c>
      <c r="YT35" s="1" t="s">
        <v>27129</v>
      </c>
      <c r="YU35" s="1" t="s">
        <v>27130</v>
      </c>
      <c r="YV35" s="1" t="s">
        <v>27131</v>
      </c>
      <c r="YW35" s="1" t="s">
        <v>27132</v>
      </c>
      <c r="YX35" s="1" t="s">
        <v>27133</v>
      </c>
      <c r="YY35" s="1" t="s">
        <v>27134</v>
      </c>
      <c r="YZ35" s="1" t="s">
        <v>27135</v>
      </c>
      <c r="ZA35" s="1" t="s">
        <v>27136</v>
      </c>
      <c r="ZB35" s="1" t="s">
        <v>27137</v>
      </c>
      <c r="ZC35" s="1" t="s">
        <v>27138</v>
      </c>
      <c r="ZD35" s="1" t="s">
        <v>27139</v>
      </c>
      <c r="ZE35" s="1" t="s">
        <v>27140</v>
      </c>
      <c r="ZF35" s="1" t="s">
        <v>27141</v>
      </c>
      <c r="ZG35" s="1" t="s">
        <v>27142</v>
      </c>
      <c r="ZH35" s="1" t="s">
        <v>27143</v>
      </c>
      <c r="ZI35" s="1" t="s">
        <v>27144</v>
      </c>
      <c r="ZJ35" s="1" t="s">
        <v>27145</v>
      </c>
      <c r="ZK35" s="1" t="s">
        <v>27146</v>
      </c>
      <c r="ZL35" s="1" t="s">
        <v>27147</v>
      </c>
      <c r="ZM35" s="1" t="s">
        <v>27148</v>
      </c>
      <c r="ZN35" s="1" t="s">
        <v>27149</v>
      </c>
      <c r="ZO35" s="1" t="s">
        <v>27150</v>
      </c>
      <c r="ZP35" s="1" t="s">
        <v>27151</v>
      </c>
      <c r="ZQ35" s="1" t="s">
        <v>27152</v>
      </c>
      <c r="ZR35" s="1" t="s">
        <v>27153</v>
      </c>
      <c r="ZS35" s="1" t="s">
        <v>27154</v>
      </c>
      <c r="ZT35" s="1" t="s">
        <v>27155</v>
      </c>
      <c r="ZU35" s="1" t="s">
        <v>27156</v>
      </c>
      <c r="ZV35" s="1" t="s">
        <v>27157</v>
      </c>
      <c r="ZW35" s="1" t="s">
        <v>27158</v>
      </c>
      <c r="ZX35" s="1" t="s">
        <v>27159</v>
      </c>
      <c r="ZY35" s="1" t="s">
        <v>27160</v>
      </c>
      <c r="ZZ35" s="1" t="s">
        <v>27161</v>
      </c>
      <c r="AAA35" s="1" t="s">
        <v>27162</v>
      </c>
      <c r="AAB35" s="1" t="s">
        <v>27163</v>
      </c>
      <c r="AAC35" s="1" t="s">
        <v>27164</v>
      </c>
      <c r="AAD35" s="1" t="s">
        <v>27165</v>
      </c>
      <c r="AAE35" s="1" t="s">
        <v>27166</v>
      </c>
      <c r="AAF35" s="1" t="s">
        <v>27167</v>
      </c>
      <c r="AAG35" s="1" t="s">
        <v>27168</v>
      </c>
      <c r="AAH35" s="1" t="s">
        <v>27169</v>
      </c>
      <c r="AAI35" s="1" t="s">
        <v>27170</v>
      </c>
      <c r="AAJ35" s="1" t="s">
        <v>27171</v>
      </c>
      <c r="AAK35" s="1" t="s">
        <v>27172</v>
      </c>
      <c r="AAL35" s="1" t="s">
        <v>27173</v>
      </c>
      <c r="AAM35" s="1" t="s">
        <v>27174</v>
      </c>
      <c r="AAN35" s="1" t="s">
        <v>27175</v>
      </c>
      <c r="AAO35" s="1" t="s">
        <v>27176</v>
      </c>
      <c r="AAP35" s="1" t="s">
        <v>27177</v>
      </c>
      <c r="AAQ35" s="1" t="s">
        <v>27178</v>
      </c>
      <c r="AAR35" s="1" t="s">
        <v>27179</v>
      </c>
      <c r="AAS35" s="1" t="s">
        <v>27180</v>
      </c>
      <c r="AAT35" s="1" t="s">
        <v>27181</v>
      </c>
      <c r="AAU35" s="1" t="s">
        <v>27182</v>
      </c>
      <c r="AAV35" s="1" t="s">
        <v>27183</v>
      </c>
      <c r="AAW35" s="1" t="s">
        <v>27184</v>
      </c>
      <c r="AAX35" s="1" t="s">
        <v>27185</v>
      </c>
      <c r="AAY35" s="1" t="s">
        <v>27186</v>
      </c>
      <c r="AAZ35" s="1" t="s">
        <v>27187</v>
      </c>
      <c r="ABA35" s="1" t="s">
        <v>27188</v>
      </c>
      <c r="ABB35" s="1" t="s">
        <v>27189</v>
      </c>
      <c r="ABC35" s="1" t="s">
        <v>27190</v>
      </c>
      <c r="ABD35" s="1" t="s">
        <v>27191</v>
      </c>
      <c r="ABE35" s="1" t="s">
        <v>27192</v>
      </c>
      <c r="ABF35" s="1" t="s">
        <v>27193</v>
      </c>
      <c r="ABG35" s="1" t="s">
        <v>27194</v>
      </c>
      <c r="ABH35" s="1" t="s">
        <v>27195</v>
      </c>
      <c r="ABI35" s="1" t="s">
        <v>27196</v>
      </c>
      <c r="ABJ35" s="1" t="s">
        <v>27197</v>
      </c>
      <c r="ABK35" s="1" t="s">
        <v>27198</v>
      </c>
      <c r="ABL35" s="1" t="s">
        <v>27199</v>
      </c>
      <c r="ABM35" s="1" t="s">
        <v>27200</v>
      </c>
      <c r="ABN35" s="1" t="s">
        <v>27201</v>
      </c>
      <c r="ABO35" s="1" t="s">
        <v>27202</v>
      </c>
      <c r="ABP35" s="1" t="s">
        <v>27203</v>
      </c>
      <c r="ABQ35" s="1" t="s">
        <v>27204</v>
      </c>
      <c r="ABR35" s="1" t="s">
        <v>27205</v>
      </c>
      <c r="ABS35" s="1" t="s">
        <v>27206</v>
      </c>
      <c r="ABT35" s="1" t="s">
        <v>27207</v>
      </c>
      <c r="ABU35" s="1" t="s">
        <v>27208</v>
      </c>
      <c r="ABV35" s="1" t="s">
        <v>27209</v>
      </c>
      <c r="ABW35" s="1" t="s">
        <v>27210</v>
      </c>
      <c r="ABX35" s="1" t="s">
        <v>27211</v>
      </c>
      <c r="ABY35" s="1" t="s">
        <v>27212</v>
      </c>
      <c r="ABZ35" s="1" t="s">
        <v>27213</v>
      </c>
      <c r="ACA35" s="1" t="s">
        <v>27214</v>
      </c>
      <c r="ACB35" s="1" t="s">
        <v>27215</v>
      </c>
      <c r="ACC35" s="1" t="s">
        <v>27216</v>
      </c>
      <c r="ACD35" s="1" t="s">
        <v>27217</v>
      </c>
      <c r="ACE35" s="1" t="s">
        <v>27218</v>
      </c>
      <c r="ACF35" s="1" t="s">
        <v>27219</v>
      </c>
      <c r="ACG35" s="1" t="s">
        <v>27220</v>
      </c>
      <c r="ACH35" s="1" t="s">
        <v>27221</v>
      </c>
      <c r="ACI35" s="1" t="s">
        <v>27222</v>
      </c>
      <c r="ACJ35" s="1" t="s">
        <v>27223</v>
      </c>
      <c r="ACK35" s="1" t="s">
        <v>27224</v>
      </c>
      <c r="ACL35" s="1" t="s">
        <v>27225</v>
      </c>
      <c r="ACM35" s="1" t="s">
        <v>27226</v>
      </c>
      <c r="ACN35" s="1" t="s">
        <v>27227</v>
      </c>
      <c r="ACO35" s="1" t="s">
        <v>27228</v>
      </c>
      <c r="ACP35" s="1" t="s">
        <v>27229</v>
      </c>
      <c r="ACQ35" s="1" t="s">
        <v>27230</v>
      </c>
      <c r="ACR35" s="1" t="s">
        <v>27231</v>
      </c>
      <c r="ACS35" s="1" t="s">
        <v>27232</v>
      </c>
      <c r="ACT35" s="1" t="s">
        <v>27233</v>
      </c>
      <c r="ACU35" s="1" t="s">
        <v>27234</v>
      </c>
      <c r="ACV35" s="1" t="s">
        <v>27235</v>
      </c>
      <c r="ACW35" s="1" t="s">
        <v>12</v>
      </c>
      <c r="ACX35" s="1" t="s">
        <v>1500</v>
      </c>
    </row>
    <row r="36" spans="1:778" x14ac:dyDescent="0.2">
      <c r="A36" s="1" t="s">
        <v>18</v>
      </c>
      <c r="B36" s="1" t="s">
        <v>27236</v>
      </c>
      <c r="C36" s="1" t="s">
        <v>27237</v>
      </c>
      <c r="D36" s="1" t="s">
        <v>27238</v>
      </c>
      <c r="E36" s="1" t="s">
        <v>27239</v>
      </c>
      <c r="F36" s="1" t="s">
        <v>27240</v>
      </c>
      <c r="G36" s="1" t="s">
        <v>27241</v>
      </c>
      <c r="H36" s="1" t="s">
        <v>27242</v>
      </c>
      <c r="I36" s="1" t="s">
        <v>27243</v>
      </c>
      <c r="J36" s="1" t="s">
        <v>27244</v>
      </c>
      <c r="K36" s="1" t="s">
        <v>27245</v>
      </c>
      <c r="L36" s="1" t="s">
        <v>27246</v>
      </c>
      <c r="M36" s="1" t="s">
        <v>27247</v>
      </c>
      <c r="N36" s="1" t="s">
        <v>27248</v>
      </c>
      <c r="O36" s="1" t="s">
        <v>27249</v>
      </c>
      <c r="P36" s="1" t="s">
        <v>27250</v>
      </c>
      <c r="Q36" s="1" t="s">
        <v>27251</v>
      </c>
      <c r="R36" s="1" t="s">
        <v>27252</v>
      </c>
      <c r="S36" s="1" t="s">
        <v>27253</v>
      </c>
      <c r="T36" s="1" t="s">
        <v>27254</v>
      </c>
      <c r="U36" s="1" t="s">
        <v>27255</v>
      </c>
      <c r="V36" s="1" t="s">
        <v>27256</v>
      </c>
      <c r="W36" s="1" t="s">
        <v>27257</v>
      </c>
      <c r="X36" s="1" t="s">
        <v>27258</v>
      </c>
      <c r="Y36" s="1" t="s">
        <v>27259</v>
      </c>
      <c r="Z36" s="1" t="s">
        <v>27260</v>
      </c>
      <c r="AA36" s="1" t="s">
        <v>27261</v>
      </c>
      <c r="AB36" s="1" t="s">
        <v>27262</v>
      </c>
      <c r="AC36" s="1" t="s">
        <v>27263</v>
      </c>
      <c r="AD36" s="1" t="s">
        <v>27264</v>
      </c>
      <c r="AE36" s="1" t="s">
        <v>27265</v>
      </c>
      <c r="AF36" s="1" t="s">
        <v>27266</v>
      </c>
      <c r="AG36" s="1" t="s">
        <v>27267</v>
      </c>
      <c r="AH36" s="1" t="s">
        <v>27268</v>
      </c>
      <c r="AI36" s="1" t="s">
        <v>27269</v>
      </c>
      <c r="AJ36" s="1" t="s">
        <v>27270</v>
      </c>
      <c r="AK36" s="1" t="s">
        <v>27271</v>
      </c>
      <c r="AL36" s="1" t="s">
        <v>27272</v>
      </c>
      <c r="AM36" s="1" t="s">
        <v>27273</v>
      </c>
      <c r="AN36" s="1" t="s">
        <v>27274</v>
      </c>
      <c r="AO36" s="1" t="s">
        <v>27275</v>
      </c>
      <c r="AP36" s="1" t="s">
        <v>27276</v>
      </c>
      <c r="AQ36" s="1" t="s">
        <v>27277</v>
      </c>
      <c r="AR36" s="1" t="s">
        <v>27278</v>
      </c>
      <c r="AS36" s="1" t="s">
        <v>27279</v>
      </c>
      <c r="AT36" s="1" t="s">
        <v>27280</v>
      </c>
      <c r="AU36" s="1" t="s">
        <v>27281</v>
      </c>
      <c r="AV36" s="1" t="s">
        <v>27282</v>
      </c>
      <c r="AW36" s="1" t="s">
        <v>27283</v>
      </c>
      <c r="AX36" s="1" t="s">
        <v>27284</v>
      </c>
      <c r="AY36" s="1" t="s">
        <v>27285</v>
      </c>
      <c r="AZ36" s="1" t="s">
        <v>27286</v>
      </c>
      <c r="BA36" s="1" t="s">
        <v>27287</v>
      </c>
      <c r="BB36" s="1" t="s">
        <v>27288</v>
      </c>
      <c r="BC36" s="1" t="s">
        <v>27289</v>
      </c>
      <c r="BD36" s="1" t="s">
        <v>27290</v>
      </c>
      <c r="BE36" s="1" t="s">
        <v>27291</v>
      </c>
      <c r="BF36" s="1" t="s">
        <v>27292</v>
      </c>
      <c r="BG36" s="1" t="s">
        <v>27293</v>
      </c>
      <c r="BH36" s="1" t="s">
        <v>27294</v>
      </c>
      <c r="BI36" s="1" t="s">
        <v>27295</v>
      </c>
      <c r="BJ36" s="1" t="s">
        <v>27296</v>
      </c>
      <c r="BK36" s="1" t="s">
        <v>27297</v>
      </c>
      <c r="BL36" s="1" t="s">
        <v>27298</v>
      </c>
      <c r="BM36" s="1" t="s">
        <v>27299</v>
      </c>
      <c r="BN36" s="1" t="s">
        <v>27300</v>
      </c>
      <c r="BO36" s="1" t="s">
        <v>27301</v>
      </c>
      <c r="BP36" s="1" t="s">
        <v>27302</v>
      </c>
      <c r="BQ36" s="1" t="s">
        <v>27303</v>
      </c>
      <c r="BR36" s="1" t="s">
        <v>27304</v>
      </c>
      <c r="BS36" s="1" t="s">
        <v>27305</v>
      </c>
      <c r="BT36" s="1" t="s">
        <v>27306</v>
      </c>
      <c r="BU36" s="1" t="s">
        <v>27307</v>
      </c>
      <c r="BV36" s="1" t="s">
        <v>27308</v>
      </c>
      <c r="BW36" s="1" t="s">
        <v>27309</v>
      </c>
      <c r="BX36" s="1" t="s">
        <v>27310</v>
      </c>
      <c r="BY36" s="1" t="s">
        <v>27311</v>
      </c>
      <c r="BZ36" s="1" t="s">
        <v>27312</v>
      </c>
      <c r="CA36" s="1" t="s">
        <v>27313</v>
      </c>
      <c r="CB36" s="1" t="s">
        <v>27314</v>
      </c>
      <c r="CC36" s="1" t="s">
        <v>27315</v>
      </c>
      <c r="CD36" s="1" t="s">
        <v>27316</v>
      </c>
      <c r="CE36" s="1" t="s">
        <v>27317</v>
      </c>
      <c r="CF36" s="1" t="s">
        <v>27318</v>
      </c>
      <c r="CG36" s="1" t="s">
        <v>27319</v>
      </c>
      <c r="CH36" s="1" t="s">
        <v>27320</v>
      </c>
      <c r="CI36" s="1" t="s">
        <v>27321</v>
      </c>
      <c r="CJ36" s="1" t="s">
        <v>27322</v>
      </c>
      <c r="CK36" s="1" t="s">
        <v>27323</v>
      </c>
      <c r="CL36" s="1" t="s">
        <v>27324</v>
      </c>
      <c r="CM36" s="1" t="s">
        <v>27325</v>
      </c>
      <c r="CN36" s="1" t="s">
        <v>27326</v>
      </c>
      <c r="CO36" s="1" t="s">
        <v>27327</v>
      </c>
      <c r="CP36" s="1" t="s">
        <v>27328</v>
      </c>
      <c r="CQ36" s="1" t="s">
        <v>27329</v>
      </c>
      <c r="CR36" s="1" t="s">
        <v>27330</v>
      </c>
      <c r="CS36" s="1" t="s">
        <v>27331</v>
      </c>
      <c r="CT36" s="1" t="s">
        <v>27332</v>
      </c>
      <c r="CU36" s="1" t="s">
        <v>27333</v>
      </c>
      <c r="CV36" s="1" t="s">
        <v>27334</v>
      </c>
      <c r="CW36" s="1" t="s">
        <v>27335</v>
      </c>
      <c r="CX36" s="1" t="s">
        <v>27336</v>
      </c>
      <c r="CY36" s="1" t="s">
        <v>27337</v>
      </c>
      <c r="CZ36" s="1" t="s">
        <v>27338</v>
      </c>
      <c r="DA36" s="1" t="s">
        <v>27339</v>
      </c>
      <c r="DB36" s="1" t="s">
        <v>27340</v>
      </c>
      <c r="DC36" s="1" t="s">
        <v>27341</v>
      </c>
      <c r="DD36" s="1" t="s">
        <v>27342</v>
      </c>
      <c r="DE36" s="1" t="s">
        <v>27343</v>
      </c>
      <c r="DF36" s="1" t="s">
        <v>27344</v>
      </c>
      <c r="DG36" s="1" t="s">
        <v>27345</v>
      </c>
      <c r="DH36" s="1" t="s">
        <v>27346</v>
      </c>
      <c r="DI36" s="1" t="s">
        <v>27347</v>
      </c>
      <c r="DJ36" s="1" t="s">
        <v>27348</v>
      </c>
      <c r="DK36" s="1" t="s">
        <v>27349</v>
      </c>
      <c r="DL36" s="1" t="s">
        <v>27350</v>
      </c>
      <c r="DM36" s="1" t="s">
        <v>27351</v>
      </c>
      <c r="DN36" s="1" t="s">
        <v>27352</v>
      </c>
      <c r="DO36" s="1" t="s">
        <v>27353</v>
      </c>
      <c r="DP36" s="1" t="s">
        <v>27354</v>
      </c>
      <c r="DQ36" s="1" t="s">
        <v>27355</v>
      </c>
      <c r="DR36" s="1" t="s">
        <v>27356</v>
      </c>
      <c r="DS36" s="1" t="s">
        <v>27357</v>
      </c>
      <c r="DT36" s="1" t="s">
        <v>27358</v>
      </c>
      <c r="DU36" s="1" t="s">
        <v>27359</v>
      </c>
      <c r="DV36" s="1" t="s">
        <v>27360</v>
      </c>
      <c r="DW36" s="1" t="s">
        <v>27361</v>
      </c>
      <c r="DX36" s="1" t="s">
        <v>27362</v>
      </c>
      <c r="DY36" s="1" t="s">
        <v>27363</v>
      </c>
      <c r="DZ36" s="1" t="s">
        <v>27364</v>
      </c>
      <c r="EA36" s="1" t="s">
        <v>27365</v>
      </c>
      <c r="EB36" s="1" t="s">
        <v>27366</v>
      </c>
      <c r="EC36" s="1" t="s">
        <v>27367</v>
      </c>
      <c r="ED36" s="1" t="s">
        <v>27368</v>
      </c>
      <c r="EE36" s="1" t="s">
        <v>27369</v>
      </c>
      <c r="EF36" s="1" t="s">
        <v>27370</v>
      </c>
      <c r="EG36" s="1" t="s">
        <v>27371</v>
      </c>
      <c r="EH36" s="1" t="s">
        <v>27372</v>
      </c>
      <c r="EI36" s="1" t="s">
        <v>27373</v>
      </c>
      <c r="EJ36" s="1" t="s">
        <v>27374</v>
      </c>
      <c r="EK36" s="1" t="s">
        <v>27375</v>
      </c>
      <c r="EL36" s="1" t="s">
        <v>27376</v>
      </c>
      <c r="EM36" s="1" t="s">
        <v>27377</v>
      </c>
      <c r="EN36" s="1" t="s">
        <v>27378</v>
      </c>
      <c r="EO36" s="1" t="s">
        <v>27379</v>
      </c>
      <c r="EP36" s="1" t="s">
        <v>27380</v>
      </c>
      <c r="EQ36" s="1" t="s">
        <v>27381</v>
      </c>
      <c r="ER36" s="1" t="s">
        <v>27382</v>
      </c>
      <c r="ES36" s="1" t="s">
        <v>27383</v>
      </c>
      <c r="ET36" s="1" t="s">
        <v>27384</v>
      </c>
      <c r="EU36" s="1" t="s">
        <v>27385</v>
      </c>
      <c r="EV36" s="1" t="s">
        <v>27386</v>
      </c>
      <c r="EW36" s="1" t="s">
        <v>27387</v>
      </c>
      <c r="EX36" s="1" t="s">
        <v>27388</v>
      </c>
      <c r="EY36" s="1" t="s">
        <v>27389</v>
      </c>
      <c r="EZ36" s="1" t="s">
        <v>27390</v>
      </c>
      <c r="FA36" s="1" t="s">
        <v>27391</v>
      </c>
      <c r="FB36" s="1" t="s">
        <v>27392</v>
      </c>
      <c r="FC36" s="1" t="s">
        <v>27393</v>
      </c>
      <c r="FD36" s="1" t="s">
        <v>27394</v>
      </c>
      <c r="FE36" s="1" t="s">
        <v>27395</v>
      </c>
      <c r="FF36" s="1" t="s">
        <v>27396</v>
      </c>
      <c r="FG36" s="1" t="s">
        <v>27397</v>
      </c>
      <c r="FH36" s="1" t="s">
        <v>27398</v>
      </c>
      <c r="FI36" s="1" t="s">
        <v>27399</v>
      </c>
      <c r="FJ36" s="1" t="s">
        <v>27400</v>
      </c>
      <c r="FK36" s="1" t="s">
        <v>27401</v>
      </c>
      <c r="FL36" s="1" t="s">
        <v>27402</v>
      </c>
      <c r="FM36" s="1" t="s">
        <v>27403</v>
      </c>
      <c r="FN36" s="1" t="s">
        <v>27404</v>
      </c>
      <c r="FO36" s="1" t="s">
        <v>27405</v>
      </c>
      <c r="FP36" s="1" t="s">
        <v>27406</v>
      </c>
      <c r="FQ36" s="1" t="s">
        <v>27407</v>
      </c>
      <c r="FR36" s="1" t="s">
        <v>27408</v>
      </c>
      <c r="FS36" s="1" t="s">
        <v>27409</v>
      </c>
      <c r="FT36" s="1" t="s">
        <v>27410</v>
      </c>
      <c r="FU36" s="1" t="s">
        <v>27411</v>
      </c>
      <c r="FV36" s="1" t="s">
        <v>27412</v>
      </c>
      <c r="FW36" s="1" t="s">
        <v>27413</v>
      </c>
      <c r="FX36" s="1" t="s">
        <v>27414</v>
      </c>
      <c r="FY36" s="1" t="s">
        <v>27415</v>
      </c>
      <c r="FZ36" s="1" t="s">
        <v>27416</v>
      </c>
      <c r="GA36" s="1" t="s">
        <v>27417</v>
      </c>
      <c r="GB36" s="1" t="s">
        <v>27418</v>
      </c>
      <c r="GC36" s="1" t="s">
        <v>27419</v>
      </c>
      <c r="GD36" s="1" t="s">
        <v>27420</v>
      </c>
      <c r="GE36" s="1" t="s">
        <v>27421</v>
      </c>
      <c r="GF36" s="1" t="s">
        <v>27422</v>
      </c>
      <c r="GG36" s="1" t="s">
        <v>27423</v>
      </c>
      <c r="GH36" s="1" t="s">
        <v>27424</v>
      </c>
      <c r="GI36" s="1" t="s">
        <v>27425</v>
      </c>
      <c r="GJ36" s="1" t="s">
        <v>27426</v>
      </c>
      <c r="GK36" s="1" t="s">
        <v>27427</v>
      </c>
      <c r="GL36" s="1" t="s">
        <v>27428</v>
      </c>
      <c r="GM36" s="1" t="s">
        <v>27429</v>
      </c>
      <c r="GN36" s="1" t="s">
        <v>27430</v>
      </c>
      <c r="GO36" s="1" t="s">
        <v>27431</v>
      </c>
      <c r="GP36" s="1" t="s">
        <v>27432</v>
      </c>
      <c r="GQ36" s="1" t="s">
        <v>27433</v>
      </c>
      <c r="GR36" s="1" t="s">
        <v>27434</v>
      </c>
      <c r="GS36" s="1" t="s">
        <v>27435</v>
      </c>
      <c r="GT36" s="1" t="s">
        <v>27436</v>
      </c>
      <c r="GU36" s="1" t="s">
        <v>27437</v>
      </c>
      <c r="GV36" s="1" t="s">
        <v>27438</v>
      </c>
      <c r="GW36" s="1" t="s">
        <v>27439</v>
      </c>
      <c r="GX36" s="1" t="s">
        <v>27440</v>
      </c>
      <c r="GY36" s="1" t="s">
        <v>27441</v>
      </c>
      <c r="GZ36" s="1" t="s">
        <v>27442</v>
      </c>
      <c r="HA36" s="1" t="s">
        <v>27443</v>
      </c>
      <c r="HB36" s="1" t="s">
        <v>27444</v>
      </c>
      <c r="HC36" s="1" t="s">
        <v>27445</v>
      </c>
      <c r="HD36" s="1" t="s">
        <v>27446</v>
      </c>
      <c r="HE36" s="1" t="s">
        <v>27447</v>
      </c>
      <c r="HF36" s="1" t="s">
        <v>27448</v>
      </c>
      <c r="HG36" s="1" t="s">
        <v>27449</v>
      </c>
      <c r="HH36" s="1" t="s">
        <v>27450</v>
      </c>
      <c r="HI36" s="1" t="s">
        <v>27451</v>
      </c>
      <c r="HJ36" s="1" t="s">
        <v>27452</v>
      </c>
      <c r="HK36" s="1" t="s">
        <v>27453</v>
      </c>
      <c r="HL36" s="1" t="s">
        <v>27454</v>
      </c>
      <c r="HM36" s="1" t="s">
        <v>27455</v>
      </c>
      <c r="HN36" s="1" t="s">
        <v>27456</v>
      </c>
      <c r="HO36" s="1" t="s">
        <v>27457</v>
      </c>
      <c r="HP36" s="1" t="s">
        <v>27458</v>
      </c>
      <c r="HQ36" s="1" t="s">
        <v>27459</v>
      </c>
      <c r="HR36" s="1" t="s">
        <v>27460</v>
      </c>
      <c r="HS36" s="1" t="s">
        <v>27461</v>
      </c>
      <c r="HT36" s="1" t="s">
        <v>27462</v>
      </c>
      <c r="HU36" s="1" t="s">
        <v>27463</v>
      </c>
      <c r="HV36" s="1" t="s">
        <v>27464</v>
      </c>
      <c r="HW36" s="1" t="s">
        <v>27465</v>
      </c>
      <c r="HX36" s="1" t="s">
        <v>27466</v>
      </c>
      <c r="HY36" s="1" t="s">
        <v>27467</v>
      </c>
      <c r="HZ36" s="1" t="s">
        <v>27468</v>
      </c>
      <c r="IA36" s="1" t="s">
        <v>27469</v>
      </c>
      <c r="IB36" s="1" t="s">
        <v>27470</v>
      </c>
      <c r="IC36" s="1" t="s">
        <v>27471</v>
      </c>
      <c r="ID36" s="1" t="s">
        <v>27472</v>
      </c>
      <c r="IE36" s="1" t="s">
        <v>27473</v>
      </c>
      <c r="IF36" s="1" t="s">
        <v>27474</v>
      </c>
      <c r="IG36" s="1" t="s">
        <v>27475</v>
      </c>
      <c r="IH36" s="1" t="s">
        <v>27476</v>
      </c>
      <c r="II36" s="1" t="s">
        <v>27477</v>
      </c>
      <c r="IJ36" s="1" t="s">
        <v>27478</v>
      </c>
      <c r="IK36" s="1" t="s">
        <v>27479</v>
      </c>
      <c r="IL36" s="1" t="s">
        <v>27480</v>
      </c>
      <c r="IM36" s="1" t="s">
        <v>27481</v>
      </c>
      <c r="IN36" s="1" t="s">
        <v>27482</v>
      </c>
      <c r="IO36" s="1" t="s">
        <v>27483</v>
      </c>
      <c r="IP36" s="1" t="s">
        <v>27484</v>
      </c>
      <c r="IQ36" s="1" t="s">
        <v>27485</v>
      </c>
      <c r="IR36" s="1" t="s">
        <v>27486</v>
      </c>
      <c r="IS36" s="1" t="s">
        <v>27487</v>
      </c>
      <c r="IT36" s="1" t="s">
        <v>27488</v>
      </c>
      <c r="IU36" s="1" t="s">
        <v>27489</v>
      </c>
      <c r="IV36" s="1" t="s">
        <v>27490</v>
      </c>
      <c r="IW36" s="1" t="s">
        <v>27491</v>
      </c>
      <c r="IX36" s="1" t="s">
        <v>27492</v>
      </c>
      <c r="IY36" s="1" t="s">
        <v>27493</v>
      </c>
      <c r="IZ36" s="1" t="s">
        <v>27494</v>
      </c>
      <c r="JA36" s="1" t="s">
        <v>27495</v>
      </c>
      <c r="JB36" s="1" t="s">
        <v>27496</v>
      </c>
      <c r="JC36" s="1" t="s">
        <v>27497</v>
      </c>
      <c r="JD36" s="1" t="s">
        <v>27498</v>
      </c>
      <c r="JE36" s="1" t="s">
        <v>27499</v>
      </c>
      <c r="JF36" s="1" t="s">
        <v>27500</v>
      </c>
      <c r="JG36" s="1" t="s">
        <v>27501</v>
      </c>
      <c r="JH36" s="1" t="s">
        <v>27502</v>
      </c>
      <c r="JI36" s="1" t="s">
        <v>27503</v>
      </c>
      <c r="JJ36" s="1" t="s">
        <v>27504</v>
      </c>
      <c r="JK36" s="1" t="s">
        <v>27505</v>
      </c>
      <c r="JL36" s="1" t="s">
        <v>27506</v>
      </c>
      <c r="JM36" s="1" t="s">
        <v>27507</v>
      </c>
      <c r="JN36" s="1" t="s">
        <v>27508</v>
      </c>
      <c r="JO36" s="1" t="s">
        <v>27509</v>
      </c>
      <c r="JP36" s="1" t="s">
        <v>27510</v>
      </c>
      <c r="JQ36" s="1" t="s">
        <v>27511</v>
      </c>
      <c r="JR36" s="1" t="s">
        <v>27512</v>
      </c>
      <c r="JS36" s="1" t="s">
        <v>27513</v>
      </c>
      <c r="JT36" s="1" t="s">
        <v>27514</v>
      </c>
      <c r="JU36" s="1" t="s">
        <v>27515</v>
      </c>
      <c r="JV36" s="1" t="s">
        <v>27516</v>
      </c>
      <c r="JW36" s="1" t="s">
        <v>27517</v>
      </c>
      <c r="JX36" s="1" t="s">
        <v>27518</v>
      </c>
      <c r="JY36" s="1" t="s">
        <v>27519</v>
      </c>
      <c r="JZ36" s="1" t="s">
        <v>27520</v>
      </c>
      <c r="KA36" s="1" t="s">
        <v>27521</v>
      </c>
      <c r="KB36" s="1" t="s">
        <v>27522</v>
      </c>
      <c r="KC36" s="1" t="s">
        <v>27523</v>
      </c>
      <c r="KD36" s="1" t="s">
        <v>27524</v>
      </c>
      <c r="KE36" s="1" t="s">
        <v>27525</v>
      </c>
      <c r="KF36" s="1" t="s">
        <v>27526</v>
      </c>
      <c r="KG36" s="1" t="s">
        <v>27527</v>
      </c>
      <c r="KH36" s="1" t="s">
        <v>27528</v>
      </c>
      <c r="KI36" s="1" t="s">
        <v>27529</v>
      </c>
      <c r="KJ36" s="1" t="s">
        <v>27530</v>
      </c>
      <c r="KK36" s="1" t="s">
        <v>27531</v>
      </c>
      <c r="KL36" s="1" t="s">
        <v>27532</v>
      </c>
      <c r="KM36" s="1" t="s">
        <v>27533</v>
      </c>
      <c r="KN36" s="1" t="s">
        <v>27534</v>
      </c>
      <c r="KO36" s="1" t="s">
        <v>27535</v>
      </c>
      <c r="KP36" s="1" t="s">
        <v>27536</v>
      </c>
      <c r="KQ36" s="1" t="s">
        <v>27537</v>
      </c>
      <c r="KR36" s="1" t="s">
        <v>27538</v>
      </c>
      <c r="KS36" s="1" t="s">
        <v>27539</v>
      </c>
      <c r="KT36" s="1" t="s">
        <v>27540</v>
      </c>
      <c r="KU36" s="1" t="s">
        <v>27541</v>
      </c>
      <c r="KV36" s="1" t="s">
        <v>27542</v>
      </c>
      <c r="KW36" s="1" t="s">
        <v>27543</v>
      </c>
      <c r="KX36" s="1" t="s">
        <v>27544</v>
      </c>
      <c r="KY36" s="1" t="s">
        <v>27545</v>
      </c>
      <c r="KZ36" s="1" t="s">
        <v>27546</v>
      </c>
      <c r="LA36" s="1" t="s">
        <v>27547</v>
      </c>
      <c r="LB36" s="1" t="s">
        <v>27548</v>
      </c>
      <c r="LC36" s="1" t="s">
        <v>27549</v>
      </c>
      <c r="LD36" s="1" t="s">
        <v>27550</v>
      </c>
      <c r="LE36" s="1" t="s">
        <v>27551</v>
      </c>
      <c r="LF36" s="1" t="s">
        <v>27552</v>
      </c>
      <c r="LG36" s="1" t="s">
        <v>27553</v>
      </c>
      <c r="LH36" s="1" t="s">
        <v>27554</v>
      </c>
      <c r="LI36" s="1" t="s">
        <v>27555</v>
      </c>
      <c r="LJ36" s="1" t="s">
        <v>27556</v>
      </c>
      <c r="LK36" s="1" t="s">
        <v>27557</v>
      </c>
      <c r="LL36" s="1" t="s">
        <v>27558</v>
      </c>
      <c r="LM36" s="1" t="s">
        <v>27559</v>
      </c>
      <c r="LN36" s="1" t="s">
        <v>27560</v>
      </c>
      <c r="LO36" s="1" t="s">
        <v>27561</v>
      </c>
      <c r="LP36" s="1" t="s">
        <v>27562</v>
      </c>
      <c r="LQ36" s="1" t="s">
        <v>27563</v>
      </c>
      <c r="LR36" s="1" t="s">
        <v>27564</v>
      </c>
      <c r="LS36" s="1" t="s">
        <v>27565</v>
      </c>
      <c r="LT36" s="1" t="s">
        <v>27566</v>
      </c>
      <c r="LU36" s="1" t="s">
        <v>27567</v>
      </c>
      <c r="LV36" s="1" t="s">
        <v>27568</v>
      </c>
      <c r="LW36" s="1" t="s">
        <v>27569</v>
      </c>
      <c r="LX36" s="1" t="s">
        <v>27570</v>
      </c>
      <c r="LY36" s="1" t="s">
        <v>27571</v>
      </c>
      <c r="LZ36" s="1" t="s">
        <v>27572</v>
      </c>
      <c r="MA36" s="1" t="s">
        <v>27573</v>
      </c>
      <c r="MB36" s="1" t="s">
        <v>27574</v>
      </c>
      <c r="MC36" s="1" t="s">
        <v>27575</v>
      </c>
      <c r="MD36" s="1" t="s">
        <v>27576</v>
      </c>
      <c r="ME36" s="1" t="s">
        <v>27577</v>
      </c>
      <c r="MF36" s="1" t="s">
        <v>27578</v>
      </c>
      <c r="MG36" s="1" t="s">
        <v>27579</v>
      </c>
      <c r="MH36" s="1" t="s">
        <v>27580</v>
      </c>
      <c r="MI36" s="1" t="s">
        <v>27581</v>
      </c>
      <c r="MJ36" s="1" t="s">
        <v>27582</v>
      </c>
      <c r="MK36" s="1" t="s">
        <v>27583</v>
      </c>
      <c r="ML36" s="1" t="s">
        <v>27584</v>
      </c>
      <c r="MM36" s="1" t="s">
        <v>27585</v>
      </c>
      <c r="MN36" s="1" t="s">
        <v>27586</v>
      </c>
      <c r="MO36" s="1" t="s">
        <v>27587</v>
      </c>
      <c r="MP36" s="1" t="s">
        <v>27588</v>
      </c>
      <c r="MQ36" s="1" t="s">
        <v>27589</v>
      </c>
      <c r="MR36" s="1" t="s">
        <v>27590</v>
      </c>
      <c r="MS36" s="1" t="s">
        <v>27591</v>
      </c>
      <c r="MT36" s="1" t="s">
        <v>27592</v>
      </c>
      <c r="MU36" s="1" t="s">
        <v>27593</v>
      </c>
      <c r="MV36" s="1" t="s">
        <v>27594</v>
      </c>
      <c r="MW36" s="1" t="s">
        <v>27595</v>
      </c>
      <c r="MX36" s="1" t="s">
        <v>27596</v>
      </c>
      <c r="MY36" s="1" t="s">
        <v>27597</v>
      </c>
      <c r="MZ36" s="1" t="s">
        <v>27598</v>
      </c>
      <c r="NA36" s="1" t="s">
        <v>27599</v>
      </c>
      <c r="NB36" s="1" t="s">
        <v>27600</v>
      </c>
      <c r="NC36" s="1" t="s">
        <v>27601</v>
      </c>
      <c r="ND36" s="1" t="s">
        <v>27602</v>
      </c>
      <c r="NE36" s="1" t="s">
        <v>27603</v>
      </c>
      <c r="NF36" s="1" t="s">
        <v>27604</v>
      </c>
      <c r="NG36" s="1" t="s">
        <v>27605</v>
      </c>
      <c r="NH36" s="1" t="s">
        <v>27606</v>
      </c>
      <c r="NI36" s="1" t="s">
        <v>27607</v>
      </c>
      <c r="NJ36" s="1" t="s">
        <v>27608</v>
      </c>
      <c r="NK36" s="1" t="s">
        <v>27609</v>
      </c>
      <c r="NL36" s="1" t="s">
        <v>27610</v>
      </c>
      <c r="NM36" s="1" t="s">
        <v>27611</v>
      </c>
      <c r="NN36" s="1" t="s">
        <v>27612</v>
      </c>
      <c r="NO36" s="1" t="s">
        <v>27613</v>
      </c>
      <c r="NP36" s="1" t="s">
        <v>27614</v>
      </c>
      <c r="NQ36" s="1" t="s">
        <v>27615</v>
      </c>
      <c r="NR36" s="1" t="s">
        <v>27616</v>
      </c>
      <c r="NS36" s="1" t="s">
        <v>27617</v>
      </c>
      <c r="NT36" s="1" t="s">
        <v>27618</v>
      </c>
      <c r="NU36" s="1" t="s">
        <v>27619</v>
      </c>
      <c r="NV36" s="1" t="s">
        <v>27620</v>
      </c>
      <c r="NW36" s="1" t="s">
        <v>27621</v>
      </c>
      <c r="NX36" s="1" t="s">
        <v>27622</v>
      </c>
      <c r="NY36" s="1" t="s">
        <v>27623</v>
      </c>
      <c r="NZ36" s="1" t="s">
        <v>27624</v>
      </c>
      <c r="OA36" s="1" t="s">
        <v>27625</v>
      </c>
      <c r="OB36" s="1" t="s">
        <v>27626</v>
      </c>
      <c r="OC36" s="1" t="s">
        <v>27627</v>
      </c>
      <c r="OD36" s="1" t="s">
        <v>27628</v>
      </c>
      <c r="OE36" s="1" t="s">
        <v>27629</v>
      </c>
      <c r="OF36" s="1" t="s">
        <v>27630</v>
      </c>
      <c r="OG36" s="1" t="s">
        <v>27631</v>
      </c>
      <c r="OH36" s="1" t="s">
        <v>27632</v>
      </c>
      <c r="OI36" s="1" t="s">
        <v>27633</v>
      </c>
      <c r="OJ36" s="1" t="s">
        <v>27634</v>
      </c>
      <c r="OK36" s="1" t="s">
        <v>27635</v>
      </c>
      <c r="OL36" s="1" t="s">
        <v>27636</v>
      </c>
      <c r="OM36" s="1" t="s">
        <v>27637</v>
      </c>
      <c r="ON36" s="1" t="s">
        <v>27638</v>
      </c>
      <c r="OO36" s="1" t="s">
        <v>27639</v>
      </c>
      <c r="OP36" s="1" t="s">
        <v>27640</v>
      </c>
      <c r="OQ36" s="1" t="s">
        <v>27641</v>
      </c>
      <c r="OR36" s="1" t="s">
        <v>27642</v>
      </c>
      <c r="OS36" s="1" t="s">
        <v>27643</v>
      </c>
      <c r="OT36" s="1" t="s">
        <v>27644</v>
      </c>
      <c r="OU36" s="1" t="s">
        <v>27645</v>
      </c>
      <c r="OV36" s="1" t="s">
        <v>27646</v>
      </c>
      <c r="OW36" s="1" t="s">
        <v>27647</v>
      </c>
      <c r="OX36" s="1" t="s">
        <v>27648</v>
      </c>
      <c r="OY36" s="1" t="s">
        <v>27649</v>
      </c>
      <c r="OZ36" s="1" t="s">
        <v>27650</v>
      </c>
      <c r="PA36" s="1" t="s">
        <v>27651</v>
      </c>
      <c r="PB36" s="1" t="s">
        <v>27652</v>
      </c>
      <c r="PC36" s="1" t="s">
        <v>27653</v>
      </c>
      <c r="PD36" s="1" t="s">
        <v>27654</v>
      </c>
      <c r="PE36" s="1" t="s">
        <v>27655</v>
      </c>
      <c r="PF36" s="1" t="s">
        <v>27656</v>
      </c>
      <c r="PG36" s="1" t="s">
        <v>27657</v>
      </c>
      <c r="PH36" s="1" t="s">
        <v>27658</v>
      </c>
      <c r="PI36" s="1" t="s">
        <v>27659</v>
      </c>
      <c r="PJ36" s="1" t="s">
        <v>27660</v>
      </c>
      <c r="PK36" s="1" t="s">
        <v>27661</v>
      </c>
      <c r="PL36" s="1" t="s">
        <v>27662</v>
      </c>
      <c r="PM36" s="1" t="s">
        <v>27663</v>
      </c>
      <c r="PN36" s="1" t="s">
        <v>27664</v>
      </c>
      <c r="PO36" s="1" t="s">
        <v>27665</v>
      </c>
      <c r="PP36" s="1" t="s">
        <v>27666</v>
      </c>
      <c r="PQ36" s="1" t="s">
        <v>27667</v>
      </c>
      <c r="PR36" s="1" t="s">
        <v>27668</v>
      </c>
      <c r="PS36" s="1" t="s">
        <v>27669</v>
      </c>
      <c r="PT36" s="1" t="s">
        <v>27670</v>
      </c>
      <c r="PU36" s="1" t="s">
        <v>27671</v>
      </c>
      <c r="PV36" s="1" t="s">
        <v>27672</v>
      </c>
      <c r="PW36" s="1" t="s">
        <v>27673</v>
      </c>
      <c r="PX36" s="1" t="s">
        <v>27674</v>
      </c>
      <c r="PY36" s="1" t="s">
        <v>27675</v>
      </c>
      <c r="PZ36" s="1" t="s">
        <v>27676</v>
      </c>
      <c r="QA36" s="1" t="s">
        <v>27677</v>
      </c>
      <c r="QB36" s="1" t="s">
        <v>27678</v>
      </c>
      <c r="QC36" s="1" t="s">
        <v>27679</v>
      </c>
      <c r="QD36" s="1" t="s">
        <v>27680</v>
      </c>
      <c r="QE36" s="1" t="s">
        <v>27681</v>
      </c>
      <c r="QF36" s="1" t="s">
        <v>27682</v>
      </c>
      <c r="QG36" s="1" t="s">
        <v>27683</v>
      </c>
      <c r="QH36" s="1" t="s">
        <v>27684</v>
      </c>
      <c r="QI36" s="1" t="s">
        <v>27685</v>
      </c>
      <c r="QJ36" s="1" t="s">
        <v>27686</v>
      </c>
      <c r="QK36" s="1" t="s">
        <v>27687</v>
      </c>
      <c r="QL36" s="1" t="s">
        <v>27688</v>
      </c>
      <c r="QM36" s="1" t="s">
        <v>27689</v>
      </c>
      <c r="QN36" s="1" t="s">
        <v>27690</v>
      </c>
      <c r="QO36" s="1" t="s">
        <v>27691</v>
      </c>
      <c r="QP36" s="1" t="s">
        <v>27692</v>
      </c>
      <c r="QQ36" s="1" t="s">
        <v>27693</v>
      </c>
      <c r="QR36" s="1" t="s">
        <v>27694</v>
      </c>
      <c r="QS36" s="1" t="s">
        <v>27695</v>
      </c>
      <c r="QT36" s="1" t="s">
        <v>27696</v>
      </c>
      <c r="QU36" s="1" t="s">
        <v>27697</v>
      </c>
      <c r="QV36" s="1" t="s">
        <v>27698</v>
      </c>
      <c r="QW36" s="1" t="s">
        <v>27699</v>
      </c>
      <c r="QX36" s="1" t="s">
        <v>27700</v>
      </c>
      <c r="QY36" s="1" t="s">
        <v>27701</v>
      </c>
      <c r="QZ36" s="1" t="s">
        <v>27702</v>
      </c>
      <c r="RA36" s="1" t="s">
        <v>27703</v>
      </c>
      <c r="RB36" s="1" t="s">
        <v>27704</v>
      </c>
      <c r="RC36" s="1" t="s">
        <v>27705</v>
      </c>
      <c r="RD36" s="1" t="s">
        <v>27706</v>
      </c>
      <c r="RE36" s="1" t="s">
        <v>27707</v>
      </c>
      <c r="RF36" s="1" t="s">
        <v>27708</v>
      </c>
      <c r="RG36" s="1" t="s">
        <v>27709</v>
      </c>
      <c r="RH36" s="1" t="s">
        <v>27710</v>
      </c>
      <c r="RI36" s="1" t="s">
        <v>27711</v>
      </c>
      <c r="RJ36" s="1" t="s">
        <v>27712</v>
      </c>
      <c r="RK36" s="1" t="s">
        <v>27713</v>
      </c>
      <c r="RL36" s="1" t="s">
        <v>27714</v>
      </c>
      <c r="RM36" s="1" t="s">
        <v>27715</v>
      </c>
      <c r="RN36" s="1" t="s">
        <v>27716</v>
      </c>
      <c r="RO36" s="1" t="s">
        <v>27717</v>
      </c>
      <c r="RP36" s="1" t="s">
        <v>27718</v>
      </c>
      <c r="RQ36" s="1" t="s">
        <v>27719</v>
      </c>
      <c r="RR36" s="1" t="s">
        <v>27720</v>
      </c>
      <c r="RS36" s="1" t="s">
        <v>27721</v>
      </c>
      <c r="RT36" s="1" t="s">
        <v>27722</v>
      </c>
      <c r="RU36" s="1" t="s">
        <v>27723</v>
      </c>
      <c r="RV36" s="1" t="s">
        <v>27724</v>
      </c>
      <c r="RW36" s="1" t="s">
        <v>27725</v>
      </c>
      <c r="RX36" s="1" t="s">
        <v>27726</v>
      </c>
      <c r="RY36" s="1" t="s">
        <v>27727</v>
      </c>
      <c r="RZ36" s="1" t="s">
        <v>27728</v>
      </c>
      <c r="SA36" s="1" t="s">
        <v>27729</v>
      </c>
      <c r="SB36" s="1" t="s">
        <v>27730</v>
      </c>
      <c r="SC36" s="1" t="s">
        <v>27731</v>
      </c>
      <c r="SD36" s="1" t="s">
        <v>27732</v>
      </c>
      <c r="SE36" s="1" t="s">
        <v>27733</v>
      </c>
      <c r="SF36" s="1" t="s">
        <v>27734</v>
      </c>
      <c r="SG36" s="1" t="s">
        <v>27735</v>
      </c>
      <c r="SH36" s="1" t="s">
        <v>27736</v>
      </c>
      <c r="SI36" s="1" t="s">
        <v>27737</v>
      </c>
      <c r="SJ36" s="1" t="s">
        <v>27738</v>
      </c>
      <c r="SK36" s="1" t="s">
        <v>27739</v>
      </c>
      <c r="SL36" s="1" t="s">
        <v>27740</v>
      </c>
      <c r="SM36" s="1" t="s">
        <v>27741</v>
      </c>
      <c r="SN36" s="1" t="s">
        <v>27742</v>
      </c>
      <c r="SO36" s="1" t="s">
        <v>27743</v>
      </c>
      <c r="SP36" s="1" t="s">
        <v>27744</v>
      </c>
      <c r="SQ36" s="1" t="s">
        <v>27745</v>
      </c>
      <c r="SR36" s="1" t="s">
        <v>27746</v>
      </c>
      <c r="SS36" s="1" t="s">
        <v>27747</v>
      </c>
      <c r="ST36" s="1" t="s">
        <v>27748</v>
      </c>
      <c r="SU36" s="1" t="s">
        <v>27749</v>
      </c>
      <c r="SV36" s="1" t="s">
        <v>27750</v>
      </c>
      <c r="SW36" s="1" t="s">
        <v>27751</v>
      </c>
      <c r="SX36" s="1" t="s">
        <v>27752</v>
      </c>
      <c r="SY36" s="1" t="s">
        <v>27753</v>
      </c>
      <c r="SZ36" s="1" t="s">
        <v>27754</v>
      </c>
      <c r="TA36" s="1" t="s">
        <v>27755</v>
      </c>
      <c r="TB36" s="1" t="s">
        <v>27756</v>
      </c>
      <c r="TC36" s="1" t="s">
        <v>27757</v>
      </c>
      <c r="TD36" s="1" t="s">
        <v>27758</v>
      </c>
      <c r="TE36" s="1" t="s">
        <v>27759</v>
      </c>
      <c r="TF36" s="1" t="s">
        <v>27760</v>
      </c>
      <c r="TG36" s="1" t="s">
        <v>27761</v>
      </c>
      <c r="TH36" s="1" t="s">
        <v>27762</v>
      </c>
      <c r="TI36" s="1" t="s">
        <v>27763</v>
      </c>
      <c r="TJ36" s="1" t="s">
        <v>27764</v>
      </c>
      <c r="TK36" s="1" t="s">
        <v>27765</v>
      </c>
      <c r="TL36" s="1" t="s">
        <v>27766</v>
      </c>
      <c r="TM36" s="1" t="s">
        <v>27767</v>
      </c>
      <c r="TN36" s="1" t="s">
        <v>27768</v>
      </c>
      <c r="TO36" s="1" t="s">
        <v>27769</v>
      </c>
      <c r="TP36" s="1" t="s">
        <v>27770</v>
      </c>
      <c r="TQ36" s="1" t="s">
        <v>27771</v>
      </c>
      <c r="TR36" s="1" t="s">
        <v>27772</v>
      </c>
      <c r="TS36" s="1" t="s">
        <v>27773</v>
      </c>
      <c r="TT36" s="1" t="s">
        <v>27774</v>
      </c>
      <c r="TU36" s="1" t="s">
        <v>27775</v>
      </c>
      <c r="TV36" s="1" t="s">
        <v>27776</v>
      </c>
      <c r="TW36" s="1" t="s">
        <v>27777</v>
      </c>
      <c r="TX36" s="1" t="s">
        <v>27778</v>
      </c>
      <c r="TY36" s="1" t="s">
        <v>27779</v>
      </c>
      <c r="TZ36" s="1" t="s">
        <v>27780</v>
      </c>
      <c r="UA36" s="1" t="s">
        <v>27781</v>
      </c>
      <c r="UB36" s="1" t="s">
        <v>27782</v>
      </c>
      <c r="UC36" s="1" t="s">
        <v>27783</v>
      </c>
      <c r="UD36" s="1" t="s">
        <v>27784</v>
      </c>
      <c r="UE36" s="1" t="s">
        <v>27785</v>
      </c>
      <c r="UF36" s="1" t="s">
        <v>27786</v>
      </c>
      <c r="UG36" s="1" t="s">
        <v>27787</v>
      </c>
      <c r="UH36" s="1" t="s">
        <v>27788</v>
      </c>
      <c r="UI36" s="1" t="s">
        <v>27789</v>
      </c>
      <c r="UJ36" s="1" t="s">
        <v>27790</v>
      </c>
      <c r="UK36" s="1" t="s">
        <v>27791</v>
      </c>
      <c r="UL36" s="1" t="s">
        <v>27792</v>
      </c>
      <c r="UM36" s="1" t="s">
        <v>27793</v>
      </c>
      <c r="UN36" s="1" t="s">
        <v>27794</v>
      </c>
      <c r="UO36" s="1" t="s">
        <v>27795</v>
      </c>
      <c r="UP36" s="1" t="s">
        <v>27796</v>
      </c>
      <c r="UQ36" s="1" t="s">
        <v>27797</v>
      </c>
      <c r="UR36" s="1" t="s">
        <v>27798</v>
      </c>
      <c r="US36" s="1" t="s">
        <v>27799</v>
      </c>
      <c r="UT36" s="1" t="s">
        <v>27800</v>
      </c>
      <c r="UU36" s="1" t="s">
        <v>27801</v>
      </c>
      <c r="UV36" s="1" t="s">
        <v>27802</v>
      </c>
      <c r="UW36" s="1" t="s">
        <v>27803</v>
      </c>
      <c r="UX36" s="1" t="s">
        <v>27804</v>
      </c>
      <c r="UY36" s="1" t="s">
        <v>27805</v>
      </c>
      <c r="UZ36" s="1" t="s">
        <v>27806</v>
      </c>
      <c r="VA36" s="1" t="s">
        <v>27807</v>
      </c>
      <c r="VB36" s="1" t="s">
        <v>27808</v>
      </c>
      <c r="VC36" s="1" t="s">
        <v>27809</v>
      </c>
      <c r="VD36" s="1" t="s">
        <v>27810</v>
      </c>
      <c r="VE36" s="1" t="s">
        <v>27811</v>
      </c>
      <c r="VF36" s="1" t="s">
        <v>27812</v>
      </c>
      <c r="VG36" s="1" t="s">
        <v>27813</v>
      </c>
      <c r="VH36" s="1" t="s">
        <v>27814</v>
      </c>
      <c r="VI36" s="1" t="s">
        <v>27815</v>
      </c>
      <c r="VJ36" s="1" t="s">
        <v>27816</v>
      </c>
      <c r="VK36" s="1" t="s">
        <v>27817</v>
      </c>
      <c r="VL36" s="1" t="s">
        <v>27818</v>
      </c>
      <c r="VM36" s="1" t="s">
        <v>27819</v>
      </c>
      <c r="VN36" s="1" t="s">
        <v>27820</v>
      </c>
      <c r="VO36" s="1" t="s">
        <v>27821</v>
      </c>
      <c r="VP36" s="1" t="s">
        <v>27822</v>
      </c>
      <c r="VQ36" s="1" t="s">
        <v>27823</v>
      </c>
      <c r="VR36" s="1" t="s">
        <v>27824</v>
      </c>
      <c r="VS36" s="1" t="s">
        <v>27825</v>
      </c>
      <c r="VT36" s="1" t="s">
        <v>27826</v>
      </c>
      <c r="VU36" s="1" t="s">
        <v>27827</v>
      </c>
      <c r="VV36" s="1" t="s">
        <v>27828</v>
      </c>
      <c r="VW36" s="1" t="s">
        <v>27829</v>
      </c>
      <c r="VX36" s="1" t="s">
        <v>27830</v>
      </c>
      <c r="VY36" s="1" t="s">
        <v>27831</v>
      </c>
      <c r="VZ36" s="1" t="s">
        <v>27832</v>
      </c>
      <c r="WA36" s="1" t="s">
        <v>27833</v>
      </c>
      <c r="WB36" s="1" t="s">
        <v>27834</v>
      </c>
      <c r="WC36" s="1" t="s">
        <v>27835</v>
      </c>
      <c r="WD36" s="1" t="s">
        <v>27836</v>
      </c>
      <c r="WE36" s="1" t="s">
        <v>27837</v>
      </c>
      <c r="WF36" s="1" t="s">
        <v>27838</v>
      </c>
      <c r="WG36" s="1" t="s">
        <v>27839</v>
      </c>
      <c r="WH36" s="1" t="s">
        <v>27840</v>
      </c>
      <c r="WI36" s="1" t="s">
        <v>27841</v>
      </c>
      <c r="WJ36" s="1" t="s">
        <v>27842</v>
      </c>
      <c r="WK36" s="1" t="s">
        <v>27843</v>
      </c>
      <c r="WL36" s="1" t="s">
        <v>27844</v>
      </c>
      <c r="WM36" s="1" t="s">
        <v>27845</v>
      </c>
      <c r="WN36" s="1" t="s">
        <v>27846</v>
      </c>
      <c r="WO36" s="1" t="s">
        <v>27847</v>
      </c>
      <c r="WP36" s="1" t="s">
        <v>27848</v>
      </c>
      <c r="WQ36" s="1" t="s">
        <v>27849</v>
      </c>
      <c r="WR36" s="1" t="s">
        <v>27850</v>
      </c>
      <c r="WS36" s="1" t="s">
        <v>27851</v>
      </c>
      <c r="WT36" s="1" t="s">
        <v>27852</v>
      </c>
      <c r="WU36" s="1" t="s">
        <v>27853</v>
      </c>
      <c r="WV36" s="1" t="s">
        <v>27854</v>
      </c>
      <c r="WW36" s="1" t="s">
        <v>27855</v>
      </c>
      <c r="WX36" s="1" t="s">
        <v>27856</v>
      </c>
      <c r="WY36" s="1" t="s">
        <v>27857</v>
      </c>
      <c r="WZ36" s="1" t="s">
        <v>27858</v>
      </c>
      <c r="XA36" s="1" t="s">
        <v>27859</v>
      </c>
      <c r="XB36" s="1" t="s">
        <v>27860</v>
      </c>
      <c r="XC36" s="1" t="s">
        <v>27861</v>
      </c>
      <c r="XD36" s="1" t="s">
        <v>27862</v>
      </c>
      <c r="XE36" s="1" t="s">
        <v>27863</v>
      </c>
      <c r="XF36" s="1" t="s">
        <v>27864</v>
      </c>
      <c r="XG36" s="1" t="s">
        <v>27865</v>
      </c>
      <c r="XH36" s="1" t="s">
        <v>27866</v>
      </c>
      <c r="XI36" s="1" t="s">
        <v>27867</v>
      </c>
      <c r="XJ36" s="1" t="s">
        <v>27868</v>
      </c>
      <c r="XK36" s="1" t="s">
        <v>27869</v>
      </c>
      <c r="XL36" s="1" t="s">
        <v>27870</v>
      </c>
      <c r="XM36" s="1" t="s">
        <v>27871</v>
      </c>
      <c r="XN36" s="1" t="s">
        <v>27872</v>
      </c>
      <c r="XO36" s="1" t="s">
        <v>27873</v>
      </c>
      <c r="XP36" s="1" t="s">
        <v>27874</v>
      </c>
      <c r="XQ36" s="1" t="s">
        <v>27875</v>
      </c>
      <c r="XR36" s="1" t="s">
        <v>27876</v>
      </c>
      <c r="XS36" s="1" t="s">
        <v>27877</v>
      </c>
      <c r="XT36" s="1" t="s">
        <v>27878</v>
      </c>
      <c r="XU36" s="1" t="s">
        <v>27879</v>
      </c>
      <c r="XV36" s="1" t="s">
        <v>27880</v>
      </c>
      <c r="XW36" s="1" t="s">
        <v>27881</v>
      </c>
      <c r="XX36" s="1" t="s">
        <v>27882</v>
      </c>
      <c r="XY36" s="1" t="s">
        <v>27883</v>
      </c>
      <c r="XZ36" s="1" t="s">
        <v>27884</v>
      </c>
      <c r="YA36" s="1" t="s">
        <v>27885</v>
      </c>
      <c r="YB36" s="1" t="s">
        <v>27886</v>
      </c>
      <c r="YC36" s="1" t="s">
        <v>27887</v>
      </c>
      <c r="YD36" s="1" t="s">
        <v>27888</v>
      </c>
      <c r="YE36" s="1" t="s">
        <v>27889</v>
      </c>
      <c r="YF36" s="1" t="s">
        <v>27890</v>
      </c>
      <c r="YG36" s="1" t="s">
        <v>27891</v>
      </c>
      <c r="YH36" s="1" t="s">
        <v>27892</v>
      </c>
      <c r="YI36" s="1" t="s">
        <v>27893</v>
      </c>
      <c r="YJ36" s="1" t="s">
        <v>27894</v>
      </c>
      <c r="YK36" s="1" t="s">
        <v>27895</v>
      </c>
      <c r="YL36" s="1" t="s">
        <v>27896</v>
      </c>
      <c r="YM36" s="1" t="s">
        <v>27897</v>
      </c>
      <c r="YN36" s="1" t="s">
        <v>27898</v>
      </c>
      <c r="YO36" s="1" t="s">
        <v>27899</v>
      </c>
      <c r="YP36" s="1" t="s">
        <v>27900</v>
      </c>
      <c r="YQ36" s="1" t="s">
        <v>27901</v>
      </c>
      <c r="YR36" s="1" t="s">
        <v>27902</v>
      </c>
      <c r="YS36" s="1" t="s">
        <v>27903</v>
      </c>
      <c r="YT36" s="1" t="s">
        <v>27904</v>
      </c>
      <c r="YU36" s="1" t="s">
        <v>27905</v>
      </c>
      <c r="YV36" s="1" t="s">
        <v>27906</v>
      </c>
      <c r="YW36" s="1" t="s">
        <v>27907</v>
      </c>
      <c r="YX36" s="1" t="s">
        <v>27908</v>
      </c>
      <c r="YY36" s="1" t="s">
        <v>27909</v>
      </c>
      <c r="YZ36" s="1" t="s">
        <v>27910</v>
      </c>
      <c r="ZA36" s="1" t="s">
        <v>27911</v>
      </c>
      <c r="ZB36" s="1" t="s">
        <v>27912</v>
      </c>
      <c r="ZC36" s="1" t="s">
        <v>27913</v>
      </c>
      <c r="ZD36" s="1" t="s">
        <v>27914</v>
      </c>
      <c r="ZE36" s="1" t="s">
        <v>27915</v>
      </c>
      <c r="ZF36" s="1" t="s">
        <v>27916</v>
      </c>
      <c r="ZG36" s="1" t="s">
        <v>27917</v>
      </c>
      <c r="ZH36" s="1" t="s">
        <v>27918</v>
      </c>
      <c r="ZI36" s="1" t="s">
        <v>27919</v>
      </c>
      <c r="ZJ36" s="1" t="s">
        <v>27920</v>
      </c>
      <c r="ZK36" s="1" t="s">
        <v>27921</v>
      </c>
      <c r="ZL36" s="1" t="s">
        <v>27922</v>
      </c>
      <c r="ZM36" s="1" t="s">
        <v>27923</v>
      </c>
      <c r="ZN36" s="1" t="s">
        <v>27924</v>
      </c>
      <c r="ZO36" s="1" t="s">
        <v>27925</v>
      </c>
      <c r="ZP36" s="1" t="s">
        <v>27926</v>
      </c>
      <c r="ZQ36" s="1" t="s">
        <v>27927</v>
      </c>
      <c r="ZR36" s="1" t="s">
        <v>27928</v>
      </c>
      <c r="ZS36" s="1" t="s">
        <v>27929</v>
      </c>
      <c r="ZT36" s="1" t="s">
        <v>27930</v>
      </c>
      <c r="ZU36" s="1" t="s">
        <v>27931</v>
      </c>
      <c r="ZV36" s="1" t="s">
        <v>27932</v>
      </c>
      <c r="ZW36" s="1" t="s">
        <v>27933</v>
      </c>
      <c r="ZX36" s="1" t="s">
        <v>27934</v>
      </c>
      <c r="ZY36" s="1" t="s">
        <v>27935</v>
      </c>
      <c r="ZZ36" s="1" t="s">
        <v>27936</v>
      </c>
      <c r="AAA36" s="1" t="s">
        <v>27937</v>
      </c>
      <c r="AAB36" s="1" t="s">
        <v>27938</v>
      </c>
      <c r="AAC36" s="1" t="s">
        <v>27939</v>
      </c>
      <c r="AAD36" s="1" t="s">
        <v>27940</v>
      </c>
      <c r="AAE36" s="1" t="s">
        <v>27941</v>
      </c>
      <c r="AAF36" s="1" t="s">
        <v>27942</v>
      </c>
      <c r="AAG36" s="1" t="s">
        <v>27943</v>
      </c>
      <c r="AAH36" s="1" t="s">
        <v>27944</v>
      </c>
      <c r="AAI36" s="1" t="s">
        <v>27945</v>
      </c>
      <c r="AAJ36" s="1" t="s">
        <v>27946</v>
      </c>
      <c r="AAK36" s="1" t="s">
        <v>27947</v>
      </c>
      <c r="AAL36" s="1" t="s">
        <v>27948</v>
      </c>
      <c r="AAM36" s="1" t="s">
        <v>27949</v>
      </c>
      <c r="AAN36" s="1" t="s">
        <v>27950</v>
      </c>
      <c r="AAO36" s="1" t="s">
        <v>27951</v>
      </c>
      <c r="AAP36" s="1" t="s">
        <v>27952</v>
      </c>
      <c r="AAQ36" s="1" t="s">
        <v>27953</v>
      </c>
      <c r="AAR36" s="1" t="s">
        <v>27954</v>
      </c>
      <c r="AAS36" s="1" t="s">
        <v>27955</v>
      </c>
      <c r="AAT36" s="1" t="s">
        <v>27956</v>
      </c>
      <c r="AAU36" s="1" t="s">
        <v>27957</v>
      </c>
      <c r="AAV36" s="1" t="s">
        <v>27958</v>
      </c>
      <c r="AAW36" s="1" t="s">
        <v>27959</v>
      </c>
      <c r="AAX36" s="1" t="s">
        <v>27960</v>
      </c>
      <c r="AAY36" s="1" t="s">
        <v>27961</v>
      </c>
      <c r="AAZ36" s="1" t="s">
        <v>27962</v>
      </c>
      <c r="ABA36" s="1" t="s">
        <v>27963</v>
      </c>
      <c r="ABB36" s="1" t="s">
        <v>27964</v>
      </c>
      <c r="ABC36" s="1" t="s">
        <v>27965</v>
      </c>
      <c r="ABD36" s="1" t="s">
        <v>27966</v>
      </c>
      <c r="ABE36" s="1" t="s">
        <v>27967</v>
      </c>
      <c r="ABF36" s="1" t="s">
        <v>27968</v>
      </c>
      <c r="ABG36" s="1" t="s">
        <v>27969</v>
      </c>
      <c r="ABH36" s="1" t="s">
        <v>27970</v>
      </c>
      <c r="ABI36" s="1" t="s">
        <v>27971</v>
      </c>
      <c r="ABJ36" s="1" t="s">
        <v>27972</v>
      </c>
      <c r="ABK36" s="1" t="s">
        <v>27973</v>
      </c>
      <c r="ABL36" s="1" t="s">
        <v>27974</v>
      </c>
      <c r="ABM36" s="1" t="s">
        <v>27975</v>
      </c>
      <c r="ABN36" s="1" t="s">
        <v>27976</v>
      </c>
      <c r="ABO36" s="1" t="s">
        <v>27977</v>
      </c>
      <c r="ABP36" s="1" t="s">
        <v>27978</v>
      </c>
      <c r="ABQ36" s="1" t="s">
        <v>27979</v>
      </c>
      <c r="ABR36" s="1" t="s">
        <v>27980</v>
      </c>
      <c r="ABS36" s="1" t="s">
        <v>27981</v>
      </c>
      <c r="ABT36" s="1" t="s">
        <v>27982</v>
      </c>
      <c r="ABU36" s="1" t="s">
        <v>27983</v>
      </c>
      <c r="ABV36" s="1" t="s">
        <v>27984</v>
      </c>
      <c r="ABW36" s="1" t="s">
        <v>27985</v>
      </c>
      <c r="ABX36" s="1" t="s">
        <v>27986</v>
      </c>
      <c r="ABY36" s="1" t="s">
        <v>27987</v>
      </c>
      <c r="ABZ36" s="1" t="s">
        <v>27988</v>
      </c>
      <c r="ACA36" s="1" t="s">
        <v>27989</v>
      </c>
      <c r="ACB36" s="1" t="s">
        <v>27990</v>
      </c>
      <c r="ACC36" s="1" t="s">
        <v>27991</v>
      </c>
      <c r="ACD36" s="1" t="s">
        <v>27992</v>
      </c>
      <c r="ACE36" s="1" t="s">
        <v>27993</v>
      </c>
      <c r="ACF36" s="1" t="s">
        <v>27994</v>
      </c>
      <c r="ACG36" s="1" t="s">
        <v>27995</v>
      </c>
      <c r="ACH36" s="1" t="s">
        <v>27996</v>
      </c>
      <c r="ACI36" s="1" t="s">
        <v>27997</v>
      </c>
      <c r="ACJ36" s="1" t="s">
        <v>27998</v>
      </c>
      <c r="ACK36" s="1" t="s">
        <v>27999</v>
      </c>
      <c r="ACL36" s="1" t="s">
        <v>28000</v>
      </c>
      <c r="ACM36" s="1" t="s">
        <v>28001</v>
      </c>
      <c r="ACN36" s="1" t="s">
        <v>28002</v>
      </c>
      <c r="ACO36" s="1" t="s">
        <v>28003</v>
      </c>
      <c r="ACP36" s="1" t="s">
        <v>28004</v>
      </c>
      <c r="ACQ36" s="1" t="s">
        <v>28005</v>
      </c>
      <c r="ACR36" s="1" t="s">
        <v>28006</v>
      </c>
      <c r="ACS36" s="1" t="s">
        <v>28007</v>
      </c>
      <c r="ACT36" s="1" t="s">
        <v>28008</v>
      </c>
      <c r="ACU36" s="1" t="s">
        <v>28009</v>
      </c>
      <c r="ACV36" s="1" t="s">
        <v>28010</v>
      </c>
      <c r="ACW36" s="1" t="s">
        <v>8</v>
      </c>
      <c r="ACX36" s="1" t="s">
        <v>1498</v>
      </c>
    </row>
    <row r="37" spans="1:778" x14ac:dyDescent="0.2">
      <c r="A37" s="1" t="s">
        <v>35</v>
      </c>
      <c r="B37" s="1" t="s">
        <v>28011</v>
      </c>
      <c r="C37" s="1" t="s">
        <v>28012</v>
      </c>
      <c r="D37" s="1" t="s">
        <v>28013</v>
      </c>
      <c r="E37" s="1" t="s">
        <v>28014</v>
      </c>
      <c r="F37" s="1" t="s">
        <v>28015</v>
      </c>
      <c r="G37" s="1" t="s">
        <v>28016</v>
      </c>
      <c r="H37" s="1" t="s">
        <v>28017</v>
      </c>
      <c r="I37" s="1" t="s">
        <v>28018</v>
      </c>
      <c r="J37" s="1" t="s">
        <v>28019</v>
      </c>
      <c r="K37" s="1" t="s">
        <v>28020</v>
      </c>
      <c r="L37" s="1" t="s">
        <v>28021</v>
      </c>
      <c r="M37" s="1" t="s">
        <v>28022</v>
      </c>
      <c r="N37" s="1" t="s">
        <v>28023</v>
      </c>
      <c r="O37" s="1" t="s">
        <v>28024</v>
      </c>
      <c r="P37" s="1" t="s">
        <v>28025</v>
      </c>
      <c r="Q37" s="1" t="s">
        <v>28026</v>
      </c>
      <c r="R37" s="1" t="s">
        <v>28027</v>
      </c>
      <c r="S37" s="1" t="s">
        <v>28028</v>
      </c>
      <c r="T37" s="1" t="s">
        <v>28029</v>
      </c>
      <c r="U37" s="1" t="s">
        <v>28030</v>
      </c>
      <c r="V37" s="1" t="s">
        <v>28031</v>
      </c>
      <c r="W37" s="1" t="s">
        <v>28032</v>
      </c>
      <c r="X37" s="1" t="s">
        <v>28033</v>
      </c>
      <c r="Y37" s="1" t="s">
        <v>28034</v>
      </c>
      <c r="Z37" s="1" t="s">
        <v>28035</v>
      </c>
      <c r="AA37" s="1" t="s">
        <v>28036</v>
      </c>
      <c r="AB37" s="1" t="s">
        <v>28037</v>
      </c>
      <c r="AC37" s="1" t="s">
        <v>28038</v>
      </c>
      <c r="AD37" s="1" t="s">
        <v>28039</v>
      </c>
      <c r="AE37" s="1" t="s">
        <v>28040</v>
      </c>
      <c r="AF37" s="1" t="s">
        <v>28041</v>
      </c>
      <c r="AG37" s="1" t="s">
        <v>28042</v>
      </c>
      <c r="AH37" s="1" t="s">
        <v>28043</v>
      </c>
      <c r="AI37" s="1" t="s">
        <v>28044</v>
      </c>
      <c r="AJ37" s="1" t="s">
        <v>28045</v>
      </c>
      <c r="AK37" s="1" t="s">
        <v>28046</v>
      </c>
      <c r="AL37" s="1" t="s">
        <v>28047</v>
      </c>
      <c r="AM37" s="1" t="s">
        <v>28048</v>
      </c>
      <c r="AN37" s="1" t="s">
        <v>28049</v>
      </c>
      <c r="AO37" s="1" t="s">
        <v>28050</v>
      </c>
      <c r="AP37" s="1" t="s">
        <v>28051</v>
      </c>
      <c r="AQ37" s="1" t="s">
        <v>28052</v>
      </c>
      <c r="AR37" s="1" t="s">
        <v>28053</v>
      </c>
      <c r="AS37" s="1" t="s">
        <v>28054</v>
      </c>
      <c r="AT37" s="1" t="s">
        <v>28055</v>
      </c>
      <c r="AU37" s="1" t="s">
        <v>28056</v>
      </c>
      <c r="AV37" s="1" t="s">
        <v>28057</v>
      </c>
      <c r="AW37" s="1" t="s">
        <v>28058</v>
      </c>
      <c r="AX37" s="1" t="s">
        <v>28059</v>
      </c>
      <c r="AY37" s="1" t="s">
        <v>28060</v>
      </c>
      <c r="AZ37" s="1" t="s">
        <v>28061</v>
      </c>
      <c r="BA37" s="1" t="s">
        <v>28062</v>
      </c>
      <c r="BB37" s="1" t="s">
        <v>28063</v>
      </c>
      <c r="BC37" s="1" t="s">
        <v>28064</v>
      </c>
      <c r="BD37" s="1" t="s">
        <v>28065</v>
      </c>
      <c r="BE37" s="1" t="s">
        <v>28066</v>
      </c>
      <c r="BF37" s="1" t="s">
        <v>28067</v>
      </c>
      <c r="BG37" s="1" t="s">
        <v>28068</v>
      </c>
      <c r="BH37" s="1" t="s">
        <v>28069</v>
      </c>
      <c r="BI37" s="1" t="s">
        <v>28070</v>
      </c>
      <c r="BJ37" s="1" t="s">
        <v>28071</v>
      </c>
      <c r="BK37" s="1" t="s">
        <v>28072</v>
      </c>
      <c r="BL37" s="1" t="s">
        <v>28073</v>
      </c>
      <c r="BM37" s="1" t="s">
        <v>28074</v>
      </c>
      <c r="BN37" s="1" t="s">
        <v>28075</v>
      </c>
      <c r="BO37" s="1" t="s">
        <v>28076</v>
      </c>
      <c r="BP37" s="1" t="s">
        <v>28077</v>
      </c>
      <c r="BQ37" s="1" t="s">
        <v>28078</v>
      </c>
      <c r="BR37" s="1" t="s">
        <v>28079</v>
      </c>
      <c r="BS37" s="1" t="s">
        <v>28080</v>
      </c>
      <c r="BT37" s="1" t="s">
        <v>28081</v>
      </c>
      <c r="BU37" s="1" t="s">
        <v>28082</v>
      </c>
      <c r="BV37" s="1" t="s">
        <v>28083</v>
      </c>
      <c r="BW37" s="1" t="s">
        <v>28084</v>
      </c>
      <c r="BX37" s="1" t="s">
        <v>28085</v>
      </c>
      <c r="BY37" s="1" t="s">
        <v>28086</v>
      </c>
      <c r="BZ37" s="1" t="s">
        <v>28087</v>
      </c>
      <c r="CA37" s="1" t="s">
        <v>28088</v>
      </c>
      <c r="CB37" s="1" t="s">
        <v>28089</v>
      </c>
      <c r="CC37" s="1" t="s">
        <v>28090</v>
      </c>
      <c r="CD37" s="1" t="s">
        <v>28091</v>
      </c>
      <c r="CE37" s="1" t="s">
        <v>28092</v>
      </c>
      <c r="CF37" s="1" t="s">
        <v>28093</v>
      </c>
      <c r="CG37" s="1" t="s">
        <v>28094</v>
      </c>
      <c r="CH37" s="1" t="s">
        <v>28095</v>
      </c>
      <c r="CI37" s="1" t="s">
        <v>28096</v>
      </c>
      <c r="CJ37" s="1" t="s">
        <v>28097</v>
      </c>
      <c r="CK37" s="1" t="s">
        <v>28098</v>
      </c>
      <c r="CL37" s="1" t="s">
        <v>28099</v>
      </c>
      <c r="CM37" s="1" t="s">
        <v>28100</v>
      </c>
      <c r="CN37" s="1" t="s">
        <v>28101</v>
      </c>
      <c r="CO37" s="1" t="s">
        <v>28102</v>
      </c>
      <c r="CP37" s="1" t="s">
        <v>28103</v>
      </c>
      <c r="CQ37" s="1" t="s">
        <v>28104</v>
      </c>
      <c r="CR37" s="1" t="s">
        <v>28105</v>
      </c>
      <c r="CS37" s="1" t="s">
        <v>28106</v>
      </c>
      <c r="CT37" s="1" t="s">
        <v>28107</v>
      </c>
      <c r="CU37" s="1" t="s">
        <v>28108</v>
      </c>
      <c r="CV37" s="1" t="s">
        <v>28109</v>
      </c>
      <c r="CW37" s="1" t="s">
        <v>28110</v>
      </c>
      <c r="CX37" s="1" t="s">
        <v>28111</v>
      </c>
      <c r="CY37" s="1" t="s">
        <v>28112</v>
      </c>
      <c r="CZ37" s="1" t="s">
        <v>28113</v>
      </c>
      <c r="DA37" s="1" t="s">
        <v>28114</v>
      </c>
      <c r="DB37" s="1" t="s">
        <v>28115</v>
      </c>
      <c r="DC37" s="1" t="s">
        <v>28116</v>
      </c>
      <c r="DD37" s="1" t="s">
        <v>28117</v>
      </c>
      <c r="DE37" s="1" t="s">
        <v>28118</v>
      </c>
      <c r="DF37" s="1" t="s">
        <v>28119</v>
      </c>
      <c r="DG37" s="1" t="s">
        <v>28120</v>
      </c>
      <c r="DH37" s="1" t="s">
        <v>28121</v>
      </c>
      <c r="DI37" s="1" t="s">
        <v>28122</v>
      </c>
      <c r="DJ37" s="1" t="s">
        <v>28123</v>
      </c>
      <c r="DK37" s="1" t="s">
        <v>28124</v>
      </c>
      <c r="DL37" s="1" t="s">
        <v>28125</v>
      </c>
      <c r="DM37" s="1" t="s">
        <v>28126</v>
      </c>
      <c r="DN37" s="1" t="s">
        <v>28127</v>
      </c>
      <c r="DO37" s="1" t="s">
        <v>28128</v>
      </c>
      <c r="DP37" s="1" t="s">
        <v>28129</v>
      </c>
      <c r="DQ37" s="1" t="s">
        <v>28130</v>
      </c>
      <c r="DR37" s="1" t="s">
        <v>28131</v>
      </c>
      <c r="DS37" s="1" t="s">
        <v>28132</v>
      </c>
      <c r="DT37" s="1" t="s">
        <v>28133</v>
      </c>
      <c r="DU37" s="1" t="s">
        <v>28134</v>
      </c>
      <c r="DV37" s="1" t="s">
        <v>28135</v>
      </c>
      <c r="DW37" s="1" t="s">
        <v>28136</v>
      </c>
      <c r="DX37" s="1" t="s">
        <v>28137</v>
      </c>
      <c r="DY37" s="1" t="s">
        <v>28138</v>
      </c>
      <c r="DZ37" s="1" t="s">
        <v>28139</v>
      </c>
      <c r="EA37" s="1" t="s">
        <v>28140</v>
      </c>
      <c r="EB37" s="1" t="s">
        <v>28141</v>
      </c>
      <c r="EC37" s="1" t="s">
        <v>28142</v>
      </c>
      <c r="ED37" s="1" t="s">
        <v>28143</v>
      </c>
      <c r="EE37" s="1" t="s">
        <v>28144</v>
      </c>
      <c r="EF37" s="1" t="s">
        <v>28145</v>
      </c>
      <c r="EG37" s="1" t="s">
        <v>28146</v>
      </c>
      <c r="EH37" s="1" t="s">
        <v>28147</v>
      </c>
      <c r="EI37" s="1" t="s">
        <v>28148</v>
      </c>
      <c r="EJ37" s="1" t="s">
        <v>28149</v>
      </c>
      <c r="EK37" s="1" t="s">
        <v>28150</v>
      </c>
      <c r="EL37" s="1" t="s">
        <v>28151</v>
      </c>
      <c r="EM37" s="1" t="s">
        <v>28152</v>
      </c>
      <c r="EN37" s="1" t="s">
        <v>28153</v>
      </c>
      <c r="EO37" s="1" t="s">
        <v>28154</v>
      </c>
      <c r="EP37" s="1" t="s">
        <v>28155</v>
      </c>
      <c r="EQ37" s="1" t="s">
        <v>28156</v>
      </c>
      <c r="ER37" s="1" t="s">
        <v>28157</v>
      </c>
      <c r="ES37" s="1" t="s">
        <v>28158</v>
      </c>
      <c r="ET37" s="1" t="s">
        <v>28159</v>
      </c>
      <c r="EU37" s="1" t="s">
        <v>28160</v>
      </c>
      <c r="EV37" s="1" t="s">
        <v>28161</v>
      </c>
      <c r="EW37" s="1" t="s">
        <v>28162</v>
      </c>
      <c r="EX37" s="1" t="s">
        <v>28163</v>
      </c>
      <c r="EY37" s="1" t="s">
        <v>28164</v>
      </c>
      <c r="EZ37" s="1" t="s">
        <v>28165</v>
      </c>
      <c r="FA37" s="1" t="s">
        <v>28166</v>
      </c>
      <c r="FB37" s="1" t="s">
        <v>28167</v>
      </c>
      <c r="FC37" s="1" t="s">
        <v>28168</v>
      </c>
      <c r="FD37" s="1" t="s">
        <v>28169</v>
      </c>
      <c r="FE37" s="1" t="s">
        <v>28170</v>
      </c>
      <c r="FF37" s="1" t="s">
        <v>28171</v>
      </c>
      <c r="FG37" s="1" t="s">
        <v>28172</v>
      </c>
      <c r="FH37" s="1" t="s">
        <v>28173</v>
      </c>
      <c r="FI37" s="1" t="s">
        <v>28174</v>
      </c>
      <c r="FJ37" s="1" t="s">
        <v>28175</v>
      </c>
      <c r="FK37" s="1" t="s">
        <v>28176</v>
      </c>
      <c r="FL37" s="1" t="s">
        <v>28177</v>
      </c>
      <c r="FM37" s="1" t="s">
        <v>28178</v>
      </c>
      <c r="FN37" s="1" t="s">
        <v>28179</v>
      </c>
      <c r="FO37" s="1" t="s">
        <v>28180</v>
      </c>
      <c r="FP37" s="1" t="s">
        <v>28181</v>
      </c>
      <c r="FQ37" s="1" t="s">
        <v>28182</v>
      </c>
      <c r="FR37" s="1" t="s">
        <v>28183</v>
      </c>
      <c r="FS37" s="1" t="s">
        <v>28184</v>
      </c>
      <c r="FT37" s="1" t="s">
        <v>28185</v>
      </c>
      <c r="FU37" s="1" t="s">
        <v>28186</v>
      </c>
      <c r="FV37" s="1" t="s">
        <v>28187</v>
      </c>
      <c r="FW37" s="1" t="s">
        <v>28188</v>
      </c>
      <c r="FX37" s="1" t="s">
        <v>28189</v>
      </c>
      <c r="FY37" s="1" t="s">
        <v>28190</v>
      </c>
      <c r="FZ37" s="1" t="s">
        <v>28191</v>
      </c>
      <c r="GA37" s="1" t="s">
        <v>28192</v>
      </c>
      <c r="GB37" s="1" t="s">
        <v>28193</v>
      </c>
      <c r="GC37" s="1" t="s">
        <v>28194</v>
      </c>
      <c r="GD37" s="1" t="s">
        <v>28195</v>
      </c>
      <c r="GE37" s="1" t="s">
        <v>28196</v>
      </c>
      <c r="GF37" s="1" t="s">
        <v>28197</v>
      </c>
      <c r="GG37" s="1" t="s">
        <v>28198</v>
      </c>
      <c r="GH37" s="1" t="s">
        <v>28199</v>
      </c>
      <c r="GI37" s="1" t="s">
        <v>28200</v>
      </c>
      <c r="GJ37" s="1" t="s">
        <v>28201</v>
      </c>
      <c r="GK37" s="1" t="s">
        <v>28202</v>
      </c>
      <c r="GL37" s="1" t="s">
        <v>28203</v>
      </c>
      <c r="GM37" s="1" t="s">
        <v>28204</v>
      </c>
      <c r="GN37" s="1" t="s">
        <v>28205</v>
      </c>
      <c r="GO37" s="1" t="s">
        <v>28206</v>
      </c>
      <c r="GP37" s="1" t="s">
        <v>28207</v>
      </c>
      <c r="GQ37" s="1" t="s">
        <v>28208</v>
      </c>
      <c r="GR37" s="1" t="s">
        <v>28209</v>
      </c>
      <c r="GS37" s="1" t="s">
        <v>28210</v>
      </c>
      <c r="GT37" s="1" t="s">
        <v>28211</v>
      </c>
      <c r="GU37" s="1" t="s">
        <v>28212</v>
      </c>
      <c r="GV37" s="1" t="s">
        <v>28213</v>
      </c>
      <c r="GW37" s="1" t="s">
        <v>28214</v>
      </c>
      <c r="GX37" s="1" t="s">
        <v>28215</v>
      </c>
      <c r="GY37" s="1" t="s">
        <v>28216</v>
      </c>
      <c r="GZ37" s="1" t="s">
        <v>28217</v>
      </c>
      <c r="HA37" s="1" t="s">
        <v>28218</v>
      </c>
      <c r="HB37" s="1" t="s">
        <v>28219</v>
      </c>
      <c r="HC37" s="1" t="s">
        <v>28220</v>
      </c>
      <c r="HD37" s="1" t="s">
        <v>28221</v>
      </c>
      <c r="HE37" s="1" t="s">
        <v>28222</v>
      </c>
      <c r="HF37" s="1" t="s">
        <v>28223</v>
      </c>
      <c r="HG37" s="1" t="s">
        <v>28224</v>
      </c>
      <c r="HH37" s="1" t="s">
        <v>28225</v>
      </c>
      <c r="HI37" s="1" t="s">
        <v>28226</v>
      </c>
      <c r="HJ37" s="1" t="s">
        <v>28227</v>
      </c>
      <c r="HK37" s="1" t="s">
        <v>28228</v>
      </c>
      <c r="HL37" s="1" t="s">
        <v>28229</v>
      </c>
      <c r="HM37" s="1" t="s">
        <v>28230</v>
      </c>
      <c r="HN37" s="1" t="s">
        <v>28231</v>
      </c>
      <c r="HO37" s="1" t="s">
        <v>28232</v>
      </c>
      <c r="HP37" s="1" t="s">
        <v>28233</v>
      </c>
      <c r="HQ37" s="1" t="s">
        <v>28234</v>
      </c>
      <c r="HR37" s="1" t="s">
        <v>28235</v>
      </c>
      <c r="HS37" s="1" t="s">
        <v>28236</v>
      </c>
      <c r="HT37" s="1" t="s">
        <v>28237</v>
      </c>
      <c r="HU37" s="1" t="s">
        <v>28238</v>
      </c>
      <c r="HV37" s="1" t="s">
        <v>28239</v>
      </c>
      <c r="HW37" s="1" t="s">
        <v>28240</v>
      </c>
      <c r="HX37" s="1" t="s">
        <v>28241</v>
      </c>
      <c r="HY37" s="1" t="s">
        <v>28242</v>
      </c>
      <c r="HZ37" s="1" t="s">
        <v>28243</v>
      </c>
      <c r="IA37" s="1" t="s">
        <v>28244</v>
      </c>
      <c r="IB37" s="1" t="s">
        <v>28245</v>
      </c>
      <c r="IC37" s="1" t="s">
        <v>28246</v>
      </c>
      <c r="ID37" s="1" t="s">
        <v>28247</v>
      </c>
      <c r="IE37" s="1" t="s">
        <v>28248</v>
      </c>
      <c r="IF37" s="1" t="s">
        <v>28249</v>
      </c>
      <c r="IG37" s="1" t="s">
        <v>28250</v>
      </c>
      <c r="IH37" s="1" t="s">
        <v>28251</v>
      </c>
      <c r="II37" s="1" t="s">
        <v>28252</v>
      </c>
      <c r="IJ37" s="1" t="s">
        <v>28253</v>
      </c>
      <c r="IK37" s="1" t="s">
        <v>28254</v>
      </c>
      <c r="IL37" s="1" t="s">
        <v>28255</v>
      </c>
      <c r="IM37" s="1" t="s">
        <v>28256</v>
      </c>
      <c r="IN37" s="1" t="s">
        <v>28257</v>
      </c>
      <c r="IO37" s="1" t="s">
        <v>28258</v>
      </c>
      <c r="IP37" s="1" t="s">
        <v>28259</v>
      </c>
      <c r="IQ37" s="1" t="s">
        <v>28260</v>
      </c>
      <c r="IR37" s="1" t="s">
        <v>28261</v>
      </c>
      <c r="IS37" s="1" t="s">
        <v>28262</v>
      </c>
      <c r="IT37" s="1" t="s">
        <v>28263</v>
      </c>
      <c r="IU37" s="1" t="s">
        <v>28264</v>
      </c>
      <c r="IV37" s="1" t="s">
        <v>28265</v>
      </c>
      <c r="IW37" s="1" t="s">
        <v>28266</v>
      </c>
      <c r="IX37" s="1" t="s">
        <v>28267</v>
      </c>
      <c r="IY37" s="1" t="s">
        <v>28268</v>
      </c>
      <c r="IZ37" s="1" t="s">
        <v>28269</v>
      </c>
      <c r="JA37" s="1" t="s">
        <v>28270</v>
      </c>
      <c r="JB37" s="1" t="s">
        <v>28271</v>
      </c>
      <c r="JC37" s="1" t="s">
        <v>28272</v>
      </c>
      <c r="JD37" s="1" t="s">
        <v>28273</v>
      </c>
      <c r="JE37" s="1" t="s">
        <v>28274</v>
      </c>
      <c r="JF37" s="1" t="s">
        <v>28275</v>
      </c>
      <c r="JG37" s="1" t="s">
        <v>28276</v>
      </c>
      <c r="JH37" s="1" t="s">
        <v>28277</v>
      </c>
      <c r="JI37" s="1" t="s">
        <v>28278</v>
      </c>
      <c r="JJ37" s="1" t="s">
        <v>28279</v>
      </c>
      <c r="JK37" s="1" t="s">
        <v>28280</v>
      </c>
      <c r="JL37" s="1" t="s">
        <v>28281</v>
      </c>
      <c r="JM37" s="1" t="s">
        <v>28282</v>
      </c>
      <c r="JN37" s="1" t="s">
        <v>28283</v>
      </c>
      <c r="JO37" s="1" t="s">
        <v>28284</v>
      </c>
      <c r="JP37" s="1" t="s">
        <v>28285</v>
      </c>
      <c r="JQ37" s="1" t="s">
        <v>28286</v>
      </c>
      <c r="JR37" s="1" t="s">
        <v>28287</v>
      </c>
      <c r="JS37" s="1" t="s">
        <v>28288</v>
      </c>
      <c r="JT37" s="1" t="s">
        <v>28289</v>
      </c>
      <c r="JU37" s="1" t="s">
        <v>28290</v>
      </c>
      <c r="JV37" s="1" t="s">
        <v>28291</v>
      </c>
      <c r="JW37" s="1" t="s">
        <v>28292</v>
      </c>
      <c r="JX37" s="1" t="s">
        <v>28293</v>
      </c>
      <c r="JY37" s="1" t="s">
        <v>28294</v>
      </c>
      <c r="JZ37" s="1" t="s">
        <v>28295</v>
      </c>
      <c r="KA37" s="1" t="s">
        <v>28296</v>
      </c>
      <c r="KB37" s="1" t="s">
        <v>28297</v>
      </c>
      <c r="KC37" s="1" t="s">
        <v>28298</v>
      </c>
      <c r="KD37" s="1" t="s">
        <v>28299</v>
      </c>
      <c r="KE37" s="1" t="s">
        <v>28300</v>
      </c>
      <c r="KF37" s="1" t="s">
        <v>28301</v>
      </c>
      <c r="KG37" s="1" t="s">
        <v>28302</v>
      </c>
      <c r="KH37" s="1" t="s">
        <v>28303</v>
      </c>
      <c r="KI37" s="1" t="s">
        <v>28304</v>
      </c>
      <c r="KJ37" s="1" t="s">
        <v>28305</v>
      </c>
      <c r="KK37" s="1" t="s">
        <v>28306</v>
      </c>
      <c r="KL37" s="1" t="s">
        <v>28307</v>
      </c>
      <c r="KM37" s="1" t="s">
        <v>28308</v>
      </c>
      <c r="KN37" s="1" t="s">
        <v>28309</v>
      </c>
      <c r="KO37" s="1" t="s">
        <v>28310</v>
      </c>
      <c r="KP37" s="1" t="s">
        <v>28311</v>
      </c>
      <c r="KQ37" s="1" t="s">
        <v>28312</v>
      </c>
      <c r="KR37" s="1" t="s">
        <v>28313</v>
      </c>
      <c r="KS37" s="1" t="s">
        <v>28314</v>
      </c>
      <c r="KT37" s="1" t="s">
        <v>28315</v>
      </c>
      <c r="KU37" s="1" t="s">
        <v>28316</v>
      </c>
      <c r="KV37" s="1" t="s">
        <v>28317</v>
      </c>
      <c r="KW37" s="1" t="s">
        <v>28318</v>
      </c>
      <c r="KX37" s="1" t="s">
        <v>28319</v>
      </c>
      <c r="KY37" s="1" t="s">
        <v>28320</v>
      </c>
      <c r="KZ37" s="1" t="s">
        <v>28321</v>
      </c>
      <c r="LA37" s="1" t="s">
        <v>28322</v>
      </c>
      <c r="LB37" s="1" t="s">
        <v>28323</v>
      </c>
      <c r="LC37" s="1" t="s">
        <v>28324</v>
      </c>
      <c r="LD37" s="1" t="s">
        <v>28325</v>
      </c>
      <c r="LE37" s="1" t="s">
        <v>28326</v>
      </c>
      <c r="LF37" s="1" t="s">
        <v>28327</v>
      </c>
      <c r="LG37" s="1" t="s">
        <v>28328</v>
      </c>
      <c r="LH37" s="1" t="s">
        <v>28329</v>
      </c>
      <c r="LI37" s="1" t="s">
        <v>28330</v>
      </c>
      <c r="LJ37" s="1" t="s">
        <v>28331</v>
      </c>
      <c r="LK37" s="1" t="s">
        <v>28332</v>
      </c>
      <c r="LL37" s="1" t="s">
        <v>28333</v>
      </c>
      <c r="LM37" s="1" t="s">
        <v>28334</v>
      </c>
      <c r="LN37" s="1" t="s">
        <v>28335</v>
      </c>
      <c r="LO37" s="1" t="s">
        <v>28336</v>
      </c>
      <c r="LP37" s="1" t="s">
        <v>28337</v>
      </c>
      <c r="LQ37" s="1" t="s">
        <v>28338</v>
      </c>
      <c r="LR37" s="1" t="s">
        <v>28339</v>
      </c>
      <c r="LS37" s="1" t="s">
        <v>28340</v>
      </c>
      <c r="LT37" s="1" t="s">
        <v>28341</v>
      </c>
      <c r="LU37" s="1" t="s">
        <v>28342</v>
      </c>
      <c r="LV37" s="1" t="s">
        <v>28343</v>
      </c>
      <c r="LW37" s="1" t="s">
        <v>28344</v>
      </c>
      <c r="LX37" s="1" t="s">
        <v>28345</v>
      </c>
      <c r="LY37" s="1" t="s">
        <v>28346</v>
      </c>
      <c r="LZ37" s="1" t="s">
        <v>28347</v>
      </c>
      <c r="MA37" s="1" t="s">
        <v>28348</v>
      </c>
      <c r="MB37" s="1" t="s">
        <v>28349</v>
      </c>
      <c r="MC37" s="1" t="s">
        <v>28350</v>
      </c>
      <c r="MD37" s="1" t="s">
        <v>28351</v>
      </c>
      <c r="ME37" s="1" t="s">
        <v>28352</v>
      </c>
      <c r="MF37" s="1" t="s">
        <v>28353</v>
      </c>
      <c r="MG37" s="1" t="s">
        <v>28354</v>
      </c>
      <c r="MH37" s="1" t="s">
        <v>28355</v>
      </c>
      <c r="MI37" s="1" t="s">
        <v>28356</v>
      </c>
      <c r="MJ37" s="1" t="s">
        <v>28357</v>
      </c>
      <c r="MK37" s="1" t="s">
        <v>28358</v>
      </c>
      <c r="ML37" s="1" t="s">
        <v>28359</v>
      </c>
      <c r="MM37" s="1" t="s">
        <v>28360</v>
      </c>
      <c r="MN37" s="1" t="s">
        <v>28361</v>
      </c>
      <c r="MO37" s="1" t="s">
        <v>28362</v>
      </c>
      <c r="MP37" s="1" t="s">
        <v>28363</v>
      </c>
      <c r="MQ37" s="1" t="s">
        <v>28364</v>
      </c>
      <c r="MR37" s="1" t="s">
        <v>28365</v>
      </c>
      <c r="MS37" s="1" t="s">
        <v>28366</v>
      </c>
      <c r="MT37" s="1" t="s">
        <v>28367</v>
      </c>
      <c r="MU37" s="1" t="s">
        <v>28368</v>
      </c>
      <c r="MV37" s="1" t="s">
        <v>28369</v>
      </c>
      <c r="MW37" s="1" t="s">
        <v>28370</v>
      </c>
      <c r="MX37" s="1" t="s">
        <v>28371</v>
      </c>
      <c r="MY37" s="1" t="s">
        <v>28372</v>
      </c>
      <c r="MZ37" s="1" t="s">
        <v>28373</v>
      </c>
      <c r="NA37" s="1" t="s">
        <v>28374</v>
      </c>
      <c r="NB37" s="1" t="s">
        <v>28375</v>
      </c>
      <c r="NC37" s="1" t="s">
        <v>28376</v>
      </c>
      <c r="ND37" s="1" t="s">
        <v>28377</v>
      </c>
      <c r="NE37" s="1" t="s">
        <v>28378</v>
      </c>
      <c r="NF37" s="1" t="s">
        <v>28379</v>
      </c>
      <c r="NG37" s="1" t="s">
        <v>28380</v>
      </c>
      <c r="NH37" s="1" t="s">
        <v>28381</v>
      </c>
      <c r="NI37" s="1" t="s">
        <v>28382</v>
      </c>
      <c r="NJ37" s="1" t="s">
        <v>28383</v>
      </c>
      <c r="NK37" s="1" t="s">
        <v>28384</v>
      </c>
      <c r="NL37" s="1" t="s">
        <v>28385</v>
      </c>
      <c r="NM37" s="1" t="s">
        <v>28386</v>
      </c>
      <c r="NN37" s="1" t="s">
        <v>28387</v>
      </c>
      <c r="NO37" s="1" t="s">
        <v>28388</v>
      </c>
      <c r="NP37" s="1" t="s">
        <v>28389</v>
      </c>
      <c r="NQ37" s="1" t="s">
        <v>28390</v>
      </c>
      <c r="NR37" s="1" t="s">
        <v>28391</v>
      </c>
      <c r="NS37" s="1" t="s">
        <v>28392</v>
      </c>
      <c r="NT37" s="1" t="s">
        <v>28393</v>
      </c>
      <c r="NU37" s="1" t="s">
        <v>28394</v>
      </c>
      <c r="NV37" s="1" t="s">
        <v>28395</v>
      </c>
      <c r="NW37" s="1" t="s">
        <v>28396</v>
      </c>
      <c r="NX37" s="1" t="s">
        <v>28397</v>
      </c>
      <c r="NY37" s="1" t="s">
        <v>28398</v>
      </c>
      <c r="NZ37" s="1" t="s">
        <v>28399</v>
      </c>
      <c r="OA37" s="1" t="s">
        <v>28400</v>
      </c>
      <c r="OB37" s="1" t="s">
        <v>28401</v>
      </c>
      <c r="OC37" s="1" t="s">
        <v>28402</v>
      </c>
      <c r="OD37" s="1" t="s">
        <v>28403</v>
      </c>
      <c r="OE37" s="1" t="s">
        <v>28404</v>
      </c>
      <c r="OF37" s="1" t="s">
        <v>28405</v>
      </c>
      <c r="OG37" s="1" t="s">
        <v>28406</v>
      </c>
      <c r="OH37" s="1" t="s">
        <v>28407</v>
      </c>
      <c r="OI37" s="1" t="s">
        <v>28408</v>
      </c>
      <c r="OJ37" s="1" t="s">
        <v>28409</v>
      </c>
      <c r="OK37" s="1" t="s">
        <v>28410</v>
      </c>
      <c r="OL37" s="1" t="s">
        <v>28411</v>
      </c>
      <c r="OM37" s="1" t="s">
        <v>28412</v>
      </c>
      <c r="ON37" s="1" t="s">
        <v>28413</v>
      </c>
      <c r="OO37" s="1" t="s">
        <v>28414</v>
      </c>
      <c r="OP37" s="1" t="s">
        <v>28415</v>
      </c>
      <c r="OQ37" s="1" t="s">
        <v>28416</v>
      </c>
      <c r="OR37" s="1" t="s">
        <v>28417</v>
      </c>
      <c r="OS37" s="1" t="s">
        <v>28418</v>
      </c>
      <c r="OT37" s="1" t="s">
        <v>28419</v>
      </c>
      <c r="OU37" s="1" t="s">
        <v>28420</v>
      </c>
      <c r="OV37" s="1" t="s">
        <v>28421</v>
      </c>
      <c r="OW37" s="1" t="s">
        <v>28422</v>
      </c>
      <c r="OX37" s="1" t="s">
        <v>28423</v>
      </c>
      <c r="OY37" s="1" t="s">
        <v>28424</v>
      </c>
      <c r="OZ37" s="1" t="s">
        <v>28425</v>
      </c>
      <c r="PA37" s="1" t="s">
        <v>28426</v>
      </c>
      <c r="PB37" s="1" t="s">
        <v>28427</v>
      </c>
      <c r="PC37" s="1" t="s">
        <v>28428</v>
      </c>
      <c r="PD37" s="1" t="s">
        <v>28429</v>
      </c>
      <c r="PE37" s="1" t="s">
        <v>28430</v>
      </c>
      <c r="PF37" s="1" t="s">
        <v>28431</v>
      </c>
      <c r="PG37" s="1" t="s">
        <v>28432</v>
      </c>
      <c r="PH37" s="1" t="s">
        <v>28433</v>
      </c>
      <c r="PI37" s="1" t="s">
        <v>28434</v>
      </c>
      <c r="PJ37" s="1" t="s">
        <v>28435</v>
      </c>
      <c r="PK37" s="1" t="s">
        <v>28436</v>
      </c>
      <c r="PL37" s="1" t="s">
        <v>28437</v>
      </c>
      <c r="PM37" s="1" t="s">
        <v>28438</v>
      </c>
      <c r="PN37" s="1" t="s">
        <v>28439</v>
      </c>
      <c r="PO37" s="1" t="s">
        <v>28440</v>
      </c>
      <c r="PP37" s="1" t="s">
        <v>28441</v>
      </c>
      <c r="PQ37" s="1" t="s">
        <v>28442</v>
      </c>
      <c r="PR37" s="1" t="s">
        <v>28443</v>
      </c>
      <c r="PS37" s="1" t="s">
        <v>28444</v>
      </c>
      <c r="PT37" s="1" t="s">
        <v>28445</v>
      </c>
      <c r="PU37" s="1" t="s">
        <v>28446</v>
      </c>
      <c r="PV37" s="1" t="s">
        <v>28447</v>
      </c>
      <c r="PW37" s="1" t="s">
        <v>28448</v>
      </c>
      <c r="PX37" s="1" t="s">
        <v>28449</v>
      </c>
      <c r="PY37" s="1" t="s">
        <v>28450</v>
      </c>
      <c r="PZ37" s="1" t="s">
        <v>28451</v>
      </c>
      <c r="QA37" s="1" t="s">
        <v>28452</v>
      </c>
      <c r="QB37" s="1" t="s">
        <v>28453</v>
      </c>
      <c r="QC37" s="1" t="s">
        <v>28454</v>
      </c>
      <c r="QD37" s="1" t="s">
        <v>28455</v>
      </c>
      <c r="QE37" s="1" t="s">
        <v>28456</v>
      </c>
      <c r="QF37" s="1" t="s">
        <v>28457</v>
      </c>
      <c r="QG37" s="1" t="s">
        <v>28458</v>
      </c>
      <c r="QH37" s="1" t="s">
        <v>28459</v>
      </c>
      <c r="QI37" s="1" t="s">
        <v>28460</v>
      </c>
      <c r="QJ37" s="1" t="s">
        <v>28461</v>
      </c>
      <c r="QK37" s="1" t="s">
        <v>28462</v>
      </c>
      <c r="QL37" s="1" t="s">
        <v>28463</v>
      </c>
      <c r="QM37" s="1" t="s">
        <v>28464</v>
      </c>
      <c r="QN37" s="1" t="s">
        <v>28465</v>
      </c>
      <c r="QO37" s="1" t="s">
        <v>28466</v>
      </c>
      <c r="QP37" s="1" t="s">
        <v>28467</v>
      </c>
      <c r="QQ37" s="1" t="s">
        <v>28468</v>
      </c>
      <c r="QR37" s="1" t="s">
        <v>28469</v>
      </c>
      <c r="QS37" s="1" t="s">
        <v>28470</v>
      </c>
      <c r="QT37" s="1" t="s">
        <v>28471</v>
      </c>
      <c r="QU37" s="1" t="s">
        <v>28472</v>
      </c>
      <c r="QV37" s="1" t="s">
        <v>28473</v>
      </c>
      <c r="QW37" s="1" t="s">
        <v>28474</v>
      </c>
      <c r="QX37" s="1" t="s">
        <v>28475</v>
      </c>
      <c r="QY37" s="1" t="s">
        <v>28476</v>
      </c>
      <c r="QZ37" s="1" t="s">
        <v>28477</v>
      </c>
      <c r="RA37" s="1" t="s">
        <v>28478</v>
      </c>
      <c r="RB37" s="1" t="s">
        <v>28479</v>
      </c>
      <c r="RC37" s="1" t="s">
        <v>28480</v>
      </c>
      <c r="RD37" s="1" t="s">
        <v>28481</v>
      </c>
      <c r="RE37" s="1" t="s">
        <v>28482</v>
      </c>
      <c r="RF37" s="1" t="s">
        <v>28483</v>
      </c>
      <c r="RG37" s="1" t="s">
        <v>28484</v>
      </c>
      <c r="RH37" s="1" t="s">
        <v>28485</v>
      </c>
      <c r="RI37" s="1" t="s">
        <v>28486</v>
      </c>
      <c r="RJ37" s="1" t="s">
        <v>28487</v>
      </c>
      <c r="RK37" s="1" t="s">
        <v>28488</v>
      </c>
      <c r="RL37" s="1" t="s">
        <v>28489</v>
      </c>
      <c r="RM37" s="1" t="s">
        <v>28490</v>
      </c>
      <c r="RN37" s="1" t="s">
        <v>28491</v>
      </c>
      <c r="RO37" s="1" t="s">
        <v>28492</v>
      </c>
      <c r="RP37" s="1" t="s">
        <v>28493</v>
      </c>
      <c r="RQ37" s="1" t="s">
        <v>28494</v>
      </c>
      <c r="RR37" s="1" t="s">
        <v>28495</v>
      </c>
      <c r="RS37" s="1" t="s">
        <v>28496</v>
      </c>
      <c r="RT37" s="1" t="s">
        <v>28497</v>
      </c>
      <c r="RU37" s="1" t="s">
        <v>28498</v>
      </c>
      <c r="RV37" s="1" t="s">
        <v>28499</v>
      </c>
      <c r="RW37" s="1" t="s">
        <v>28500</v>
      </c>
      <c r="RX37" s="1" t="s">
        <v>28501</v>
      </c>
      <c r="RY37" s="1" t="s">
        <v>28502</v>
      </c>
      <c r="RZ37" s="1" t="s">
        <v>28503</v>
      </c>
      <c r="SA37" s="1" t="s">
        <v>28504</v>
      </c>
      <c r="SB37" s="1" t="s">
        <v>28505</v>
      </c>
      <c r="SC37" s="1" t="s">
        <v>28506</v>
      </c>
      <c r="SD37" s="1" t="s">
        <v>28507</v>
      </c>
      <c r="SE37" s="1" t="s">
        <v>28508</v>
      </c>
      <c r="SF37" s="1" t="s">
        <v>28509</v>
      </c>
      <c r="SG37" s="1" t="s">
        <v>28510</v>
      </c>
      <c r="SH37" s="1" t="s">
        <v>28511</v>
      </c>
      <c r="SI37" s="1" t="s">
        <v>28512</v>
      </c>
      <c r="SJ37" s="1" t="s">
        <v>28513</v>
      </c>
      <c r="SK37" s="1" t="s">
        <v>28514</v>
      </c>
      <c r="SL37" s="1" t="s">
        <v>28515</v>
      </c>
      <c r="SM37" s="1" t="s">
        <v>28516</v>
      </c>
      <c r="SN37" s="1" t="s">
        <v>28517</v>
      </c>
      <c r="SO37" s="1" t="s">
        <v>28518</v>
      </c>
      <c r="SP37" s="1" t="s">
        <v>28519</v>
      </c>
      <c r="SQ37" s="1" t="s">
        <v>28520</v>
      </c>
      <c r="SR37" s="1" t="s">
        <v>28521</v>
      </c>
      <c r="SS37" s="1" t="s">
        <v>28522</v>
      </c>
      <c r="ST37" s="1" t="s">
        <v>28523</v>
      </c>
      <c r="SU37" s="1" t="s">
        <v>28524</v>
      </c>
      <c r="SV37" s="1" t="s">
        <v>28525</v>
      </c>
      <c r="SW37" s="1" t="s">
        <v>28526</v>
      </c>
      <c r="SX37" s="1" t="s">
        <v>28527</v>
      </c>
      <c r="SY37" s="1" t="s">
        <v>28528</v>
      </c>
      <c r="SZ37" s="1" t="s">
        <v>28529</v>
      </c>
      <c r="TA37" s="1" t="s">
        <v>28530</v>
      </c>
      <c r="TB37" s="1" t="s">
        <v>28531</v>
      </c>
      <c r="TC37" s="1" t="s">
        <v>28532</v>
      </c>
      <c r="TD37" s="1" t="s">
        <v>28533</v>
      </c>
      <c r="TE37" s="1" t="s">
        <v>28534</v>
      </c>
      <c r="TF37" s="1" t="s">
        <v>28535</v>
      </c>
      <c r="TG37" s="1" t="s">
        <v>28536</v>
      </c>
      <c r="TH37" s="1" t="s">
        <v>28537</v>
      </c>
      <c r="TI37" s="1" t="s">
        <v>28538</v>
      </c>
      <c r="TJ37" s="1" t="s">
        <v>28539</v>
      </c>
      <c r="TK37" s="1" t="s">
        <v>28540</v>
      </c>
      <c r="TL37" s="1" t="s">
        <v>28541</v>
      </c>
      <c r="TM37" s="1" t="s">
        <v>28542</v>
      </c>
      <c r="TN37" s="1" t="s">
        <v>28543</v>
      </c>
      <c r="TO37" s="1" t="s">
        <v>28544</v>
      </c>
      <c r="TP37" s="1" t="s">
        <v>28545</v>
      </c>
      <c r="TQ37" s="1" t="s">
        <v>28546</v>
      </c>
      <c r="TR37" s="1" t="s">
        <v>28547</v>
      </c>
      <c r="TS37" s="1" t="s">
        <v>28548</v>
      </c>
      <c r="TT37" s="1" t="s">
        <v>28549</v>
      </c>
      <c r="TU37" s="1" t="s">
        <v>28550</v>
      </c>
      <c r="TV37" s="1" t="s">
        <v>28551</v>
      </c>
      <c r="TW37" s="1" t="s">
        <v>28552</v>
      </c>
      <c r="TX37" s="1" t="s">
        <v>28553</v>
      </c>
      <c r="TY37" s="1" t="s">
        <v>28554</v>
      </c>
      <c r="TZ37" s="1" t="s">
        <v>28555</v>
      </c>
      <c r="UA37" s="1" t="s">
        <v>28556</v>
      </c>
      <c r="UB37" s="1" t="s">
        <v>28557</v>
      </c>
      <c r="UC37" s="1" t="s">
        <v>28558</v>
      </c>
      <c r="UD37" s="1" t="s">
        <v>28559</v>
      </c>
      <c r="UE37" s="1" t="s">
        <v>28560</v>
      </c>
      <c r="UF37" s="1" t="s">
        <v>28561</v>
      </c>
      <c r="UG37" s="1" t="s">
        <v>28562</v>
      </c>
      <c r="UH37" s="1" t="s">
        <v>28563</v>
      </c>
      <c r="UI37" s="1" t="s">
        <v>28564</v>
      </c>
      <c r="UJ37" s="1" t="s">
        <v>28565</v>
      </c>
      <c r="UK37" s="1" t="s">
        <v>28566</v>
      </c>
      <c r="UL37" s="1" t="s">
        <v>28567</v>
      </c>
      <c r="UM37" s="1" t="s">
        <v>28568</v>
      </c>
      <c r="UN37" s="1" t="s">
        <v>28569</v>
      </c>
      <c r="UO37" s="1" t="s">
        <v>28570</v>
      </c>
      <c r="UP37" s="1" t="s">
        <v>28571</v>
      </c>
      <c r="UQ37" s="1" t="s">
        <v>28572</v>
      </c>
      <c r="UR37" s="1" t="s">
        <v>28573</v>
      </c>
      <c r="US37" s="1" t="s">
        <v>28574</v>
      </c>
      <c r="UT37" s="1" t="s">
        <v>28575</v>
      </c>
      <c r="UU37" s="1" t="s">
        <v>28576</v>
      </c>
      <c r="UV37" s="1" t="s">
        <v>28577</v>
      </c>
      <c r="UW37" s="1" t="s">
        <v>28578</v>
      </c>
      <c r="UX37" s="1" t="s">
        <v>28579</v>
      </c>
      <c r="UY37" s="1" t="s">
        <v>28580</v>
      </c>
      <c r="UZ37" s="1" t="s">
        <v>28581</v>
      </c>
      <c r="VA37" s="1" t="s">
        <v>28582</v>
      </c>
      <c r="VB37" s="1" t="s">
        <v>28583</v>
      </c>
      <c r="VC37" s="1" t="s">
        <v>28584</v>
      </c>
      <c r="VD37" s="1" t="s">
        <v>28585</v>
      </c>
      <c r="VE37" s="1" t="s">
        <v>28586</v>
      </c>
      <c r="VF37" s="1" t="s">
        <v>28587</v>
      </c>
      <c r="VG37" s="1" t="s">
        <v>28588</v>
      </c>
      <c r="VH37" s="1" t="s">
        <v>28589</v>
      </c>
      <c r="VI37" s="1" t="s">
        <v>28590</v>
      </c>
      <c r="VJ37" s="1" t="s">
        <v>28591</v>
      </c>
      <c r="VK37" s="1" t="s">
        <v>28592</v>
      </c>
      <c r="VL37" s="1" t="s">
        <v>28593</v>
      </c>
      <c r="VM37" s="1" t="s">
        <v>28594</v>
      </c>
      <c r="VN37" s="1" t="s">
        <v>28595</v>
      </c>
      <c r="VO37" s="1" t="s">
        <v>28596</v>
      </c>
      <c r="VP37" s="1" t="s">
        <v>28597</v>
      </c>
      <c r="VQ37" s="1" t="s">
        <v>28598</v>
      </c>
      <c r="VR37" s="1" t="s">
        <v>28599</v>
      </c>
      <c r="VS37" s="1" t="s">
        <v>28600</v>
      </c>
      <c r="VT37" s="1" t="s">
        <v>28601</v>
      </c>
      <c r="VU37" s="1" t="s">
        <v>28602</v>
      </c>
      <c r="VV37" s="1" t="s">
        <v>28603</v>
      </c>
      <c r="VW37" s="1" t="s">
        <v>28604</v>
      </c>
      <c r="VX37" s="1" t="s">
        <v>28605</v>
      </c>
      <c r="VY37" s="1" t="s">
        <v>28606</v>
      </c>
      <c r="VZ37" s="1" t="s">
        <v>28607</v>
      </c>
      <c r="WA37" s="1" t="s">
        <v>28608</v>
      </c>
      <c r="WB37" s="1" t="s">
        <v>28609</v>
      </c>
      <c r="WC37" s="1" t="s">
        <v>28610</v>
      </c>
      <c r="WD37" s="1" t="s">
        <v>28611</v>
      </c>
      <c r="WE37" s="1" t="s">
        <v>28612</v>
      </c>
      <c r="WF37" s="1" t="s">
        <v>28613</v>
      </c>
      <c r="WG37" s="1" t="s">
        <v>28614</v>
      </c>
      <c r="WH37" s="1" t="s">
        <v>28615</v>
      </c>
      <c r="WI37" s="1" t="s">
        <v>28616</v>
      </c>
      <c r="WJ37" s="1" t="s">
        <v>28617</v>
      </c>
      <c r="WK37" s="1" t="s">
        <v>28618</v>
      </c>
      <c r="WL37" s="1" t="s">
        <v>28619</v>
      </c>
      <c r="WM37" s="1" t="s">
        <v>28620</v>
      </c>
      <c r="WN37" s="1" t="s">
        <v>28621</v>
      </c>
      <c r="WO37" s="1" t="s">
        <v>28622</v>
      </c>
      <c r="WP37" s="1" t="s">
        <v>28623</v>
      </c>
      <c r="WQ37" s="1" t="s">
        <v>28624</v>
      </c>
      <c r="WR37" s="1" t="s">
        <v>28625</v>
      </c>
      <c r="WS37" s="1" t="s">
        <v>28626</v>
      </c>
      <c r="WT37" s="1" t="s">
        <v>28627</v>
      </c>
      <c r="WU37" s="1" t="s">
        <v>28628</v>
      </c>
      <c r="WV37" s="1" t="s">
        <v>28629</v>
      </c>
      <c r="WW37" s="1" t="s">
        <v>28630</v>
      </c>
      <c r="WX37" s="1" t="s">
        <v>28631</v>
      </c>
      <c r="WY37" s="1" t="s">
        <v>28632</v>
      </c>
      <c r="WZ37" s="1" t="s">
        <v>28633</v>
      </c>
      <c r="XA37" s="1" t="s">
        <v>28634</v>
      </c>
      <c r="XB37" s="1" t="s">
        <v>28635</v>
      </c>
      <c r="XC37" s="1" t="s">
        <v>28636</v>
      </c>
      <c r="XD37" s="1" t="s">
        <v>28637</v>
      </c>
      <c r="XE37" s="1" t="s">
        <v>28638</v>
      </c>
      <c r="XF37" s="1" t="s">
        <v>28639</v>
      </c>
      <c r="XG37" s="1" t="s">
        <v>28640</v>
      </c>
      <c r="XH37" s="1" t="s">
        <v>28641</v>
      </c>
      <c r="XI37" s="1" t="s">
        <v>28642</v>
      </c>
      <c r="XJ37" s="1" t="s">
        <v>28643</v>
      </c>
      <c r="XK37" s="1" t="s">
        <v>28644</v>
      </c>
      <c r="XL37" s="1" t="s">
        <v>28645</v>
      </c>
      <c r="XM37" s="1" t="s">
        <v>28646</v>
      </c>
      <c r="XN37" s="1" t="s">
        <v>28647</v>
      </c>
      <c r="XO37" s="1" t="s">
        <v>28648</v>
      </c>
      <c r="XP37" s="1" t="s">
        <v>28649</v>
      </c>
      <c r="XQ37" s="1" t="s">
        <v>28650</v>
      </c>
      <c r="XR37" s="1" t="s">
        <v>28651</v>
      </c>
      <c r="XS37" s="1" t="s">
        <v>28652</v>
      </c>
      <c r="XT37" s="1" t="s">
        <v>28653</v>
      </c>
      <c r="XU37" s="1" t="s">
        <v>28654</v>
      </c>
      <c r="XV37" s="1" t="s">
        <v>28655</v>
      </c>
      <c r="XW37" s="1" t="s">
        <v>28656</v>
      </c>
      <c r="XX37" s="1" t="s">
        <v>28657</v>
      </c>
      <c r="XY37" s="1" t="s">
        <v>28658</v>
      </c>
      <c r="XZ37" s="1" t="s">
        <v>28659</v>
      </c>
      <c r="YA37" s="1" t="s">
        <v>28660</v>
      </c>
      <c r="YB37" s="1" t="s">
        <v>28661</v>
      </c>
      <c r="YC37" s="1" t="s">
        <v>28662</v>
      </c>
      <c r="YD37" s="1" t="s">
        <v>28663</v>
      </c>
      <c r="YE37" s="1" t="s">
        <v>28664</v>
      </c>
      <c r="YF37" s="1" t="s">
        <v>28665</v>
      </c>
      <c r="YG37" s="1" t="s">
        <v>28666</v>
      </c>
      <c r="YH37" s="1" t="s">
        <v>28667</v>
      </c>
      <c r="YI37" s="1" t="s">
        <v>28668</v>
      </c>
      <c r="YJ37" s="1" t="s">
        <v>28669</v>
      </c>
      <c r="YK37" s="1" t="s">
        <v>28670</v>
      </c>
      <c r="YL37" s="1" t="s">
        <v>28671</v>
      </c>
      <c r="YM37" s="1" t="s">
        <v>28672</v>
      </c>
      <c r="YN37" s="1" t="s">
        <v>28673</v>
      </c>
      <c r="YO37" s="1" t="s">
        <v>28674</v>
      </c>
      <c r="YP37" s="1" t="s">
        <v>28675</v>
      </c>
      <c r="YQ37" s="1" t="s">
        <v>28676</v>
      </c>
      <c r="YR37" s="1" t="s">
        <v>28677</v>
      </c>
      <c r="YS37" s="1" t="s">
        <v>28678</v>
      </c>
      <c r="YT37" s="1" t="s">
        <v>28679</v>
      </c>
      <c r="YU37" s="1" t="s">
        <v>28680</v>
      </c>
      <c r="YV37" s="1" t="s">
        <v>28681</v>
      </c>
      <c r="YW37" s="1" t="s">
        <v>28682</v>
      </c>
      <c r="YX37" s="1" t="s">
        <v>28683</v>
      </c>
      <c r="YY37" s="1" t="s">
        <v>28684</v>
      </c>
      <c r="YZ37" s="1" t="s">
        <v>28685</v>
      </c>
      <c r="ZA37" s="1" t="s">
        <v>28686</v>
      </c>
      <c r="ZB37" s="1" t="s">
        <v>28687</v>
      </c>
      <c r="ZC37" s="1" t="s">
        <v>28688</v>
      </c>
      <c r="ZD37" s="1" t="s">
        <v>28689</v>
      </c>
      <c r="ZE37" s="1" t="s">
        <v>28690</v>
      </c>
      <c r="ZF37" s="1" t="s">
        <v>28691</v>
      </c>
      <c r="ZG37" s="1" t="s">
        <v>28692</v>
      </c>
      <c r="ZH37" s="1" t="s">
        <v>28693</v>
      </c>
      <c r="ZI37" s="1" t="s">
        <v>28694</v>
      </c>
      <c r="ZJ37" s="1" t="s">
        <v>28695</v>
      </c>
      <c r="ZK37" s="1" t="s">
        <v>28696</v>
      </c>
      <c r="ZL37" s="1" t="s">
        <v>28697</v>
      </c>
      <c r="ZM37" s="1" t="s">
        <v>28698</v>
      </c>
      <c r="ZN37" s="1" t="s">
        <v>28699</v>
      </c>
      <c r="ZO37" s="1" t="s">
        <v>28700</v>
      </c>
      <c r="ZP37" s="1" t="s">
        <v>28701</v>
      </c>
      <c r="ZQ37" s="1" t="s">
        <v>28702</v>
      </c>
      <c r="ZR37" s="1" t="s">
        <v>28703</v>
      </c>
      <c r="ZS37" s="1" t="s">
        <v>28704</v>
      </c>
      <c r="ZT37" s="1" t="s">
        <v>28705</v>
      </c>
      <c r="ZU37" s="1" t="s">
        <v>28706</v>
      </c>
      <c r="ZV37" s="1" t="s">
        <v>28707</v>
      </c>
      <c r="ZW37" s="1" t="s">
        <v>28708</v>
      </c>
      <c r="ZX37" s="1" t="s">
        <v>28709</v>
      </c>
      <c r="ZY37" s="1" t="s">
        <v>28710</v>
      </c>
      <c r="ZZ37" s="1" t="s">
        <v>28711</v>
      </c>
      <c r="AAA37" s="1" t="s">
        <v>28712</v>
      </c>
      <c r="AAB37" s="1" t="s">
        <v>28713</v>
      </c>
      <c r="AAC37" s="1" t="s">
        <v>28714</v>
      </c>
      <c r="AAD37" s="1" t="s">
        <v>28715</v>
      </c>
      <c r="AAE37" s="1" t="s">
        <v>28716</v>
      </c>
      <c r="AAF37" s="1" t="s">
        <v>28717</v>
      </c>
      <c r="AAG37" s="1" t="s">
        <v>28718</v>
      </c>
      <c r="AAH37" s="1" t="s">
        <v>28719</v>
      </c>
      <c r="AAI37" s="1" t="s">
        <v>28720</v>
      </c>
      <c r="AAJ37" s="1" t="s">
        <v>28721</v>
      </c>
      <c r="AAK37" s="1" t="s">
        <v>28722</v>
      </c>
      <c r="AAL37" s="1" t="s">
        <v>28723</v>
      </c>
      <c r="AAM37" s="1" t="s">
        <v>28724</v>
      </c>
      <c r="AAN37" s="1" t="s">
        <v>28725</v>
      </c>
      <c r="AAO37" s="1" t="s">
        <v>28726</v>
      </c>
      <c r="AAP37" s="1" t="s">
        <v>28727</v>
      </c>
      <c r="AAQ37" s="1" t="s">
        <v>28728</v>
      </c>
      <c r="AAR37" s="1" t="s">
        <v>28729</v>
      </c>
      <c r="AAS37" s="1" t="s">
        <v>28730</v>
      </c>
      <c r="AAT37" s="1" t="s">
        <v>28731</v>
      </c>
      <c r="AAU37" s="1" t="s">
        <v>28732</v>
      </c>
      <c r="AAV37" s="1" t="s">
        <v>28733</v>
      </c>
      <c r="AAW37" s="1" t="s">
        <v>28734</v>
      </c>
      <c r="AAX37" s="1" t="s">
        <v>28735</v>
      </c>
      <c r="AAY37" s="1" t="s">
        <v>28736</v>
      </c>
      <c r="AAZ37" s="1" t="s">
        <v>28737</v>
      </c>
      <c r="ABA37" s="1" t="s">
        <v>28738</v>
      </c>
      <c r="ABB37" s="1" t="s">
        <v>28739</v>
      </c>
      <c r="ABC37" s="1" t="s">
        <v>28740</v>
      </c>
      <c r="ABD37" s="1" t="s">
        <v>28741</v>
      </c>
      <c r="ABE37" s="1" t="s">
        <v>28742</v>
      </c>
      <c r="ABF37" s="1" t="s">
        <v>28743</v>
      </c>
      <c r="ABG37" s="1" t="s">
        <v>28744</v>
      </c>
      <c r="ABH37" s="1" t="s">
        <v>28745</v>
      </c>
      <c r="ABI37" s="1" t="s">
        <v>28746</v>
      </c>
      <c r="ABJ37" s="1" t="s">
        <v>28747</v>
      </c>
      <c r="ABK37" s="1" t="s">
        <v>28748</v>
      </c>
      <c r="ABL37" s="1" t="s">
        <v>28749</v>
      </c>
      <c r="ABM37" s="1" t="s">
        <v>28750</v>
      </c>
      <c r="ABN37" s="1" t="s">
        <v>28751</v>
      </c>
      <c r="ABO37" s="1" t="s">
        <v>28752</v>
      </c>
      <c r="ABP37" s="1" t="s">
        <v>28753</v>
      </c>
      <c r="ABQ37" s="1" t="s">
        <v>28754</v>
      </c>
      <c r="ABR37" s="1" t="s">
        <v>28755</v>
      </c>
      <c r="ABS37" s="1" t="s">
        <v>28756</v>
      </c>
      <c r="ABT37" s="1" t="s">
        <v>28757</v>
      </c>
      <c r="ABU37" s="1" t="s">
        <v>28758</v>
      </c>
      <c r="ABV37" s="1" t="s">
        <v>28759</v>
      </c>
      <c r="ABW37" s="1" t="s">
        <v>28760</v>
      </c>
      <c r="ABX37" s="1" t="s">
        <v>28761</v>
      </c>
      <c r="ABY37" s="1" t="s">
        <v>28762</v>
      </c>
      <c r="ABZ37" s="1" t="s">
        <v>28763</v>
      </c>
      <c r="ACA37" s="1" t="s">
        <v>28764</v>
      </c>
      <c r="ACB37" s="1" t="s">
        <v>28765</v>
      </c>
      <c r="ACC37" s="1" t="s">
        <v>28766</v>
      </c>
      <c r="ACD37" s="1" t="s">
        <v>28767</v>
      </c>
      <c r="ACE37" s="1" t="s">
        <v>28768</v>
      </c>
      <c r="ACF37" s="1" t="s">
        <v>28769</v>
      </c>
      <c r="ACG37" s="1" t="s">
        <v>28770</v>
      </c>
      <c r="ACH37" s="1" t="s">
        <v>28771</v>
      </c>
      <c r="ACI37" s="1" t="s">
        <v>28772</v>
      </c>
      <c r="ACJ37" s="1" t="s">
        <v>28773</v>
      </c>
      <c r="ACK37" s="1" t="s">
        <v>28774</v>
      </c>
      <c r="ACL37" s="1" t="s">
        <v>28775</v>
      </c>
      <c r="ACM37" s="1" t="s">
        <v>28776</v>
      </c>
      <c r="ACN37" s="1" t="s">
        <v>28777</v>
      </c>
      <c r="ACO37" s="1" t="s">
        <v>28778</v>
      </c>
      <c r="ACP37" s="1" t="s">
        <v>28779</v>
      </c>
      <c r="ACQ37" s="1" t="s">
        <v>28780</v>
      </c>
      <c r="ACR37" s="1" t="s">
        <v>28781</v>
      </c>
      <c r="ACS37" s="1" t="s">
        <v>28782</v>
      </c>
      <c r="ACT37" s="1" t="s">
        <v>28783</v>
      </c>
      <c r="ACU37" s="1" t="s">
        <v>28784</v>
      </c>
      <c r="ACV37" s="1" t="s">
        <v>28785</v>
      </c>
      <c r="ACW37" s="1" t="s">
        <v>17</v>
      </c>
      <c r="ACX37" s="1" t="s">
        <v>1502</v>
      </c>
    </row>
    <row r="38" spans="1:778" x14ac:dyDescent="0.2">
      <c r="A38" s="1" t="s">
        <v>92</v>
      </c>
      <c r="B38" s="1" t="s">
        <v>28786</v>
      </c>
      <c r="C38" s="1" t="s">
        <v>28787</v>
      </c>
      <c r="D38" s="1" t="s">
        <v>28788</v>
      </c>
      <c r="E38" s="1" t="s">
        <v>28789</v>
      </c>
      <c r="F38" s="1" t="s">
        <v>28790</v>
      </c>
      <c r="G38" s="1" t="s">
        <v>28791</v>
      </c>
      <c r="H38" s="1" t="s">
        <v>28792</v>
      </c>
      <c r="I38" s="1" t="s">
        <v>28793</v>
      </c>
      <c r="J38" s="1" t="s">
        <v>28794</v>
      </c>
      <c r="K38" s="1" t="s">
        <v>28795</v>
      </c>
      <c r="L38" s="1" t="s">
        <v>28796</v>
      </c>
      <c r="M38" s="1" t="s">
        <v>28797</v>
      </c>
      <c r="N38" s="1" t="s">
        <v>28798</v>
      </c>
      <c r="O38" s="1" t="s">
        <v>28799</v>
      </c>
      <c r="P38" s="1" t="s">
        <v>28800</v>
      </c>
      <c r="Q38" s="1" t="s">
        <v>28801</v>
      </c>
      <c r="R38" s="1" t="s">
        <v>28802</v>
      </c>
      <c r="S38" s="1" t="s">
        <v>28803</v>
      </c>
      <c r="T38" s="1" t="s">
        <v>28804</v>
      </c>
      <c r="U38" s="1" t="s">
        <v>28805</v>
      </c>
      <c r="V38" s="1" t="s">
        <v>28806</v>
      </c>
      <c r="W38" s="1" t="s">
        <v>28807</v>
      </c>
      <c r="X38" s="1" t="s">
        <v>28808</v>
      </c>
      <c r="Y38" s="1" t="s">
        <v>28809</v>
      </c>
      <c r="Z38" s="1" t="s">
        <v>28810</v>
      </c>
      <c r="AA38" s="1" t="s">
        <v>28811</v>
      </c>
      <c r="AB38" s="1" t="s">
        <v>28812</v>
      </c>
      <c r="AC38" s="1" t="s">
        <v>28813</v>
      </c>
      <c r="AD38" s="1" t="s">
        <v>28814</v>
      </c>
      <c r="AE38" s="1" t="s">
        <v>28815</v>
      </c>
      <c r="AF38" s="1" t="s">
        <v>28816</v>
      </c>
      <c r="AG38" s="1" t="s">
        <v>28817</v>
      </c>
      <c r="AH38" s="1" t="s">
        <v>28818</v>
      </c>
      <c r="AI38" s="1" t="s">
        <v>28819</v>
      </c>
      <c r="AJ38" s="1" t="s">
        <v>28820</v>
      </c>
      <c r="AK38" s="1" t="s">
        <v>28821</v>
      </c>
      <c r="AL38" s="1" t="s">
        <v>28822</v>
      </c>
      <c r="AM38" s="1" t="s">
        <v>28823</v>
      </c>
      <c r="AN38" s="1" t="s">
        <v>28824</v>
      </c>
      <c r="AO38" s="1" t="s">
        <v>28825</v>
      </c>
      <c r="AP38" s="1" t="s">
        <v>28826</v>
      </c>
      <c r="AQ38" s="1" t="s">
        <v>28827</v>
      </c>
      <c r="AR38" s="1" t="s">
        <v>28828</v>
      </c>
      <c r="AS38" s="1" t="s">
        <v>28829</v>
      </c>
      <c r="AT38" s="1" t="s">
        <v>28830</v>
      </c>
      <c r="AU38" s="1" t="s">
        <v>28831</v>
      </c>
      <c r="AV38" s="1" t="s">
        <v>28832</v>
      </c>
      <c r="AW38" s="1" t="s">
        <v>28833</v>
      </c>
      <c r="AX38" s="1" t="s">
        <v>28834</v>
      </c>
      <c r="AY38" s="1" t="s">
        <v>28835</v>
      </c>
      <c r="AZ38" s="1" t="s">
        <v>28836</v>
      </c>
      <c r="BA38" s="1" t="s">
        <v>28837</v>
      </c>
      <c r="BB38" s="1" t="s">
        <v>28838</v>
      </c>
      <c r="BC38" s="1" t="s">
        <v>28839</v>
      </c>
      <c r="BD38" s="1" t="s">
        <v>28840</v>
      </c>
      <c r="BE38" s="1" t="s">
        <v>28841</v>
      </c>
      <c r="BF38" s="1" t="s">
        <v>28842</v>
      </c>
      <c r="BG38" s="1" t="s">
        <v>28843</v>
      </c>
      <c r="BH38" s="1" t="s">
        <v>28844</v>
      </c>
      <c r="BI38" s="1" t="s">
        <v>28845</v>
      </c>
      <c r="BJ38" s="1" t="s">
        <v>28846</v>
      </c>
      <c r="BK38" s="1" t="s">
        <v>28847</v>
      </c>
      <c r="BL38" s="1" t="s">
        <v>28848</v>
      </c>
      <c r="BM38" s="1" t="s">
        <v>28849</v>
      </c>
      <c r="BN38" s="1" t="s">
        <v>28850</v>
      </c>
      <c r="BO38" s="1" t="s">
        <v>28851</v>
      </c>
      <c r="BP38" s="1" t="s">
        <v>28852</v>
      </c>
      <c r="BQ38" s="1" t="s">
        <v>28853</v>
      </c>
      <c r="BR38" s="1" t="s">
        <v>28854</v>
      </c>
      <c r="BS38" s="1" t="s">
        <v>28855</v>
      </c>
      <c r="BT38" s="1" t="s">
        <v>28856</v>
      </c>
      <c r="BU38" s="1" t="s">
        <v>28857</v>
      </c>
      <c r="BV38" s="1" t="s">
        <v>28858</v>
      </c>
      <c r="BW38" s="1" t="s">
        <v>28859</v>
      </c>
      <c r="BX38" s="1" t="s">
        <v>28860</v>
      </c>
      <c r="BY38" s="1" t="s">
        <v>28861</v>
      </c>
      <c r="BZ38" s="1" t="s">
        <v>28862</v>
      </c>
      <c r="CA38" s="1" t="s">
        <v>28863</v>
      </c>
      <c r="CB38" s="1" t="s">
        <v>28864</v>
      </c>
      <c r="CC38" s="1" t="s">
        <v>28865</v>
      </c>
      <c r="CD38" s="1" t="s">
        <v>28866</v>
      </c>
      <c r="CE38" s="1" t="s">
        <v>28867</v>
      </c>
      <c r="CF38" s="1" t="s">
        <v>28868</v>
      </c>
      <c r="CG38" s="1" t="s">
        <v>28869</v>
      </c>
      <c r="CH38" s="1" t="s">
        <v>28870</v>
      </c>
      <c r="CI38" s="1" t="s">
        <v>28871</v>
      </c>
      <c r="CJ38" s="1" t="s">
        <v>28872</v>
      </c>
      <c r="CK38" s="1" t="s">
        <v>28873</v>
      </c>
      <c r="CL38" s="1" t="s">
        <v>28874</v>
      </c>
      <c r="CM38" s="1" t="s">
        <v>28875</v>
      </c>
      <c r="CN38" s="1" t="s">
        <v>28876</v>
      </c>
      <c r="CO38" s="1" t="s">
        <v>28877</v>
      </c>
      <c r="CP38" s="1" t="s">
        <v>28878</v>
      </c>
      <c r="CQ38" s="1" t="s">
        <v>28879</v>
      </c>
      <c r="CR38" s="1" t="s">
        <v>28880</v>
      </c>
      <c r="CS38" s="1" t="s">
        <v>28881</v>
      </c>
      <c r="CT38" s="1" t="s">
        <v>28882</v>
      </c>
      <c r="CU38" s="1" t="s">
        <v>28883</v>
      </c>
      <c r="CV38" s="1" t="s">
        <v>28884</v>
      </c>
      <c r="CW38" s="1" t="s">
        <v>28885</v>
      </c>
      <c r="CX38" s="1" t="s">
        <v>28886</v>
      </c>
      <c r="CY38" s="1" t="s">
        <v>28887</v>
      </c>
      <c r="CZ38" s="1" t="s">
        <v>28888</v>
      </c>
      <c r="DA38" s="1" t="s">
        <v>28889</v>
      </c>
      <c r="DB38" s="1" t="s">
        <v>28890</v>
      </c>
      <c r="DC38" s="1" t="s">
        <v>28891</v>
      </c>
      <c r="DD38" s="1" t="s">
        <v>28892</v>
      </c>
      <c r="DE38" s="1" t="s">
        <v>28893</v>
      </c>
      <c r="DF38" s="1" t="s">
        <v>28894</v>
      </c>
      <c r="DG38" s="1" t="s">
        <v>28895</v>
      </c>
      <c r="DH38" s="1" t="s">
        <v>28896</v>
      </c>
      <c r="DI38" s="1" t="s">
        <v>28897</v>
      </c>
      <c r="DJ38" s="1" t="s">
        <v>28898</v>
      </c>
      <c r="DK38" s="1" t="s">
        <v>28899</v>
      </c>
      <c r="DL38" s="1" t="s">
        <v>28900</v>
      </c>
      <c r="DM38" s="1" t="s">
        <v>28901</v>
      </c>
      <c r="DN38" s="1" t="s">
        <v>28902</v>
      </c>
      <c r="DO38" s="1" t="s">
        <v>28903</v>
      </c>
      <c r="DP38" s="1" t="s">
        <v>28904</v>
      </c>
      <c r="DQ38" s="1" t="s">
        <v>28905</v>
      </c>
      <c r="DR38" s="1" t="s">
        <v>28906</v>
      </c>
      <c r="DS38" s="1" t="s">
        <v>28907</v>
      </c>
      <c r="DT38" s="1" t="s">
        <v>28908</v>
      </c>
      <c r="DU38" s="1" t="s">
        <v>28909</v>
      </c>
      <c r="DV38" s="1" t="s">
        <v>28910</v>
      </c>
      <c r="DW38" s="1" t="s">
        <v>28911</v>
      </c>
      <c r="DX38" s="1" t="s">
        <v>28912</v>
      </c>
      <c r="DY38" s="1" t="s">
        <v>28913</v>
      </c>
      <c r="DZ38" s="1" t="s">
        <v>28914</v>
      </c>
      <c r="EA38" s="1" t="s">
        <v>28915</v>
      </c>
      <c r="EB38" s="1" t="s">
        <v>28916</v>
      </c>
      <c r="EC38" s="1" t="s">
        <v>28917</v>
      </c>
      <c r="ED38" s="1" t="s">
        <v>28918</v>
      </c>
      <c r="EE38" s="1" t="s">
        <v>28919</v>
      </c>
      <c r="EF38" s="1" t="s">
        <v>28920</v>
      </c>
      <c r="EG38" s="1" t="s">
        <v>28921</v>
      </c>
      <c r="EH38" s="1" t="s">
        <v>28922</v>
      </c>
      <c r="EI38" s="1" t="s">
        <v>28923</v>
      </c>
      <c r="EJ38" s="1" t="s">
        <v>28924</v>
      </c>
      <c r="EK38" s="1" t="s">
        <v>28925</v>
      </c>
      <c r="EL38" s="1" t="s">
        <v>28926</v>
      </c>
      <c r="EM38" s="1" t="s">
        <v>28927</v>
      </c>
      <c r="EN38" s="1" t="s">
        <v>28928</v>
      </c>
      <c r="EO38" s="1" t="s">
        <v>28929</v>
      </c>
      <c r="EP38" s="1" t="s">
        <v>28930</v>
      </c>
      <c r="EQ38" s="1" t="s">
        <v>28931</v>
      </c>
      <c r="ER38" s="1" t="s">
        <v>28932</v>
      </c>
      <c r="ES38" s="1" t="s">
        <v>28933</v>
      </c>
      <c r="ET38" s="1" t="s">
        <v>28934</v>
      </c>
      <c r="EU38" s="1" t="s">
        <v>28935</v>
      </c>
      <c r="EV38" s="1" t="s">
        <v>28936</v>
      </c>
      <c r="EW38" s="1" t="s">
        <v>28937</v>
      </c>
      <c r="EX38" s="1" t="s">
        <v>28938</v>
      </c>
      <c r="EY38" s="1" t="s">
        <v>28939</v>
      </c>
      <c r="EZ38" s="1" t="s">
        <v>28940</v>
      </c>
      <c r="FA38" s="1" t="s">
        <v>28941</v>
      </c>
      <c r="FB38" s="1" t="s">
        <v>28942</v>
      </c>
      <c r="FC38" s="1" t="s">
        <v>28943</v>
      </c>
      <c r="FD38" s="1" t="s">
        <v>28944</v>
      </c>
      <c r="FE38" s="1" t="s">
        <v>28945</v>
      </c>
      <c r="FF38" s="1" t="s">
        <v>28946</v>
      </c>
      <c r="FG38" s="1" t="s">
        <v>28947</v>
      </c>
      <c r="FH38" s="1" t="s">
        <v>28948</v>
      </c>
      <c r="FI38" s="1" t="s">
        <v>28949</v>
      </c>
      <c r="FJ38" s="1" t="s">
        <v>28950</v>
      </c>
      <c r="FK38" s="1" t="s">
        <v>28951</v>
      </c>
      <c r="FL38" s="1" t="s">
        <v>28952</v>
      </c>
      <c r="FM38" s="1" t="s">
        <v>28953</v>
      </c>
      <c r="FN38" s="1" t="s">
        <v>28954</v>
      </c>
      <c r="FO38" s="1" t="s">
        <v>28955</v>
      </c>
      <c r="FP38" s="1" t="s">
        <v>28956</v>
      </c>
      <c r="FQ38" s="1" t="s">
        <v>28957</v>
      </c>
      <c r="FR38" s="1" t="s">
        <v>28958</v>
      </c>
      <c r="FS38" s="1" t="s">
        <v>28959</v>
      </c>
      <c r="FT38" s="1" t="s">
        <v>28960</v>
      </c>
      <c r="FU38" s="1" t="s">
        <v>28961</v>
      </c>
      <c r="FV38" s="1" t="s">
        <v>28962</v>
      </c>
      <c r="FW38" s="1" t="s">
        <v>28963</v>
      </c>
      <c r="FX38" s="1" t="s">
        <v>28964</v>
      </c>
      <c r="FY38" s="1" t="s">
        <v>28965</v>
      </c>
      <c r="FZ38" s="1" t="s">
        <v>28966</v>
      </c>
      <c r="GA38" s="1" t="s">
        <v>28967</v>
      </c>
      <c r="GB38" s="1" t="s">
        <v>28968</v>
      </c>
      <c r="GC38" s="1" t="s">
        <v>28969</v>
      </c>
      <c r="GD38" s="1" t="s">
        <v>28970</v>
      </c>
      <c r="GE38" s="1" t="s">
        <v>28971</v>
      </c>
      <c r="GF38" s="1" t="s">
        <v>28972</v>
      </c>
      <c r="GG38" s="1" t="s">
        <v>28973</v>
      </c>
      <c r="GH38" s="1" t="s">
        <v>28974</v>
      </c>
      <c r="GI38" s="1" t="s">
        <v>28975</v>
      </c>
      <c r="GJ38" s="1" t="s">
        <v>28976</v>
      </c>
      <c r="GK38" s="1" t="s">
        <v>28977</v>
      </c>
      <c r="GL38" s="1" t="s">
        <v>28978</v>
      </c>
      <c r="GM38" s="1" t="s">
        <v>28979</v>
      </c>
      <c r="GN38" s="1" t="s">
        <v>28980</v>
      </c>
      <c r="GO38" s="1" t="s">
        <v>28981</v>
      </c>
      <c r="GP38" s="1" t="s">
        <v>28982</v>
      </c>
      <c r="GQ38" s="1" t="s">
        <v>28983</v>
      </c>
      <c r="GR38" s="1" t="s">
        <v>28984</v>
      </c>
      <c r="GS38" s="1" t="s">
        <v>28985</v>
      </c>
      <c r="GT38" s="1" t="s">
        <v>28986</v>
      </c>
      <c r="GU38" s="1" t="s">
        <v>28987</v>
      </c>
      <c r="GV38" s="1" t="s">
        <v>28988</v>
      </c>
      <c r="GW38" s="1" t="s">
        <v>28989</v>
      </c>
      <c r="GX38" s="1" t="s">
        <v>28990</v>
      </c>
      <c r="GY38" s="1" t="s">
        <v>28991</v>
      </c>
      <c r="GZ38" s="1" t="s">
        <v>28992</v>
      </c>
      <c r="HA38" s="1" t="s">
        <v>28993</v>
      </c>
      <c r="HB38" s="1" t="s">
        <v>28994</v>
      </c>
      <c r="HC38" s="1" t="s">
        <v>28995</v>
      </c>
      <c r="HD38" s="1" t="s">
        <v>28996</v>
      </c>
      <c r="HE38" s="1" t="s">
        <v>28997</v>
      </c>
      <c r="HF38" s="1" t="s">
        <v>28998</v>
      </c>
      <c r="HG38" s="1" t="s">
        <v>28999</v>
      </c>
      <c r="HH38" s="1" t="s">
        <v>29000</v>
      </c>
      <c r="HI38" s="1" t="s">
        <v>29001</v>
      </c>
      <c r="HJ38" s="1" t="s">
        <v>29002</v>
      </c>
      <c r="HK38" s="1" t="s">
        <v>29003</v>
      </c>
      <c r="HL38" s="1" t="s">
        <v>29004</v>
      </c>
      <c r="HM38" s="1" t="s">
        <v>29005</v>
      </c>
      <c r="HN38" s="1" t="s">
        <v>29006</v>
      </c>
      <c r="HO38" s="1" t="s">
        <v>29007</v>
      </c>
      <c r="HP38" s="1" t="s">
        <v>29008</v>
      </c>
      <c r="HQ38" s="1" t="s">
        <v>29009</v>
      </c>
      <c r="HR38" s="1" t="s">
        <v>29010</v>
      </c>
      <c r="HS38" s="1" t="s">
        <v>29011</v>
      </c>
      <c r="HT38" s="1" t="s">
        <v>29012</v>
      </c>
      <c r="HU38" s="1" t="s">
        <v>29013</v>
      </c>
      <c r="HV38" s="1" t="s">
        <v>29014</v>
      </c>
      <c r="HW38" s="1" t="s">
        <v>29015</v>
      </c>
      <c r="HX38" s="1" t="s">
        <v>29016</v>
      </c>
      <c r="HY38" s="1" t="s">
        <v>29017</v>
      </c>
      <c r="HZ38" s="1" t="s">
        <v>29018</v>
      </c>
      <c r="IA38" s="1" t="s">
        <v>29019</v>
      </c>
      <c r="IB38" s="1" t="s">
        <v>29020</v>
      </c>
      <c r="IC38" s="1" t="s">
        <v>29021</v>
      </c>
      <c r="ID38" s="1" t="s">
        <v>29022</v>
      </c>
      <c r="IE38" s="1" t="s">
        <v>29023</v>
      </c>
      <c r="IF38" s="1" t="s">
        <v>29024</v>
      </c>
      <c r="IG38" s="1" t="s">
        <v>29025</v>
      </c>
      <c r="IH38" s="1" t="s">
        <v>29026</v>
      </c>
      <c r="II38" s="1" t="s">
        <v>29027</v>
      </c>
      <c r="IJ38" s="1" t="s">
        <v>29028</v>
      </c>
      <c r="IK38" s="1" t="s">
        <v>29029</v>
      </c>
      <c r="IL38" s="1" t="s">
        <v>29030</v>
      </c>
      <c r="IM38" s="1" t="s">
        <v>29031</v>
      </c>
      <c r="IN38" s="1" t="s">
        <v>29032</v>
      </c>
      <c r="IO38" s="1" t="s">
        <v>29033</v>
      </c>
      <c r="IP38" s="1" t="s">
        <v>29034</v>
      </c>
      <c r="IQ38" s="1" t="s">
        <v>29035</v>
      </c>
      <c r="IR38" s="1" t="s">
        <v>29036</v>
      </c>
      <c r="IS38" s="1" t="s">
        <v>29037</v>
      </c>
      <c r="IT38" s="1" t="s">
        <v>29038</v>
      </c>
      <c r="IU38" s="1" t="s">
        <v>29039</v>
      </c>
      <c r="IV38" s="1" t="s">
        <v>29040</v>
      </c>
      <c r="IW38" s="1" t="s">
        <v>29041</v>
      </c>
      <c r="IX38" s="1" t="s">
        <v>29042</v>
      </c>
      <c r="IY38" s="1" t="s">
        <v>29043</v>
      </c>
      <c r="IZ38" s="1" t="s">
        <v>29044</v>
      </c>
      <c r="JA38" s="1" t="s">
        <v>29045</v>
      </c>
      <c r="JB38" s="1" t="s">
        <v>29046</v>
      </c>
      <c r="JC38" s="1" t="s">
        <v>29047</v>
      </c>
      <c r="JD38" s="1" t="s">
        <v>29048</v>
      </c>
      <c r="JE38" s="1" t="s">
        <v>29049</v>
      </c>
      <c r="JF38" s="1" t="s">
        <v>29050</v>
      </c>
      <c r="JG38" s="1" t="s">
        <v>29051</v>
      </c>
      <c r="JH38" s="1" t="s">
        <v>29052</v>
      </c>
      <c r="JI38" s="1" t="s">
        <v>29053</v>
      </c>
      <c r="JJ38" s="1" t="s">
        <v>29054</v>
      </c>
      <c r="JK38" s="1" t="s">
        <v>29055</v>
      </c>
      <c r="JL38" s="1" t="s">
        <v>29056</v>
      </c>
      <c r="JM38" s="1" t="s">
        <v>29057</v>
      </c>
      <c r="JN38" s="1" t="s">
        <v>29058</v>
      </c>
      <c r="JO38" s="1" t="s">
        <v>29059</v>
      </c>
      <c r="JP38" s="1" t="s">
        <v>29060</v>
      </c>
      <c r="JQ38" s="1" t="s">
        <v>29061</v>
      </c>
      <c r="JR38" s="1" t="s">
        <v>29062</v>
      </c>
      <c r="JS38" s="1" t="s">
        <v>29063</v>
      </c>
      <c r="JT38" s="1" t="s">
        <v>29064</v>
      </c>
      <c r="JU38" s="1" t="s">
        <v>29065</v>
      </c>
      <c r="JV38" s="1" t="s">
        <v>29066</v>
      </c>
      <c r="JW38" s="1" t="s">
        <v>29067</v>
      </c>
      <c r="JX38" s="1" t="s">
        <v>29068</v>
      </c>
      <c r="JY38" s="1" t="s">
        <v>29069</v>
      </c>
      <c r="JZ38" s="1" t="s">
        <v>29070</v>
      </c>
      <c r="KA38" s="1" t="s">
        <v>29071</v>
      </c>
      <c r="KB38" s="1" t="s">
        <v>29072</v>
      </c>
      <c r="KC38" s="1" t="s">
        <v>29073</v>
      </c>
      <c r="KD38" s="1" t="s">
        <v>29074</v>
      </c>
      <c r="KE38" s="1" t="s">
        <v>29075</v>
      </c>
      <c r="KF38" s="1" t="s">
        <v>29076</v>
      </c>
      <c r="KG38" s="1" t="s">
        <v>29077</v>
      </c>
      <c r="KH38" s="1" t="s">
        <v>29078</v>
      </c>
      <c r="KI38" s="1" t="s">
        <v>29079</v>
      </c>
      <c r="KJ38" s="1" t="s">
        <v>29080</v>
      </c>
      <c r="KK38" s="1" t="s">
        <v>29081</v>
      </c>
      <c r="KL38" s="1" t="s">
        <v>29082</v>
      </c>
      <c r="KM38" s="1" t="s">
        <v>29083</v>
      </c>
      <c r="KN38" s="1" t="s">
        <v>29084</v>
      </c>
      <c r="KO38" s="1" t="s">
        <v>29085</v>
      </c>
      <c r="KP38" s="1" t="s">
        <v>29086</v>
      </c>
      <c r="KQ38" s="1" t="s">
        <v>29087</v>
      </c>
      <c r="KR38" s="1" t="s">
        <v>29088</v>
      </c>
      <c r="KS38" s="1" t="s">
        <v>29089</v>
      </c>
      <c r="KT38" s="1" t="s">
        <v>29090</v>
      </c>
      <c r="KU38" s="1" t="s">
        <v>29091</v>
      </c>
      <c r="KV38" s="1" t="s">
        <v>29092</v>
      </c>
      <c r="KW38" s="1" t="s">
        <v>29093</v>
      </c>
      <c r="KX38" s="1" t="s">
        <v>29094</v>
      </c>
      <c r="KY38" s="1" t="s">
        <v>29095</v>
      </c>
      <c r="KZ38" s="1" t="s">
        <v>29096</v>
      </c>
      <c r="LA38" s="1" t="s">
        <v>29097</v>
      </c>
      <c r="LB38" s="1" t="s">
        <v>29098</v>
      </c>
      <c r="LC38" s="1" t="s">
        <v>29099</v>
      </c>
      <c r="LD38" s="1" t="s">
        <v>29100</v>
      </c>
      <c r="LE38" s="1" t="s">
        <v>29101</v>
      </c>
      <c r="LF38" s="1" t="s">
        <v>29102</v>
      </c>
      <c r="LG38" s="1" t="s">
        <v>29103</v>
      </c>
      <c r="LH38" s="1" t="s">
        <v>29104</v>
      </c>
      <c r="LI38" s="1" t="s">
        <v>29105</v>
      </c>
      <c r="LJ38" s="1" t="s">
        <v>29106</v>
      </c>
      <c r="LK38" s="1" t="s">
        <v>29107</v>
      </c>
      <c r="LL38" s="1" t="s">
        <v>29108</v>
      </c>
      <c r="LM38" s="1" t="s">
        <v>29109</v>
      </c>
      <c r="LN38" s="1" t="s">
        <v>29110</v>
      </c>
      <c r="LO38" s="1" t="s">
        <v>29111</v>
      </c>
      <c r="LP38" s="1" t="s">
        <v>29112</v>
      </c>
      <c r="LQ38" s="1" t="s">
        <v>29113</v>
      </c>
      <c r="LR38" s="1" t="s">
        <v>29114</v>
      </c>
      <c r="LS38" s="1" t="s">
        <v>29115</v>
      </c>
      <c r="LT38" s="1" t="s">
        <v>29116</v>
      </c>
      <c r="LU38" s="1" t="s">
        <v>29117</v>
      </c>
      <c r="LV38" s="1" t="s">
        <v>29118</v>
      </c>
      <c r="LW38" s="1" t="s">
        <v>29119</v>
      </c>
      <c r="LX38" s="1" t="s">
        <v>29120</v>
      </c>
      <c r="LY38" s="1" t="s">
        <v>29121</v>
      </c>
      <c r="LZ38" s="1" t="s">
        <v>29122</v>
      </c>
      <c r="MA38" s="1" t="s">
        <v>29123</v>
      </c>
      <c r="MB38" s="1" t="s">
        <v>29124</v>
      </c>
      <c r="MC38" s="1" t="s">
        <v>29125</v>
      </c>
      <c r="MD38" s="1" t="s">
        <v>29126</v>
      </c>
      <c r="ME38" s="1" t="s">
        <v>29127</v>
      </c>
      <c r="MF38" s="1" t="s">
        <v>29128</v>
      </c>
      <c r="MG38" s="1" t="s">
        <v>29129</v>
      </c>
      <c r="MH38" s="1" t="s">
        <v>29130</v>
      </c>
      <c r="MI38" s="1" t="s">
        <v>29131</v>
      </c>
      <c r="MJ38" s="1" t="s">
        <v>29132</v>
      </c>
      <c r="MK38" s="1" t="s">
        <v>29133</v>
      </c>
      <c r="ML38" s="1" t="s">
        <v>29134</v>
      </c>
      <c r="MM38" s="1" t="s">
        <v>29135</v>
      </c>
      <c r="MN38" s="1" t="s">
        <v>29136</v>
      </c>
      <c r="MO38" s="1" t="s">
        <v>29137</v>
      </c>
      <c r="MP38" s="1" t="s">
        <v>29138</v>
      </c>
      <c r="MQ38" s="1" t="s">
        <v>29139</v>
      </c>
      <c r="MR38" s="1" t="s">
        <v>29140</v>
      </c>
      <c r="MS38" s="1" t="s">
        <v>29141</v>
      </c>
      <c r="MT38" s="1" t="s">
        <v>29142</v>
      </c>
      <c r="MU38" s="1" t="s">
        <v>29143</v>
      </c>
      <c r="MV38" s="1" t="s">
        <v>29144</v>
      </c>
      <c r="MW38" s="1" t="s">
        <v>29145</v>
      </c>
      <c r="MX38" s="1" t="s">
        <v>29146</v>
      </c>
      <c r="MY38" s="1" t="s">
        <v>29147</v>
      </c>
      <c r="MZ38" s="1" t="s">
        <v>29148</v>
      </c>
      <c r="NA38" s="1" t="s">
        <v>29149</v>
      </c>
      <c r="NB38" s="1" t="s">
        <v>29150</v>
      </c>
      <c r="NC38" s="1" t="s">
        <v>29151</v>
      </c>
      <c r="ND38" s="1" t="s">
        <v>29152</v>
      </c>
      <c r="NE38" s="1" t="s">
        <v>29153</v>
      </c>
      <c r="NF38" s="1" t="s">
        <v>29154</v>
      </c>
      <c r="NG38" s="1" t="s">
        <v>29155</v>
      </c>
      <c r="NH38" s="1" t="s">
        <v>29156</v>
      </c>
      <c r="NI38" s="1" t="s">
        <v>29157</v>
      </c>
      <c r="NJ38" s="1" t="s">
        <v>29158</v>
      </c>
      <c r="NK38" s="1" t="s">
        <v>29159</v>
      </c>
      <c r="NL38" s="1" t="s">
        <v>29160</v>
      </c>
      <c r="NM38" s="1" t="s">
        <v>29161</v>
      </c>
      <c r="NN38" s="1" t="s">
        <v>29162</v>
      </c>
      <c r="NO38" s="1" t="s">
        <v>29163</v>
      </c>
      <c r="NP38" s="1" t="s">
        <v>29164</v>
      </c>
      <c r="NQ38" s="1" t="s">
        <v>29165</v>
      </c>
      <c r="NR38" s="1" t="s">
        <v>29166</v>
      </c>
      <c r="NS38" s="1" t="s">
        <v>29167</v>
      </c>
      <c r="NT38" s="1" t="s">
        <v>29168</v>
      </c>
      <c r="NU38" s="1" t="s">
        <v>29169</v>
      </c>
      <c r="NV38" s="1" t="s">
        <v>29170</v>
      </c>
      <c r="NW38" s="1" t="s">
        <v>29171</v>
      </c>
      <c r="NX38" s="1" t="s">
        <v>29172</v>
      </c>
      <c r="NY38" s="1" t="s">
        <v>29173</v>
      </c>
      <c r="NZ38" s="1" t="s">
        <v>29174</v>
      </c>
      <c r="OA38" s="1" t="s">
        <v>29175</v>
      </c>
      <c r="OB38" s="1" t="s">
        <v>29176</v>
      </c>
      <c r="OC38" s="1" t="s">
        <v>29177</v>
      </c>
      <c r="OD38" s="1" t="s">
        <v>29178</v>
      </c>
      <c r="OE38" s="1" t="s">
        <v>29179</v>
      </c>
      <c r="OF38" s="1" t="s">
        <v>29180</v>
      </c>
      <c r="OG38" s="1" t="s">
        <v>29181</v>
      </c>
      <c r="OH38" s="1" t="s">
        <v>29182</v>
      </c>
      <c r="OI38" s="1" t="s">
        <v>29183</v>
      </c>
      <c r="OJ38" s="1" t="s">
        <v>29184</v>
      </c>
      <c r="OK38" s="1" t="s">
        <v>29185</v>
      </c>
      <c r="OL38" s="1" t="s">
        <v>29186</v>
      </c>
      <c r="OM38" s="1" t="s">
        <v>29187</v>
      </c>
      <c r="ON38" s="1" t="s">
        <v>29188</v>
      </c>
      <c r="OO38" s="1" t="s">
        <v>29189</v>
      </c>
      <c r="OP38" s="1" t="s">
        <v>29190</v>
      </c>
      <c r="OQ38" s="1" t="s">
        <v>29191</v>
      </c>
      <c r="OR38" s="1" t="s">
        <v>29192</v>
      </c>
      <c r="OS38" s="1" t="s">
        <v>29193</v>
      </c>
      <c r="OT38" s="1" t="s">
        <v>29194</v>
      </c>
      <c r="OU38" s="1" t="s">
        <v>29195</v>
      </c>
      <c r="OV38" s="1" t="s">
        <v>29196</v>
      </c>
      <c r="OW38" s="1" t="s">
        <v>29197</v>
      </c>
      <c r="OX38" s="1" t="s">
        <v>29198</v>
      </c>
      <c r="OY38" s="1" t="s">
        <v>29199</v>
      </c>
      <c r="OZ38" s="1" t="s">
        <v>29200</v>
      </c>
      <c r="PA38" s="1" t="s">
        <v>29201</v>
      </c>
      <c r="PB38" s="1" t="s">
        <v>29202</v>
      </c>
      <c r="PC38" s="1" t="s">
        <v>29203</v>
      </c>
      <c r="PD38" s="1" t="s">
        <v>29204</v>
      </c>
      <c r="PE38" s="1" t="s">
        <v>29205</v>
      </c>
      <c r="PF38" s="1" t="s">
        <v>29206</v>
      </c>
      <c r="PG38" s="1" t="s">
        <v>29207</v>
      </c>
      <c r="PH38" s="1" t="s">
        <v>29208</v>
      </c>
      <c r="PI38" s="1" t="s">
        <v>29209</v>
      </c>
      <c r="PJ38" s="1" t="s">
        <v>29210</v>
      </c>
      <c r="PK38" s="1" t="s">
        <v>29211</v>
      </c>
      <c r="PL38" s="1" t="s">
        <v>29212</v>
      </c>
      <c r="PM38" s="1" t="s">
        <v>29213</v>
      </c>
      <c r="PN38" s="1" t="s">
        <v>29214</v>
      </c>
      <c r="PO38" s="1" t="s">
        <v>29215</v>
      </c>
      <c r="PP38" s="1" t="s">
        <v>29216</v>
      </c>
      <c r="PQ38" s="1" t="s">
        <v>29217</v>
      </c>
      <c r="PR38" s="1" t="s">
        <v>29218</v>
      </c>
      <c r="PS38" s="1" t="s">
        <v>29219</v>
      </c>
      <c r="PT38" s="1" t="s">
        <v>29220</v>
      </c>
      <c r="PU38" s="1" t="s">
        <v>29221</v>
      </c>
      <c r="PV38" s="1" t="s">
        <v>29222</v>
      </c>
      <c r="PW38" s="1" t="s">
        <v>29223</v>
      </c>
      <c r="PX38" s="1" t="s">
        <v>29224</v>
      </c>
      <c r="PY38" s="1" t="s">
        <v>29225</v>
      </c>
      <c r="PZ38" s="1" t="s">
        <v>29226</v>
      </c>
      <c r="QA38" s="1" t="s">
        <v>29227</v>
      </c>
      <c r="QB38" s="1" t="s">
        <v>29228</v>
      </c>
      <c r="QC38" s="1" t="s">
        <v>29229</v>
      </c>
      <c r="QD38" s="1" t="s">
        <v>29230</v>
      </c>
      <c r="QE38" s="1" t="s">
        <v>29231</v>
      </c>
      <c r="QF38" s="1" t="s">
        <v>29232</v>
      </c>
      <c r="QG38" s="1" t="s">
        <v>29233</v>
      </c>
      <c r="QH38" s="1" t="s">
        <v>29234</v>
      </c>
      <c r="QI38" s="1" t="s">
        <v>29235</v>
      </c>
      <c r="QJ38" s="1" t="s">
        <v>29236</v>
      </c>
      <c r="QK38" s="1" t="s">
        <v>29237</v>
      </c>
      <c r="QL38" s="1" t="s">
        <v>29238</v>
      </c>
      <c r="QM38" s="1" t="s">
        <v>29239</v>
      </c>
      <c r="QN38" s="1" t="s">
        <v>29240</v>
      </c>
      <c r="QO38" s="1" t="s">
        <v>29241</v>
      </c>
      <c r="QP38" s="1" t="s">
        <v>29242</v>
      </c>
      <c r="QQ38" s="1" t="s">
        <v>29243</v>
      </c>
      <c r="QR38" s="1" t="s">
        <v>29244</v>
      </c>
      <c r="QS38" s="1" t="s">
        <v>29245</v>
      </c>
      <c r="QT38" s="1" t="s">
        <v>29246</v>
      </c>
      <c r="QU38" s="1" t="s">
        <v>29247</v>
      </c>
      <c r="QV38" s="1" t="s">
        <v>29248</v>
      </c>
      <c r="QW38" s="1" t="s">
        <v>29249</v>
      </c>
      <c r="QX38" s="1" t="s">
        <v>29250</v>
      </c>
      <c r="QY38" s="1" t="s">
        <v>29251</v>
      </c>
      <c r="QZ38" s="1" t="s">
        <v>29252</v>
      </c>
      <c r="RA38" s="1" t="s">
        <v>29253</v>
      </c>
      <c r="RB38" s="1" t="s">
        <v>29254</v>
      </c>
      <c r="RC38" s="1" t="s">
        <v>29255</v>
      </c>
      <c r="RD38" s="1" t="s">
        <v>29256</v>
      </c>
      <c r="RE38" s="1" t="s">
        <v>29257</v>
      </c>
      <c r="RF38" s="1" t="s">
        <v>29258</v>
      </c>
      <c r="RG38" s="1" t="s">
        <v>29259</v>
      </c>
      <c r="RH38" s="1" t="s">
        <v>29260</v>
      </c>
      <c r="RI38" s="1" t="s">
        <v>29261</v>
      </c>
      <c r="RJ38" s="1" t="s">
        <v>29262</v>
      </c>
      <c r="RK38" s="1" t="s">
        <v>29263</v>
      </c>
      <c r="RL38" s="1" t="s">
        <v>29264</v>
      </c>
      <c r="RM38" s="1" t="s">
        <v>29265</v>
      </c>
      <c r="RN38" s="1" t="s">
        <v>29266</v>
      </c>
      <c r="RO38" s="1" t="s">
        <v>29267</v>
      </c>
      <c r="RP38" s="1" t="s">
        <v>29268</v>
      </c>
      <c r="RQ38" s="1" t="s">
        <v>29269</v>
      </c>
      <c r="RR38" s="1" t="s">
        <v>29270</v>
      </c>
      <c r="RS38" s="1" t="s">
        <v>29271</v>
      </c>
      <c r="RT38" s="1" t="s">
        <v>29272</v>
      </c>
      <c r="RU38" s="1" t="s">
        <v>29273</v>
      </c>
      <c r="RV38" s="1" t="s">
        <v>29274</v>
      </c>
      <c r="RW38" s="1" t="s">
        <v>29275</v>
      </c>
      <c r="RX38" s="1" t="s">
        <v>29276</v>
      </c>
      <c r="RY38" s="1" t="s">
        <v>29277</v>
      </c>
      <c r="RZ38" s="1" t="s">
        <v>29278</v>
      </c>
      <c r="SA38" s="1" t="s">
        <v>29279</v>
      </c>
      <c r="SB38" s="1" t="s">
        <v>29280</v>
      </c>
      <c r="SC38" s="1" t="s">
        <v>29281</v>
      </c>
      <c r="SD38" s="1" t="s">
        <v>29282</v>
      </c>
      <c r="SE38" s="1" t="s">
        <v>29283</v>
      </c>
      <c r="SF38" s="1" t="s">
        <v>29284</v>
      </c>
      <c r="SG38" s="1" t="s">
        <v>29285</v>
      </c>
      <c r="SH38" s="1" t="s">
        <v>29286</v>
      </c>
      <c r="SI38" s="1" t="s">
        <v>29287</v>
      </c>
      <c r="SJ38" s="1" t="s">
        <v>29288</v>
      </c>
      <c r="SK38" s="1" t="s">
        <v>29289</v>
      </c>
      <c r="SL38" s="1" t="s">
        <v>29290</v>
      </c>
      <c r="SM38" s="1" t="s">
        <v>29291</v>
      </c>
      <c r="SN38" s="1" t="s">
        <v>29292</v>
      </c>
      <c r="SO38" s="1" t="s">
        <v>29293</v>
      </c>
      <c r="SP38" s="1" t="s">
        <v>29294</v>
      </c>
      <c r="SQ38" s="1" t="s">
        <v>29295</v>
      </c>
      <c r="SR38" s="1" t="s">
        <v>29296</v>
      </c>
      <c r="SS38" s="1" t="s">
        <v>29297</v>
      </c>
      <c r="ST38" s="1" t="s">
        <v>29298</v>
      </c>
      <c r="SU38" s="1" t="s">
        <v>29299</v>
      </c>
      <c r="SV38" s="1" t="s">
        <v>29300</v>
      </c>
      <c r="SW38" s="1" t="s">
        <v>29301</v>
      </c>
      <c r="SX38" s="1" t="s">
        <v>29302</v>
      </c>
      <c r="SY38" s="1" t="s">
        <v>29303</v>
      </c>
      <c r="SZ38" s="1" t="s">
        <v>29304</v>
      </c>
      <c r="TA38" s="1" t="s">
        <v>29305</v>
      </c>
      <c r="TB38" s="1" t="s">
        <v>29306</v>
      </c>
      <c r="TC38" s="1" t="s">
        <v>29307</v>
      </c>
      <c r="TD38" s="1" t="s">
        <v>29308</v>
      </c>
      <c r="TE38" s="1" t="s">
        <v>29309</v>
      </c>
      <c r="TF38" s="1" t="s">
        <v>29310</v>
      </c>
      <c r="TG38" s="1" t="s">
        <v>29311</v>
      </c>
      <c r="TH38" s="1" t="s">
        <v>29312</v>
      </c>
      <c r="TI38" s="1" t="s">
        <v>29313</v>
      </c>
      <c r="TJ38" s="1" t="s">
        <v>29314</v>
      </c>
      <c r="TK38" s="1" t="s">
        <v>29315</v>
      </c>
      <c r="TL38" s="1" t="s">
        <v>29316</v>
      </c>
      <c r="TM38" s="1" t="s">
        <v>29317</v>
      </c>
      <c r="TN38" s="1" t="s">
        <v>29318</v>
      </c>
      <c r="TO38" s="1" t="s">
        <v>29319</v>
      </c>
      <c r="TP38" s="1" t="s">
        <v>29320</v>
      </c>
      <c r="TQ38" s="1" t="s">
        <v>29321</v>
      </c>
      <c r="TR38" s="1" t="s">
        <v>29322</v>
      </c>
      <c r="TS38" s="1" t="s">
        <v>29323</v>
      </c>
      <c r="TT38" s="1" t="s">
        <v>29324</v>
      </c>
      <c r="TU38" s="1" t="s">
        <v>29325</v>
      </c>
      <c r="TV38" s="1" t="s">
        <v>29326</v>
      </c>
      <c r="TW38" s="1" t="s">
        <v>29327</v>
      </c>
      <c r="TX38" s="1" t="s">
        <v>29328</v>
      </c>
      <c r="TY38" s="1" t="s">
        <v>29329</v>
      </c>
      <c r="TZ38" s="1" t="s">
        <v>29330</v>
      </c>
      <c r="UA38" s="1" t="s">
        <v>29331</v>
      </c>
      <c r="UB38" s="1" t="s">
        <v>29332</v>
      </c>
      <c r="UC38" s="1" t="s">
        <v>29333</v>
      </c>
      <c r="UD38" s="1" t="s">
        <v>29334</v>
      </c>
      <c r="UE38" s="1" t="s">
        <v>29335</v>
      </c>
      <c r="UF38" s="1" t="s">
        <v>29336</v>
      </c>
      <c r="UG38" s="1" t="s">
        <v>29337</v>
      </c>
      <c r="UH38" s="1" t="s">
        <v>29338</v>
      </c>
      <c r="UI38" s="1" t="s">
        <v>29339</v>
      </c>
      <c r="UJ38" s="1" t="s">
        <v>29340</v>
      </c>
      <c r="UK38" s="1" t="s">
        <v>29341</v>
      </c>
      <c r="UL38" s="1" t="s">
        <v>29342</v>
      </c>
      <c r="UM38" s="1" t="s">
        <v>29343</v>
      </c>
      <c r="UN38" s="1" t="s">
        <v>29344</v>
      </c>
      <c r="UO38" s="1" t="s">
        <v>29345</v>
      </c>
      <c r="UP38" s="1" t="s">
        <v>29346</v>
      </c>
      <c r="UQ38" s="1" t="s">
        <v>29347</v>
      </c>
      <c r="UR38" s="1" t="s">
        <v>29348</v>
      </c>
      <c r="US38" s="1" t="s">
        <v>29349</v>
      </c>
      <c r="UT38" s="1" t="s">
        <v>29350</v>
      </c>
      <c r="UU38" s="1" t="s">
        <v>29351</v>
      </c>
      <c r="UV38" s="1" t="s">
        <v>29352</v>
      </c>
      <c r="UW38" s="1" t="s">
        <v>29353</v>
      </c>
      <c r="UX38" s="1" t="s">
        <v>29354</v>
      </c>
      <c r="UY38" s="1" t="s">
        <v>29355</v>
      </c>
      <c r="UZ38" s="1" t="s">
        <v>29356</v>
      </c>
      <c r="VA38" s="1" t="s">
        <v>29357</v>
      </c>
      <c r="VB38" s="1" t="s">
        <v>29358</v>
      </c>
      <c r="VC38" s="1" t="s">
        <v>29359</v>
      </c>
      <c r="VD38" s="1" t="s">
        <v>29360</v>
      </c>
      <c r="VE38" s="1" t="s">
        <v>29361</v>
      </c>
      <c r="VF38" s="1" t="s">
        <v>29362</v>
      </c>
      <c r="VG38" s="1" t="s">
        <v>29363</v>
      </c>
      <c r="VH38" s="1" t="s">
        <v>29364</v>
      </c>
      <c r="VI38" s="1" t="s">
        <v>29365</v>
      </c>
      <c r="VJ38" s="1" t="s">
        <v>29366</v>
      </c>
      <c r="VK38" s="1" t="s">
        <v>29367</v>
      </c>
      <c r="VL38" s="1" t="s">
        <v>29368</v>
      </c>
      <c r="VM38" s="1" t="s">
        <v>29369</v>
      </c>
      <c r="VN38" s="1" t="s">
        <v>29370</v>
      </c>
      <c r="VO38" s="1" t="s">
        <v>29371</v>
      </c>
      <c r="VP38" s="1" t="s">
        <v>29372</v>
      </c>
      <c r="VQ38" s="1" t="s">
        <v>29373</v>
      </c>
      <c r="VR38" s="1" t="s">
        <v>29374</v>
      </c>
      <c r="VS38" s="1" t="s">
        <v>29375</v>
      </c>
      <c r="VT38" s="1" t="s">
        <v>29376</v>
      </c>
      <c r="VU38" s="1" t="s">
        <v>29377</v>
      </c>
      <c r="VV38" s="1" t="s">
        <v>29378</v>
      </c>
      <c r="VW38" s="1" t="s">
        <v>29379</v>
      </c>
      <c r="VX38" s="1" t="s">
        <v>29380</v>
      </c>
      <c r="VY38" s="1" t="s">
        <v>29381</v>
      </c>
      <c r="VZ38" s="1" t="s">
        <v>29382</v>
      </c>
      <c r="WA38" s="1" t="s">
        <v>29383</v>
      </c>
      <c r="WB38" s="1" t="s">
        <v>29384</v>
      </c>
      <c r="WC38" s="1" t="s">
        <v>29385</v>
      </c>
      <c r="WD38" s="1" t="s">
        <v>29386</v>
      </c>
      <c r="WE38" s="1" t="s">
        <v>29387</v>
      </c>
      <c r="WF38" s="1" t="s">
        <v>29388</v>
      </c>
      <c r="WG38" s="1" t="s">
        <v>29389</v>
      </c>
      <c r="WH38" s="1" t="s">
        <v>29390</v>
      </c>
      <c r="WI38" s="1" t="s">
        <v>29391</v>
      </c>
      <c r="WJ38" s="1" t="s">
        <v>29392</v>
      </c>
      <c r="WK38" s="1" t="s">
        <v>29393</v>
      </c>
      <c r="WL38" s="1" t="s">
        <v>29394</v>
      </c>
      <c r="WM38" s="1" t="s">
        <v>29395</v>
      </c>
      <c r="WN38" s="1" t="s">
        <v>29396</v>
      </c>
      <c r="WO38" s="1" t="s">
        <v>29397</v>
      </c>
      <c r="WP38" s="1" t="s">
        <v>29398</v>
      </c>
      <c r="WQ38" s="1" t="s">
        <v>29399</v>
      </c>
      <c r="WR38" s="1" t="s">
        <v>29400</v>
      </c>
      <c r="WS38" s="1" t="s">
        <v>29401</v>
      </c>
      <c r="WT38" s="1" t="s">
        <v>29402</v>
      </c>
      <c r="WU38" s="1" t="s">
        <v>29403</v>
      </c>
      <c r="WV38" s="1" t="s">
        <v>29404</v>
      </c>
      <c r="WW38" s="1" t="s">
        <v>29405</v>
      </c>
      <c r="WX38" s="1" t="s">
        <v>29406</v>
      </c>
      <c r="WY38" s="1" t="s">
        <v>29407</v>
      </c>
      <c r="WZ38" s="1" t="s">
        <v>29408</v>
      </c>
      <c r="XA38" s="1" t="s">
        <v>29409</v>
      </c>
      <c r="XB38" s="1" t="s">
        <v>29410</v>
      </c>
      <c r="XC38" s="1" t="s">
        <v>29411</v>
      </c>
      <c r="XD38" s="1" t="s">
        <v>29412</v>
      </c>
      <c r="XE38" s="1" t="s">
        <v>29413</v>
      </c>
      <c r="XF38" s="1" t="s">
        <v>29414</v>
      </c>
      <c r="XG38" s="1" t="s">
        <v>29415</v>
      </c>
      <c r="XH38" s="1" t="s">
        <v>29416</v>
      </c>
      <c r="XI38" s="1" t="s">
        <v>29417</v>
      </c>
      <c r="XJ38" s="1" t="s">
        <v>29418</v>
      </c>
      <c r="XK38" s="1" t="s">
        <v>29419</v>
      </c>
      <c r="XL38" s="1" t="s">
        <v>29420</v>
      </c>
      <c r="XM38" s="1" t="s">
        <v>29421</v>
      </c>
      <c r="XN38" s="1" t="s">
        <v>29422</v>
      </c>
      <c r="XO38" s="1" t="s">
        <v>29423</v>
      </c>
      <c r="XP38" s="1" t="s">
        <v>29424</v>
      </c>
      <c r="XQ38" s="1" t="s">
        <v>29425</v>
      </c>
      <c r="XR38" s="1" t="s">
        <v>29426</v>
      </c>
      <c r="XS38" s="1" t="s">
        <v>29427</v>
      </c>
      <c r="XT38" s="1" t="s">
        <v>29428</v>
      </c>
      <c r="XU38" s="1" t="s">
        <v>29429</v>
      </c>
      <c r="XV38" s="1" t="s">
        <v>29430</v>
      </c>
      <c r="XW38" s="1" t="s">
        <v>29431</v>
      </c>
      <c r="XX38" s="1" t="s">
        <v>29432</v>
      </c>
      <c r="XY38" s="1" t="s">
        <v>29433</v>
      </c>
      <c r="XZ38" s="1" t="s">
        <v>29434</v>
      </c>
      <c r="YA38" s="1" t="s">
        <v>29435</v>
      </c>
      <c r="YB38" s="1" t="s">
        <v>29436</v>
      </c>
      <c r="YC38" s="1" t="s">
        <v>29437</v>
      </c>
      <c r="YD38" s="1" t="s">
        <v>29438</v>
      </c>
      <c r="YE38" s="1" t="s">
        <v>29439</v>
      </c>
      <c r="YF38" s="1" t="s">
        <v>29440</v>
      </c>
      <c r="YG38" s="1" t="s">
        <v>29441</v>
      </c>
      <c r="YH38" s="1" t="s">
        <v>29442</v>
      </c>
      <c r="YI38" s="1" t="s">
        <v>29443</v>
      </c>
      <c r="YJ38" s="1" t="s">
        <v>29444</v>
      </c>
      <c r="YK38" s="1" t="s">
        <v>29445</v>
      </c>
      <c r="YL38" s="1" t="s">
        <v>29446</v>
      </c>
      <c r="YM38" s="1" t="s">
        <v>29447</v>
      </c>
      <c r="YN38" s="1" t="s">
        <v>29448</v>
      </c>
      <c r="YO38" s="1" t="s">
        <v>29449</v>
      </c>
      <c r="YP38" s="1" t="s">
        <v>29450</v>
      </c>
      <c r="YQ38" s="1" t="s">
        <v>29451</v>
      </c>
      <c r="YR38" s="1" t="s">
        <v>29452</v>
      </c>
      <c r="YS38" s="1" t="s">
        <v>29453</v>
      </c>
      <c r="YT38" s="1" t="s">
        <v>29454</v>
      </c>
      <c r="YU38" s="1" t="s">
        <v>29455</v>
      </c>
      <c r="YV38" s="1" t="s">
        <v>29456</v>
      </c>
      <c r="YW38" s="1" t="s">
        <v>29457</v>
      </c>
      <c r="YX38" s="1" t="s">
        <v>29458</v>
      </c>
      <c r="YY38" s="1" t="s">
        <v>29459</v>
      </c>
      <c r="YZ38" s="1" t="s">
        <v>29460</v>
      </c>
      <c r="ZA38" s="1" t="s">
        <v>29461</v>
      </c>
      <c r="ZB38" s="1" t="s">
        <v>29462</v>
      </c>
      <c r="ZC38" s="1" t="s">
        <v>29463</v>
      </c>
      <c r="ZD38" s="1" t="s">
        <v>29464</v>
      </c>
      <c r="ZE38" s="1" t="s">
        <v>29465</v>
      </c>
      <c r="ZF38" s="1" t="s">
        <v>29466</v>
      </c>
      <c r="ZG38" s="1" t="s">
        <v>29467</v>
      </c>
      <c r="ZH38" s="1" t="s">
        <v>29468</v>
      </c>
      <c r="ZI38" s="1" t="s">
        <v>29469</v>
      </c>
      <c r="ZJ38" s="1" t="s">
        <v>29470</v>
      </c>
      <c r="ZK38" s="1" t="s">
        <v>29471</v>
      </c>
      <c r="ZL38" s="1" t="s">
        <v>29472</v>
      </c>
      <c r="ZM38" s="1" t="s">
        <v>29473</v>
      </c>
      <c r="ZN38" s="1" t="s">
        <v>29474</v>
      </c>
      <c r="ZO38" s="1" t="s">
        <v>29475</v>
      </c>
      <c r="ZP38" s="1" t="s">
        <v>29476</v>
      </c>
      <c r="ZQ38" s="1" t="s">
        <v>29477</v>
      </c>
      <c r="ZR38" s="1" t="s">
        <v>29478</v>
      </c>
      <c r="ZS38" s="1" t="s">
        <v>29479</v>
      </c>
      <c r="ZT38" s="1" t="s">
        <v>29480</v>
      </c>
      <c r="ZU38" s="1" t="s">
        <v>29481</v>
      </c>
      <c r="ZV38" s="1" t="s">
        <v>29482</v>
      </c>
      <c r="ZW38" s="1" t="s">
        <v>29483</v>
      </c>
      <c r="ZX38" s="1" t="s">
        <v>29484</v>
      </c>
      <c r="ZY38" s="1" t="s">
        <v>29485</v>
      </c>
      <c r="ZZ38" s="1" t="s">
        <v>29486</v>
      </c>
      <c r="AAA38" s="1" t="s">
        <v>29487</v>
      </c>
      <c r="AAB38" s="1" t="s">
        <v>29488</v>
      </c>
      <c r="AAC38" s="1" t="s">
        <v>29489</v>
      </c>
      <c r="AAD38" s="1" t="s">
        <v>29490</v>
      </c>
      <c r="AAE38" s="1" t="s">
        <v>29491</v>
      </c>
      <c r="AAF38" s="1" t="s">
        <v>29492</v>
      </c>
      <c r="AAG38" s="1" t="s">
        <v>29493</v>
      </c>
      <c r="AAH38" s="1" t="s">
        <v>29494</v>
      </c>
      <c r="AAI38" s="1" t="s">
        <v>29495</v>
      </c>
      <c r="AAJ38" s="1" t="s">
        <v>29496</v>
      </c>
      <c r="AAK38" s="1" t="s">
        <v>29497</v>
      </c>
      <c r="AAL38" s="1" t="s">
        <v>29498</v>
      </c>
      <c r="AAM38" s="1" t="s">
        <v>29499</v>
      </c>
      <c r="AAN38" s="1" t="s">
        <v>29500</v>
      </c>
      <c r="AAO38" s="1" t="s">
        <v>29501</v>
      </c>
      <c r="AAP38" s="1" t="s">
        <v>29502</v>
      </c>
      <c r="AAQ38" s="1" t="s">
        <v>29503</v>
      </c>
      <c r="AAR38" s="1" t="s">
        <v>29504</v>
      </c>
      <c r="AAS38" s="1" t="s">
        <v>29505</v>
      </c>
      <c r="AAT38" s="1" t="s">
        <v>29506</v>
      </c>
      <c r="AAU38" s="1" t="s">
        <v>29507</v>
      </c>
      <c r="AAV38" s="1" t="s">
        <v>29508</v>
      </c>
      <c r="AAW38" s="1" t="s">
        <v>29509</v>
      </c>
      <c r="AAX38" s="1" t="s">
        <v>29510</v>
      </c>
      <c r="AAY38" s="1" t="s">
        <v>29511</v>
      </c>
      <c r="AAZ38" s="1" t="s">
        <v>29512</v>
      </c>
      <c r="ABA38" s="1" t="s">
        <v>29513</v>
      </c>
      <c r="ABB38" s="1" t="s">
        <v>29514</v>
      </c>
      <c r="ABC38" s="1" t="s">
        <v>29515</v>
      </c>
      <c r="ABD38" s="1" t="s">
        <v>29516</v>
      </c>
      <c r="ABE38" s="1" t="s">
        <v>29517</v>
      </c>
      <c r="ABF38" s="1" t="s">
        <v>29518</v>
      </c>
      <c r="ABG38" s="1" t="s">
        <v>29519</v>
      </c>
      <c r="ABH38" s="1" t="s">
        <v>29520</v>
      </c>
      <c r="ABI38" s="1" t="s">
        <v>29521</v>
      </c>
      <c r="ABJ38" s="1" t="s">
        <v>29522</v>
      </c>
      <c r="ABK38" s="1" t="s">
        <v>29523</v>
      </c>
      <c r="ABL38" s="1" t="s">
        <v>29524</v>
      </c>
      <c r="ABM38" s="1" t="s">
        <v>29525</v>
      </c>
      <c r="ABN38" s="1" t="s">
        <v>29526</v>
      </c>
      <c r="ABO38" s="1" t="s">
        <v>29527</v>
      </c>
      <c r="ABP38" s="1" t="s">
        <v>29528</v>
      </c>
      <c r="ABQ38" s="1" t="s">
        <v>29529</v>
      </c>
      <c r="ABR38" s="1" t="s">
        <v>29530</v>
      </c>
      <c r="ABS38" s="1" t="s">
        <v>29531</v>
      </c>
      <c r="ABT38" s="1" t="s">
        <v>29532</v>
      </c>
      <c r="ABU38" s="1" t="s">
        <v>29533</v>
      </c>
      <c r="ABV38" s="1" t="s">
        <v>29534</v>
      </c>
      <c r="ABW38" s="1" t="s">
        <v>29535</v>
      </c>
      <c r="ABX38" s="1" t="s">
        <v>29536</v>
      </c>
      <c r="ABY38" s="1" t="s">
        <v>29537</v>
      </c>
      <c r="ABZ38" s="1" t="s">
        <v>29538</v>
      </c>
      <c r="ACA38" s="1" t="s">
        <v>29539</v>
      </c>
      <c r="ACB38" s="1" t="s">
        <v>29540</v>
      </c>
      <c r="ACC38" s="1" t="s">
        <v>29541</v>
      </c>
      <c r="ACD38" s="1" t="s">
        <v>29542</v>
      </c>
      <c r="ACE38" s="1" t="s">
        <v>29543</v>
      </c>
      <c r="ACF38" s="1" t="s">
        <v>29544</v>
      </c>
      <c r="ACG38" s="1" t="s">
        <v>29545</v>
      </c>
      <c r="ACH38" s="1" t="s">
        <v>29546</v>
      </c>
      <c r="ACI38" s="1" t="s">
        <v>29547</v>
      </c>
      <c r="ACJ38" s="1" t="s">
        <v>29548</v>
      </c>
      <c r="ACK38" s="1" t="s">
        <v>29549</v>
      </c>
      <c r="ACL38" s="1" t="s">
        <v>29550</v>
      </c>
      <c r="ACM38" s="1" t="s">
        <v>29551</v>
      </c>
      <c r="ACN38" s="1" t="s">
        <v>29552</v>
      </c>
      <c r="ACO38" s="1" t="s">
        <v>29553</v>
      </c>
      <c r="ACP38" s="1" t="s">
        <v>29554</v>
      </c>
      <c r="ACQ38" s="1" t="s">
        <v>29555</v>
      </c>
      <c r="ACR38" s="1" t="s">
        <v>29556</v>
      </c>
      <c r="ACS38" s="1" t="s">
        <v>29557</v>
      </c>
      <c r="ACT38" s="1" t="s">
        <v>29558</v>
      </c>
      <c r="ACU38" s="1" t="s">
        <v>29559</v>
      </c>
      <c r="ACV38" s="1" t="s">
        <v>29560</v>
      </c>
      <c r="ACW38" s="1" t="s">
        <v>23</v>
      </c>
      <c r="ACX38" s="1" t="s">
        <v>6310</v>
      </c>
    </row>
    <row r="39" spans="1:778" x14ac:dyDescent="0.2">
      <c r="A39" s="1" t="s">
        <v>49</v>
      </c>
      <c r="B39" s="1" t="s">
        <v>29561</v>
      </c>
      <c r="C39" s="1" t="s">
        <v>29562</v>
      </c>
      <c r="D39" s="1" t="s">
        <v>29563</v>
      </c>
      <c r="E39" s="1" t="s">
        <v>29564</v>
      </c>
      <c r="F39" s="1" t="s">
        <v>29565</v>
      </c>
      <c r="G39" s="1" t="s">
        <v>29566</v>
      </c>
      <c r="H39" s="1" t="s">
        <v>29567</v>
      </c>
      <c r="I39" s="1" t="s">
        <v>29568</v>
      </c>
      <c r="J39" s="1" t="s">
        <v>29569</v>
      </c>
      <c r="K39" s="1" t="s">
        <v>29570</v>
      </c>
      <c r="L39" s="1" t="s">
        <v>29571</v>
      </c>
      <c r="M39" s="1" t="s">
        <v>29572</v>
      </c>
      <c r="N39" s="1" t="s">
        <v>29573</v>
      </c>
      <c r="O39" s="1" t="s">
        <v>29574</v>
      </c>
      <c r="P39" s="1" t="s">
        <v>29575</v>
      </c>
      <c r="Q39" s="1" t="s">
        <v>29576</v>
      </c>
      <c r="R39" s="1" t="s">
        <v>29577</v>
      </c>
      <c r="S39" s="1" t="s">
        <v>29578</v>
      </c>
      <c r="T39" s="1" t="s">
        <v>29579</v>
      </c>
      <c r="U39" s="1" t="s">
        <v>29580</v>
      </c>
      <c r="V39" s="1" t="s">
        <v>29581</v>
      </c>
      <c r="W39" s="1" t="s">
        <v>29582</v>
      </c>
      <c r="X39" s="1" t="s">
        <v>29583</v>
      </c>
      <c r="Y39" s="1" t="s">
        <v>29584</v>
      </c>
      <c r="Z39" s="1" t="s">
        <v>29585</v>
      </c>
      <c r="AA39" s="1" t="s">
        <v>29586</v>
      </c>
      <c r="AB39" s="1" t="s">
        <v>29587</v>
      </c>
      <c r="AC39" s="1" t="s">
        <v>29588</v>
      </c>
      <c r="AD39" s="1" t="s">
        <v>29589</v>
      </c>
      <c r="AE39" s="1" t="s">
        <v>29590</v>
      </c>
      <c r="AF39" s="1" t="s">
        <v>29591</v>
      </c>
      <c r="AG39" s="1" t="s">
        <v>29592</v>
      </c>
      <c r="AH39" s="1" t="s">
        <v>29593</v>
      </c>
      <c r="AI39" s="1" t="s">
        <v>29594</v>
      </c>
      <c r="AJ39" s="1" t="s">
        <v>29595</v>
      </c>
      <c r="AK39" s="1" t="s">
        <v>29596</v>
      </c>
      <c r="AL39" s="1" t="s">
        <v>29597</v>
      </c>
      <c r="AM39" s="1" t="s">
        <v>29598</v>
      </c>
      <c r="AN39" s="1" t="s">
        <v>29599</v>
      </c>
      <c r="AO39" s="1" t="s">
        <v>29600</v>
      </c>
      <c r="AP39" s="1" t="s">
        <v>29601</v>
      </c>
      <c r="AQ39" s="1" t="s">
        <v>29602</v>
      </c>
      <c r="AR39" s="1" t="s">
        <v>29603</v>
      </c>
      <c r="AS39" s="1" t="s">
        <v>29604</v>
      </c>
      <c r="AT39" s="1" t="s">
        <v>29605</v>
      </c>
      <c r="AU39" s="1" t="s">
        <v>29606</v>
      </c>
      <c r="AV39" s="1" t="s">
        <v>29607</v>
      </c>
      <c r="AW39" s="1" t="s">
        <v>29608</v>
      </c>
      <c r="AX39" s="1" t="s">
        <v>29609</v>
      </c>
      <c r="AY39" s="1" t="s">
        <v>29610</v>
      </c>
      <c r="AZ39" s="1" t="s">
        <v>29611</v>
      </c>
      <c r="BA39" s="1" t="s">
        <v>29612</v>
      </c>
      <c r="BB39" s="1" t="s">
        <v>29613</v>
      </c>
      <c r="BC39" s="1" t="s">
        <v>29614</v>
      </c>
      <c r="BD39" s="1" t="s">
        <v>29615</v>
      </c>
      <c r="BE39" s="1" t="s">
        <v>29616</v>
      </c>
      <c r="BF39" s="1" t="s">
        <v>29617</v>
      </c>
      <c r="BG39" s="1" t="s">
        <v>29618</v>
      </c>
      <c r="BH39" s="1" t="s">
        <v>29619</v>
      </c>
      <c r="BI39" s="1" t="s">
        <v>29620</v>
      </c>
      <c r="BJ39" s="1" t="s">
        <v>29621</v>
      </c>
      <c r="BK39" s="1" t="s">
        <v>29622</v>
      </c>
      <c r="BL39" s="1" t="s">
        <v>29623</v>
      </c>
      <c r="BM39" s="1" t="s">
        <v>29624</v>
      </c>
      <c r="BN39" s="1" t="s">
        <v>29625</v>
      </c>
      <c r="BO39" s="1" t="s">
        <v>29626</v>
      </c>
      <c r="BP39" s="1" t="s">
        <v>29627</v>
      </c>
      <c r="BQ39" s="1" t="s">
        <v>29628</v>
      </c>
      <c r="BR39" s="1" t="s">
        <v>29629</v>
      </c>
      <c r="BS39" s="1" t="s">
        <v>29630</v>
      </c>
      <c r="BT39" s="1" t="s">
        <v>29631</v>
      </c>
      <c r="BU39" s="1" t="s">
        <v>29632</v>
      </c>
      <c r="BV39" s="1" t="s">
        <v>29633</v>
      </c>
      <c r="BW39" s="1" t="s">
        <v>29634</v>
      </c>
      <c r="BX39" s="1" t="s">
        <v>29635</v>
      </c>
      <c r="BY39" s="1" t="s">
        <v>29636</v>
      </c>
      <c r="BZ39" s="1" t="s">
        <v>29637</v>
      </c>
      <c r="CA39" s="1" t="s">
        <v>29638</v>
      </c>
      <c r="CB39" s="1" t="s">
        <v>29639</v>
      </c>
      <c r="CC39" s="1" t="s">
        <v>29640</v>
      </c>
      <c r="CD39" s="1" t="s">
        <v>29641</v>
      </c>
      <c r="CE39" s="1" t="s">
        <v>29642</v>
      </c>
      <c r="CF39" s="1" t="s">
        <v>29643</v>
      </c>
      <c r="CG39" s="1" t="s">
        <v>29644</v>
      </c>
      <c r="CH39" s="1" t="s">
        <v>29645</v>
      </c>
      <c r="CI39" s="1" t="s">
        <v>29646</v>
      </c>
      <c r="CJ39" s="1" t="s">
        <v>29647</v>
      </c>
      <c r="CK39" s="1" t="s">
        <v>29648</v>
      </c>
      <c r="CL39" s="1" t="s">
        <v>29649</v>
      </c>
      <c r="CM39" s="1" t="s">
        <v>29650</v>
      </c>
      <c r="CN39" s="1" t="s">
        <v>29651</v>
      </c>
      <c r="CO39" s="1" t="s">
        <v>29652</v>
      </c>
      <c r="CP39" s="1" t="s">
        <v>29653</v>
      </c>
      <c r="CQ39" s="1" t="s">
        <v>29654</v>
      </c>
      <c r="CR39" s="1" t="s">
        <v>29655</v>
      </c>
      <c r="CS39" s="1" t="s">
        <v>29656</v>
      </c>
      <c r="CT39" s="1" t="s">
        <v>29657</v>
      </c>
      <c r="CU39" s="1" t="s">
        <v>29658</v>
      </c>
      <c r="CV39" s="1" t="s">
        <v>29659</v>
      </c>
      <c r="CW39" s="1" t="s">
        <v>29660</v>
      </c>
      <c r="CX39" s="1" t="s">
        <v>29661</v>
      </c>
      <c r="CY39" s="1" t="s">
        <v>29662</v>
      </c>
      <c r="CZ39" s="1" t="s">
        <v>29663</v>
      </c>
      <c r="DA39" s="1" t="s">
        <v>29664</v>
      </c>
      <c r="DB39" s="1" t="s">
        <v>29665</v>
      </c>
      <c r="DC39" s="1" t="s">
        <v>29666</v>
      </c>
      <c r="DD39" s="1" t="s">
        <v>29667</v>
      </c>
      <c r="DE39" s="1" t="s">
        <v>29668</v>
      </c>
      <c r="DF39" s="1" t="s">
        <v>29669</v>
      </c>
      <c r="DG39" s="1" t="s">
        <v>29670</v>
      </c>
      <c r="DH39" s="1" t="s">
        <v>29671</v>
      </c>
      <c r="DI39" s="1" t="s">
        <v>29672</v>
      </c>
      <c r="DJ39" s="1" t="s">
        <v>29673</v>
      </c>
      <c r="DK39" s="1" t="s">
        <v>29674</v>
      </c>
      <c r="DL39" s="1" t="s">
        <v>29675</v>
      </c>
      <c r="DM39" s="1" t="s">
        <v>29676</v>
      </c>
      <c r="DN39" s="1" t="s">
        <v>29677</v>
      </c>
      <c r="DO39" s="1" t="s">
        <v>29678</v>
      </c>
      <c r="DP39" s="1" t="s">
        <v>29679</v>
      </c>
      <c r="DQ39" s="1" t="s">
        <v>29680</v>
      </c>
      <c r="DR39" s="1" t="s">
        <v>29681</v>
      </c>
      <c r="DS39" s="1" t="s">
        <v>29682</v>
      </c>
      <c r="DT39" s="1" t="s">
        <v>29683</v>
      </c>
      <c r="DU39" s="1" t="s">
        <v>29684</v>
      </c>
      <c r="DV39" s="1" t="s">
        <v>29685</v>
      </c>
      <c r="DW39" s="1" t="s">
        <v>29686</v>
      </c>
      <c r="DX39" s="1" t="s">
        <v>29687</v>
      </c>
      <c r="DY39" s="1" t="s">
        <v>29688</v>
      </c>
      <c r="DZ39" s="1" t="s">
        <v>29689</v>
      </c>
      <c r="EA39" s="1" t="s">
        <v>29690</v>
      </c>
      <c r="EB39" s="1" t="s">
        <v>29691</v>
      </c>
      <c r="EC39" s="1" t="s">
        <v>29692</v>
      </c>
      <c r="ED39" s="1" t="s">
        <v>29693</v>
      </c>
      <c r="EE39" s="1" t="s">
        <v>29694</v>
      </c>
      <c r="EF39" s="1" t="s">
        <v>29695</v>
      </c>
      <c r="EG39" s="1" t="s">
        <v>29696</v>
      </c>
      <c r="EH39" s="1" t="s">
        <v>29697</v>
      </c>
      <c r="EI39" s="1" t="s">
        <v>29698</v>
      </c>
      <c r="EJ39" s="1" t="s">
        <v>29699</v>
      </c>
      <c r="EK39" s="1" t="s">
        <v>29700</v>
      </c>
      <c r="EL39" s="1" t="s">
        <v>29701</v>
      </c>
      <c r="EM39" s="1" t="s">
        <v>29702</v>
      </c>
      <c r="EN39" s="1" t="s">
        <v>29703</v>
      </c>
      <c r="EO39" s="1" t="s">
        <v>29704</v>
      </c>
      <c r="EP39" s="1" t="s">
        <v>29705</v>
      </c>
      <c r="EQ39" s="1" t="s">
        <v>29706</v>
      </c>
      <c r="ER39" s="1" t="s">
        <v>29707</v>
      </c>
      <c r="ES39" s="1" t="s">
        <v>29708</v>
      </c>
      <c r="ET39" s="1" t="s">
        <v>29709</v>
      </c>
      <c r="EU39" s="1" t="s">
        <v>29710</v>
      </c>
      <c r="EV39" s="1" t="s">
        <v>29711</v>
      </c>
      <c r="EW39" s="1" t="s">
        <v>29712</v>
      </c>
      <c r="EX39" s="1" t="s">
        <v>29713</v>
      </c>
      <c r="EY39" s="1" t="s">
        <v>29714</v>
      </c>
      <c r="EZ39" s="1" t="s">
        <v>29715</v>
      </c>
      <c r="FA39" s="1" t="s">
        <v>29716</v>
      </c>
      <c r="FB39" s="1" t="s">
        <v>29717</v>
      </c>
      <c r="FC39" s="1" t="s">
        <v>29718</v>
      </c>
      <c r="FD39" s="1" t="s">
        <v>29719</v>
      </c>
      <c r="FE39" s="1" t="s">
        <v>29720</v>
      </c>
      <c r="FF39" s="1" t="s">
        <v>29721</v>
      </c>
      <c r="FG39" s="1" t="s">
        <v>29722</v>
      </c>
      <c r="FH39" s="1" t="s">
        <v>29723</v>
      </c>
      <c r="FI39" s="1" t="s">
        <v>29724</v>
      </c>
      <c r="FJ39" s="1" t="s">
        <v>29725</v>
      </c>
      <c r="FK39" s="1" t="s">
        <v>29726</v>
      </c>
      <c r="FL39" s="1" t="s">
        <v>29727</v>
      </c>
      <c r="FM39" s="1" t="s">
        <v>29728</v>
      </c>
      <c r="FN39" s="1" t="s">
        <v>29729</v>
      </c>
      <c r="FO39" s="1" t="s">
        <v>29730</v>
      </c>
      <c r="FP39" s="1" t="s">
        <v>29731</v>
      </c>
      <c r="FQ39" s="1" t="s">
        <v>29732</v>
      </c>
      <c r="FR39" s="1" t="s">
        <v>29733</v>
      </c>
      <c r="FS39" s="1" t="s">
        <v>29734</v>
      </c>
      <c r="FT39" s="1" t="s">
        <v>29735</v>
      </c>
      <c r="FU39" s="1" t="s">
        <v>29736</v>
      </c>
      <c r="FV39" s="1" t="s">
        <v>29737</v>
      </c>
      <c r="FW39" s="1" t="s">
        <v>29738</v>
      </c>
      <c r="FX39" s="1" t="s">
        <v>29739</v>
      </c>
      <c r="FY39" s="1" t="s">
        <v>29740</v>
      </c>
      <c r="FZ39" s="1" t="s">
        <v>29741</v>
      </c>
      <c r="GA39" s="1" t="s">
        <v>29742</v>
      </c>
      <c r="GB39" s="1" t="s">
        <v>29743</v>
      </c>
      <c r="GC39" s="1" t="s">
        <v>29744</v>
      </c>
      <c r="GD39" s="1" t="s">
        <v>29745</v>
      </c>
      <c r="GE39" s="1" t="s">
        <v>29746</v>
      </c>
      <c r="GF39" s="1" t="s">
        <v>29747</v>
      </c>
      <c r="GG39" s="1" t="s">
        <v>29748</v>
      </c>
      <c r="GH39" s="1" t="s">
        <v>29749</v>
      </c>
      <c r="GI39" s="1" t="s">
        <v>29750</v>
      </c>
      <c r="GJ39" s="1" t="s">
        <v>29751</v>
      </c>
      <c r="GK39" s="1" t="s">
        <v>29752</v>
      </c>
      <c r="GL39" s="1" t="s">
        <v>29753</v>
      </c>
      <c r="GM39" s="1" t="s">
        <v>29754</v>
      </c>
      <c r="GN39" s="1" t="s">
        <v>29755</v>
      </c>
      <c r="GO39" s="1" t="s">
        <v>29756</v>
      </c>
      <c r="GP39" s="1" t="s">
        <v>29757</v>
      </c>
      <c r="GQ39" s="1" t="s">
        <v>29758</v>
      </c>
      <c r="GR39" s="1" t="s">
        <v>29759</v>
      </c>
      <c r="GS39" s="1" t="s">
        <v>29760</v>
      </c>
      <c r="GT39" s="1" t="s">
        <v>29761</v>
      </c>
      <c r="GU39" s="1" t="s">
        <v>29762</v>
      </c>
      <c r="GV39" s="1" t="s">
        <v>29763</v>
      </c>
      <c r="GW39" s="1" t="s">
        <v>29764</v>
      </c>
      <c r="GX39" s="1" t="s">
        <v>29765</v>
      </c>
      <c r="GY39" s="1" t="s">
        <v>29766</v>
      </c>
      <c r="GZ39" s="1" t="s">
        <v>29767</v>
      </c>
      <c r="HA39" s="1" t="s">
        <v>29768</v>
      </c>
      <c r="HB39" s="1" t="s">
        <v>29769</v>
      </c>
      <c r="HC39" s="1" t="s">
        <v>29770</v>
      </c>
      <c r="HD39" s="1" t="s">
        <v>29771</v>
      </c>
      <c r="HE39" s="1" t="s">
        <v>29772</v>
      </c>
      <c r="HF39" s="1" t="s">
        <v>29773</v>
      </c>
      <c r="HG39" s="1" t="s">
        <v>29774</v>
      </c>
      <c r="HH39" s="1" t="s">
        <v>29775</v>
      </c>
      <c r="HI39" s="1" t="s">
        <v>29776</v>
      </c>
      <c r="HJ39" s="1" t="s">
        <v>29777</v>
      </c>
      <c r="HK39" s="1" t="s">
        <v>29778</v>
      </c>
      <c r="HL39" s="1" t="s">
        <v>29779</v>
      </c>
      <c r="HM39" s="1" t="s">
        <v>29780</v>
      </c>
      <c r="HN39" s="1" t="s">
        <v>29781</v>
      </c>
      <c r="HO39" s="1" t="s">
        <v>29782</v>
      </c>
      <c r="HP39" s="1" t="s">
        <v>29783</v>
      </c>
      <c r="HQ39" s="1" t="s">
        <v>29784</v>
      </c>
      <c r="HR39" s="1" t="s">
        <v>29785</v>
      </c>
      <c r="HS39" s="1" t="s">
        <v>29786</v>
      </c>
      <c r="HT39" s="1" t="s">
        <v>29787</v>
      </c>
      <c r="HU39" s="1" t="s">
        <v>29788</v>
      </c>
      <c r="HV39" s="1" t="s">
        <v>29789</v>
      </c>
      <c r="HW39" s="1" t="s">
        <v>29790</v>
      </c>
      <c r="HX39" s="1" t="s">
        <v>29791</v>
      </c>
      <c r="HY39" s="1" t="s">
        <v>29792</v>
      </c>
      <c r="HZ39" s="1" t="s">
        <v>29793</v>
      </c>
      <c r="IA39" s="1" t="s">
        <v>29794</v>
      </c>
      <c r="IB39" s="1" t="s">
        <v>29795</v>
      </c>
      <c r="IC39" s="1" t="s">
        <v>29796</v>
      </c>
      <c r="ID39" s="1" t="s">
        <v>29797</v>
      </c>
      <c r="IE39" s="1" t="s">
        <v>29798</v>
      </c>
      <c r="IF39" s="1" t="s">
        <v>29799</v>
      </c>
      <c r="IG39" s="1" t="s">
        <v>29800</v>
      </c>
      <c r="IH39" s="1" t="s">
        <v>29801</v>
      </c>
      <c r="II39" s="1" t="s">
        <v>29802</v>
      </c>
      <c r="IJ39" s="1" t="s">
        <v>29803</v>
      </c>
      <c r="IK39" s="1" t="s">
        <v>29804</v>
      </c>
      <c r="IL39" s="1" t="s">
        <v>29805</v>
      </c>
      <c r="IM39" s="1" t="s">
        <v>29806</v>
      </c>
      <c r="IN39" s="1" t="s">
        <v>29807</v>
      </c>
      <c r="IO39" s="1" t="s">
        <v>29808</v>
      </c>
      <c r="IP39" s="1" t="s">
        <v>29809</v>
      </c>
      <c r="IQ39" s="1" t="s">
        <v>29810</v>
      </c>
      <c r="IR39" s="1" t="s">
        <v>29811</v>
      </c>
      <c r="IS39" s="1" t="s">
        <v>29812</v>
      </c>
      <c r="IT39" s="1" t="s">
        <v>29813</v>
      </c>
      <c r="IU39" s="1" t="s">
        <v>29814</v>
      </c>
      <c r="IV39" s="1" t="s">
        <v>29815</v>
      </c>
      <c r="IW39" s="1" t="s">
        <v>29816</v>
      </c>
      <c r="IX39" s="1" t="s">
        <v>29817</v>
      </c>
      <c r="IY39" s="1" t="s">
        <v>29818</v>
      </c>
      <c r="IZ39" s="1" t="s">
        <v>29819</v>
      </c>
      <c r="JA39" s="1" t="s">
        <v>29820</v>
      </c>
      <c r="JB39" s="1" t="s">
        <v>29821</v>
      </c>
      <c r="JC39" s="1" t="s">
        <v>29822</v>
      </c>
      <c r="JD39" s="1" t="s">
        <v>29823</v>
      </c>
      <c r="JE39" s="1" t="s">
        <v>29824</v>
      </c>
      <c r="JF39" s="1" t="s">
        <v>29825</v>
      </c>
      <c r="JG39" s="1" t="s">
        <v>29826</v>
      </c>
      <c r="JH39" s="1" t="s">
        <v>29827</v>
      </c>
      <c r="JI39" s="1" t="s">
        <v>29828</v>
      </c>
      <c r="JJ39" s="1" t="s">
        <v>29829</v>
      </c>
      <c r="JK39" s="1" t="s">
        <v>29830</v>
      </c>
      <c r="JL39" s="1" t="s">
        <v>29831</v>
      </c>
      <c r="JM39" s="1" t="s">
        <v>29832</v>
      </c>
      <c r="JN39" s="1" t="s">
        <v>29833</v>
      </c>
      <c r="JO39" s="1" t="s">
        <v>29834</v>
      </c>
      <c r="JP39" s="1" t="s">
        <v>29835</v>
      </c>
      <c r="JQ39" s="1" t="s">
        <v>29836</v>
      </c>
      <c r="JR39" s="1" t="s">
        <v>29837</v>
      </c>
      <c r="JS39" s="1" t="s">
        <v>29838</v>
      </c>
      <c r="JT39" s="1" t="s">
        <v>29839</v>
      </c>
      <c r="JU39" s="1" t="s">
        <v>29840</v>
      </c>
      <c r="JV39" s="1" t="s">
        <v>29841</v>
      </c>
      <c r="JW39" s="1" t="s">
        <v>29842</v>
      </c>
      <c r="JX39" s="1" t="s">
        <v>29843</v>
      </c>
      <c r="JY39" s="1" t="s">
        <v>29844</v>
      </c>
      <c r="JZ39" s="1" t="s">
        <v>29845</v>
      </c>
      <c r="KA39" s="1" t="s">
        <v>29846</v>
      </c>
      <c r="KB39" s="1" t="s">
        <v>29847</v>
      </c>
      <c r="KC39" s="1" t="s">
        <v>29848</v>
      </c>
      <c r="KD39" s="1" t="s">
        <v>29849</v>
      </c>
      <c r="KE39" s="1" t="s">
        <v>29850</v>
      </c>
      <c r="KF39" s="1" t="s">
        <v>29851</v>
      </c>
      <c r="KG39" s="1" t="s">
        <v>29852</v>
      </c>
      <c r="KH39" s="1" t="s">
        <v>29853</v>
      </c>
      <c r="KI39" s="1" t="s">
        <v>29854</v>
      </c>
      <c r="KJ39" s="1" t="s">
        <v>29855</v>
      </c>
      <c r="KK39" s="1" t="s">
        <v>29856</v>
      </c>
      <c r="KL39" s="1" t="s">
        <v>29857</v>
      </c>
      <c r="KM39" s="1" t="s">
        <v>29858</v>
      </c>
      <c r="KN39" s="1" t="s">
        <v>29859</v>
      </c>
      <c r="KO39" s="1" t="s">
        <v>29860</v>
      </c>
      <c r="KP39" s="1" t="s">
        <v>29861</v>
      </c>
      <c r="KQ39" s="1" t="s">
        <v>29862</v>
      </c>
      <c r="KR39" s="1" t="s">
        <v>29863</v>
      </c>
      <c r="KS39" s="1" t="s">
        <v>29864</v>
      </c>
      <c r="KT39" s="1" t="s">
        <v>29865</v>
      </c>
      <c r="KU39" s="1" t="s">
        <v>29866</v>
      </c>
      <c r="KV39" s="1" t="s">
        <v>29867</v>
      </c>
      <c r="KW39" s="1" t="s">
        <v>29868</v>
      </c>
      <c r="KX39" s="1" t="s">
        <v>29869</v>
      </c>
      <c r="KY39" s="1" t="s">
        <v>29870</v>
      </c>
      <c r="KZ39" s="1" t="s">
        <v>29871</v>
      </c>
      <c r="LA39" s="1" t="s">
        <v>29872</v>
      </c>
      <c r="LB39" s="1" t="s">
        <v>29873</v>
      </c>
      <c r="LC39" s="1" t="s">
        <v>29874</v>
      </c>
      <c r="LD39" s="1" t="s">
        <v>29875</v>
      </c>
      <c r="LE39" s="1" t="s">
        <v>29876</v>
      </c>
      <c r="LF39" s="1" t="s">
        <v>29877</v>
      </c>
      <c r="LG39" s="1" t="s">
        <v>29878</v>
      </c>
      <c r="LH39" s="1" t="s">
        <v>29879</v>
      </c>
      <c r="LI39" s="1" t="s">
        <v>29880</v>
      </c>
      <c r="LJ39" s="1" t="s">
        <v>29881</v>
      </c>
      <c r="LK39" s="1" t="s">
        <v>29882</v>
      </c>
      <c r="LL39" s="1" t="s">
        <v>29883</v>
      </c>
      <c r="LM39" s="1" t="s">
        <v>29884</v>
      </c>
      <c r="LN39" s="1" t="s">
        <v>29885</v>
      </c>
      <c r="LO39" s="1" t="s">
        <v>29886</v>
      </c>
      <c r="LP39" s="1" t="s">
        <v>29887</v>
      </c>
      <c r="LQ39" s="1" t="s">
        <v>29888</v>
      </c>
      <c r="LR39" s="1" t="s">
        <v>29889</v>
      </c>
      <c r="LS39" s="1" t="s">
        <v>29890</v>
      </c>
      <c r="LT39" s="1" t="s">
        <v>29891</v>
      </c>
      <c r="LU39" s="1" t="s">
        <v>29892</v>
      </c>
      <c r="LV39" s="1" t="s">
        <v>29893</v>
      </c>
      <c r="LW39" s="1" t="s">
        <v>29894</v>
      </c>
      <c r="LX39" s="1" t="s">
        <v>29895</v>
      </c>
      <c r="LY39" s="1" t="s">
        <v>29896</v>
      </c>
      <c r="LZ39" s="1" t="s">
        <v>29897</v>
      </c>
      <c r="MA39" s="1" t="s">
        <v>29898</v>
      </c>
      <c r="MB39" s="1" t="s">
        <v>29899</v>
      </c>
      <c r="MC39" s="1" t="s">
        <v>29900</v>
      </c>
      <c r="MD39" s="1" t="s">
        <v>29901</v>
      </c>
      <c r="ME39" s="1" t="s">
        <v>29902</v>
      </c>
      <c r="MF39" s="1" t="s">
        <v>29903</v>
      </c>
      <c r="MG39" s="1" t="s">
        <v>29904</v>
      </c>
      <c r="MH39" s="1" t="s">
        <v>29905</v>
      </c>
      <c r="MI39" s="1" t="s">
        <v>29906</v>
      </c>
      <c r="MJ39" s="1" t="s">
        <v>29907</v>
      </c>
      <c r="MK39" s="1" t="s">
        <v>29908</v>
      </c>
      <c r="ML39" s="1" t="s">
        <v>29909</v>
      </c>
      <c r="MM39" s="1" t="s">
        <v>29910</v>
      </c>
      <c r="MN39" s="1" t="s">
        <v>29911</v>
      </c>
      <c r="MO39" s="1" t="s">
        <v>29912</v>
      </c>
      <c r="MP39" s="1" t="s">
        <v>29913</v>
      </c>
      <c r="MQ39" s="1" t="s">
        <v>29914</v>
      </c>
      <c r="MR39" s="1" t="s">
        <v>29915</v>
      </c>
      <c r="MS39" s="1" t="s">
        <v>29916</v>
      </c>
      <c r="MT39" s="1" t="s">
        <v>29917</v>
      </c>
      <c r="MU39" s="1" t="s">
        <v>29918</v>
      </c>
      <c r="MV39" s="1" t="s">
        <v>29919</v>
      </c>
      <c r="MW39" s="1" t="s">
        <v>29920</v>
      </c>
      <c r="MX39" s="1" t="s">
        <v>29921</v>
      </c>
      <c r="MY39" s="1" t="s">
        <v>29922</v>
      </c>
      <c r="MZ39" s="1" t="s">
        <v>29923</v>
      </c>
      <c r="NA39" s="1" t="s">
        <v>29924</v>
      </c>
      <c r="NB39" s="1" t="s">
        <v>29925</v>
      </c>
      <c r="NC39" s="1" t="s">
        <v>29926</v>
      </c>
      <c r="ND39" s="1" t="s">
        <v>29927</v>
      </c>
      <c r="NE39" s="1" t="s">
        <v>29928</v>
      </c>
      <c r="NF39" s="1" t="s">
        <v>29929</v>
      </c>
      <c r="NG39" s="1" t="s">
        <v>29930</v>
      </c>
      <c r="NH39" s="1" t="s">
        <v>29931</v>
      </c>
      <c r="NI39" s="1" t="s">
        <v>29932</v>
      </c>
      <c r="NJ39" s="1" t="s">
        <v>29933</v>
      </c>
      <c r="NK39" s="1" t="s">
        <v>29934</v>
      </c>
      <c r="NL39" s="1" t="s">
        <v>29935</v>
      </c>
      <c r="NM39" s="1" t="s">
        <v>29936</v>
      </c>
      <c r="NN39" s="1" t="s">
        <v>29937</v>
      </c>
      <c r="NO39" s="1" t="s">
        <v>29938</v>
      </c>
      <c r="NP39" s="1" t="s">
        <v>29939</v>
      </c>
      <c r="NQ39" s="1" t="s">
        <v>29940</v>
      </c>
      <c r="NR39" s="1" t="s">
        <v>29941</v>
      </c>
      <c r="NS39" s="1" t="s">
        <v>29942</v>
      </c>
      <c r="NT39" s="1" t="s">
        <v>29943</v>
      </c>
      <c r="NU39" s="1" t="s">
        <v>29944</v>
      </c>
      <c r="NV39" s="1" t="s">
        <v>29945</v>
      </c>
      <c r="NW39" s="1" t="s">
        <v>29946</v>
      </c>
      <c r="NX39" s="1" t="s">
        <v>29947</v>
      </c>
      <c r="NY39" s="1" t="s">
        <v>29948</v>
      </c>
      <c r="NZ39" s="1" t="s">
        <v>29949</v>
      </c>
      <c r="OA39" s="1" t="s">
        <v>29950</v>
      </c>
      <c r="OB39" s="1" t="s">
        <v>29951</v>
      </c>
      <c r="OC39" s="1" t="s">
        <v>29952</v>
      </c>
      <c r="OD39" s="1" t="s">
        <v>29953</v>
      </c>
      <c r="OE39" s="1" t="s">
        <v>29954</v>
      </c>
      <c r="OF39" s="1" t="s">
        <v>29955</v>
      </c>
      <c r="OG39" s="1" t="s">
        <v>29956</v>
      </c>
      <c r="OH39" s="1" t="s">
        <v>29957</v>
      </c>
      <c r="OI39" s="1" t="s">
        <v>29958</v>
      </c>
      <c r="OJ39" s="1" t="s">
        <v>29959</v>
      </c>
      <c r="OK39" s="1" t="s">
        <v>29960</v>
      </c>
      <c r="OL39" s="1" t="s">
        <v>29961</v>
      </c>
      <c r="OM39" s="1" t="s">
        <v>29962</v>
      </c>
      <c r="ON39" s="1" t="s">
        <v>29963</v>
      </c>
      <c r="OO39" s="1" t="s">
        <v>29964</v>
      </c>
      <c r="OP39" s="1" t="s">
        <v>29965</v>
      </c>
      <c r="OQ39" s="1" t="s">
        <v>29966</v>
      </c>
      <c r="OR39" s="1" t="s">
        <v>29967</v>
      </c>
      <c r="OS39" s="1" t="s">
        <v>29968</v>
      </c>
      <c r="OT39" s="1" t="s">
        <v>29969</v>
      </c>
      <c r="OU39" s="1" t="s">
        <v>29970</v>
      </c>
      <c r="OV39" s="1" t="s">
        <v>29971</v>
      </c>
      <c r="OW39" s="1" t="s">
        <v>29972</v>
      </c>
      <c r="OX39" s="1" t="s">
        <v>29973</v>
      </c>
      <c r="OY39" s="1" t="s">
        <v>29974</v>
      </c>
      <c r="OZ39" s="1" t="s">
        <v>29975</v>
      </c>
      <c r="PA39" s="1" t="s">
        <v>29976</v>
      </c>
      <c r="PB39" s="1" t="s">
        <v>29977</v>
      </c>
      <c r="PC39" s="1" t="s">
        <v>29978</v>
      </c>
      <c r="PD39" s="1" t="s">
        <v>29979</v>
      </c>
      <c r="PE39" s="1" t="s">
        <v>29980</v>
      </c>
      <c r="PF39" s="1" t="s">
        <v>29981</v>
      </c>
      <c r="PG39" s="1" t="s">
        <v>29982</v>
      </c>
      <c r="PH39" s="1" t="s">
        <v>29983</v>
      </c>
      <c r="PI39" s="1" t="s">
        <v>29984</v>
      </c>
      <c r="PJ39" s="1" t="s">
        <v>29985</v>
      </c>
      <c r="PK39" s="1" t="s">
        <v>29986</v>
      </c>
      <c r="PL39" s="1" t="s">
        <v>29987</v>
      </c>
      <c r="PM39" s="1" t="s">
        <v>29988</v>
      </c>
      <c r="PN39" s="1" t="s">
        <v>29989</v>
      </c>
      <c r="PO39" s="1" t="s">
        <v>29990</v>
      </c>
      <c r="PP39" s="1" t="s">
        <v>29991</v>
      </c>
      <c r="PQ39" s="1" t="s">
        <v>29992</v>
      </c>
      <c r="PR39" s="1" t="s">
        <v>29993</v>
      </c>
      <c r="PS39" s="1" t="s">
        <v>29994</v>
      </c>
      <c r="PT39" s="1" t="s">
        <v>29995</v>
      </c>
      <c r="PU39" s="1" t="s">
        <v>29996</v>
      </c>
      <c r="PV39" s="1" t="s">
        <v>29997</v>
      </c>
      <c r="PW39" s="1" t="s">
        <v>29998</v>
      </c>
      <c r="PX39" s="1" t="s">
        <v>29999</v>
      </c>
      <c r="PY39" s="1" t="s">
        <v>30000</v>
      </c>
      <c r="PZ39" s="1" t="s">
        <v>30001</v>
      </c>
      <c r="QA39" s="1" t="s">
        <v>30002</v>
      </c>
      <c r="QB39" s="1" t="s">
        <v>30003</v>
      </c>
      <c r="QC39" s="1" t="s">
        <v>30004</v>
      </c>
      <c r="QD39" s="1" t="s">
        <v>30005</v>
      </c>
      <c r="QE39" s="1" t="s">
        <v>30006</v>
      </c>
      <c r="QF39" s="1" t="s">
        <v>30007</v>
      </c>
      <c r="QG39" s="1" t="s">
        <v>30008</v>
      </c>
      <c r="QH39" s="1" t="s">
        <v>30009</v>
      </c>
      <c r="QI39" s="1" t="s">
        <v>30010</v>
      </c>
      <c r="QJ39" s="1" t="s">
        <v>30011</v>
      </c>
      <c r="QK39" s="1" t="s">
        <v>30012</v>
      </c>
      <c r="QL39" s="1" t="s">
        <v>30013</v>
      </c>
      <c r="QM39" s="1" t="s">
        <v>30014</v>
      </c>
      <c r="QN39" s="1" t="s">
        <v>30015</v>
      </c>
      <c r="QO39" s="1" t="s">
        <v>30016</v>
      </c>
      <c r="QP39" s="1" t="s">
        <v>30017</v>
      </c>
      <c r="QQ39" s="1" t="s">
        <v>30018</v>
      </c>
      <c r="QR39" s="1" t="s">
        <v>30019</v>
      </c>
      <c r="QS39" s="1" t="s">
        <v>30020</v>
      </c>
      <c r="QT39" s="1" t="s">
        <v>30021</v>
      </c>
      <c r="QU39" s="1" t="s">
        <v>30022</v>
      </c>
      <c r="QV39" s="1" t="s">
        <v>30023</v>
      </c>
      <c r="QW39" s="1" t="s">
        <v>30024</v>
      </c>
      <c r="QX39" s="1" t="s">
        <v>30025</v>
      </c>
      <c r="QY39" s="1" t="s">
        <v>30026</v>
      </c>
      <c r="QZ39" s="1" t="s">
        <v>30027</v>
      </c>
      <c r="RA39" s="1" t="s">
        <v>30028</v>
      </c>
      <c r="RB39" s="1" t="s">
        <v>30029</v>
      </c>
      <c r="RC39" s="1" t="s">
        <v>30030</v>
      </c>
      <c r="RD39" s="1" t="s">
        <v>30031</v>
      </c>
      <c r="RE39" s="1" t="s">
        <v>30032</v>
      </c>
      <c r="RF39" s="1" t="s">
        <v>30033</v>
      </c>
      <c r="RG39" s="1" t="s">
        <v>30034</v>
      </c>
      <c r="RH39" s="1" t="s">
        <v>30035</v>
      </c>
      <c r="RI39" s="1" t="s">
        <v>30036</v>
      </c>
      <c r="RJ39" s="1" t="s">
        <v>30037</v>
      </c>
      <c r="RK39" s="1" t="s">
        <v>30038</v>
      </c>
      <c r="RL39" s="1" t="s">
        <v>30039</v>
      </c>
      <c r="RM39" s="1" t="s">
        <v>30040</v>
      </c>
      <c r="RN39" s="1" t="s">
        <v>30041</v>
      </c>
      <c r="RO39" s="1" t="s">
        <v>30042</v>
      </c>
      <c r="RP39" s="1" t="s">
        <v>30043</v>
      </c>
      <c r="RQ39" s="1" t="s">
        <v>30044</v>
      </c>
      <c r="RR39" s="1" t="s">
        <v>30045</v>
      </c>
      <c r="RS39" s="1" t="s">
        <v>30046</v>
      </c>
      <c r="RT39" s="1" t="s">
        <v>30047</v>
      </c>
      <c r="RU39" s="1" t="s">
        <v>30048</v>
      </c>
      <c r="RV39" s="1" t="s">
        <v>30049</v>
      </c>
      <c r="RW39" s="1" t="s">
        <v>30050</v>
      </c>
      <c r="RX39" s="1" t="s">
        <v>30051</v>
      </c>
      <c r="RY39" s="1" t="s">
        <v>30052</v>
      </c>
      <c r="RZ39" s="1" t="s">
        <v>30053</v>
      </c>
      <c r="SA39" s="1" t="s">
        <v>30054</v>
      </c>
      <c r="SB39" s="1" t="s">
        <v>30055</v>
      </c>
      <c r="SC39" s="1" t="s">
        <v>30056</v>
      </c>
      <c r="SD39" s="1" t="s">
        <v>30057</v>
      </c>
      <c r="SE39" s="1" t="s">
        <v>30058</v>
      </c>
      <c r="SF39" s="1" t="s">
        <v>30059</v>
      </c>
      <c r="SG39" s="1" t="s">
        <v>30060</v>
      </c>
      <c r="SH39" s="1" t="s">
        <v>30061</v>
      </c>
      <c r="SI39" s="1" t="s">
        <v>30062</v>
      </c>
      <c r="SJ39" s="1" t="s">
        <v>30063</v>
      </c>
      <c r="SK39" s="1" t="s">
        <v>30064</v>
      </c>
      <c r="SL39" s="1" t="s">
        <v>30065</v>
      </c>
      <c r="SM39" s="1" t="s">
        <v>30066</v>
      </c>
      <c r="SN39" s="1" t="s">
        <v>30067</v>
      </c>
      <c r="SO39" s="1" t="s">
        <v>30068</v>
      </c>
      <c r="SP39" s="1" t="s">
        <v>30069</v>
      </c>
      <c r="SQ39" s="1" t="s">
        <v>30070</v>
      </c>
      <c r="SR39" s="1" t="s">
        <v>30071</v>
      </c>
      <c r="SS39" s="1" t="s">
        <v>30072</v>
      </c>
      <c r="ST39" s="1" t="s">
        <v>30073</v>
      </c>
      <c r="SU39" s="1" t="s">
        <v>30074</v>
      </c>
      <c r="SV39" s="1" t="s">
        <v>30075</v>
      </c>
      <c r="SW39" s="1" t="s">
        <v>30076</v>
      </c>
      <c r="SX39" s="1" t="s">
        <v>30077</v>
      </c>
      <c r="SY39" s="1" t="s">
        <v>30078</v>
      </c>
      <c r="SZ39" s="1" t="s">
        <v>30079</v>
      </c>
      <c r="TA39" s="1" t="s">
        <v>30080</v>
      </c>
      <c r="TB39" s="1" t="s">
        <v>30081</v>
      </c>
      <c r="TC39" s="1" t="s">
        <v>30082</v>
      </c>
      <c r="TD39" s="1" t="s">
        <v>30083</v>
      </c>
      <c r="TE39" s="1" t="s">
        <v>30084</v>
      </c>
      <c r="TF39" s="1" t="s">
        <v>30085</v>
      </c>
      <c r="TG39" s="1" t="s">
        <v>30086</v>
      </c>
      <c r="TH39" s="1" t="s">
        <v>30087</v>
      </c>
      <c r="TI39" s="1" t="s">
        <v>30088</v>
      </c>
      <c r="TJ39" s="1" t="s">
        <v>30089</v>
      </c>
      <c r="TK39" s="1" t="s">
        <v>30090</v>
      </c>
      <c r="TL39" s="1" t="s">
        <v>30091</v>
      </c>
      <c r="TM39" s="1" t="s">
        <v>30092</v>
      </c>
      <c r="TN39" s="1" t="s">
        <v>30093</v>
      </c>
      <c r="TO39" s="1" t="s">
        <v>30094</v>
      </c>
      <c r="TP39" s="1" t="s">
        <v>30095</v>
      </c>
      <c r="TQ39" s="1" t="s">
        <v>30096</v>
      </c>
      <c r="TR39" s="1" t="s">
        <v>30097</v>
      </c>
      <c r="TS39" s="1" t="s">
        <v>30098</v>
      </c>
      <c r="TT39" s="1" t="s">
        <v>30099</v>
      </c>
      <c r="TU39" s="1" t="s">
        <v>30100</v>
      </c>
      <c r="TV39" s="1" t="s">
        <v>30101</v>
      </c>
      <c r="TW39" s="1" t="s">
        <v>30102</v>
      </c>
      <c r="TX39" s="1" t="s">
        <v>30103</v>
      </c>
      <c r="TY39" s="1" t="s">
        <v>30104</v>
      </c>
      <c r="TZ39" s="1" t="s">
        <v>30105</v>
      </c>
      <c r="UA39" s="1" t="s">
        <v>30106</v>
      </c>
      <c r="UB39" s="1" t="s">
        <v>30107</v>
      </c>
      <c r="UC39" s="1" t="s">
        <v>30108</v>
      </c>
      <c r="UD39" s="1" t="s">
        <v>30109</v>
      </c>
      <c r="UE39" s="1" t="s">
        <v>30110</v>
      </c>
      <c r="UF39" s="1" t="s">
        <v>30111</v>
      </c>
      <c r="UG39" s="1" t="s">
        <v>30112</v>
      </c>
      <c r="UH39" s="1" t="s">
        <v>30113</v>
      </c>
      <c r="UI39" s="1" t="s">
        <v>30114</v>
      </c>
      <c r="UJ39" s="1" t="s">
        <v>30115</v>
      </c>
      <c r="UK39" s="1" t="s">
        <v>30116</v>
      </c>
      <c r="UL39" s="1" t="s">
        <v>30117</v>
      </c>
      <c r="UM39" s="1" t="s">
        <v>30118</v>
      </c>
      <c r="UN39" s="1" t="s">
        <v>30119</v>
      </c>
      <c r="UO39" s="1" t="s">
        <v>30120</v>
      </c>
      <c r="UP39" s="1" t="s">
        <v>30121</v>
      </c>
      <c r="UQ39" s="1" t="s">
        <v>30122</v>
      </c>
      <c r="UR39" s="1" t="s">
        <v>30123</v>
      </c>
      <c r="US39" s="1" t="s">
        <v>30124</v>
      </c>
      <c r="UT39" s="1" t="s">
        <v>30125</v>
      </c>
      <c r="UU39" s="1" t="s">
        <v>30126</v>
      </c>
      <c r="UV39" s="1" t="s">
        <v>30127</v>
      </c>
      <c r="UW39" s="1" t="s">
        <v>30128</v>
      </c>
      <c r="UX39" s="1" t="s">
        <v>30129</v>
      </c>
      <c r="UY39" s="1" t="s">
        <v>30130</v>
      </c>
      <c r="UZ39" s="1" t="s">
        <v>30131</v>
      </c>
      <c r="VA39" s="1" t="s">
        <v>30132</v>
      </c>
      <c r="VB39" s="1" t="s">
        <v>30133</v>
      </c>
      <c r="VC39" s="1" t="s">
        <v>30134</v>
      </c>
      <c r="VD39" s="1" t="s">
        <v>30135</v>
      </c>
      <c r="VE39" s="1" t="s">
        <v>30136</v>
      </c>
      <c r="VF39" s="1" t="s">
        <v>30137</v>
      </c>
      <c r="VG39" s="1" t="s">
        <v>30138</v>
      </c>
      <c r="VH39" s="1" t="s">
        <v>30139</v>
      </c>
      <c r="VI39" s="1" t="s">
        <v>30140</v>
      </c>
      <c r="VJ39" s="1" t="s">
        <v>30141</v>
      </c>
      <c r="VK39" s="1" t="s">
        <v>30142</v>
      </c>
      <c r="VL39" s="1" t="s">
        <v>30143</v>
      </c>
      <c r="VM39" s="1" t="s">
        <v>30144</v>
      </c>
      <c r="VN39" s="1" t="s">
        <v>30145</v>
      </c>
      <c r="VO39" s="1" t="s">
        <v>30146</v>
      </c>
      <c r="VP39" s="1" t="s">
        <v>30147</v>
      </c>
      <c r="VQ39" s="1" t="s">
        <v>30148</v>
      </c>
      <c r="VR39" s="1" t="s">
        <v>30149</v>
      </c>
      <c r="VS39" s="1" t="s">
        <v>30150</v>
      </c>
      <c r="VT39" s="1" t="s">
        <v>30151</v>
      </c>
      <c r="VU39" s="1" t="s">
        <v>30152</v>
      </c>
      <c r="VV39" s="1" t="s">
        <v>30153</v>
      </c>
      <c r="VW39" s="1" t="s">
        <v>30154</v>
      </c>
      <c r="VX39" s="1" t="s">
        <v>30155</v>
      </c>
      <c r="VY39" s="1" t="s">
        <v>30156</v>
      </c>
      <c r="VZ39" s="1" t="s">
        <v>30157</v>
      </c>
      <c r="WA39" s="1" t="s">
        <v>30158</v>
      </c>
      <c r="WB39" s="1" t="s">
        <v>30159</v>
      </c>
      <c r="WC39" s="1" t="s">
        <v>30160</v>
      </c>
      <c r="WD39" s="1" t="s">
        <v>30161</v>
      </c>
      <c r="WE39" s="1" t="s">
        <v>30162</v>
      </c>
      <c r="WF39" s="1" t="s">
        <v>30163</v>
      </c>
      <c r="WG39" s="1" t="s">
        <v>30164</v>
      </c>
      <c r="WH39" s="1" t="s">
        <v>30165</v>
      </c>
      <c r="WI39" s="1" t="s">
        <v>30166</v>
      </c>
      <c r="WJ39" s="1" t="s">
        <v>30167</v>
      </c>
      <c r="WK39" s="1" t="s">
        <v>30168</v>
      </c>
      <c r="WL39" s="1" t="s">
        <v>30169</v>
      </c>
      <c r="WM39" s="1" t="s">
        <v>30170</v>
      </c>
      <c r="WN39" s="1" t="s">
        <v>30171</v>
      </c>
      <c r="WO39" s="1" t="s">
        <v>30172</v>
      </c>
      <c r="WP39" s="1" t="s">
        <v>30173</v>
      </c>
      <c r="WQ39" s="1" t="s">
        <v>30174</v>
      </c>
      <c r="WR39" s="1" t="s">
        <v>30175</v>
      </c>
      <c r="WS39" s="1" t="s">
        <v>30176</v>
      </c>
      <c r="WT39" s="1" t="s">
        <v>30177</v>
      </c>
      <c r="WU39" s="1" t="s">
        <v>30178</v>
      </c>
      <c r="WV39" s="1" t="s">
        <v>30179</v>
      </c>
      <c r="WW39" s="1" t="s">
        <v>30180</v>
      </c>
      <c r="WX39" s="1" t="s">
        <v>30181</v>
      </c>
      <c r="WY39" s="1" t="s">
        <v>30182</v>
      </c>
      <c r="WZ39" s="1" t="s">
        <v>30183</v>
      </c>
      <c r="XA39" s="1" t="s">
        <v>30184</v>
      </c>
      <c r="XB39" s="1" t="s">
        <v>30185</v>
      </c>
      <c r="XC39" s="1" t="s">
        <v>30186</v>
      </c>
      <c r="XD39" s="1" t="s">
        <v>30187</v>
      </c>
      <c r="XE39" s="1" t="s">
        <v>30188</v>
      </c>
      <c r="XF39" s="1" t="s">
        <v>30189</v>
      </c>
      <c r="XG39" s="1" t="s">
        <v>30190</v>
      </c>
      <c r="XH39" s="1" t="s">
        <v>30191</v>
      </c>
      <c r="XI39" s="1" t="s">
        <v>30192</v>
      </c>
      <c r="XJ39" s="1" t="s">
        <v>30193</v>
      </c>
      <c r="XK39" s="1" t="s">
        <v>30194</v>
      </c>
      <c r="XL39" s="1" t="s">
        <v>30195</v>
      </c>
      <c r="XM39" s="1" t="s">
        <v>30196</v>
      </c>
      <c r="XN39" s="1" t="s">
        <v>30197</v>
      </c>
      <c r="XO39" s="1" t="s">
        <v>30198</v>
      </c>
      <c r="XP39" s="1" t="s">
        <v>30199</v>
      </c>
      <c r="XQ39" s="1" t="s">
        <v>30200</v>
      </c>
      <c r="XR39" s="1" t="s">
        <v>30201</v>
      </c>
      <c r="XS39" s="1" t="s">
        <v>30202</v>
      </c>
      <c r="XT39" s="1" t="s">
        <v>30203</v>
      </c>
      <c r="XU39" s="1" t="s">
        <v>30204</v>
      </c>
      <c r="XV39" s="1" t="s">
        <v>30205</v>
      </c>
      <c r="XW39" s="1" t="s">
        <v>30206</v>
      </c>
      <c r="XX39" s="1" t="s">
        <v>30207</v>
      </c>
      <c r="XY39" s="1" t="s">
        <v>30208</v>
      </c>
      <c r="XZ39" s="1" t="s">
        <v>30209</v>
      </c>
      <c r="YA39" s="1" t="s">
        <v>30210</v>
      </c>
      <c r="YB39" s="1" t="s">
        <v>30211</v>
      </c>
      <c r="YC39" s="1" t="s">
        <v>30212</v>
      </c>
      <c r="YD39" s="1" t="s">
        <v>30213</v>
      </c>
      <c r="YE39" s="1" t="s">
        <v>30214</v>
      </c>
      <c r="YF39" s="1" t="s">
        <v>30215</v>
      </c>
      <c r="YG39" s="1" t="s">
        <v>30216</v>
      </c>
      <c r="YH39" s="1" t="s">
        <v>30217</v>
      </c>
      <c r="YI39" s="1" t="s">
        <v>30218</v>
      </c>
      <c r="YJ39" s="1" t="s">
        <v>30219</v>
      </c>
      <c r="YK39" s="1" t="s">
        <v>30220</v>
      </c>
      <c r="YL39" s="1" t="s">
        <v>30221</v>
      </c>
      <c r="YM39" s="1" t="s">
        <v>30222</v>
      </c>
      <c r="YN39" s="1" t="s">
        <v>30223</v>
      </c>
      <c r="YO39" s="1" t="s">
        <v>30224</v>
      </c>
      <c r="YP39" s="1" t="s">
        <v>30225</v>
      </c>
      <c r="YQ39" s="1" t="s">
        <v>30226</v>
      </c>
      <c r="YR39" s="1" t="s">
        <v>30227</v>
      </c>
      <c r="YS39" s="1" t="s">
        <v>30228</v>
      </c>
      <c r="YT39" s="1" t="s">
        <v>30229</v>
      </c>
      <c r="YU39" s="1" t="s">
        <v>30230</v>
      </c>
      <c r="YV39" s="1" t="s">
        <v>30231</v>
      </c>
      <c r="YW39" s="1" t="s">
        <v>30232</v>
      </c>
      <c r="YX39" s="1" t="s">
        <v>30233</v>
      </c>
      <c r="YY39" s="1" t="s">
        <v>30234</v>
      </c>
      <c r="YZ39" s="1" t="s">
        <v>30235</v>
      </c>
      <c r="ZA39" s="1" t="s">
        <v>30236</v>
      </c>
      <c r="ZB39" s="1" t="s">
        <v>30237</v>
      </c>
      <c r="ZC39" s="1" t="s">
        <v>30238</v>
      </c>
      <c r="ZD39" s="1" t="s">
        <v>30239</v>
      </c>
      <c r="ZE39" s="1" t="s">
        <v>30240</v>
      </c>
      <c r="ZF39" s="1" t="s">
        <v>30241</v>
      </c>
      <c r="ZG39" s="1" t="s">
        <v>30242</v>
      </c>
      <c r="ZH39" s="1" t="s">
        <v>30243</v>
      </c>
      <c r="ZI39" s="1" t="s">
        <v>30244</v>
      </c>
      <c r="ZJ39" s="1" t="s">
        <v>30245</v>
      </c>
      <c r="ZK39" s="1" t="s">
        <v>30246</v>
      </c>
      <c r="ZL39" s="1" t="s">
        <v>30247</v>
      </c>
      <c r="ZM39" s="1" t="s">
        <v>30248</v>
      </c>
      <c r="ZN39" s="1" t="s">
        <v>30249</v>
      </c>
      <c r="ZO39" s="1" t="s">
        <v>30250</v>
      </c>
      <c r="ZP39" s="1" t="s">
        <v>30251</v>
      </c>
      <c r="ZQ39" s="1" t="s">
        <v>30252</v>
      </c>
      <c r="ZR39" s="1" t="s">
        <v>30253</v>
      </c>
      <c r="ZS39" s="1" t="s">
        <v>30254</v>
      </c>
      <c r="ZT39" s="1" t="s">
        <v>30255</v>
      </c>
      <c r="ZU39" s="1" t="s">
        <v>30256</v>
      </c>
      <c r="ZV39" s="1" t="s">
        <v>30257</v>
      </c>
      <c r="ZW39" s="1" t="s">
        <v>30258</v>
      </c>
      <c r="ZX39" s="1" t="s">
        <v>30259</v>
      </c>
      <c r="ZY39" s="1" t="s">
        <v>30260</v>
      </c>
      <c r="ZZ39" s="1" t="s">
        <v>30261</v>
      </c>
      <c r="AAA39" s="1" t="s">
        <v>30262</v>
      </c>
      <c r="AAB39" s="1" t="s">
        <v>30263</v>
      </c>
      <c r="AAC39" s="1" t="s">
        <v>30264</v>
      </c>
      <c r="AAD39" s="1" t="s">
        <v>30265</v>
      </c>
      <c r="AAE39" s="1" t="s">
        <v>30266</v>
      </c>
      <c r="AAF39" s="1" t="s">
        <v>30267</v>
      </c>
      <c r="AAG39" s="1" t="s">
        <v>30268</v>
      </c>
      <c r="AAH39" s="1" t="s">
        <v>30269</v>
      </c>
      <c r="AAI39" s="1" t="s">
        <v>30270</v>
      </c>
      <c r="AAJ39" s="1" t="s">
        <v>30271</v>
      </c>
      <c r="AAK39" s="1" t="s">
        <v>30272</v>
      </c>
      <c r="AAL39" s="1" t="s">
        <v>30273</v>
      </c>
      <c r="AAM39" s="1" t="s">
        <v>30274</v>
      </c>
      <c r="AAN39" s="1" t="s">
        <v>30275</v>
      </c>
      <c r="AAO39" s="1" t="s">
        <v>30276</v>
      </c>
      <c r="AAP39" s="1" t="s">
        <v>30277</v>
      </c>
      <c r="AAQ39" s="1" t="s">
        <v>30278</v>
      </c>
      <c r="AAR39" s="1" t="s">
        <v>30279</v>
      </c>
      <c r="AAS39" s="1" t="s">
        <v>30280</v>
      </c>
      <c r="AAT39" s="1" t="s">
        <v>30281</v>
      </c>
      <c r="AAU39" s="1" t="s">
        <v>30282</v>
      </c>
      <c r="AAV39" s="1" t="s">
        <v>30283</v>
      </c>
      <c r="AAW39" s="1" t="s">
        <v>30284</v>
      </c>
      <c r="AAX39" s="1" t="s">
        <v>30285</v>
      </c>
      <c r="AAY39" s="1" t="s">
        <v>30286</v>
      </c>
      <c r="AAZ39" s="1" t="s">
        <v>30287</v>
      </c>
      <c r="ABA39" s="1" t="s">
        <v>30288</v>
      </c>
      <c r="ABB39" s="1" t="s">
        <v>30289</v>
      </c>
      <c r="ABC39" s="1" t="s">
        <v>30290</v>
      </c>
      <c r="ABD39" s="1" t="s">
        <v>30291</v>
      </c>
      <c r="ABE39" s="1" t="s">
        <v>30292</v>
      </c>
      <c r="ABF39" s="1" t="s">
        <v>30293</v>
      </c>
      <c r="ABG39" s="1" t="s">
        <v>30294</v>
      </c>
      <c r="ABH39" s="1" t="s">
        <v>30295</v>
      </c>
      <c r="ABI39" s="1" t="s">
        <v>30296</v>
      </c>
      <c r="ABJ39" s="1" t="s">
        <v>30297</v>
      </c>
      <c r="ABK39" s="1" t="s">
        <v>30298</v>
      </c>
      <c r="ABL39" s="1" t="s">
        <v>30299</v>
      </c>
      <c r="ABM39" s="1" t="s">
        <v>30300</v>
      </c>
      <c r="ABN39" s="1" t="s">
        <v>30301</v>
      </c>
      <c r="ABO39" s="1" t="s">
        <v>30302</v>
      </c>
      <c r="ABP39" s="1" t="s">
        <v>30303</v>
      </c>
      <c r="ABQ39" s="1" t="s">
        <v>30304</v>
      </c>
      <c r="ABR39" s="1" t="s">
        <v>30305</v>
      </c>
      <c r="ABS39" s="1" t="s">
        <v>30306</v>
      </c>
      <c r="ABT39" s="1" t="s">
        <v>30307</v>
      </c>
      <c r="ABU39" s="1" t="s">
        <v>30308</v>
      </c>
      <c r="ABV39" s="1" t="s">
        <v>30309</v>
      </c>
      <c r="ABW39" s="1" t="s">
        <v>30310</v>
      </c>
      <c r="ABX39" s="1" t="s">
        <v>30311</v>
      </c>
      <c r="ABY39" s="1" t="s">
        <v>30312</v>
      </c>
      <c r="ABZ39" s="1" t="s">
        <v>30313</v>
      </c>
      <c r="ACA39" s="1" t="s">
        <v>30314</v>
      </c>
      <c r="ACB39" s="1" t="s">
        <v>30315</v>
      </c>
      <c r="ACC39" s="1" t="s">
        <v>30316</v>
      </c>
      <c r="ACD39" s="1" t="s">
        <v>30317</v>
      </c>
      <c r="ACE39" s="1" t="s">
        <v>30318</v>
      </c>
      <c r="ACF39" s="1" t="s">
        <v>30319</v>
      </c>
      <c r="ACG39" s="1" t="s">
        <v>30320</v>
      </c>
      <c r="ACH39" s="1" t="s">
        <v>30321</v>
      </c>
      <c r="ACI39" s="1" t="s">
        <v>30322</v>
      </c>
      <c r="ACJ39" s="1" t="s">
        <v>30323</v>
      </c>
      <c r="ACK39" s="1" t="s">
        <v>30324</v>
      </c>
      <c r="ACL39" s="1" t="s">
        <v>30325</v>
      </c>
      <c r="ACM39" s="1" t="s">
        <v>30326</v>
      </c>
      <c r="ACN39" s="1" t="s">
        <v>30327</v>
      </c>
      <c r="ACO39" s="1" t="s">
        <v>30328</v>
      </c>
      <c r="ACP39" s="1" t="s">
        <v>30329</v>
      </c>
      <c r="ACQ39" s="1" t="s">
        <v>30330</v>
      </c>
      <c r="ACR39" s="1" t="s">
        <v>30331</v>
      </c>
      <c r="ACS39" s="1" t="s">
        <v>30332</v>
      </c>
      <c r="ACT39" s="1" t="s">
        <v>30333</v>
      </c>
      <c r="ACU39" s="1" t="s">
        <v>30334</v>
      </c>
      <c r="ACV39" s="1" t="s">
        <v>30335</v>
      </c>
      <c r="ACW39" s="1" t="s">
        <v>12</v>
      </c>
      <c r="ACX39" s="1" t="s">
        <v>1500</v>
      </c>
    </row>
    <row r="40" spans="1:778" x14ac:dyDescent="0.2">
      <c r="A40" s="1" t="s">
        <v>11</v>
      </c>
      <c r="B40" s="1" t="s">
        <v>30336</v>
      </c>
      <c r="C40" s="1" t="s">
        <v>30337</v>
      </c>
      <c r="D40" s="1" t="s">
        <v>30338</v>
      </c>
      <c r="E40" s="1" t="s">
        <v>30339</v>
      </c>
      <c r="F40" s="1" t="s">
        <v>30340</v>
      </c>
      <c r="G40" s="1" t="s">
        <v>30341</v>
      </c>
      <c r="H40" s="1" t="s">
        <v>30342</v>
      </c>
      <c r="I40" s="1" t="s">
        <v>30343</v>
      </c>
      <c r="J40" s="1" t="s">
        <v>30344</v>
      </c>
      <c r="K40" s="1" t="s">
        <v>30345</v>
      </c>
      <c r="L40" s="1" t="s">
        <v>30346</v>
      </c>
      <c r="M40" s="1" t="s">
        <v>30347</v>
      </c>
      <c r="N40" s="1" t="s">
        <v>30348</v>
      </c>
      <c r="O40" s="1" t="s">
        <v>30349</v>
      </c>
      <c r="P40" s="1" t="s">
        <v>30350</v>
      </c>
      <c r="Q40" s="1" t="s">
        <v>30351</v>
      </c>
      <c r="R40" s="1" t="s">
        <v>30352</v>
      </c>
      <c r="S40" s="1" t="s">
        <v>30353</v>
      </c>
      <c r="T40" s="1" t="s">
        <v>30354</v>
      </c>
      <c r="U40" s="1" t="s">
        <v>30355</v>
      </c>
      <c r="V40" s="1" t="s">
        <v>30356</v>
      </c>
      <c r="W40" s="1" t="s">
        <v>30357</v>
      </c>
      <c r="X40" s="1" t="s">
        <v>30358</v>
      </c>
      <c r="Y40" s="1" t="s">
        <v>30359</v>
      </c>
      <c r="Z40" s="1" t="s">
        <v>30360</v>
      </c>
      <c r="AA40" s="1" t="s">
        <v>30361</v>
      </c>
      <c r="AB40" s="1" t="s">
        <v>30362</v>
      </c>
      <c r="AC40" s="1" t="s">
        <v>30363</v>
      </c>
      <c r="AD40" s="1" t="s">
        <v>30364</v>
      </c>
      <c r="AE40" s="1" t="s">
        <v>30365</v>
      </c>
      <c r="AF40" s="1" t="s">
        <v>30366</v>
      </c>
      <c r="AG40" s="1" t="s">
        <v>30367</v>
      </c>
      <c r="AH40" s="1" t="s">
        <v>30368</v>
      </c>
      <c r="AI40" s="1" t="s">
        <v>30369</v>
      </c>
      <c r="AJ40" s="1" t="s">
        <v>30370</v>
      </c>
      <c r="AK40" s="1" t="s">
        <v>30371</v>
      </c>
      <c r="AL40" s="1" t="s">
        <v>30372</v>
      </c>
      <c r="AM40" s="1" t="s">
        <v>30373</v>
      </c>
      <c r="AN40" s="1" t="s">
        <v>30374</v>
      </c>
      <c r="AO40" s="1" t="s">
        <v>30375</v>
      </c>
      <c r="AP40" s="1" t="s">
        <v>30376</v>
      </c>
      <c r="AQ40" s="1" t="s">
        <v>30377</v>
      </c>
      <c r="AR40" s="1" t="s">
        <v>30378</v>
      </c>
      <c r="AS40" s="1" t="s">
        <v>30379</v>
      </c>
      <c r="AT40" s="1" t="s">
        <v>30380</v>
      </c>
      <c r="AU40" s="1" t="s">
        <v>30381</v>
      </c>
      <c r="AV40" s="1" t="s">
        <v>30382</v>
      </c>
      <c r="AW40" s="1" t="s">
        <v>30383</v>
      </c>
      <c r="AX40" s="1" t="s">
        <v>30384</v>
      </c>
      <c r="AY40" s="1" t="s">
        <v>30385</v>
      </c>
      <c r="AZ40" s="1" t="s">
        <v>30386</v>
      </c>
      <c r="BA40" s="1" t="s">
        <v>30387</v>
      </c>
      <c r="BB40" s="1" t="s">
        <v>30388</v>
      </c>
      <c r="BC40" s="1" t="s">
        <v>30389</v>
      </c>
      <c r="BD40" s="1" t="s">
        <v>30390</v>
      </c>
      <c r="BE40" s="1" t="s">
        <v>30391</v>
      </c>
      <c r="BF40" s="1" t="s">
        <v>30392</v>
      </c>
      <c r="BG40" s="1" t="s">
        <v>30393</v>
      </c>
      <c r="BH40" s="1" t="s">
        <v>30394</v>
      </c>
      <c r="BI40" s="1" t="s">
        <v>30395</v>
      </c>
      <c r="BJ40" s="1" t="s">
        <v>30396</v>
      </c>
      <c r="BK40" s="1" t="s">
        <v>30397</v>
      </c>
      <c r="BL40" s="1" t="s">
        <v>30398</v>
      </c>
      <c r="BM40" s="1" t="s">
        <v>30399</v>
      </c>
      <c r="BN40" s="1" t="s">
        <v>30400</v>
      </c>
      <c r="BO40" s="1" t="s">
        <v>30401</v>
      </c>
      <c r="BP40" s="1" t="s">
        <v>30402</v>
      </c>
      <c r="BQ40" s="1" t="s">
        <v>30403</v>
      </c>
      <c r="BR40" s="1" t="s">
        <v>30404</v>
      </c>
      <c r="BS40" s="1" t="s">
        <v>30405</v>
      </c>
      <c r="BT40" s="1" t="s">
        <v>30406</v>
      </c>
      <c r="BU40" s="1" t="s">
        <v>30407</v>
      </c>
      <c r="BV40" s="1" t="s">
        <v>30408</v>
      </c>
      <c r="BW40" s="1" t="s">
        <v>30409</v>
      </c>
      <c r="BX40" s="1" t="s">
        <v>30410</v>
      </c>
      <c r="BY40" s="1" t="s">
        <v>30411</v>
      </c>
      <c r="BZ40" s="1" t="s">
        <v>30412</v>
      </c>
      <c r="CA40" s="1" t="s">
        <v>30413</v>
      </c>
      <c r="CB40" s="1" t="s">
        <v>30414</v>
      </c>
      <c r="CC40" s="1" t="s">
        <v>30415</v>
      </c>
      <c r="CD40" s="1" t="s">
        <v>30416</v>
      </c>
      <c r="CE40" s="1" t="s">
        <v>30417</v>
      </c>
      <c r="CF40" s="1" t="s">
        <v>30418</v>
      </c>
      <c r="CG40" s="1" t="s">
        <v>30419</v>
      </c>
      <c r="CH40" s="1" t="s">
        <v>30420</v>
      </c>
      <c r="CI40" s="1" t="s">
        <v>30421</v>
      </c>
      <c r="CJ40" s="1" t="s">
        <v>30422</v>
      </c>
      <c r="CK40" s="1" t="s">
        <v>30423</v>
      </c>
      <c r="CL40" s="1" t="s">
        <v>30424</v>
      </c>
      <c r="CM40" s="1" t="s">
        <v>30425</v>
      </c>
      <c r="CN40" s="1" t="s">
        <v>30426</v>
      </c>
      <c r="CO40" s="1" t="s">
        <v>30427</v>
      </c>
      <c r="CP40" s="1" t="s">
        <v>30428</v>
      </c>
      <c r="CQ40" s="1" t="s">
        <v>30429</v>
      </c>
      <c r="CR40" s="1" t="s">
        <v>30430</v>
      </c>
      <c r="CS40" s="1" t="s">
        <v>30431</v>
      </c>
      <c r="CT40" s="1" t="s">
        <v>30432</v>
      </c>
      <c r="CU40" s="1" t="s">
        <v>30433</v>
      </c>
      <c r="CV40" s="1" t="s">
        <v>30434</v>
      </c>
      <c r="CW40" s="1" t="s">
        <v>30435</v>
      </c>
      <c r="CX40" s="1" t="s">
        <v>30436</v>
      </c>
      <c r="CY40" s="1" t="s">
        <v>30437</v>
      </c>
      <c r="CZ40" s="1" t="s">
        <v>30438</v>
      </c>
      <c r="DA40" s="1" t="s">
        <v>30439</v>
      </c>
      <c r="DB40" s="1" t="s">
        <v>30440</v>
      </c>
      <c r="DC40" s="1" t="s">
        <v>30441</v>
      </c>
      <c r="DD40" s="1" t="s">
        <v>30442</v>
      </c>
      <c r="DE40" s="1" t="s">
        <v>30443</v>
      </c>
      <c r="DF40" s="1" t="s">
        <v>30444</v>
      </c>
      <c r="DG40" s="1" t="s">
        <v>30445</v>
      </c>
      <c r="DH40" s="1" t="s">
        <v>30446</v>
      </c>
      <c r="DI40" s="1" t="s">
        <v>30447</v>
      </c>
      <c r="DJ40" s="1" t="s">
        <v>30448</v>
      </c>
      <c r="DK40" s="1" t="s">
        <v>30449</v>
      </c>
      <c r="DL40" s="1" t="s">
        <v>30450</v>
      </c>
      <c r="DM40" s="1" t="s">
        <v>30451</v>
      </c>
      <c r="DN40" s="1" t="s">
        <v>30452</v>
      </c>
      <c r="DO40" s="1" t="s">
        <v>30453</v>
      </c>
      <c r="DP40" s="1" t="s">
        <v>30454</v>
      </c>
      <c r="DQ40" s="1" t="s">
        <v>30455</v>
      </c>
      <c r="DR40" s="1" t="s">
        <v>30456</v>
      </c>
      <c r="DS40" s="1" t="s">
        <v>30457</v>
      </c>
      <c r="DT40" s="1" t="s">
        <v>30458</v>
      </c>
      <c r="DU40" s="1" t="s">
        <v>30459</v>
      </c>
      <c r="DV40" s="1" t="s">
        <v>30460</v>
      </c>
      <c r="DW40" s="1" t="s">
        <v>30461</v>
      </c>
      <c r="DX40" s="1" t="s">
        <v>30462</v>
      </c>
      <c r="DY40" s="1" t="s">
        <v>30463</v>
      </c>
      <c r="DZ40" s="1" t="s">
        <v>30464</v>
      </c>
      <c r="EA40" s="1" t="s">
        <v>30465</v>
      </c>
      <c r="EB40" s="1" t="s">
        <v>30466</v>
      </c>
      <c r="EC40" s="1" t="s">
        <v>30467</v>
      </c>
      <c r="ED40" s="1" t="s">
        <v>30468</v>
      </c>
      <c r="EE40" s="1" t="s">
        <v>30469</v>
      </c>
      <c r="EF40" s="1" t="s">
        <v>30470</v>
      </c>
      <c r="EG40" s="1" t="s">
        <v>30471</v>
      </c>
      <c r="EH40" s="1" t="s">
        <v>30472</v>
      </c>
      <c r="EI40" s="1" t="s">
        <v>30473</v>
      </c>
      <c r="EJ40" s="1" t="s">
        <v>30474</v>
      </c>
      <c r="EK40" s="1" t="s">
        <v>30475</v>
      </c>
      <c r="EL40" s="1" t="s">
        <v>30476</v>
      </c>
      <c r="EM40" s="1" t="s">
        <v>30477</v>
      </c>
      <c r="EN40" s="1" t="s">
        <v>30478</v>
      </c>
      <c r="EO40" s="1" t="s">
        <v>30479</v>
      </c>
      <c r="EP40" s="1" t="s">
        <v>30480</v>
      </c>
      <c r="EQ40" s="1" t="s">
        <v>30481</v>
      </c>
      <c r="ER40" s="1" t="s">
        <v>30482</v>
      </c>
      <c r="ES40" s="1" t="s">
        <v>30483</v>
      </c>
      <c r="ET40" s="1" t="s">
        <v>30484</v>
      </c>
      <c r="EU40" s="1" t="s">
        <v>30485</v>
      </c>
      <c r="EV40" s="1" t="s">
        <v>30486</v>
      </c>
      <c r="EW40" s="1" t="s">
        <v>30487</v>
      </c>
      <c r="EX40" s="1" t="s">
        <v>30488</v>
      </c>
      <c r="EY40" s="1" t="s">
        <v>30489</v>
      </c>
      <c r="EZ40" s="1" t="s">
        <v>30490</v>
      </c>
      <c r="FA40" s="1" t="s">
        <v>30491</v>
      </c>
      <c r="FB40" s="1" t="s">
        <v>30492</v>
      </c>
      <c r="FC40" s="1" t="s">
        <v>30493</v>
      </c>
      <c r="FD40" s="1" t="s">
        <v>30494</v>
      </c>
      <c r="FE40" s="1" t="s">
        <v>30495</v>
      </c>
      <c r="FF40" s="1" t="s">
        <v>30496</v>
      </c>
      <c r="FG40" s="1" t="s">
        <v>30497</v>
      </c>
      <c r="FH40" s="1" t="s">
        <v>30498</v>
      </c>
      <c r="FI40" s="1" t="s">
        <v>30499</v>
      </c>
      <c r="FJ40" s="1" t="s">
        <v>30500</v>
      </c>
      <c r="FK40" s="1" t="s">
        <v>30501</v>
      </c>
      <c r="FL40" s="1" t="s">
        <v>30502</v>
      </c>
      <c r="FM40" s="1" t="s">
        <v>30503</v>
      </c>
      <c r="FN40" s="1" t="s">
        <v>30504</v>
      </c>
      <c r="FO40" s="1" t="s">
        <v>30505</v>
      </c>
      <c r="FP40" s="1" t="s">
        <v>30506</v>
      </c>
      <c r="FQ40" s="1" t="s">
        <v>30507</v>
      </c>
      <c r="FR40" s="1" t="s">
        <v>30508</v>
      </c>
      <c r="FS40" s="1" t="s">
        <v>30509</v>
      </c>
      <c r="FT40" s="1" t="s">
        <v>30510</v>
      </c>
      <c r="FU40" s="1" t="s">
        <v>30511</v>
      </c>
      <c r="FV40" s="1" t="s">
        <v>30512</v>
      </c>
      <c r="FW40" s="1" t="s">
        <v>30513</v>
      </c>
      <c r="FX40" s="1" t="s">
        <v>30514</v>
      </c>
      <c r="FY40" s="1" t="s">
        <v>30515</v>
      </c>
      <c r="FZ40" s="1" t="s">
        <v>30516</v>
      </c>
      <c r="GA40" s="1" t="s">
        <v>30517</v>
      </c>
      <c r="GB40" s="1" t="s">
        <v>30518</v>
      </c>
      <c r="GC40" s="1" t="s">
        <v>30519</v>
      </c>
      <c r="GD40" s="1" t="s">
        <v>30520</v>
      </c>
      <c r="GE40" s="1" t="s">
        <v>30521</v>
      </c>
      <c r="GF40" s="1" t="s">
        <v>30522</v>
      </c>
      <c r="GG40" s="1" t="s">
        <v>30523</v>
      </c>
      <c r="GH40" s="1" t="s">
        <v>30524</v>
      </c>
      <c r="GI40" s="1" t="s">
        <v>30525</v>
      </c>
      <c r="GJ40" s="1" t="s">
        <v>30526</v>
      </c>
      <c r="GK40" s="1" t="s">
        <v>30527</v>
      </c>
      <c r="GL40" s="1" t="s">
        <v>30528</v>
      </c>
      <c r="GM40" s="1" t="s">
        <v>30529</v>
      </c>
      <c r="GN40" s="1" t="s">
        <v>30530</v>
      </c>
      <c r="GO40" s="1" t="s">
        <v>30531</v>
      </c>
      <c r="GP40" s="1" t="s">
        <v>30532</v>
      </c>
      <c r="GQ40" s="1" t="s">
        <v>30533</v>
      </c>
      <c r="GR40" s="1" t="s">
        <v>30534</v>
      </c>
      <c r="GS40" s="1" t="s">
        <v>30535</v>
      </c>
      <c r="GT40" s="1" t="s">
        <v>30536</v>
      </c>
      <c r="GU40" s="1" t="s">
        <v>30537</v>
      </c>
      <c r="GV40" s="1" t="s">
        <v>30538</v>
      </c>
      <c r="GW40" s="1" t="s">
        <v>30539</v>
      </c>
      <c r="GX40" s="1" t="s">
        <v>30540</v>
      </c>
      <c r="GY40" s="1" t="s">
        <v>30541</v>
      </c>
      <c r="GZ40" s="1" t="s">
        <v>30542</v>
      </c>
      <c r="HA40" s="1" t="s">
        <v>30543</v>
      </c>
      <c r="HB40" s="1" t="s">
        <v>30544</v>
      </c>
      <c r="HC40" s="1" t="s">
        <v>30545</v>
      </c>
      <c r="HD40" s="1" t="s">
        <v>30546</v>
      </c>
      <c r="HE40" s="1" t="s">
        <v>30547</v>
      </c>
      <c r="HF40" s="1" t="s">
        <v>30548</v>
      </c>
      <c r="HG40" s="1" t="s">
        <v>30549</v>
      </c>
      <c r="HH40" s="1" t="s">
        <v>30550</v>
      </c>
      <c r="HI40" s="1" t="s">
        <v>30551</v>
      </c>
      <c r="HJ40" s="1" t="s">
        <v>30552</v>
      </c>
      <c r="HK40" s="1" t="s">
        <v>30553</v>
      </c>
      <c r="HL40" s="1" t="s">
        <v>30554</v>
      </c>
      <c r="HM40" s="1" t="s">
        <v>30555</v>
      </c>
      <c r="HN40" s="1" t="s">
        <v>30556</v>
      </c>
      <c r="HO40" s="1" t="s">
        <v>30557</v>
      </c>
      <c r="HP40" s="1" t="s">
        <v>30558</v>
      </c>
      <c r="HQ40" s="1" t="s">
        <v>30559</v>
      </c>
      <c r="HR40" s="1" t="s">
        <v>30560</v>
      </c>
      <c r="HS40" s="1" t="s">
        <v>30561</v>
      </c>
      <c r="HT40" s="1" t="s">
        <v>30562</v>
      </c>
      <c r="HU40" s="1" t="s">
        <v>30563</v>
      </c>
      <c r="HV40" s="1" t="s">
        <v>30564</v>
      </c>
      <c r="HW40" s="1" t="s">
        <v>30565</v>
      </c>
      <c r="HX40" s="1" t="s">
        <v>30566</v>
      </c>
      <c r="HY40" s="1" t="s">
        <v>30567</v>
      </c>
      <c r="HZ40" s="1" t="s">
        <v>30568</v>
      </c>
      <c r="IA40" s="1" t="s">
        <v>30569</v>
      </c>
      <c r="IB40" s="1" t="s">
        <v>30570</v>
      </c>
      <c r="IC40" s="1" t="s">
        <v>30571</v>
      </c>
      <c r="ID40" s="1" t="s">
        <v>30572</v>
      </c>
      <c r="IE40" s="1" t="s">
        <v>30573</v>
      </c>
      <c r="IF40" s="1" t="s">
        <v>30574</v>
      </c>
      <c r="IG40" s="1" t="s">
        <v>30575</v>
      </c>
      <c r="IH40" s="1" t="s">
        <v>30576</v>
      </c>
      <c r="II40" s="1" t="s">
        <v>30577</v>
      </c>
      <c r="IJ40" s="1" t="s">
        <v>30578</v>
      </c>
      <c r="IK40" s="1" t="s">
        <v>30579</v>
      </c>
      <c r="IL40" s="1" t="s">
        <v>30580</v>
      </c>
      <c r="IM40" s="1" t="s">
        <v>30581</v>
      </c>
      <c r="IN40" s="1" t="s">
        <v>30582</v>
      </c>
      <c r="IO40" s="1" t="s">
        <v>30583</v>
      </c>
      <c r="IP40" s="1" t="s">
        <v>30584</v>
      </c>
      <c r="IQ40" s="1" t="s">
        <v>30585</v>
      </c>
      <c r="IR40" s="1" t="s">
        <v>30586</v>
      </c>
      <c r="IS40" s="1" t="s">
        <v>30587</v>
      </c>
      <c r="IT40" s="1" t="s">
        <v>30588</v>
      </c>
      <c r="IU40" s="1" t="s">
        <v>30589</v>
      </c>
      <c r="IV40" s="1" t="s">
        <v>30590</v>
      </c>
      <c r="IW40" s="1" t="s">
        <v>30591</v>
      </c>
      <c r="IX40" s="1" t="s">
        <v>30592</v>
      </c>
      <c r="IY40" s="1" t="s">
        <v>30593</v>
      </c>
      <c r="IZ40" s="1" t="s">
        <v>30594</v>
      </c>
      <c r="JA40" s="1" t="s">
        <v>30595</v>
      </c>
      <c r="JB40" s="1" t="s">
        <v>30596</v>
      </c>
      <c r="JC40" s="1" t="s">
        <v>30597</v>
      </c>
      <c r="JD40" s="1" t="s">
        <v>30598</v>
      </c>
      <c r="JE40" s="1" t="s">
        <v>30599</v>
      </c>
      <c r="JF40" s="1" t="s">
        <v>30600</v>
      </c>
      <c r="JG40" s="1" t="s">
        <v>30601</v>
      </c>
      <c r="JH40" s="1" t="s">
        <v>30602</v>
      </c>
      <c r="JI40" s="1" t="s">
        <v>30603</v>
      </c>
      <c r="JJ40" s="1" t="s">
        <v>30604</v>
      </c>
      <c r="JK40" s="1" t="s">
        <v>30605</v>
      </c>
      <c r="JL40" s="1" t="s">
        <v>30606</v>
      </c>
      <c r="JM40" s="1" t="s">
        <v>30607</v>
      </c>
      <c r="JN40" s="1" t="s">
        <v>30608</v>
      </c>
      <c r="JO40" s="1" t="s">
        <v>30609</v>
      </c>
      <c r="JP40" s="1" t="s">
        <v>30610</v>
      </c>
      <c r="JQ40" s="1" t="s">
        <v>30611</v>
      </c>
      <c r="JR40" s="1" t="s">
        <v>30612</v>
      </c>
      <c r="JS40" s="1" t="s">
        <v>30613</v>
      </c>
      <c r="JT40" s="1" t="s">
        <v>30614</v>
      </c>
      <c r="JU40" s="1" t="s">
        <v>30615</v>
      </c>
      <c r="JV40" s="1" t="s">
        <v>30616</v>
      </c>
      <c r="JW40" s="1" t="s">
        <v>30617</v>
      </c>
      <c r="JX40" s="1" t="s">
        <v>30618</v>
      </c>
      <c r="JY40" s="1" t="s">
        <v>30619</v>
      </c>
      <c r="JZ40" s="1" t="s">
        <v>30620</v>
      </c>
      <c r="KA40" s="1" t="s">
        <v>30621</v>
      </c>
      <c r="KB40" s="1" t="s">
        <v>30622</v>
      </c>
      <c r="KC40" s="1" t="s">
        <v>30623</v>
      </c>
      <c r="KD40" s="1" t="s">
        <v>30624</v>
      </c>
      <c r="KE40" s="1" t="s">
        <v>30625</v>
      </c>
      <c r="KF40" s="1" t="s">
        <v>30626</v>
      </c>
      <c r="KG40" s="1" t="s">
        <v>30627</v>
      </c>
      <c r="KH40" s="1" t="s">
        <v>30628</v>
      </c>
      <c r="KI40" s="1" t="s">
        <v>30629</v>
      </c>
      <c r="KJ40" s="1" t="s">
        <v>30630</v>
      </c>
      <c r="KK40" s="1" t="s">
        <v>30631</v>
      </c>
      <c r="KL40" s="1" t="s">
        <v>30632</v>
      </c>
      <c r="KM40" s="1" t="s">
        <v>30633</v>
      </c>
      <c r="KN40" s="1" t="s">
        <v>30634</v>
      </c>
      <c r="KO40" s="1" t="s">
        <v>30635</v>
      </c>
      <c r="KP40" s="1" t="s">
        <v>30636</v>
      </c>
      <c r="KQ40" s="1" t="s">
        <v>30637</v>
      </c>
      <c r="KR40" s="1" t="s">
        <v>30638</v>
      </c>
      <c r="KS40" s="1" t="s">
        <v>30639</v>
      </c>
      <c r="KT40" s="1" t="s">
        <v>30640</v>
      </c>
      <c r="KU40" s="1" t="s">
        <v>30641</v>
      </c>
      <c r="KV40" s="1" t="s">
        <v>30642</v>
      </c>
      <c r="KW40" s="1" t="s">
        <v>30643</v>
      </c>
      <c r="KX40" s="1" t="s">
        <v>30644</v>
      </c>
      <c r="KY40" s="1" t="s">
        <v>30645</v>
      </c>
      <c r="KZ40" s="1" t="s">
        <v>30646</v>
      </c>
      <c r="LA40" s="1" t="s">
        <v>30647</v>
      </c>
      <c r="LB40" s="1" t="s">
        <v>30648</v>
      </c>
      <c r="LC40" s="1" t="s">
        <v>30649</v>
      </c>
      <c r="LD40" s="1" t="s">
        <v>30650</v>
      </c>
      <c r="LE40" s="1" t="s">
        <v>30651</v>
      </c>
      <c r="LF40" s="1" t="s">
        <v>30652</v>
      </c>
      <c r="LG40" s="1" t="s">
        <v>30653</v>
      </c>
      <c r="LH40" s="1" t="s">
        <v>30654</v>
      </c>
      <c r="LI40" s="1" t="s">
        <v>30655</v>
      </c>
      <c r="LJ40" s="1" t="s">
        <v>30656</v>
      </c>
      <c r="LK40" s="1" t="s">
        <v>30657</v>
      </c>
      <c r="LL40" s="1" t="s">
        <v>30658</v>
      </c>
      <c r="LM40" s="1" t="s">
        <v>30659</v>
      </c>
      <c r="LN40" s="1" t="s">
        <v>30660</v>
      </c>
      <c r="LO40" s="1" t="s">
        <v>30661</v>
      </c>
      <c r="LP40" s="1" t="s">
        <v>30662</v>
      </c>
      <c r="LQ40" s="1" t="s">
        <v>30663</v>
      </c>
      <c r="LR40" s="1" t="s">
        <v>30664</v>
      </c>
      <c r="LS40" s="1" t="s">
        <v>30665</v>
      </c>
      <c r="LT40" s="1" t="s">
        <v>30666</v>
      </c>
      <c r="LU40" s="1" t="s">
        <v>30667</v>
      </c>
      <c r="LV40" s="1" t="s">
        <v>30668</v>
      </c>
      <c r="LW40" s="1" t="s">
        <v>30669</v>
      </c>
      <c r="LX40" s="1" t="s">
        <v>30670</v>
      </c>
      <c r="LY40" s="1" t="s">
        <v>30671</v>
      </c>
      <c r="LZ40" s="1" t="s">
        <v>30672</v>
      </c>
      <c r="MA40" s="1" t="s">
        <v>30673</v>
      </c>
      <c r="MB40" s="1" t="s">
        <v>30674</v>
      </c>
      <c r="MC40" s="1" t="s">
        <v>30675</v>
      </c>
      <c r="MD40" s="1" t="s">
        <v>30676</v>
      </c>
      <c r="ME40" s="1" t="s">
        <v>30677</v>
      </c>
      <c r="MF40" s="1" t="s">
        <v>30678</v>
      </c>
      <c r="MG40" s="1" t="s">
        <v>30679</v>
      </c>
      <c r="MH40" s="1" t="s">
        <v>30680</v>
      </c>
      <c r="MI40" s="1" t="s">
        <v>30681</v>
      </c>
      <c r="MJ40" s="1" t="s">
        <v>30682</v>
      </c>
      <c r="MK40" s="1" t="s">
        <v>30683</v>
      </c>
      <c r="ML40" s="1" t="s">
        <v>30684</v>
      </c>
      <c r="MM40" s="1" t="s">
        <v>30685</v>
      </c>
      <c r="MN40" s="1" t="s">
        <v>30686</v>
      </c>
      <c r="MO40" s="1" t="s">
        <v>30687</v>
      </c>
      <c r="MP40" s="1" t="s">
        <v>30688</v>
      </c>
      <c r="MQ40" s="1" t="s">
        <v>30689</v>
      </c>
      <c r="MR40" s="1" t="s">
        <v>30690</v>
      </c>
      <c r="MS40" s="1" t="s">
        <v>30691</v>
      </c>
      <c r="MT40" s="1" t="s">
        <v>30692</v>
      </c>
      <c r="MU40" s="1" t="s">
        <v>30693</v>
      </c>
      <c r="MV40" s="1" t="s">
        <v>30694</v>
      </c>
      <c r="MW40" s="1" t="s">
        <v>30695</v>
      </c>
      <c r="MX40" s="1" t="s">
        <v>30696</v>
      </c>
      <c r="MY40" s="1" t="s">
        <v>30697</v>
      </c>
      <c r="MZ40" s="1" t="s">
        <v>30698</v>
      </c>
      <c r="NA40" s="1" t="s">
        <v>30699</v>
      </c>
      <c r="NB40" s="1" t="s">
        <v>30700</v>
      </c>
      <c r="NC40" s="1" t="s">
        <v>30701</v>
      </c>
      <c r="ND40" s="1" t="s">
        <v>30702</v>
      </c>
      <c r="NE40" s="1" t="s">
        <v>30703</v>
      </c>
      <c r="NF40" s="1" t="s">
        <v>30704</v>
      </c>
      <c r="NG40" s="1" t="s">
        <v>30705</v>
      </c>
      <c r="NH40" s="1" t="s">
        <v>30706</v>
      </c>
      <c r="NI40" s="1" t="s">
        <v>30707</v>
      </c>
      <c r="NJ40" s="1" t="s">
        <v>30708</v>
      </c>
      <c r="NK40" s="1" t="s">
        <v>30709</v>
      </c>
      <c r="NL40" s="1" t="s">
        <v>30710</v>
      </c>
      <c r="NM40" s="1" t="s">
        <v>30711</v>
      </c>
      <c r="NN40" s="1" t="s">
        <v>30712</v>
      </c>
      <c r="NO40" s="1" t="s">
        <v>30713</v>
      </c>
      <c r="NP40" s="1" t="s">
        <v>30714</v>
      </c>
      <c r="NQ40" s="1" t="s">
        <v>30715</v>
      </c>
      <c r="NR40" s="1" t="s">
        <v>30716</v>
      </c>
      <c r="NS40" s="1" t="s">
        <v>30717</v>
      </c>
      <c r="NT40" s="1" t="s">
        <v>30718</v>
      </c>
      <c r="NU40" s="1" t="s">
        <v>30719</v>
      </c>
      <c r="NV40" s="1" t="s">
        <v>30720</v>
      </c>
      <c r="NW40" s="1" t="s">
        <v>30721</v>
      </c>
      <c r="NX40" s="1" t="s">
        <v>30722</v>
      </c>
      <c r="NY40" s="1" t="s">
        <v>30723</v>
      </c>
      <c r="NZ40" s="1" t="s">
        <v>30724</v>
      </c>
      <c r="OA40" s="1" t="s">
        <v>30725</v>
      </c>
      <c r="OB40" s="1" t="s">
        <v>30726</v>
      </c>
      <c r="OC40" s="1" t="s">
        <v>30727</v>
      </c>
      <c r="OD40" s="1" t="s">
        <v>30728</v>
      </c>
      <c r="OE40" s="1" t="s">
        <v>30729</v>
      </c>
      <c r="OF40" s="1" t="s">
        <v>30730</v>
      </c>
      <c r="OG40" s="1" t="s">
        <v>30731</v>
      </c>
      <c r="OH40" s="1" t="s">
        <v>30732</v>
      </c>
      <c r="OI40" s="1" t="s">
        <v>30733</v>
      </c>
      <c r="OJ40" s="1" t="s">
        <v>30734</v>
      </c>
      <c r="OK40" s="1" t="s">
        <v>30735</v>
      </c>
      <c r="OL40" s="1" t="s">
        <v>30736</v>
      </c>
      <c r="OM40" s="1" t="s">
        <v>30737</v>
      </c>
      <c r="ON40" s="1" t="s">
        <v>30738</v>
      </c>
      <c r="OO40" s="1" t="s">
        <v>30739</v>
      </c>
      <c r="OP40" s="1" t="s">
        <v>30740</v>
      </c>
      <c r="OQ40" s="1" t="s">
        <v>30741</v>
      </c>
      <c r="OR40" s="1" t="s">
        <v>30742</v>
      </c>
      <c r="OS40" s="1" t="s">
        <v>30743</v>
      </c>
      <c r="OT40" s="1" t="s">
        <v>30744</v>
      </c>
      <c r="OU40" s="1" t="s">
        <v>30745</v>
      </c>
      <c r="OV40" s="1" t="s">
        <v>30746</v>
      </c>
      <c r="OW40" s="1" t="s">
        <v>30747</v>
      </c>
      <c r="OX40" s="1" t="s">
        <v>30748</v>
      </c>
      <c r="OY40" s="1" t="s">
        <v>30749</v>
      </c>
      <c r="OZ40" s="1" t="s">
        <v>30750</v>
      </c>
      <c r="PA40" s="1" t="s">
        <v>30751</v>
      </c>
      <c r="PB40" s="1" t="s">
        <v>30752</v>
      </c>
      <c r="PC40" s="1" t="s">
        <v>30753</v>
      </c>
      <c r="PD40" s="1" t="s">
        <v>30754</v>
      </c>
      <c r="PE40" s="1" t="s">
        <v>30755</v>
      </c>
      <c r="PF40" s="1" t="s">
        <v>30756</v>
      </c>
      <c r="PG40" s="1" t="s">
        <v>30757</v>
      </c>
      <c r="PH40" s="1" t="s">
        <v>30758</v>
      </c>
      <c r="PI40" s="1" t="s">
        <v>30759</v>
      </c>
      <c r="PJ40" s="1" t="s">
        <v>30760</v>
      </c>
      <c r="PK40" s="1" t="s">
        <v>30761</v>
      </c>
      <c r="PL40" s="1" t="s">
        <v>30762</v>
      </c>
      <c r="PM40" s="1" t="s">
        <v>30763</v>
      </c>
      <c r="PN40" s="1" t="s">
        <v>30764</v>
      </c>
      <c r="PO40" s="1" t="s">
        <v>30765</v>
      </c>
      <c r="PP40" s="1" t="s">
        <v>30766</v>
      </c>
      <c r="PQ40" s="1" t="s">
        <v>30767</v>
      </c>
      <c r="PR40" s="1" t="s">
        <v>30768</v>
      </c>
      <c r="PS40" s="1" t="s">
        <v>30769</v>
      </c>
      <c r="PT40" s="1" t="s">
        <v>30770</v>
      </c>
      <c r="PU40" s="1" t="s">
        <v>30771</v>
      </c>
      <c r="PV40" s="1" t="s">
        <v>30772</v>
      </c>
      <c r="PW40" s="1" t="s">
        <v>30773</v>
      </c>
      <c r="PX40" s="1" t="s">
        <v>30774</v>
      </c>
      <c r="PY40" s="1" t="s">
        <v>30775</v>
      </c>
      <c r="PZ40" s="1" t="s">
        <v>30776</v>
      </c>
      <c r="QA40" s="1" t="s">
        <v>30777</v>
      </c>
      <c r="QB40" s="1" t="s">
        <v>30778</v>
      </c>
      <c r="QC40" s="1" t="s">
        <v>30779</v>
      </c>
      <c r="QD40" s="1" t="s">
        <v>30780</v>
      </c>
      <c r="QE40" s="1" t="s">
        <v>30781</v>
      </c>
      <c r="QF40" s="1" t="s">
        <v>30782</v>
      </c>
      <c r="QG40" s="1" t="s">
        <v>30783</v>
      </c>
      <c r="QH40" s="1" t="s">
        <v>30784</v>
      </c>
      <c r="QI40" s="1" t="s">
        <v>30785</v>
      </c>
      <c r="QJ40" s="1" t="s">
        <v>30786</v>
      </c>
      <c r="QK40" s="1" t="s">
        <v>30787</v>
      </c>
      <c r="QL40" s="1" t="s">
        <v>30788</v>
      </c>
      <c r="QM40" s="1" t="s">
        <v>30789</v>
      </c>
      <c r="QN40" s="1" t="s">
        <v>30790</v>
      </c>
      <c r="QO40" s="1" t="s">
        <v>30791</v>
      </c>
      <c r="QP40" s="1" t="s">
        <v>30792</v>
      </c>
      <c r="QQ40" s="1" t="s">
        <v>30793</v>
      </c>
      <c r="QR40" s="1" t="s">
        <v>30794</v>
      </c>
      <c r="QS40" s="1" t="s">
        <v>30795</v>
      </c>
      <c r="QT40" s="1" t="s">
        <v>30796</v>
      </c>
      <c r="QU40" s="1" t="s">
        <v>30797</v>
      </c>
      <c r="QV40" s="1" t="s">
        <v>30798</v>
      </c>
      <c r="QW40" s="1" t="s">
        <v>30799</v>
      </c>
      <c r="QX40" s="1" t="s">
        <v>30800</v>
      </c>
      <c r="QY40" s="1" t="s">
        <v>30801</v>
      </c>
      <c r="QZ40" s="1" t="s">
        <v>30802</v>
      </c>
      <c r="RA40" s="1" t="s">
        <v>30803</v>
      </c>
      <c r="RB40" s="1" t="s">
        <v>30804</v>
      </c>
      <c r="RC40" s="1" t="s">
        <v>30805</v>
      </c>
      <c r="RD40" s="1" t="s">
        <v>30806</v>
      </c>
      <c r="RE40" s="1" t="s">
        <v>30807</v>
      </c>
      <c r="RF40" s="1" t="s">
        <v>30808</v>
      </c>
      <c r="RG40" s="1" t="s">
        <v>30809</v>
      </c>
      <c r="RH40" s="1" t="s">
        <v>30810</v>
      </c>
      <c r="RI40" s="1" t="s">
        <v>30811</v>
      </c>
      <c r="RJ40" s="1" t="s">
        <v>30812</v>
      </c>
      <c r="RK40" s="1" t="s">
        <v>30813</v>
      </c>
      <c r="RL40" s="1" t="s">
        <v>30814</v>
      </c>
      <c r="RM40" s="1" t="s">
        <v>30815</v>
      </c>
      <c r="RN40" s="1" t="s">
        <v>30816</v>
      </c>
      <c r="RO40" s="1" t="s">
        <v>30817</v>
      </c>
      <c r="RP40" s="1" t="s">
        <v>30818</v>
      </c>
      <c r="RQ40" s="1" t="s">
        <v>30819</v>
      </c>
      <c r="RR40" s="1" t="s">
        <v>30820</v>
      </c>
      <c r="RS40" s="1" t="s">
        <v>30821</v>
      </c>
      <c r="RT40" s="1" t="s">
        <v>30822</v>
      </c>
      <c r="RU40" s="1" t="s">
        <v>30823</v>
      </c>
      <c r="RV40" s="1" t="s">
        <v>30824</v>
      </c>
      <c r="RW40" s="1" t="s">
        <v>30825</v>
      </c>
      <c r="RX40" s="1" t="s">
        <v>30826</v>
      </c>
      <c r="RY40" s="1" t="s">
        <v>30827</v>
      </c>
      <c r="RZ40" s="1" t="s">
        <v>30828</v>
      </c>
      <c r="SA40" s="1" t="s">
        <v>30829</v>
      </c>
      <c r="SB40" s="1" t="s">
        <v>30830</v>
      </c>
      <c r="SC40" s="1" t="s">
        <v>30831</v>
      </c>
      <c r="SD40" s="1" t="s">
        <v>30832</v>
      </c>
      <c r="SE40" s="1" t="s">
        <v>30833</v>
      </c>
      <c r="SF40" s="1" t="s">
        <v>30834</v>
      </c>
      <c r="SG40" s="1" t="s">
        <v>30835</v>
      </c>
      <c r="SH40" s="1" t="s">
        <v>30836</v>
      </c>
      <c r="SI40" s="1" t="s">
        <v>30837</v>
      </c>
      <c r="SJ40" s="1" t="s">
        <v>30838</v>
      </c>
      <c r="SK40" s="1" t="s">
        <v>30839</v>
      </c>
      <c r="SL40" s="1" t="s">
        <v>30840</v>
      </c>
      <c r="SM40" s="1" t="s">
        <v>30841</v>
      </c>
      <c r="SN40" s="1" t="s">
        <v>30842</v>
      </c>
      <c r="SO40" s="1" t="s">
        <v>30843</v>
      </c>
      <c r="SP40" s="1" t="s">
        <v>30844</v>
      </c>
      <c r="SQ40" s="1" t="s">
        <v>30845</v>
      </c>
      <c r="SR40" s="1" t="s">
        <v>30846</v>
      </c>
      <c r="SS40" s="1" t="s">
        <v>30847</v>
      </c>
      <c r="ST40" s="1" t="s">
        <v>30848</v>
      </c>
      <c r="SU40" s="1" t="s">
        <v>30849</v>
      </c>
      <c r="SV40" s="1" t="s">
        <v>30850</v>
      </c>
      <c r="SW40" s="1" t="s">
        <v>30851</v>
      </c>
      <c r="SX40" s="1" t="s">
        <v>30852</v>
      </c>
      <c r="SY40" s="1" t="s">
        <v>30853</v>
      </c>
      <c r="SZ40" s="1" t="s">
        <v>30854</v>
      </c>
      <c r="TA40" s="1" t="s">
        <v>30855</v>
      </c>
      <c r="TB40" s="1" t="s">
        <v>30856</v>
      </c>
      <c r="TC40" s="1" t="s">
        <v>30857</v>
      </c>
      <c r="TD40" s="1" t="s">
        <v>30858</v>
      </c>
      <c r="TE40" s="1" t="s">
        <v>30859</v>
      </c>
      <c r="TF40" s="1" t="s">
        <v>30860</v>
      </c>
      <c r="TG40" s="1" t="s">
        <v>30861</v>
      </c>
      <c r="TH40" s="1" t="s">
        <v>30862</v>
      </c>
      <c r="TI40" s="1" t="s">
        <v>30863</v>
      </c>
      <c r="TJ40" s="1" t="s">
        <v>30864</v>
      </c>
      <c r="TK40" s="1" t="s">
        <v>30865</v>
      </c>
      <c r="TL40" s="1" t="s">
        <v>30866</v>
      </c>
      <c r="TM40" s="1" t="s">
        <v>30867</v>
      </c>
      <c r="TN40" s="1" t="s">
        <v>30868</v>
      </c>
      <c r="TO40" s="1" t="s">
        <v>30869</v>
      </c>
      <c r="TP40" s="1" t="s">
        <v>30870</v>
      </c>
      <c r="TQ40" s="1" t="s">
        <v>30871</v>
      </c>
      <c r="TR40" s="1" t="s">
        <v>30872</v>
      </c>
      <c r="TS40" s="1" t="s">
        <v>30873</v>
      </c>
      <c r="TT40" s="1" t="s">
        <v>30874</v>
      </c>
      <c r="TU40" s="1" t="s">
        <v>30875</v>
      </c>
      <c r="TV40" s="1" t="s">
        <v>30876</v>
      </c>
      <c r="TW40" s="1" t="s">
        <v>30877</v>
      </c>
      <c r="TX40" s="1" t="s">
        <v>30878</v>
      </c>
      <c r="TY40" s="1" t="s">
        <v>30879</v>
      </c>
      <c r="TZ40" s="1" t="s">
        <v>30880</v>
      </c>
      <c r="UA40" s="1" t="s">
        <v>30881</v>
      </c>
      <c r="UB40" s="1" t="s">
        <v>30882</v>
      </c>
      <c r="UC40" s="1" t="s">
        <v>30883</v>
      </c>
      <c r="UD40" s="1" t="s">
        <v>30884</v>
      </c>
      <c r="UE40" s="1" t="s">
        <v>30885</v>
      </c>
      <c r="UF40" s="1" t="s">
        <v>30886</v>
      </c>
      <c r="UG40" s="1" t="s">
        <v>30887</v>
      </c>
      <c r="UH40" s="1" t="s">
        <v>30888</v>
      </c>
      <c r="UI40" s="1" t="s">
        <v>30889</v>
      </c>
      <c r="UJ40" s="1" t="s">
        <v>30890</v>
      </c>
      <c r="UK40" s="1" t="s">
        <v>30891</v>
      </c>
      <c r="UL40" s="1" t="s">
        <v>30892</v>
      </c>
      <c r="UM40" s="1" t="s">
        <v>30893</v>
      </c>
      <c r="UN40" s="1" t="s">
        <v>30894</v>
      </c>
      <c r="UO40" s="1" t="s">
        <v>30895</v>
      </c>
      <c r="UP40" s="1" t="s">
        <v>30896</v>
      </c>
      <c r="UQ40" s="1" t="s">
        <v>30897</v>
      </c>
      <c r="UR40" s="1" t="s">
        <v>30898</v>
      </c>
      <c r="US40" s="1" t="s">
        <v>30899</v>
      </c>
      <c r="UT40" s="1" t="s">
        <v>30900</v>
      </c>
      <c r="UU40" s="1" t="s">
        <v>30901</v>
      </c>
      <c r="UV40" s="1" t="s">
        <v>30902</v>
      </c>
      <c r="UW40" s="1" t="s">
        <v>30903</v>
      </c>
      <c r="UX40" s="1" t="s">
        <v>30904</v>
      </c>
      <c r="UY40" s="1" t="s">
        <v>30905</v>
      </c>
      <c r="UZ40" s="1" t="s">
        <v>30906</v>
      </c>
      <c r="VA40" s="1" t="s">
        <v>30907</v>
      </c>
      <c r="VB40" s="1" t="s">
        <v>30908</v>
      </c>
      <c r="VC40" s="1" t="s">
        <v>30909</v>
      </c>
      <c r="VD40" s="1" t="s">
        <v>30910</v>
      </c>
      <c r="VE40" s="1" t="s">
        <v>30911</v>
      </c>
      <c r="VF40" s="1" t="s">
        <v>30912</v>
      </c>
      <c r="VG40" s="1" t="s">
        <v>30913</v>
      </c>
      <c r="VH40" s="1" t="s">
        <v>30914</v>
      </c>
      <c r="VI40" s="1" t="s">
        <v>30915</v>
      </c>
      <c r="VJ40" s="1" t="s">
        <v>30916</v>
      </c>
      <c r="VK40" s="1" t="s">
        <v>30917</v>
      </c>
      <c r="VL40" s="1" t="s">
        <v>30918</v>
      </c>
      <c r="VM40" s="1" t="s">
        <v>30919</v>
      </c>
      <c r="VN40" s="1" t="s">
        <v>30920</v>
      </c>
      <c r="VO40" s="1" t="s">
        <v>30921</v>
      </c>
      <c r="VP40" s="1" t="s">
        <v>30922</v>
      </c>
      <c r="VQ40" s="1" t="s">
        <v>30923</v>
      </c>
      <c r="VR40" s="1" t="s">
        <v>30924</v>
      </c>
      <c r="VS40" s="1" t="s">
        <v>30925</v>
      </c>
      <c r="VT40" s="1" t="s">
        <v>30926</v>
      </c>
      <c r="VU40" s="1" t="s">
        <v>30927</v>
      </c>
      <c r="VV40" s="1" t="s">
        <v>30928</v>
      </c>
      <c r="VW40" s="1" t="s">
        <v>30929</v>
      </c>
      <c r="VX40" s="1" t="s">
        <v>30930</v>
      </c>
      <c r="VY40" s="1" t="s">
        <v>30931</v>
      </c>
      <c r="VZ40" s="1" t="s">
        <v>30932</v>
      </c>
      <c r="WA40" s="1" t="s">
        <v>30933</v>
      </c>
      <c r="WB40" s="1" t="s">
        <v>30934</v>
      </c>
      <c r="WC40" s="1" t="s">
        <v>30935</v>
      </c>
      <c r="WD40" s="1" t="s">
        <v>30936</v>
      </c>
      <c r="WE40" s="1" t="s">
        <v>30937</v>
      </c>
      <c r="WF40" s="1" t="s">
        <v>30938</v>
      </c>
      <c r="WG40" s="1" t="s">
        <v>30939</v>
      </c>
      <c r="WH40" s="1" t="s">
        <v>30940</v>
      </c>
      <c r="WI40" s="1" t="s">
        <v>30941</v>
      </c>
      <c r="WJ40" s="1" t="s">
        <v>30942</v>
      </c>
      <c r="WK40" s="1" t="s">
        <v>30943</v>
      </c>
      <c r="WL40" s="1" t="s">
        <v>30944</v>
      </c>
      <c r="WM40" s="1" t="s">
        <v>30945</v>
      </c>
      <c r="WN40" s="1" t="s">
        <v>30946</v>
      </c>
      <c r="WO40" s="1" t="s">
        <v>30947</v>
      </c>
      <c r="WP40" s="1" t="s">
        <v>30948</v>
      </c>
      <c r="WQ40" s="1" t="s">
        <v>30949</v>
      </c>
      <c r="WR40" s="1" t="s">
        <v>30950</v>
      </c>
      <c r="WS40" s="1" t="s">
        <v>30951</v>
      </c>
      <c r="WT40" s="1" t="s">
        <v>30952</v>
      </c>
      <c r="WU40" s="1" t="s">
        <v>30953</v>
      </c>
      <c r="WV40" s="1" t="s">
        <v>30954</v>
      </c>
      <c r="WW40" s="1" t="s">
        <v>30955</v>
      </c>
      <c r="WX40" s="1" t="s">
        <v>30956</v>
      </c>
      <c r="WY40" s="1" t="s">
        <v>30957</v>
      </c>
      <c r="WZ40" s="1" t="s">
        <v>30958</v>
      </c>
      <c r="XA40" s="1" t="s">
        <v>30959</v>
      </c>
      <c r="XB40" s="1" t="s">
        <v>30960</v>
      </c>
      <c r="XC40" s="1" t="s">
        <v>30961</v>
      </c>
      <c r="XD40" s="1" t="s">
        <v>30962</v>
      </c>
      <c r="XE40" s="1" t="s">
        <v>30963</v>
      </c>
      <c r="XF40" s="1" t="s">
        <v>30964</v>
      </c>
      <c r="XG40" s="1" t="s">
        <v>30965</v>
      </c>
      <c r="XH40" s="1" t="s">
        <v>30966</v>
      </c>
      <c r="XI40" s="1" t="s">
        <v>30967</v>
      </c>
      <c r="XJ40" s="1" t="s">
        <v>30968</v>
      </c>
      <c r="XK40" s="1" t="s">
        <v>30969</v>
      </c>
      <c r="XL40" s="1" t="s">
        <v>30970</v>
      </c>
      <c r="XM40" s="1" t="s">
        <v>30971</v>
      </c>
      <c r="XN40" s="1" t="s">
        <v>30972</v>
      </c>
      <c r="XO40" s="1" t="s">
        <v>30973</v>
      </c>
      <c r="XP40" s="1" t="s">
        <v>30974</v>
      </c>
      <c r="XQ40" s="1" t="s">
        <v>30975</v>
      </c>
      <c r="XR40" s="1" t="s">
        <v>30976</v>
      </c>
      <c r="XS40" s="1" t="s">
        <v>30977</v>
      </c>
      <c r="XT40" s="1" t="s">
        <v>30978</v>
      </c>
      <c r="XU40" s="1" t="s">
        <v>30979</v>
      </c>
      <c r="XV40" s="1" t="s">
        <v>30980</v>
      </c>
      <c r="XW40" s="1" t="s">
        <v>30981</v>
      </c>
      <c r="XX40" s="1" t="s">
        <v>30982</v>
      </c>
      <c r="XY40" s="1" t="s">
        <v>30983</v>
      </c>
      <c r="XZ40" s="1" t="s">
        <v>30984</v>
      </c>
      <c r="YA40" s="1" t="s">
        <v>30985</v>
      </c>
      <c r="YB40" s="1" t="s">
        <v>30986</v>
      </c>
      <c r="YC40" s="1" t="s">
        <v>30987</v>
      </c>
      <c r="YD40" s="1" t="s">
        <v>30988</v>
      </c>
      <c r="YE40" s="1" t="s">
        <v>30989</v>
      </c>
      <c r="YF40" s="1" t="s">
        <v>30990</v>
      </c>
      <c r="YG40" s="1" t="s">
        <v>30991</v>
      </c>
      <c r="YH40" s="1" t="s">
        <v>30992</v>
      </c>
      <c r="YI40" s="1" t="s">
        <v>30993</v>
      </c>
      <c r="YJ40" s="1" t="s">
        <v>30994</v>
      </c>
      <c r="YK40" s="1" t="s">
        <v>30995</v>
      </c>
      <c r="YL40" s="1" t="s">
        <v>30996</v>
      </c>
      <c r="YM40" s="1" t="s">
        <v>30997</v>
      </c>
      <c r="YN40" s="1" t="s">
        <v>30998</v>
      </c>
      <c r="YO40" s="1" t="s">
        <v>30999</v>
      </c>
      <c r="YP40" s="1" t="s">
        <v>31000</v>
      </c>
      <c r="YQ40" s="1" t="s">
        <v>31001</v>
      </c>
      <c r="YR40" s="1" t="s">
        <v>31002</v>
      </c>
      <c r="YS40" s="1" t="s">
        <v>31003</v>
      </c>
      <c r="YT40" s="1" t="s">
        <v>31004</v>
      </c>
      <c r="YU40" s="1" t="s">
        <v>31005</v>
      </c>
      <c r="YV40" s="1" t="s">
        <v>31006</v>
      </c>
      <c r="YW40" s="1" t="s">
        <v>31007</v>
      </c>
      <c r="YX40" s="1" t="s">
        <v>31008</v>
      </c>
      <c r="YY40" s="1" t="s">
        <v>31009</v>
      </c>
      <c r="YZ40" s="1" t="s">
        <v>31010</v>
      </c>
      <c r="ZA40" s="1" t="s">
        <v>31011</v>
      </c>
      <c r="ZB40" s="1" t="s">
        <v>31012</v>
      </c>
      <c r="ZC40" s="1" t="s">
        <v>31013</v>
      </c>
      <c r="ZD40" s="1" t="s">
        <v>31014</v>
      </c>
      <c r="ZE40" s="1" t="s">
        <v>31015</v>
      </c>
      <c r="ZF40" s="1" t="s">
        <v>31016</v>
      </c>
      <c r="ZG40" s="1" t="s">
        <v>31017</v>
      </c>
      <c r="ZH40" s="1" t="s">
        <v>31018</v>
      </c>
      <c r="ZI40" s="1" t="s">
        <v>31019</v>
      </c>
      <c r="ZJ40" s="1" t="s">
        <v>31020</v>
      </c>
      <c r="ZK40" s="1" t="s">
        <v>31021</v>
      </c>
      <c r="ZL40" s="1" t="s">
        <v>31022</v>
      </c>
      <c r="ZM40" s="1" t="s">
        <v>31023</v>
      </c>
      <c r="ZN40" s="1" t="s">
        <v>31024</v>
      </c>
      <c r="ZO40" s="1" t="s">
        <v>31025</v>
      </c>
      <c r="ZP40" s="1" t="s">
        <v>31026</v>
      </c>
      <c r="ZQ40" s="1" t="s">
        <v>31027</v>
      </c>
      <c r="ZR40" s="1" t="s">
        <v>31028</v>
      </c>
      <c r="ZS40" s="1" t="s">
        <v>31029</v>
      </c>
      <c r="ZT40" s="1" t="s">
        <v>31030</v>
      </c>
      <c r="ZU40" s="1" t="s">
        <v>31031</v>
      </c>
      <c r="ZV40" s="1" t="s">
        <v>31032</v>
      </c>
      <c r="ZW40" s="1" t="s">
        <v>31033</v>
      </c>
      <c r="ZX40" s="1" t="s">
        <v>31034</v>
      </c>
      <c r="ZY40" s="1" t="s">
        <v>31035</v>
      </c>
      <c r="ZZ40" s="1" t="s">
        <v>31036</v>
      </c>
      <c r="AAA40" s="1" t="s">
        <v>31037</v>
      </c>
      <c r="AAB40" s="1" t="s">
        <v>31038</v>
      </c>
      <c r="AAC40" s="1" t="s">
        <v>31039</v>
      </c>
      <c r="AAD40" s="1" t="s">
        <v>31040</v>
      </c>
      <c r="AAE40" s="1" t="s">
        <v>31041</v>
      </c>
      <c r="AAF40" s="1" t="s">
        <v>31042</v>
      </c>
      <c r="AAG40" s="1" t="s">
        <v>31043</v>
      </c>
      <c r="AAH40" s="1" t="s">
        <v>31044</v>
      </c>
      <c r="AAI40" s="1" t="s">
        <v>31045</v>
      </c>
      <c r="AAJ40" s="1" t="s">
        <v>31046</v>
      </c>
      <c r="AAK40" s="1" t="s">
        <v>31047</v>
      </c>
      <c r="AAL40" s="1" t="s">
        <v>31048</v>
      </c>
      <c r="AAM40" s="1" t="s">
        <v>31049</v>
      </c>
      <c r="AAN40" s="1" t="s">
        <v>31050</v>
      </c>
      <c r="AAO40" s="1" t="s">
        <v>31051</v>
      </c>
      <c r="AAP40" s="1" t="s">
        <v>31052</v>
      </c>
      <c r="AAQ40" s="1" t="s">
        <v>31053</v>
      </c>
      <c r="AAR40" s="1" t="s">
        <v>31054</v>
      </c>
      <c r="AAS40" s="1" t="s">
        <v>31055</v>
      </c>
      <c r="AAT40" s="1" t="s">
        <v>31056</v>
      </c>
      <c r="AAU40" s="1" t="s">
        <v>31057</v>
      </c>
      <c r="AAV40" s="1" t="s">
        <v>31058</v>
      </c>
      <c r="AAW40" s="1" t="s">
        <v>31059</v>
      </c>
      <c r="AAX40" s="1" t="s">
        <v>31060</v>
      </c>
      <c r="AAY40" s="1" t="s">
        <v>31061</v>
      </c>
      <c r="AAZ40" s="1" t="s">
        <v>31062</v>
      </c>
      <c r="ABA40" s="1" t="s">
        <v>31063</v>
      </c>
      <c r="ABB40" s="1" t="s">
        <v>31064</v>
      </c>
      <c r="ABC40" s="1" t="s">
        <v>31065</v>
      </c>
      <c r="ABD40" s="1" t="s">
        <v>31066</v>
      </c>
      <c r="ABE40" s="1" t="s">
        <v>31067</v>
      </c>
      <c r="ABF40" s="1" t="s">
        <v>31068</v>
      </c>
      <c r="ABG40" s="1" t="s">
        <v>31069</v>
      </c>
      <c r="ABH40" s="1" t="s">
        <v>31070</v>
      </c>
      <c r="ABI40" s="1" t="s">
        <v>31071</v>
      </c>
      <c r="ABJ40" s="1" t="s">
        <v>31072</v>
      </c>
      <c r="ABK40" s="1" t="s">
        <v>31073</v>
      </c>
      <c r="ABL40" s="1" t="s">
        <v>31074</v>
      </c>
      <c r="ABM40" s="1" t="s">
        <v>31075</v>
      </c>
      <c r="ABN40" s="1" t="s">
        <v>31076</v>
      </c>
      <c r="ABO40" s="1" t="s">
        <v>31077</v>
      </c>
      <c r="ABP40" s="1" t="s">
        <v>31078</v>
      </c>
      <c r="ABQ40" s="1" t="s">
        <v>31079</v>
      </c>
      <c r="ABR40" s="1" t="s">
        <v>31080</v>
      </c>
      <c r="ABS40" s="1" t="s">
        <v>31081</v>
      </c>
      <c r="ABT40" s="1" t="s">
        <v>31082</v>
      </c>
      <c r="ABU40" s="1" t="s">
        <v>31083</v>
      </c>
      <c r="ABV40" s="1" t="s">
        <v>31084</v>
      </c>
      <c r="ABW40" s="1" t="s">
        <v>31085</v>
      </c>
      <c r="ABX40" s="1" t="s">
        <v>31086</v>
      </c>
      <c r="ABY40" s="1" t="s">
        <v>31087</v>
      </c>
      <c r="ABZ40" s="1" t="s">
        <v>31088</v>
      </c>
      <c r="ACA40" s="1" t="s">
        <v>31089</v>
      </c>
      <c r="ACB40" s="1" t="s">
        <v>31090</v>
      </c>
      <c r="ACC40" s="1" t="s">
        <v>31091</v>
      </c>
      <c r="ACD40" s="1" t="s">
        <v>31092</v>
      </c>
      <c r="ACE40" s="1" t="s">
        <v>31093</v>
      </c>
      <c r="ACF40" s="1" t="s">
        <v>31094</v>
      </c>
      <c r="ACG40" s="1" t="s">
        <v>31095</v>
      </c>
      <c r="ACH40" s="1" t="s">
        <v>31096</v>
      </c>
      <c r="ACI40" s="1" t="s">
        <v>31097</v>
      </c>
      <c r="ACJ40" s="1" t="s">
        <v>31098</v>
      </c>
      <c r="ACK40" s="1" t="s">
        <v>31099</v>
      </c>
      <c r="ACL40" s="1" t="s">
        <v>31100</v>
      </c>
      <c r="ACM40" s="1" t="s">
        <v>31101</v>
      </c>
      <c r="ACN40" s="1" t="s">
        <v>31102</v>
      </c>
      <c r="ACO40" s="1" t="s">
        <v>31103</v>
      </c>
      <c r="ACP40" s="1" t="s">
        <v>31104</v>
      </c>
      <c r="ACQ40" s="1" t="s">
        <v>31105</v>
      </c>
      <c r="ACR40" s="1" t="s">
        <v>31106</v>
      </c>
      <c r="ACS40" s="1" t="s">
        <v>31107</v>
      </c>
      <c r="ACT40" s="1" t="s">
        <v>31108</v>
      </c>
      <c r="ACU40" s="1" t="s">
        <v>31109</v>
      </c>
      <c r="ACV40" s="1" t="s">
        <v>31110</v>
      </c>
      <c r="ACW40" s="1" t="s">
        <v>12</v>
      </c>
      <c r="ACX40" s="1" t="s">
        <v>1500</v>
      </c>
    </row>
    <row r="41" spans="1:778" x14ac:dyDescent="0.2">
      <c r="A41" s="1" t="s">
        <v>4</v>
      </c>
      <c r="B41" s="1" t="s">
        <v>31111</v>
      </c>
      <c r="C41" s="1" t="s">
        <v>31112</v>
      </c>
      <c r="D41" s="1" t="s">
        <v>31113</v>
      </c>
      <c r="E41" s="1" t="s">
        <v>31114</v>
      </c>
      <c r="F41" s="1" t="s">
        <v>31115</v>
      </c>
      <c r="G41" s="1" t="s">
        <v>31116</v>
      </c>
      <c r="H41" s="1" t="s">
        <v>31117</v>
      </c>
      <c r="I41" s="1" t="s">
        <v>31118</v>
      </c>
      <c r="J41" s="1" t="s">
        <v>31119</v>
      </c>
      <c r="K41" s="1" t="s">
        <v>31120</v>
      </c>
      <c r="L41" s="1" t="s">
        <v>31121</v>
      </c>
      <c r="M41" s="1" t="s">
        <v>31122</v>
      </c>
      <c r="N41" s="1" t="s">
        <v>31123</v>
      </c>
      <c r="O41" s="1" t="s">
        <v>31124</v>
      </c>
      <c r="P41" s="1" t="s">
        <v>31125</v>
      </c>
      <c r="Q41" s="1" t="s">
        <v>31126</v>
      </c>
      <c r="R41" s="1" t="s">
        <v>31127</v>
      </c>
      <c r="S41" s="1" t="s">
        <v>31128</v>
      </c>
      <c r="T41" s="1" t="s">
        <v>31129</v>
      </c>
      <c r="U41" s="1" t="s">
        <v>31130</v>
      </c>
      <c r="V41" s="1" t="s">
        <v>31131</v>
      </c>
      <c r="W41" s="1" t="s">
        <v>31132</v>
      </c>
      <c r="X41" s="1" t="s">
        <v>31133</v>
      </c>
      <c r="Y41" s="1" t="s">
        <v>31134</v>
      </c>
      <c r="Z41" s="1" t="s">
        <v>31135</v>
      </c>
      <c r="AA41" s="1" t="s">
        <v>31136</v>
      </c>
      <c r="AB41" s="1" t="s">
        <v>31137</v>
      </c>
      <c r="AC41" s="1" t="s">
        <v>31138</v>
      </c>
      <c r="AD41" s="1" t="s">
        <v>31139</v>
      </c>
      <c r="AE41" s="1" t="s">
        <v>31140</v>
      </c>
      <c r="AF41" s="1" t="s">
        <v>31141</v>
      </c>
      <c r="AG41" s="1" t="s">
        <v>31142</v>
      </c>
      <c r="AH41" s="1" t="s">
        <v>31143</v>
      </c>
      <c r="AI41" s="1" t="s">
        <v>31144</v>
      </c>
      <c r="AJ41" s="1" t="s">
        <v>31145</v>
      </c>
      <c r="AK41" s="1" t="s">
        <v>31146</v>
      </c>
      <c r="AL41" s="1" t="s">
        <v>31147</v>
      </c>
      <c r="AM41" s="1" t="s">
        <v>31148</v>
      </c>
      <c r="AN41" s="1" t="s">
        <v>31149</v>
      </c>
      <c r="AO41" s="1" t="s">
        <v>31150</v>
      </c>
      <c r="AP41" s="1" t="s">
        <v>31151</v>
      </c>
      <c r="AQ41" s="1" t="s">
        <v>31152</v>
      </c>
      <c r="AR41" s="1" t="s">
        <v>31153</v>
      </c>
      <c r="AS41" s="1" t="s">
        <v>31154</v>
      </c>
      <c r="AT41" s="1" t="s">
        <v>31155</v>
      </c>
      <c r="AU41" s="1" t="s">
        <v>31156</v>
      </c>
      <c r="AV41" s="1" t="s">
        <v>31157</v>
      </c>
      <c r="AW41" s="1" t="s">
        <v>31158</v>
      </c>
      <c r="AX41" s="1" t="s">
        <v>31159</v>
      </c>
      <c r="AY41" s="1" t="s">
        <v>31160</v>
      </c>
      <c r="AZ41" s="1" t="s">
        <v>31161</v>
      </c>
      <c r="BA41" s="1" t="s">
        <v>31162</v>
      </c>
      <c r="BB41" s="1" t="s">
        <v>31163</v>
      </c>
      <c r="BC41" s="1" t="s">
        <v>31164</v>
      </c>
      <c r="BD41" s="1" t="s">
        <v>31165</v>
      </c>
      <c r="BE41" s="1" t="s">
        <v>31166</v>
      </c>
      <c r="BF41" s="1" t="s">
        <v>31167</v>
      </c>
      <c r="BG41" s="1" t="s">
        <v>31168</v>
      </c>
      <c r="BH41" s="1" t="s">
        <v>31169</v>
      </c>
      <c r="BI41" s="1" t="s">
        <v>31170</v>
      </c>
      <c r="BJ41" s="1" t="s">
        <v>31171</v>
      </c>
      <c r="BK41" s="1" t="s">
        <v>31172</v>
      </c>
      <c r="BL41" s="1" t="s">
        <v>31173</v>
      </c>
      <c r="BM41" s="1" t="s">
        <v>31174</v>
      </c>
      <c r="BN41" s="1" t="s">
        <v>31175</v>
      </c>
      <c r="BO41" s="1" t="s">
        <v>31176</v>
      </c>
      <c r="BP41" s="1" t="s">
        <v>31177</v>
      </c>
      <c r="BQ41" s="1" t="s">
        <v>31178</v>
      </c>
      <c r="BR41" s="1" t="s">
        <v>31179</v>
      </c>
      <c r="BS41" s="1" t="s">
        <v>31180</v>
      </c>
      <c r="BT41" s="1" t="s">
        <v>31181</v>
      </c>
      <c r="BU41" s="1" t="s">
        <v>31182</v>
      </c>
      <c r="BV41" s="1" t="s">
        <v>31183</v>
      </c>
      <c r="BW41" s="1" t="s">
        <v>31184</v>
      </c>
      <c r="BX41" s="1" t="s">
        <v>31185</v>
      </c>
      <c r="BY41" s="1" t="s">
        <v>31186</v>
      </c>
      <c r="BZ41" s="1" t="s">
        <v>31187</v>
      </c>
      <c r="CA41" s="1" t="s">
        <v>31188</v>
      </c>
      <c r="CB41" s="1" t="s">
        <v>31189</v>
      </c>
      <c r="CC41" s="1" t="s">
        <v>31190</v>
      </c>
      <c r="CD41" s="1" t="s">
        <v>31191</v>
      </c>
      <c r="CE41" s="1" t="s">
        <v>31192</v>
      </c>
      <c r="CF41" s="1" t="s">
        <v>31193</v>
      </c>
      <c r="CG41" s="1" t="s">
        <v>31194</v>
      </c>
      <c r="CH41" s="1" t="s">
        <v>31195</v>
      </c>
      <c r="CI41" s="1" t="s">
        <v>31196</v>
      </c>
      <c r="CJ41" s="1" t="s">
        <v>31197</v>
      </c>
      <c r="CK41" s="1" t="s">
        <v>31198</v>
      </c>
      <c r="CL41" s="1" t="s">
        <v>31199</v>
      </c>
      <c r="CM41" s="1" t="s">
        <v>31200</v>
      </c>
      <c r="CN41" s="1" t="s">
        <v>31201</v>
      </c>
      <c r="CO41" s="1" t="s">
        <v>31202</v>
      </c>
      <c r="CP41" s="1" t="s">
        <v>31203</v>
      </c>
      <c r="CQ41" s="1" t="s">
        <v>31204</v>
      </c>
      <c r="CR41" s="1" t="s">
        <v>31205</v>
      </c>
      <c r="CS41" s="1" t="s">
        <v>31206</v>
      </c>
      <c r="CT41" s="1" t="s">
        <v>31207</v>
      </c>
      <c r="CU41" s="1" t="s">
        <v>31208</v>
      </c>
      <c r="CV41" s="1" t="s">
        <v>31209</v>
      </c>
      <c r="CW41" s="1" t="s">
        <v>31210</v>
      </c>
      <c r="CX41" s="1" t="s">
        <v>31211</v>
      </c>
      <c r="CY41" s="1" t="s">
        <v>31212</v>
      </c>
      <c r="CZ41" s="1" t="s">
        <v>31213</v>
      </c>
      <c r="DA41" s="1" t="s">
        <v>31214</v>
      </c>
      <c r="DB41" s="1" t="s">
        <v>31215</v>
      </c>
      <c r="DC41" s="1" t="s">
        <v>31216</v>
      </c>
      <c r="DD41" s="1" t="s">
        <v>31217</v>
      </c>
      <c r="DE41" s="1" t="s">
        <v>31218</v>
      </c>
      <c r="DF41" s="1" t="s">
        <v>31219</v>
      </c>
      <c r="DG41" s="1" t="s">
        <v>31220</v>
      </c>
      <c r="DH41" s="1" t="s">
        <v>31221</v>
      </c>
      <c r="DI41" s="1" t="s">
        <v>31222</v>
      </c>
      <c r="DJ41" s="1" t="s">
        <v>31223</v>
      </c>
      <c r="DK41" s="1" t="s">
        <v>31224</v>
      </c>
      <c r="DL41" s="1" t="s">
        <v>31225</v>
      </c>
      <c r="DM41" s="1" t="s">
        <v>31226</v>
      </c>
      <c r="DN41" s="1" t="s">
        <v>31227</v>
      </c>
      <c r="DO41" s="1" t="s">
        <v>31228</v>
      </c>
      <c r="DP41" s="1" t="s">
        <v>31229</v>
      </c>
      <c r="DQ41" s="1" t="s">
        <v>31230</v>
      </c>
      <c r="DR41" s="1" t="s">
        <v>31231</v>
      </c>
      <c r="DS41" s="1" t="s">
        <v>31232</v>
      </c>
      <c r="DT41" s="1" t="s">
        <v>31233</v>
      </c>
      <c r="DU41" s="1" t="s">
        <v>31234</v>
      </c>
      <c r="DV41" s="1" t="s">
        <v>31235</v>
      </c>
      <c r="DW41" s="1" t="s">
        <v>31236</v>
      </c>
      <c r="DX41" s="1" t="s">
        <v>31237</v>
      </c>
      <c r="DY41" s="1" t="s">
        <v>31238</v>
      </c>
      <c r="DZ41" s="1" t="s">
        <v>31239</v>
      </c>
      <c r="EA41" s="1" t="s">
        <v>31240</v>
      </c>
      <c r="EB41" s="1" t="s">
        <v>31241</v>
      </c>
      <c r="EC41" s="1" t="s">
        <v>31242</v>
      </c>
      <c r="ED41" s="1" t="s">
        <v>31243</v>
      </c>
      <c r="EE41" s="1" t="s">
        <v>31244</v>
      </c>
      <c r="EF41" s="1" t="s">
        <v>31245</v>
      </c>
      <c r="EG41" s="1" t="s">
        <v>31246</v>
      </c>
      <c r="EH41" s="1" t="s">
        <v>31247</v>
      </c>
      <c r="EI41" s="1" t="s">
        <v>31248</v>
      </c>
      <c r="EJ41" s="1" t="s">
        <v>31249</v>
      </c>
      <c r="EK41" s="1" t="s">
        <v>31250</v>
      </c>
      <c r="EL41" s="1" t="s">
        <v>31251</v>
      </c>
      <c r="EM41" s="1" t="s">
        <v>31252</v>
      </c>
      <c r="EN41" s="1" t="s">
        <v>31253</v>
      </c>
      <c r="EO41" s="1" t="s">
        <v>31254</v>
      </c>
      <c r="EP41" s="1" t="s">
        <v>31255</v>
      </c>
      <c r="EQ41" s="1" t="s">
        <v>31256</v>
      </c>
      <c r="ER41" s="1" t="s">
        <v>31257</v>
      </c>
      <c r="ES41" s="1" t="s">
        <v>31258</v>
      </c>
      <c r="ET41" s="1" t="s">
        <v>31259</v>
      </c>
      <c r="EU41" s="1" t="s">
        <v>31260</v>
      </c>
      <c r="EV41" s="1" t="s">
        <v>31261</v>
      </c>
      <c r="EW41" s="1" t="s">
        <v>31262</v>
      </c>
      <c r="EX41" s="1" t="s">
        <v>31263</v>
      </c>
      <c r="EY41" s="1" t="s">
        <v>31264</v>
      </c>
      <c r="EZ41" s="1" t="s">
        <v>31265</v>
      </c>
      <c r="FA41" s="1" t="s">
        <v>31266</v>
      </c>
      <c r="FB41" s="1" t="s">
        <v>31267</v>
      </c>
      <c r="FC41" s="1" t="s">
        <v>31268</v>
      </c>
      <c r="FD41" s="1" t="s">
        <v>31269</v>
      </c>
      <c r="FE41" s="1" t="s">
        <v>31270</v>
      </c>
      <c r="FF41" s="1" t="s">
        <v>31271</v>
      </c>
      <c r="FG41" s="1" t="s">
        <v>31272</v>
      </c>
      <c r="FH41" s="1" t="s">
        <v>31273</v>
      </c>
      <c r="FI41" s="1" t="s">
        <v>31274</v>
      </c>
      <c r="FJ41" s="1" t="s">
        <v>31275</v>
      </c>
      <c r="FK41" s="1" t="s">
        <v>31276</v>
      </c>
      <c r="FL41" s="1" t="s">
        <v>31277</v>
      </c>
      <c r="FM41" s="1" t="s">
        <v>31278</v>
      </c>
      <c r="FN41" s="1" t="s">
        <v>31279</v>
      </c>
      <c r="FO41" s="1" t="s">
        <v>31280</v>
      </c>
      <c r="FP41" s="1" t="s">
        <v>31281</v>
      </c>
      <c r="FQ41" s="1" t="s">
        <v>31282</v>
      </c>
      <c r="FR41" s="1" t="s">
        <v>31283</v>
      </c>
      <c r="FS41" s="1" t="s">
        <v>31284</v>
      </c>
      <c r="FT41" s="1" t="s">
        <v>31285</v>
      </c>
      <c r="FU41" s="1" t="s">
        <v>31286</v>
      </c>
      <c r="FV41" s="1" t="s">
        <v>31287</v>
      </c>
      <c r="FW41" s="1" t="s">
        <v>31288</v>
      </c>
      <c r="FX41" s="1" t="s">
        <v>31289</v>
      </c>
      <c r="FY41" s="1" t="s">
        <v>31290</v>
      </c>
      <c r="FZ41" s="1" t="s">
        <v>31291</v>
      </c>
      <c r="GA41" s="1" t="s">
        <v>31292</v>
      </c>
      <c r="GB41" s="1" t="s">
        <v>31293</v>
      </c>
      <c r="GC41" s="1" t="s">
        <v>31294</v>
      </c>
      <c r="GD41" s="1" t="s">
        <v>31295</v>
      </c>
      <c r="GE41" s="1" t="s">
        <v>31296</v>
      </c>
      <c r="GF41" s="1" t="s">
        <v>31297</v>
      </c>
      <c r="GG41" s="1" t="s">
        <v>31298</v>
      </c>
      <c r="GH41" s="1" t="s">
        <v>31299</v>
      </c>
      <c r="GI41" s="1" t="s">
        <v>31300</v>
      </c>
      <c r="GJ41" s="1" t="s">
        <v>31301</v>
      </c>
      <c r="GK41" s="1" t="s">
        <v>31302</v>
      </c>
      <c r="GL41" s="1" t="s">
        <v>31303</v>
      </c>
      <c r="GM41" s="1" t="s">
        <v>31304</v>
      </c>
      <c r="GN41" s="1" t="s">
        <v>31305</v>
      </c>
      <c r="GO41" s="1" t="s">
        <v>31306</v>
      </c>
      <c r="GP41" s="1" t="s">
        <v>31307</v>
      </c>
      <c r="GQ41" s="1" t="s">
        <v>31308</v>
      </c>
      <c r="GR41" s="1" t="s">
        <v>31309</v>
      </c>
      <c r="GS41" s="1" t="s">
        <v>31310</v>
      </c>
      <c r="GT41" s="1" t="s">
        <v>31311</v>
      </c>
      <c r="GU41" s="1" t="s">
        <v>31312</v>
      </c>
      <c r="GV41" s="1" t="s">
        <v>31313</v>
      </c>
      <c r="GW41" s="1" t="s">
        <v>31314</v>
      </c>
      <c r="GX41" s="1" t="s">
        <v>31315</v>
      </c>
      <c r="GY41" s="1" t="s">
        <v>31316</v>
      </c>
      <c r="GZ41" s="1" t="s">
        <v>31317</v>
      </c>
      <c r="HA41" s="1" t="s">
        <v>31318</v>
      </c>
      <c r="HB41" s="1" t="s">
        <v>31319</v>
      </c>
      <c r="HC41" s="1" t="s">
        <v>31320</v>
      </c>
      <c r="HD41" s="1" t="s">
        <v>31321</v>
      </c>
      <c r="HE41" s="1" t="s">
        <v>31322</v>
      </c>
      <c r="HF41" s="1" t="s">
        <v>31323</v>
      </c>
      <c r="HG41" s="1" t="s">
        <v>31324</v>
      </c>
      <c r="HH41" s="1" t="s">
        <v>31325</v>
      </c>
      <c r="HI41" s="1" t="s">
        <v>31326</v>
      </c>
      <c r="HJ41" s="1" t="s">
        <v>31327</v>
      </c>
      <c r="HK41" s="1" t="s">
        <v>31328</v>
      </c>
      <c r="HL41" s="1" t="s">
        <v>31329</v>
      </c>
      <c r="HM41" s="1" t="s">
        <v>31330</v>
      </c>
      <c r="HN41" s="1" t="s">
        <v>31331</v>
      </c>
      <c r="HO41" s="1" t="s">
        <v>31332</v>
      </c>
      <c r="HP41" s="1" t="s">
        <v>31333</v>
      </c>
      <c r="HQ41" s="1" t="s">
        <v>31334</v>
      </c>
      <c r="HR41" s="1" t="s">
        <v>31335</v>
      </c>
      <c r="HS41" s="1" t="s">
        <v>31336</v>
      </c>
      <c r="HT41" s="1" t="s">
        <v>31337</v>
      </c>
      <c r="HU41" s="1" t="s">
        <v>31338</v>
      </c>
      <c r="HV41" s="1" t="s">
        <v>31339</v>
      </c>
      <c r="HW41" s="1" t="s">
        <v>31340</v>
      </c>
      <c r="HX41" s="1" t="s">
        <v>31341</v>
      </c>
      <c r="HY41" s="1" t="s">
        <v>31342</v>
      </c>
      <c r="HZ41" s="1" t="s">
        <v>31343</v>
      </c>
      <c r="IA41" s="1" t="s">
        <v>31344</v>
      </c>
      <c r="IB41" s="1" t="s">
        <v>31345</v>
      </c>
      <c r="IC41" s="1" t="s">
        <v>31346</v>
      </c>
      <c r="ID41" s="1" t="s">
        <v>31347</v>
      </c>
      <c r="IE41" s="1" t="s">
        <v>31348</v>
      </c>
      <c r="IF41" s="1" t="s">
        <v>31349</v>
      </c>
      <c r="IG41" s="1" t="s">
        <v>31350</v>
      </c>
      <c r="IH41" s="1" t="s">
        <v>31351</v>
      </c>
      <c r="II41" s="1" t="s">
        <v>31352</v>
      </c>
      <c r="IJ41" s="1" t="s">
        <v>31353</v>
      </c>
      <c r="IK41" s="1" t="s">
        <v>31354</v>
      </c>
      <c r="IL41" s="1" t="s">
        <v>31355</v>
      </c>
      <c r="IM41" s="1" t="s">
        <v>31356</v>
      </c>
      <c r="IN41" s="1" t="s">
        <v>31357</v>
      </c>
      <c r="IO41" s="1" t="s">
        <v>31358</v>
      </c>
      <c r="IP41" s="1" t="s">
        <v>31359</v>
      </c>
      <c r="IQ41" s="1" t="s">
        <v>31360</v>
      </c>
      <c r="IR41" s="1" t="s">
        <v>31361</v>
      </c>
      <c r="IS41" s="1" t="s">
        <v>31362</v>
      </c>
      <c r="IT41" s="1" t="s">
        <v>31363</v>
      </c>
      <c r="IU41" s="1" t="s">
        <v>31364</v>
      </c>
      <c r="IV41" s="1" t="s">
        <v>31365</v>
      </c>
      <c r="IW41" s="1" t="s">
        <v>31366</v>
      </c>
      <c r="IX41" s="1" t="s">
        <v>31367</v>
      </c>
      <c r="IY41" s="1" t="s">
        <v>31368</v>
      </c>
      <c r="IZ41" s="1" t="s">
        <v>31369</v>
      </c>
      <c r="JA41" s="1" t="s">
        <v>31370</v>
      </c>
      <c r="JB41" s="1" t="s">
        <v>31371</v>
      </c>
      <c r="JC41" s="1" t="s">
        <v>31372</v>
      </c>
      <c r="JD41" s="1" t="s">
        <v>31373</v>
      </c>
      <c r="JE41" s="1" t="s">
        <v>31374</v>
      </c>
      <c r="JF41" s="1" t="s">
        <v>31375</v>
      </c>
      <c r="JG41" s="1" t="s">
        <v>31376</v>
      </c>
      <c r="JH41" s="1" t="s">
        <v>31377</v>
      </c>
      <c r="JI41" s="1" t="s">
        <v>31378</v>
      </c>
      <c r="JJ41" s="1" t="s">
        <v>31379</v>
      </c>
      <c r="JK41" s="1" t="s">
        <v>31380</v>
      </c>
      <c r="JL41" s="1" t="s">
        <v>31381</v>
      </c>
      <c r="JM41" s="1" t="s">
        <v>31382</v>
      </c>
      <c r="JN41" s="1" t="s">
        <v>31383</v>
      </c>
      <c r="JO41" s="1" t="s">
        <v>31384</v>
      </c>
      <c r="JP41" s="1" t="s">
        <v>31385</v>
      </c>
      <c r="JQ41" s="1" t="s">
        <v>31386</v>
      </c>
      <c r="JR41" s="1" t="s">
        <v>31387</v>
      </c>
      <c r="JS41" s="1" t="s">
        <v>31388</v>
      </c>
      <c r="JT41" s="1" t="s">
        <v>31389</v>
      </c>
      <c r="JU41" s="1" t="s">
        <v>31390</v>
      </c>
      <c r="JV41" s="1" t="s">
        <v>31391</v>
      </c>
      <c r="JW41" s="1" t="s">
        <v>31392</v>
      </c>
      <c r="JX41" s="1" t="s">
        <v>31393</v>
      </c>
      <c r="JY41" s="1" t="s">
        <v>31394</v>
      </c>
      <c r="JZ41" s="1" t="s">
        <v>31395</v>
      </c>
      <c r="KA41" s="1" t="s">
        <v>31396</v>
      </c>
      <c r="KB41" s="1" t="s">
        <v>31397</v>
      </c>
      <c r="KC41" s="1" t="s">
        <v>31398</v>
      </c>
      <c r="KD41" s="1" t="s">
        <v>31399</v>
      </c>
      <c r="KE41" s="1" t="s">
        <v>31400</v>
      </c>
      <c r="KF41" s="1" t="s">
        <v>31401</v>
      </c>
      <c r="KG41" s="1" t="s">
        <v>31402</v>
      </c>
      <c r="KH41" s="1" t="s">
        <v>31403</v>
      </c>
      <c r="KI41" s="1" t="s">
        <v>31404</v>
      </c>
      <c r="KJ41" s="1" t="s">
        <v>31405</v>
      </c>
      <c r="KK41" s="1" t="s">
        <v>31406</v>
      </c>
      <c r="KL41" s="1" t="s">
        <v>31407</v>
      </c>
      <c r="KM41" s="1" t="s">
        <v>31408</v>
      </c>
      <c r="KN41" s="1" t="s">
        <v>31409</v>
      </c>
      <c r="KO41" s="1" t="s">
        <v>31410</v>
      </c>
      <c r="KP41" s="1" t="s">
        <v>31411</v>
      </c>
      <c r="KQ41" s="1" t="s">
        <v>31412</v>
      </c>
      <c r="KR41" s="1" t="s">
        <v>31413</v>
      </c>
      <c r="KS41" s="1" t="s">
        <v>31414</v>
      </c>
      <c r="KT41" s="1" t="s">
        <v>31415</v>
      </c>
      <c r="KU41" s="1" t="s">
        <v>31416</v>
      </c>
      <c r="KV41" s="1" t="s">
        <v>31417</v>
      </c>
      <c r="KW41" s="1" t="s">
        <v>31418</v>
      </c>
      <c r="KX41" s="1" t="s">
        <v>31419</v>
      </c>
      <c r="KY41" s="1" t="s">
        <v>31420</v>
      </c>
      <c r="KZ41" s="1" t="s">
        <v>31421</v>
      </c>
      <c r="LA41" s="1" t="s">
        <v>31422</v>
      </c>
      <c r="LB41" s="1" t="s">
        <v>31423</v>
      </c>
      <c r="LC41" s="1" t="s">
        <v>31424</v>
      </c>
      <c r="LD41" s="1" t="s">
        <v>31425</v>
      </c>
      <c r="LE41" s="1" t="s">
        <v>31426</v>
      </c>
      <c r="LF41" s="1" t="s">
        <v>31427</v>
      </c>
      <c r="LG41" s="1" t="s">
        <v>31428</v>
      </c>
      <c r="LH41" s="1" t="s">
        <v>31429</v>
      </c>
      <c r="LI41" s="1" t="s">
        <v>31430</v>
      </c>
      <c r="LJ41" s="1" t="s">
        <v>31431</v>
      </c>
      <c r="LK41" s="1" t="s">
        <v>31432</v>
      </c>
      <c r="LL41" s="1" t="s">
        <v>31433</v>
      </c>
      <c r="LM41" s="1" t="s">
        <v>31434</v>
      </c>
      <c r="LN41" s="1" t="s">
        <v>31435</v>
      </c>
      <c r="LO41" s="1" t="s">
        <v>31436</v>
      </c>
      <c r="LP41" s="1" t="s">
        <v>31437</v>
      </c>
      <c r="LQ41" s="1" t="s">
        <v>31438</v>
      </c>
      <c r="LR41" s="1" t="s">
        <v>31439</v>
      </c>
      <c r="LS41" s="1" t="s">
        <v>31440</v>
      </c>
      <c r="LT41" s="1" t="s">
        <v>31441</v>
      </c>
      <c r="LU41" s="1" t="s">
        <v>31442</v>
      </c>
      <c r="LV41" s="1" t="s">
        <v>31443</v>
      </c>
      <c r="LW41" s="1" t="s">
        <v>31444</v>
      </c>
      <c r="LX41" s="1" t="s">
        <v>31445</v>
      </c>
      <c r="LY41" s="1" t="s">
        <v>31446</v>
      </c>
      <c r="LZ41" s="1" t="s">
        <v>31447</v>
      </c>
      <c r="MA41" s="1" t="s">
        <v>31448</v>
      </c>
      <c r="MB41" s="1" t="s">
        <v>31449</v>
      </c>
      <c r="MC41" s="1" t="s">
        <v>31450</v>
      </c>
      <c r="MD41" s="1" t="s">
        <v>31451</v>
      </c>
      <c r="ME41" s="1" t="s">
        <v>31452</v>
      </c>
      <c r="MF41" s="1" t="s">
        <v>31453</v>
      </c>
      <c r="MG41" s="1" t="s">
        <v>31454</v>
      </c>
      <c r="MH41" s="1" t="s">
        <v>31455</v>
      </c>
      <c r="MI41" s="1" t="s">
        <v>31456</v>
      </c>
      <c r="MJ41" s="1" t="s">
        <v>31457</v>
      </c>
      <c r="MK41" s="1" t="s">
        <v>31458</v>
      </c>
      <c r="ML41" s="1" t="s">
        <v>31459</v>
      </c>
      <c r="MM41" s="1" t="s">
        <v>31460</v>
      </c>
      <c r="MN41" s="1" t="s">
        <v>31461</v>
      </c>
      <c r="MO41" s="1" t="s">
        <v>31462</v>
      </c>
      <c r="MP41" s="1" t="s">
        <v>31463</v>
      </c>
      <c r="MQ41" s="1" t="s">
        <v>31464</v>
      </c>
      <c r="MR41" s="1" t="s">
        <v>31465</v>
      </c>
      <c r="MS41" s="1" t="s">
        <v>31466</v>
      </c>
      <c r="MT41" s="1" t="s">
        <v>31467</v>
      </c>
      <c r="MU41" s="1" t="s">
        <v>31468</v>
      </c>
      <c r="MV41" s="1" t="s">
        <v>31469</v>
      </c>
      <c r="MW41" s="1" t="s">
        <v>31470</v>
      </c>
      <c r="MX41" s="1" t="s">
        <v>31471</v>
      </c>
      <c r="MY41" s="1" t="s">
        <v>31472</v>
      </c>
      <c r="MZ41" s="1" t="s">
        <v>31473</v>
      </c>
      <c r="NA41" s="1" t="s">
        <v>31474</v>
      </c>
      <c r="NB41" s="1" t="s">
        <v>31475</v>
      </c>
      <c r="NC41" s="1" t="s">
        <v>31476</v>
      </c>
      <c r="ND41" s="1" t="s">
        <v>31477</v>
      </c>
      <c r="NE41" s="1" t="s">
        <v>31478</v>
      </c>
      <c r="NF41" s="1" t="s">
        <v>31479</v>
      </c>
      <c r="NG41" s="1" t="s">
        <v>31480</v>
      </c>
      <c r="NH41" s="1" t="s">
        <v>31481</v>
      </c>
      <c r="NI41" s="1" t="s">
        <v>31482</v>
      </c>
      <c r="NJ41" s="1" t="s">
        <v>31483</v>
      </c>
      <c r="NK41" s="1" t="s">
        <v>31484</v>
      </c>
      <c r="NL41" s="1" t="s">
        <v>31485</v>
      </c>
      <c r="NM41" s="1" t="s">
        <v>31486</v>
      </c>
      <c r="NN41" s="1" t="s">
        <v>31487</v>
      </c>
      <c r="NO41" s="1" t="s">
        <v>31488</v>
      </c>
      <c r="NP41" s="1" t="s">
        <v>31489</v>
      </c>
      <c r="NQ41" s="1" t="s">
        <v>31490</v>
      </c>
      <c r="NR41" s="1" t="s">
        <v>31491</v>
      </c>
      <c r="NS41" s="1" t="s">
        <v>31492</v>
      </c>
      <c r="NT41" s="1" t="s">
        <v>31493</v>
      </c>
      <c r="NU41" s="1" t="s">
        <v>31494</v>
      </c>
      <c r="NV41" s="1" t="s">
        <v>31495</v>
      </c>
      <c r="NW41" s="1" t="s">
        <v>31496</v>
      </c>
      <c r="NX41" s="1" t="s">
        <v>31497</v>
      </c>
      <c r="NY41" s="1" t="s">
        <v>31498</v>
      </c>
      <c r="NZ41" s="1" t="s">
        <v>31499</v>
      </c>
      <c r="OA41" s="1" t="s">
        <v>31500</v>
      </c>
      <c r="OB41" s="1" t="s">
        <v>31501</v>
      </c>
      <c r="OC41" s="1" t="s">
        <v>31502</v>
      </c>
      <c r="OD41" s="1" t="s">
        <v>31503</v>
      </c>
      <c r="OE41" s="1" t="s">
        <v>31504</v>
      </c>
      <c r="OF41" s="1" t="s">
        <v>31505</v>
      </c>
      <c r="OG41" s="1" t="s">
        <v>31506</v>
      </c>
      <c r="OH41" s="1" t="s">
        <v>31507</v>
      </c>
      <c r="OI41" s="1" t="s">
        <v>31508</v>
      </c>
      <c r="OJ41" s="1" t="s">
        <v>31509</v>
      </c>
      <c r="OK41" s="1" t="s">
        <v>31510</v>
      </c>
      <c r="OL41" s="1" t="s">
        <v>31511</v>
      </c>
      <c r="OM41" s="1" t="s">
        <v>31512</v>
      </c>
      <c r="ON41" s="1" t="s">
        <v>31513</v>
      </c>
      <c r="OO41" s="1" t="s">
        <v>31514</v>
      </c>
      <c r="OP41" s="1" t="s">
        <v>31515</v>
      </c>
      <c r="OQ41" s="1" t="s">
        <v>31516</v>
      </c>
      <c r="OR41" s="1" t="s">
        <v>31517</v>
      </c>
      <c r="OS41" s="1" t="s">
        <v>31518</v>
      </c>
      <c r="OT41" s="1" t="s">
        <v>31519</v>
      </c>
      <c r="OU41" s="1" t="s">
        <v>31520</v>
      </c>
      <c r="OV41" s="1" t="s">
        <v>31521</v>
      </c>
      <c r="OW41" s="1" t="s">
        <v>31522</v>
      </c>
      <c r="OX41" s="1" t="s">
        <v>31523</v>
      </c>
      <c r="OY41" s="1" t="s">
        <v>31524</v>
      </c>
      <c r="OZ41" s="1" t="s">
        <v>31525</v>
      </c>
      <c r="PA41" s="1" t="s">
        <v>31526</v>
      </c>
      <c r="PB41" s="1" t="s">
        <v>31527</v>
      </c>
      <c r="PC41" s="1" t="s">
        <v>31528</v>
      </c>
      <c r="PD41" s="1" t="s">
        <v>31529</v>
      </c>
      <c r="PE41" s="1" t="s">
        <v>31530</v>
      </c>
      <c r="PF41" s="1" t="s">
        <v>31531</v>
      </c>
      <c r="PG41" s="1" t="s">
        <v>31532</v>
      </c>
      <c r="PH41" s="1" t="s">
        <v>31533</v>
      </c>
      <c r="PI41" s="1" t="s">
        <v>31534</v>
      </c>
      <c r="PJ41" s="1" t="s">
        <v>31535</v>
      </c>
      <c r="PK41" s="1" t="s">
        <v>31536</v>
      </c>
      <c r="PL41" s="1" t="s">
        <v>31537</v>
      </c>
      <c r="PM41" s="1" t="s">
        <v>31538</v>
      </c>
      <c r="PN41" s="1" t="s">
        <v>31539</v>
      </c>
      <c r="PO41" s="1" t="s">
        <v>31540</v>
      </c>
      <c r="PP41" s="1" t="s">
        <v>31541</v>
      </c>
      <c r="PQ41" s="1" t="s">
        <v>31542</v>
      </c>
      <c r="PR41" s="1" t="s">
        <v>31543</v>
      </c>
      <c r="PS41" s="1" t="s">
        <v>31544</v>
      </c>
      <c r="PT41" s="1" t="s">
        <v>31545</v>
      </c>
      <c r="PU41" s="1" t="s">
        <v>31546</v>
      </c>
      <c r="PV41" s="1" t="s">
        <v>31547</v>
      </c>
      <c r="PW41" s="1" t="s">
        <v>31548</v>
      </c>
      <c r="PX41" s="1" t="s">
        <v>31549</v>
      </c>
      <c r="PY41" s="1" t="s">
        <v>31550</v>
      </c>
      <c r="PZ41" s="1" t="s">
        <v>31551</v>
      </c>
      <c r="QA41" s="1" t="s">
        <v>31552</v>
      </c>
      <c r="QB41" s="1" t="s">
        <v>31553</v>
      </c>
      <c r="QC41" s="1" t="s">
        <v>31554</v>
      </c>
      <c r="QD41" s="1" t="s">
        <v>31555</v>
      </c>
      <c r="QE41" s="1" t="s">
        <v>31556</v>
      </c>
      <c r="QF41" s="1" t="s">
        <v>31557</v>
      </c>
      <c r="QG41" s="1" t="s">
        <v>31558</v>
      </c>
      <c r="QH41" s="1" t="s">
        <v>31559</v>
      </c>
      <c r="QI41" s="1" t="s">
        <v>31560</v>
      </c>
      <c r="QJ41" s="1" t="s">
        <v>31561</v>
      </c>
      <c r="QK41" s="1" t="s">
        <v>31562</v>
      </c>
      <c r="QL41" s="1" t="s">
        <v>31563</v>
      </c>
      <c r="QM41" s="1" t="s">
        <v>31564</v>
      </c>
      <c r="QN41" s="1" t="s">
        <v>31565</v>
      </c>
      <c r="QO41" s="1" t="s">
        <v>31566</v>
      </c>
      <c r="QP41" s="1" t="s">
        <v>31567</v>
      </c>
      <c r="QQ41" s="1" t="s">
        <v>31568</v>
      </c>
      <c r="QR41" s="1" t="s">
        <v>31569</v>
      </c>
      <c r="QS41" s="1" t="s">
        <v>31570</v>
      </c>
      <c r="QT41" s="1" t="s">
        <v>31571</v>
      </c>
      <c r="QU41" s="1" t="s">
        <v>31572</v>
      </c>
      <c r="QV41" s="1" t="s">
        <v>31573</v>
      </c>
      <c r="QW41" s="1" t="s">
        <v>31574</v>
      </c>
      <c r="QX41" s="1" t="s">
        <v>31575</v>
      </c>
      <c r="QY41" s="1" t="s">
        <v>31576</v>
      </c>
      <c r="QZ41" s="1" t="s">
        <v>31577</v>
      </c>
      <c r="RA41" s="1" t="s">
        <v>31578</v>
      </c>
      <c r="RB41" s="1" t="s">
        <v>31579</v>
      </c>
      <c r="RC41" s="1" t="s">
        <v>31580</v>
      </c>
      <c r="RD41" s="1" t="s">
        <v>31581</v>
      </c>
      <c r="RE41" s="1" t="s">
        <v>31582</v>
      </c>
      <c r="RF41" s="1" t="s">
        <v>31583</v>
      </c>
      <c r="RG41" s="1" t="s">
        <v>31584</v>
      </c>
      <c r="RH41" s="1" t="s">
        <v>31585</v>
      </c>
      <c r="RI41" s="1" t="s">
        <v>31586</v>
      </c>
      <c r="RJ41" s="1" t="s">
        <v>31587</v>
      </c>
      <c r="RK41" s="1" t="s">
        <v>31588</v>
      </c>
      <c r="RL41" s="1" t="s">
        <v>31589</v>
      </c>
      <c r="RM41" s="1" t="s">
        <v>31590</v>
      </c>
      <c r="RN41" s="1" t="s">
        <v>31591</v>
      </c>
      <c r="RO41" s="1" t="s">
        <v>31592</v>
      </c>
      <c r="RP41" s="1" t="s">
        <v>31593</v>
      </c>
      <c r="RQ41" s="1" t="s">
        <v>31594</v>
      </c>
      <c r="RR41" s="1" t="s">
        <v>31595</v>
      </c>
      <c r="RS41" s="1" t="s">
        <v>31596</v>
      </c>
      <c r="RT41" s="1" t="s">
        <v>31597</v>
      </c>
      <c r="RU41" s="1" t="s">
        <v>31598</v>
      </c>
      <c r="RV41" s="1" t="s">
        <v>31599</v>
      </c>
      <c r="RW41" s="1" t="s">
        <v>31600</v>
      </c>
      <c r="RX41" s="1" t="s">
        <v>31601</v>
      </c>
      <c r="RY41" s="1" t="s">
        <v>31602</v>
      </c>
      <c r="RZ41" s="1" t="s">
        <v>31603</v>
      </c>
      <c r="SA41" s="1" t="s">
        <v>31604</v>
      </c>
      <c r="SB41" s="1" t="s">
        <v>31605</v>
      </c>
      <c r="SC41" s="1" t="s">
        <v>31606</v>
      </c>
      <c r="SD41" s="1" t="s">
        <v>31607</v>
      </c>
      <c r="SE41" s="1" t="s">
        <v>31608</v>
      </c>
      <c r="SF41" s="1" t="s">
        <v>31609</v>
      </c>
      <c r="SG41" s="1" t="s">
        <v>31610</v>
      </c>
      <c r="SH41" s="1" t="s">
        <v>31611</v>
      </c>
      <c r="SI41" s="1" t="s">
        <v>31612</v>
      </c>
      <c r="SJ41" s="1" t="s">
        <v>31613</v>
      </c>
      <c r="SK41" s="1" t="s">
        <v>31614</v>
      </c>
      <c r="SL41" s="1" t="s">
        <v>31615</v>
      </c>
      <c r="SM41" s="1" t="s">
        <v>31616</v>
      </c>
      <c r="SN41" s="1" t="s">
        <v>31617</v>
      </c>
      <c r="SO41" s="1" t="s">
        <v>31618</v>
      </c>
      <c r="SP41" s="1" t="s">
        <v>31619</v>
      </c>
      <c r="SQ41" s="1" t="s">
        <v>31620</v>
      </c>
      <c r="SR41" s="1" t="s">
        <v>31621</v>
      </c>
      <c r="SS41" s="1" t="s">
        <v>31622</v>
      </c>
      <c r="ST41" s="1" t="s">
        <v>31623</v>
      </c>
      <c r="SU41" s="1" t="s">
        <v>31624</v>
      </c>
      <c r="SV41" s="1" t="s">
        <v>31625</v>
      </c>
      <c r="SW41" s="1" t="s">
        <v>31626</v>
      </c>
      <c r="SX41" s="1" t="s">
        <v>31627</v>
      </c>
      <c r="SY41" s="1" t="s">
        <v>31628</v>
      </c>
      <c r="SZ41" s="1" t="s">
        <v>31629</v>
      </c>
      <c r="TA41" s="1" t="s">
        <v>31630</v>
      </c>
      <c r="TB41" s="1" t="s">
        <v>31631</v>
      </c>
      <c r="TC41" s="1" t="s">
        <v>31632</v>
      </c>
      <c r="TD41" s="1" t="s">
        <v>31633</v>
      </c>
      <c r="TE41" s="1" t="s">
        <v>31634</v>
      </c>
      <c r="TF41" s="1" t="s">
        <v>31635</v>
      </c>
      <c r="TG41" s="1" t="s">
        <v>31636</v>
      </c>
      <c r="TH41" s="1" t="s">
        <v>31637</v>
      </c>
      <c r="TI41" s="1" t="s">
        <v>31638</v>
      </c>
      <c r="TJ41" s="1" t="s">
        <v>31639</v>
      </c>
      <c r="TK41" s="1" t="s">
        <v>31640</v>
      </c>
      <c r="TL41" s="1" t="s">
        <v>31641</v>
      </c>
      <c r="TM41" s="1" t="s">
        <v>31642</v>
      </c>
      <c r="TN41" s="1" t="s">
        <v>31643</v>
      </c>
      <c r="TO41" s="1" t="s">
        <v>31644</v>
      </c>
      <c r="TP41" s="1" t="s">
        <v>31645</v>
      </c>
      <c r="TQ41" s="1" t="s">
        <v>31646</v>
      </c>
      <c r="TR41" s="1" t="s">
        <v>31647</v>
      </c>
      <c r="TS41" s="1" t="s">
        <v>31648</v>
      </c>
      <c r="TT41" s="1" t="s">
        <v>31649</v>
      </c>
      <c r="TU41" s="1" t="s">
        <v>31650</v>
      </c>
      <c r="TV41" s="1" t="s">
        <v>31651</v>
      </c>
      <c r="TW41" s="1" t="s">
        <v>31652</v>
      </c>
      <c r="TX41" s="1" t="s">
        <v>31653</v>
      </c>
      <c r="TY41" s="1" t="s">
        <v>31654</v>
      </c>
      <c r="TZ41" s="1" t="s">
        <v>31655</v>
      </c>
      <c r="UA41" s="1" t="s">
        <v>31656</v>
      </c>
      <c r="UB41" s="1" t="s">
        <v>31657</v>
      </c>
      <c r="UC41" s="1" t="s">
        <v>31658</v>
      </c>
      <c r="UD41" s="1" t="s">
        <v>31659</v>
      </c>
      <c r="UE41" s="1" t="s">
        <v>31660</v>
      </c>
      <c r="UF41" s="1" t="s">
        <v>31661</v>
      </c>
      <c r="UG41" s="1" t="s">
        <v>31662</v>
      </c>
      <c r="UH41" s="1" t="s">
        <v>31663</v>
      </c>
      <c r="UI41" s="1" t="s">
        <v>31664</v>
      </c>
      <c r="UJ41" s="1" t="s">
        <v>31665</v>
      </c>
      <c r="UK41" s="1" t="s">
        <v>31666</v>
      </c>
      <c r="UL41" s="1" t="s">
        <v>31667</v>
      </c>
      <c r="UM41" s="1" t="s">
        <v>31668</v>
      </c>
      <c r="UN41" s="1" t="s">
        <v>31669</v>
      </c>
      <c r="UO41" s="1" t="s">
        <v>31670</v>
      </c>
      <c r="UP41" s="1" t="s">
        <v>31671</v>
      </c>
      <c r="UQ41" s="1" t="s">
        <v>31672</v>
      </c>
      <c r="UR41" s="1" t="s">
        <v>31673</v>
      </c>
      <c r="US41" s="1" t="s">
        <v>31674</v>
      </c>
      <c r="UT41" s="1" t="s">
        <v>31675</v>
      </c>
      <c r="UU41" s="1" t="s">
        <v>31676</v>
      </c>
      <c r="UV41" s="1" t="s">
        <v>31677</v>
      </c>
      <c r="UW41" s="1" t="s">
        <v>31678</v>
      </c>
      <c r="UX41" s="1" t="s">
        <v>31679</v>
      </c>
      <c r="UY41" s="1" t="s">
        <v>31680</v>
      </c>
      <c r="UZ41" s="1" t="s">
        <v>31681</v>
      </c>
      <c r="VA41" s="1" t="s">
        <v>31682</v>
      </c>
      <c r="VB41" s="1" t="s">
        <v>31683</v>
      </c>
      <c r="VC41" s="1" t="s">
        <v>31684</v>
      </c>
      <c r="VD41" s="1" t="s">
        <v>31685</v>
      </c>
      <c r="VE41" s="1" t="s">
        <v>31686</v>
      </c>
      <c r="VF41" s="1" t="s">
        <v>31687</v>
      </c>
      <c r="VG41" s="1" t="s">
        <v>31688</v>
      </c>
      <c r="VH41" s="1" t="s">
        <v>31689</v>
      </c>
      <c r="VI41" s="1" t="s">
        <v>31690</v>
      </c>
      <c r="VJ41" s="1" t="s">
        <v>31691</v>
      </c>
      <c r="VK41" s="1" t="s">
        <v>31692</v>
      </c>
      <c r="VL41" s="1" t="s">
        <v>31693</v>
      </c>
      <c r="VM41" s="1" t="s">
        <v>31694</v>
      </c>
      <c r="VN41" s="1" t="s">
        <v>31695</v>
      </c>
      <c r="VO41" s="1" t="s">
        <v>31696</v>
      </c>
      <c r="VP41" s="1" t="s">
        <v>31697</v>
      </c>
      <c r="VQ41" s="1" t="s">
        <v>31698</v>
      </c>
      <c r="VR41" s="1" t="s">
        <v>31699</v>
      </c>
      <c r="VS41" s="1" t="s">
        <v>31700</v>
      </c>
      <c r="VT41" s="1" t="s">
        <v>31701</v>
      </c>
      <c r="VU41" s="1" t="s">
        <v>31702</v>
      </c>
      <c r="VV41" s="1" t="s">
        <v>31703</v>
      </c>
      <c r="VW41" s="1" t="s">
        <v>31704</v>
      </c>
      <c r="VX41" s="1" t="s">
        <v>31705</v>
      </c>
      <c r="VY41" s="1" t="s">
        <v>31706</v>
      </c>
      <c r="VZ41" s="1" t="s">
        <v>31707</v>
      </c>
      <c r="WA41" s="1" t="s">
        <v>31708</v>
      </c>
      <c r="WB41" s="1" t="s">
        <v>31709</v>
      </c>
      <c r="WC41" s="1" t="s">
        <v>31710</v>
      </c>
      <c r="WD41" s="1" t="s">
        <v>31711</v>
      </c>
      <c r="WE41" s="1" t="s">
        <v>31712</v>
      </c>
      <c r="WF41" s="1" t="s">
        <v>31713</v>
      </c>
      <c r="WG41" s="1" t="s">
        <v>31714</v>
      </c>
      <c r="WH41" s="1" t="s">
        <v>31715</v>
      </c>
      <c r="WI41" s="1" t="s">
        <v>31716</v>
      </c>
      <c r="WJ41" s="1" t="s">
        <v>31717</v>
      </c>
      <c r="WK41" s="1" t="s">
        <v>31718</v>
      </c>
      <c r="WL41" s="1" t="s">
        <v>31719</v>
      </c>
      <c r="WM41" s="1" t="s">
        <v>31720</v>
      </c>
      <c r="WN41" s="1" t="s">
        <v>31721</v>
      </c>
      <c r="WO41" s="1" t="s">
        <v>31722</v>
      </c>
      <c r="WP41" s="1" t="s">
        <v>31723</v>
      </c>
      <c r="WQ41" s="1" t="s">
        <v>31724</v>
      </c>
      <c r="WR41" s="1" t="s">
        <v>31725</v>
      </c>
      <c r="WS41" s="1" t="s">
        <v>31726</v>
      </c>
      <c r="WT41" s="1" t="s">
        <v>31727</v>
      </c>
      <c r="WU41" s="1" t="s">
        <v>31728</v>
      </c>
      <c r="WV41" s="1" t="s">
        <v>31729</v>
      </c>
      <c r="WW41" s="1" t="s">
        <v>31730</v>
      </c>
      <c r="WX41" s="1" t="s">
        <v>31731</v>
      </c>
      <c r="WY41" s="1" t="s">
        <v>31732</v>
      </c>
      <c r="WZ41" s="1" t="s">
        <v>31733</v>
      </c>
      <c r="XA41" s="1" t="s">
        <v>31734</v>
      </c>
      <c r="XB41" s="1" t="s">
        <v>31735</v>
      </c>
      <c r="XC41" s="1" t="s">
        <v>31736</v>
      </c>
      <c r="XD41" s="1" t="s">
        <v>31737</v>
      </c>
      <c r="XE41" s="1" t="s">
        <v>31738</v>
      </c>
      <c r="XF41" s="1" t="s">
        <v>31739</v>
      </c>
      <c r="XG41" s="1" t="s">
        <v>31740</v>
      </c>
      <c r="XH41" s="1" t="s">
        <v>31741</v>
      </c>
      <c r="XI41" s="1" t="s">
        <v>31742</v>
      </c>
      <c r="XJ41" s="1" t="s">
        <v>31743</v>
      </c>
      <c r="XK41" s="1" t="s">
        <v>31744</v>
      </c>
      <c r="XL41" s="1" t="s">
        <v>31745</v>
      </c>
      <c r="XM41" s="1" t="s">
        <v>31746</v>
      </c>
      <c r="XN41" s="1" t="s">
        <v>31747</v>
      </c>
      <c r="XO41" s="1" t="s">
        <v>31748</v>
      </c>
      <c r="XP41" s="1" t="s">
        <v>31749</v>
      </c>
      <c r="XQ41" s="1" t="s">
        <v>31750</v>
      </c>
      <c r="XR41" s="1" t="s">
        <v>31751</v>
      </c>
      <c r="XS41" s="1" t="s">
        <v>31752</v>
      </c>
      <c r="XT41" s="1" t="s">
        <v>31753</v>
      </c>
      <c r="XU41" s="1" t="s">
        <v>31754</v>
      </c>
      <c r="XV41" s="1" t="s">
        <v>31755</v>
      </c>
      <c r="XW41" s="1" t="s">
        <v>31756</v>
      </c>
      <c r="XX41" s="1" t="s">
        <v>31757</v>
      </c>
      <c r="XY41" s="1" t="s">
        <v>31758</v>
      </c>
      <c r="XZ41" s="1" t="s">
        <v>31759</v>
      </c>
      <c r="YA41" s="1" t="s">
        <v>31760</v>
      </c>
      <c r="YB41" s="1" t="s">
        <v>31761</v>
      </c>
      <c r="YC41" s="1" t="s">
        <v>31762</v>
      </c>
      <c r="YD41" s="1" t="s">
        <v>31763</v>
      </c>
      <c r="YE41" s="1" t="s">
        <v>31764</v>
      </c>
      <c r="YF41" s="1" t="s">
        <v>31765</v>
      </c>
      <c r="YG41" s="1" t="s">
        <v>31766</v>
      </c>
      <c r="YH41" s="1" t="s">
        <v>31767</v>
      </c>
      <c r="YI41" s="1" t="s">
        <v>31768</v>
      </c>
      <c r="YJ41" s="1" t="s">
        <v>31769</v>
      </c>
      <c r="YK41" s="1" t="s">
        <v>31770</v>
      </c>
      <c r="YL41" s="1" t="s">
        <v>31771</v>
      </c>
      <c r="YM41" s="1" t="s">
        <v>31772</v>
      </c>
      <c r="YN41" s="1" t="s">
        <v>31773</v>
      </c>
      <c r="YO41" s="1" t="s">
        <v>31774</v>
      </c>
      <c r="YP41" s="1" t="s">
        <v>31775</v>
      </c>
      <c r="YQ41" s="1" t="s">
        <v>31776</v>
      </c>
      <c r="YR41" s="1" t="s">
        <v>31777</v>
      </c>
      <c r="YS41" s="1" t="s">
        <v>31778</v>
      </c>
      <c r="YT41" s="1" t="s">
        <v>31779</v>
      </c>
      <c r="YU41" s="1" t="s">
        <v>31780</v>
      </c>
      <c r="YV41" s="1" t="s">
        <v>31781</v>
      </c>
      <c r="YW41" s="1" t="s">
        <v>31782</v>
      </c>
      <c r="YX41" s="1" t="s">
        <v>31783</v>
      </c>
      <c r="YY41" s="1" t="s">
        <v>31784</v>
      </c>
      <c r="YZ41" s="1" t="s">
        <v>31785</v>
      </c>
      <c r="ZA41" s="1" t="s">
        <v>31786</v>
      </c>
      <c r="ZB41" s="1" t="s">
        <v>31787</v>
      </c>
      <c r="ZC41" s="1" t="s">
        <v>31788</v>
      </c>
      <c r="ZD41" s="1" t="s">
        <v>31789</v>
      </c>
      <c r="ZE41" s="1" t="s">
        <v>31790</v>
      </c>
      <c r="ZF41" s="1" t="s">
        <v>31791</v>
      </c>
      <c r="ZG41" s="1" t="s">
        <v>31792</v>
      </c>
      <c r="ZH41" s="1" t="s">
        <v>31793</v>
      </c>
      <c r="ZI41" s="1" t="s">
        <v>31794</v>
      </c>
      <c r="ZJ41" s="1" t="s">
        <v>31795</v>
      </c>
      <c r="ZK41" s="1" t="s">
        <v>31796</v>
      </c>
      <c r="ZL41" s="1" t="s">
        <v>31797</v>
      </c>
      <c r="ZM41" s="1" t="s">
        <v>31798</v>
      </c>
      <c r="ZN41" s="1" t="s">
        <v>31799</v>
      </c>
      <c r="ZO41" s="1" t="s">
        <v>31800</v>
      </c>
      <c r="ZP41" s="1" t="s">
        <v>31801</v>
      </c>
      <c r="ZQ41" s="1" t="s">
        <v>31802</v>
      </c>
      <c r="ZR41" s="1" t="s">
        <v>31803</v>
      </c>
      <c r="ZS41" s="1" t="s">
        <v>31804</v>
      </c>
      <c r="ZT41" s="1" t="s">
        <v>31805</v>
      </c>
      <c r="ZU41" s="1" t="s">
        <v>31806</v>
      </c>
      <c r="ZV41" s="1" t="s">
        <v>31807</v>
      </c>
      <c r="ZW41" s="1" t="s">
        <v>31808</v>
      </c>
      <c r="ZX41" s="1" t="s">
        <v>31809</v>
      </c>
      <c r="ZY41" s="1" t="s">
        <v>31810</v>
      </c>
      <c r="ZZ41" s="1" t="s">
        <v>31811</v>
      </c>
      <c r="AAA41" s="1" t="s">
        <v>31812</v>
      </c>
      <c r="AAB41" s="1" t="s">
        <v>31813</v>
      </c>
      <c r="AAC41" s="1" t="s">
        <v>31814</v>
      </c>
      <c r="AAD41" s="1" t="s">
        <v>31815</v>
      </c>
      <c r="AAE41" s="1" t="s">
        <v>31816</v>
      </c>
      <c r="AAF41" s="1" t="s">
        <v>31817</v>
      </c>
      <c r="AAG41" s="1" t="s">
        <v>31818</v>
      </c>
      <c r="AAH41" s="1" t="s">
        <v>31819</v>
      </c>
      <c r="AAI41" s="1" t="s">
        <v>31820</v>
      </c>
      <c r="AAJ41" s="1" t="s">
        <v>31821</v>
      </c>
      <c r="AAK41" s="1" t="s">
        <v>31822</v>
      </c>
      <c r="AAL41" s="1" t="s">
        <v>31823</v>
      </c>
      <c r="AAM41" s="1" t="s">
        <v>31824</v>
      </c>
      <c r="AAN41" s="1" t="s">
        <v>31825</v>
      </c>
      <c r="AAO41" s="1" t="s">
        <v>31826</v>
      </c>
      <c r="AAP41" s="1" t="s">
        <v>31827</v>
      </c>
      <c r="AAQ41" s="1" t="s">
        <v>31828</v>
      </c>
      <c r="AAR41" s="1" t="s">
        <v>31829</v>
      </c>
      <c r="AAS41" s="1" t="s">
        <v>31830</v>
      </c>
      <c r="AAT41" s="1" t="s">
        <v>31831</v>
      </c>
      <c r="AAU41" s="1" t="s">
        <v>31832</v>
      </c>
      <c r="AAV41" s="1" t="s">
        <v>31833</v>
      </c>
      <c r="AAW41" s="1" t="s">
        <v>31834</v>
      </c>
      <c r="AAX41" s="1" t="s">
        <v>31835</v>
      </c>
      <c r="AAY41" s="1" t="s">
        <v>31836</v>
      </c>
      <c r="AAZ41" s="1" t="s">
        <v>31837</v>
      </c>
      <c r="ABA41" s="1" t="s">
        <v>31838</v>
      </c>
      <c r="ABB41" s="1" t="s">
        <v>31839</v>
      </c>
      <c r="ABC41" s="1" t="s">
        <v>31840</v>
      </c>
      <c r="ABD41" s="1" t="s">
        <v>31841</v>
      </c>
      <c r="ABE41" s="1" t="s">
        <v>31842</v>
      </c>
      <c r="ABF41" s="1" t="s">
        <v>31843</v>
      </c>
      <c r="ABG41" s="1" t="s">
        <v>31844</v>
      </c>
      <c r="ABH41" s="1" t="s">
        <v>31845</v>
      </c>
      <c r="ABI41" s="1" t="s">
        <v>31846</v>
      </c>
      <c r="ABJ41" s="1" t="s">
        <v>31847</v>
      </c>
      <c r="ABK41" s="1" t="s">
        <v>31848</v>
      </c>
      <c r="ABL41" s="1" t="s">
        <v>31849</v>
      </c>
      <c r="ABM41" s="1" t="s">
        <v>31850</v>
      </c>
      <c r="ABN41" s="1" t="s">
        <v>31851</v>
      </c>
      <c r="ABO41" s="1" t="s">
        <v>31852</v>
      </c>
      <c r="ABP41" s="1" t="s">
        <v>31853</v>
      </c>
      <c r="ABQ41" s="1" t="s">
        <v>31854</v>
      </c>
      <c r="ABR41" s="1" t="s">
        <v>31855</v>
      </c>
      <c r="ABS41" s="1" t="s">
        <v>31856</v>
      </c>
      <c r="ABT41" s="1" t="s">
        <v>31857</v>
      </c>
      <c r="ABU41" s="1" t="s">
        <v>31858</v>
      </c>
      <c r="ABV41" s="1" t="s">
        <v>31859</v>
      </c>
      <c r="ABW41" s="1" t="s">
        <v>31860</v>
      </c>
      <c r="ABX41" s="1" t="s">
        <v>31861</v>
      </c>
      <c r="ABY41" s="1" t="s">
        <v>31862</v>
      </c>
      <c r="ABZ41" s="1" t="s">
        <v>31863</v>
      </c>
      <c r="ACA41" s="1" t="s">
        <v>31864</v>
      </c>
      <c r="ACB41" s="1" t="s">
        <v>31865</v>
      </c>
      <c r="ACC41" s="1" t="s">
        <v>31866</v>
      </c>
      <c r="ACD41" s="1" t="s">
        <v>31867</v>
      </c>
      <c r="ACE41" s="1" t="s">
        <v>31868</v>
      </c>
      <c r="ACF41" s="1" t="s">
        <v>31869</v>
      </c>
      <c r="ACG41" s="1" t="s">
        <v>31870</v>
      </c>
      <c r="ACH41" s="1" t="s">
        <v>31871</v>
      </c>
      <c r="ACI41" s="1" t="s">
        <v>31872</v>
      </c>
      <c r="ACJ41" s="1" t="s">
        <v>31873</v>
      </c>
      <c r="ACK41" s="1" t="s">
        <v>31874</v>
      </c>
      <c r="ACL41" s="1" t="s">
        <v>31875</v>
      </c>
      <c r="ACM41" s="1" t="s">
        <v>31876</v>
      </c>
      <c r="ACN41" s="1" t="s">
        <v>31877</v>
      </c>
      <c r="ACO41" s="1" t="s">
        <v>31878</v>
      </c>
      <c r="ACP41" s="1" t="s">
        <v>31879</v>
      </c>
      <c r="ACQ41" s="1" t="s">
        <v>31880</v>
      </c>
      <c r="ACR41" s="1" t="s">
        <v>31881</v>
      </c>
      <c r="ACS41" s="1" t="s">
        <v>31882</v>
      </c>
      <c r="ACT41" s="1" t="s">
        <v>31883</v>
      </c>
      <c r="ACU41" s="1" t="s">
        <v>31884</v>
      </c>
      <c r="ACV41" s="1" t="s">
        <v>31885</v>
      </c>
      <c r="ACW41" s="1" t="s">
        <v>3</v>
      </c>
      <c r="ACX41" s="1" t="s">
        <v>1503</v>
      </c>
    </row>
    <row r="42" spans="1:778" x14ac:dyDescent="0.2">
      <c r="A42" s="1" t="s">
        <v>53</v>
      </c>
      <c r="B42" s="1" t="s">
        <v>31886</v>
      </c>
      <c r="C42" s="1" t="s">
        <v>31887</v>
      </c>
      <c r="D42" s="1" t="s">
        <v>31888</v>
      </c>
      <c r="E42" s="1" t="s">
        <v>31889</v>
      </c>
      <c r="F42" s="1" t="s">
        <v>31890</v>
      </c>
      <c r="G42" s="1" t="s">
        <v>31891</v>
      </c>
      <c r="H42" s="1" t="s">
        <v>31892</v>
      </c>
      <c r="I42" s="1" t="s">
        <v>31893</v>
      </c>
      <c r="J42" s="1" t="s">
        <v>31894</v>
      </c>
      <c r="K42" s="1" t="s">
        <v>31895</v>
      </c>
      <c r="L42" s="1" t="s">
        <v>31896</v>
      </c>
      <c r="M42" s="1" t="s">
        <v>31897</v>
      </c>
      <c r="N42" s="1" t="s">
        <v>31898</v>
      </c>
      <c r="O42" s="1" t="s">
        <v>31899</v>
      </c>
      <c r="P42" s="1" t="s">
        <v>31900</v>
      </c>
      <c r="Q42" s="1" t="s">
        <v>31901</v>
      </c>
      <c r="R42" s="1" t="s">
        <v>31902</v>
      </c>
      <c r="S42" s="1" t="s">
        <v>31903</v>
      </c>
      <c r="T42" s="1" t="s">
        <v>31904</v>
      </c>
      <c r="U42" s="1" t="s">
        <v>31905</v>
      </c>
      <c r="V42" s="1" t="s">
        <v>31906</v>
      </c>
      <c r="W42" s="1" t="s">
        <v>31907</v>
      </c>
      <c r="X42" s="1" t="s">
        <v>31908</v>
      </c>
      <c r="Y42" s="1" t="s">
        <v>31909</v>
      </c>
      <c r="Z42" s="1" t="s">
        <v>31910</v>
      </c>
      <c r="AA42" s="1" t="s">
        <v>31911</v>
      </c>
      <c r="AB42" s="1" t="s">
        <v>31912</v>
      </c>
      <c r="AC42" s="1" t="s">
        <v>31913</v>
      </c>
      <c r="AD42" s="1" t="s">
        <v>31914</v>
      </c>
      <c r="AE42" s="1" t="s">
        <v>31915</v>
      </c>
      <c r="AF42" s="1" t="s">
        <v>31916</v>
      </c>
      <c r="AG42" s="1" t="s">
        <v>31917</v>
      </c>
      <c r="AH42" s="1" t="s">
        <v>31918</v>
      </c>
      <c r="AI42" s="1" t="s">
        <v>31919</v>
      </c>
      <c r="AJ42" s="1" t="s">
        <v>31920</v>
      </c>
      <c r="AK42" s="1" t="s">
        <v>31921</v>
      </c>
      <c r="AL42" s="1" t="s">
        <v>31922</v>
      </c>
      <c r="AM42" s="1" t="s">
        <v>31923</v>
      </c>
      <c r="AN42" s="1" t="s">
        <v>31924</v>
      </c>
      <c r="AO42" s="1" t="s">
        <v>31925</v>
      </c>
      <c r="AP42" s="1" t="s">
        <v>31926</v>
      </c>
      <c r="AQ42" s="1" t="s">
        <v>31927</v>
      </c>
      <c r="AR42" s="1" t="s">
        <v>31928</v>
      </c>
      <c r="AS42" s="1" t="s">
        <v>31929</v>
      </c>
      <c r="AT42" s="1" t="s">
        <v>31930</v>
      </c>
      <c r="AU42" s="1" t="s">
        <v>31931</v>
      </c>
      <c r="AV42" s="1" t="s">
        <v>31932</v>
      </c>
      <c r="AW42" s="1" t="s">
        <v>31933</v>
      </c>
      <c r="AX42" s="1" t="s">
        <v>31934</v>
      </c>
      <c r="AY42" s="1" t="s">
        <v>31935</v>
      </c>
      <c r="AZ42" s="1" t="s">
        <v>31936</v>
      </c>
      <c r="BA42" s="1" t="s">
        <v>31937</v>
      </c>
      <c r="BB42" s="1" t="s">
        <v>31938</v>
      </c>
      <c r="BC42" s="1" t="s">
        <v>31939</v>
      </c>
      <c r="BD42" s="1" t="s">
        <v>31940</v>
      </c>
      <c r="BE42" s="1" t="s">
        <v>31941</v>
      </c>
      <c r="BF42" s="1" t="s">
        <v>31942</v>
      </c>
      <c r="BG42" s="1" t="s">
        <v>31943</v>
      </c>
      <c r="BH42" s="1" t="s">
        <v>31944</v>
      </c>
      <c r="BI42" s="1" t="s">
        <v>31945</v>
      </c>
      <c r="BJ42" s="1" t="s">
        <v>31946</v>
      </c>
      <c r="BK42" s="1" t="s">
        <v>31947</v>
      </c>
      <c r="BL42" s="1" t="s">
        <v>31948</v>
      </c>
      <c r="BM42" s="1" t="s">
        <v>31949</v>
      </c>
      <c r="BN42" s="1" t="s">
        <v>31950</v>
      </c>
      <c r="BO42" s="1" t="s">
        <v>31951</v>
      </c>
      <c r="BP42" s="1" t="s">
        <v>31952</v>
      </c>
      <c r="BQ42" s="1" t="s">
        <v>31953</v>
      </c>
      <c r="BR42" s="1" t="s">
        <v>31954</v>
      </c>
      <c r="BS42" s="1" t="s">
        <v>31955</v>
      </c>
      <c r="BT42" s="1" t="s">
        <v>31956</v>
      </c>
      <c r="BU42" s="1" t="s">
        <v>31957</v>
      </c>
      <c r="BV42" s="1" t="s">
        <v>31958</v>
      </c>
      <c r="BW42" s="1" t="s">
        <v>31959</v>
      </c>
      <c r="BX42" s="1" t="s">
        <v>31960</v>
      </c>
      <c r="BY42" s="1" t="s">
        <v>31961</v>
      </c>
      <c r="BZ42" s="1" t="s">
        <v>31962</v>
      </c>
      <c r="CA42" s="1" t="s">
        <v>31963</v>
      </c>
      <c r="CB42" s="1" t="s">
        <v>31964</v>
      </c>
      <c r="CC42" s="1" t="s">
        <v>31965</v>
      </c>
      <c r="CD42" s="1" t="s">
        <v>31966</v>
      </c>
      <c r="CE42" s="1" t="s">
        <v>31967</v>
      </c>
      <c r="CF42" s="1" t="s">
        <v>31968</v>
      </c>
      <c r="CG42" s="1" t="s">
        <v>31969</v>
      </c>
      <c r="CH42" s="1" t="s">
        <v>31970</v>
      </c>
      <c r="CI42" s="1" t="s">
        <v>31971</v>
      </c>
      <c r="CJ42" s="1" t="s">
        <v>31972</v>
      </c>
      <c r="CK42" s="1" t="s">
        <v>31973</v>
      </c>
      <c r="CL42" s="1" t="s">
        <v>31974</v>
      </c>
      <c r="CM42" s="1" t="s">
        <v>31975</v>
      </c>
      <c r="CN42" s="1" t="s">
        <v>31976</v>
      </c>
      <c r="CO42" s="1" t="s">
        <v>31977</v>
      </c>
      <c r="CP42" s="1" t="s">
        <v>31978</v>
      </c>
      <c r="CQ42" s="1" t="s">
        <v>31979</v>
      </c>
      <c r="CR42" s="1" t="s">
        <v>31980</v>
      </c>
      <c r="CS42" s="1" t="s">
        <v>31981</v>
      </c>
      <c r="CT42" s="1" t="s">
        <v>31982</v>
      </c>
      <c r="CU42" s="1" t="s">
        <v>31983</v>
      </c>
      <c r="CV42" s="1" t="s">
        <v>31984</v>
      </c>
      <c r="CW42" s="1" t="s">
        <v>31985</v>
      </c>
      <c r="CX42" s="1" t="s">
        <v>31986</v>
      </c>
      <c r="CY42" s="1" t="s">
        <v>31987</v>
      </c>
      <c r="CZ42" s="1" t="s">
        <v>31988</v>
      </c>
      <c r="DA42" s="1" t="s">
        <v>31989</v>
      </c>
      <c r="DB42" s="1" t="s">
        <v>31990</v>
      </c>
      <c r="DC42" s="1" t="s">
        <v>31991</v>
      </c>
      <c r="DD42" s="1" t="s">
        <v>31992</v>
      </c>
      <c r="DE42" s="1" t="s">
        <v>31993</v>
      </c>
      <c r="DF42" s="1" t="s">
        <v>31994</v>
      </c>
      <c r="DG42" s="1" t="s">
        <v>31995</v>
      </c>
      <c r="DH42" s="1" t="s">
        <v>31996</v>
      </c>
      <c r="DI42" s="1" t="s">
        <v>31997</v>
      </c>
      <c r="DJ42" s="1" t="s">
        <v>31998</v>
      </c>
      <c r="DK42" s="1" t="s">
        <v>31999</v>
      </c>
      <c r="DL42" s="1" t="s">
        <v>32000</v>
      </c>
      <c r="DM42" s="1" t="s">
        <v>32001</v>
      </c>
      <c r="DN42" s="1" t="s">
        <v>32002</v>
      </c>
      <c r="DO42" s="1" t="s">
        <v>32003</v>
      </c>
      <c r="DP42" s="1" t="s">
        <v>32004</v>
      </c>
      <c r="DQ42" s="1" t="s">
        <v>32005</v>
      </c>
      <c r="DR42" s="1" t="s">
        <v>32006</v>
      </c>
      <c r="DS42" s="1" t="s">
        <v>32007</v>
      </c>
      <c r="DT42" s="1" t="s">
        <v>32008</v>
      </c>
      <c r="DU42" s="1" t="s">
        <v>32009</v>
      </c>
      <c r="DV42" s="1" t="s">
        <v>32010</v>
      </c>
      <c r="DW42" s="1" t="s">
        <v>32011</v>
      </c>
      <c r="DX42" s="1" t="s">
        <v>32012</v>
      </c>
      <c r="DY42" s="1" t="s">
        <v>32013</v>
      </c>
      <c r="DZ42" s="1" t="s">
        <v>32014</v>
      </c>
      <c r="EA42" s="1" t="s">
        <v>32015</v>
      </c>
      <c r="EB42" s="1" t="s">
        <v>32016</v>
      </c>
      <c r="EC42" s="1" t="s">
        <v>32017</v>
      </c>
      <c r="ED42" s="1" t="s">
        <v>32018</v>
      </c>
      <c r="EE42" s="1" t="s">
        <v>32019</v>
      </c>
      <c r="EF42" s="1" t="s">
        <v>32020</v>
      </c>
      <c r="EG42" s="1" t="s">
        <v>32021</v>
      </c>
      <c r="EH42" s="1" t="s">
        <v>32022</v>
      </c>
      <c r="EI42" s="1" t="s">
        <v>32023</v>
      </c>
      <c r="EJ42" s="1" t="s">
        <v>32024</v>
      </c>
      <c r="EK42" s="1" t="s">
        <v>32025</v>
      </c>
      <c r="EL42" s="1" t="s">
        <v>32026</v>
      </c>
      <c r="EM42" s="1" t="s">
        <v>32027</v>
      </c>
      <c r="EN42" s="1" t="s">
        <v>32028</v>
      </c>
      <c r="EO42" s="1" t="s">
        <v>32029</v>
      </c>
      <c r="EP42" s="1" t="s">
        <v>32030</v>
      </c>
      <c r="EQ42" s="1" t="s">
        <v>32031</v>
      </c>
      <c r="ER42" s="1" t="s">
        <v>32032</v>
      </c>
      <c r="ES42" s="1" t="s">
        <v>32033</v>
      </c>
      <c r="ET42" s="1" t="s">
        <v>32034</v>
      </c>
      <c r="EU42" s="1" t="s">
        <v>32035</v>
      </c>
      <c r="EV42" s="1" t="s">
        <v>32036</v>
      </c>
      <c r="EW42" s="1" t="s">
        <v>32037</v>
      </c>
      <c r="EX42" s="1" t="s">
        <v>32038</v>
      </c>
      <c r="EY42" s="1" t="s">
        <v>32039</v>
      </c>
      <c r="EZ42" s="1" t="s">
        <v>32040</v>
      </c>
      <c r="FA42" s="1" t="s">
        <v>32041</v>
      </c>
      <c r="FB42" s="1" t="s">
        <v>32042</v>
      </c>
      <c r="FC42" s="1" t="s">
        <v>32043</v>
      </c>
      <c r="FD42" s="1" t="s">
        <v>32044</v>
      </c>
      <c r="FE42" s="1" t="s">
        <v>32045</v>
      </c>
      <c r="FF42" s="1" t="s">
        <v>32046</v>
      </c>
      <c r="FG42" s="1" t="s">
        <v>32047</v>
      </c>
      <c r="FH42" s="1" t="s">
        <v>32048</v>
      </c>
      <c r="FI42" s="1" t="s">
        <v>32049</v>
      </c>
      <c r="FJ42" s="1" t="s">
        <v>32050</v>
      </c>
      <c r="FK42" s="1" t="s">
        <v>32051</v>
      </c>
      <c r="FL42" s="1" t="s">
        <v>32052</v>
      </c>
      <c r="FM42" s="1" t="s">
        <v>32053</v>
      </c>
      <c r="FN42" s="1" t="s">
        <v>32054</v>
      </c>
      <c r="FO42" s="1" t="s">
        <v>32055</v>
      </c>
      <c r="FP42" s="1" t="s">
        <v>32056</v>
      </c>
      <c r="FQ42" s="1" t="s">
        <v>32057</v>
      </c>
      <c r="FR42" s="1" t="s">
        <v>32058</v>
      </c>
      <c r="FS42" s="1" t="s">
        <v>32059</v>
      </c>
      <c r="FT42" s="1" t="s">
        <v>32060</v>
      </c>
      <c r="FU42" s="1" t="s">
        <v>32061</v>
      </c>
      <c r="FV42" s="1" t="s">
        <v>32062</v>
      </c>
      <c r="FW42" s="1" t="s">
        <v>32063</v>
      </c>
      <c r="FX42" s="1" t="s">
        <v>32064</v>
      </c>
      <c r="FY42" s="1" t="s">
        <v>32065</v>
      </c>
      <c r="FZ42" s="1" t="s">
        <v>32066</v>
      </c>
      <c r="GA42" s="1" t="s">
        <v>32067</v>
      </c>
      <c r="GB42" s="1" t="s">
        <v>32068</v>
      </c>
      <c r="GC42" s="1" t="s">
        <v>32069</v>
      </c>
      <c r="GD42" s="1" t="s">
        <v>32070</v>
      </c>
      <c r="GE42" s="1" t="s">
        <v>32071</v>
      </c>
      <c r="GF42" s="1" t="s">
        <v>32072</v>
      </c>
      <c r="GG42" s="1" t="s">
        <v>32073</v>
      </c>
      <c r="GH42" s="1" t="s">
        <v>32074</v>
      </c>
      <c r="GI42" s="1" t="s">
        <v>32075</v>
      </c>
      <c r="GJ42" s="1" t="s">
        <v>32076</v>
      </c>
      <c r="GK42" s="1" t="s">
        <v>32077</v>
      </c>
      <c r="GL42" s="1" t="s">
        <v>32078</v>
      </c>
      <c r="GM42" s="1" t="s">
        <v>32079</v>
      </c>
      <c r="GN42" s="1" t="s">
        <v>32080</v>
      </c>
      <c r="GO42" s="1" t="s">
        <v>32081</v>
      </c>
      <c r="GP42" s="1" t="s">
        <v>32082</v>
      </c>
      <c r="GQ42" s="1" t="s">
        <v>32083</v>
      </c>
      <c r="GR42" s="1" t="s">
        <v>32084</v>
      </c>
      <c r="GS42" s="1" t="s">
        <v>32085</v>
      </c>
      <c r="GT42" s="1" t="s">
        <v>32086</v>
      </c>
      <c r="GU42" s="1" t="s">
        <v>32087</v>
      </c>
      <c r="GV42" s="1" t="s">
        <v>32088</v>
      </c>
      <c r="GW42" s="1" t="s">
        <v>32089</v>
      </c>
      <c r="GX42" s="1" t="s">
        <v>32090</v>
      </c>
      <c r="GY42" s="1" t="s">
        <v>32091</v>
      </c>
      <c r="GZ42" s="1" t="s">
        <v>32092</v>
      </c>
      <c r="HA42" s="1" t="s">
        <v>32093</v>
      </c>
      <c r="HB42" s="1" t="s">
        <v>32094</v>
      </c>
      <c r="HC42" s="1" t="s">
        <v>32095</v>
      </c>
      <c r="HD42" s="1" t="s">
        <v>32096</v>
      </c>
      <c r="HE42" s="1" t="s">
        <v>32097</v>
      </c>
      <c r="HF42" s="1" t="s">
        <v>32098</v>
      </c>
      <c r="HG42" s="1" t="s">
        <v>32099</v>
      </c>
      <c r="HH42" s="1" t="s">
        <v>32100</v>
      </c>
      <c r="HI42" s="1" t="s">
        <v>32101</v>
      </c>
      <c r="HJ42" s="1" t="s">
        <v>32102</v>
      </c>
      <c r="HK42" s="1" t="s">
        <v>32103</v>
      </c>
      <c r="HL42" s="1" t="s">
        <v>32104</v>
      </c>
      <c r="HM42" s="1" t="s">
        <v>32105</v>
      </c>
      <c r="HN42" s="1" t="s">
        <v>32106</v>
      </c>
      <c r="HO42" s="1" t="s">
        <v>32107</v>
      </c>
      <c r="HP42" s="1" t="s">
        <v>32108</v>
      </c>
      <c r="HQ42" s="1" t="s">
        <v>32109</v>
      </c>
      <c r="HR42" s="1" t="s">
        <v>32110</v>
      </c>
      <c r="HS42" s="1" t="s">
        <v>32111</v>
      </c>
      <c r="HT42" s="1" t="s">
        <v>32112</v>
      </c>
      <c r="HU42" s="1" t="s">
        <v>32113</v>
      </c>
      <c r="HV42" s="1" t="s">
        <v>32114</v>
      </c>
      <c r="HW42" s="1" t="s">
        <v>32115</v>
      </c>
      <c r="HX42" s="1" t="s">
        <v>32116</v>
      </c>
      <c r="HY42" s="1" t="s">
        <v>32117</v>
      </c>
      <c r="HZ42" s="1" t="s">
        <v>32118</v>
      </c>
      <c r="IA42" s="1" t="s">
        <v>32119</v>
      </c>
      <c r="IB42" s="1" t="s">
        <v>32120</v>
      </c>
      <c r="IC42" s="1" t="s">
        <v>32121</v>
      </c>
      <c r="ID42" s="1" t="s">
        <v>32122</v>
      </c>
      <c r="IE42" s="1" t="s">
        <v>32123</v>
      </c>
      <c r="IF42" s="1" t="s">
        <v>32124</v>
      </c>
      <c r="IG42" s="1" t="s">
        <v>32125</v>
      </c>
      <c r="IH42" s="1" t="s">
        <v>32126</v>
      </c>
      <c r="II42" s="1" t="s">
        <v>32127</v>
      </c>
      <c r="IJ42" s="1" t="s">
        <v>32128</v>
      </c>
      <c r="IK42" s="1" t="s">
        <v>32129</v>
      </c>
      <c r="IL42" s="1" t="s">
        <v>32130</v>
      </c>
      <c r="IM42" s="1" t="s">
        <v>32131</v>
      </c>
      <c r="IN42" s="1" t="s">
        <v>32132</v>
      </c>
      <c r="IO42" s="1" t="s">
        <v>32133</v>
      </c>
      <c r="IP42" s="1" t="s">
        <v>32134</v>
      </c>
      <c r="IQ42" s="1" t="s">
        <v>32135</v>
      </c>
      <c r="IR42" s="1" t="s">
        <v>32136</v>
      </c>
      <c r="IS42" s="1" t="s">
        <v>32137</v>
      </c>
      <c r="IT42" s="1" t="s">
        <v>32138</v>
      </c>
      <c r="IU42" s="1" t="s">
        <v>32139</v>
      </c>
      <c r="IV42" s="1" t="s">
        <v>32140</v>
      </c>
      <c r="IW42" s="1" t="s">
        <v>32141</v>
      </c>
      <c r="IX42" s="1" t="s">
        <v>32142</v>
      </c>
      <c r="IY42" s="1" t="s">
        <v>32143</v>
      </c>
      <c r="IZ42" s="1" t="s">
        <v>32144</v>
      </c>
      <c r="JA42" s="1" t="s">
        <v>32145</v>
      </c>
      <c r="JB42" s="1" t="s">
        <v>32146</v>
      </c>
      <c r="JC42" s="1" t="s">
        <v>32147</v>
      </c>
      <c r="JD42" s="1" t="s">
        <v>32148</v>
      </c>
      <c r="JE42" s="1" t="s">
        <v>32149</v>
      </c>
      <c r="JF42" s="1" t="s">
        <v>32150</v>
      </c>
      <c r="JG42" s="1" t="s">
        <v>32151</v>
      </c>
      <c r="JH42" s="1" t="s">
        <v>32152</v>
      </c>
      <c r="JI42" s="1" t="s">
        <v>32153</v>
      </c>
      <c r="JJ42" s="1" t="s">
        <v>32154</v>
      </c>
      <c r="JK42" s="1" t="s">
        <v>32155</v>
      </c>
      <c r="JL42" s="1" t="s">
        <v>32156</v>
      </c>
      <c r="JM42" s="1" t="s">
        <v>32157</v>
      </c>
      <c r="JN42" s="1" t="s">
        <v>32158</v>
      </c>
      <c r="JO42" s="1" t="s">
        <v>32159</v>
      </c>
      <c r="JP42" s="1" t="s">
        <v>32160</v>
      </c>
      <c r="JQ42" s="1" t="s">
        <v>32161</v>
      </c>
      <c r="JR42" s="1" t="s">
        <v>32162</v>
      </c>
      <c r="JS42" s="1" t="s">
        <v>32163</v>
      </c>
      <c r="JT42" s="1" t="s">
        <v>32164</v>
      </c>
      <c r="JU42" s="1" t="s">
        <v>32165</v>
      </c>
      <c r="JV42" s="1" t="s">
        <v>32166</v>
      </c>
      <c r="JW42" s="1" t="s">
        <v>32167</v>
      </c>
      <c r="JX42" s="1" t="s">
        <v>32168</v>
      </c>
      <c r="JY42" s="1" t="s">
        <v>32169</v>
      </c>
      <c r="JZ42" s="1" t="s">
        <v>32170</v>
      </c>
      <c r="KA42" s="1" t="s">
        <v>32171</v>
      </c>
      <c r="KB42" s="1" t="s">
        <v>32172</v>
      </c>
      <c r="KC42" s="1" t="s">
        <v>32173</v>
      </c>
      <c r="KD42" s="1" t="s">
        <v>32174</v>
      </c>
      <c r="KE42" s="1" t="s">
        <v>32175</v>
      </c>
      <c r="KF42" s="1" t="s">
        <v>32176</v>
      </c>
      <c r="KG42" s="1" t="s">
        <v>32177</v>
      </c>
      <c r="KH42" s="1" t="s">
        <v>32178</v>
      </c>
      <c r="KI42" s="1" t="s">
        <v>32179</v>
      </c>
      <c r="KJ42" s="1" t="s">
        <v>32180</v>
      </c>
      <c r="KK42" s="1" t="s">
        <v>32181</v>
      </c>
      <c r="KL42" s="1" t="s">
        <v>32182</v>
      </c>
      <c r="KM42" s="1" t="s">
        <v>32183</v>
      </c>
      <c r="KN42" s="1" t="s">
        <v>32184</v>
      </c>
      <c r="KO42" s="1" t="s">
        <v>32185</v>
      </c>
      <c r="KP42" s="1" t="s">
        <v>32186</v>
      </c>
      <c r="KQ42" s="1" t="s">
        <v>32187</v>
      </c>
      <c r="KR42" s="1" t="s">
        <v>32188</v>
      </c>
      <c r="KS42" s="1" t="s">
        <v>32189</v>
      </c>
      <c r="KT42" s="1" t="s">
        <v>32190</v>
      </c>
      <c r="KU42" s="1" t="s">
        <v>32191</v>
      </c>
      <c r="KV42" s="1" t="s">
        <v>32192</v>
      </c>
      <c r="KW42" s="1" t="s">
        <v>32193</v>
      </c>
      <c r="KX42" s="1" t="s">
        <v>32194</v>
      </c>
      <c r="KY42" s="1" t="s">
        <v>32195</v>
      </c>
      <c r="KZ42" s="1" t="s">
        <v>32196</v>
      </c>
      <c r="LA42" s="1" t="s">
        <v>32197</v>
      </c>
      <c r="LB42" s="1" t="s">
        <v>32198</v>
      </c>
      <c r="LC42" s="1" t="s">
        <v>32199</v>
      </c>
      <c r="LD42" s="1" t="s">
        <v>32200</v>
      </c>
      <c r="LE42" s="1" t="s">
        <v>32201</v>
      </c>
      <c r="LF42" s="1" t="s">
        <v>32202</v>
      </c>
      <c r="LG42" s="1" t="s">
        <v>32203</v>
      </c>
      <c r="LH42" s="1" t="s">
        <v>32204</v>
      </c>
      <c r="LI42" s="1" t="s">
        <v>32205</v>
      </c>
      <c r="LJ42" s="1" t="s">
        <v>32206</v>
      </c>
      <c r="LK42" s="1" t="s">
        <v>32207</v>
      </c>
      <c r="LL42" s="1" t="s">
        <v>32208</v>
      </c>
      <c r="LM42" s="1" t="s">
        <v>32209</v>
      </c>
      <c r="LN42" s="1" t="s">
        <v>32210</v>
      </c>
      <c r="LO42" s="1" t="s">
        <v>32211</v>
      </c>
      <c r="LP42" s="1" t="s">
        <v>32212</v>
      </c>
      <c r="LQ42" s="1" t="s">
        <v>32213</v>
      </c>
      <c r="LR42" s="1" t="s">
        <v>32214</v>
      </c>
      <c r="LS42" s="1" t="s">
        <v>32215</v>
      </c>
      <c r="LT42" s="1" t="s">
        <v>32216</v>
      </c>
      <c r="LU42" s="1" t="s">
        <v>32217</v>
      </c>
      <c r="LV42" s="1" t="s">
        <v>32218</v>
      </c>
      <c r="LW42" s="1" t="s">
        <v>32219</v>
      </c>
      <c r="LX42" s="1" t="s">
        <v>32220</v>
      </c>
      <c r="LY42" s="1" t="s">
        <v>32221</v>
      </c>
      <c r="LZ42" s="1" t="s">
        <v>32222</v>
      </c>
      <c r="MA42" s="1" t="s">
        <v>32223</v>
      </c>
      <c r="MB42" s="1" t="s">
        <v>32224</v>
      </c>
      <c r="MC42" s="1" t="s">
        <v>32225</v>
      </c>
      <c r="MD42" s="1" t="s">
        <v>32226</v>
      </c>
      <c r="ME42" s="1" t="s">
        <v>32227</v>
      </c>
      <c r="MF42" s="1" t="s">
        <v>32228</v>
      </c>
      <c r="MG42" s="1" t="s">
        <v>32229</v>
      </c>
      <c r="MH42" s="1" t="s">
        <v>32230</v>
      </c>
      <c r="MI42" s="1" t="s">
        <v>32231</v>
      </c>
      <c r="MJ42" s="1" t="s">
        <v>32232</v>
      </c>
      <c r="MK42" s="1" t="s">
        <v>32233</v>
      </c>
      <c r="ML42" s="1" t="s">
        <v>32234</v>
      </c>
      <c r="MM42" s="1" t="s">
        <v>32235</v>
      </c>
      <c r="MN42" s="1" t="s">
        <v>32236</v>
      </c>
      <c r="MO42" s="1" t="s">
        <v>32237</v>
      </c>
      <c r="MP42" s="1" t="s">
        <v>32238</v>
      </c>
      <c r="MQ42" s="1" t="s">
        <v>32239</v>
      </c>
      <c r="MR42" s="1" t="s">
        <v>32240</v>
      </c>
      <c r="MS42" s="1" t="s">
        <v>32241</v>
      </c>
      <c r="MT42" s="1" t="s">
        <v>32242</v>
      </c>
      <c r="MU42" s="1" t="s">
        <v>32243</v>
      </c>
      <c r="MV42" s="1" t="s">
        <v>32244</v>
      </c>
      <c r="MW42" s="1" t="s">
        <v>32245</v>
      </c>
      <c r="MX42" s="1" t="s">
        <v>32246</v>
      </c>
      <c r="MY42" s="1" t="s">
        <v>32247</v>
      </c>
      <c r="MZ42" s="1" t="s">
        <v>32248</v>
      </c>
      <c r="NA42" s="1" t="s">
        <v>32249</v>
      </c>
      <c r="NB42" s="1" t="s">
        <v>32250</v>
      </c>
      <c r="NC42" s="1" t="s">
        <v>32251</v>
      </c>
      <c r="ND42" s="1" t="s">
        <v>32252</v>
      </c>
      <c r="NE42" s="1" t="s">
        <v>32253</v>
      </c>
      <c r="NF42" s="1" t="s">
        <v>32254</v>
      </c>
      <c r="NG42" s="1" t="s">
        <v>32255</v>
      </c>
      <c r="NH42" s="1" t="s">
        <v>32256</v>
      </c>
      <c r="NI42" s="1" t="s">
        <v>32257</v>
      </c>
      <c r="NJ42" s="1" t="s">
        <v>32258</v>
      </c>
      <c r="NK42" s="1" t="s">
        <v>32259</v>
      </c>
      <c r="NL42" s="1" t="s">
        <v>32260</v>
      </c>
      <c r="NM42" s="1" t="s">
        <v>32261</v>
      </c>
      <c r="NN42" s="1" t="s">
        <v>32262</v>
      </c>
      <c r="NO42" s="1" t="s">
        <v>32263</v>
      </c>
      <c r="NP42" s="1" t="s">
        <v>32264</v>
      </c>
      <c r="NQ42" s="1" t="s">
        <v>32265</v>
      </c>
      <c r="NR42" s="1" t="s">
        <v>32266</v>
      </c>
      <c r="NS42" s="1" t="s">
        <v>32267</v>
      </c>
      <c r="NT42" s="1" t="s">
        <v>32268</v>
      </c>
      <c r="NU42" s="1" t="s">
        <v>32269</v>
      </c>
      <c r="NV42" s="1" t="s">
        <v>32270</v>
      </c>
      <c r="NW42" s="1" t="s">
        <v>32271</v>
      </c>
      <c r="NX42" s="1" t="s">
        <v>32272</v>
      </c>
      <c r="NY42" s="1" t="s">
        <v>32273</v>
      </c>
      <c r="NZ42" s="1" t="s">
        <v>32274</v>
      </c>
      <c r="OA42" s="1" t="s">
        <v>32275</v>
      </c>
      <c r="OB42" s="1" t="s">
        <v>32276</v>
      </c>
      <c r="OC42" s="1" t="s">
        <v>32277</v>
      </c>
      <c r="OD42" s="1" t="s">
        <v>32278</v>
      </c>
      <c r="OE42" s="1" t="s">
        <v>32279</v>
      </c>
      <c r="OF42" s="1" t="s">
        <v>32280</v>
      </c>
      <c r="OG42" s="1" t="s">
        <v>32281</v>
      </c>
      <c r="OH42" s="1" t="s">
        <v>32282</v>
      </c>
      <c r="OI42" s="1" t="s">
        <v>32283</v>
      </c>
      <c r="OJ42" s="1" t="s">
        <v>32284</v>
      </c>
      <c r="OK42" s="1" t="s">
        <v>32285</v>
      </c>
      <c r="OL42" s="1" t="s">
        <v>32286</v>
      </c>
      <c r="OM42" s="1" t="s">
        <v>32287</v>
      </c>
      <c r="ON42" s="1" t="s">
        <v>32288</v>
      </c>
      <c r="OO42" s="1" t="s">
        <v>32289</v>
      </c>
      <c r="OP42" s="1" t="s">
        <v>32290</v>
      </c>
      <c r="OQ42" s="1" t="s">
        <v>32291</v>
      </c>
      <c r="OR42" s="1" t="s">
        <v>32292</v>
      </c>
      <c r="OS42" s="1" t="s">
        <v>32293</v>
      </c>
      <c r="OT42" s="1" t="s">
        <v>32294</v>
      </c>
      <c r="OU42" s="1" t="s">
        <v>32295</v>
      </c>
      <c r="OV42" s="1" t="s">
        <v>32296</v>
      </c>
      <c r="OW42" s="1" t="s">
        <v>32297</v>
      </c>
      <c r="OX42" s="1" t="s">
        <v>32298</v>
      </c>
      <c r="OY42" s="1" t="s">
        <v>32299</v>
      </c>
      <c r="OZ42" s="1" t="s">
        <v>32300</v>
      </c>
      <c r="PA42" s="1" t="s">
        <v>32301</v>
      </c>
      <c r="PB42" s="1" t="s">
        <v>32302</v>
      </c>
      <c r="PC42" s="1" t="s">
        <v>32303</v>
      </c>
      <c r="PD42" s="1" t="s">
        <v>32304</v>
      </c>
      <c r="PE42" s="1" t="s">
        <v>32305</v>
      </c>
      <c r="PF42" s="1" t="s">
        <v>32306</v>
      </c>
      <c r="PG42" s="1" t="s">
        <v>32307</v>
      </c>
      <c r="PH42" s="1" t="s">
        <v>32308</v>
      </c>
      <c r="PI42" s="1" t="s">
        <v>32309</v>
      </c>
      <c r="PJ42" s="1" t="s">
        <v>32310</v>
      </c>
      <c r="PK42" s="1" t="s">
        <v>32311</v>
      </c>
      <c r="PL42" s="1" t="s">
        <v>32312</v>
      </c>
      <c r="PM42" s="1" t="s">
        <v>32313</v>
      </c>
      <c r="PN42" s="1" t="s">
        <v>32314</v>
      </c>
      <c r="PO42" s="1" t="s">
        <v>32315</v>
      </c>
      <c r="PP42" s="1" t="s">
        <v>32316</v>
      </c>
      <c r="PQ42" s="1" t="s">
        <v>32317</v>
      </c>
      <c r="PR42" s="1" t="s">
        <v>32318</v>
      </c>
      <c r="PS42" s="1" t="s">
        <v>32319</v>
      </c>
      <c r="PT42" s="1" t="s">
        <v>32320</v>
      </c>
      <c r="PU42" s="1" t="s">
        <v>32321</v>
      </c>
      <c r="PV42" s="1" t="s">
        <v>32322</v>
      </c>
      <c r="PW42" s="1" t="s">
        <v>32323</v>
      </c>
      <c r="PX42" s="1" t="s">
        <v>32324</v>
      </c>
      <c r="PY42" s="1" t="s">
        <v>32325</v>
      </c>
      <c r="PZ42" s="1" t="s">
        <v>32326</v>
      </c>
      <c r="QA42" s="1" t="s">
        <v>32327</v>
      </c>
      <c r="QB42" s="1" t="s">
        <v>32328</v>
      </c>
      <c r="QC42" s="1" t="s">
        <v>32329</v>
      </c>
      <c r="QD42" s="1" t="s">
        <v>32330</v>
      </c>
      <c r="QE42" s="1" t="s">
        <v>32331</v>
      </c>
      <c r="QF42" s="1" t="s">
        <v>32332</v>
      </c>
      <c r="QG42" s="1" t="s">
        <v>32333</v>
      </c>
      <c r="QH42" s="1" t="s">
        <v>32334</v>
      </c>
      <c r="QI42" s="1" t="s">
        <v>32335</v>
      </c>
      <c r="QJ42" s="1" t="s">
        <v>32336</v>
      </c>
      <c r="QK42" s="1" t="s">
        <v>32337</v>
      </c>
      <c r="QL42" s="1" t="s">
        <v>32338</v>
      </c>
      <c r="QM42" s="1" t="s">
        <v>32339</v>
      </c>
      <c r="QN42" s="1" t="s">
        <v>32340</v>
      </c>
      <c r="QO42" s="1" t="s">
        <v>32341</v>
      </c>
      <c r="QP42" s="1" t="s">
        <v>32342</v>
      </c>
      <c r="QQ42" s="1" t="s">
        <v>32343</v>
      </c>
      <c r="QR42" s="1" t="s">
        <v>32344</v>
      </c>
      <c r="QS42" s="1" t="s">
        <v>32345</v>
      </c>
      <c r="QT42" s="1" t="s">
        <v>32346</v>
      </c>
      <c r="QU42" s="1" t="s">
        <v>32347</v>
      </c>
      <c r="QV42" s="1" t="s">
        <v>32348</v>
      </c>
      <c r="QW42" s="1" t="s">
        <v>32349</v>
      </c>
      <c r="QX42" s="1" t="s">
        <v>32350</v>
      </c>
      <c r="QY42" s="1" t="s">
        <v>32351</v>
      </c>
      <c r="QZ42" s="1" t="s">
        <v>32352</v>
      </c>
      <c r="RA42" s="1" t="s">
        <v>32353</v>
      </c>
      <c r="RB42" s="1" t="s">
        <v>32354</v>
      </c>
      <c r="RC42" s="1" t="s">
        <v>32355</v>
      </c>
      <c r="RD42" s="1" t="s">
        <v>32356</v>
      </c>
      <c r="RE42" s="1" t="s">
        <v>32357</v>
      </c>
      <c r="RF42" s="1" t="s">
        <v>32358</v>
      </c>
      <c r="RG42" s="1" t="s">
        <v>32359</v>
      </c>
      <c r="RH42" s="1" t="s">
        <v>32360</v>
      </c>
      <c r="RI42" s="1" t="s">
        <v>32361</v>
      </c>
      <c r="RJ42" s="1" t="s">
        <v>32362</v>
      </c>
      <c r="RK42" s="1" t="s">
        <v>32363</v>
      </c>
      <c r="RL42" s="1" t="s">
        <v>32364</v>
      </c>
      <c r="RM42" s="1" t="s">
        <v>32365</v>
      </c>
      <c r="RN42" s="1" t="s">
        <v>32366</v>
      </c>
      <c r="RO42" s="1" t="s">
        <v>32367</v>
      </c>
      <c r="RP42" s="1" t="s">
        <v>32368</v>
      </c>
      <c r="RQ42" s="1" t="s">
        <v>32369</v>
      </c>
      <c r="RR42" s="1" t="s">
        <v>32370</v>
      </c>
      <c r="RS42" s="1" t="s">
        <v>32371</v>
      </c>
      <c r="RT42" s="1" t="s">
        <v>32372</v>
      </c>
      <c r="RU42" s="1" t="s">
        <v>32373</v>
      </c>
      <c r="RV42" s="1" t="s">
        <v>32374</v>
      </c>
      <c r="RW42" s="1" t="s">
        <v>32375</v>
      </c>
      <c r="RX42" s="1" t="s">
        <v>32376</v>
      </c>
      <c r="RY42" s="1" t="s">
        <v>32377</v>
      </c>
      <c r="RZ42" s="1" t="s">
        <v>32378</v>
      </c>
      <c r="SA42" s="1" t="s">
        <v>32379</v>
      </c>
      <c r="SB42" s="1" t="s">
        <v>32380</v>
      </c>
      <c r="SC42" s="1" t="s">
        <v>32381</v>
      </c>
      <c r="SD42" s="1" t="s">
        <v>32382</v>
      </c>
      <c r="SE42" s="1" t="s">
        <v>32383</v>
      </c>
      <c r="SF42" s="1" t="s">
        <v>32384</v>
      </c>
      <c r="SG42" s="1" t="s">
        <v>32385</v>
      </c>
      <c r="SH42" s="1" t="s">
        <v>32386</v>
      </c>
      <c r="SI42" s="1" t="s">
        <v>32387</v>
      </c>
      <c r="SJ42" s="1" t="s">
        <v>32388</v>
      </c>
      <c r="SK42" s="1" t="s">
        <v>32389</v>
      </c>
      <c r="SL42" s="1" t="s">
        <v>32390</v>
      </c>
      <c r="SM42" s="1" t="s">
        <v>32391</v>
      </c>
      <c r="SN42" s="1" t="s">
        <v>32392</v>
      </c>
      <c r="SO42" s="1" t="s">
        <v>32393</v>
      </c>
      <c r="SP42" s="1" t="s">
        <v>32394</v>
      </c>
      <c r="SQ42" s="1" t="s">
        <v>32395</v>
      </c>
      <c r="SR42" s="1" t="s">
        <v>32396</v>
      </c>
      <c r="SS42" s="1" t="s">
        <v>32397</v>
      </c>
      <c r="ST42" s="1" t="s">
        <v>32398</v>
      </c>
      <c r="SU42" s="1" t="s">
        <v>32399</v>
      </c>
      <c r="SV42" s="1" t="s">
        <v>32400</v>
      </c>
      <c r="SW42" s="1" t="s">
        <v>32401</v>
      </c>
      <c r="SX42" s="1" t="s">
        <v>32402</v>
      </c>
      <c r="SY42" s="1" t="s">
        <v>32403</v>
      </c>
      <c r="SZ42" s="1" t="s">
        <v>32404</v>
      </c>
      <c r="TA42" s="1" t="s">
        <v>32405</v>
      </c>
      <c r="TB42" s="1" t="s">
        <v>32406</v>
      </c>
      <c r="TC42" s="1" t="s">
        <v>32407</v>
      </c>
      <c r="TD42" s="1" t="s">
        <v>32408</v>
      </c>
      <c r="TE42" s="1" t="s">
        <v>32409</v>
      </c>
      <c r="TF42" s="1" t="s">
        <v>32410</v>
      </c>
      <c r="TG42" s="1" t="s">
        <v>32411</v>
      </c>
      <c r="TH42" s="1" t="s">
        <v>32412</v>
      </c>
      <c r="TI42" s="1" t="s">
        <v>32413</v>
      </c>
      <c r="TJ42" s="1" t="s">
        <v>32414</v>
      </c>
      <c r="TK42" s="1" t="s">
        <v>32415</v>
      </c>
      <c r="TL42" s="1" t="s">
        <v>32416</v>
      </c>
      <c r="TM42" s="1" t="s">
        <v>32417</v>
      </c>
      <c r="TN42" s="1" t="s">
        <v>32418</v>
      </c>
      <c r="TO42" s="1" t="s">
        <v>32419</v>
      </c>
      <c r="TP42" s="1" t="s">
        <v>32420</v>
      </c>
      <c r="TQ42" s="1" t="s">
        <v>32421</v>
      </c>
      <c r="TR42" s="1" t="s">
        <v>32422</v>
      </c>
      <c r="TS42" s="1" t="s">
        <v>32423</v>
      </c>
      <c r="TT42" s="1" t="s">
        <v>32424</v>
      </c>
      <c r="TU42" s="1" t="s">
        <v>32425</v>
      </c>
      <c r="TV42" s="1" t="s">
        <v>32426</v>
      </c>
      <c r="TW42" s="1" t="s">
        <v>32427</v>
      </c>
      <c r="TX42" s="1" t="s">
        <v>32428</v>
      </c>
      <c r="TY42" s="1" t="s">
        <v>32429</v>
      </c>
      <c r="TZ42" s="1" t="s">
        <v>32430</v>
      </c>
      <c r="UA42" s="1" t="s">
        <v>32431</v>
      </c>
      <c r="UB42" s="1" t="s">
        <v>32432</v>
      </c>
      <c r="UC42" s="1" t="s">
        <v>32433</v>
      </c>
      <c r="UD42" s="1" t="s">
        <v>32434</v>
      </c>
      <c r="UE42" s="1" t="s">
        <v>32435</v>
      </c>
      <c r="UF42" s="1" t="s">
        <v>32436</v>
      </c>
      <c r="UG42" s="1" t="s">
        <v>32437</v>
      </c>
      <c r="UH42" s="1" t="s">
        <v>32438</v>
      </c>
      <c r="UI42" s="1" t="s">
        <v>32439</v>
      </c>
      <c r="UJ42" s="1" t="s">
        <v>32440</v>
      </c>
      <c r="UK42" s="1" t="s">
        <v>32441</v>
      </c>
      <c r="UL42" s="1" t="s">
        <v>32442</v>
      </c>
      <c r="UM42" s="1" t="s">
        <v>32443</v>
      </c>
      <c r="UN42" s="1" t="s">
        <v>32444</v>
      </c>
      <c r="UO42" s="1" t="s">
        <v>32445</v>
      </c>
      <c r="UP42" s="1" t="s">
        <v>32446</v>
      </c>
      <c r="UQ42" s="1" t="s">
        <v>32447</v>
      </c>
      <c r="UR42" s="1" t="s">
        <v>32448</v>
      </c>
      <c r="US42" s="1" t="s">
        <v>32449</v>
      </c>
      <c r="UT42" s="1" t="s">
        <v>32450</v>
      </c>
      <c r="UU42" s="1" t="s">
        <v>32451</v>
      </c>
      <c r="UV42" s="1" t="s">
        <v>32452</v>
      </c>
      <c r="UW42" s="1" t="s">
        <v>32453</v>
      </c>
      <c r="UX42" s="1" t="s">
        <v>32454</v>
      </c>
      <c r="UY42" s="1" t="s">
        <v>32455</v>
      </c>
      <c r="UZ42" s="1" t="s">
        <v>32456</v>
      </c>
      <c r="VA42" s="1" t="s">
        <v>32457</v>
      </c>
      <c r="VB42" s="1" t="s">
        <v>32458</v>
      </c>
      <c r="VC42" s="1" t="s">
        <v>32459</v>
      </c>
      <c r="VD42" s="1" t="s">
        <v>32460</v>
      </c>
      <c r="VE42" s="1" t="s">
        <v>32461</v>
      </c>
      <c r="VF42" s="1" t="s">
        <v>32462</v>
      </c>
      <c r="VG42" s="1" t="s">
        <v>32463</v>
      </c>
      <c r="VH42" s="1" t="s">
        <v>32464</v>
      </c>
      <c r="VI42" s="1" t="s">
        <v>32465</v>
      </c>
      <c r="VJ42" s="1" t="s">
        <v>32466</v>
      </c>
      <c r="VK42" s="1" t="s">
        <v>32467</v>
      </c>
      <c r="VL42" s="1" t="s">
        <v>32468</v>
      </c>
      <c r="VM42" s="1" t="s">
        <v>32469</v>
      </c>
      <c r="VN42" s="1" t="s">
        <v>32470</v>
      </c>
      <c r="VO42" s="1" t="s">
        <v>32471</v>
      </c>
      <c r="VP42" s="1" t="s">
        <v>32472</v>
      </c>
      <c r="VQ42" s="1" t="s">
        <v>32473</v>
      </c>
      <c r="VR42" s="1" t="s">
        <v>32474</v>
      </c>
      <c r="VS42" s="1" t="s">
        <v>32475</v>
      </c>
      <c r="VT42" s="1" t="s">
        <v>32476</v>
      </c>
      <c r="VU42" s="1" t="s">
        <v>32477</v>
      </c>
      <c r="VV42" s="1" t="s">
        <v>32478</v>
      </c>
      <c r="VW42" s="1" t="s">
        <v>32479</v>
      </c>
      <c r="VX42" s="1" t="s">
        <v>32480</v>
      </c>
      <c r="VY42" s="1" t="s">
        <v>32481</v>
      </c>
      <c r="VZ42" s="1" t="s">
        <v>32482</v>
      </c>
      <c r="WA42" s="1" t="s">
        <v>32483</v>
      </c>
      <c r="WB42" s="1" t="s">
        <v>32484</v>
      </c>
      <c r="WC42" s="1" t="s">
        <v>32485</v>
      </c>
      <c r="WD42" s="1" t="s">
        <v>32486</v>
      </c>
      <c r="WE42" s="1" t="s">
        <v>32487</v>
      </c>
      <c r="WF42" s="1" t="s">
        <v>32488</v>
      </c>
      <c r="WG42" s="1" t="s">
        <v>32489</v>
      </c>
      <c r="WH42" s="1" t="s">
        <v>32490</v>
      </c>
      <c r="WI42" s="1" t="s">
        <v>32491</v>
      </c>
      <c r="WJ42" s="1" t="s">
        <v>32492</v>
      </c>
      <c r="WK42" s="1" t="s">
        <v>32493</v>
      </c>
      <c r="WL42" s="1" t="s">
        <v>32494</v>
      </c>
      <c r="WM42" s="1" t="s">
        <v>32495</v>
      </c>
      <c r="WN42" s="1" t="s">
        <v>32496</v>
      </c>
      <c r="WO42" s="1" t="s">
        <v>32497</v>
      </c>
      <c r="WP42" s="1" t="s">
        <v>32498</v>
      </c>
      <c r="WQ42" s="1" t="s">
        <v>32499</v>
      </c>
      <c r="WR42" s="1" t="s">
        <v>32500</v>
      </c>
      <c r="WS42" s="1" t="s">
        <v>32501</v>
      </c>
      <c r="WT42" s="1" t="s">
        <v>32502</v>
      </c>
      <c r="WU42" s="1" t="s">
        <v>32503</v>
      </c>
      <c r="WV42" s="1" t="s">
        <v>32504</v>
      </c>
      <c r="WW42" s="1" t="s">
        <v>32505</v>
      </c>
      <c r="WX42" s="1" t="s">
        <v>32506</v>
      </c>
      <c r="WY42" s="1" t="s">
        <v>32507</v>
      </c>
      <c r="WZ42" s="1" t="s">
        <v>32508</v>
      </c>
      <c r="XA42" s="1" t="s">
        <v>32509</v>
      </c>
      <c r="XB42" s="1" t="s">
        <v>32510</v>
      </c>
      <c r="XC42" s="1" t="s">
        <v>32511</v>
      </c>
      <c r="XD42" s="1" t="s">
        <v>32512</v>
      </c>
      <c r="XE42" s="1" t="s">
        <v>32513</v>
      </c>
      <c r="XF42" s="1" t="s">
        <v>32514</v>
      </c>
      <c r="XG42" s="1" t="s">
        <v>32515</v>
      </c>
      <c r="XH42" s="1" t="s">
        <v>32516</v>
      </c>
      <c r="XI42" s="1" t="s">
        <v>32517</v>
      </c>
      <c r="XJ42" s="1" t="s">
        <v>32518</v>
      </c>
      <c r="XK42" s="1" t="s">
        <v>32519</v>
      </c>
      <c r="XL42" s="1" t="s">
        <v>32520</v>
      </c>
      <c r="XM42" s="1" t="s">
        <v>32521</v>
      </c>
      <c r="XN42" s="1" t="s">
        <v>32522</v>
      </c>
      <c r="XO42" s="1" t="s">
        <v>32523</v>
      </c>
      <c r="XP42" s="1" t="s">
        <v>32524</v>
      </c>
      <c r="XQ42" s="1" t="s">
        <v>32525</v>
      </c>
      <c r="XR42" s="1" t="s">
        <v>32526</v>
      </c>
      <c r="XS42" s="1" t="s">
        <v>32527</v>
      </c>
      <c r="XT42" s="1" t="s">
        <v>32528</v>
      </c>
      <c r="XU42" s="1" t="s">
        <v>32529</v>
      </c>
      <c r="XV42" s="1" t="s">
        <v>32530</v>
      </c>
      <c r="XW42" s="1" t="s">
        <v>32531</v>
      </c>
      <c r="XX42" s="1" t="s">
        <v>32532</v>
      </c>
      <c r="XY42" s="1" t="s">
        <v>32533</v>
      </c>
      <c r="XZ42" s="1" t="s">
        <v>32534</v>
      </c>
      <c r="YA42" s="1" t="s">
        <v>32535</v>
      </c>
      <c r="YB42" s="1" t="s">
        <v>32536</v>
      </c>
      <c r="YC42" s="1" t="s">
        <v>32537</v>
      </c>
      <c r="YD42" s="1" t="s">
        <v>32538</v>
      </c>
      <c r="YE42" s="1" t="s">
        <v>32539</v>
      </c>
      <c r="YF42" s="1" t="s">
        <v>32540</v>
      </c>
      <c r="YG42" s="1" t="s">
        <v>32541</v>
      </c>
      <c r="YH42" s="1" t="s">
        <v>32542</v>
      </c>
      <c r="YI42" s="1" t="s">
        <v>32543</v>
      </c>
      <c r="YJ42" s="1" t="s">
        <v>32544</v>
      </c>
      <c r="YK42" s="1" t="s">
        <v>32545</v>
      </c>
      <c r="YL42" s="1" t="s">
        <v>32546</v>
      </c>
      <c r="YM42" s="1" t="s">
        <v>32547</v>
      </c>
      <c r="YN42" s="1" t="s">
        <v>32548</v>
      </c>
      <c r="YO42" s="1" t="s">
        <v>32549</v>
      </c>
      <c r="YP42" s="1" t="s">
        <v>32550</v>
      </c>
      <c r="YQ42" s="1" t="s">
        <v>32551</v>
      </c>
      <c r="YR42" s="1" t="s">
        <v>32552</v>
      </c>
      <c r="YS42" s="1" t="s">
        <v>32553</v>
      </c>
      <c r="YT42" s="1" t="s">
        <v>32554</v>
      </c>
      <c r="YU42" s="1" t="s">
        <v>32555</v>
      </c>
      <c r="YV42" s="1" t="s">
        <v>32556</v>
      </c>
      <c r="YW42" s="1" t="s">
        <v>32557</v>
      </c>
      <c r="YX42" s="1" t="s">
        <v>32558</v>
      </c>
      <c r="YY42" s="1" t="s">
        <v>32559</v>
      </c>
      <c r="YZ42" s="1" t="s">
        <v>32560</v>
      </c>
      <c r="ZA42" s="1" t="s">
        <v>32561</v>
      </c>
      <c r="ZB42" s="1" t="s">
        <v>32562</v>
      </c>
      <c r="ZC42" s="1" t="s">
        <v>32563</v>
      </c>
      <c r="ZD42" s="1" t="s">
        <v>32564</v>
      </c>
      <c r="ZE42" s="1" t="s">
        <v>32565</v>
      </c>
      <c r="ZF42" s="1" t="s">
        <v>32566</v>
      </c>
      <c r="ZG42" s="1" t="s">
        <v>32567</v>
      </c>
      <c r="ZH42" s="1" t="s">
        <v>32568</v>
      </c>
      <c r="ZI42" s="1" t="s">
        <v>32569</v>
      </c>
      <c r="ZJ42" s="1" t="s">
        <v>32570</v>
      </c>
      <c r="ZK42" s="1" t="s">
        <v>32571</v>
      </c>
      <c r="ZL42" s="1" t="s">
        <v>32572</v>
      </c>
      <c r="ZM42" s="1" t="s">
        <v>32573</v>
      </c>
      <c r="ZN42" s="1" t="s">
        <v>32574</v>
      </c>
      <c r="ZO42" s="1" t="s">
        <v>32575</v>
      </c>
      <c r="ZP42" s="1" t="s">
        <v>32576</v>
      </c>
      <c r="ZQ42" s="1" t="s">
        <v>32577</v>
      </c>
      <c r="ZR42" s="1" t="s">
        <v>32578</v>
      </c>
      <c r="ZS42" s="1" t="s">
        <v>32579</v>
      </c>
      <c r="ZT42" s="1" t="s">
        <v>32580</v>
      </c>
      <c r="ZU42" s="1" t="s">
        <v>32581</v>
      </c>
      <c r="ZV42" s="1" t="s">
        <v>32582</v>
      </c>
      <c r="ZW42" s="1" t="s">
        <v>32583</v>
      </c>
      <c r="ZX42" s="1" t="s">
        <v>32584</v>
      </c>
      <c r="ZY42" s="1" t="s">
        <v>32585</v>
      </c>
      <c r="ZZ42" s="1" t="s">
        <v>32586</v>
      </c>
      <c r="AAA42" s="1" t="s">
        <v>32587</v>
      </c>
      <c r="AAB42" s="1" t="s">
        <v>32588</v>
      </c>
      <c r="AAC42" s="1" t="s">
        <v>32589</v>
      </c>
      <c r="AAD42" s="1" t="s">
        <v>32590</v>
      </c>
      <c r="AAE42" s="1" t="s">
        <v>32591</v>
      </c>
      <c r="AAF42" s="1" t="s">
        <v>32592</v>
      </c>
      <c r="AAG42" s="1" t="s">
        <v>32593</v>
      </c>
      <c r="AAH42" s="1" t="s">
        <v>32594</v>
      </c>
      <c r="AAI42" s="1" t="s">
        <v>32595</v>
      </c>
      <c r="AAJ42" s="1" t="s">
        <v>32596</v>
      </c>
      <c r="AAK42" s="1" t="s">
        <v>32597</v>
      </c>
      <c r="AAL42" s="1" t="s">
        <v>32598</v>
      </c>
      <c r="AAM42" s="1" t="s">
        <v>32599</v>
      </c>
      <c r="AAN42" s="1" t="s">
        <v>32600</v>
      </c>
      <c r="AAO42" s="1" t="s">
        <v>32601</v>
      </c>
      <c r="AAP42" s="1" t="s">
        <v>32602</v>
      </c>
      <c r="AAQ42" s="1" t="s">
        <v>32603</v>
      </c>
      <c r="AAR42" s="1" t="s">
        <v>32604</v>
      </c>
      <c r="AAS42" s="1" t="s">
        <v>32605</v>
      </c>
      <c r="AAT42" s="1" t="s">
        <v>32606</v>
      </c>
      <c r="AAU42" s="1" t="s">
        <v>32607</v>
      </c>
      <c r="AAV42" s="1" t="s">
        <v>32608</v>
      </c>
      <c r="AAW42" s="1" t="s">
        <v>32609</v>
      </c>
      <c r="AAX42" s="1" t="s">
        <v>32610</v>
      </c>
      <c r="AAY42" s="1" t="s">
        <v>32611</v>
      </c>
      <c r="AAZ42" s="1" t="s">
        <v>32612</v>
      </c>
      <c r="ABA42" s="1" t="s">
        <v>32613</v>
      </c>
      <c r="ABB42" s="1" t="s">
        <v>32614</v>
      </c>
      <c r="ABC42" s="1" t="s">
        <v>32615</v>
      </c>
      <c r="ABD42" s="1" t="s">
        <v>32616</v>
      </c>
      <c r="ABE42" s="1" t="s">
        <v>32617</v>
      </c>
      <c r="ABF42" s="1" t="s">
        <v>32618</v>
      </c>
      <c r="ABG42" s="1" t="s">
        <v>32619</v>
      </c>
      <c r="ABH42" s="1" t="s">
        <v>32620</v>
      </c>
      <c r="ABI42" s="1" t="s">
        <v>32621</v>
      </c>
      <c r="ABJ42" s="1" t="s">
        <v>32622</v>
      </c>
      <c r="ABK42" s="1" t="s">
        <v>32623</v>
      </c>
      <c r="ABL42" s="1" t="s">
        <v>32624</v>
      </c>
      <c r="ABM42" s="1" t="s">
        <v>32625</v>
      </c>
      <c r="ABN42" s="1" t="s">
        <v>32626</v>
      </c>
      <c r="ABO42" s="1" t="s">
        <v>32627</v>
      </c>
      <c r="ABP42" s="1" t="s">
        <v>32628</v>
      </c>
      <c r="ABQ42" s="1" t="s">
        <v>32629</v>
      </c>
      <c r="ABR42" s="1" t="s">
        <v>32630</v>
      </c>
      <c r="ABS42" s="1" t="s">
        <v>32631</v>
      </c>
      <c r="ABT42" s="1" t="s">
        <v>32632</v>
      </c>
      <c r="ABU42" s="1" t="s">
        <v>32633</v>
      </c>
      <c r="ABV42" s="1" t="s">
        <v>32634</v>
      </c>
      <c r="ABW42" s="1" t="s">
        <v>32635</v>
      </c>
      <c r="ABX42" s="1" t="s">
        <v>32636</v>
      </c>
      <c r="ABY42" s="1" t="s">
        <v>32637</v>
      </c>
      <c r="ABZ42" s="1" t="s">
        <v>32638</v>
      </c>
      <c r="ACA42" s="1" t="s">
        <v>32639</v>
      </c>
      <c r="ACB42" s="1" t="s">
        <v>32640</v>
      </c>
      <c r="ACC42" s="1" t="s">
        <v>32641</v>
      </c>
      <c r="ACD42" s="1" t="s">
        <v>32642</v>
      </c>
      <c r="ACE42" s="1" t="s">
        <v>32643</v>
      </c>
      <c r="ACF42" s="1" t="s">
        <v>32644</v>
      </c>
      <c r="ACG42" s="1" t="s">
        <v>32645</v>
      </c>
      <c r="ACH42" s="1" t="s">
        <v>32646</v>
      </c>
      <c r="ACI42" s="1" t="s">
        <v>32647</v>
      </c>
      <c r="ACJ42" s="1" t="s">
        <v>32648</v>
      </c>
      <c r="ACK42" s="1" t="s">
        <v>32649</v>
      </c>
      <c r="ACL42" s="1" t="s">
        <v>32650</v>
      </c>
      <c r="ACM42" s="1" t="s">
        <v>32651</v>
      </c>
      <c r="ACN42" s="1" t="s">
        <v>32652</v>
      </c>
      <c r="ACO42" s="1" t="s">
        <v>32653</v>
      </c>
      <c r="ACP42" s="1" t="s">
        <v>32654</v>
      </c>
      <c r="ACQ42" s="1" t="s">
        <v>32655</v>
      </c>
      <c r="ACR42" s="1" t="s">
        <v>32656</v>
      </c>
      <c r="ACS42" s="1" t="s">
        <v>32657</v>
      </c>
      <c r="ACT42" s="1" t="s">
        <v>32658</v>
      </c>
      <c r="ACU42" s="1" t="s">
        <v>32659</v>
      </c>
      <c r="ACV42" s="1" t="s">
        <v>32660</v>
      </c>
      <c r="ACW42" s="1" t="s">
        <v>12</v>
      </c>
      <c r="ACX42" s="1" t="s">
        <v>1500</v>
      </c>
    </row>
    <row r="43" spans="1:778" x14ac:dyDescent="0.2">
      <c r="A43" s="1" t="s">
        <v>78</v>
      </c>
      <c r="B43" s="1" t="s">
        <v>32661</v>
      </c>
      <c r="C43" s="1" t="s">
        <v>32662</v>
      </c>
      <c r="D43" s="1" t="s">
        <v>32663</v>
      </c>
      <c r="E43" s="1" t="s">
        <v>32664</v>
      </c>
      <c r="F43" s="1" t="s">
        <v>32665</v>
      </c>
      <c r="G43" s="1" t="s">
        <v>32666</v>
      </c>
      <c r="H43" s="1" t="s">
        <v>32667</v>
      </c>
      <c r="I43" s="1" t="s">
        <v>32668</v>
      </c>
      <c r="J43" s="1" t="s">
        <v>32669</v>
      </c>
      <c r="K43" s="1" t="s">
        <v>32670</v>
      </c>
      <c r="L43" s="1" t="s">
        <v>32671</v>
      </c>
      <c r="M43" s="1" t="s">
        <v>32672</v>
      </c>
      <c r="N43" s="1" t="s">
        <v>32673</v>
      </c>
      <c r="O43" s="1" t="s">
        <v>32674</v>
      </c>
      <c r="P43" s="1" t="s">
        <v>32675</v>
      </c>
      <c r="Q43" s="1" t="s">
        <v>32676</v>
      </c>
      <c r="R43" s="1" t="s">
        <v>32677</v>
      </c>
      <c r="S43" s="1" t="s">
        <v>32678</v>
      </c>
      <c r="T43" s="1" t="s">
        <v>32679</v>
      </c>
      <c r="U43" s="1" t="s">
        <v>32680</v>
      </c>
      <c r="V43" s="1" t="s">
        <v>32681</v>
      </c>
      <c r="W43" s="1" t="s">
        <v>32682</v>
      </c>
      <c r="X43" s="1" t="s">
        <v>32683</v>
      </c>
      <c r="Y43" s="1" t="s">
        <v>32684</v>
      </c>
      <c r="Z43" s="1" t="s">
        <v>32685</v>
      </c>
      <c r="AA43" s="1" t="s">
        <v>32686</v>
      </c>
      <c r="AB43" s="1" t="s">
        <v>32687</v>
      </c>
      <c r="AC43" s="1" t="s">
        <v>32688</v>
      </c>
      <c r="AD43" s="1" t="s">
        <v>32689</v>
      </c>
      <c r="AE43" s="1" t="s">
        <v>32690</v>
      </c>
      <c r="AF43" s="1" t="s">
        <v>32691</v>
      </c>
      <c r="AG43" s="1" t="s">
        <v>32692</v>
      </c>
      <c r="AH43" s="1" t="s">
        <v>32693</v>
      </c>
      <c r="AI43" s="1" t="s">
        <v>32694</v>
      </c>
      <c r="AJ43" s="1" t="s">
        <v>32695</v>
      </c>
      <c r="AK43" s="1" t="s">
        <v>32696</v>
      </c>
      <c r="AL43" s="1" t="s">
        <v>32697</v>
      </c>
      <c r="AM43" s="1" t="s">
        <v>32698</v>
      </c>
      <c r="AN43" s="1" t="s">
        <v>32699</v>
      </c>
      <c r="AO43" s="1" t="s">
        <v>32700</v>
      </c>
      <c r="AP43" s="1" t="s">
        <v>32701</v>
      </c>
      <c r="AQ43" s="1" t="s">
        <v>32702</v>
      </c>
      <c r="AR43" s="1" t="s">
        <v>32703</v>
      </c>
      <c r="AS43" s="1" t="s">
        <v>32704</v>
      </c>
      <c r="AT43" s="1" t="s">
        <v>32705</v>
      </c>
      <c r="AU43" s="1" t="s">
        <v>32706</v>
      </c>
      <c r="AV43" s="1" t="s">
        <v>32707</v>
      </c>
      <c r="AW43" s="1" t="s">
        <v>32708</v>
      </c>
      <c r="AX43" s="1" t="s">
        <v>32709</v>
      </c>
      <c r="AY43" s="1" t="s">
        <v>32710</v>
      </c>
      <c r="AZ43" s="1" t="s">
        <v>32711</v>
      </c>
      <c r="BA43" s="1" t="s">
        <v>32712</v>
      </c>
      <c r="BB43" s="1" t="s">
        <v>32713</v>
      </c>
      <c r="BC43" s="1" t="s">
        <v>32714</v>
      </c>
      <c r="BD43" s="1" t="s">
        <v>32715</v>
      </c>
      <c r="BE43" s="1" t="s">
        <v>32716</v>
      </c>
      <c r="BF43" s="1" t="s">
        <v>32717</v>
      </c>
      <c r="BG43" s="1" t="s">
        <v>32718</v>
      </c>
      <c r="BH43" s="1" t="s">
        <v>32719</v>
      </c>
      <c r="BI43" s="1" t="s">
        <v>32720</v>
      </c>
      <c r="BJ43" s="1" t="s">
        <v>32721</v>
      </c>
      <c r="BK43" s="1" t="s">
        <v>32722</v>
      </c>
      <c r="BL43" s="1" t="s">
        <v>32723</v>
      </c>
      <c r="BM43" s="1" t="s">
        <v>32724</v>
      </c>
      <c r="BN43" s="1" t="s">
        <v>32725</v>
      </c>
      <c r="BO43" s="1" t="s">
        <v>32726</v>
      </c>
      <c r="BP43" s="1" t="s">
        <v>32727</v>
      </c>
      <c r="BQ43" s="1" t="s">
        <v>32728</v>
      </c>
      <c r="BR43" s="1" t="s">
        <v>32729</v>
      </c>
      <c r="BS43" s="1" t="s">
        <v>32730</v>
      </c>
      <c r="BT43" s="1" t="s">
        <v>32731</v>
      </c>
      <c r="BU43" s="1" t="s">
        <v>32732</v>
      </c>
      <c r="BV43" s="1" t="s">
        <v>32733</v>
      </c>
      <c r="BW43" s="1" t="s">
        <v>32734</v>
      </c>
      <c r="BX43" s="1" t="s">
        <v>32735</v>
      </c>
      <c r="BY43" s="1" t="s">
        <v>32736</v>
      </c>
      <c r="BZ43" s="1" t="s">
        <v>32737</v>
      </c>
      <c r="CA43" s="1" t="s">
        <v>32738</v>
      </c>
      <c r="CB43" s="1" t="s">
        <v>32739</v>
      </c>
      <c r="CC43" s="1" t="s">
        <v>32740</v>
      </c>
      <c r="CD43" s="1" t="s">
        <v>32741</v>
      </c>
      <c r="CE43" s="1" t="s">
        <v>32742</v>
      </c>
      <c r="CF43" s="1" t="s">
        <v>32743</v>
      </c>
      <c r="CG43" s="1" t="s">
        <v>32744</v>
      </c>
      <c r="CH43" s="1" t="s">
        <v>32745</v>
      </c>
      <c r="CI43" s="1" t="s">
        <v>32746</v>
      </c>
      <c r="CJ43" s="1" t="s">
        <v>32747</v>
      </c>
      <c r="CK43" s="1" t="s">
        <v>32748</v>
      </c>
      <c r="CL43" s="1" t="s">
        <v>32749</v>
      </c>
      <c r="CM43" s="1" t="s">
        <v>32750</v>
      </c>
      <c r="CN43" s="1" t="s">
        <v>32751</v>
      </c>
      <c r="CO43" s="1" t="s">
        <v>32752</v>
      </c>
      <c r="CP43" s="1" t="s">
        <v>32753</v>
      </c>
      <c r="CQ43" s="1" t="s">
        <v>32754</v>
      </c>
      <c r="CR43" s="1" t="s">
        <v>32755</v>
      </c>
      <c r="CS43" s="1" t="s">
        <v>32756</v>
      </c>
      <c r="CT43" s="1" t="s">
        <v>32757</v>
      </c>
      <c r="CU43" s="1" t="s">
        <v>32758</v>
      </c>
      <c r="CV43" s="1" t="s">
        <v>32759</v>
      </c>
      <c r="CW43" s="1" t="s">
        <v>32760</v>
      </c>
      <c r="CX43" s="1" t="s">
        <v>32761</v>
      </c>
      <c r="CY43" s="1" t="s">
        <v>32762</v>
      </c>
      <c r="CZ43" s="1" t="s">
        <v>32763</v>
      </c>
      <c r="DA43" s="1" t="s">
        <v>32764</v>
      </c>
      <c r="DB43" s="1" t="s">
        <v>32765</v>
      </c>
      <c r="DC43" s="1" t="s">
        <v>32766</v>
      </c>
      <c r="DD43" s="1" t="s">
        <v>32767</v>
      </c>
      <c r="DE43" s="1" t="s">
        <v>32768</v>
      </c>
      <c r="DF43" s="1" t="s">
        <v>32769</v>
      </c>
      <c r="DG43" s="1" t="s">
        <v>32770</v>
      </c>
      <c r="DH43" s="1" t="s">
        <v>32771</v>
      </c>
      <c r="DI43" s="1" t="s">
        <v>32772</v>
      </c>
      <c r="DJ43" s="1" t="s">
        <v>32773</v>
      </c>
      <c r="DK43" s="1" t="s">
        <v>32774</v>
      </c>
      <c r="DL43" s="1" t="s">
        <v>32775</v>
      </c>
      <c r="DM43" s="1" t="s">
        <v>32776</v>
      </c>
      <c r="DN43" s="1" t="s">
        <v>32777</v>
      </c>
      <c r="DO43" s="1" t="s">
        <v>32778</v>
      </c>
      <c r="DP43" s="1" t="s">
        <v>32779</v>
      </c>
      <c r="DQ43" s="1" t="s">
        <v>32780</v>
      </c>
      <c r="DR43" s="1" t="s">
        <v>32781</v>
      </c>
      <c r="DS43" s="1" t="s">
        <v>32782</v>
      </c>
      <c r="DT43" s="1" t="s">
        <v>32783</v>
      </c>
      <c r="DU43" s="1" t="s">
        <v>32784</v>
      </c>
      <c r="DV43" s="1" t="s">
        <v>32785</v>
      </c>
      <c r="DW43" s="1" t="s">
        <v>32786</v>
      </c>
      <c r="DX43" s="1" t="s">
        <v>32787</v>
      </c>
      <c r="DY43" s="1" t="s">
        <v>32788</v>
      </c>
      <c r="DZ43" s="1" t="s">
        <v>32789</v>
      </c>
      <c r="EA43" s="1" t="s">
        <v>32790</v>
      </c>
      <c r="EB43" s="1" t="s">
        <v>32791</v>
      </c>
      <c r="EC43" s="1" t="s">
        <v>32792</v>
      </c>
      <c r="ED43" s="1" t="s">
        <v>32793</v>
      </c>
      <c r="EE43" s="1" t="s">
        <v>32794</v>
      </c>
      <c r="EF43" s="1" t="s">
        <v>32795</v>
      </c>
      <c r="EG43" s="1" t="s">
        <v>32796</v>
      </c>
      <c r="EH43" s="1" t="s">
        <v>32797</v>
      </c>
      <c r="EI43" s="1" t="s">
        <v>32798</v>
      </c>
      <c r="EJ43" s="1" t="s">
        <v>32799</v>
      </c>
      <c r="EK43" s="1" t="s">
        <v>32800</v>
      </c>
      <c r="EL43" s="1" t="s">
        <v>32801</v>
      </c>
      <c r="EM43" s="1" t="s">
        <v>32802</v>
      </c>
      <c r="EN43" s="1" t="s">
        <v>32803</v>
      </c>
      <c r="EO43" s="1" t="s">
        <v>32804</v>
      </c>
      <c r="EP43" s="1" t="s">
        <v>32805</v>
      </c>
      <c r="EQ43" s="1" t="s">
        <v>32806</v>
      </c>
      <c r="ER43" s="1" t="s">
        <v>32807</v>
      </c>
      <c r="ES43" s="1" t="s">
        <v>32808</v>
      </c>
      <c r="ET43" s="1" t="s">
        <v>32809</v>
      </c>
      <c r="EU43" s="1" t="s">
        <v>32810</v>
      </c>
      <c r="EV43" s="1" t="s">
        <v>32811</v>
      </c>
      <c r="EW43" s="1" t="s">
        <v>32812</v>
      </c>
      <c r="EX43" s="1" t="s">
        <v>32813</v>
      </c>
      <c r="EY43" s="1" t="s">
        <v>32814</v>
      </c>
      <c r="EZ43" s="1" t="s">
        <v>32815</v>
      </c>
      <c r="FA43" s="1" t="s">
        <v>32816</v>
      </c>
      <c r="FB43" s="1" t="s">
        <v>32817</v>
      </c>
      <c r="FC43" s="1" t="s">
        <v>32818</v>
      </c>
      <c r="FD43" s="1" t="s">
        <v>32819</v>
      </c>
      <c r="FE43" s="1" t="s">
        <v>32820</v>
      </c>
      <c r="FF43" s="1" t="s">
        <v>32821</v>
      </c>
      <c r="FG43" s="1" t="s">
        <v>32822</v>
      </c>
      <c r="FH43" s="1" t="s">
        <v>32823</v>
      </c>
      <c r="FI43" s="1" t="s">
        <v>32824</v>
      </c>
      <c r="FJ43" s="1" t="s">
        <v>32825</v>
      </c>
      <c r="FK43" s="1" t="s">
        <v>32826</v>
      </c>
      <c r="FL43" s="1" t="s">
        <v>32827</v>
      </c>
      <c r="FM43" s="1" t="s">
        <v>32828</v>
      </c>
      <c r="FN43" s="1" t="s">
        <v>32829</v>
      </c>
      <c r="FO43" s="1" t="s">
        <v>32830</v>
      </c>
      <c r="FP43" s="1" t="s">
        <v>32831</v>
      </c>
      <c r="FQ43" s="1" t="s">
        <v>32832</v>
      </c>
      <c r="FR43" s="1" t="s">
        <v>32833</v>
      </c>
      <c r="FS43" s="1" t="s">
        <v>32834</v>
      </c>
      <c r="FT43" s="1" t="s">
        <v>32835</v>
      </c>
      <c r="FU43" s="1" t="s">
        <v>32836</v>
      </c>
      <c r="FV43" s="1" t="s">
        <v>32837</v>
      </c>
      <c r="FW43" s="1" t="s">
        <v>32838</v>
      </c>
      <c r="FX43" s="1" t="s">
        <v>32839</v>
      </c>
      <c r="FY43" s="1" t="s">
        <v>32840</v>
      </c>
      <c r="FZ43" s="1" t="s">
        <v>32841</v>
      </c>
      <c r="GA43" s="1" t="s">
        <v>32842</v>
      </c>
      <c r="GB43" s="1" t="s">
        <v>32843</v>
      </c>
      <c r="GC43" s="1" t="s">
        <v>32844</v>
      </c>
      <c r="GD43" s="1" t="s">
        <v>32845</v>
      </c>
      <c r="GE43" s="1" t="s">
        <v>32846</v>
      </c>
      <c r="GF43" s="1" t="s">
        <v>32847</v>
      </c>
      <c r="GG43" s="1" t="s">
        <v>32848</v>
      </c>
      <c r="GH43" s="1" t="s">
        <v>32849</v>
      </c>
      <c r="GI43" s="1" t="s">
        <v>32850</v>
      </c>
      <c r="GJ43" s="1" t="s">
        <v>32851</v>
      </c>
      <c r="GK43" s="1" t="s">
        <v>32852</v>
      </c>
      <c r="GL43" s="1" t="s">
        <v>32853</v>
      </c>
      <c r="GM43" s="1" t="s">
        <v>32854</v>
      </c>
      <c r="GN43" s="1" t="s">
        <v>32855</v>
      </c>
      <c r="GO43" s="1" t="s">
        <v>32856</v>
      </c>
      <c r="GP43" s="1" t="s">
        <v>32857</v>
      </c>
      <c r="GQ43" s="1" t="s">
        <v>32858</v>
      </c>
      <c r="GR43" s="1" t="s">
        <v>32859</v>
      </c>
      <c r="GS43" s="1" t="s">
        <v>32860</v>
      </c>
      <c r="GT43" s="1" t="s">
        <v>32861</v>
      </c>
      <c r="GU43" s="1" t="s">
        <v>32862</v>
      </c>
      <c r="GV43" s="1" t="s">
        <v>32863</v>
      </c>
      <c r="GW43" s="1" t="s">
        <v>32864</v>
      </c>
      <c r="GX43" s="1" t="s">
        <v>32865</v>
      </c>
      <c r="GY43" s="1" t="s">
        <v>32866</v>
      </c>
      <c r="GZ43" s="1" t="s">
        <v>32867</v>
      </c>
      <c r="HA43" s="1" t="s">
        <v>32868</v>
      </c>
      <c r="HB43" s="1" t="s">
        <v>32869</v>
      </c>
      <c r="HC43" s="1" t="s">
        <v>32870</v>
      </c>
      <c r="HD43" s="1" t="s">
        <v>32871</v>
      </c>
      <c r="HE43" s="1" t="s">
        <v>32872</v>
      </c>
      <c r="HF43" s="1" t="s">
        <v>32873</v>
      </c>
      <c r="HG43" s="1" t="s">
        <v>32874</v>
      </c>
      <c r="HH43" s="1" t="s">
        <v>32875</v>
      </c>
      <c r="HI43" s="1" t="s">
        <v>32876</v>
      </c>
      <c r="HJ43" s="1" t="s">
        <v>32877</v>
      </c>
      <c r="HK43" s="1" t="s">
        <v>32878</v>
      </c>
      <c r="HL43" s="1" t="s">
        <v>32879</v>
      </c>
      <c r="HM43" s="1" t="s">
        <v>32880</v>
      </c>
      <c r="HN43" s="1" t="s">
        <v>32881</v>
      </c>
      <c r="HO43" s="1" t="s">
        <v>32882</v>
      </c>
      <c r="HP43" s="1" t="s">
        <v>32883</v>
      </c>
      <c r="HQ43" s="1" t="s">
        <v>32884</v>
      </c>
      <c r="HR43" s="1" t="s">
        <v>32885</v>
      </c>
      <c r="HS43" s="1" t="s">
        <v>32886</v>
      </c>
      <c r="HT43" s="1" t="s">
        <v>32887</v>
      </c>
      <c r="HU43" s="1" t="s">
        <v>32888</v>
      </c>
      <c r="HV43" s="1" t="s">
        <v>32889</v>
      </c>
      <c r="HW43" s="1" t="s">
        <v>32890</v>
      </c>
      <c r="HX43" s="1" t="s">
        <v>32891</v>
      </c>
      <c r="HY43" s="1" t="s">
        <v>32892</v>
      </c>
      <c r="HZ43" s="1" t="s">
        <v>32893</v>
      </c>
      <c r="IA43" s="1" t="s">
        <v>32894</v>
      </c>
      <c r="IB43" s="1" t="s">
        <v>32895</v>
      </c>
      <c r="IC43" s="1" t="s">
        <v>32896</v>
      </c>
      <c r="ID43" s="1" t="s">
        <v>32897</v>
      </c>
      <c r="IE43" s="1" t="s">
        <v>32898</v>
      </c>
      <c r="IF43" s="1" t="s">
        <v>32899</v>
      </c>
      <c r="IG43" s="1" t="s">
        <v>32900</v>
      </c>
      <c r="IH43" s="1" t="s">
        <v>32901</v>
      </c>
      <c r="II43" s="1" t="s">
        <v>32902</v>
      </c>
      <c r="IJ43" s="1" t="s">
        <v>32903</v>
      </c>
      <c r="IK43" s="1" t="s">
        <v>32904</v>
      </c>
      <c r="IL43" s="1" t="s">
        <v>32905</v>
      </c>
      <c r="IM43" s="1" t="s">
        <v>32906</v>
      </c>
      <c r="IN43" s="1" t="s">
        <v>32907</v>
      </c>
      <c r="IO43" s="1" t="s">
        <v>32908</v>
      </c>
      <c r="IP43" s="1" t="s">
        <v>32909</v>
      </c>
      <c r="IQ43" s="1" t="s">
        <v>32910</v>
      </c>
      <c r="IR43" s="1" t="s">
        <v>32911</v>
      </c>
      <c r="IS43" s="1" t="s">
        <v>32912</v>
      </c>
      <c r="IT43" s="1" t="s">
        <v>32913</v>
      </c>
      <c r="IU43" s="1" t="s">
        <v>32914</v>
      </c>
      <c r="IV43" s="1" t="s">
        <v>32915</v>
      </c>
      <c r="IW43" s="1" t="s">
        <v>32916</v>
      </c>
      <c r="IX43" s="1" t="s">
        <v>32917</v>
      </c>
      <c r="IY43" s="1" t="s">
        <v>32918</v>
      </c>
      <c r="IZ43" s="1" t="s">
        <v>32919</v>
      </c>
      <c r="JA43" s="1" t="s">
        <v>32920</v>
      </c>
      <c r="JB43" s="1" t="s">
        <v>32921</v>
      </c>
      <c r="JC43" s="1" t="s">
        <v>32922</v>
      </c>
      <c r="JD43" s="1" t="s">
        <v>32923</v>
      </c>
      <c r="JE43" s="1" t="s">
        <v>32924</v>
      </c>
      <c r="JF43" s="1" t="s">
        <v>32925</v>
      </c>
      <c r="JG43" s="1" t="s">
        <v>32926</v>
      </c>
      <c r="JH43" s="1" t="s">
        <v>32927</v>
      </c>
      <c r="JI43" s="1" t="s">
        <v>32928</v>
      </c>
      <c r="JJ43" s="1" t="s">
        <v>32929</v>
      </c>
      <c r="JK43" s="1" t="s">
        <v>32930</v>
      </c>
      <c r="JL43" s="1" t="s">
        <v>32931</v>
      </c>
      <c r="JM43" s="1" t="s">
        <v>32932</v>
      </c>
      <c r="JN43" s="1" t="s">
        <v>32933</v>
      </c>
      <c r="JO43" s="1" t="s">
        <v>32934</v>
      </c>
      <c r="JP43" s="1" t="s">
        <v>32935</v>
      </c>
      <c r="JQ43" s="1" t="s">
        <v>32936</v>
      </c>
      <c r="JR43" s="1" t="s">
        <v>32937</v>
      </c>
      <c r="JS43" s="1" t="s">
        <v>32938</v>
      </c>
      <c r="JT43" s="1" t="s">
        <v>32939</v>
      </c>
      <c r="JU43" s="1" t="s">
        <v>32940</v>
      </c>
      <c r="JV43" s="1" t="s">
        <v>32941</v>
      </c>
      <c r="JW43" s="1" t="s">
        <v>32942</v>
      </c>
      <c r="JX43" s="1" t="s">
        <v>32943</v>
      </c>
      <c r="JY43" s="1" t="s">
        <v>32944</v>
      </c>
      <c r="JZ43" s="1" t="s">
        <v>32945</v>
      </c>
      <c r="KA43" s="1" t="s">
        <v>32946</v>
      </c>
      <c r="KB43" s="1" t="s">
        <v>32947</v>
      </c>
      <c r="KC43" s="1" t="s">
        <v>32948</v>
      </c>
      <c r="KD43" s="1" t="s">
        <v>32949</v>
      </c>
      <c r="KE43" s="1" t="s">
        <v>32950</v>
      </c>
      <c r="KF43" s="1" t="s">
        <v>32951</v>
      </c>
      <c r="KG43" s="1" t="s">
        <v>32952</v>
      </c>
      <c r="KH43" s="1" t="s">
        <v>32953</v>
      </c>
      <c r="KI43" s="1" t="s">
        <v>32954</v>
      </c>
      <c r="KJ43" s="1" t="s">
        <v>32955</v>
      </c>
      <c r="KK43" s="1" t="s">
        <v>32956</v>
      </c>
      <c r="KL43" s="1" t="s">
        <v>32957</v>
      </c>
      <c r="KM43" s="1" t="s">
        <v>32958</v>
      </c>
      <c r="KN43" s="1" t="s">
        <v>32959</v>
      </c>
      <c r="KO43" s="1" t="s">
        <v>32960</v>
      </c>
      <c r="KP43" s="1" t="s">
        <v>32961</v>
      </c>
      <c r="KQ43" s="1" t="s">
        <v>32962</v>
      </c>
      <c r="KR43" s="1" t="s">
        <v>32963</v>
      </c>
      <c r="KS43" s="1" t="s">
        <v>32964</v>
      </c>
      <c r="KT43" s="1" t="s">
        <v>32965</v>
      </c>
      <c r="KU43" s="1" t="s">
        <v>32966</v>
      </c>
      <c r="KV43" s="1" t="s">
        <v>32967</v>
      </c>
      <c r="KW43" s="1" t="s">
        <v>32968</v>
      </c>
      <c r="KX43" s="1" t="s">
        <v>32969</v>
      </c>
      <c r="KY43" s="1" t="s">
        <v>32970</v>
      </c>
      <c r="KZ43" s="1" t="s">
        <v>32971</v>
      </c>
      <c r="LA43" s="1" t="s">
        <v>32972</v>
      </c>
      <c r="LB43" s="1" t="s">
        <v>32973</v>
      </c>
      <c r="LC43" s="1" t="s">
        <v>32974</v>
      </c>
      <c r="LD43" s="1" t="s">
        <v>32975</v>
      </c>
      <c r="LE43" s="1" t="s">
        <v>32976</v>
      </c>
      <c r="LF43" s="1" t="s">
        <v>32977</v>
      </c>
      <c r="LG43" s="1" t="s">
        <v>32978</v>
      </c>
      <c r="LH43" s="1" t="s">
        <v>32979</v>
      </c>
      <c r="LI43" s="1" t="s">
        <v>32980</v>
      </c>
      <c r="LJ43" s="1" t="s">
        <v>32981</v>
      </c>
      <c r="LK43" s="1" t="s">
        <v>32982</v>
      </c>
      <c r="LL43" s="1" t="s">
        <v>32983</v>
      </c>
      <c r="LM43" s="1" t="s">
        <v>32984</v>
      </c>
      <c r="LN43" s="1" t="s">
        <v>32985</v>
      </c>
      <c r="LO43" s="1" t="s">
        <v>32986</v>
      </c>
      <c r="LP43" s="1" t="s">
        <v>32987</v>
      </c>
      <c r="LQ43" s="1" t="s">
        <v>32988</v>
      </c>
      <c r="LR43" s="1" t="s">
        <v>32989</v>
      </c>
      <c r="LS43" s="1" t="s">
        <v>32990</v>
      </c>
      <c r="LT43" s="1" t="s">
        <v>32991</v>
      </c>
      <c r="LU43" s="1" t="s">
        <v>32992</v>
      </c>
      <c r="LV43" s="1" t="s">
        <v>32993</v>
      </c>
      <c r="LW43" s="1" t="s">
        <v>32994</v>
      </c>
      <c r="LX43" s="1" t="s">
        <v>32995</v>
      </c>
      <c r="LY43" s="1" t="s">
        <v>32996</v>
      </c>
      <c r="LZ43" s="1" t="s">
        <v>32997</v>
      </c>
      <c r="MA43" s="1" t="s">
        <v>32998</v>
      </c>
      <c r="MB43" s="1" t="s">
        <v>32999</v>
      </c>
      <c r="MC43" s="1" t="s">
        <v>33000</v>
      </c>
      <c r="MD43" s="1" t="s">
        <v>33001</v>
      </c>
      <c r="ME43" s="1" t="s">
        <v>33002</v>
      </c>
      <c r="MF43" s="1" t="s">
        <v>33003</v>
      </c>
      <c r="MG43" s="1" t="s">
        <v>33004</v>
      </c>
      <c r="MH43" s="1" t="s">
        <v>33005</v>
      </c>
      <c r="MI43" s="1" t="s">
        <v>33006</v>
      </c>
      <c r="MJ43" s="1" t="s">
        <v>33007</v>
      </c>
      <c r="MK43" s="1" t="s">
        <v>33008</v>
      </c>
      <c r="ML43" s="1" t="s">
        <v>33009</v>
      </c>
      <c r="MM43" s="1" t="s">
        <v>33010</v>
      </c>
      <c r="MN43" s="1" t="s">
        <v>33011</v>
      </c>
      <c r="MO43" s="1" t="s">
        <v>33012</v>
      </c>
      <c r="MP43" s="1" t="s">
        <v>33013</v>
      </c>
      <c r="MQ43" s="1" t="s">
        <v>33014</v>
      </c>
      <c r="MR43" s="1" t="s">
        <v>33015</v>
      </c>
      <c r="MS43" s="1" t="s">
        <v>33016</v>
      </c>
      <c r="MT43" s="1" t="s">
        <v>33017</v>
      </c>
      <c r="MU43" s="1" t="s">
        <v>33018</v>
      </c>
      <c r="MV43" s="1" t="s">
        <v>33019</v>
      </c>
      <c r="MW43" s="1" t="s">
        <v>33020</v>
      </c>
      <c r="MX43" s="1" t="s">
        <v>33021</v>
      </c>
      <c r="MY43" s="1" t="s">
        <v>33022</v>
      </c>
      <c r="MZ43" s="1" t="s">
        <v>33023</v>
      </c>
      <c r="NA43" s="1" t="s">
        <v>33024</v>
      </c>
      <c r="NB43" s="1" t="s">
        <v>33025</v>
      </c>
      <c r="NC43" s="1" t="s">
        <v>33026</v>
      </c>
      <c r="ND43" s="1" t="s">
        <v>33027</v>
      </c>
      <c r="NE43" s="1" t="s">
        <v>33028</v>
      </c>
      <c r="NF43" s="1" t="s">
        <v>33029</v>
      </c>
      <c r="NG43" s="1" t="s">
        <v>33030</v>
      </c>
      <c r="NH43" s="1" t="s">
        <v>33031</v>
      </c>
      <c r="NI43" s="1" t="s">
        <v>33032</v>
      </c>
      <c r="NJ43" s="1" t="s">
        <v>33033</v>
      </c>
      <c r="NK43" s="1" t="s">
        <v>33034</v>
      </c>
      <c r="NL43" s="1" t="s">
        <v>33035</v>
      </c>
      <c r="NM43" s="1" t="s">
        <v>33036</v>
      </c>
      <c r="NN43" s="1" t="s">
        <v>33037</v>
      </c>
      <c r="NO43" s="1" t="s">
        <v>33038</v>
      </c>
      <c r="NP43" s="1" t="s">
        <v>33039</v>
      </c>
      <c r="NQ43" s="1" t="s">
        <v>33040</v>
      </c>
      <c r="NR43" s="1" t="s">
        <v>33041</v>
      </c>
      <c r="NS43" s="1" t="s">
        <v>33042</v>
      </c>
      <c r="NT43" s="1" t="s">
        <v>33043</v>
      </c>
      <c r="NU43" s="1" t="s">
        <v>33044</v>
      </c>
      <c r="NV43" s="1" t="s">
        <v>33045</v>
      </c>
      <c r="NW43" s="1" t="s">
        <v>33046</v>
      </c>
      <c r="NX43" s="1" t="s">
        <v>33047</v>
      </c>
      <c r="NY43" s="1" t="s">
        <v>33048</v>
      </c>
      <c r="NZ43" s="1" t="s">
        <v>33049</v>
      </c>
      <c r="OA43" s="1" t="s">
        <v>33050</v>
      </c>
      <c r="OB43" s="1" t="s">
        <v>33051</v>
      </c>
      <c r="OC43" s="1" t="s">
        <v>33052</v>
      </c>
      <c r="OD43" s="1" t="s">
        <v>33053</v>
      </c>
      <c r="OE43" s="1" t="s">
        <v>33054</v>
      </c>
      <c r="OF43" s="1" t="s">
        <v>33055</v>
      </c>
      <c r="OG43" s="1" t="s">
        <v>33056</v>
      </c>
      <c r="OH43" s="1" t="s">
        <v>33057</v>
      </c>
      <c r="OI43" s="1" t="s">
        <v>33058</v>
      </c>
      <c r="OJ43" s="1" t="s">
        <v>33059</v>
      </c>
      <c r="OK43" s="1" t="s">
        <v>33060</v>
      </c>
      <c r="OL43" s="1" t="s">
        <v>33061</v>
      </c>
      <c r="OM43" s="1" t="s">
        <v>33062</v>
      </c>
      <c r="ON43" s="1" t="s">
        <v>33063</v>
      </c>
      <c r="OO43" s="1" t="s">
        <v>33064</v>
      </c>
      <c r="OP43" s="1" t="s">
        <v>33065</v>
      </c>
      <c r="OQ43" s="1" t="s">
        <v>33066</v>
      </c>
      <c r="OR43" s="1" t="s">
        <v>33067</v>
      </c>
      <c r="OS43" s="1" t="s">
        <v>33068</v>
      </c>
      <c r="OT43" s="1" t="s">
        <v>33069</v>
      </c>
      <c r="OU43" s="1" t="s">
        <v>33070</v>
      </c>
      <c r="OV43" s="1" t="s">
        <v>33071</v>
      </c>
      <c r="OW43" s="1" t="s">
        <v>33072</v>
      </c>
      <c r="OX43" s="1" t="s">
        <v>33073</v>
      </c>
      <c r="OY43" s="1" t="s">
        <v>33074</v>
      </c>
      <c r="OZ43" s="1" t="s">
        <v>33075</v>
      </c>
      <c r="PA43" s="1" t="s">
        <v>33076</v>
      </c>
      <c r="PB43" s="1" t="s">
        <v>33077</v>
      </c>
      <c r="PC43" s="1" t="s">
        <v>33078</v>
      </c>
      <c r="PD43" s="1" t="s">
        <v>33079</v>
      </c>
      <c r="PE43" s="1" t="s">
        <v>33080</v>
      </c>
      <c r="PF43" s="1" t="s">
        <v>33081</v>
      </c>
      <c r="PG43" s="1" t="s">
        <v>33082</v>
      </c>
      <c r="PH43" s="1" t="s">
        <v>33083</v>
      </c>
      <c r="PI43" s="1" t="s">
        <v>33084</v>
      </c>
      <c r="PJ43" s="1" t="s">
        <v>33085</v>
      </c>
      <c r="PK43" s="1" t="s">
        <v>33086</v>
      </c>
      <c r="PL43" s="1" t="s">
        <v>33087</v>
      </c>
      <c r="PM43" s="1" t="s">
        <v>33088</v>
      </c>
      <c r="PN43" s="1" t="s">
        <v>33089</v>
      </c>
      <c r="PO43" s="1" t="s">
        <v>33090</v>
      </c>
      <c r="PP43" s="1" t="s">
        <v>33091</v>
      </c>
      <c r="PQ43" s="1" t="s">
        <v>33092</v>
      </c>
      <c r="PR43" s="1" t="s">
        <v>33093</v>
      </c>
      <c r="PS43" s="1" t="s">
        <v>33094</v>
      </c>
      <c r="PT43" s="1" t="s">
        <v>33095</v>
      </c>
      <c r="PU43" s="1" t="s">
        <v>33096</v>
      </c>
      <c r="PV43" s="1" t="s">
        <v>33097</v>
      </c>
      <c r="PW43" s="1" t="s">
        <v>33098</v>
      </c>
      <c r="PX43" s="1" t="s">
        <v>33099</v>
      </c>
      <c r="PY43" s="1" t="s">
        <v>33100</v>
      </c>
      <c r="PZ43" s="1" t="s">
        <v>33101</v>
      </c>
      <c r="QA43" s="1" t="s">
        <v>33102</v>
      </c>
      <c r="QB43" s="1" t="s">
        <v>33103</v>
      </c>
      <c r="QC43" s="1" t="s">
        <v>33104</v>
      </c>
      <c r="QD43" s="1" t="s">
        <v>33105</v>
      </c>
      <c r="QE43" s="1" t="s">
        <v>33106</v>
      </c>
      <c r="QF43" s="1" t="s">
        <v>33107</v>
      </c>
      <c r="QG43" s="1" t="s">
        <v>33108</v>
      </c>
      <c r="QH43" s="1" t="s">
        <v>33109</v>
      </c>
      <c r="QI43" s="1" t="s">
        <v>33110</v>
      </c>
      <c r="QJ43" s="1" t="s">
        <v>33111</v>
      </c>
      <c r="QK43" s="1" t="s">
        <v>33112</v>
      </c>
      <c r="QL43" s="1" t="s">
        <v>33113</v>
      </c>
      <c r="QM43" s="1" t="s">
        <v>33114</v>
      </c>
      <c r="QN43" s="1" t="s">
        <v>33115</v>
      </c>
      <c r="QO43" s="1" t="s">
        <v>33116</v>
      </c>
      <c r="QP43" s="1" t="s">
        <v>33117</v>
      </c>
      <c r="QQ43" s="1" t="s">
        <v>33118</v>
      </c>
      <c r="QR43" s="1" t="s">
        <v>33119</v>
      </c>
      <c r="QS43" s="1" t="s">
        <v>33120</v>
      </c>
      <c r="QT43" s="1" t="s">
        <v>33121</v>
      </c>
      <c r="QU43" s="1" t="s">
        <v>33122</v>
      </c>
      <c r="QV43" s="1" t="s">
        <v>33123</v>
      </c>
      <c r="QW43" s="1" t="s">
        <v>33124</v>
      </c>
      <c r="QX43" s="1" t="s">
        <v>33125</v>
      </c>
      <c r="QY43" s="1" t="s">
        <v>33126</v>
      </c>
      <c r="QZ43" s="1" t="s">
        <v>33127</v>
      </c>
      <c r="RA43" s="1" t="s">
        <v>33128</v>
      </c>
      <c r="RB43" s="1" t="s">
        <v>33129</v>
      </c>
      <c r="RC43" s="1" t="s">
        <v>33130</v>
      </c>
      <c r="RD43" s="1" t="s">
        <v>33131</v>
      </c>
      <c r="RE43" s="1" t="s">
        <v>33132</v>
      </c>
      <c r="RF43" s="1" t="s">
        <v>33133</v>
      </c>
      <c r="RG43" s="1" t="s">
        <v>33134</v>
      </c>
      <c r="RH43" s="1" t="s">
        <v>33135</v>
      </c>
      <c r="RI43" s="1" t="s">
        <v>33136</v>
      </c>
      <c r="RJ43" s="1" t="s">
        <v>33137</v>
      </c>
      <c r="RK43" s="1" t="s">
        <v>33138</v>
      </c>
      <c r="RL43" s="1" t="s">
        <v>33139</v>
      </c>
      <c r="RM43" s="1" t="s">
        <v>33140</v>
      </c>
      <c r="RN43" s="1" t="s">
        <v>33141</v>
      </c>
      <c r="RO43" s="1" t="s">
        <v>33142</v>
      </c>
      <c r="RP43" s="1" t="s">
        <v>33143</v>
      </c>
      <c r="RQ43" s="1" t="s">
        <v>33144</v>
      </c>
      <c r="RR43" s="1" t="s">
        <v>33145</v>
      </c>
      <c r="RS43" s="1" t="s">
        <v>33146</v>
      </c>
      <c r="RT43" s="1" t="s">
        <v>33147</v>
      </c>
      <c r="RU43" s="1" t="s">
        <v>33148</v>
      </c>
      <c r="RV43" s="1" t="s">
        <v>33149</v>
      </c>
      <c r="RW43" s="1" t="s">
        <v>33150</v>
      </c>
      <c r="RX43" s="1" t="s">
        <v>33151</v>
      </c>
      <c r="RY43" s="1" t="s">
        <v>33152</v>
      </c>
      <c r="RZ43" s="1" t="s">
        <v>33153</v>
      </c>
      <c r="SA43" s="1" t="s">
        <v>33154</v>
      </c>
      <c r="SB43" s="1" t="s">
        <v>33155</v>
      </c>
      <c r="SC43" s="1" t="s">
        <v>33156</v>
      </c>
      <c r="SD43" s="1" t="s">
        <v>33157</v>
      </c>
      <c r="SE43" s="1" t="s">
        <v>33158</v>
      </c>
      <c r="SF43" s="1" t="s">
        <v>33159</v>
      </c>
      <c r="SG43" s="1" t="s">
        <v>33160</v>
      </c>
      <c r="SH43" s="1" t="s">
        <v>33161</v>
      </c>
      <c r="SI43" s="1" t="s">
        <v>33162</v>
      </c>
      <c r="SJ43" s="1" t="s">
        <v>33163</v>
      </c>
      <c r="SK43" s="1" t="s">
        <v>33164</v>
      </c>
      <c r="SL43" s="1" t="s">
        <v>33165</v>
      </c>
      <c r="SM43" s="1" t="s">
        <v>33166</v>
      </c>
      <c r="SN43" s="1" t="s">
        <v>33167</v>
      </c>
      <c r="SO43" s="1" t="s">
        <v>33168</v>
      </c>
      <c r="SP43" s="1" t="s">
        <v>33169</v>
      </c>
      <c r="SQ43" s="1" t="s">
        <v>33170</v>
      </c>
      <c r="SR43" s="1" t="s">
        <v>33171</v>
      </c>
      <c r="SS43" s="1" t="s">
        <v>33172</v>
      </c>
      <c r="ST43" s="1" t="s">
        <v>33173</v>
      </c>
      <c r="SU43" s="1" t="s">
        <v>33174</v>
      </c>
      <c r="SV43" s="1" t="s">
        <v>33175</v>
      </c>
      <c r="SW43" s="1" t="s">
        <v>33176</v>
      </c>
      <c r="SX43" s="1" t="s">
        <v>33177</v>
      </c>
      <c r="SY43" s="1" t="s">
        <v>33178</v>
      </c>
      <c r="SZ43" s="1" t="s">
        <v>33179</v>
      </c>
      <c r="TA43" s="1" t="s">
        <v>33180</v>
      </c>
      <c r="TB43" s="1" t="s">
        <v>33181</v>
      </c>
      <c r="TC43" s="1" t="s">
        <v>33182</v>
      </c>
      <c r="TD43" s="1" t="s">
        <v>33183</v>
      </c>
      <c r="TE43" s="1" t="s">
        <v>33184</v>
      </c>
      <c r="TF43" s="1" t="s">
        <v>33185</v>
      </c>
      <c r="TG43" s="1" t="s">
        <v>33186</v>
      </c>
      <c r="TH43" s="1" t="s">
        <v>33187</v>
      </c>
      <c r="TI43" s="1" t="s">
        <v>33188</v>
      </c>
      <c r="TJ43" s="1" t="s">
        <v>33189</v>
      </c>
      <c r="TK43" s="1" t="s">
        <v>33190</v>
      </c>
      <c r="TL43" s="1" t="s">
        <v>33191</v>
      </c>
      <c r="TM43" s="1" t="s">
        <v>33192</v>
      </c>
      <c r="TN43" s="1" t="s">
        <v>33193</v>
      </c>
      <c r="TO43" s="1" t="s">
        <v>33194</v>
      </c>
      <c r="TP43" s="1" t="s">
        <v>33195</v>
      </c>
      <c r="TQ43" s="1" t="s">
        <v>33196</v>
      </c>
      <c r="TR43" s="1" t="s">
        <v>33197</v>
      </c>
      <c r="TS43" s="1" t="s">
        <v>33198</v>
      </c>
      <c r="TT43" s="1" t="s">
        <v>33199</v>
      </c>
      <c r="TU43" s="1" t="s">
        <v>33200</v>
      </c>
      <c r="TV43" s="1" t="s">
        <v>33201</v>
      </c>
      <c r="TW43" s="1" t="s">
        <v>33202</v>
      </c>
      <c r="TX43" s="1" t="s">
        <v>33203</v>
      </c>
      <c r="TY43" s="1" t="s">
        <v>33204</v>
      </c>
      <c r="TZ43" s="1" t="s">
        <v>33205</v>
      </c>
      <c r="UA43" s="1" t="s">
        <v>33206</v>
      </c>
      <c r="UB43" s="1" t="s">
        <v>33207</v>
      </c>
      <c r="UC43" s="1" t="s">
        <v>33208</v>
      </c>
      <c r="UD43" s="1" t="s">
        <v>33209</v>
      </c>
      <c r="UE43" s="1" t="s">
        <v>33210</v>
      </c>
      <c r="UF43" s="1" t="s">
        <v>33211</v>
      </c>
      <c r="UG43" s="1" t="s">
        <v>33212</v>
      </c>
      <c r="UH43" s="1" t="s">
        <v>33213</v>
      </c>
      <c r="UI43" s="1" t="s">
        <v>33214</v>
      </c>
      <c r="UJ43" s="1" t="s">
        <v>33215</v>
      </c>
      <c r="UK43" s="1" t="s">
        <v>33216</v>
      </c>
      <c r="UL43" s="1" t="s">
        <v>33217</v>
      </c>
      <c r="UM43" s="1" t="s">
        <v>33218</v>
      </c>
      <c r="UN43" s="1" t="s">
        <v>33219</v>
      </c>
      <c r="UO43" s="1" t="s">
        <v>33220</v>
      </c>
      <c r="UP43" s="1" t="s">
        <v>33221</v>
      </c>
      <c r="UQ43" s="1" t="s">
        <v>33222</v>
      </c>
      <c r="UR43" s="1" t="s">
        <v>33223</v>
      </c>
      <c r="US43" s="1" t="s">
        <v>33224</v>
      </c>
      <c r="UT43" s="1" t="s">
        <v>33225</v>
      </c>
      <c r="UU43" s="1" t="s">
        <v>33226</v>
      </c>
      <c r="UV43" s="1" t="s">
        <v>33227</v>
      </c>
      <c r="UW43" s="1" t="s">
        <v>33228</v>
      </c>
      <c r="UX43" s="1" t="s">
        <v>33229</v>
      </c>
      <c r="UY43" s="1" t="s">
        <v>33230</v>
      </c>
      <c r="UZ43" s="1" t="s">
        <v>33231</v>
      </c>
      <c r="VA43" s="1" t="s">
        <v>33232</v>
      </c>
      <c r="VB43" s="1" t="s">
        <v>33233</v>
      </c>
      <c r="VC43" s="1" t="s">
        <v>33234</v>
      </c>
      <c r="VD43" s="1" t="s">
        <v>33235</v>
      </c>
      <c r="VE43" s="1" t="s">
        <v>33236</v>
      </c>
      <c r="VF43" s="1" t="s">
        <v>33237</v>
      </c>
      <c r="VG43" s="1" t="s">
        <v>33238</v>
      </c>
      <c r="VH43" s="1" t="s">
        <v>33239</v>
      </c>
      <c r="VI43" s="1" t="s">
        <v>33240</v>
      </c>
      <c r="VJ43" s="1" t="s">
        <v>33241</v>
      </c>
      <c r="VK43" s="1" t="s">
        <v>33242</v>
      </c>
      <c r="VL43" s="1" t="s">
        <v>33243</v>
      </c>
      <c r="VM43" s="1" t="s">
        <v>33244</v>
      </c>
      <c r="VN43" s="1" t="s">
        <v>33245</v>
      </c>
      <c r="VO43" s="1" t="s">
        <v>33246</v>
      </c>
      <c r="VP43" s="1" t="s">
        <v>33247</v>
      </c>
      <c r="VQ43" s="1" t="s">
        <v>33248</v>
      </c>
      <c r="VR43" s="1" t="s">
        <v>33249</v>
      </c>
      <c r="VS43" s="1" t="s">
        <v>33250</v>
      </c>
      <c r="VT43" s="1" t="s">
        <v>33251</v>
      </c>
      <c r="VU43" s="1" t="s">
        <v>33252</v>
      </c>
      <c r="VV43" s="1" t="s">
        <v>33253</v>
      </c>
      <c r="VW43" s="1" t="s">
        <v>33254</v>
      </c>
      <c r="VX43" s="1" t="s">
        <v>33255</v>
      </c>
      <c r="VY43" s="1" t="s">
        <v>33256</v>
      </c>
      <c r="VZ43" s="1" t="s">
        <v>33257</v>
      </c>
      <c r="WA43" s="1" t="s">
        <v>33258</v>
      </c>
      <c r="WB43" s="1" t="s">
        <v>33259</v>
      </c>
      <c r="WC43" s="1" t="s">
        <v>33260</v>
      </c>
      <c r="WD43" s="1" t="s">
        <v>33261</v>
      </c>
      <c r="WE43" s="1" t="s">
        <v>33262</v>
      </c>
      <c r="WF43" s="1" t="s">
        <v>33263</v>
      </c>
      <c r="WG43" s="1" t="s">
        <v>33264</v>
      </c>
      <c r="WH43" s="1" t="s">
        <v>33265</v>
      </c>
      <c r="WI43" s="1" t="s">
        <v>33266</v>
      </c>
      <c r="WJ43" s="1" t="s">
        <v>33267</v>
      </c>
      <c r="WK43" s="1" t="s">
        <v>33268</v>
      </c>
      <c r="WL43" s="1" t="s">
        <v>33269</v>
      </c>
      <c r="WM43" s="1" t="s">
        <v>33270</v>
      </c>
      <c r="WN43" s="1" t="s">
        <v>33271</v>
      </c>
      <c r="WO43" s="1" t="s">
        <v>33272</v>
      </c>
      <c r="WP43" s="1" t="s">
        <v>33273</v>
      </c>
      <c r="WQ43" s="1" t="s">
        <v>33274</v>
      </c>
      <c r="WR43" s="1" t="s">
        <v>33275</v>
      </c>
      <c r="WS43" s="1" t="s">
        <v>33276</v>
      </c>
      <c r="WT43" s="1" t="s">
        <v>33277</v>
      </c>
      <c r="WU43" s="1" t="s">
        <v>33278</v>
      </c>
      <c r="WV43" s="1" t="s">
        <v>33279</v>
      </c>
      <c r="WW43" s="1" t="s">
        <v>33280</v>
      </c>
      <c r="WX43" s="1" t="s">
        <v>33281</v>
      </c>
      <c r="WY43" s="1" t="s">
        <v>33282</v>
      </c>
      <c r="WZ43" s="1" t="s">
        <v>33283</v>
      </c>
      <c r="XA43" s="1" t="s">
        <v>33284</v>
      </c>
      <c r="XB43" s="1" t="s">
        <v>33285</v>
      </c>
      <c r="XC43" s="1" t="s">
        <v>33286</v>
      </c>
      <c r="XD43" s="1" t="s">
        <v>33287</v>
      </c>
      <c r="XE43" s="1" t="s">
        <v>33288</v>
      </c>
      <c r="XF43" s="1" t="s">
        <v>33289</v>
      </c>
      <c r="XG43" s="1" t="s">
        <v>33290</v>
      </c>
      <c r="XH43" s="1" t="s">
        <v>33291</v>
      </c>
      <c r="XI43" s="1" t="s">
        <v>33292</v>
      </c>
      <c r="XJ43" s="1" t="s">
        <v>33293</v>
      </c>
      <c r="XK43" s="1" t="s">
        <v>33294</v>
      </c>
      <c r="XL43" s="1" t="s">
        <v>33295</v>
      </c>
      <c r="XM43" s="1" t="s">
        <v>33296</v>
      </c>
      <c r="XN43" s="1" t="s">
        <v>33297</v>
      </c>
      <c r="XO43" s="1" t="s">
        <v>33298</v>
      </c>
      <c r="XP43" s="1" t="s">
        <v>33299</v>
      </c>
      <c r="XQ43" s="1" t="s">
        <v>33300</v>
      </c>
      <c r="XR43" s="1" t="s">
        <v>33301</v>
      </c>
      <c r="XS43" s="1" t="s">
        <v>33302</v>
      </c>
      <c r="XT43" s="1" t="s">
        <v>33303</v>
      </c>
      <c r="XU43" s="1" t="s">
        <v>33304</v>
      </c>
      <c r="XV43" s="1" t="s">
        <v>33305</v>
      </c>
      <c r="XW43" s="1" t="s">
        <v>33306</v>
      </c>
      <c r="XX43" s="1" t="s">
        <v>33307</v>
      </c>
      <c r="XY43" s="1" t="s">
        <v>33308</v>
      </c>
      <c r="XZ43" s="1" t="s">
        <v>33309</v>
      </c>
      <c r="YA43" s="1" t="s">
        <v>33310</v>
      </c>
      <c r="YB43" s="1" t="s">
        <v>33311</v>
      </c>
      <c r="YC43" s="1" t="s">
        <v>33312</v>
      </c>
      <c r="YD43" s="1" t="s">
        <v>33313</v>
      </c>
      <c r="YE43" s="1" t="s">
        <v>33314</v>
      </c>
      <c r="YF43" s="1" t="s">
        <v>33315</v>
      </c>
      <c r="YG43" s="1" t="s">
        <v>33316</v>
      </c>
      <c r="YH43" s="1" t="s">
        <v>33317</v>
      </c>
      <c r="YI43" s="1" t="s">
        <v>33318</v>
      </c>
      <c r="YJ43" s="1" t="s">
        <v>33319</v>
      </c>
      <c r="YK43" s="1" t="s">
        <v>33320</v>
      </c>
      <c r="YL43" s="1" t="s">
        <v>33321</v>
      </c>
      <c r="YM43" s="1" t="s">
        <v>33322</v>
      </c>
      <c r="YN43" s="1" t="s">
        <v>33323</v>
      </c>
      <c r="YO43" s="1" t="s">
        <v>33324</v>
      </c>
      <c r="YP43" s="1" t="s">
        <v>33325</v>
      </c>
      <c r="YQ43" s="1" t="s">
        <v>33326</v>
      </c>
      <c r="YR43" s="1" t="s">
        <v>33327</v>
      </c>
      <c r="YS43" s="1" t="s">
        <v>33328</v>
      </c>
      <c r="YT43" s="1" t="s">
        <v>33329</v>
      </c>
      <c r="YU43" s="1" t="s">
        <v>33330</v>
      </c>
      <c r="YV43" s="1" t="s">
        <v>33331</v>
      </c>
      <c r="YW43" s="1" t="s">
        <v>33332</v>
      </c>
      <c r="YX43" s="1" t="s">
        <v>33333</v>
      </c>
      <c r="YY43" s="1" t="s">
        <v>33334</v>
      </c>
      <c r="YZ43" s="1" t="s">
        <v>33335</v>
      </c>
      <c r="ZA43" s="1" t="s">
        <v>33336</v>
      </c>
      <c r="ZB43" s="1" t="s">
        <v>33337</v>
      </c>
      <c r="ZC43" s="1" t="s">
        <v>33338</v>
      </c>
      <c r="ZD43" s="1" t="s">
        <v>33339</v>
      </c>
      <c r="ZE43" s="1" t="s">
        <v>33340</v>
      </c>
      <c r="ZF43" s="1" t="s">
        <v>33341</v>
      </c>
      <c r="ZG43" s="1" t="s">
        <v>33342</v>
      </c>
      <c r="ZH43" s="1" t="s">
        <v>33343</v>
      </c>
      <c r="ZI43" s="1" t="s">
        <v>33344</v>
      </c>
      <c r="ZJ43" s="1" t="s">
        <v>33345</v>
      </c>
      <c r="ZK43" s="1" t="s">
        <v>33346</v>
      </c>
      <c r="ZL43" s="1" t="s">
        <v>33347</v>
      </c>
      <c r="ZM43" s="1" t="s">
        <v>33348</v>
      </c>
      <c r="ZN43" s="1" t="s">
        <v>33349</v>
      </c>
      <c r="ZO43" s="1" t="s">
        <v>33350</v>
      </c>
      <c r="ZP43" s="1" t="s">
        <v>33351</v>
      </c>
      <c r="ZQ43" s="1" t="s">
        <v>33352</v>
      </c>
      <c r="ZR43" s="1" t="s">
        <v>33353</v>
      </c>
      <c r="ZS43" s="1" t="s">
        <v>33354</v>
      </c>
      <c r="ZT43" s="1" t="s">
        <v>33355</v>
      </c>
      <c r="ZU43" s="1" t="s">
        <v>33356</v>
      </c>
      <c r="ZV43" s="1" t="s">
        <v>33357</v>
      </c>
      <c r="ZW43" s="1" t="s">
        <v>33358</v>
      </c>
      <c r="ZX43" s="1" t="s">
        <v>33359</v>
      </c>
      <c r="ZY43" s="1" t="s">
        <v>33360</v>
      </c>
      <c r="ZZ43" s="1" t="s">
        <v>33361</v>
      </c>
      <c r="AAA43" s="1" t="s">
        <v>33362</v>
      </c>
      <c r="AAB43" s="1" t="s">
        <v>33363</v>
      </c>
      <c r="AAC43" s="1" t="s">
        <v>33364</v>
      </c>
      <c r="AAD43" s="1" t="s">
        <v>33365</v>
      </c>
      <c r="AAE43" s="1" t="s">
        <v>33366</v>
      </c>
      <c r="AAF43" s="1" t="s">
        <v>33367</v>
      </c>
      <c r="AAG43" s="1" t="s">
        <v>33368</v>
      </c>
      <c r="AAH43" s="1" t="s">
        <v>33369</v>
      </c>
      <c r="AAI43" s="1" t="s">
        <v>33370</v>
      </c>
      <c r="AAJ43" s="1" t="s">
        <v>33371</v>
      </c>
      <c r="AAK43" s="1" t="s">
        <v>33372</v>
      </c>
      <c r="AAL43" s="1" t="s">
        <v>33373</v>
      </c>
      <c r="AAM43" s="1" t="s">
        <v>33374</v>
      </c>
      <c r="AAN43" s="1" t="s">
        <v>33375</v>
      </c>
      <c r="AAO43" s="1" t="s">
        <v>33376</v>
      </c>
      <c r="AAP43" s="1" t="s">
        <v>33377</v>
      </c>
      <c r="AAQ43" s="1" t="s">
        <v>33378</v>
      </c>
      <c r="AAR43" s="1" t="s">
        <v>33379</v>
      </c>
      <c r="AAS43" s="1" t="s">
        <v>33380</v>
      </c>
      <c r="AAT43" s="1" t="s">
        <v>33381</v>
      </c>
      <c r="AAU43" s="1" t="s">
        <v>33382</v>
      </c>
      <c r="AAV43" s="1" t="s">
        <v>33383</v>
      </c>
      <c r="AAW43" s="1" t="s">
        <v>33384</v>
      </c>
      <c r="AAX43" s="1" t="s">
        <v>33385</v>
      </c>
      <c r="AAY43" s="1" t="s">
        <v>33386</v>
      </c>
      <c r="AAZ43" s="1" t="s">
        <v>33387</v>
      </c>
      <c r="ABA43" s="1" t="s">
        <v>33388</v>
      </c>
      <c r="ABB43" s="1" t="s">
        <v>33389</v>
      </c>
      <c r="ABC43" s="1" t="s">
        <v>33390</v>
      </c>
      <c r="ABD43" s="1" t="s">
        <v>33391</v>
      </c>
      <c r="ABE43" s="1" t="s">
        <v>33392</v>
      </c>
      <c r="ABF43" s="1" t="s">
        <v>33393</v>
      </c>
      <c r="ABG43" s="1" t="s">
        <v>33394</v>
      </c>
      <c r="ABH43" s="1" t="s">
        <v>33395</v>
      </c>
      <c r="ABI43" s="1" t="s">
        <v>33396</v>
      </c>
      <c r="ABJ43" s="1" t="s">
        <v>33397</v>
      </c>
      <c r="ABK43" s="1" t="s">
        <v>33398</v>
      </c>
      <c r="ABL43" s="1" t="s">
        <v>33399</v>
      </c>
      <c r="ABM43" s="1" t="s">
        <v>33400</v>
      </c>
      <c r="ABN43" s="1" t="s">
        <v>33401</v>
      </c>
      <c r="ABO43" s="1" t="s">
        <v>33402</v>
      </c>
      <c r="ABP43" s="1" t="s">
        <v>33403</v>
      </c>
      <c r="ABQ43" s="1" t="s">
        <v>33404</v>
      </c>
      <c r="ABR43" s="1" t="s">
        <v>33405</v>
      </c>
      <c r="ABS43" s="1" t="s">
        <v>33406</v>
      </c>
      <c r="ABT43" s="1" t="s">
        <v>33407</v>
      </c>
      <c r="ABU43" s="1" t="s">
        <v>33408</v>
      </c>
      <c r="ABV43" s="1" t="s">
        <v>33409</v>
      </c>
      <c r="ABW43" s="1" t="s">
        <v>33410</v>
      </c>
      <c r="ABX43" s="1" t="s">
        <v>33411</v>
      </c>
      <c r="ABY43" s="1" t="s">
        <v>33412</v>
      </c>
      <c r="ABZ43" s="1" t="s">
        <v>33413</v>
      </c>
      <c r="ACA43" s="1" t="s">
        <v>33414</v>
      </c>
      <c r="ACB43" s="1" t="s">
        <v>33415</v>
      </c>
      <c r="ACC43" s="1" t="s">
        <v>33416</v>
      </c>
      <c r="ACD43" s="1" t="s">
        <v>33417</v>
      </c>
      <c r="ACE43" s="1" t="s">
        <v>33418</v>
      </c>
      <c r="ACF43" s="1" t="s">
        <v>33419</v>
      </c>
      <c r="ACG43" s="1" t="s">
        <v>33420</v>
      </c>
      <c r="ACH43" s="1" t="s">
        <v>33421</v>
      </c>
      <c r="ACI43" s="1" t="s">
        <v>33422</v>
      </c>
      <c r="ACJ43" s="1" t="s">
        <v>33423</v>
      </c>
      <c r="ACK43" s="1" t="s">
        <v>33424</v>
      </c>
      <c r="ACL43" s="1" t="s">
        <v>33425</v>
      </c>
      <c r="ACM43" s="1" t="s">
        <v>33426</v>
      </c>
      <c r="ACN43" s="1" t="s">
        <v>33427</v>
      </c>
      <c r="ACO43" s="1" t="s">
        <v>33428</v>
      </c>
      <c r="ACP43" s="1" t="s">
        <v>33429</v>
      </c>
      <c r="ACQ43" s="1" t="s">
        <v>33430</v>
      </c>
      <c r="ACR43" s="1" t="s">
        <v>33431</v>
      </c>
      <c r="ACS43" s="1" t="s">
        <v>33432</v>
      </c>
      <c r="ACT43" s="1" t="s">
        <v>33433</v>
      </c>
      <c r="ACU43" s="1" t="s">
        <v>33434</v>
      </c>
      <c r="ACV43" s="1" t="s">
        <v>33435</v>
      </c>
      <c r="ACW43" s="1" t="s">
        <v>6</v>
      </c>
      <c r="ACX43" s="1" t="s">
        <v>1501</v>
      </c>
    </row>
    <row r="44" spans="1:778" x14ac:dyDescent="0.2">
      <c r="A44" s="1" t="s">
        <v>69</v>
      </c>
      <c r="B44" s="1" t="s">
        <v>33436</v>
      </c>
      <c r="C44" s="1" t="s">
        <v>33437</v>
      </c>
      <c r="D44" s="1" t="s">
        <v>33438</v>
      </c>
      <c r="E44" s="1" t="s">
        <v>33439</v>
      </c>
      <c r="F44" s="1" t="s">
        <v>33440</v>
      </c>
      <c r="G44" s="1" t="s">
        <v>33441</v>
      </c>
      <c r="H44" s="1" t="s">
        <v>33442</v>
      </c>
      <c r="I44" s="1" t="s">
        <v>33443</v>
      </c>
      <c r="J44" s="1" t="s">
        <v>33444</v>
      </c>
      <c r="K44" s="1" t="s">
        <v>33445</v>
      </c>
      <c r="L44" s="1" t="s">
        <v>33446</v>
      </c>
      <c r="M44" s="1" t="s">
        <v>33447</v>
      </c>
      <c r="N44" s="1" t="s">
        <v>33448</v>
      </c>
      <c r="O44" s="1" t="s">
        <v>33449</v>
      </c>
      <c r="P44" s="1" t="s">
        <v>33450</v>
      </c>
      <c r="Q44" s="1" t="s">
        <v>33451</v>
      </c>
      <c r="R44" s="1" t="s">
        <v>33452</v>
      </c>
      <c r="S44" s="1" t="s">
        <v>33453</v>
      </c>
      <c r="T44" s="1" t="s">
        <v>33454</v>
      </c>
      <c r="U44" s="1" t="s">
        <v>33455</v>
      </c>
      <c r="V44" s="1" t="s">
        <v>33456</v>
      </c>
      <c r="W44" s="1" t="s">
        <v>33457</v>
      </c>
      <c r="X44" s="1" t="s">
        <v>33458</v>
      </c>
      <c r="Y44" s="1" t="s">
        <v>33459</v>
      </c>
      <c r="Z44" s="1" t="s">
        <v>33460</v>
      </c>
      <c r="AA44" s="1" t="s">
        <v>33461</v>
      </c>
      <c r="AB44" s="1" t="s">
        <v>33462</v>
      </c>
      <c r="AC44" s="1" t="s">
        <v>33463</v>
      </c>
      <c r="AD44" s="1" t="s">
        <v>33464</v>
      </c>
      <c r="AE44" s="1" t="s">
        <v>33465</v>
      </c>
      <c r="AF44" s="1" t="s">
        <v>33466</v>
      </c>
      <c r="AG44" s="1" t="s">
        <v>33467</v>
      </c>
      <c r="AH44" s="1" t="s">
        <v>33468</v>
      </c>
      <c r="AI44" s="1" t="s">
        <v>33469</v>
      </c>
      <c r="AJ44" s="1" t="s">
        <v>33470</v>
      </c>
      <c r="AK44" s="1" t="s">
        <v>33471</v>
      </c>
      <c r="AL44" s="1" t="s">
        <v>33472</v>
      </c>
      <c r="AM44" s="1" t="s">
        <v>33473</v>
      </c>
      <c r="AN44" s="1" t="s">
        <v>33474</v>
      </c>
      <c r="AO44" s="1" t="s">
        <v>33475</v>
      </c>
      <c r="AP44" s="1" t="s">
        <v>33476</v>
      </c>
      <c r="AQ44" s="1" t="s">
        <v>33477</v>
      </c>
      <c r="AR44" s="1" t="s">
        <v>33478</v>
      </c>
      <c r="AS44" s="1" t="s">
        <v>33479</v>
      </c>
      <c r="AT44" s="1" t="s">
        <v>33480</v>
      </c>
      <c r="AU44" s="1" t="s">
        <v>33481</v>
      </c>
      <c r="AV44" s="1" t="s">
        <v>33482</v>
      </c>
      <c r="AW44" s="1" t="s">
        <v>33483</v>
      </c>
      <c r="AX44" s="1" t="s">
        <v>33484</v>
      </c>
      <c r="AY44" s="1" t="s">
        <v>33485</v>
      </c>
      <c r="AZ44" s="1" t="s">
        <v>33486</v>
      </c>
      <c r="BA44" s="1" t="s">
        <v>33487</v>
      </c>
      <c r="BB44" s="1" t="s">
        <v>33488</v>
      </c>
      <c r="BC44" s="1" t="s">
        <v>33489</v>
      </c>
      <c r="BD44" s="1" t="s">
        <v>33490</v>
      </c>
      <c r="BE44" s="1" t="s">
        <v>33491</v>
      </c>
      <c r="BF44" s="1" t="s">
        <v>33492</v>
      </c>
      <c r="BG44" s="1" t="s">
        <v>33493</v>
      </c>
      <c r="BH44" s="1" t="s">
        <v>33494</v>
      </c>
      <c r="BI44" s="1" t="s">
        <v>33495</v>
      </c>
      <c r="BJ44" s="1" t="s">
        <v>33496</v>
      </c>
      <c r="BK44" s="1" t="s">
        <v>33497</v>
      </c>
      <c r="BL44" s="1" t="s">
        <v>33498</v>
      </c>
      <c r="BM44" s="1" t="s">
        <v>33499</v>
      </c>
      <c r="BN44" s="1" t="s">
        <v>33500</v>
      </c>
      <c r="BO44" s="1" t="s">
        <v>33501</v>
      </c>
      <c r="BP44" s="1" t="s">
        <v>33502</v>
      </c>
      <c r="BQ44" s="1" t="s">
        <v>33503</v>
      </c>
      <c r="BR44" s="1" t="s">
        <v>33504</v>
      </c>
      <c r="BS44" s="1" t="s">
        <v>33505</v>
      </c>
      <c r="BT44" s="1" t="s">
        <v>33506</v>
      </c>
      <c r="BU44" s="1" t="s">
        <v>33507</v>
      </c>
      <c r="BV44" s="1" t="s">
        <v>33508</v>
      </c>
      <c r="BW44" s="1" t="s">
        <v>33509</v>
      </c>
      <c r="BX44" s="1" t="s">
        <v>33510</v>
      </c>
      <c r="BY44" s="1" t="s">
        <v>33511</v>
      </c>
      <c r="BZ44" s="1" t="s">
        <v>33512</v>
      </c>
      <c r="CA44" s="1" t="s">
        <v>33513</v>
      </c>
      <c r="CB44" s="1" t="s">
        <v>33514</v>
      </c>
      <c r="CC44" s="1" t="s">
        <v>33515</v>
      </c>
      <c r="CD44" s="1" t="s">
        <v>33516</v>
      </c>
      <c r="CE44" s="1" t="s">
        <v>33517</v>
      </c>
      <c r="CF44" s="1" t="s">
        <v>33518</v>
      </c>
      <c r="CG44" s="1" t="s">
        <v>33519</v>
      </c>
      <c r="CH44" s="1" t="s">
        <v>33520</v>
      </c>
      <c r="CI44" s="1" t="s">
        <v>33521</v>
      </c>
      <c r="CJ44" s="1" t="s">
        <v>33522</v>
      </c>
      <c r="CK44" s="1" t="s">
        <v>33523</v>
      </c>
      <c r="CL44" s="1" t="s">
        <v>33524</v>
      </c>
      <c r="CM44" s="1" t="s">
        <v>33525</v>
      </c>
      <c r="CN44" s="1" t="s">
        <v>33526</v>
      </c>
      <c r="CO44" s="1" t="s">
        <v>33527</v>
      </c>
      <c r="CP44" s="1" t="s">
        <v>33528</v>
      </c>
      <c r="CQ44" s="1" t="s">
        <v>33529</v>
      </c>
      <c r="CR44" s="1" t="s">
        <v>33530</v>
      </c>
      <c r="CS44" s="1" t="s">
        <v>33531</v>
      </c>
      <c r="CT44" s="1" t="s">
        <v>33532</v>
      </c>
      <c r="CU44" s="1" t="s">
        <v>33533</v>
      </c>
      <c r="CV44" s="1" t="s">
        <v>33534</v>
      </c>
      <c r="CW44" s="1" t="s">
        <v>33535</v>
      </c>
      <c r="CX44" s="1" t="s">
        <v>33536</v>
      </c>
      <c r="CY44" s="1" t="s">
        <v>33537</v>
      </c>
      <c r="CZ44" s="1" t="s">
        <v>33538</v>
      </c>
      <c r="DA44" s="1" t="s">
        <v>33539</v>
      </c>
      <c r="DB44" s="1" t="s">
        <v>33540</v>
      </c>
      <c r="DC44" s="1" t="s">
        <v>33541</v>
      </c>
      <c r="DD44" s="1" t="s">
        <v>33542</v>
      </c>
      <c r="DE44" s="1" t="s">
        <v>33543</v>
      </c>
      <c r="DF44" s="1" t="s">
        <v>33544</v>
      </c>
      <c r="DG44" s="1" t="s">
        <v>33545</v>
      </c>
      <c r="DH44" s="1" t="s">
        <v>33546</v>
      </c>
      <c r="DI44" s="1" t="s">
        <v>33547</v>
      </c>
      <c r="DJ44" s="1" t="s">
        <v>33548</v>
      </c>
      <c r="DK44" s="1" t="s">
        <v>33549</v>
      </c>
      <c r="DL44" s="1" t="s">
        <v>33550</v>
      </c>
      <c r="DM44" s="1" t="s">
        <v>33551</v>
      </c>
      <c r="DN44" s="1" t="s">
        <v>33552</v>
      </c>
      <c r="DO44" s="1" t="s">
        <v>33553</v>
      </c>
      <c r="DP44" s="1" t="s">
        <v>33554</v>
      </c>
      <c r="DQ44" s="1" t="s">
        <v>33555</v>
      </c>
      <c r="DR44" s="1" t="s">
        <v>33556</v>
      </c>
      <c r="DS44" s="1" t="s">
        <v>33557</v>
      </c>
      <c r="DT44" s="1" t="s">
        <v>33558</v>
      </c>
      <c r="DU44" s="1" t="s">
        <v>33559</v>
      </c>
      <c r="DV44" s="1" t="s">
        <v>33560</v>
      </c>
      <c r="DW44" s="1" t="s">
        <v>33561</v>
      </c>
      <c r="DX44" s="1" t="s">
        <v>33562</v>
      </c>
      <c r="DY44" s="1" t="s">
        <v>33563</v>
      </c>
      <c r="DZ44" s="1" t="s">
        <v>33564</v>
      </c>
      <c r="EA44" s="1" t="s">
        <v>33565</v>
      </c>
      <c r="EB44" s="1" t="s">
        <v>33566</v>
      </c>
      <c r="EC44" s="1" t="s">
        <v>33567</v>
      </c>
      <c r="ED44" s="1" t="s">
        <v>33568</v>
      </c>
      <c r="EE44" s="1" t="s">
        <v>33569</v>
      </c>
      <c r="EF44" s="1" t="s">
        <v>33570</v>
      </c>
      <c r="EG44" s="1" t="s">
        <v>33571</v>
      </c>
      <c r="EH44" s="1" t="s">
        <v>33572</v>
      </c>
      <c r="EI44" s="1" t="s">
        <v>33573</v>
      </c>
      <c r="EJ44" s="1" t="s">
        <v>33574</v>
      </c>
      <c r="EK44" s="1" t="s">
        <v>33575</v>
      </c>
      <c r="EL44" s="1" t="s">
        <v>33576</v>
      </c>
      <c r="EM44" s="1" t="s">
        <v>33577</v>
      </c>
      <c r="EN44" s="1" t="s">
        <v>33578</v>
      </c>
      <c r="EO44" s="1" t="s">
        <v>33579</v>
      </c>
      <c r="EP44" s="1" t="s">
        <v>33580</v>
      </c>
      <c r="EQ44" s="1" t="s">
        <v>33581</v>
      </c>
      <c r="ER44" s="1" t="s">
        <v>33582</v>
      </c>
      <c r="ES44" s="1" t="s">
        <v>33583</v>
      </c>
      <c r="ET44" s="1" t="s">
        <v>33584</v>
      </c>
      <c r="EU44" s="1" t="s">
        <v>33585</v>
      </c>
      <c r="EV44" s="1" t="s">
        <v>33586</v>
      </c>
      <c r="EW44" s="1" t="s">
        <v>33587</v>
      </c>
      <c r="EX44" s="1" t="s">
        <v>33588</v>
      </c>
      <c r="EY44" s="1" t="s">
        <v>33589</v>
      </c>
      <c r="EZ44" s="1" t="s">
        <v>33590</v>
      </c>
      <c r="FA44" s="1" t="s">
        <v>33591</v>
      </c>
      <c r="FB44" s="1" t="s">
        <v>33592</v>
      </c>
      <c r="FC44" s="1" t="s">
        <v>33593</v>
      </c>
      <c r="FD44" s="1" t="s">
        <v>33594</v>
      </c>
      <c r="FE44" s="1" t="s">
        <v>33595</v>
      </c>
      <c r="FF44" s="1" t="s">
        <v>33596</v>
      </c>
      <c r="FG44" s="1" t="s">
        <v>33597</v>
      </c>
      <c r="FH44" s="1" t="s">
        <v>33598</v>
      </c>
      <c r="FI44" s="1" t="s">
        <v>33599</v>
      </c>
      <c r="FJ44" s="1" t="s">
        <v>33600</v>
      </c>
      <c r="FK44" s="1" t="s">
        <v>33601</v>
      </c>
      <c r="FL44" s="1" t="s">
        <v>33602</v>
      </c>
      <c r="FM44" s="1" t="s">
        <v>33603</v>
      </c>
      <c r="FN44" s="1" t="s">
        <v>33604</v>
      </c>
      <c r="FO44" s="1" t="s">
        <v>33605</v>
      </c>
      <c r="FP44" s="1" t="s">
        <v>33606</v>
      </c>
      <c r="FQ44" s="1" t="s">
        <v>33607</v>
      </c>
      <c r="FR44" s="1" t="s">
        <v>33608</v>
      </c>
      <c r="FS44" s="1" t="s">
        <v>33609</v>
      </c>
      <c r="FT44" s="1" t="s">
        <v>33610</v>
      </c>
      <c r="FU44" s="1" t="s">
        <v>33611</v>
      </c>
      <c r="FV44" s="1" t="s">
        <v>33612</v>
      </c>
      <c r="FW44" s="1" t="s">
        <v>33613</v>
      </c>
      <c r="FX44" s="1" t="s">
        <v>33614</v>
      </c>
      <c r="FY44" s="1" t="s">
        <v>33615</v>
      </c>
      <c r="FZ44" s="1" t="s">
        <v>33616</v>
      </c>
      <c r="GA44" s="1" t="s">
        <v>33617</v>
      </c>
      <c r="GB44" s="1" t="s">
        <v>33618</v>
      </c>
      <c r="GC44" s="1" t="s">
        <v>33619</v>
      </c>
      <c r="GD44" s="1" t="s">
        <v>33620</v>
      </c>
      <c r="GE44" s="1" t="s">
        <v>33621</v>
      </c>
      <c r="GF44" s="1" t="s">
        <v>33622</v>
      </c>
      <c r="GG44" s="1" t="s">
        <v>33623</v>
      </c>
      <c r="GH44" s="1" t="s">
        <v>33624</v>
      </c>
      <c r="GI44" s="1" t="s">
        <v>33625</v>
      </c>
      <c r="GJ44" s="1" t="s">
        <v>33626</v>
      </c>
      <c r="GK44" s="1" t="s">
        <v>33627</v>
      </c>
      <c r="GL44" s="1" t="s">
        <v>33628</v>
      </c>
      <c r="GM44" s="1" t="s">
        <v>33629</v>
      </c>
      <c r="GN44" s="1" t="s">
        <v>33630</v>
      </c>
      <c r="GO44" s="1" t="s">
        <v>33631</v>
      </c>
      <c r="GP44" s="1" t="s">
        <v>33632</v>
      </c>
      <c r="GQ44" s="1" t="s">
        <v>33633</v>
      </c>
      <c r="GR44" s="1" t="s">
        <v>33634</v>
      </c>
      <c r="GS44" s="1" t="s">
        <v>33635</v>
      </c>
      <c r="GT44" s="1" t="s">
        <v>33636</v>
      </c>
      <c r="GU44" s="1" t="s">
        <v>33637</v>
      </c>
      <c r="GV44" s="1" t="s">
        <v>33638</v>
      </c>
      <c r="GW44" s="1" t="s">
        <v>33639</v>
      </c>
      <c r="GX44" s="1" t="s">
        <v>33640</v>
      </c>
      <c r="GY44" s="1" t="s">
        <v>33641</v>
      </c>
      <c r="GZ44" s="1" t="s">
        <v>33642</v>
      </c>
      <c r="HA44" s="1" t="s">
        <v>33643</v>
      </c>
      <c r="HB44" s="1" t="s">
        <v>33644</v>
      </c>
      <c r="HC44" s="1" t="s">
        <v>33645</v>
      </c>
      <c r="HD44" s="1" t="s">
        <v>33646</v>
      </c>
      <c r="HE44" s="1" t="s">
        <v>33647</v>
      </c>
      <c r="HF44" s="1" t="s">
        <v>33648</v>
      </c>
      <c r="HG44" s="1" t="s">
        <v>33649</v>
      </c>
      <c r="HH44" s="1" t="s">
        <v>33650</v>
      </c>
      <c r="HI44" s="1" t="s">
        <v>33651</v>
      </c>
      <c r="HJ44" s="1" t="s">
        <v>33652</v>
      </c>
      <c r="HK44" s="1" t="s">
        <v>33653</v>
      </c>
      <c r="HL44" s="1" t="s">
        <v>33654</v>
      </c>
      <c r="HM44" s="1" t="s">
        <v>33655</v>
      </c>
      <c r="HN44" s="1" t="s">
        <v>33656</v>
      </c>
      <c r="HO44" s="1" t="s">
        <v>33657</v>
      </c>
      <c r="HP44" s="1" t="s">
        <v>33658</v>
      </c>
      <c r="HQ44" s="1" t="s">
        <v>33659</v>
      </c>
      <c r="HR44" s="1" t="s">
        <v>33660</v>
      </c>
      <c r="HS44" s="1" t="s">
        <v>33661</v>
      </c>
      <c r="HT44" s="1" t="s">
        <v>33662</v>
      </c>
      <c r="HU44" s="1" t="s">
        <v>33663</v>
      </c>
      <c r="HV44" s="1" t="s">
        <v>33664</v>
      </c>
      <c r="HW44" s="1" t="s">
        <v>33665</v>
      </c>
      <c r="HX44" s="1" t="s">
        <v>33666</v>
      </c>
      <c r="HY44" s="1" t="s">
        <v>33667</v>
      </c>
      <c r="HZ44" s="1" t="s">
        <v>33668</v>
      </c>
      <c r="IA44" s="1" t="s">
        <v>33669</v>
      </c>
      <c r="IB44" s="1" t="s">
        <v>33670</v>
      </c>
      <c r="IC44" s="1" t="s">
        <v>33671</v>
      </c>
      <c r="ID44" s="1" t="s">
        <v>33672</v>
      </c>
      <c r="IE44" s="1" t="s">
        <v>33673</v>
      </c>
      <c r="IF44" s="1" t="s">
        <v>33674</v>
      </c>
      <c r="IG44" s="1" t="s">
        <v>33675</v>
      </c>
      <c r="IH44" s="1" t="s">
        <v>33676</v>
      </c>
      <c r="II44" s="1" t="s">
        <v>33677</v>
      </c>
      <c r="IJ44" s="1" t="s">
        <v>33678</v>
      </c>
      <c r="IK44" s="1" t="s">
        <v>33679</v>
      </c>
      <c r="IL44" s="1" t="s">
        <v>33680</v>
      </c>
      <c r="IM44" s="1" t="s">
        <v>33681</v>
      </c>
      <c r="IN44" s="1" t="s">
        <v>33682</v>
      </c>
      <c r="IO44" s="1" t="s">
        <v>33683</v>
      </c>
      <c r="IP44" s="1" t="s">
        <v>33684</v>
      </c>
      <c r="IQ44" s="1" t="s">
        <v>33685</v>
      </c>
      <c r="IR44" s="1" t="s">
        <v>33686</v>
      </c>
      <c r="IS44" s="1" t="s">
        <v>33687</v>
      </c>
      <c r="IT44" s="1" t="s">
        <v>33688</v>
      </c>
      <c r="IU44" s="1" t="s">
        <v>33689</v>
      </c>
      <c r="IV44" s="1" t="s">
        <v>33690</v>
      </c>
      <c r="IW44" s="1" t="s">
        <v>33691</v>
      </c>
      <c r="IX44" s="1" t="s">
        <v>33692</v>
      </c>
      <c r="IY44" s="1" t="s">
        <v>33693</v>
      </c>
      <c r="IZ44" s="1" t="s">
        <v>33694</v>
      </c>
      <c r="JA44" s="1" t="s">
        <v>33695</v>
      </c>
      <c r="JB44" s="1" t="s">
        <v>33696</v>
      </c>
      <c r="JC44" s="1" t="s">
        <v>33697</v>
      </c>
      <c r="JD44" s="1" t="s">
        <v>33698</v>
      </c>
      <c r="JE44" s="1" t="s">
        <v>33699</v>
      </c>
      <c r="JF44" s="1" t="s">
        <v>33700</v>
      </c>
      <c r="JG44" s="1" t="s">
        <v>33701</v>
      </c>
      <c r="JH44" s="1" t="s">
        <v>33702</v>
      </c>
      <c r="JI44" s="1" t="s">
        <v>33703</v>
      </c>
      <c r="JJ44" s="1" t="s">
        <v>33704</v>
      </c>
      <c r="JK44" s="1" t="s">
        <v>33705</v>
      </c>
      <c r="JL44" s="1" t="s">
        <v>33706</v>
      </c>
      <c r="JM44" s="1" t="s">
        <v>33707</v>
      </c>
      <c r="JN44" s="1" t="s">
        <v>33708</v>
      </c>
      <c r="JO44" s="1" t="s">
        <v>33709</v>
      </c>
      <c r="JP44" s="1" t="s">
        <v>33710</v>
      </c>
      <c r="JQ44" s="1" t="s">
        <v>33711</v>
      </c>
      <c r="JR44" s="1" t="s">
        <v>33712</v>
      </c>
      <c r="JS44" s="1" t="s">
        <v>33713</v>
      </c>
      <c r="JT44" s="1" t="s">
        <v>33714</v>
      </c>
      <c r="JU44" s="1" t="s">
        <v>33715</v>
      </c>
      <c r="JV44" s="1" t="s">
        <v>33716</v>
      </c>
      <c r="JW44" s="1" t="s">
        <v>33717</v>
      </c>
      <c r="JX44" s="1" t="s">
        <v>33718</v>
      </c>
      <c r="JY44" s="1" t="s">
        <v>33719</v>
      </c>
      <c r="JZ44" s="1" t="s">
        <v>33720</v>
      </c>
      <c r="KA44" s="1" t="s">
        <v>33721</v>
      </c>
      <c r="KB44" s="1" t="s">
        <v>33722</v>
      </c>
      <c r="KC44" s="1" t="s">
        <v>33723</v>
      </c>
      <c r="KD44" s="1" t="s">
        <v>33724</v>
      </c>
      <c r="KE44" s="1" t="s">
        <v>33725</v>
      </c>
      <c r="KF44" s="1" t="s">
        <v>33726</v>
      </c>
      <c r="KG44" s="1" t="s">
        <v>33727</v>
      </c>
      <c r="KH44" s="1" t="s">
        <v>33728</v>
      </c>
      <c r="KI44" s="1" t="s">
        <v>33729</v>
      </c>
      <c r="KJ44" s="1" t="s">
        <v>33730</v>
      </c>
      <c r="KK44" s="1" t="s">
        <v>33731</v>
      </c>
      <c r="KL44" s="1" t="s">
        <v>33732</v>
      </c>
      <c r="KM44" s="1" t="s">
        <v>33733</v>
      </c>
      <c r="KN44" s="1" t="s">
        <v>33734</v>
      </c>
      <c r="KO44" s="1" t="s">
        <v>33735</v>
      </c>
      <c r="KP44" s="1" t="s">
        <v>33736</v>
      </c>
      <c r="KQ44" s="1" t="s">
        <v>33737</v>
      </c>
      <c r="KR44" s="1" t="s">
        <v>33738</v>
      </c>
      <c r="KS44" s="1" t="s">
        <v>33739</v>
      </c>
      <c r="KT44" s="1" t="s">
        <v>33740</v>
      </c>
      <c r="KU44" s="1" t="s">
        <v>33741</v>
      </c>
      <c r="KV44" s="1" t="s">
        <v>33742</v>
      </c>
      <c r="KW44" s="1" t="s">
        <v>33743</v>
      </c>
      <c r="KX44" s="1" t="s">
        <v>33744</v>
      </c>
      <c r="KY44" s="1" t="s">
        <v>33745</v>
      </c>
      <c r="KZ44" s="1" t="s">
        <v>33746</v>
      </c>
      <c r="LA44" s="1" t="s">
        <v>33747</v>
      </c>
      <c r="LB44" s="1" t="s">
        <v>33748</v>
      </c>
      <c r="LC44" s="1" t="s">
        <v>33749</v>
      </c>
      <c r="LD44" s="1" t="s">
        <v>33750</v>
      </c>
      <c r="LE44" s="1" t="s">
        <v>33751</v>
      </c>
      <c r="LF44" s="1" t="s">
        <v>33752</v>
      </c>
      <c r="LG44" s="1" t="s">
        <v>33753</v>
      </c>
      <c r="LH44" s="1" t="s">
        <v>33754</v>
      </c>
      <c r="LI44" s="1" t="s">
        <v>33755</v>
      </c>
      <c r="LJ44" s="1" t="s">
        <v>33756</v>
      </c>
      <c r="LK44" s="1" t="s">
        <v>33757</v>
      </c>
      <c r="LL44" s="1" t="s">
        <v>33758</v>
      </c>
      <c r="LM44" s="1" t="s">
        <v>33759</v>
      </c>
      <c r="LN44" s="1" t="s">
        <v>33760</v>
      </c>
      <c r="LO44" s="1" t="s">
        <v>33761</v>
      </c>
      <c r="LP44" s="1" t="s">
        <v>33762</v>
      </c>
      <c r="LQ44" s="1" t="s">
        <v>33763</v>
      </c>
      <c r="LR44" s="1" t="s">
        <v>33764</v>
      </c>
      <c r="LS44" s="1" t="s">
        <v>33765</v>
      </c>
      <c r="LT44" s="1" t="s">
        <v>33766</v>
      </c>
      <c r="LU44" s="1" t="s">
        <v>33767</v>
      </c>
      <c r="LV44" s="1" t="s">
        <v>33768</v>
      </c>
      <c r="LW44" s="1" t="s">
        <v>33769</v>
      </c>
      <c r="LX44" s="1" t="s">
        <v>33770</v>
      </c>
      <c r="LY44" s="1" t="s">
        <v>33771</v>
      </c>
      <c r="LZ44" s="1" t="s">
        <v>33772</v>
      </c>
      <c r="MA44" s="1" t="s">
        <v>33773</v>
      </c>
      <c r="MB44" s="1" t="s">
        <v>33774</v>
      </c>
      <c r="MC44" s="1" t="s">
        <v>33775</v>
      </c>
      <c r="MD44" s="1" t="s">
        <v>33776</v>
      </c>
      <c r="ME44" s="1" t="s">
        <v>33777</v>
      </c>
      <c r="MF44" s="1" t="s">
        <v>33778</v>
      </c>
      <c r="MG44" s="1" t="s">
        <v>33779</v>
      </c>
      <c r="MH44" s="1" t="s">
        <v>33780</v>
      </c>
      <c r="MI44" s="1" t="s">
        <v>33781</v>
      </c>
      <c r="MJ44" s="1" t="s">
        <v>33782</v>
      </c>
      <c r="MK44" s="1" t="s">
        <v>33783</v>
      </c>
      <c r="ML44" s="1" t="s">
        <v>33784</v>
      </c>
      <c r="MM44" s="1" t="s">
        <v>33785</v>
      </c>
      <c r="MN44" s="1" t="s">
        <v>33786</v>
      </c>
      <c r="MO44" s="1" t="s">
        <v>33787</v>
      </c>
      <c r="MP44" s="1" t="s">
        <v>33788</v>
      </c>
      <c r="MQ44" s="1" t="s">
        <v>33789</v>
      </c>
      <c r="MR44" s="1" t="s">
        <v>33790</v>
      </c>
      <c r="MS44" s="1" t="s">
        <v>33791</v>
      </c>
      <c r="MT44" s="1" t="s">
        <v>33792</v>
      </c>
      <c r="MU44" s="1" t="s">
        <v>33793</v>
      </c>
      <c r="MV44" s="1" t="s">
        <v>33794</v>
      </c>
      <c r="MW44" s="1" t="s">
        <v>33795</v>
      </c>
      <c r="MX44" s="1" t="s">
        <v>33796</v>
      </c>
      <c r="MY44" s="1" t="s">
        <v>33797</v>
      </c>
      <c r="MZ44" s="1" t="s">
        <v>33798</v>
      </c>
      <c r="NA44" s="1" t="s">
        <v>33799</v>
      </c>
      <c r="NB44" s="1" t="s">
        <v>33800</v>
      </c>
      <c r="NC44" s="1" t="s">
        <v>33801</v>
      </c>
      <c r="ND44" s="1" t="s">
        <v>33802</v>
      </c>
      <c r="NE44" s="1" t="s">
        <v>33803</v>
      </c>
      <c r="NF44" s="1" t="s">
        <v>33804</v>
      </c>
      <c r="NG44" s="1" t="s">
        <v>33805</v>
      </c>
      <c r="NH44" s="1" t="s">
        <v>33806</v>
      </c>
      <c r="NI44" s="1" t="s">
        <v>33807</v>
      </c>
      <c r="NJ44" s="1" t="s">
        <v>33808</v>
      </c>
      <c r="NK44" s="1" t="s">
        <v>33809</v>
      </c>
      <c r="NL44" s="1" t="s">
        <v>33810</v>
      </c>
      <c r="NM44" s="1" t="s">
        <v>33811</v>
      </c>
      <c r="NN44" s="1" t="s">
        <v>33812</v>
      </c>
      <c r="NO44" s="1" t="s">
        <v>33813</v>
      </c>
      <c r="NP44" s="1" t="s">
        <v>33814</v>
      </c>
      <c r="NQ44" s="1" t="s">
        <v>33815</v>
      </c>
      <c r="NR44" s="1" t="s">
        <v>33816</v>
      </c>
      <c r="NS44" s="1" t="s">
        <v>33817</v>
      </c>
      <c r="NT44" s="1" t="s">
        <v>33818</v>
      </c>
      <c r="NU44" s="1" t="s">
        <v>33819</v>
      </c>
      <c r="NV44" s="1" t="s">
        <v>33820</v>
      </c>
      <c r="NW44" s="1" t="s">
        <v>33821</v>
      </c>
      <c r="NX44" s="1" t="s">
        <v>33822</v>
      </c>
      <c r="NY44" s="1" t="s">
        <v>33823</v>
      </c>
      <c r="NZ44" s="1" t="s">
        <v>33824</v>
      </c>
      <c r="OA44" s="1" t="s">
        <v>33825</v>
      </c>
      <c r="OB44" s="1" t="s">
        <v>33826</v>
      </c>
      <c r="OC44" s="1" t="s">
        <v>33827</v>
      </c>
      <c r="OD44" s="1" t="s">
        <v>33828</v>
      </c>
      <c r="OE44" s="1" t="s">
        <v>33829</v>
      </c>
      <c r="OF44" s="1" t="s">
        <v>33830</v>
      </c>
      <c r="OG44" s="1" t="s">
        <v>33831</v>
      </c>
      <c r="OH44" s="1" t="s">
        <v>33832</v>
      </c>
      <c r="OI44" s="1" t="s">
        <v>33833</v>
      </c>
      <c r="OJ44" s="1" t="s">
        <v>33834</v>
      </c>
      <c r="OK44" s="1" t="s">
        <v>33835</v>
      </c>
      <c r="OL44" s="1" t="s">
        <v>33836</v>
      </c>
      <c r="OM44" s="1" t="s">
        <v>33837</v>
      </c>
      <c r="ON44" s="1" t="s">
        <v>33838</v>
      </c>
      <c r="OO44" s="1" t="s">
        <v>33839</v>
      </c>
      <c r="OP44" s="1" t="s">
        <v>33840</v>
      </c>
      <c r="OQ44" s="1" t="s">
        <v>33841</v>
      </c>
      <c r="OR44" s="1" t="s">
        <v>33842</v>
      </c>
      <c r="OS44" s="1" t="s">
        <v>33843</v>
      </c>
      <c r="OT44" s="1" t="s">
        <v>33844</v>
      </c>
      <c r="OU44" s="1" t="s">
        <v>33845</v>
      </c>
      <c r="OV44" s="1" t="s">
        <v>33846</v>
      </c>
      <c r="OW44" s="1" t="s">
        <v>33847</v>
      </c>
      <c r="OX44" s="1" t="s">
        <v>33848</v>
      </c>
      <c r="OY44" s="1" t="s">
        <v>33849</v>
      </c>
      <c r="OZ44" s="1" t="s">
        <v>33850</v>
      </c>
      <c r="PA44" s="1" t="s">
        <v>33851</v>
      </c>
      <c r="PB44" s="1" t="s">
        <v>33852</v>
      </c>
      <c r="PC44" s="1" t="s">
        <v>33853</v>
      </c>
      <c r="PD44" s="1" t="s">
        <v>33854</v>
      </c>
      <c r="PE44" s="1" t="s">
        <v>33855</v>
      </c>
      <c r="PF44" s="1" t="s">
        <v>33856</v>
      </c>
      <c r="PG44" s="1" t="s">
        <v>33857</v>
      </c>
      <c r="PH44" s="1" t="s">
        <v>33858</v>
      </c>
      <c r="PI44" s="1" t="s">
        <v>33859</v>
      </c>
      <c r="PJ44" s="1" t="s">
        <v>33860</v>
      </c>
      <c r="PK44" s="1" t="s">
        <v>33861</v>
      </c>
      <c r="PL44" s="1" t="s">
        <v>33862</v>
      </c>
      <c r="PM44" s="1" t="s">
        <v>33863</v>
      </c>
      <c r="PN44" s="1" t="s">
        <v>33864</v>
      </c>
      <c r="PO44" s="1" t="s">
        <v>33865</v>
      </c>
      <c r="PP44" s="1" t="s">
        <v>33866</v>
      </c>
      <c r="PQ44" s="1" t="s">
        <v>33867</v>
      </c>
      <c r="PR44" s="1" t="s">
        <v>33868</v>
      </c>
      <c r="PS44" s="1" t="s">
        <v>33869</v>
      </c>
      <c r="PT44" s="1" t="s">
        <v>33870</v>
      </c>
      <c r="PU44" s="1" t="s">
        <v>33871</v>
      </c>
      <c r="PV44" s="1" t="s">
        <v>33872</v>
      </c>
      <c r="PW44" s="1" t="s">
        <v>33873</v>
      </c>
      <c r="PX44" s="1" t="s">
        <v>33874</v>
      </c>
      <c r="PY44" s="1" t="s">
        <v>33875</v>
      </c>
      <c r="PZ44" s="1" t="s">
        <v>33876</v>
      </c>
      <c r="QA44" s="1" t="s">
        <v>33877</v>
      </c>
      <c r="QB44" s="1" t="s">
        <v>33878</v>
      </c>
      <c r="QC44" s="1" t="s">
        <v>33879</v>
      </c>
      <c r="QD44" s="1" t="s">
        <v>33880</v>
      </c>
      <c r="QE44" s="1" t="s">
        <v>33881</v>
      </c>
      <c r="QF44" s="1" t="s">
        <v>33882</v>
      </c>
      <c r="QG44" s="1" t="s">
        <v>33883</v>
      </c>
      <c r="QH44" s="1" t="s">
        <v>33884</v>
      </c>
      <c r="QI44" s="1" t="s">
        <v>33885</v>
      </c>
      <c r="QJ44" s="1" t="s">
        <v>33886</v>
      </c>
      <c r="QK44" s="1" t="s">
        <v>33887</v>
      </c>
      <c r="QL44" s="1" t="s">
        <v>33888</v>
      </c>
      <c r="QM44" s="1" t="s">
        <v>33889</v>
      </c>
      <c r="QN44" s="1" t="s">
        <v>33890</v>
      </c>
      <c r="QO44" s="1" t="s">
        <v>33891</v>
      </c>
      <c r="QP44" s="1" t="s">
        <v>33892</v>
      </c>
      <c r="QQ44" s="1" t="s">
        <v>33893</v>
      </c>
      <c r="QR44" s="1" t="s">
        <v>33894</v>
      </c>
      <c r="QS44" s="1" t="s">
        <v>33895</v>
      </c>
      <c r="QT44" s="1" t="s">
        <v>33896</v>
      </c>
      <c r="QU44" s="1" t="s">
        <v>33897</v>
      </c>
      <c r="QV44" s="1" t="s">
        <v>33898</v>
      </c>
      <c r="QW44" s="1" t="s">
        <v>33899</v>
      </c>
      <c r="QX44" s="1" t="s">
        <v>33900</v>
      </c>
      <c r="QY44" s="1" t="s">
        <v>33901</v>
      </c>
      <c r="QZ44" s="1" t="s">
        <v>33902</v>
      </c>
      <c r="RA44" s="1" t="s">
        <v>33903</v>
      </c>
      <c r="RB44" s="1" t="s">
        <v>33904</v>
      </c>
      <c r="RC44" s="1" t="s">
        <v>33905</v>
      </c>
      <c r="RD44" s="1" t="s">
        <v>33906</v>
      </c>
      <c r="RE44" s="1" t="s">
        <v>33907</v>
      </c>
      <c r="RF44" s="1" t="s">
        <v>33908</v>
      </c>
      <c r="RG44" s="1" t="s">
        <v>33909</v>
      </c>
      <c r="RH44" s="1" t="s">
        <v>33910</v>
      </c>
      <c r="RI44" s="1" t="s">
        <v>33911</v>
      </c>
      <c r="RJ44" s="1" t="s">
        <v>33912</v>
      </c>
      <c r="RK44" s="1" t="s">
        <v>33913</v>
      </c>
      <c r="RL44" s="1" t="s">
        <v>33914</v>
      </c>
      <c r="RM44" s="1" t="s">
        <v>33915</v>
      </c>
      <c r="RN44" s="1" t="s">
        <v>33916</v>
      </c>
      <c r="RO44" s="1" t="s">
        <v>33917</v>
      </c>
      <c r="RP44" s="1" t="s">
        <v>33918</v>
      </c>
      <c r="RQ44" s="1" t="s">
        <v>33919</v>
      </c>
      <c r="RR44" s="1" t="s">
        <v>33920</v>
      </c>
      <c r="RS44" s="1" t="s">
        <v>33921</v>
      </c>
      <c r="RT44" s="1" t="s">
        <v>33922</v>
      </c>
      <c r="RU44" s="1" t="s">
        <v>33923</v>
      </c>
      <c r="RV44" s="1" t="s">
        <v>33924</v>
      </c>
      <c r="RW44" s="1" t="s">
        <v>33925</v>
      </c>
      <c r="RX44" s="1" t="s">
        <v>33926</v>
      </c>
      <c r="RY44" s="1" t="s">
        <v>33927</v>
      </c>
      <c r="RZ44" s="1" t="s">
        <v>33928</v>
      </c>
      <c r="SA44" s="1" t="s">
        <v>33929</v>
      </c>
      <c r="SB44" s="1" t="s">
        <v>33930</v>
      </c>
      <c r="SC44" s="1" t="s">
        <v>33931</v>
      </c>
      <c r="SD44" s="1" t="s">
        <v>33932</v>
      </c>
      <c r="SE44" s="1" t="s">
        <v>33933</v>
      </c>
      <c r="SF44" s="1" t="s">
        <v>33934</v>
      </c>
      <c r="SG44" s="1" t="s">
        <v>33935</v>
      </c>
      <c r="SH44" s="1" t="s">
        <v>33936</v>
      </c>
      <c r="SI44" s="1" t="s">
        <v>33937</v>
      </c>
      <c r="SJ44" s="1" t="s">
        <v>33938</v>
      </c>
      <c r="SK44" s="1" t="s">
        <v>33939</v>
      </c>
      <c r="SL44" s="1" t="s">
        <v>33940</v>
      </c>
      <c r="SM44" s="1" t="s">
        <v>33941</v>
      </c>
      <c r="SN44" s="1" t="s">
        <v>33942</v>
      </c>
      <c r="SO44" s="1" t="s">
        <v>33943</v>
      </c>
      <c r="SP44" s="1" t="s">
        <v>33944</v>
      </c>
      <c r="SQ44" s="1" t="s">
        <v>33945</v>
      </c>
      <c r="SR44" s="1" t="s">
        <v>33946</v>
      </c>
      <c r="SS44" s="1" t="s">
        <v>33947</v>
      </c>
      <c r="ST44" s="1" t="s">
        <v>33948</v>
      </c>
      <c r="SU44" s="1" t="s">
        <v>33949</v>
      </c>
      <c r="SV44" s="1" t="s">
        <v>33950</v>
      </c>
      <c r="SW44" s="1" t="s">
        <v>33951</v>
      </c>
      <c r="SX44" s="1" t="s">
        <v>33952</v>
      </c>
      <c r="SY44" s="1" t="s">
        <v>33953</v>
      </c>
      <c r="SZ44" s="1" t="s">
        <v>33954</v>
      </c>
      <c r="TA44" s="1" t="s">
        <v>33955</v>
      </c>
      <c r="TB44" s="1" t="s">
        <v>33956</v>
      </c>
      <c r="TC44" s="1" t="s">
        <v>33957</v>
      </c>
      <c r="TD44" s="1" t="s">
        <v>33958</v>
      </c>
      <c r="TE44" s="1" t="s">
        <v>33959</v>
      </c>
      <c r="TF44" s="1" t="s">
        <v>33960</v>
      </c>
      <c r="TG44" s="1" t="s">
        <v>33961</v>
      </c>
      <c r="TH44" s="1" t="s">
        <v>33962</v>
      </c>
      <c r="TI44" s="1" t="s">
        <v>33963</v>
      </c>
      <c r="TJ44" s="1" t="s">
        <v>33964</v>
      </c>
      <c r="TK44" s="1" t="s">
        <v>33965</v>
      </c>
      <c r="TL44" s="1" t="s">
        <v>33966</v>
      </c>
      <c r="TM44" s="1" t="s">
        <v>33967</v>
      </c>
      <c r="TN44" s="1" t="s">
        <v>33968</v>
      </c>
      <c r="TO44" s="1" t="s">
        <v>33969</v>
      </c>
      <c r="TP44" s="1" t="s">
        <v>33970</v>
      </c>
      <c r="TQ44" s="1" t="s">
        <v>33971</v>
      </c>
      <c r="TR44" s="1" t="s">
        <v>33972</v>
      </c>
      <c r="TS44" s="1" t="s">
        <v>33973</v>
      </c>
      <c r="TT44" s="1" t="s">
        <v>33974</v>
      </c>
      <c r="TU44" s="1" t="s">
        <v>33975</v>
      </c>
      <c r="TV44" s="1" t="s">
        <v>33976</v>
      </c>
      <c r="TW44" s="1" t="s">
        <v>33977</v>
      </c>
      <c r="TX44" s="1" t="s">
        <v>33978</v>
      </c>
      <c r="TY44" s="1" t="s">
        <v>33979</v>
      </c>
      <c r="TZ44" s="1" t="s">
        <v>33980</v>
      </c>
      <c r="UA44" s="1" t="s">
        <v>33981</v>
      </c>
      <c r="UB44" s="1" t="s">
        <v>33982</v>
      </c>
      <c r="UC44" s="1" t="s">
        <v>33983</v>
      </c>
      <c r="UD44" s="1" t="s">
        <v>33984</v>
      </c>
      <c r="UE44" s="1" t="s">
        <v>33985</v>
      </c>
      <c r="UF44" s="1" t="s">
        <v>33986</v>
      </c>
      <c r="UG44" s="1" t="s">
        <v>33987</v>
      </c>
      <c r="UH44" s="1" t="s">
        <v>33988</v>
      </c>
      <c r="UI44" s="1" t="s">
        <v>33989</v>
      </c>
      <c r="UJ44" s="1" t="s">
        <v>33990</v>
      </c>
      <c r="UK44" s="1" t="s">
        <v>33991</v>
      </c>
      <c r="UL44" s="1" t="s">
        <v>33992</v>
      </c>
      <c r="UM44" s="1" t="s">
        <v>33993</v>
      </c>
      <c r="UN44" s="1" t="s">
        <v>33994</v>
      </c>
      <c r="UO44" s="1" t="s">
        <v>33995</v>
      </c>
      <c r="UP44" s="1" t="s">
        <v>33996</v>
      </c>
      <c r="UQ44" s="1" t="s">
        <v>33997</v>
      </c>
      <c r="UR44" s="1" t="s">
        <v>33998</v>
      </c>
      <c r="US44" s="1" t="s">
        <v>33999</v>
      </c>
      <c r="UT44" s="1" t="s">
        <v>34000</v>
      </c>
      <c r="UU44" s="1" t="s">
        <v>34001</v>
      </c>
      <c r="UV44" s="1" t="s">
        <v>34002</v>
      </c>
      <c r="UW44" s="1" t="s">
        <v>34003</v>
      </c>
      <c r="UX44" s="1" t="s">
        <v>34004</v>
      </c>
      <c r="UY44" s="1" t="s">
        <v>34005</v>
      </c>
      <c r="UZ44" s="1" t="s">
        <v>34006</v>
      </c>
      <c r="VA44" s="1" t="s">
        <v>34007</v>
      </c>
      <c r="VB44" s="1" t="s">
        <v>34008</v>
      </c>
      <c r="VC44" s="1" t="s">
        <v>34009</v>
      </c>
      <c r="VD44" s="1" t="s">
        <v>34010</v>
      </c>
      <c r="VE44" s="1" t="s">
        <v>34011</v>
      </c>
      <c r="VF44" s="1" t="s">
        <v>34012</v>
      </c>
      <c r="VG44" s="1" t="s">
        <v>34013</v>
      </c>
      <c r="VH44" s="1" t="s">
        <v>34014</v>
      </c>
      <c r="VI44" s="1" t="s">
        <v>34015</v>
      </c>
      <c r="VJ44" s="1" t="s">
        <v>34016</v>
      </c>
      <c r="VK44" s="1" t="s">
        <v>34017</v>
      </c>
      <c r="VL44" s="1" t="s">
        <v>34018</v>
      </c>
      <c r="VM44" s="1" t="s">
        <v>34019</v>
      </c>
      <c r="VN44" s="1" t="s">
        <v>34020</v>
      </c>
      <c r="VO44" s="1" t="s">
        <v>34021</v>
      </c>
      <c r="VP44" s="1" t="s">
        <v>34022</v>
      </c>
      <c r="VQ44" s="1" t="s">
        <v>34023</v>
      </c>
      <c r="VR44" s="1" t="s">
        <v>34024</v>
      </c>
      <c r="VS44" s="1" t="s">
        <v>34025</v>
      </c>
      <c r="VT44" s="1" t="s">
        <v>34026</v>
      </c>
      <c r="VU44" s="1" t="s">
        <v>34027</v>
      </c>
      <c r="VV44" s="1" t="s">
        <v>34028</v>
      </c>
      <c r="VW44" s="1" t="s">
        <v>34029</v>
      </c>
      <c r="VX44" s="1" t="s">
        <v>34030</v>
      </c>
      <c r="VY44" s="1" t="s">
        <v>34031</v>
      </c>
      <c r="VZ44" s="1" t="s">
        <v>34032</v>
      </c>
      <c r="WA44" s="1" t="s">
        <v>34033</v>
      </c>
      <c r="WB44" s="1" t="s">
        <v>34034</v>
      </c>
      <c r="WC44" s="1" t="s">
        <v>34035</v>
      </c>
      <c r="WD44" s="1" t="s">
        <v>34036</v>
      </c>
      <c r="WE44" s="1" t="s">
        <v>34037</v>
      </c>
      <c r="WF44" s="1" t="s">
        <v>34038</v>
      </c>
      <c r="WG44" s="1" t="s">
        <v>34039</v>
      </c>
      <c r="WH44" s="1" t="s">
        <v>34040</v>
      </c>
      <c r="WI44" s="1" t="s">
        <v>34041</v>
      </c>
      <c r="WJ44" s="1" t="s">
        <v>34042</v>
      </c>
      <c r="WK44" s="1" t="s">
        <v>34043</v>
      </c>
      <c r="WL44" s="1" t="s">
        <v>34044</v>
      </c>
      <c r="WM44" s="1" t="s">
        <v>34045</v>
      </c>
      <c r="WN44" s="1" t="s">
        <v>34046</v>
      </c>
      <c r="WO44" s="1" t="s">
        <v>34047</v>
      </c>
      <c r="WP44" s="1" t="s">
        <v>34048</v>
      </c>
      <c r="WQ44" s="1" t="s">
        <v>34049</v>
      </c>
      <c r="WR44" s="1" t="s">
        <v>34050</v>
      </c>
      <c r="WS44" s="1" t="s">
        <v>34051</v>
      </c>
      <c r="WT44" s="1" t="s">
        <v>34052</v>
      </c>
      <c r="WU44" s="1" t="s">
        <v>34053</v>
      </c>
      <c r="WV44" s="1" t="s">
        <v>34054</v>
      </c>
      <c r="WW44" s="1" t="s">
        <v>34055</v>
      </c>
      <c r="WX44" s="1" t="s">
        <v>34056</v>
      </c>
      <c r="WY44" s="1" t="s">
        <v>34057</v>
      </c>
      <c r="WZ44" s="1" t="s">
        <v>34058</v>
      </c>
      <c r="XA44" s="1" t="s">
        <v>34059</v>
      </c>
      <c r="XB44" s="1" t="s">
        <v>34060</v>
      </c>
      <c r="XC44" s="1" t="s">
        <v>34061</v>
      </c>
      <c r="XD44" s="1" t="s">
        <v>34062</v>
      </c>
      <c r="XE44" s="1" t="s">
        <v>34063</v>
      </c>
      <c r="XF44" s="1" t="s">
        <v>34064</v>
      </c>
      <c r="XG44" s="1" t="s">
        <v>34065</v>
      </c>
      <c r="XH44" s="1" t="s">
        <v>34066</v>
      </c>
      <c r="XI44" s="1" t="s">
        <v>34067</v>
      </c>
      <c r="XJ44" s="1" t="s">
        <v>34068</v>
      </c>
      <c r="XK44" s="1" t="s">
        <v>34069</v>
      </c>
      <c r="XL44" s="1" t="s">
        <v>34070</v>
      </c>
      <c r="XM44" s="1" t="s">
        <v>34071</v>
      </c>
      <c r="XN44" s="1" t="s">
        <v>34072</v>
      </c>
      <c r="XO44" s="1" t="s">
        <v>34073</v>
      </c>
      <c r="XP44" s="1" t="s">
        <v>34074</v>
      </c>
      <c r="XQ44" s="1" t="s">
        <v>34075</v>
      </c>
      <c r="XR44" s="1" t="s">
        <v>34076</v>
      </c>
      <c r="XS44" s="1" t="s">
        <v>34077</v>
      </c>
      <c r="XT44" s="1" t="s">
        <v>34078</v>
      </c>
      <c r="XU44" s="1" t="s">
        <v>34079</v>
      </c>
      <c r="XV44" s="1" t="s">
        <v>34080</v>
      </c>
      <c r="XW44" s="1" t="s">
        <v>34081</v>
      </c>
      <c r="XX44" s="1" t="s">
        <v>34082</v>
      </c>
      <c r="XY44" s="1" t="s">
        <v>34083</v>
      </c>
      <c r="XZ44" s="1" t="s">
        <v>34084</v>
      </c>
      <c r="YA44" s="1" t="s">
        <v>34085</v>
      </c>
      <c r="YB44" s="1" t="s">
        <v>34086</v>
      </c>
      <c r="YC44" s="1" t="s">
        <v>34087</v>
      </c>
      <c r="YD44" s="1" t="s">
        <v>34088</v>
      </c>
      <c r="YE44" s="1" t="s">
        <v>34089</v>
      </c>
      <c r="YF44" s="1" t="s">
        <v>34090</v>
      </c>
      <c r="YG44" s="1" t="s">
        <v>34091</v>
      </c>
      <c r="YH44" s="1" t="s">
        <v>34092</v>
      </c>
      <c r="YI44" s="1" t="s">
        <v>34093</v>
      </c>
      <c r="YJ44" s="1" t="s">
        <v>34094</v>
      </c>
      <c r="YK44" s="1" t="s">
        <v>34095</v>
      </c>
      <c r="YL44" s="1" t="s">
        <v>34096</v>
      </c>
      <c r="YM44" s="1" t="s">
        <v>34097</v>
      </c>
      <c r="YN44" s="1" t="s">
        <v>34098</v>
      </c>
      <c r="YO44" s="1" t="s">
        <v>34099</v>
      </c>
      <c r="YP44" s="1" t="s">
        <v>34100</v>
      </c>
      <c r="YQ44" s="1" t="s">
        <v>34101</v>
      </c>
      <c r="YR44" s="1" t="s">
        <v>34102</v>
      </c>
      <c r="YS44" s="1" t="s">
        <v>34103</v>
      </c>
      <c r="YT44" s="1" t="s">
        <v>34104</v>
      </c>
      <c r="YU44" s="1" t="s">
        <v>34105</v>
      </c>
      <c r="YV44" s="1" t="s">
        <v>34106</v>
      </c>
      <c r="YW44" s="1" t="s">
        <v>34107</v>
      </c>
      <c r="YX44" s="1" t="s">
        <v>34108</v>
      </c>
      <c r="YY44" s="1" t="s">
        <v>34109</v>
      </c>
      <c r="YZ44" s="1" t="s">
        <v>34110</v>
      </c>
      <c r="ZA44" s="1" t="s">
        <v>34111</v>
      </c>
      <c r="ZB44" s="1" t="s">
        <v>34112</v>
      </c>
      <c r="ZC44" s="1" t="s">
        <v>34113</v>
      </c>
      <c r="ZD44" s="1" t="s">
        <v>34114</v>
      </c>
      <c r="ZE44" s="1" t="s">
        <v>34115</v>
      </c>
      <c r="ZF44" s="1" t="s">
        <v>34116</v>
      </c>
      <c r="ZG44" s="1" t="s">
        <v>34117</v>
      </c>
      <c r="ZH44" s="1" t="s">
        <v>34118</v>
      </c>
      <c r="ZI44" s="1" t="s">
        <v>34119</v>
      </c>
      <c r="ZJ44" s="1" t="s">
        <v>34120</v>
      </c>
      <c r="ZK44" s="1" t="s">
        <v>34121</v>
      </c>
      <c r="ZL44" s="1" t="s">
        <v>34122</v>
      </c>
      <c r="ZM44" s="1" t="s">
        <v>34123</v>
      </c>
      <c r="ZN44" s="1" t="s">
        <v>34124</v>
      </c>
      <c r="ZO44" s="1" t="s">
        <v>34125</v>
      </c>
      <c r="ZP44" s="1" t="s">
        <v>34126</v>
      </c>
      <c r="ZQ44" s="1" t="s">
        <v>34127</v>
      </c>
      <c r="ZR44" s="1" t="s">
        <v>34128</v>
      </c>
      <c r="ZS44" s="1" t="s">
        <v>34129</v>
      </c>
      <c r="ZT44" s="1" t="s">
        <v>34130</v>
      </c>
      <c r="ZU44" s="1" t="s">
        <v>34131</v>
      </c>
      <c r="ZV44" s="1" t="s">
        <v>34132</v>
      </c>
      <c r="ZW44" s="1" t="s">
        <v>34133</v>
      </c>
      <c r="ZX44" s="1" t="s">
        <v>34134</v>
      </c>
      <c r="ZY44" s="1" t="s">
        <v>34135</v>
      </c>
      <c r="ZZ44" s="1" t="s">
        <v>34136</v>
      </c>
      <c r="AAA44" s="1" t="s">
        <v>34137</v>
      </c>
      <c r="AAB44" s="1" t="s">
        <v>34138</v>
      </c>
      <c r="AAC44" s="1" t="s">
        <v>34139</v>
      </c>
      <c r="AAD44" s="1" t="s">
        <v>34140</v>
      </c>
      <c r="AAE44" s="1" t="s">
        <v>34141</v>
      </c>
      <c r="AAF44" s="1" t="s">
        <v>34142</v>
      </c>
      <c r="AAG44" s="1" t="s">
        <v>34143</v>
      </c>
      <c r="AAH44" s="1" t="s">
        <v>34144</v>
      </c>
      <c r="AAI44" s="1" t="s">
        <v>34145</v>
      </c>
      <c r="AAJ44" s="1" t="s">
        <v>34146</v>
      </c>
      <c r="AAK44" s="1" t="s">
        <v>34147</v>
      </c>
      <c r="AAL44" s="1" t="s">
        <v>34148</v>
      </c>
      <c r="AAM44" s="1" t="s">
        <v>34149</v>
      </c>
      <c r="AAN44" s="1" t="s">
        <v>34150</v>
      </c>
      <c r="AAO44" s="1" t="s">
        <v>34151</v>
      </c>
      <c r="AAP44" s="1" t="s">
        <v>34152</v>
      </c>
      <c r="AAQ44" s="1" t="s">
        <v>34153</v>
      </c>
      <c r="AAR44" s="1" t="s">
        <v>34154</v>
      </c>
      <c r="AAS44" s="1" t="s">
        <v>34155</v>
      </c>
      <c r="AAT44" s="1" t="s">
        <v>34156</v>
      </c>
      <c r="AAU44" s="1" t="s">
        <v>34157</v>
      </c>
      <c r="AAV44" s="1" t="s">
        <v>34158</v>
      </c>
      <c r="AAW44" s="1" t="s">
        <v>34159</v>
      </c>
      <c r="AAX44" s="1" t="s">
        <v>34160</v>
      </c>
      <c r="AAY44" s="1" t="s">
        <v>34161</v>
      </c>
      <c r="AAZ44" s="1" t="s">
        <v>34162</v>
      </c>
      <c r="ABA44" s="1" t="s">
        <v>34163</v>
      </c>
      <c r="ABB44" s="1" t="s">
        <v>34164</v>
      </c>
      <c r="ABC44" s="1" t="s">
        <v>34165</v>
      </c>
      <c r="ABD44" s="1" t="s">
        <v>34166</v>
      </c>
      <c r="ABE44" s="1" t="s">
        <v>34167</v>
      </c>
      <c r="ABF44" s="1" t="s">
        <v>34168</v>
      </c>
      <c r="ABG44" s="1" t="s">
        <v>34169</v>
      </c>
      <c r="ABH44" s="1" t="s">
        <v>34170</v>
      </c>
      <c r="ABI44" s="1" t="s">
        <v>34171</v>
      </c>
      <c r="ABJ44" s="1" t="s">
        <v>34172</v>
      </c>
      <c r="ABK44" s="1" t="s">
        <v>34173</v>
      </c>
      <c r="ABL44" s="1" t="s">
        <v>34174</v>
      </c>
      <c r="ABM44" s="1" t="s">
        <v>34175</v>
      </c>
      <c r="ABN44" s="1" t="s">
        <v>34176</v>
      </c>
      <c r="ABO44" s="1" t="s">
        <v>34177</v>
      </c>
      <c r="ABP44" s="1" t="s">
        <v>34178</v>
      </c>
      <c r="ABQ44" s="1" t="s">
        <v>34179</v>
      </c>
      <c r="ABR44" s="1" t="s">
        <v>34180</v>
      </c>
      <c r="ABS44" s="1" t="s">
        <v>34181</v>
      </c>
      <c r="ABT44" s="1" t="s">
        <v>34182</v>
      </c>
      <c r="ABU44" s="1" t="s">
        <v>34183</v>
      </c>
      <c r="ABV44" s="1" t="s">
        <v>34184</v>
      </c>
      <c r="ABW44" s="1" t="s">
        <v>34185</v>
      </c>
      <c r="ABX44" s="1" t="s">
        <v>34186</v>
      </c>
      <c r="ABY44" s="1" t="s">
        <v>34187</v>
      </c>
      <c r="ABZ44" s="1" t="s">
        <v>34188</v>
      </c>
      <c r="ACA44" s="1" t="s">
        <v>34189</v>
      </c>
      <c r="ACB44" s="1" t="s">
        <v>34190</v>
      </c>
      <c r="ACC44" s="1" t="s">
        <v>34191</v>
      </c>
      <c r="ACD44" s="1" t="s">
        <v>34192</v>
      </c>
      <c r="ACE44" s="1" t="s">
        <v>34193</v>
      </c>
      <c r="ACF44" s="1" t="s">
        <v>34194</v>
      </c>
      <c r="ACG44" s="1" t="s">
        <v>34195</v>
      </c>
      <c r="ACH44" s="1" t="s">
        <v>34196</v>
      </c>
      <c r="ACI44" s="1" t="s">
        <v>34197</v>
      </c>
      <c r="ACJ44" s="1" t="s">
        <v>34198</v>
      </c>
      <c r="ACK44" s="1" t="s">
        <v>34199</v>
      </c>
      <c r="ACL44" s="1" t="s">
        <v>34200</v>
      </c>
      <c r="ACM44" s="1" t="s">
        <v>34201</v>
      </c>
      <c r="ACN44" s="1" t="s">
        <v>34202</v>
      </c>
      <c r="ACO44" s="1" t="s">
        <v>34203</v>
      </c>
      <c r="ACP44" s="1" t="s">
        <v>34204</v>
      </c>
      <c r="ACQ44" s="1" t="s">
        <v>34205</v>
      </c>
      <c r="ACR44" s="1" t="s">
        <v>34206</v>
      </c>
      <c r="ACS44" s="1" t="s">
        <v>34207</v>
      </c>
      <c r="ACT44" s="1" t="s">
        <v>34208</v>
      </c>
      <c r="ACU44" s="1" t="s">
        <v>34209</v>
      </c>
      <c r="ACV44" s="1" t="s">
        <v>34210</v>
      </c>
      <c r="ACW44" s="1" t="s">
        <v>6</v>
      </c>
      <c r="ACX44" s="1" t="s">
        <v>1501</v>
      </c>
    </row>
    <row r="45" spans="1:778" x14ac:dyDescent="0.2">
      <c r="A45" s="1" t="s">
        <v>36</v>
      </c>
      <c r="B45" s="1" t="s">
        <v>34211</v>
      </c>
      <c r="C45" s="1" t="s">
        <v>34212</v>
      </c>
      <c r="D45" s="1" t="s">
        <v>34213</v>
      </c>
      <c r="E45" s="1" t="s">
        <v>34214</v>
      </c>
      <c r="F45" s="1" t="s">
        <v>34215</v>
      </c>
      <c r="G45" s="1" t="s">
        <v>34216</v>
      </c>
      <c r="H45" s="1" t="s">
        <v>34217</v>
      </c>
      <c r="I45" s="1" t="s">
        <v>34218</v>
      </c>
      <c r="J45" s="1" t="s">
        <v>34219</v>
      </c>
      <c r="K45" s="1" t="s">
        <v>34220</v>
      </c>
      <c r="L45" s="1" t="s">
        <v>34221</v>
      </c>
      <c r="M45" s="1" t="s">
        <v>34222</v>
      </c>
      <c r="N45" s="1" t="s">
        <v>34223</v>
      </c>
      <c r="O45" s="1" t="s">
        <v>34224</v>
      </c>
      <c r="P45" s="1" t="s">
        <v>34225</v>
      </c>
      <c r="Q45" s="1" t="s">
        <v>34226</v>
      </c>
      <c r="R45" s="1" t="s">
        <v>34227</v>
      </c>
      <c r="S45" s="1" t="s">
        <v>34228</v>
      </c>
      <c r="T45" s="1" t="s">
        <v>34229</v>
      </c>
      <c r="U45" s="1" t="s">
        <v>34230</v>
      </c>
      <c r="V45" s="1" t="s">
        <v>34231</v>
      </c>
      <c r="W45" s="1" t="s">
        <v>34232</v>
      </c>
      <c r="X45" s="1" t="s">
        <v>34233</v>
      </c>
      <c r="Y45" s="1" t="s">
        <v>34234</v>
      </c>
      <c r="Z45" s="1" t="s">
        <v>34235</v>
      </c>
      <c r="AA45" s="1" t="s">
        <v>34236</v>
      </c>
      <c r="AB45" s="1" t="s">
        <v>34237</v>
      </c>
      <c r="AC45" s="1" t="s">
        <v>34238</v>
      </c>
      <c r="AD45" s="1" t="s">
        <v>34239</v>
      </c>
      <c r="AE45" s="1" t="s">
        <v>34240</v>
      </c>
      <c r="AF45" s="1" t="s">
        <v>34241</v>
      </c>
      <c r="AG45" s="1" t="s">
        <v>34242</v>
      </c>
      <c r="AH45" s="1" t="s">
        <v>34243</v>
      </c>
      <c r="AI45" s="1" t="s">
        <v>34244</v>
      </c>
      <c r="AJ45" s="1" t="s">
        <v>34245</v>
      </c>
      <c r="AK45" s="1" t="s">
        <v>34246</v>
      </c>
      <c r="AL45" s="1" t="s">
        <v>34247</v>
      </c>
      <c r="AM45" s="1" t="s">
        <v>34248</v>
      </c>
      <c r="AN45" s="1" t="s">
        <v>34249</v>
      </c>
      <c r="AO45" s="1" t="s">
        <v>34250</v>
      </c>
      <c r="AP45" s="1" t="s">
        <v>34251</v>
      </c>
      <c r="AQ45" s="1" t="s">
        <v>34252</v>
      </c>
      <c r="AR45" s="1" t="s">
        <v>34253</v>
      </c>
      <c r="AS45" s="1" t="s">
        <v>34254</v>
      </c>
      <c r="AT45" s="1" t="s">
        <v>34255</v>
      </c>
      <c r="AU45" s="1" t="s">
        <v>34256</v>
      </c>
      <c r="AV45" s="1" t="s">
        <v>34257</v>
      </c>
      <c r="AW45" s="1" t="s">
        <v>34258</v>
      </c>
      <c r="AX45" s="1" t="s">
        <v>34259</v>
      </c>
      <c r="AY45" s="1" t="s">
        <v>34260</v>
      </c>
      <c r="AZ45" s="1" t="s">
        <v>34261</v>
      </c>
      <c r="BA45" s="1" t="s">
        <v>34262</v>
      </c>
      <c r="BB45" s="1" t="s">
        <v>34263</v>
      </c>
      <c r="BC45" s="1" t="s">
        <v>34264</v>
      </c>
      <c r="BD45" s="1" t="s">
        <v>34265</v>
      </c>
      <c r="BE45" s="1" t="s">
        <v>34266</v>
      </c>
      <c r="BF45" s="1" t="s">
        <v>34267</v>
      </c>
      <c r="BG45" s="1" t="s">
        <v>34268</v>
      </c>
      <c r="BH45" s="1" t="s">
        <v>34269</v>
      </c>
      <c r="BI45" s="1" t="s">
        <v>34270</v>
      </c>
      <c r="BJ45" s="1" t="s">
        <v>34271</v>
      </c>
      <c r="BK45" s="1" t="s">
        <v>34272</v>
      </c>
      <c r="BL45" s="1" t="s">
        <v>34273</v>
      </c>
      <c r="BM45" s="1" t="s">
        <v>34274</v>
      </c>
      <c r="BN45" s="1" t="s">
        <v>34275</v>
      </c>
      <c r="BO45" s="1" t="s">
        <v>34276</v>
      </c>
      <c r="BP45" s="1" t="s">
        <v>34277</v>
      </c>
      <c r="BQ45" s="1" t="s">
        <v>34278</v>
      </c>
      <c r="BR45" s="1" t="s">
        <v>34279</v>
      </c>
      <c r="BS45" s="1" t="s">
        <v>34280</v>
      </c>
      <c r="BT45" s="1" t="s">
        <v>34281</v>
      </c>
      <c r="BU45" s="1" t="s">
        <v>34282</v>
      </c>
      <c r="BV45" s="1" t="s">
        <v>34283</v>
      </c>
      <c r="BW45" s="1" t="s">
        <v>34284</v>
      </c>
      <c r="BX45" s="1" t="s">
        <v>34285</v>
      </c>
      <c r="BY45" s="1" t="s">
        <v>34286</v>
      </c>
      <c r="BZ45" s="1" t="s">
        <v>34287</v>
      </c>
      <c r="CA45" s="1" t="s">
        <v>34288</v>
      </c>
      <c r="CB45" s="1" t="s">
        <v>34289</v>
      </c>
      <c r="CC45" s="1" t="s">
        <v>34290</v>
      </c>
      <c r="CD45" s="1" t="s">
        <v>34291</v>
      </c>
      <c r="CE45" s="1" t="s">
        <v>34292</v>
      </c>
      <c r="CF45" s="1" t="s">
        <v>34293</v>
      </c>
      <c r="CG45" s="1" t="s">
        <v>34294</v>
      </c>
      <c r="CH45" s="1" t="s">
        <v>34295</v>
      </c>
      <c r="CI45" s="1" t="s">
        <v>34296</v>
      </c>
      <c r="CJ45" s="1" t="s">
        <v>34297</v>
      </c>
      <c r="CK45" s="1" t="s">
        <v>34298</v>
      </c>
      <c r="CL45" s="1" t="s">
        <v>34299</v>
      </c>
      <c r="CM45" s="1" t="s">
        <v>34300</v>
      </c>
      <c r="CN45" s="1" t="s">
        <v>34301</v>
      </c>
      <c r="CO45" s="1" t="s">
        <v>34302</v>
      </c>
      <c r="CP45" s="1" t="s">
        <v>34303</v>
      </c>
      <c r="CQ45" s="1" t="s">
        <v>34304</v>
      </c>
      <c r="CR45" s="1" t="s">
        <v>34305</v>
      </c>
      <c r="CS45" s="1" t="s">
        <v>34306</v>
      </c>
      <c r="CT45" s="1" t="s">
        <v>34307</v>
      </c>
      <c r="CU45" s="1" t="s">
        <v>34308</v>
      </c>
      <c r="CV45" s="1" t="s">
        <v>34309</v>
      </c>
      <c r="CW45" s="1" t="s">
        <v>34310</v>
      </c>
      <c r="CX45" s="1" t="s">
        <v>34311</v>
      </c>
      <c r="CY45" s="1" t="s">
        <v>34312</v>
      </c>
      <c r="CZ45" s="1" t="s">
        <v>34313</v>
      </c>
      <c r="DA45" s="1" t="s">
        <v>34314</v>
      </c>
      <c r="DB45" s="1" t="s">
        <v>34315</v>
      </c>
      <c r="DC45" s="1" t="s">
        <v>34316</v>
      </c>
      <c r="DD45" s="1" t="s">
        <v>34317</v>
      </c>
      <c r="DE45" s="1" t="s">
        <v>34318</v>
      </c>
      <c r="DF45" s="1" t="s">
        <v>34319</v>
      </c>
      <c r="DG45" s="1" t="s">
        <v>34320</v>
      </c>
      <c r="DH45" s="1" t="s">
        <v>34321</v>
      </c>
      <c r="DI45" s="1" t="s">
        <v>34322</v>
      </c>
      <c r="DJ45" s="1" t="s">
        <v>34323</v>
      </c>
      <c r="DK45" s="1" t="s">
        <v>34324</v>
      </c>
      <c r="DL45" s="1" t="s">
        <v>34325</v>
      </c>
      <c r="DM45" s="1" t="s">
        <v>34326</v>
      </c>
      <c r="DN45" s="1" t="s">
        <v>34327</v>
      </c>
      <c r="DO45" s="1" t="s">
        <v>34328</v>
      </c>
      <c r="DP45" s="1" t="s">
        <v>34329</v>
      </c>
      <c r="DQ45" s="1" t="s">
        <v>34330</v>
      </c>
      <c r="DR45" s="1" t="s">
        <v>34331</v>
      </c>
      <c r="DS45" s="1" t="s">
        <v>34332</v>
      </c>
      <c r="DT45" s="1" t="s">
        <v>34333</v>
      </c>
      <c r="DU45" s="1" t="s">
        <v>34334</v>
      </c>
      <c r="DV45" s="1" t="s">
        <v>34335</v>
      </c>
      <c r="DW45" s="1" t="s">
        <v>34336</v>
      </c>
      <c r="DX45" s="1" t="s">
        <v>34337</v>
      </c>
      <c r="DY45" s="1" t="s">
        <v>34338</v>
      </c>
      <c r="DZ45" s="1" t="s">
        <v>34339</v>
      </c>
      <c r="EA45" s="1" t="s">
        <v>34340</v>
      </c>
      <c r="EB45" s="1" t="s">
        <v>34341</v>
      </c>
      <c r="EC45" s="1" t="s">
        <v>34342</v>
      </c>
      <c r="ED45" s="1" t="s">
        <v>34343</v>
      </c>
      <c r="EE45" s="1" t="s">
        <v>34344</v>
      </c>
      <c r="EF45" s="1" t="s">
        <v>34345</v>
      </c>
      <c r="EG45" s="1" t="s">
        <v>34346</v>
      </c>
      <c r="EH45" s="1" t="s">
        <v>34347</v>
      </c>
      <c r="EI45" s="1" t="s">
        <v>34348</v>
      </c>
      <c r="EJ45" s="1" t="s">
        <v>34349</v>
      </c>
      <c r="EK45" s="1" t="s">
        <v>34350</v>
      </c>
      <c r="EL45" s="1" t="s">
        <v>34351</v>
      </c>
      <c r="EM45" s="1" t="s">
        <v>34352</v>
      </c>
      <c r="EN45" s="1" t="s">
        <v>34353</v>
      </c>
      <c r="EO45" s="1" t="s">
        <v>34354</v>
      </c>
      <c r="EP45" s="1" t="s">
        <v>34355</v>
      </c>
      <c r="EQ45" s="1" t="s">
        <v>34356</v>
      </c>
      <c r="ER45" s="1" t="s">
        <v>34357</v>
      </c>
      <c r="ES45" s="1" t="s">
        <v>34358</v>
      </c>
      <c r="ET45" s="1" t="s">
        <v>34359</v>
      </c>
      <c r="EU45" s="1" t="s">
        <v>34360</v>
      </c>
      <c r="EV45" s="1" t="s">
        <v>34361</v>
      </c>
      <c r="EW45" s="1" t="s">
        <v>34362</v>
      </c>
      <c r="EX45" s="1" t="s">
        <v>34363</v>
      </c>
      <c r="EY45" s="1" t="s">
        <v>34364</v>
      </c>
      <c r="EZ45" s="1" t="s">
        <v>34365</v>
      </c>
      <c r="FA45" s="1" t="s">
        <v>34366</v>
      </c>
      <c r="FB45" s="1" t="s">
        <v>34367</v>
      </c>
      <c r="FC45" s="1" t="s">
        <v>34368</v>
      </c>
      <c r="FD45" s="1" t="s">
        <v>34369</v>
      </c>
      <c r="FE45" s="1" t="s">
        <v>34370</v>
      </c>
      <c r="FF45" s="1" t="s">
        <v>34371</v>
      </c>
      <c r="FG45" s="1" t="s">
        <v>34372</v>
      </c>
      <c r="FH45" s="1" t="s">
        <v>34373</v>
      </c>
      <c r="FI45" s="1" t="s">
        <v>34374</v>
      </c>
      <c r="FJ45" s="1" t="s">
        <v>34375</v>
      </c>
      <c r="FK45" s="1" t="s">
        <v>34376</v>
      </c>
      <c r="FL45" s="1" t="s">
        <v>34377</v>
      </c>
      <c r="FM45" s="1" t="s">
        <v>34378</v>
      </c>
      <c r="FN45" s="1" t="s">
        <v>34379</v>
      </c>
      <c r="FO45" s="1" t="s">
        <v>34380</v>
      </c>
      <c r="FP45" s="1" t="s">
        <v>34381</v>
      </c>
      <c r="FQ45" s="1" t="s">
        <v>34382</v>
      </c>
      <c r="FR45" s="1" t="s">
        <v>34383</v>
      </c>
      <c r="FS45" s="1" t="s">
        <v>34384</v>
      </c>
      <c r="FT45" s="1" t="s">
        <v>34385</v>
      </c>
      <c r="FU45" s="1" t="s">
        <v>34386</v>
      </c>
      <c r="FV45" s="1" t="s">
        <v>34387</v>
      </c>
      <c r="FW45" s="1" t="s">
        <v>34388</v>
      </c>
      <c r="FX45" s="1" t="s">
        <v>34389</v>
      </c>
      <c r="FY45" s="1" t="s">
        <v>34390</v>
      </c>
      <c r="FZ45" s="1" t="s">
        <v>34391</v>
      </c>
      <c r="GA45" s="1" t="s">
        <v>34392</v>
      </c>
      <c r="GB45" s="1" t="s">
        <v>34393</v>
      </c>
      <c r="GC45" s="1" t="s">
        <v>34394</v>
      </c>
      <c r="GD45" s="1" t="s">
        <v>34395</v>
      </c>
      <c r="GE45" s="1" t="s">
        <v>34396</v>
      </c>
      <c r="GF45" s="1" t="s">
        <v>34397</v>
      </c>
      <c r="GG45" s="1" t="s">
        <v>34398</v>
      </c>
      <c r="GH45" s="1" t="s">
        <v>34399</v>
      </c>
      <c r="GI45" s="1" t="s">
        <v>34400</v>
      </c>
      <c r="GJ45" s="1" t="s">
        <v>34401</v>
      </c>
      <c r="GK45" s="1" t="s">
        <v>34402</v>
      </c>
      <c r="GL45" s="1" t="s">
        <v>34403</v>
      </c>
      <c r="GM45" s="1" t="s">
        <v>34404</v>
      </c>
      <c r="GN45" s="1" t="s">
        <v>34405</v>
      </c>
      <c r="GO45" s="1" t="s">
        <v>34406</v>
      </c>
      <c r="GP45" s="1" t="s">
        <v>34407</v>
      </c>
      <c r="GQ45" s="1" t="s">
        <v>34408</v>
      </c>
      <c r="GR45" s="1" t="s">
        <v>34409</v>
      </c>
      <c r="GS45" s="1" t="s">
        <v>34410</v>
      </c>
      <c r="GT45" s="1" t="s">
        <v>34411</v>
      </c>
      <c r="GU45" s="1" t="s">
        <v>34412</v>
      </c>
      <c r="GV45" s="1" t="s">
        <v>34413</v>
      </c>
      <c r="GW45" s="1" t="s">
        <v>34414</v>
      </c>
      <c r="GX45" s="1" t="s">
        <v>34415</v>
      </c>
      <c r="GY45" s="1" t="s">
        <v>34416</v>
      </c>
      <c r="GZ45" s="1" t="s">
        <v>34417</v>
      </c>
      <c r="HA45" s="1" t="s">
        <v>34418</v>
      </c>
      <c r="HB45" s="1" t="s">
        <v>34419</v>
      </c>
      <c r="HC45" s="1" t="s">
        <v>34420</v>
      </c>
      <c r="HD45" s="1" t="s">
        <v>34421</v>
      </c>
      <c r="HE45" s="1" t="s">
        <v>34422</v>
      </c>
      <c r="HF45" s="1" t="s">
        <v>34423</v>
      </c>
      <c r="HG45" s="1" t="s">
        <v>34424</v>
      </c>
      <c r="HH45" s="1" t="s">
        <v>34425</v>
      </c>
      <c r="HI45" s="1" t="s">
        <v>34426</v>
      </c>
      <c r="HJ45" s="1" t="s">
        <v>34427</v>
      </c>
      <c r="HK45" s="1" t="s">
        <v>34428</v>
      </c>
      <c r="HL45" s="1" t="s">
        <v>34429</v>
      </c>
      <c r="HM45" s="1" t="s">
        <v>34430</v>
      </c>
      <c r="HN45" s="1" t="s">
        <v>34431</v>
      </c>
      <c r="HO45" s="1" t="s">
        <v>34432</v>
      </c>
      <c r="HP45" s="1" t="s">
        <v>34433</v>
      </c>
      <c r="HQ45" s="1" t="s">
        <v>34434</v>
      </c>
      <c r="HR45" s="1" t="s">
        <v>34435</v>
      </c>
      <c r="HS45" s="1" t="s">
        <v>34436</v>
      </c>
      <c r="HT45" s="1" t="s">
        <v>34437</v>
      </c>
      <c r="HU45" s="1" t="s">
        <v>34438</v>
      </c>
      <c r="HV45" s="1" t="s">
        <v>34439</v>
      </c>
      <c r="HW45" s="1" t="s">
        <v>34440</v>
      </c>
      <c r="HX45" s="1" t="s">
        <v>34441</v>
      </c>
      <c r="HY45" s="1" t="s">
        <v>34442</v>
      </c>
      <c r="HZ45" s="1" t="s">
        <v>34443</v>
      </c>
      <c r="IA45" s="1" t="s">
        <v>34444</v>
      </c>
      <c r="IB45" s="1" t="s">
        <v>34445</v>
      </c>
      <c r="IC45" s="1" t="s">
        <v>34446</v>
      </c>
      <c r="ID45" s="1" t="s">
        <v>34447</v>
      </c>
      <c r="IE45" s="1" t="s">
        <v>34448</v>
      </c>
      <c r="IF45" s="1" t="s">
        <v>34449</v>
      </c>
      <c r="IG45" s="1" t="s">
        <v>34450</v>
      </c>
      <c r="IH45" s="1" t="s">
        <v>34451</v>
      </c>
      <c r="II45" s="1" t="s">
        <v>34452</v>
      </c>
      <c r="IJ45" s="1" t="s">
        <v>34453</v>
      </c>
      <c r="IK45" s="1" t="s">
        <v>34454</v>
      </c>
      <c r="IL45" s="1" t="s">
        <v>34455</v>
      </c>
      <c r="IM45" s="1" t="s">
        <v>34456</v>
      </c>
      <c r="IN45" s="1" t="s">
        <v>34457</v>
      </c>
      <c r="IO45" s="1" t="s">
        <v>34458</v>
      </c>
      <c r="IP45" s="1" t="s">
        <v>34459</v>
      </c>
      <c r="IQ45" s="1" t="s">
        <v>34460</v>
      </c>
      <c r="IR45" s="1" t="s">
        <v>34461</v>
      </c>
      <c r="IS45" s="1" t="s">
        <v>34462</v>
      </c>
      <c r="IT45" s="1" t="s">
        <v>34463</v>
      </c>
      <c r="IU45" s="1" t="s">
        <v>34464</v>
      </c>
      <c r="IV45" s="1" t="s">
        <v>34465</v>
      </c>
      <c r="IW45" s="1" t="s">
        <v>34466</v>
      </c>
      <c r="IX45" s="1" t="s">
        <v>34467</v>
      </c>
      <c r="IY45" s="1" t="s">
        <v>34468</v>
      </c>
      <c r="IZ45" s="1" t="s">
        <v>34469</v>
      </c>
      <c r="JA45" s="1" t="s">
        <v>34470</v>
      </c>
      <c r="JB45" s="1" t="s">
        <v>34471</v>
      </c>
      <c r="JC45" s="1" t="s">
        <v>34472</v>
      </c>
      <c r="JD45" s="1" t="s">
        <v>34473</v>
      </c>
      <c r="JE45" s="1" t="s">
        <v>34474</v>
      </c>
      <c r="JF45" s="1" t="s">
        <v>34475</v>
      </c>
      <c r="JG45" s="1" t="s">
        <v>34476</v>
      </c>
      <c r="JH45" s="1" t="s">
        <v>34477</v>
      </c>
      <c r="JI45" s="1" t="s">
        <v>34478</v>
      </c>
      <c r="JJ45" s="1" t="s">
        <v>34479</v>
      </c>
      <c r="JK45" s="1" t="s">
        <v>34480</v>
      </c>
      <c r="JL45" s="1" t="s">
        <v>34481</v>
      </c>
      <c r="JM45" s="1" t="s">
        <v>34482</v>
      </c>
      <c r="JN45" s="1" t="s">
        <v>34483</v>
      </c>
      <c r="JO45" s="1" t="s">
        <v>34484</v>
      </c>
      <c r="JP45" s="1" t="s">
        <v>34485</v>
      </c>
      <c r="JQ45" s="1" t="s">
        <v>34486</v>
      </c>
      <c r="JR45" s="1" t="s">
        <v>34487</v>
      </c>
      <c r="JS45" s="1" t="s">
        <v>34488</v>
      </c>
      <c r="JT45" s="1" t="s">
        <v>34489</v>
      </c>
      <c r="JU45" s="1" t="s">
        <v>34490</v>
      </c>
      <c r="JV45" s="1" t="s">
        <v>34491</v>
      </c>
      <c r="JW45" s="1" t="s">
        <v>34492</v>
      </c>
      <c r="JX45" s="1" t="s">
        <v>34493</v>
      </c>
      <c r="JY45" s="1" t="s">
        <v>34494</v>
      </c>
      <c r="JZ45" s="1" t="s">
        <v>34495</v>
      </c>
      <c r="KA45" s="1" t="s">
        <v>34496</v>
      </c>
      <c r="KB45" s="1" t="s">
        <v>34497</v>
      </c>
      <c r="KC45" s="1" t="s">
        <v>34498</v>
      </c>
      <c r="KD45" s="1" t="s">
        <v>34499</v>
      </c>
      <c r="KE45" s="1" t="s">
        <v>34500</v>
      </c>
      <c r="KF45" s="1" t="s">
        <v>34501</v>
      </c>
      <c r="KG45" s="1" t="s">
        <v>34502</v>
      </c>
      <c r="KH45" s="1" t="s">
        <v>34503</v>
      </c>
      <c r="KI45" s="1" t="s">
        <v>34504</v>
      </c>
      <c r="KJ45" s="1" t="s">
        <v>34505</v>
      </c>
      <c r="KK45" s="1" t="s">
        <v>34506</v>
      </c>
      <c r="KL45" s="1" t="s">
        <v>34507</v>
      </c>
      <c r="KM45" s="1" t="s">
        <v>34508</v>
      </c>
      <c r="KN45" s="1" t="s">
        <v>34509</v>
      </c>
      <c r="KO45" s="1" t="s">
        <v>34510</v>
      </c>
      <c r="KP45" s="1" t="s">
        <v>34511</v>
      </c>
      <c r="KQ45" s="1" t="s">
        <v>34512</v>
      </c>
      <c r="KR45" s="1" t="s">
        <v>34513</v>
      </c>
      <c r="KS45" s="1" t="s">
        <v>34514</v>
      </c>
      <c r="KT45" s="1" t="s">
        <v>34515</v>
      </c>
      <c r="KU45" s="1" t="s">
        <v>34516</v>
      </c>
      <c r="KV45" s="1" t="s">
        <v>34517</v>
      </c>
      <c r="KW45" s="1" t="s">
        <v>34518</v>
      </c>
      <c r="KX45" s="1" t="s">
        <v>34519</v>
      </c>
      <c r="KY45" s="1" t="s">
        <v>34520</v>
      </c>
      <c r="KZ45" s="1" t="s">
        <v>34521</v>
      </c>
      <c r="LA45" s="1" t="s">
        <v>34522</v>
      </c>
      <c r="LB45" s="1" t="s">
        <v>34523</v>
      </c>
      <c r="LC45" s="1" t="s">
        <v>34524</v>
      </c>
      <c r="LD45" s="1" t="s">
        <v>34525</v>
      </c>
      <c r="LE45" s="1" t="s">
        <v>34526</v>
      </c>
      <c r="LF45" s="1" t="s">
        <v>34527</v>
      </c>
      <c r="LG45" s="1" t="s">
        <v>34528</v>
      </c>
      <c r="LH45" s="1" t="s">
        <v>34529</v>
      </c>
      <c r="LI45" s="1" t="s">
        <v>34530</v>
      </c>
      <c r="LJ45" s="1" t="s">
        <v>34531</v>
      </c>
      <c r="LK45" s="1" t="s">
        <v>34532</v>
      </c>
      <c r="LL45" s="1" t="s">
        <v>34533</v>
      </c>
      <c r="LM45" s="1" t="s">
        <v>34534</v>
      </c>
      <c r="LN45" s="1" t="s">
        <v>34535</v>
      </c>
      <c r="LO45" s="1" t="s">
        <v>34536</v>
      </c>
      <c r="LP45" s="1" t="s">
        <v>34537</v>
      </c>
      <c r="LQ45" s="1" t="s">
        <v>34538</v>
      </c>
      <c r="LR45" s="1" t="s">
        <v>34539</v>
      </c>
      <c r="LS45" s="1" t="s">
        <v>34540</v>
      </c>
      <c r="LT45" s="1" t="s">
        <v>34541</v>
      </c>
      <c r="LU45" s="1" t="s">
        <v>34542</v>
      </c>
      <c r="LV45" s="1" t="s">
        <v>34543</v>
      </c>
      <c r="LW45" s="1" t="s">
        <v>34544</v>
      </c>
      <c r="LX45" s="1" t="s">
        <v>34545</v>
      </c>
      <c r="LY45" s="1" t="s">
        <v>34546</v>
      </c>
      <c r="LZ45" s="1" t="s">
        <v>34547</v>
      </c>
      <c r="MA45" s="1" t="s">
        <v>34548</v>
      </c>
      <c r="MB45" s="1" t="s">
        <v>34549</v>
      </c>
      <c r="MC45" s="1" t="s">
        <v>34550</v>
      </c>
      <c r="MD45" s="1" t="s">
        <v>34551</v>
      </c>
      <c r="ME45" s="1" t="s">
        <v>34552</v>
      </c>
      <c r="MF45" s="1" t="s">
        <v>34553</v>
      </c>
      <c r="MG45" s="1" t="s">
        <v>34554</v>
      </c>
      <c r="MH45" s="1" t="s">
        <v>34555</v>
      </c>
      <c r="MI45" s="1" t="s">
        <v>34556</v>
      </c>
      <c r="MJ45" s="1" t="s">
        <v>34557</v>
      </c>
      <c r="MK45" s="1" t="s">
        <v>34558</v>
      </c>
      <c r="ML45" s="1" t="s">
        <v>34559</v>
      </c>
      <c r="MM45" s="1" t="s">
        <v>34560</v>
      </c>
      <c r="MN45" s="1" t="s">
        <v>34561</v>
      </c>
      <c r="MO45" s="1" t="s">
        <v>34562</v>
      </c>
      <c r="MP45" s="1" t="s">
        <v>34563</v>
      </c>
      <c r="MQ45" s="1" t="s">
        <v>34564</v>
      </c>
      <c r="MR45" s="1" t="s">
        <v>34565</v>
      </c>
      <c r="MS45" s="1" t="s">
        <v>34566</v>
      </c>
      <c r="MT45" s="1" t="s">
        <v>34567</v>
      </c>
      <c r="MU45" s="1" t="s">
        <v>34568</v>
      </c>
      <c r="MV45" s="1" t="s">
        <v>34569</v>
      </c>
      <c r="MW45" s="1" t="s">
        <v>34570</v>
      </c>
      <c r="MX45" s="1" t="s">
        <v>34571</v>
      </c>
      <c r="MY45" s="1" t="s">
        <v>34572</v>
      </c>
      <c r="MZ45" s="1" t="s">
        <v>34573</v>
      </c>
      <c r="NA45" s="1" t="s">
        <v>34574</v>
      </c>
      <c r="NB45" s="1" t="s">
        <v>34575</v>
      </c>
      <c r="NC45" s="1" t="s">
        <v>34576</v>
      </c>
      <c r="ND45" s="1" t="s">
        <v>34577</v>
      </c>
      <c r="NE45" s="1" t="s">
        <v>34578</v>
      </c>
      <c r="NF45" s="1" t="s">
        <v>34579</v>
      </c>
      <c r="NG45" s="1" t="s">
        <v>34580</v>
      </c>
      <c r="NH45" s="1" t="s">
        <v>34581</v>
      </c>
      <c r="NI45" s="1" t="s">
        <v>34582</v>
      </c>
      <c r="NJ45" s="1" t="s">
        <v>34583</v>
      </c>
      <c r="NK45" s="1" t="s">
        <v>34584</v>
      </c>
      <c r="NL45" s="1" t="s">
        <v>34585</v>
      </c>
      <c r="NM45" s="1" t="s">
        <v>34586</v>
      </c>
      <c r="NN45" s="1" t="s">
        <v>34587</v>
      </c>
      <c r="NO45" s="1" t="s">
        <v>34588</v>
      </c>
      <c r="NP45" s="1" t="s">
        <v>34589</v>
      </c>
      <c r="NQ45" s="1" t="s">
        <v>34590</v>
      </c>
      <c r="NR45" s="1" t="s">
        <v>34591</v>
      </c>
      <c r="NS45" s="1" t="s">
        <v>34592</v>
      </c>
      <c r="NT45" s="1" t="s">
        <v>34593</v>
      </c>
      <c r="NU45" s="1" t="s">
        <v>34594</v>
      </c>
      <c r="NV45" s="1" t="s">
        <v>34595</v>
      </c>
      <c r="NW45" s="1" t="s">
        <v>34596</v>
      </c>
      <c r="NX45" s="1" t="s">
        <v>34597</v>
      </c>
      <c r="NY45" s="1" t="s">
        <v>34598</v>
      </c>
      <c r="NZ45" s="1" t="s">
        <v>34599</v>
      </c>
      <c r="OA45" s="1" t="s">
        <v>34600</v>
      </c>
      <c r="OB45" s="1" t="s">
        <v>34601</v>
      </c>
      <c r="OC45" s="1" t="s">
        <v>34602</v>
      </c>
      <c r="OD45" s="1" t="s">
        <v>34603</v>
      </c>
      <c r="OE45" s="1" t="s">
        <v>34604</v>
      </c>
      <c r="OF45" s="1" t="s">
        <v>34605</v>
      </c>
      <c r="OG45" s="1" t="s">
        <v>34606</v>
      </c>
      <c r="OH45" s="1" t="s">
        <v>34607</v>
      </c>
      <c r="OI45" s="1" t="s">
        <v>34608</v>
      </c>
      <c r="OJ45" s="1" t="s">
        <v>34609</v>
      </c>
      <c r="OK45" s="1" t="s">
        <v>34610</v>
      </c>
      <c r="OL45" s="1" t="s">
        <v>34611</v>
      </c>
      <c r="OM45" s="1" t="s">
        <v>34612</v>
      </c>
      <c r="ON45" s="1" t="s">
        <v>34613</v>
      </c>
      <c r="OO45" s="1" t="s">
        <v>34614</v>
      </c>
      <c r="OP45" s="1" t="s">
        <v>34615</v>
      </c>
      <c r="OQ45" s="1" t="s">
        <v>34616</v>
      </c>
      <c r="OR45" s="1" t="s">
        <v>34617</v>
      </c>
      <c r="OS45" s="1" t="s">
        <v>34618</v>
      </c>
      <c r="OT45" s="1" t="s">
        <v>34619</v>
      </c>
      <c r="OU45" s="1" t="s">
        <v>34620</v>
      </c>
      <c r="OV45" s="1" t="s">
        <v>34621</v>
      </c>
      <c r="OW45" s="1" t="s">
        <v>34622</v>
      </c>
      <c r="OX45" s="1" t="s">
        <v>34623</v>
      </c>
      <c r="OY45" s="1" t="s">
        <v>34624</v>
      </c>
      <c r="OZ45" s="1" t="s">
        <v>34625</v>
      </c>
      <c r="PA45" s="1" t="s">
        <v>34626</v>
      </c>
      <c r="PB45" s="1" t="s">
        <v>34627</v>
      </c>
      <c r="PC45" s="1" t="s">
        <v>34628</v>
      </c>
      <c r="PD45" s="1" t="s">
        <v>34629</v>
      </c>
      <c r="PE45" s="1" t="s">
        <v>34630</v>
      </c>
      <c r="PF45" s="1" t="s">
        <v>34631</v>
      </c>
      <c r="PG45" s="1" t="s">
        <v>34632</v>
      </c>
      <c r="PH45" s="1" t="s">
        <v>34633</v>
      </c>
      <c r="PI45" s="1" t="s">
        <v>34634</v>
      </c>
      <c r="PJ45" s="1" t="s">
        <v>34635</v>
      </c>
      <c r="PK45" s="1" t="s">
        <v>34636</v>
      </c>
      <c r="PL45" s="1" t="s">
        <v>34637</v>
      </c>
      <c r="PM45" s="1" t="s">
        <v>34638</v>
      </c>
      <c r="PN45" s="1" t="s">
        <v>34639</v>
      </c>
      <c r="PO45" s="1" t="s">
        <v>34640</v>
      </c>
      <c r="PP45" s="1" t="s">
        <v>34641</v>
      </c>
      <c r="PQ45" s="1" t="s">
        <v>34642</v>
      </c>
      <c r="PR45" s="1" t="s">
        <v>34643</v>
      </c>
      <c r="PS45" s="1" t="s">
        <v>34644</v>
      </c>
      <c r="PT45" s="1" t="s">
        <v>34645</v>
      </c>
      <c r="PU45" s="1" t="s">
        <v>34646</v>
      </c>
      <c r="PV45" s="1" t="s">
        <v>34647</v>
      </c>
      <c r="PW45" s="1" t="s">
        <v>34648</v>
      </c>
      <c r="PX45" s="1" t="s">
        <v>34649</v>
      </c>
      <c r="PY45" s="1" t="s">
        <v>34650</v>
      </c>
      <c r="PZ45" s="1" t="s">
        <v>34651</v>
      </c>
      <c r="QA45" s="1" t="s">
        <v>34652</v>
      </c>
      <c r="QB45" s="1" t="s">
        <v>34653</v>
      </c>
      <c r="QC45" s="1" t="s">
        <v>34654</v>
      </c>
      <c r="QD45" s="1" t="s">
        <v>34655</v>
      </c>
      <c r="QE45" s="1" t="s">
        <v>34656</v>
      </c>
      <c r="QF45" s="1" t="s">
        <v>34657</v>
      </c>
      <c r="QG45" s="1" t="s">
        <v>34658</v>
      </c>
      <c r="QH45" s="1" t="s">
        <v>34659</v>
      </c>
      <c r="QI45" s="1" t="s">
        <v>34660</v>
      </c>
      <c r="QJ45" s="1" t="s">
        <v>34661</v>
      </c>
      <c r="QK45" s="1" t="s">
        <v>34662</v>
      </c>
      <c r="QL45" s="1" t="s">
        <v>34663</v>
      </c>
      <c r="QM45" s="1" t="s">
        <v>34664</v>
      </c>
      <c r="QN45" s="1" t="s">
        <v>34665</v>
      </c>
      <c r="QO45" s="1" t="s">
        <v>34666</v>
      </c>
      <c r="QP45" s="1" t="s">
        <v>34667</v>
      </c>
      <c r="QQ45" s="1" t="s">
        <v>34668</v>
      </c>
      <c r="QR45" s="1" t="s">
        <v>34669</v>
      </c>
      <c r="QS45" s="1" t="s">
        <v>34670</v>
      </c>
      <c r="QT45" s="1" t="s">
        <v>34671</v>
      </c>
      <c r="QU45" s="1" t="s">
        <v>34672</v>
      </c>
      <c r="QV45" s="1" t="s">
        <v>34673</v>
      </c>
      <c r="QW45" s="1" t="s">
        <v>34674</v>
      </c>
      <c r="QX45" s="1" t="s">
        <v>34675</v>
      </c>
      <c r="QY45" s="1" t="s">
        <v>34676</v>
      </c>
      <c r="QZ45" s="1" t="s">
        <v>34677</v>
      </c>
      <c r="RA45" s="1" t="s">
        <v>34678</v>
      </c>
      <c r="RB45" s="1" t="s">
        <v>34679</v>
      </c>
      <c r="RC45" s="1" t="s">
        <v>34680</v>
      </c>
      <c r="RD45" s="1" t="s">
        <v>34681</v>
      </c>
      <c r="RE45" s="1" t="s">
        <v>34682</v>
      </c>
      <c r="RF45" s="1" t="s">
        <v>34683</v>
      </c>
      <c r="RG45" s="1" t="s">
        <v>34684</v>
      </c>
      <c r="RH45" s="1" t="s">
        <v>34685</v>
      </c>
      <c r="RI45" s="1" t="s">
        <v>34686</v>
      </c>
      <c r="RJ45" s="1" t="s">
        <v>34687</v>
      </c>
      <c r="RK45" s="1" t="s">
        <v>34688</v>
      </c>
      <c r="RL45" s="1" t="s">
        <v>34689</v>
      </c>
      <c r="RM45" s="1" t="s">
        <v>34690</v>
      </c>
      <c r="RN45" s="1" t="s">
        <v>34691</v>
      </c>
      <c r="RO45" s="1" t="s">
        <v>34692</v>
      </c>
      <c r="RP45" s="1" t="s">
        <v>34693</v>
      </c>
      <c r="RQ45" s="1" t="s">
        <v>34694</v>
      </c>
      <c r="RR45" s="1" t="s">
        <v>34695</v>
      </c>
      <c r="RS45" s="1" t="s">
        <v>34696</v>
      </c>
      <c r="RT45" s="1" t="s">
        <v>34697</v>
      </c>
      <c r="RU45" s="1" t="s">
        <v>34698</v>
      </c>
      <c r="RV45" s="1" t="s">
        <v>34699</v>
      </c>
      <c r="RW45" s="1" t="s">
        <v>34700</v>
      </c>
      <c r="RX45" s="1" t="s">
        <v>34701</v>
      </c>
      <c r="RY45" s="1" t="s">
        <v>34702</v>
      </c>
      <c r="RZ45" s="1" t="s">
        <v>34703</v>
      </c>
      <c r="SA45" s="1" t="s">
        <v>34704</v>
      </c>
      <c r="SB45" s="1" t="s">
        <v>34705</v>
      </c>
      <c r="SC45" s="1" t="s">
        <v>34706</v>
      </c>
      <c r="SD45" s="1" t="s">
        <v>34707</v>
      </c>
      <c r="SE45" s="1" t="s">
        <v>34708</v>
      </c>
      <c r="SF45" s="1" t="s">
        <v>34709</v>
      </c>
      <c r="SG45" s="1" t="s">
        <v>34710</v>
      </c>
      <c r="SH45" s="1" t="s">
        <v>34711</v>
      </c>
      <c r="SI45" s="1" t="s">
        <v>34712</v>
      </c>
      <c r="SJ45" s="1" t="s">
        <v>34713</v>
      </c>
      <c r="SK45" s="1" t="s">
        <v>34714</v>
      </c>
      <c r="SL45" s="1" t="s">
        <v>34715</v>
      </c>
      <c r="SM45" s="1" t="s">
        <v>34716</v>
      </c>
      <c r="SN45" s="1" t="s">
        <v>34717</v>
      </c>
      <c r="SO45" s="1" t="s">
        <v>34718</v>
      </c>
      <c r="SP45" s="1" t="s">
        <v>34719</v>
      </c>
      <c r="SQ45" s="1" t="s">
        <v>34720</v>
      </c>
      <c r="SR45" s="1" t="s">
        <v>34721</v>
      </c>
      <c r="SS45" s="1" t="s">
        <v>34722</v>
      </c>
      <c r="ST45" s="1" t="s">
        <v>34723</v>
      </c>
      <c r="SU45" s="1" t="s">
        <v>34724</v>
      </c>
      <c r="SV45" s="1" t="s">
        <v>34725</v>
      </c>
      <c r="SW45" s="1" t="s">
        <v>34726</v>
      </c>
      <c r="SX45" s="1" t="s">
        <v>34727</v>
      </c>
      <c r="SY45" s="1" t="s">
        <v>34728</v>
      </c>
      <c r="SZ45" s="1" t="s">
        <v>34729</v>
      </c>
      <c r="TA45" s="1" t="s">
        <v>34730</v>
      </c>
      <c r="TB45" s="1" t="s">
        <v>34731</v>
      </c>
      <c r="TC45" s="1" t="s">
        <v>34732</v>
      </c>
      <c r="TD45" s="1" t="s">
        <v>34733</v>
      </c>
      <c r="TE45" s="1" t="s">
        <v>34734</v>
      </c>
      <c r="TF45" s="1" t="s">
        <v>34735</v>
      </c>
      <c r="TG45" s="1" t="s">
        <v>34736</v>
      </c>
      <c r="TH45" s="1" t="s">
        <v>34737</v>
      </c>
      <c r="TI45" s="1" t="s">
        <v>34738</v>
      </c>
      <c r="TJ45" s="1" t="s">
        <v>34739</v>
      </c>
      <c r="TK45" s="1" t="s">
        <v>34740</v>
      </c>
      <c r="TL45" s="1" t="s">
        <v>34741</v>
      </c>
      <c r="TM45" s="1" t="s">
        <v>34742</v>
      </c>
      <c r="TN45" s="1" t="s">
        <v>34743</v>
      </c>
      <c r="TO45" s="1" t="s">
        <v>34744</v>
      </c>
      <c r="TP45" s="1" t="s">
        <v>34745</v>
      </c>
      <c r="TQ45" s="1" t="s">
        <v>34746</v>
      </c>
      <c r="TR45" s="1" t="s">
        <v>34747</v>
      </c>
      <c r="TS45" s="1" t="s">
        <v>34748</v>
      </c>
      <c r="TT45" s="1" t="s">
        <v>34749</v>
      </c>
      <c r="TU45" s="1" t="s">
        <v>34750</v>
      </c>
      <c r="TV45" s="1" t="s">
        <v>34751</v>
      </c>
      <c r="TW45" s="1" t="s">
        <v>34752</v>
      </c>
      <c r="TX45" s="1" t="s">
        <v>34753</v>
      </c>
      <c r="TY45" s="1" t="s">
        <v>34754</v>
      </c>
      <c r="TZ45" s="1" t="s">
        <v>34755</v>
      </c>
      <c r="UA45" s="1" t="s">
        <v>34756</v>
      </c>
      <c r="UB45" s="1" t="s">
        <v>34757</v>
      </c>
      <c r="UC45" s="1" t="s">
        <v>34758</v>
      </c>
      <c r="UD45" s="1" t="s">
        <v>34759</v>
      </c>
      <c r="UE45" s="1" t="s">
        <v>34760</v>
      </c>
      <c r="UF45" s="1" t="s">
        <v>34761</v>
      </c>
      <c r="UG45" s="1" t="s">
        <v>34762</v>
      </c>
      <c r="UH45" s="1" t="s">
        <v>34763</v>
      </c>
      <c r="UI45" s="1" t="s">
        <v>34764</v>
      </c>
      <c r="UJ45" s="1" t="s">
        <v>34765</v>
      </c>
      <c r="UK45" s="1" t="s">
        <v>34766</v>
      </c>
      <c r="UL45" s="1" t="s">
        <v>34767</v>
      </c>
      <c r="UM45" s="1" t="s">
        <v>34768</v>
      </c>
      <c r="UN45" s="1" t="s">
        <v>34769</v>
      </c>
      <c r="UO45" s="1" t="s">
        <v>34770</v>
      </c>
      <c r="UP45" s="1" t="s">
        <v>34771</v>
      </c>
      <c r="UQ45" s="1" t="s">
        <v>34772</v>
      </c>
      <c r="UR45" s="1" t="s">
        <v>34773</v>
      </c>
      <c r="US45" s="1" t="s">
        <v>34774</v>
      </c>
      <c r="UT45" s="1" t="s">
        <v>34775</v>
      </c>
      <c r="UU45" s="1" t="s">
        <v>34776</v>
      </c>
      <c r="UV45" s="1" t="s">
        <v>34777</v>
      </c>
      <c r="UW45" s="1" t="s">
        <v>34778</v>
      </c>
      <c r="UX45" s="1" t="s">
        <v>34779</v>
      </c>
      <c r="UY45" s="1" t="s">
        <v>34780</v>
      </c>
      <c r="UZ45" s="1" t="s">
        <v>34781</v>
      </c>
      <c r="VA45" s="1" t="s">
        <v>34782</v>
      </c>
      <c r="VB45" s="1" t="s">
        <v>34783</v>
      </c>
      <c r="VC45" s="1" t="s">
        <v>34784</v>
      </c>
      <c r="VD45" s="1" t="s">
        <v>34785</v>
      </c>
      <c r="VE45" s="1" t="s">
        <v>34786</v>
      </c>
      <c r="VF45" s="1" t="s">
        <v>34787</v>
      </c>
      <c r="VG45" s="1" t="s">
        <v>34788</v>
      </c>
      <c r="VH45" s="1" t="s">
        <v>34789</v>
      </c>
      <c r="VI45" s="1" t="s">
        <v>34790</v>
      </c>
      <c r="VJ45" s="1" t="s">
        <v>34791</v>
      </c>
      <c r="VK45" s="1" t="s">
        <v>34792</v>
      </c>
      <c r="VL45" s="1" t="s">
        <v>34793</v>
      </c>
      <c r="VM45" s="1" t="s">
        <v>34794</v>
      </c>
      <c r="VN45" s="1" t="s">
        <v>34795</v>
      </c>
      <c r="VO45" s="1" t="s">
        <v>34796</v>
      </c>
      <c r="VP45" s="1" t="s">
        <v>34797</v>
      </c>
      <c r="VQ45" s="1" t="s">
        <v>34798</v>
      </c>
      <c r="VR45" s="1" t="s">
        <v>34799</v>
      </c>
      <c r="VS45" s="1" t="s">
        <v>34800</v>
      </c>
      <c r="VT45" s="1" t="s">
        <v>34801</v>
      </c>
      <c r="VU45" s="1" t="s">
        <v>34802</v>
      </c>
      <c r="VV45" s="1" t="s">
        <v>34803</v>
      </c>
      <c r="VW45" s="1" t="s">
        <v>34804</v>
      </c>
      <c r="VX45" s="1" t="s">
        <v>34805</v>
      </c>
      <c r="VY45" s="1" t="s">
        <v>34806</v>
      </c>
      <c r="VZ45" s="1" t="s">
        <v>34807</v>
      </c>
      <c r="WA45" s="1" t="s">
        <v>34808</v>
      </c>
      <c r="WB45" s="1" t="s">
        <v>34809</v>
      </c>
      <c r="WC45" s="1" t="s">
        <v>34810</v>
      </c>
      <c r="WD45" s="1" t="s">
        <v>34811</v>
      </c>
      <c r="WE45" s="1" t="s">
        <v>34812</v>
      </c>
      <c r="WF45" s="1" t="s">
        <v>34813</v>
      </c>
      <c r="WG45" s="1" t="s">
        <v>34814</v>
      </c>
      <c r="WH45" s="1" t="s">
        <v>34815</v>
      </c>
      <c r="WI45" s="1" t="s">
        <v>34816</v>
      </c>
      <c r="WJ45" s="1" t="s">
        <v>34817</v>
      </c>
      <c r="WK45" s="1" t="s">
        <v>34818</v>
      </c>
      <c r="WL45" s="1" t="s">
        <v>34819</v>
      </c>
      <c r="WM45" s="1" t="s">
        <v>34820</v>
      </c>
      <c r="WN45" s="1" t="s">
        <v>34821</v>
      </c>
      <c r="WO45" s="1" t="s">
        <v>34822</v>
      </c>
      <c r="WP45" s="1" t="s">
        <v>34823</v>
      </c>
      <c r="WQ45" s="1" t="s">
        <v>34824</v>
      </c>
      <c r="WR45" s="1" t="s">
        <v>34825</v>
      </c>
      <c r="WS45" s="1" t="s">
        <v>34826</v>
      </c>
      <c r="WT45" s="1" t="s">
        <v>34827</v>
      </c>
      <c r="WU45" s="1" t="s">
        <v>34828</v>
      </c>
      <c r="WV45" s="1" t="s">
        <v>34829</v>
      </c>
      <c r="WW45" s="1" t="s">
        <v>34830</v>
      </c>
      <c r="WX45" s="1" t="s">
        <v>34831</v>
      </c>
      <c r="WY45" s="1" t="s">
        <v>34832</v>
      </c>
      <c r="WZ45" s="1" t="s">
        <v>34833</v>
      </c>
      <c r="XA45" s="1" t="s">
        <v>34834</v>
      </c>
      <c r="XB45" s="1" t="s">
        <v>34835</v>
      </c>
      <c r="XC45" s="1" t="s">
        <v>34836</v>
      </c>
      <c r="XD45" s="1" t="s">
        <v>34837</v>
      </c>
      <c r="XE45" s="1" t="s">
        <v>34838</v>
      </c>
      <c r="XF45" s="1" t="s">
        <v>34839</v>
      </c>
      <c r="XG45" s="1" t="s">
        <v>34840</v>
      </c>
      <c r="XH45" s="1" t="s">
        <v>34841</v>
      </c>
      <c r="XI45" s="1" t="s">
        <v>34842</v>
      </c>
      <c r="XJ45" s="1" t="s">
        <v>34843</v>
      </c>
      <c r="XK45" s="1" t="s">
        <v>34844</v>
      </c>
      <c r="XL45" s="1" t="s">
        <v>34845</v>
      </c>
      <c r="XM45" s="1" t="s">
        <v>34846</v>
      </c>
      <c r="XN45" s="1" t="s">
        <v>34847</v>
      </c>
      <c r="XO45" s="1" t="s">
        <v>34848</v>
      </c>
      <c r="XP45" s="1" t="s">
        <v>34849</v>
      </c>
      <c r="XQ45" s="1" t="s">
        <v>34850</v>
      </c>
      <c r="XR45" s="1" t="s">
        <v>34851</v>
      </c>
      <c r="XS45" s="1" t="s">
        <v>34852</v>
      </c>
      <c r="XT45" s="1" t="s">
        <v>34853</v>
      </c>
      <c r="XU45" s="1" t="s">
        <v>34854</v>
      </c>
      <c r="XV45" s="1" t="s">
        <v>34855</v>
      </c>
      <c r="XW45" s="1" t="s">
        <v>34856</v>
      </c>
      <c r="XX45" s="1" t="s">
        <v>34857</v>
      </c>
      <c r="XY45" s="1" t="s">
        <v>34858</v>
      </c>
      <c r="XZ45" s="1" t="s">
        <v>34859</v>
      </c>
      <c r="YA45" s="1" t="s">
        <v>34860</v>
      </c>
      <c r="YB45" s="1" t="s">
        <v>34861</v>
      </c>
      <c r="YC45" s="1" t="s">
        <v>34862</v>
      </c>
      <c r="YD45" s="1" t="s">
        <v>34863</v>
      </c>
      <c r="YE45" s="1" t="s">
        <v>34864</v>
      </c>
      <c r="YF45" s="1" t="s">
        <v>34865</v>
      </c>
      <c r="YG45" s="1" t="s">
        <v>34866</v>
      </c>
      <c r="YH45" s="1" t="s">
        <v>34867</v>
      </c>
      <c r="YI45" s="1" t="s">
        <v>34868</v>
      </c>
      <c r="YJ45" s="1" t="s">
        <v>34869</v>
      </c>
      <c r="YK45" s="1" t="s">
        <v>34870</v>
      </c>
      <c r="YL45" s="1" t="s">
        <v>34871</v>
      </c>
      <c r="YM45" s="1" t="s">
        <v>34872</v>
      </c>
      <c r="YN45" s="1" t="s">
        <v>34873</v>
      </c>
      <c r="YO45" s="1" t="s">
        <v>34874</v>
      </c>
      <c r="YP45" s="1" t="s">
        <v>34875</v>
      </c>
      <c r="YQ45" s="1" t="s">
        <v>34876</v>
      </c>
      <c r="YR45" s="1" t="s">
        <v>34877</v>
      </c>
      <c r="YS45" s="1" t="s">
        <v>34878</v>
      </c>
      <c r="YT45" s="1" t="s">
        <v>34879</v>
      </c>
      <c r="YU45" s="1" t="s">
        <v>34880</v>
      </c>
      <c r="YV45" s="1" t="s">
        <v>34881</v>
      </c>
      <c r="YW45" s="1" t="s">
        <v>34882</v>
      </c>
      <c r="YX45" s="1" t="s">
        <v>34883</v>
      </c>
      <c r="YY45" s="1" t="s">
        <v>34884</v>
      </c>
      <c r="YZ45" s="1" t="s">
        <v>34885</v>
      </c>
      <c r="ZA45" s="1" t="s">
        <v>34886</v>
      </c>
      <c r="ZB45" s="1" t="s">
        <v>34887</v>
      </c>
      <c r="ZC45" s="1" t="s">
        <v>34888</v>
      </c>
      <c r="ZD45" s="1" t="s">
        <v>34889</v>
      </c>
      <c r="ZE45" s="1" t="s">
        <v>34890</v>
      </c>
      <c r="ZF45" s="1" t="s">
        <v>34891</v>
      </c>
      <c r="ZG45" s="1" t="s">
        <v>34892</v>
      </c>
      <c r="ZH45" s="1" t="s">
        <v>34893</v>
      </c>
      <c r="ZI45" s="1" t="s">
        <v>34894</v>
      </c>
      <c r="ZJ45" s="1" t="s">
        <v>34895</v>
      </c>
      <c r="ZK45" s="1" t="s">
        <v>34896</v>
      </c>
      <c r="ZL45" s="1" t="s">
        <v>34897</v>
      </c>
      <c r="ZM45" s="1" t="s">
        <v>34898</v>
      </c>
      <c r="ZN45" s="1" t="s">
        <v>34899</v>
      </c>
      <c r="ZO45" s="1" t="s">
        <v>34900</v>
      </c>
      <c r="ZP45" s="1" t="s">
        <v>34901</v>
      </c>
      <c r="ZQ45" s="1" t="s">
        <v>34902</v>
      </c>
      <c r="ZR45" s="1" t="s">
        <v>34903</v>
      </c>
      <c r="ZS45" s="1" t="s">
        <v>34904</v>
      </c>
      <c r="ZT45" s="1" t="s">
        <v>34905</v>
      </c>
      <c r="ZU45" s="1" t="s">
        <v>34906</v>
      </c>
      <c r="ZV45" s="1" t="s">
        <v>34907</v>
      </c>
      <c r="ZW45" s="1" t="s">
        <v>34908</v>
      </c>
      <c r="ZX45" s="1" t="s">
        <v>34909</v>
      </c>
      <c r="ZY45" s="1" t="s">
        <v>34910</v>
      </c>
      <c r="ZZ45" s="1" t="s">
        <v>34911</v>
      </c>
      <c r="AAA45" s="1" t="s">
        <v>34912</v>
      </c>
      <c r="AAB45" s="1" t="s">
        <v>34913</v>
      </c>
      <c r="AAC45" s="1" t="s">
        <v>34914</v>
      </c>
      <c r="AAD45" s="1" t="s">
        <v>34915</v>
      </c>
      <c r="AAE45" s="1" t="s">
        <v>34916</v>
      </c>
      <c r="AAF45" s="1" t="s">
        <v>34917</v>
      </c>
      <c r="AAG45" s="1" t="s">
        <v>34918</v>
      </c>
      <c r="AAH45" s="1" t="s">
        <v>34919</v>
      </c>
      <c r="AAI45" s="1" t="s">
        <v>34920</v>
      </c>
      <c r="AAJ45" s="1" t="s">
        <v>34921</v>
      </c>
      <c r="AAK45" s="1" t="s">
        <v>34922</v>
      </c>
      <c r="AAL45" s="1" t="s">
        <v>34923</v>
      </c>
      <c r="AAM45" s="1" t="s">
        <v>34924</v>
      </c>
      <c r="AAN45" s="1" t="s">
        <v>34925</v>
      </c>
      <c r="AAO45" s="1" t="s">
        <v>34926</v>
      </c>
      <c r="AAP45" s="1" t="s">
        <v>34927</v>
      </c>
      <c r="AAQ45" s="1" t="s">
        <v>34928</v>
      </c>
      <c r="AAR45" s="1" t="s">
        <v>34929</v>
      </c>
      <c r="AAS45" s="1" t="s">
        <v>34930</v>
      </c>
      <c r="AAT45" s="1" t="s">
        <v>34931</v>
      </c>
      <c r="AAU45" s="1" t="s">
        <v>34932</v>
      </c>
      <c r="AAV45" s="1" t="s">
        <v>34933</v>
      </c>
      <c r="AAW45" s="1" t="s">
        <v>34934</v>
      </c>
      <c r="AAX45" s="1" t="s">
        <v>34935</v>
      </c>
      <c r="AAY45" s="1" t="s">
        <v>34936</v>
      </c>
      <c r="AAZ45" s="1" t="s">
        <v>34937</v>
      </c>
      <c r="ABA45" s="1" t="s">
        <v>34938</v>
      </c>
      <c r="ABB45" s="1" t="s">
        <v>34939</v>
      </c>
      <c r="ABC45" s="1" t="s">
        <v>34940</v>
      </c>
      <c r="ABD45" s="1" t="s">
        <v>34941</v>
      </c>
      <c r="ABE45" s="1" t="s">
        <v>34942</v>
      </c>
      <c r="ABF45" s="1" t="s">
        <v>34943</v>
      </c>
      <c r="ABG45" s="1" t="s">
        <v>34944</v>
      </c>
      <c r="ABH45" s="1" t="s">
        <v>34945</v>
      </c>
      <c r="ABI45" s="1" t="s">
        <v>34946</v>
      </c>
      <c r="ABJ45" s="1" t="s">
        <v>34947</v>
      </c>
      <c r="ABK45" s="1" t="s">
        <v>34948</v>
      </c>
      <c r="ABL45" s="1" t="s">
        <v>34949</v>
      </c>
      <c r="ABM45" s="1" t="s">
        <v>34950</v>
      </c>
      <c r="ABN45" s="1" t="s">
        <v>34951</v>
      </c>
      <c r="ABO45" s="1" t="s">
        <v>34952</v>
      </c>
      <c r="ABP45" s="1" t="s">
        <v>34953</v>
      </c>
      <c r="ABQ45" s="1" t="s">
        <v>34954</v>
      </c>
      <c r="ABR45" s="1" t="s">
        <v>34955</v>
      </c>
      <c r="ABS45" s="1" t="s">
        <v>34956</v>
      </c>
      <c r="ABT45" s="1" t="s">
        <v>34957</v>
      </c>
      <c r="ABU45" s="1" t="s">
        <v>34958</v>
      </c>
      <c r="ABV45" s="1" t="s">
        <v>34959</v>
      </c>
      <c r="ABW45" s="1" t="s">
        <v>34960</v>
      </c>
      <c r="ABX45" s="1" t="s">
        <v>34961</v>
      </c>
      <c r="ABY45" s="1" t="s">
        <v>34962</v>
      </c>
      <c r="ABZ45" s="1" t="s">
        <v>34963</v>
      </c>
      <c r="ACA45" s="1" t="s">
        <v>34964</v>
      </c>
      <c r="ACB45" s="1" t="s">
        <v>34965</v>
      </c>
      <c r="ACC45" s="1" t="s">
        <v>34966</v>
      </c>
      <c r="ACD45" s="1" t="s">
        <v>34967</v>
      </c>
      <c r="ACE45" s="1" t="s">
        <v>34968</v>
      </c>
      <c r="ACF45" s="1" t="s">
        <v>34969</v>
      </c>
      <c r="ACG45" s="1" t="s">
        <v>34970</v>
      </c>
      <c r="ACH45" s="1" t="s">
        <v>34971</v>
      </c>
      <c r="ACI45" s="1" t="s">
        <v>34972</v>
      </c>
      <c r="ACJ45" s="1" t="s">
        <v>34973</v>
      </c>
      <c r="ACK45" s="1" t="s">
        <v>34974</v>
      </c>
      <c r="ACL45" s="1" t="s">
        <v>34975</v>
      </c>
      <c r="ACM45" s="1" t="s">
        <v>34976</v>
      </c>
      <c r="ACN45" s="1" t="s">
        <v>34977</v>
      </c>
      <c r="ACO45" s="1" t="s">
        <v>34978</v>
      </c>
      <c r="ACP45" s="1" t="s">
        <v>34979</v>
      </c>
      <c r="ACQ45" s="1" t="s">
        <v>34980</v>
      </c>
      <c r="ACR45" s="1" t="s">
        <v>34981</v>
      </c>
      <c r="ACS45" s="1" t="s">
        <v>34982</v>
      </c>
      <c r="ACT45" s="1" t="s">
        <v>34983</v>
      </c>
      <c r="ACU45" s="1" t="s">
        <v>34984</v>
      </c>
      <c r="ACV45" s="1" t="s">
        <v>34985</v>
      </c>
      <c r="ACW45" s="1" t="s">
        <v>23</v>
      </c>
      <c r="ACX45" s="1" t="s">
        <v>6310</v>
      </c>
    </row>
    <row r="46" spans="1:778" x14ac:dyDescent="0.2">
      <c r="A46" s="1" t="s">
        <v>9</v>
      </c>
      <c r="B46" s="1" t="s">
        <v>34986</v>
      </c>
      <c r="C46" s="1" t="s">
        <v>34987</v>
      </c>
      <c r="D46" s="1" t="s">
        <v>34988</v>
      </c>
      <c r="E46" s="1" t="s">
        <v>34989</v>
      </c>
      <c r="F46" s="1" t="s">
        <v>34990</v>
      </c>
      <c r="G46" s="1" t="s">
        <v>34991</v>
      </c>
      <c r="H46" s="1" t="s">
        <v>34992</v>
      </c>
      <c r="I46" s="1" t="s">
        <v>34993</v>
      </c>
      <c r="J46" s="1" t="s">
        <v>34994</v>
      </c>
      <c r="K46" s="1" t="s">
        <v>34995</v>
      </c>
      <c r="L46" s="1" t="s">
        <v>34996</v>
      </c>
      <c r="M46" s="1" t="s">
        <v>34997</v>
      </c>
      <c r="N46" s="1" t="s">
        <v>34998</v>
      </c>
      <c r="O46" s="1" t="s">
        <v>34999</v>
      </c>
      <c r="P46" s="1" t="s">
        <v>35000</v>
      </c>
      <c r="Q46" s="1" t="s">
        <v>35001</v>
      </c>
      <c r="R46" s="1" t="s">
        <v>35002</v>
      </c>
      <c r="S46" s="1" t="s">
        <v>35003</v>
      </c>
      <c r="T46" s="1" t="s">
        <v>35004</v>
      </c>
      <c r="U46" s="1" t="s">
        <v>35005</v>
      </c>
      <c r="V46" s="1" t="s">
        <v>35006</v>
      </c>
      <c r="W46" s="1" t="s">
        <v>35007</v>
      </c>
      <c r="X46" s="1" t="s">
        <v>35008</v>
      </c>
      <c r="Y46" s="1" t="s">
        <v>35009</v>
      </c>
      <c r="Z46" s="1" t="s">
        <v>35010</v>
      </c>
      <c r="AA46" s="1" t="s">
        <v>35011</v>
      </c>
      <c r="AB46" s="1" t="s">
        <v>35012</v>
      </c>
      <c r="AC46" s="1" t="s">
        <v>35013</v>
      </c>
      <c r="AD46" s="1" t="s">
        <v>35014</v>
      </c>
      <c r="AE46" s="1" t="s">
        <v>35015</v>
      </c>
      <c r="AF46" s="1" t="s">
        <v>35016</v>
      </c>
      <c r="AG46" s="1" t="s">
        <v>35017</v>
      </c>
      <c r="AH46" s="1" t="s">
        <v>35018</v>
      </c>
      <c r="AI46" s="1" t="s">
        <v>35019</v>
      </c>
      <c r="AJ46" s="1" t="s">
        <v>35020</v>
      </c>
      <c r="AK46" s="1" t="s">
        <v>35021</v>
      </c>
      <c r="AL46" s="1" t="s">
        <v>35022</v>
      </c>
      <c r="AM46" s="1" t="s">
        <v>35023</v>
      </c>
      <c r="AN46" s="1" t="s">
        <v>35024</v>
      </c>
      <c r="AO46" s="1" t="s">
        <v>35025</v>
      </c>
      <c r="AP46" s="1" t="s">
        <v>35026</v>
      </c>
      <c r="AQ46" s="1" t="s">
        <v>35027</v>
      </c>
      <c r="AR46" s="1" t="s">
        <v>35028</v>
      </c>
      <c r="AS46" s="1" t="s">
        <v>35029</v>
      </c>
      <c r="AT46" s="1" t="s">
        <v>35030</v>
      </c>
      <c r="AU46" s="1" t="s">
        <v>35031</v>
      </c>
      <c r="AV46" s="1" t="s">
        <v>35032</v>
      </c>
      <c r="AW46" s="1" t="s">
        <v>35033</v>
      </c>
      <c r="AX46" s="1" t="s">
        <v>35034</v>
      </c>
      <c r="AY46" s="1" t="s">
        <v>35035</v>
      </c>
      <c r="AZ46" s="1" t="s">
        <v>35036</v>
      </c>
      <c r="BA46" s="1" t="s">
        <v>35037</v>
      </c>
      <c r="BB46" s="1" t="s">
        <v>35038</v>
      </c>
      <c r="BC46" s="1" t="s">
        <v>35039</v>
      </c>
      <c r="BD46" s="1" t="s">
        <v>35040</v>
      </c>
      <c r="BE46" s="1" t="s">
        <v>35041</v>
      </c>
      <c r="BF46" s="1" t="s">
        <v>35042</v>
      </c>
      <c r="BG46" s="1" t="s">
        <v>35043</v>
      </c>
      <c r="BH46" s="1" t="s">
        <v>35044</v>
      </c>
      <c r="BI46" s="1" t="s">
        <v>35045</v>
      </c>
      <c r="BJ46" s="1" t="s">
        <v>35046</v>
      </c>
      <c r="BK46" s="1" t="s">
        <v>35047</v>
      </c>
      <c r="BL46" s="1" t="s">
        <v>35048</v>
      </c>
      <c r="BM46" s="1" t="s">
        <v>35049</v>
      </c>
      <c r="BN46" s="1" t="s">
        <v>35050</v>
      </c>
      <c r="BO46" s="1" t="s">
        <v>35051</v>
      </c>
      <c r="BP46" s="1" t="s">
        <v>35052</v>
      </c>
      <c r="BQ46" s="1" t="s">
        <v>35053</v>
      </c>
      <c r="BR46" s="1" t="s">
        <v>35054</v>
      </c>
      <c r="BS46" s="1" t="s">
        <v>35055</v>
      </c>
      <c r="BT46" s="1" t="s">
        <v>35056</v>
      </c>
      <c r="BU46" s="1" t="s">
        <v>35057</v>
      </c>
      <c r="BV46" s="1" t="s">
        <v>35058</v>
      </c>
      <c r="BW46" s="1" t="s">
        <v>35059</v>
      </c>
      <c r="BX46" s="1" t="s">
        <v>35060</v>
      </c>
      <c r="BY46" s="1" t="s">
        <v>35061</v>
      </c>
      <c r="BZ46" s="1" t="s">
        <v>35062</v>
      </c>
      <c r="CA46" s="1" t="s">
        <v>35063</v>
      </c>
      <c r="CB46" s="1" t="s">
        <v>35064</v>
      </c>
      <c r="CC46" s="1" t="s">
        <v>35065</v>
      </c>
      <c r="CD46" s="1" t="s">
        <v>35066</v>
      </c>
      <c r="CE46" s="1" t="s">
        <v>35067</v>
      </c>
      <c r="CF46" s="1" t="s">
        <v>35068</v>
      </c>
      <c r="CG46" s="1" t="s">
        <v>35069</v>
      </c>
      <c r="CH46" s="1" t="s">
        <v>35070</v>
      </c>
      <c r="CI46" s="1" t="s">
        <v>35071</v>
      </c>
      <c r="CJ46" s="1" t="s">
        <v>35072</v>
      </c>
      <c r="CK46" s="1" t="s">
        <v>35073</v>
      </c>
      <c r="CL46" s="1" t="s">
        <v>35074</v>
      </c>
      <c r="CM46" s="1" t="s">
        <v>35075</v>
      </c>
      <c r="CN46" s="1" t="s">
        <v>35076</v>
      </c>
      <c r="CO46" s="1" t="s">
        <v>35077</v>
      </c>
      <c r="CP46" s="1" t="s">
        <v>35078</v>
      </c>
      <c r="CQ46" s="1" t="s">
        <v>35079</v>
      </c>
      <c r="CR46" s="1" t="s">
        <v>35080</v>
      </c>
      <c r="CS46" s="1" t="s">
        <v>35081</v>
      </c>
      <c r="CT46" s="1" t="s">
        <v>35082</v>
      </c>
      <c r="CU46" s="1" t="s">
        <v>35083</v>
      </c>
      <c r="CV46" s="1" t="s">
        <v>35084</v>
      </c>
      <c r="CW46" s="1" t="s">
        <v>35085</v>
      </c>
      <c r="CX46" s="1" t="s">
        <v>35086</v>
      </c>
      <c r="CY46" s="1" t="s">
        <v>35087</v>
      </c>
      <c r="CZ46" s="1" t="s">
        <v>35088</v>
      </c>
      <c r="DA46" s="1" t="s">
        <v>35089</v>
      </c>
      <c r="DB46" s="1" t="s">
        <v>35090</v>
      </c>
      <c r="DC46" s="1" t="s">
        <v>35091</v>
      </c>
      <c r="DD46" s="1" t="s">
        <v>35092</v>
      </c>
      <c r="DE46" s="1" t="s">
        <v>35093</v>
      </c>
      <c r="DF46" s="1" t="s">
        <v>35094</v>
      </c>
      <c r="DG46" s="1" t="s">
        <v>35095</v>
      </c>
      <c r="DH46" s="1" t="s">
        <v>35096</v>
      </c>
      <c r="DI46" s="1" t="s">
        <v>35097</v>
      </c>
      <c r="DJ46" s="1" t="s">
        <v>35098</v>
      </c>
      <c r="DK46" s="1" t="s">
        <v>35099</v>
      </c>
      <c r="DL46" s="1" t="s">
        <v>35100</v>
      </c>
      <c r="DM46" s="1" t="s">
        <v>35101</v>
      </c>
      <c r="DN46" s="1" t="s">
        <v>35102</v>
      </c>
      <c r="DO46" s="1" t="s">
        <v>35103</v>
      </c>
      <c r="DP46" s="1" t="s">
        <v>35104</v>
      </c>
      <c r="DQ46" s="1" t="s">
        <v>35105</v>
      </c>
      <c r="DR46" s="1" t="s">
        <v>35106</v>
      </c>
      <c r="DS46" s="1" t="s">
        <v>35107</v>
      </c>
      <c r="DT46" s="1" t="s">
        <v>35108</v>
      </c>
      <c r="DU46" s="1" t="s">
        <v>35109</v>
      </c>
      <c r="DV46" s="1" t="s">
        <v>35110</v>
      </c>
      <c r="DW46" s="1" t="s">
        <v>35111</v>
      </c>
      <c r="DX46" s="1" t="s">
        <v>35112</v>
      </c>
      <c r="DY46" s="1" t="s">
        <v>35113</v>
      </c>
      <c r="DZ46" s="1" t="s">
        <v>35114</v>
      </c>
      <c r="EA46" s="1" t="s">
        <v>35115</v>
      </c>
      <c r="EB46" s="1" t="s">
        <v>35116</v>
      </c>
      <c r="EC46" s="1" t="s">
        <v>35117</v>
      </c>
      <c r="ED46" s="1" t="s">
        <v>35118</v>
      </c>
      <c r="EE46" s="1" t="s">
        <v>35119</v>
      </c>
      <c r="EF46" s="1" t="s">
        <v>35120</v>
      </c>
      <c r="EG46" s="1" t="s">
        <v>35121</v>
      </c>
      <c r="EH46" s="1" t="s">
        <v>35122</v>
      </c>
      <c r="EI46" s="1" t="s">
        <v>35123</v>
      </c>
      <c r="EJ46" s="1" t="s">
        <v>35124</v>
      </c>
      <c r="EK46" s="1" t="s">
        <v>35125</v>
      </c>
      <c r="EL46" s="1" t="s">
        <v>35126</v>
      </c>
      <c r="EM46" s="1" t="s">
        <v>35127</v>
      </c>
      <c r="EN46" s="1" t="s">
        <v>35128</v>
      </c>
      <c r="EO46" s="1" t="s">
        <v>35129</v>
      </c>
      <c r="EP46" s="1" t="s">
        <v>35130</v>
      </c>
      <c r="EQ46" s="1" t="s">
        <v>35131</v>
      </c>
      <c r="ER46" s="1" t="s">
        <v>35132</v>
      </c>
      <c r="ES46" s="1" t="s">
        <v>35133</v>
      </c>
      <c r="ET46" s="1" t="s">
        <v>35134</v>
      </c>
      <c r="EU46" s="1" t="s">
        <v>35135</v>
      </c>
      <c r="EV46" s="1" t="s">
        <v>35136</v>
      </c>
      <c r="EW46" s="1" t="s">
        <v>35137</v>
      </c>
      <c r="EX46" s="1" t="s">
        <v>35138</v>
      </c>
      <c r="EY46" s="1" t="s">
        <v>35139</v>
      </c>
      <c r="EZ46" s="1" t="s">
        <v>35140</v>
      </c>
      <c r="FA46" s="1" t="s">
        <v>35141</v>
      </c>
      <c r="FB46" s="1" t="s">
        <v>35142</v>
      </c>
      <c r="FC46" s="1" t="s">
        <v>35143</v>
      </c>
      <c r="FD46" s="1" t="s">
        <v>35144</v>
      </c>
      <c r="FE46" s="1" t="s">
        <v>35145</v>
      </c>
      <c r="FF46" s="1" t="s">
        <v>35146</v>
      </c>
      <c r="FG46" s="1" t="s">
        <v>35147</v>
      </c>
      <c r="FH46" s="1" t="s">
        <v>35148</v>
      </c>
      <c r="FI46" s="1" t="s">
        <v>35149</v>
      </c>
      <c r="FJ46" s="1" t="s">
        <v>35150</v>
      </c>
      <c r="FK46" s="1" t="s">
        <v>35151</v>
      </c>
      <c r="FL46" s="1" t="s">
        <v>35152</v>
      </c>
      <c r="FM46" s="1" t="s">
        <v>35153</v>
      </c>
      <c r="FN46" s="1" t="s">
        <v>35154</v>
      </c>
      <c r="FO46" s="1" t="s">
        <v>35155</v>
      </c>
      <c r="FP46" s="1" t="s">
        <v>35156</v>
      </c>
      <c r="FQ46" s="1" t="s">
        <v>35157</v>
      </c>
      <c r="FR46" s="1" t="s">
        <v>35158</v>
      </c>
      <c r="FS46" s="1" t="s">
        <v>35159</v>
      </c>
      <c r="FT46" s="1" t="s">
        <v>35160</v>
      </c>
      <c r="FU46" s="1" t="s">
        <v>35161</v>
      </c>
      <c r="FV46" s="1" t="s">
        <v>35162</v>
      </c>
      <c r="FW46" s="1" t="s">
        <v>35163</v>
      </c>
      <c r="FX46" s="1" t="s">
        <v>35164</v>
      </c>
      <c r="FY46" s="1" t="s">
        <v>35165</v>
      </c>
      <c r="FZ46" s="1" t="s">
        <v>35166</v>
      </c>
      <c r="GA46" s="1" t="s">
        <v>35167</v>
      </c>
      <c r="GB46" s="1" t="s">
        <v>35168</v>
      </c>
      <c r="GC46" s="1" t="s">
        <v>35169</v>
      </c>
      <c r="GD46" s="1" t="s">
        <v>35170</v>
      </c>
      <c r="GE46" s="1" t="s">
        <v>35171</v>
      </c>
      <c r="GF46" s="1" t="s">
        <v>35172</v>
      </c>
      <c r="GG46" s="1" t="s">
        <v>35173</v>
      </c>
      <c r="GH46" s="1" t="s">
        <v>35174</v>
      </c>
      <c r="GI46" s="1" t="s">
        <v>35175</v>
      </c>
      <c r="GJ46" s="1" t="s">
        <v>35176</v>
      </c>
      <c r="GK46" s="1" t="s">
        <v>35177</v>
      </c>
      <c r="GL46" s="1" t="s">
        <v>35178</v>
      </c>
      <c r="GM46" s="1" t="s">
        <v>35179</v>
      </c>
      <c r="GN46" s="1" t="s">
        <v>35180</v>
      </c>
      <c r="GO46" s="1" t="s">
        <v>35181</v>
      </c>
      <c r="GP46" s="1" t="s">
        <v>35182</v>
      </c>
      <c r="GQ46" s="1" t="s">
        <v>35183</v>
      </c>
      <c r="GR46" s="1" t="s">
        <v>35184</v>
      </c>
      <c r="GS46" s="1" t="s">
        <v>35185</v>
      </c>
      <c r="GT46" s="1" t="s">
        <v>35186</v>
      </c>
      <c r="GU46" s="1" t="s">
        <v>35187</v>
      </c>
      <c r="GV46" s="1" t="s">
        <v>35188</v>
      </c>
      <c r="GW46" s="1" t="s">
        <v>35189</v>
      </c>
      <c r="GX46" s="1" t="s">
        <v>35190</v>
      </c>
      <c r="GY46" s="1" t="s">
        <v>35191</v>
      </c>
      <c r="GZ46" s="1" t="s">
        <v>35192</v>
      </c>
      <c r="HA46" s="1" t="s">
        <v>35193</v>
      </c>
      <c r="HB46" s="1" t="s">
        <v>35194</v>
      </c>
      <c r="HC46" s="1" t="s">
        <v>35195</v>
      </c>
      <c r="HD46" s="1" t="s">
        <v>35196</v>
      </c>
      <c r="HE46" s="1" t="s">
        <v>35197</v>
      </c>
      <c r="HF46" s="1" t="s">
        <v>35198</v>
      </c>
      <c r="HG46" s="1" t="s">
        <v>35199</v>
      </c>
      <c r="HH46" s="1" t="s">
        <v>35200</v>
      </c>
      <c r="HI46" s="1" t="s">
        <v>35201</v>
      </c>
      <c r="HJ46" s="1" t="s">
        <v>35202</v>
      </c>
      <c r="HK46" s="1" t="s">
        <v>35203</v>
      </c>
      <c r="HL46" s="1" t="s">
        <v>35204</v>
      </c>
      <c r="HM46" s="1" t="s">
        <v>35205</v>
      </c>
      <c r="HN46" s="1" t="s">
        <v>35206</v>
      </c>
      <c r="HO46" s="1" t="s">
        <v>35207</v>
      </c>
      <c r="HP46" s="1" t="s">
        <v>35208</v>
      </c>
      <c r="HQ46" s="1" t="s">
        <v>35209</v>
      </c>
      <c r="HR46" s="1" t="s">
        <v>35210</v>
      </c>
      <c r="HS46" s="1" t="s">
        <v>35211</v>
      </c>
      <c r="HT46" s="1" t="s">
        <v>35212</v>
      </c>
      <c r="HU46" s="1" t="s">
        <v>35213</v>
      </c>
      <c r="HV46" s="1" t="s">
        <v>35214</v>
      </c>
      <c r="HW46" s="1" t="s">
        <v>35215</v>
      </c>
      <c r="HX46" s="1" t="s">
        <v>35216</v>
      </c>
      <c r="HY46" s="1" t="s">
        <v>35217</v>
      </c>
      <c r="HZ46" s="1" t="s">
        <v>35218</v>
      </c>
      <c r="IA46" s="1" t="s">
        <v>35219</v>
      </c>
      <c r="IB46" s="1" t="s">
        <v>35220</v>
      </c>
      <c r="IC46" s="1" t="s">
        <v>35221</v>
      </c>
      <c r="ID46" s="1" t="s">
        <v>35222</v>
      </c>
      <c r="IE46" s="1" t="s">
        <v>35223</v>
      </c>
      <c r="IF46" s="1" t="s">
        <v>35224</v>
      </c>
      <c r="IG46" s="1" t="s">
        <v>35225</v>
      </c>
      <c r="IH46" s="1" t="s">
        <v>35226</v>
      </c>
      <c r="II46" s="1" t="s">
        <v>35227</v>
      </c>
      <c r="IJ46" s="1" t="s">
        <v>35228</v>
      </c>
      <c r="IK46" s="1" t="s">
        <v>35229</v>
      </c>
      <c r="IL46" s="1" t="s">
        <v>35230</v>
      </c>
      <c r="IM46" s="1" t="s">
        <v>35231</v>
      </c>
      <c r="IN46" s="1" t="s">
        <v>35232</v>
      </c>
      <c r="IO46" s="1" t="s">
        <v>35233</v>
      </c>
      <c r="IP46" s="1" t="s">
        <v>35234</v>
      </c>
      <c r="IQ46" s="1" t="s">
        <v>35235</v>
      </c>
      <c r="IR46" s="1" t="s">
        <v>35236</v>
      </c>
      <c r="IS46" s="1" t="s">
        <v>35237</v>
      </c>
      <c r="IT46" s="1" t="s">
        <v>35238</v>
      </c>
      <c r="IU46" s="1" t="s">
        <v>35239</v>
      </c>
      <c r="IV46" s="1" t="s">
        <v>35240</v>
      </c>
      <c r="IW46" s="1" t="s">
        <v>35241</v>
      </c>
      <c r="IX46" s="1" t="s">
        <v>35242</v>
      </c>
      <c r="IY46" s="1" t="s">
        <v>35243</v>
      </c>
      <c r="IZ46" s="1" t="s">
        <v>35244</v>
      </c>
      <c r="JA46" s="1" t="s">
        <v>35245</v>
      </c>
      <c r="JB46" s="1" t="s">
        <v>35246</v>
      </c>
      <c r="JC46" s="1" t="s">
        <v>35247</v>
      </c>
      <c r="JD46" s="1" t="s">
        <v>35248</v>
      </c>
      <c r="JE46" s="1" t="s">
        <v>35249</v>
      </c>
      <c r="JF46" s="1" t="s">
        <v>35250</v>
      </c>
      <c r="JG46" s="1" t="s">
        <v>35251</v>
      </c>
      <c r="JH46" s="1" t="s">
        <v>35252</v>
      </c>
      <c r="JI46" s="1" t="s">
        <v>35253</v>
      </c>
      <c r="JJ46" s="1" t="s">
        <v>35254</v>
      </c>
      <c r="JK46" s="1" t="s">
        <v>35255</v>
      </c>
      <c r="JL46" s="1" t="s">
        <v>35256</v>
      </c>
      <c r="JM46" s="1" t="s">
        <v>35257</v>
      </c>
      <c r="JN46" s="1" t="s">
        <v>35258</v>
      </c>
      <c r="JO46" s="1" t="s">
        <v>35259</v>
      </c>
      <c r="JP46" s="1" t="s">
        <v>35260</v>
      </c>
      <c r="JQ46" s="1" t="s">
        <v>35261</v>
      </c>
      <c r="JR46" s="1" t="s">
        <v>35262</v>
      </c>
      <c r="JS46" s="1" t="s">
        <v>35263</v>
      </c>
      <c r="JT46" s="1" t="s">
        <v>35264</v>
      </c>
      <c r="JU46" s="1" t="s">
        <v>35265</v>
      </c>
      <c r="JV46" s="1" t="s">
        <v>35266</v>
      </c>
      <c r="JW46" s="1" t="s">
        <v>35267</v>
      </c>
      <c r="JX46" s="1" t="s">
        <v>35268</v>
      </c>
      <c r="JY46" s="1" t="s">
        <v>35269</v>
      </c>
      <c r="JZ46" s="1" t="s">
        <v>35270</v>
      </c>
      <c r="KA46" s="1" t="s">
        <v>35271</v>
      </c>
      <c r="KB46" s="1" t="s">
        <v>35272</v>
      </c>
      <c r="KC46" s="1" t="s">
        <v>35273</v>
      </c>
      <c r="KD46" s="1" t="s">
        <v>35274</v>
      </c>
      <c r="KE46" s="1" t="s">
        <v>35275</v>
      </c>
      <c r="KF46" s="1" t="s">
        <v>35276</v>
      </c>
      <c r="KG46" s="1" t="s">
        <v>35277</v>
      </c>
      <c r="KH46" s="1" t="s">
        <v>35278</v>
      </c>
      <c r="KI46" s="1" t="s">
        <v>35279</v>
      </c>
      <c r="KJ46" s="1" t="s">
        <v>35280</v>
      </c>
      <c r="KK46" s="1" t="s">
        <v>35281</v>
      </c>
      <c r="KL46" s="1" t="s">
        <v>35282</v>
      </c>
      <c r="KM46" s="1" t="s">
        <v>35283</v>
      </c>
      <c r="KN46" s="1" t="s">
        <v>35284</v>
      </c>
      <c r="KO46" s="1" t="s">
        <v>35285</v>
      </c>
      <c r="KP46" s="1" t="s">
        <v>35286</v>
      </c>
      <c r="KQ46" s="1" t="s">
        <v>35287</v>
      </c>
      <c r="KR46" s="1" t="s">
        <v>35288</v>
      </c>
      <c r="KS46" s="1" t="s">
        <v>35289</v>
      </c>
      <c r="KT46" s="1" t="s">
        <v>35290</v>
      </c>
      <c r="KU46" s="1" t="s">
        <v>35291</v>
      </c>
      <c r="KV46" s="1" t="s">
        <v>35292</v>
      </c>
      <c r="KW46" s="1" t="s">
        <v>35293</v>
      </c>
      <c r="KX46" s="1" t="s">
        <v>35294</v>
      </c>
      <c r="KY46" s="1" t="s">
        <v>35295</v>
      </c>
      <c r="KZ46" s="1" t="s">
        <v>35296</v>
      </c>
      <c r="LA46" s="1" t="s">
        <v>35297</v>
      </c>
      <c r="LB46" s="1" t="s">
        <v>35298</v>
      </c>
      <c r="LC46" s="1" t="s">
        <v>35299</v>
      </c>
      <c r="LD46" s="1" t="s">
        <v>35300</v>
      </c>
      <c r="LE46" s="1" t="s">
        <v>35301</v>
      </c>
      <c r="LF46" s="1" t="s">
        <v>35302</v>
      </c>
      <c r="LG46" s="1" t="s">
        <v>35303</v>
      </c>
      <c r="LH46" s="1" t="s">
        <v>35304</v>
      </c>
      <c r="LI46" s="1" t="s">
        <v>35305</v>
      </c>
      <c r="LJ46" s="1" t="s">
        <v>35306</v>
      </c>
      <c r="LK46" s="1" t="s">
        <v>35307</v>
      </c>
      <c r="LL46" s="1" t="s">
        <v>35308</v>
      </c>
      <c r="LM46" s="1" t="s">
        <v>35309</v>
      </c>
      <c r="LN46" s="1" t="s">
        <v>35310</v>
      </c>
      <c r="LO46" s="1" t="s">
        <v>35311</v>
      </c>
      <c r="LP46" s="1" t="s">
        <v>35312</v>
      </c>
      <c r="LQ46" s="1" t="s">
        <v>35313</v>
      </c>
      <c r="LR46" s="1" t="s">
        <v>35314</v>
      </c>
      <c r="LS46" s="1" t="s">
        <v>35315</v>
      </c>
      <c r="LT46" s="1" t="s">
        <v>35316</v>
      </c>
      <c r="LU46" s="1" t="s">
        <v>35317</v>
      </c>
      <c r="LV46" s="1" t="s">
        <v>35318</v>
      </c>
      <c r="LW46" s="1" t="s">
        <v>35319</v>
      </c>
      <c r="LX46" s="1" t="s">
        <v>35320</v>
      </c>
      <c r="LY46" s="1" t="s">
        <v>35321</v>
      </c>
      <c r="LZ46" s="1" t="s">
        <v>35322</v>
      </c>
      <c r="MA46" s="1" t="s">
        <v>35323</v>
      </c>
      <c r="MB46" s="1" t="s">
        <v>35324</v>
      </c>
      <c r="MC46" s="1" t="s">
        <v>35325</v>
      </c>
      <c r="MD46" s="1" t="s">
        <v>35326</v>
      </c>
      <c r="ME46" s="1" t="s">
        <v>35327</v>
      </c>
      <c r="MF46" s="1" t="s">
        <v>35328</v>
      </c>
      <c r="MG46" s="1" t="s">
        <v>35329</v>
      </c>
      <c r="MH46" s="1" t="s">
        <v>35330</v>
      </c>
      <c r="MI46" s="1" t="s">
        <v>35331</v>
      </c>
      <c r="MJ46" s="1" t="s">
        <v>35332</v>
      </c>
      <c r="MK46" s="1" t="s">
        <v>35333</v>
      </c>
      <c r="ML46" s="1" t="s">
        <v>35334</v>
      </c>
      <c r="MM46" s="1" t="s">
        <v>35335</v>
      </c>
      <c r="MN46" s="1" t="s">
        <v>35336</v>
      </c>
      <c r="MO46" s="1" t="s">
        <v>35337</v>
      </c>
      <c r="MP46" s="1" t="s">
        <v>35338</v>
      </c>
      <c r="MQ46" s="1" t="s">
        <v>35339</v>
      </c>
      <c r="MR46" s="1" t="s">
        <v>35340</v>
      </c>
      <c r="MS46" s="1" t="s">
        <v>35341</v>
      </c>
      <c r="MT46" s="1" t="s">
        <v>35342</v>
      </c>
      <c r="MU46" s="1" t="s">
        <v>35343</v>
      </c>
      <c r="MV46" s="1" t="s">
        <v>35344</v>
      </c>
      <c r="MW46" s="1" t="s">
        <v>35345</v>
      </c>
      <c r="MX46" s="1" t="s">
        <v>35346</v>
      </c>
      <c r="MY46" s="1" t="s">
        <v>35347</v>
      </c>
      <c r="MZ46" s="1" t="s">
        <v>35348</v>
      </c>
      <c r="NA46" s="1" t="s">
        <v>35349</v>
      </c>
      <c r="NB46" s="1" t="s">
        <v>35350</v>
      </c>
      <c r="NC46" s="1" t="s">
        <v>35351</v>
      </c>
      <c r="ND46" s="1" t="s">
        <v>35352</v>
      </c>
      <c r="NE46" s="1" t="s">
        <v>35353</v>
      </c>
      <c r="NF46" s="1" t="s">
        <v>35354</v>
      </c>
      <c r="NG46" s="1" t="s">
        <v>35355</v>
      </c>
      <c r="NH46" s="1" t="s">
        <v>35356</v>
      </c>
      <c r="NI46" s="1" t="s">
        <v>35357</v>
      </c>
      <c r="NJ46" s="1" t="s">
        <v>35358</v>
      </c>
      <c r="NK46" s="1" t="s">
        <v>35359</v>
      </c>
      <c r="NL46" s="1" t="s">
        <v>35360</v>
      </c>
      <c r="NM46" s="1" t="s">
        <v>35361</v>
      </c>
      <c r="NN46" s="1" t="s">
        <v>35362</v>
      </c>
      <c r="NO46" s="1" t="s">
        <v>35363</v>
      </c>
      <c r="NP46" s="1" t="s">
        <v>35364</v>
      </c>
      <c r="NQ46" s="1" t="s">
        <v>35365</v>
      </c>
      <c r="NR46" s="1" t="s">
        <v>35366</v>
      </c>
      <c r="NS46" s="1" t="s">
        <v>35367</v>
      </c>
      <c r="NT46" s="1" t="s">
        <v>35368</v>
      </c>
      <c r="NU46" s="1" t="s">
        <v>35369</v>
      </c>
      <c r="NV46" s="1" t="s">
        <v>35370</v>
      </c>
      <c r="NW46" s="1" t="s">
        <v>35371</v>
      </c>
      <c r="NX46" s="1" t="s">
        <v>35372</v>
      </c>
      <c r="NY46" s="1" t="s">
        <v>35373</v>
      </c>
      <c r="NZ46" s="1" t="s">
        <v>35374</v>
      </c>
      <c r="OA46" s="1" t="s">
        <v>35375</v>
      </c>
      <c r="OB46" s="1" t="s">
        <v>35376</v>
      </c>
      <c r="OC46" s="1" t="s">
        <v>35377</v>
      </c>
      <c r="OD46" s="1" t="s">
        <v>35378</v>
      </c>
      <c r="OE46" s="1" t="s">
        <v>35379</v>
      </c>
      <c r="OF46" s="1" t="s">
        <v>35380</v>
      </c>
      <c r="OG46" s="1" t="s">
        <v>35381</v>
      </c>
      <c r="OH46" s="1" t="s">
        <v>35382</v>
      </c>
      <c r="OI46" s="1" t="s">
        <v>35383</v>
      </c>
      <c r="OJ46" s="1" t="s">
        <v>35384</v>
      </c>
      <c r="OK46" s="1" t="s">
        <v>35385</v>
      </c>
      <c r="OL46" s="1" t="s">
        <v>35386</v>
      </c>
      <c r="OM46" s="1" t="s">
        <v>35387</v>
      </c>
      <c r="ON46" s="1" t="s">
        <v>35388</v>
      </c>
      <c r="OO46" s="1" t="s">
        <v>35389</v>
      </c>
      <c r="OP46" s="1" t="s">
        <v>35390</v>
      </c>
      <c r="OQ46" s="1" t="s">
        <v>35391</v>
      </c>
      <c r="OR46" s="1" t="s">
        <v>35392</v>
      </c>
      <c r="OS46" s="1" t="s">
        <v>35393</v>
      </c>
      <c r="OT46" s="1" t="s">
        <v>35394</v>
      </c>
      <c r="OU46" s="1" t="s">
        <v>35395</v>
      </c>
      <c r="OV46" s="1" t="s">
        <v>35396</v>
      </c>
      <c r="OW46" s="1" t="s">
        <v>35397</v>
      </c>
      <c r="OX46" s="1" t="s">
        <v>35398</v>
      </c>
      <c r="OY46" s="1" t="s">
        <v>35399</v>
      </c>
      <c r="OZ46" s="1" t="s">
        <v>35400</v>
      </c>
      <c r="PA46" s="1" t="s">
        <v>35401</v>
      </c>
      <c r="PB46" s="1" t="s">
        <v>35402</v>
      </c>
      <c r="PC46" s="1" t="s">
        <v>35403</v>
      </c>
      <c r="PD46" s="1" t="s">
        <v>35404</v>
      </c>
      <c r="PE46" s="1" t="s">
        <v>35405</v>
      </c>
      <c r="PF46" s="1" t="s">
        <v>35406</v>
      </c>
      <c r="PG46" s="1" t="s">
        <v>35407</v>
      </c>
      <c r="PH46" s="1" t="s">
        <v>35408</v>
      </c>
      <c r="PI46" s="1" t="s">
        <v>35409</v>
      </c>
      <c r="PJ46" s="1" t="s">
        <v>35410</v>
      </c>
      <c r="PK46" s="1" t="s">
        <v>35411</v>
      </c>
      <c r="PL46" s="1" t="s">
        <v>35412</v>
      </c>
      <c r="PM46" s="1" t="s">
        <v>35413</v>
      </c>
      <c r="PN46" s="1" t="s">
        <v>35414</v>
      </c>
      <c r="PO46" s="1" t="s">
        <v>35415</v>
      </c>
      <c r="PP46" s="1" t="s">
        <v>35416</v>
      </c>
      <c r="PQ46" s="1" t="s">
        <v>35417</v>
      </c>
      <c r="PR46" s="1" t="s">
        <v>35418</v>
      </c>
      <c r="PS46" s="1" t="s">
        <v>35419</v>
      </c>
      <c r="PT46" s="1" t="s">
        <v>35420</v>
      </c>
      <c r="PU46" s="1" t="s">
        <v>35421</v>
      </c>
      <c r="PV46" s="1" t="s">
        <v>35422</v>
      </c>
      <c r="PW46" s="1" t="s">
        <v>35423</v>
      </c>
      <c r="PX46" s="1" t="s">
        <v>35424</v>
      </c>
      <c r="PY46" s="1" t="s">
        <v>35425</v>
      </c>
      <c r="PZ46" s="1" t="s">
        <v>35426</v>
      </c>
      <c r="QA46" s="1" t="s">
        <v>35427</v>
      </c>
      <c r="QB46" s="1" t="s">
        <v>35428</v>
      </c>
      <c r="QC46" s="1" t="s">
        <v>35429</v>
      </c>
      <c r="QD46" s="1" t="s">
        <v>35430</v>
      </c>
      <c r="QE46" s="1" t="s">
        <v>35431</v>
      </c>
      <c r="QF46" s="1" t="s">
        <v>35432</v>
      </c>
      <c r="QG46" s="1" t="s">
        <v>35433</v>
      </c>
      <c r="QH46" s="1" t="s">
        <v>35434</v>
      </c>
      <c r="QI46" s="1" t="s">
        <v>35435</v>
      </c>
      <c r="QJ46" s="1" t="s">
        <v>35436</v>
      </c>
      <c r="QK46" s="1" t="s">
        <v>35437</v>
      </c>
      <c r="QL46" s="1" t="s">
        <v>35438</v>
      </c>
      <c r="QM46" s="1" t="s">
        <v>35439</v>
      </c>
      <c r="QN46" s="1" t="s">
        <v>35440</v>
      </c>
      <c r="QO46" s="1" t="s">
        <v>35441</v>
      </c>
      <c r="QP46" s="1" t="s">
        <v>35442</v>
      </c>
      <c r="QQ46" s="1" t="s">
        <v>35443</v>
      </c>
      <c r="QR46" s="1" t="s">
        <v>35444</v>
      </c>
      <c r="QS46" s="1" t="s">
        <v>35445</v>
      </c>
      <c r="QT46" s="1" t="s">
        <v>35446</v>
      </c>
      <c r="QU46" s="1" t="s">
        <v>35447</v>
      </c>
      <c r="QV46" s="1" t="s">
        <v>35448</v>
      </c>
      <c r="QW46" s="1" t="s">
        <v>35449</v>
      </c>
      <c r="QX46" s="1" t="s">
        <v>35450</v>
      </c>
      <c r="QY46" s="1" t="s">
        <v>35451</v>
      </c>
      <c r="QZ46" s="1" t="s">
        <v>35452</v>
      </c>
      <c r="RA46" s="1" t="s">
        <v>35453</v>
      </c>
      <c r="RB46" s="1" t="s">
        <v>35454</v>
      </c>
      <c r="RC46" s="1" t="s">
        <v>35455</v>
      </c>
      <c r="RD46" s="1" t="s">
        <v>35456</v>
      </c>
      <c r="RE46" s="1" t="s">
        <v>35457</v>
      </c>
      <c r="RF46" s="1" t="s">
        <v>35458</v>
      </c>
      <c r="RG46" s="1" t="s">
        <v>35459</v>
      </c>
      <c r="RH46" s="1" t="s">
        <v>35460</v>
      </c>
      <c r="RI46" s="1" t="s">
        <v>35461</v>
      </c>
      <c r="RJ46" s="1" t="s">
        <v>35462</v>
      </c>
      <c r="RK46" s="1" t="s">
        <v>35463</v>
      </c>
      <c r="RL46" s="1" t="s">
        <v>35464</v>
      </c>
      <c r="RM46" s="1" t="s">
        <v>35465</v>
      </c>
      <c r="RN46" s="1" t="s">
        <v>35466</v>
      </c>
      <c r="RO46" s="1" t="s">
        <v>35467</v>
      </c>
      <c r="RP46" s="1" t="s">
        <v>35468</v>
      </c>
      <c r="RQ46" s="1" t="s">
        <v>35469</v>
      </c>
      <c r="RR46" s="1" t="s">
        <v>35470</v>
      </c>
      <c r="RS46" s="1" t="s">
        <v>35471</v>
      </c>
      <c r="RT46" s="1" t="s">
        <v>35472</v>
      </c>
      <c r="RU46" s="1" t="s">
        <v>35473</v>
      </c>
      <c r="RV46" s="1" t="s">
        <v>35474</v>
      </c>
      <c r="RW46" s="1" t="s">
        <v>35475</v>
      </c>
      <c r="RX46" s="1" t="s">
        <v>35476</v>
      </c>
      <c r="RY46" s="1" t="s">
        <v>35477</v>
      </c>
      <c r="RZ46" s="1" t="s">
        <v>35478</v>
      </c>
      <c r="SA46" s="1" t="s">
        <v>35479</v>
      </c>
      <c r="SB46" s="1" t="s">
        <v>35480</v>
      </c>
      <c r="SC46" s="1" t="s">
        <v>35481</v>
      </c>
      <c r="SD46" s="1" t="s">
        <v>35482</v>
      </c>
      <c r="SE46" s="1" t="s">
        <v>35483</v>
      </c>
      <c r="SF46" s="1" t="s">
        <v>35484</v>
      </c>
      <c r="SG46" s="1" t="s">
        <v>35485</v>
      </c>
      <c r="SH46" s="1" t="s">
        <v>35486</v>
      </c>
      <c r="SI46" s="1" t="s">
        <v>35487</v>
      </c>
      <c r="SJ46" s="1" t="s">
        <v>35488</v>
      </c>
      <c r="SK46" s="1" t="s">
        <v>35489</v>
      </c>
      <c r="SL46" s="1" t="s">
        <v>35490</v>
      </c>
      <c r="SM46" s="1" t="s">
        <v>35491</v>
      </c>
      <c r="SN46" s="1" t="s">
        <v>35492</v>
      </c>
      <c r="SO46" s="1" t="s">
        <v>35493</v>
      </c>
      <c r="SP46" s="1" t="s">
        <v>35494</v>
      </c>
      <c r="SQ46" s="1" t="s">
        <v>35495</v>
      </c>
      <c r="SR46" s="1" t="s">
        <v>35496</v>
      </c>
      <c r="SS46" s="1" t="s">
        <v>35497</v>
      </c>
      <c r="ST46" s="1" t="s">
        <v>35498</v>
      </c>
      <c r="SU46" s="1" t="s">
        <v>35499</v>
      </c>
      <c r="SV46" s="1" t="s">
        <v>35500</v>
      </c>
      <c r="SW46" s="1" t="s">
        <v>35501</v>
      </c>
      <c r="SX46" s="1" t="s">
        <v>35502</v>
      </c>
      <c r="SY46" s="1" t="s">
        <v>35503</v>
      </c>
      <c r="SZ46" s="1" t="s">
        <v>35504</v>
      </c>
      <c r="TA46" s="1" t="s">
        <v>35505</v>
      </c>
      <c r="TB46" s="1" t="s">
        <v>35506</v>
      </c>
      <c r="TC46" s="1" t="s">
        <v>35507</v>
      </c>
      <c r="TD46" s="1" t="s">
        <v>35508</v>
      </c>
      <c r="TE46" s="1" t="s">
        <v>35509</v>
      </c>
      <c r="TF46" s="1" t="s">
        <v>35510</v>
      </c>
      <c r="TG46" s="1" t="s">
        <v>35511</v>
      </c>
      <c r="TH46" s="1" t="s">
        <v>35512</v>
      </c>
      <c r="TI46" s="1" t="s">
        <v>35513</v>
      </c>
      <c r="TJ46" s="1" t="s">
        <v>35514</v>
      </c>
      <c r="TK46" s="1" t="s">
        <v>35515</v>
      </c>
      <c r="TL46" s="1" t="s">
        <v>35516</v>
      </c>
      <c r="TM46" s="1" t="s">
        <v>35517</v>
      </c>
      <c r="TN46" s="1" t="s">
        <v>35518</v>
      </c>
      <c r="TO46" s="1" t="s">
        <v>35519</v>
      </c>
      <c r="TP46" s="1" t="s">
        <v>35520</v>
      </c>
      <c r="TQ46" s="1" t="s">
        <v>35521</v>
      </c>
      <c r="TR46" s="1" t="s">
        <v>35522</v>
      </c>
      <c r="TS46" s="1" t="s">
        <v>35523</v>
      </c>
      <c r="TT46" s="1" t="s">
        <v>35524</v>
      </c>
      <c r="TU46" s="1" t="s">
        <v>35525</v>
      </c>
      <c r="TV46" s="1" t="s">
        <v>35526</v>
      </c>
      <c r="TW46" s="1" t="s">
        <v>35527</v>
      </c>
      <c r="TX46" s="1" t="s">
        <v>35528</v>
      </c>
      <c r="TY46" s="1" t="s">
        <v>35529</v>
      </c>
      <c r="TZ46" s="1" t="s">
        <v>35530</v>
      </c>
      <c r="UA46" s="1" t="s">
        <v>35531</v>
      </c>
      <c r="UB46" s="1" t="s">
        <v>35532</v>
      </c>
      <c r="UC46" s="1" t="s">
        <v>35533</v>
      </c>
      <c r="UD46" s="1" t="s">
        <v>35534</v>
      </c>
      <c r="UE46" s="1" t="s">
        <v>35535</v>
      </c>
      <c r="UF46" s="1" t="s">
        <v>35536</v>
      </c>
      <c r="UG46" s="1" t="s">
        <v>35537</v>
      </c>
      <c r="UH46" s="1" t="s">
        <v>35538</v>
      </c>
      <c r="UI46" s="1" t="s">
        <v>35539</v>
      </c>
      <c r="UJ46" s="1" t="s">
        <v>35540</v>
      </c>
      <c r="UK46" s="1" t="s">
        <v>35541</v>
      </c>
      <c r="UL46" s="1" t="s">
        <v>35542</v>
      </c>
      <c r="UM46" s="1" t="s">
        <v>35543</v>
      </c>
      <c r="UN46" s="1" t="s">
        <v>35544</v>
      </c>
      <c r="UO46" s="1" t="s">
        <v>35545</v>
      </c>
      <c r="UP46" s="1" t="s">
        <v>35546</v>
      </c>
      <c r="UQ46" s="1" t="s">
        <v>35547</v>
      </c>
      <c r="UR46" s="1" t="s">
        <v>35548</v>
      </c>
      <c r="US46" s="1" t="s">
        <v>35549</v>
      </c>
      <c r="UT46" s="1" t="s">
        <v>35550</v>
      </c>
      <c r="UU46" s="1" t="s">
        <v>35551</v>
      </c>
      <c r="UV46" s="1" t="s">
        <v>35552</v>
      </c>
      <c r="UW46" s="1" t="s">
        <v>35553</v>
      </c>
      <c r="UX46" s="1" t="s">
        <v>35554</v>
      </c>
      <c r="UY46" s="1" t="s">
        <v>35555</v>
      </c>
      <c r="UZ46" s="1" t="s">
        <v>35556</v>
      </c>
      <c r="VA46" s="1" t="s">
        <v>35557</v>
      </c>
      <c r="VB46" s="1" t="s">
        <v>35558</v>
      </c>
      <c r="VC46" s="1" t="s">
        <v>35559</v>
      </c>
      <c r="VD46" s="1" t="s">
        <v>35560</v>
      </c>
      <c r="VE46" s="1" t="s">
        <v>35561</v>
      </c>
      <c r="VF46" s="1" t="s">
        <v>35562</v>
      </c>
      <c r="VG46" s="1" t="s">
        <v>35563</v>
      </c>
      <c r="VH46" s="1" t="s">
        <v>35564</v>
      </c>
      <c r="VI46" s="1" t="s">
        <v>35565</v>
      </c>
      <c r="VJ46" s="1" t="s">
        <v>35566</v>
      </c>
      <c r="VK46" s="1" t="s">
        <v>35567</v>
      </c>
      <c r="VL46" s="1" t="s">
        <v>35568</v>
      </c>
      <c r="VM46" s="1" t="s">
        <v>35569</v>
      </c>
      <c r="VN46" s="1" t="s">
        <v>35570</v>
      </c>
      <c r="VO46" s="1" t="s">
        <v>35571</v>
      </c>
      <c r="VP46" s="1" t="s">
        <v>35572</v>
      </c>
      <c r="VQ46" s="1" t="s">
        <v>35573</v>
      </c>
      <c r="VR46" s="1" t="s">
        <v>35574</v>
      </c>
      <c r="VS46" s="1" t="s">
        <v>35575</v>
      </c>
      <c r="VT46" s="1" t="s">
        <v>35576</v>
      </c>
      <c r="VU46" s="1" t="s">
        <v>35577</v>
      </c>
      <c r="VV46" s="1" t="s">
        <v>35578</v>
      </c>
      <c r="VW46" s="1" t="s">
        <v>35579</v>
      </c>
      <c r="VX46" s="1" t="s">
        <v>35580</v>
      </c>
      <c r="VY46" s="1" t="s">
        <v>35581</v>
      </c>
      <c r="VZ46" s="1" t="s">
        <v>35582</v>
      </c>
      <c r="WA46" s="1" t="s">
        <v>35583</v>
      </c>
      <c r="WB46" s="1" t="s">
        <v>35584</v>
      </c>
      <c r="WC46" s="1" t="s">
        <v>35585</v>
      </c>
      <c r="WD46" s="1" t="s">
        <v>35586</v>
      </c>
      <c r="WE46" s="1" t="s">
        <v>35587</v>
      </c>
      <c r="WF46" s="1" t="s">
        <v>35588</v>
      </c>
      <c r="WG46" s="1" t="s">
        <v>35589</v>
      </c>
      <c r="WH46" s="1" t="s">
        <v>35590</v>
      </c>
      <c r="WI46" s="1" t="s">
        <v>35591</v>
      </c>
      <c r="WJ46" s="1" t="s">
        <v>35592</v>
      </c>
      <c r="WK46" s="1" t="s">
        <v>35593</v>
      </c>
      <c r="WL46" s="1" t="s">
        <v>35594</v>
      </c>
      <c r="WM46" s="1" t="s">
        <v>35595</v>
      </c>
      <c r="WN46" s="1" t="s">
        <v>35596</v>
      </c>
      <c r="WO46" s="1" t="s">
        <v>35597</v>
      </c>
      <c r="WP46" s="1" t="s">
        <v>35598</v>
      </c>
      <c r="WQ46" s="1" t="s">
        <v>35599</v>
      </c>
      <c r="WR46" s="1" t="s">
        <v>35600</v>
      </c>
      <c r="WS46" s="1" t="s">
        <v>35601</v>
      </c>
      <c r="WT46" s="1" t="s">
        <v>35602</v>
      </c>
      <c r="WU46" s="1" t="s">
        <v>35603</v>
      </c>
      <c r="WV46" s="1" t="s">
        <v>35604</v>
      </c>
      <c r="WW46" s="1" t="s">
        <v>35605</v>
      </c>
      <c r="WX46" s="1" t="s">
        <v>35606</v>
      </c>
      <c r="WY46" s="1" t="s">
        <v>35607</v>
      </c>
      <c r="WZ46" s="1" t="s">
        <v>35608</v>
      </c>
      <c r="XA46" s="1" t="s">
        <v>35609</v>
      </c>
      <c r="XB46" s="1" t="s">
        <v>35610</v>
      </c>
      <c r="XC46" s="1" t="s">
        <v>35611</v>
      </c>
      <c r="XD46" s="1" t="s">
        <v>35612</v>
      </c>
      <c r="XE46" s="1" t="s">
        <v>35613</v>
      </c>
      <c r="XF46" s="1" t="s">
        <v>35614</v>
      </c>
      <c r="XG46" s="1" t="s">
        <v>35615</v>
      </c>
      <c r="XH46" s="1" t="s">
        <v>35616</v>
      </c>
      <c r="XI46" s="1" t="s">
        <v>35617</v>
      </c>
      <c r="XJ46" s="1" t="s">
        <v>35618</v>
      </c>
      <c r="XK46" s="1" t="s">
        <v>35619</v>
      </c>
      <c r="XL46" s="1" t="s">
        <v>35620</v>
      </c>
      <c r="XM46" s="1" t="s">
        <v>35621</v>
      </c>
      <c r="XN46" s="1" t="s">
        <v>35622</v>
      </c>
      <c r="XO46" s="1" t="s">
        <v>35623</v>
      </c>
      <c r="XP46" s="1" t="s">
        <v>35624</v>
      </c>
      <c r="XQ46" s="1" t="s">
        <v>35625</v>
      </c>
      <c r="XR46" s="1" t="s">
        <v>35626</v>
      </c>
      <c r="XS46" s="1" t="s">
        <v>35627</v>
      </c>
      <c r="XT46" s="1" t="s">
        <v>35628</v>
      </c>
      <c r="XU46" s="1" t="s">
        <v>35629</v>
      </c>
      <c r="XV46" s="1" t="s">
        <v>35630</v>
      </c>
      <c r="XW46" s="1" t="s">
        <v>35631</v>
      </c>
      <c r="XX46" s="1" t="s">
        <v>35632</v>
      </c>
      <c r="XY46" s="1" t="s">
        <v>35633</v>
      </c>
      <c r="XZ46" s="1" t="s">
        <v>35634</v>
      </c>
      <c r="YA46" s="1" t="s">
        <v>35635</v>
      </c>
      <c r="YB46" s="1" t="s">
        <v>35636</v>
      </c>
      <c r="YC46" s="1" t="s">
        <v>35637</v>
      </c>
      <c r="YD46" s="1" t="s">
        <v>35638</v>
      </c>
      <c r="YE46" s="1" t="s">
        <v>35639</v>
      </c>
      <c r="YF46" s="1" t="s">
        <v>35640</v>
      </c>
      <c r="YG46" s="1" t="s">
        <v>35641</v>
      </c>
      <c r="YH46" s="1" t="s">
        <v>35642</v>
      </c>
      <c r="YI46" s="1" t="s">
        <v>35643</v>
      </c>
      <c r="YJ46" s="1" t="s">
        <v>35644</v>
      </c>
      <c r="YK46" s="1" t="s">
        <v>35645</v>
      </c>
      <c r="YL46" s="1" t="s">
        <v>35646</v>
      </c>
      <c r="YM46" s="1" t="s">
        <v>35647</v>
      </c>
      <c r="YN46" s="1" t="s">
        <v>35648</v>
      </c>
      <c r="YO46" s="1" t="s">
        <v>35649</v>
      </c>
      <c r="YP46" s="1" t="s">
        <v>35650</v>
      </c>
      <c r="YQ46" s="1" t="s">
        <v>35651</v>
      </c>
      <c r="YR46" s="1" t="s">
        <v>35652</v>
      </c>
      <c r="YS46" s="1" t="s">
        <v>35653</v>
      </c>
      <c r="YT46" s="1" t="s">
        <v>35654</v>
      </c>
      <c r="YU46" s="1" t="s">
        <v>35655</v>
      </c>
      <c r="YV46" s="1" t="s">
        <v>35656</v>
      </c>
      <c r="YW46" s="1" t="s">
        <v>35657</v>
      </c>
      <c r="YX46" s="1" t="s">
        <v>35658</v>
      </c>
      <c r="YY46" s="1" t="s">
        <v>35659</v>
      </c>
      <c r="YZ46" s="1" t="s">
        <v>35660</v>
      </c>
      <c r="ZA46" s="1" t="s">
        <v>35661</v>
      </c>
      <c r="ZB46" s="1" t="s">
        <v>35662</v>
      </c>
      <c r="ZC46" s="1" t="s">
        <v>35663</v>
      </c>
      <c r="ZD46" s="1" t="s">
        <v>35664</v>
      </c>
      <c r="ZE46" s="1" t="s">
        <v>35665</v>
      </c>
      <c r="ZF46" s="1" t="s">
        <v>35666</v>
      </c>
      <c r="ZG46" s="1" t="s">
        <v>35667</v>
      </c>
      <c r="ZH46" s="1" t="s">
        <v>35668</v>
      </c>
      <c r="ZI46" s="1" t="s">
        <v>35669</v>
      </c>
      <c r="ZJ46" s="1" t="s">
        <v>35670</v>
      </c>
      <c r="ZK46" s="1" t="s">
        <v>35671</v>
      </c>
      <c r="ZL46" s="1" t="s">
        <v>35672</v>
      </c>
      <c r="ZM46" s="1" t="s">
        <v>35673</v>
      </c>
      <c r="ZN46" s="1" t="s">
        <v>35674</v>
      </c>
      <c r="ZO46" s="1" t="s">
        <v>35675</v>
      </c>
      <c r="ZP46" s="1" t="s">
        <v>35676</v>
      </c>
      <c r="ZQ46" s="1" t="s">
        <v>35677</v>
      </c>
      <c r="ZR46" s="1" t="s">
        <v>35678</v>
      </c>
      <c r="ZS46" s="1" t="s">
        <v>35679</v>
      </c>
      <c r="ZT46" s="1" t="s">
        <v>35680</v>
      </c>
      <c r="ZU46" s="1" t="s">
        <v>35681</v>
      </c>
      <c r="ZV46" s="1" t="s">
        <v>35682</v>
      </c>
      <c r="ZW46" s="1" t="s">
        <v>35683</v>
      </c>
      <c r="ZX46" s="1" t="s">
        <v>35684</v>
      </c>
      <c r="ZY46" s="1" t="s">
        <v>35685</v>
      </c>
      <c r="ZZ46" s="1" t="s">
        <v>35686</v>
      </c>
      <c r="AAA46" s="1" t="s">
        <v>35687</v>
      </c>
      <c r="AAB46" s="1" t="s">
        <v>35688</v>
      </c>
      <c r="AAC46" s="1" t="s">
        <v>35689</v>
      </c>
      <c r="AAD46" s="1" t="s">
        <v>35690</v>
      </c>
      <c r="AAE46" s="1" t="s">
        <v>35691</v>
      </c>
      <c r="AAF46" s="1" t="s">
        <v>35692</v>
      </c>
      <c r="AAG46" s="1" t="s">
        <v>35693</v>
      </c>
      <c r="AAH46" s="1" t="s">
        <v>35694</v>
      </c>
      <c r="AAI46" s="1" t="s">
        <v>35695</v>
      </c>
      <c r="AAJ46" s="1" t="s">
        <v>35696</v>
      </c>
      <c r="AAK46" s="1" t="s">
        <v>35697</v>
      </c>
      <c r="AAL46" s="1" t="s">
        <v>35698</v>
      </c>
      <c r="AAM46" s="1" t="s">
        <v>35699</v>
      </c>
      <c r="AAN46" s="1" t="s">
        <v>35700</v>
      </c>
      <c r="AAO46" s="1" t="s">
        <v>35701</v>
      </c>
      <c r="AAP46" s="1" t="s">
        <v>35702</v>
      </c>
      <c r="AAQ46" s="1" t="s">
        <v>35703</v>
      </c>
      <c r="AAR46" s="1" t="s">
        <v>35704</v>
      </c>
      <c r="AAS46" s="1" t="s">
        <v>35705</v>
      </c>
      <c r="AAT46" s="1" t="s">
        <v>35706</v>
      </c>
      <c r="AAU46" s="1" t="s">
        <v>35707</v>
      </c>
      <c r="AAV46" s="1" t="s">
        <v>35708</v>
      </c>
      <c r="AAW46" s="1" t="s">
        <v>35709</v>
      </c>
      <c r="AAX46" s="1" t="s">
        <v>35710</v>
      </c>
      <c r="AAY46" s="1" t="s">
        <v>35711</v>
      </c>
      <c r="AAZ46" s="1" t="s">
        <v>35712</v>
      </c>
      <c r="ABA46" s="1" t="s">
        <v>35713</v>
      </c>
      <c r="ABB46" s="1" t="s">
        <v>35714</v>
      </c>
      <c r="ABC46" s="1" t="s">
        <v>35715</v>
      </c>
      <c r="ABD46" s="1" t="s">
        <v>35716</v>
      </c>
      <c r="ABE46" s="1" t="s">
        <v>35717</v>
      </c>
      <c r="ABF46" s="1" t="s">
        <v>35718</v>
      </c>
      <c r="ABG46" s="1" t="s">
        <v>35719</v>
      </c>
      <c r="ABH46" s="1" t="s">
        <v>35720</v>
      </c>
      <c r="ABI46" s="1" t="s">
        <v>35721</v>
      </c>
      <c r="ABJ46" s="1" t="s">
        <v>35722</v>
      </c>
      <c r="ABK46" s="1" t="s">
        <v>35723</v>
      </c>
      <c r="ABL46" s="1" t="s">
        <v>35724</v>
      </c>
      <c r="ABM46" s="1" t="s">
        <v>35725</v>
      </c>
      <c r="ABN46" s="1" t="s">
        <v>35726</v>
      </c>
      <c r="ABO46" s="1" t="s">
        <v>35727</v>
      </c>
      <c r="ABP46" s="1" t="s">
        <v>35728</v>
      </c>
      <c r="ABQ46" s="1" t="s">
        <v>35729</v>
      </c>
      <c r="ABR46" s="1" t="s">
        <v>35730</v>
      </c>
      <c r="ABS46" s="1" t="s">
        <v>35731</v>
      </c>
      <c r="ABT46" s="1" t="s">
        <v>35732</v>
      </c>
      <c r="ABU46" s="1" t="s">
        <v>35733</v>
      </c>
      <c r="ABV46" s="1" t="s">
        <v>35734</v>
      </c>
      <c r="ABW46" s="1" t="s">
        <v>35735</v>
      </c>
      <c r="ABX46" s="1" t="s">
        <v>35736</v>
      </c>
      <c r="ABY46" s="1" t="s">
        <v>35737</v>
      </c>
      <c r="ABZ46" s="1" t="s">
        <v>35738</v>
      </c>
      <c r="ACA46" s="1" t="s">
        <v>35739</v>
      </c>
      <c r="ACB46" s="1" t="s">
        <v>35740</v>
      </c>
      <c r="ACC46" s="1" t="s">
        <v>35741</v>
      </c>
      <c r="ACD46" s="1" t="s">
        <v>35742</v>
      </c>
      <c r="ACE46" s="1" t="s">
        <v>35743</v>
      </c>
      <c r="ACF46" s="1" t="s">
        <v>35744</v>
      </c>
      <c r="ACG46" s="1" t="s">
        <v>35745</v>
      </c>
      <c r="ACH46" s="1" t="s">
        <v>35746</v>
      </c>
      <c r="ACI46" s="1" t="s">
        <v>35747</v>
      </c>
      <c r="ACJ46" s="1" t="s">
        <v>35748</v>
      </c>
      <c r="ACK46" s="1" t="s">
        <v>35749</v>
      </c>
      <c r="ACL46" s="1" t="s">
        <v>35750</v>
      </c>
      <c r="ACM46" s="1" t="s">
        <v>35751</v>
      </c>
      <c r="ACN46" s="1" t="s">
        <v>35752</v>
      </c>
      <c r="ACO46" s="1" t="s">
        <v>35753</v>
      </c>
      <c r="ACP46" s="1" t="s">
        <v>35754</v>
      </c>
      <c r="ACQ46" s="1" t="s">
        <v>35755</v>
      </c>
      <c r="ACR46" s="1" t="s">
        <v>35756</v>
      </c>
      <c r="ACS46" s="1" t="s">
        <v>35757</v>
      </c>
      <c r="ACT46" s="1" t="s">
        <v>35758</v>
      </c>
      <c r="ACU46" s="1" t="s">
        <v>35759</v>
      </c>
      <c r="ACV46" s="1" t="s">
        <v>35760</v>
      </c>
      <c r="ACW46" s="1" t="s">
        <v>6</v>
      </c>
      <c r="ACX46" s="1" t="s">
        <v>1501</v>
      </c>
    </row>
    <row r="47" spans="1:778" x14ac:dyDescent="0.2">
      <c r="A47" s="1" t="s">
        <v>64</v>
      </c>
      <c r="B47" s="1" t="s">
        <v>35761</v>
      </c>
      <c r="C47" s="1" t="s">
        <v>35762</v>
      </c>
      <c r="D47" s="1" t="s">
        <v>35763</v>
      </c>
      <c r="E47" s="1" t="s">
        <v>35764</v>
      </c>
      <c r="F47" s="1" t="s">
        <v>35765</v>
      </c>
      <c r="G47" s="1" t="s">
        <v>35766</v>
      </c>
      <c r="H47" s="1" t="s">
        <v>35767</v>
      </c>
      <c r="I47" s="1" t="s">
        <v>35768</v>
      </c>
      <c r="J47" s="1" t="s">
        <v>35769</v>
      </c>
      <c r="K47" s="1" t="s">
        <v>35770</v>
      </c>
      <c r="L47" s="1" t="s">
        <v>35771</v>
      </c>
      <c r="M47" s="1" t="s">
        <v>35772</v>
      </c>
      <c r="N47" s="1" t="s">
        <v>35773</v>
      </c>
      <c r="O47" s="1" t="s">
        <v>35774</v>
      </c>
      <c r="P47" s="1" t="s">
        <v>35775</v>
      </c>
      <c r="Q47" s="1" t="s">
        <v>35776</v>
      </c>
      <c r="R47" s="1" t="s">
        <v>35777</v>
      </c>
      <c r="S47" s="1" t="s">
        <v>35778</v>
      </c>
      <c r="T47" s="1" t="s">
        <v>35779</v>
      </c>
      <c r="U47" s="1" t="s">
        <v>35780</v>
      </c>
      <c r="V47" s="1" t="s">
        <v>35781</v>
      </c>
      <c r="W47" s="1" t="s">
        <v>35782</v>
      </c>
      <c r="X47" s="1" t="s">
        <v>35783</v>
      </c>
      <c r="Y47" s="1" t="s">
        <v>35784</v>
      </c>
      <c r="Z47" s="1" t="s">
        <v>35785</v>
      </c>
      <c r="AA47" s="1" t="s">
        <v>35786</v>
      </c>
      <c r="AB47" s="1" t="s">
        <v>35787</v>
      </c>
      <c r="AC47" s="1" t="s">
        <v>35788</v>
      </c>
      <c r="AD47" s="1" t="s">
        <v>35789</v>
      </c>
      <c r="AE47" s="1" t="s">
        <v>35790</v>
      </c>
      <c r="AF47" s="1" t="s">
        <v>35791</v>
      </c>
      <c r="AG47" s="1" t="s">
        <v>35792</v>
      </c>
      <c r="AH47" s="1" t="s">
        <v>35793</v>
      </c>
      <c r="AI47" s="1" t="s">
        <v>35794</v>
      </c>
      <c r="AJ47" s="1" t="s">
        <v>35795</v>
      </c>
      <c r="AK47" s="1" t="s">
        <v>35796</v>
      </c>
      <c r="AL47" s="1" t="s">
        <v>35797</v>
      </c>
      <c r="AM47" s="1" t="s">
        <v>35798</v>
      </c>
      <c r="AN47" s="1" t="s">
        <v>35799</v>
      </c>
      <c r="AO47" s="1" t="s">
        <v>35800</v>
      </c>
      <c r="AP47" s="1" t="s">
        <v>35801</v>
      </c>
      <c r="AQ47" s="1" t="s">
        <v>35802</v>
      </c>
      <c r="AR47" s="1" t="s">
        <v>35803</v>
      </c>
      <c r="AS47" s="1" t="s">
        <v>35804</v>
      </c>
      <c r="AT47" s="1" t="s">
        <v>35805</v>
      </c>
      <c r="AU47" s="1" t="s">
        <v>35806</v>
      </c>
      <c r="AV47" s="1" t="s">
        <v>35807</v>
      </c>
      <c r="AW47" s="1" t="s">
        <v>35808</v>
      </c>
      <c r="AX47" s="1" t="s">
        <v>35809</v>
      </c>
      <c r="AY47" s="1" t="s">
        <v>35810</v>
      </c>
      <c r="AZ47" s="1" t="s">
        <v>35811</v>
      </c>
      <c r="BA47" s="1" t="s">
        <v>35812</v>
      </c>
      <c r="BB47" s="1" t="s">
        <v>35813</v>
      </c>
      <c r="BC47" s="1" t="s">
        <v>35814</v>
      </c>
      <c r="BD47" s="1" t="s">
        <v>35815</v>
      </c>
      <c r="BE47" s="1" t="s">
        <v>35816</v>
      </c>
      <c r="BF47" s="1" t="s">
        <v>35817</v>
      </c>
      <c r="BG47" s="1" t="s">
        <v>35818</v>
      </c>
      <c r="BH47" s="1" t="s">
        <v>35819</v>
      </c>
      <c r="BI47" s="1" t="s">
        <v>35820</v>
      </c>
      <c r="BJ47" s="1" t="s">
        <v>35821</v>
      </c>
      <c r="BK47" s="1" t="s">
        <v>35822</v>
      </c>
      <c r="BL47" s="1" t="s">
        <v>35823</v>
      </c>
      <c r="BM47" s="1" t="s">
        <v>35824</v>
      </c>
      <c r="BN47" s="1" t="s">
        <v>35825</v>
      </c>
      <c r="BO47" s="1" t="s">
        <v>35826</v>
      </c>
      <c r="BP47" s="1" t="s">
        <v>35827</v>
      </c>
      <c r="BQ47" s="1" t="s">
        <v>35828</v>
      </c>
      <c r="BR47" s="1" t="s">
        <v>35829</v>
      </c>
      <c r="BS47" s="1" t="s">
        <v>35830</v>
      </c>
      <c r="BT47" s="1" t="s">
        <v>35831</v>
      </c>
      <c r="BU47" s="1" t="s">
        <v>35832</v>
      </c>
      <c r="BV47" s="1" t="s">
        <v>35833</v>
      </c>
      <c r="BW47" s="1" t="s">
        <v>35834</v>
      </c>
      <c r="BX47" s="1" t="s">
        <v>35835</v>
      </c>
      <c r="BY47" s="1" t="s">
        <v>35836</v>
      </c>
      <c r="BZ47" s="1" t="s">
        <v>35837</v>
      </c>
      <c r="CA47" s="1" t="s">
        <v>35838</v>
      </c>
      <c r="CB47" s="1" t="s">
        <v>35839</v>
      </c>
      <c r="CC47" s="1" t="s">
        <v>35840</v>
      </c>
      <c r="CD47" s="1" t="s">
        <v>35841</v>
      </c>
      <c r="CE47" s="1" t="s">
        <v>35842</v>
      </c>
      <c r="CF47" s="1" t="s">
        <v>35843</v>
      </c>
      <c r="CG47" s="1" t="s">
        <v>35844</v>
      </c>
      <c r="CH47" s="1" t="s">
        <v>35845</v>
      </c>
      <c r="CI47" s="1" t="s">
        <v>35846</v>
      </c>
      <c r="CJ47" s="1" t="s">
        <v>35847</v>
      </c>
      <c r="CK47" s="1" t="s">
        <v>35848</v>
      </c>
      <c r="CL47" s="1" t="s">
        <v>35849</v>
      </c>
      <c r="CM47" s="1" t="s">
        <v>35850</v>
      </c>
      <c r="CN47" s="1" t="s">
        <v>35851</v>
      </c>
      <c r="CO47" s="1" t="s">
        <v>35852</v>
      </c>
      <c r="CP47" s="1" t="s">
        <v>35853</v>
      </c>
      <c r="CQ47" s="1" t="s">
        <v>35854</v>
      </c>
      <c r="CR47" s="1" t="s">
        <v>35855</v>
      </c>
      <c r="CS47" s="1" t="s">
        <v>35856</v>
      </c>
      <c r="CT47" s="1" t="s">
        <v>35857</v>
      </c>
      <c r="CU47" s="1" t="s">
        <v>35858</v>
      </c>
      <c r="CV47" s="1" t="s">
        <v>35859</v>
      </c>
      <c r="CW47" s="1" t="s">
        <v>35860</v>
      </c>
      <c r="CX47" s="1" t="s">
        <v>35861</v>
      </c>
      <c r="CY47" s="1" t="s">
        <v>35862</v>
      </c>
      <c r="CZ47" s="1" t="s">
        <v>35863</v>
      </c>
      <c r="DA47" s="1" t="s">
        <v>35864</v>
      </c>
      <c r="DB47" s="1" t="s">
        <v>35865</v>
      </c>
      <c r="DC47" s="1" t="s">
        <v>35866</v>
      </c>
      <c r="DD47" s="1" t="s">
        <v>35867</v>
      </c>
      <c r="DE47" s="1" t="s">
        <v>35868</v>
      </c>
      <c r="DF47" s="1" t="s">
        <v>35869</v>
      </c>
      <c r="DG47" s="1" t="s">
        <v>35870</v>
      </c>
      <c r="DH47" s="1" t="s">
        <v>35871</v>
      </c>
      <c r="DI47" s="1" t="s">
        <v>35872</v>
      </c>
      <c r="DJ47" s="1" t="s">
        <v>35873</v>
      </c>
      <c r="DK47" s="1" t="s">
        <v>35874</v>
      </c>
      <c r="DL47" s="1" t="s">
        <v>35875</v>
      </c>
      <c r="DM47" s="1" t="s">
        <v>35876</v>
      </c>
      <c r="DN47" s="1" t="s">
        <v>35877</v>
      </c>
      <c r="DO47" s="1" t="s">
        <v>35878</v>
      </c>
      <c r="DP47" s="1" t="s">
        <v>35879</v>
      </c>
      <c r="DQ47" s="1" t="s">
        <v>35880</v>
      </c>
      <c r="DR47" s="1" t="s">
        <v>35881</v>
      </c>
      <c r="DS47" s="1" t="s">
        <v>35882</v>
      </c>
      <c r="DT47" s="1" t="s">
        <v>35883</v>
      </c>
      <c r="DU47" s="1" t="s">
        <v>35884</v>
      </c>
      <c r="DV47" s="1" t="s">
        <v>35885</v>
      </c>
      <c r="DW47" s="1" t="s">
        <v>35886</v>
      </c>
      <c r="DX47" s="1" t="s">
        <v>35887</v>
      </c>
      <c r="DY47" s="1" t="s">
        <v>35888</v>
      </c>
      <c r="DZ47" s="1" t="s">
        <v>35889</v>
      </c>
      <c r="EA47" s="1" t="s">
        <v>35890</v>
      </c>
      <c r="EB47" s="1" t="s">
        <v>35891</v>
      </c>
      <c r="EC47" s="1" t="s">
        <v>35892</v>
      </c>
      <c r="ED47" s="1" t="s">
        <v>35893</v>
      </c>
      <c r="EE47" s="1" t="s">
        <v>35894</v>
      </c>
      <c r="EF47" s="1" t="s">
        <v>35895</v>
      </c>
      <c r="EG47" s="1" t="s">
        <v>35896</v>
      </c>
      <c r="EH47" s="1" t="s">
        <v>35897</v>
      </c>
      <c r="EI47" s="1" t="s">
        <v>35898</v>
      </c>
      <c r="EJ47" s="1" t="s">
        <v>35899</v>
      </c>
      <c r="EK47" s="1" t="s">
        <v>35900</v>
      </c>
      <c r="EL47" s="1" t="s">
        <v>35901</v>
      </c>
      <c r="EM47" s="1" t="s">
        <v>35902</v>
      </c>
      <c r="EN47" s="1" t="s">
        <v>35903</v>
      </c>
      <c r="EO47" s="1" t="s">
        <v>35904</v>
      </c>
      <c r="EP47" s="1" t="s">
        <v>35905</v>
      </c>
      <c r="EQ47" s="1" t="s">
        <v>35906</v>
      </c>
      <c r="ER47" s="1" t="s">
        <v>35907</v>
      </c>
      <c r="ES47" s="1" t="s">
        <v>35908</v>
      </c>
      <c r="ET47" s="1" t="s">
        <v>35909</v>
      </c>
      <c r="EU47" s="1" t="s">
        <v>35910</v>
      </c>
      <c r="EV47" s="1" t="s">
        <v>35911</v>
      </c>
      <c r="EW47" s="1" t="s">
        <v>35912</v>
      </c>
      <c r="EX47" s="1" t="s">
        <v>35913</v>
      </c>
      <c r="EY47" s="1" t="s">
        <v>35914</v>
      </c>
      <c r="EZ47" s="1" t="s">
        <v>35915</v>
      </c>
      <c r="FA47" s="1" t="s">
        <v>35916</v>
      </c>
      <c r="FB47" s="1" t="s">
        <v>35917</v>
      </c>
      <c r="FC47" s="1" t="s">
        <v>35918</v>
      </c>
      <c r="FD47" s="1" t="s">
        <v>35919</v>
      </c>
      <c r="FE47" s="1" t="s">
        <v>35920</v>
      </c>
      <c r="FF47" s="1" t="s">
        <v>35921</v>
      </c>
      <c r="FG47" s="1" t="s">
        <v>35922</v>
      </c>
      <c r="FH47" s="1" t="s">
        <v>35923</v>
      </c>
      <c r="FI47" s="1" t="s">
        <v>35924</v>
      </c>
      <c r="FJ47" s="1" t="s">
        <v>35925</v>
      </c>
      <c r="FK47" s="1" t="s">
        <v>35926</v>
      </c>
      <c r="FL47" s="1" t="s">
        <v>35927</v>
      </c>
      <c r="FM47" s="1" t="s">
        <v>35928</v>
      </c>
      <c r="FN47" s="1" t="s">
        <v>35929</v>
      </c>
      <c r="FO47" s="1" t="s">
        <v>35930</v>
      </c>
      <c r="FP47" s="1" t="s">
        <v>35931</v>
      </c>
      <c r="FQ47" s="1" t="s">
        <v>35932</v>
      </c>
      <c r="FR47" s="1" t="s">
        <v>35933</v>
      </c>
      <c r="FS47" s="1" t="s">
        <v>35934</v>
      </c>
      <c r="FT47" s="1" t="s">
        <v>35935</v>
      </c>
      <c r="FU47" s="1" t="s">
        <v>35936</v>
      </c>
      <c r="FV47" s="1" t="s">
        <v>35937</v>
      </c>
      <c r="FW47" s="1" t="s">
        <v>35938</v>
      </c>
      <c r="FX47" s="1" t="s">
        <v>35939</v>
      </c>
      <c r="FY47" s="1" t="s">
        <v>35940</v>
      </c>
      <c r="FZ47" s="1" t="s">
        <v>35941</v>
      </c>
      <c r="GA47" s="1" t="s">
        <v>35942</v>
      </c>
      <c r="GB47" s="1" t="s">
        <v>35943</v>
      </c>
      <c r="GC47" s="1" t="s">
        <v>35944</v>
      </c>
      <c r="GD47" s="1" t="s">
        <v>35945</v>
      </c>
      <c r="GE47" s="1" t="s">
        <v>35946</v>
      </c>
      <c r="GF47" s="1" t="s">
        <v>35947</v>
      </c>
      <c r="GG47" s="1" t="s">
        <v>35948</v>
      </c>
      <c r="GH47" s="1" t="s">
        <v>35949</v>
      </c>
      <c r="GI47" s="1" t="s">
        <v>35950</v>
      </c>
      <c r="GJ47" s="1" t="s">
        <v>35951</v>
      </c>
      <c r="GK47" s="1" t="s">
        <v>35952</v>
      </c>
      <c r="GL47" s="1" t="s">
        <v>35953</v>
      </c>
      <c r="GM47" s="1" t="s">
        <v>35954</v>
      </c>
      <c r="GN47" s="1" t="s">
        <v>35955</v>
      </c>
      <c r="GO47" s="1" t="s">
        <v>35956</v>
      </c>
      <c r="GP47" s="1" t="s">
        <v>35957</v>
      </c>
      <c r="GQ47" s="1" t="s">
        <v>35958</v>
      </c>
      <c r="GR47" s="1" t="s">
        <v>35959</v>
      </c>
      <c r="GS47" s="1" t="s">
        <v>35960</v>
      </c>
      <c r="GT47" s="1" t="s">
        <v>35961</v>
      </c>
      <c r="GU47" s="1" t="s">
        <v>35962</v>
      </c>
      <c r="GV47" s="1" t="s">
        <v>35963</v>
      </c>
      <c r="GW47" s="1" t="s">
        <v>35964</v>
      </c>
      <c r="GX47" s="1" t="s">
        <v>35965</v>
      </c>
      <c r="GY47" s="1" t="s">
        <v>35966</v>
      </c>
      <c r="GZ47" s="1" t="s">
        <v>35967</v>
      </c>
      <c r="HA47" s="1" t="s">
        <v>35968</v>
      </c>
      <c r="HB47" s="1" t="s">
        <v>35969</v>
      </c>
      <c r="HC47" s="1" t="s">
        <v>35970</v>
      </c>
      <c r="HD47" s="1" t="s">
        <v>35971</v>
      </c>
      <c r="HE47" s="1" t="s">
        <v>35972</v>
      </c>
      <c r="HF47" s="1" t="s">
        <v>35973</v>
      </c>
      <c r="HG47" s="1" t="s">
        <v>35974</v>
      </c>
      <c r="HH47" s="1" t="s">
        <v>35975</v>
      </c>
      <c r="HI47" s="1" t="s">
        <v>35976</v>
      </c>
      <c r="HJ47" s="1" t="s">
        <v>35977</v>
      </c>
      <c r="HK47" s="1" t="s">
        <v>35978</v>
      </c>
      <c r="HL47" s="1" t="s">
        <v>35979</v>
      </c>
      <c r="HM47" s="1" t="s">
        <v>35980</v>
      </c>
      <c r="HN47" s="1" t="s">
        <v>35981</v>
      </c>
      <c r="HO47" s="1" t="s">
        <v>35982</v>
      </c>
      <c r="HP47" s="1" t="s">
        <v>35983</v>
      </c>
      <c r="HQ47" s="1" t="s">
        <v>35984</v>
      </c>
      <c r="HR47" s="1" t="s">
        <v>35985</v>
      </c>
      <c r="HS47" s="1" t="s">
        <v>35986</v>
      </c>
      <c r="HT47" s="1" t="s">
        <v>35987</v>
      </c>
      <c r="HU47" s="1" t="s">
        <v>35988</v>
      </c>
      <c r="HV47" s="1" t="s">
        <v>35989</v>
      </c>
      <c r="HW47" s="1" t="s">
        <v>35990</v>
      </c>
      <c r="HX47" s="1" t="s">
        <v>35991</v>
      </c>
      <c r="HY47" s="1" t="s">
        <v>35992</v>
      </c>
      <c r="HZ47" s="1" t="s">
        <v>35993</v>
      </c>
      <c r="IA47" s="1" t="s">
        <v>35994</v>
      </c>
      <c r="IB47" s="1" t="s">
        <v>35995</v>
      </c>
      <c r="IC47" s="1" t="s">
        <v>35996</v>
      </c>
      <c r="ID47" s="1" t="s">
        <v>35997</v>
      </c>
      <c r="IE47" s="1" t="s">
        <v>35998</v>
      </c>
      <c r="IF47" s="1" t="s">
        <v>35999</v>
      </c>
      <c r="IG47" s="1" t="s">
        <v>36000</v>
      </c>
      <c r="IH47" s="1" t="s">
        <v>36001</v>
      </c>
      <c r="II47" s="1" t="s">
        <v>36002</v>
      </c>
      <c r="IJ47" s="1" t="s">
        <v>36003</v>
      </c>
      <c r="IK47" s="1" t="s">
        <v>36004</v>
      </c>
      <c r="IL47" s="1" t="s">
        <v>36005</v>
      </c>
      <c r="IM47" s="1" t="s">
        <v>36006</v>
      </c>
      <c r="IN47" s="1" t="s">
        <v>36007</v>
      </c>
      <c r="IO47" s="1" t="s">
        <v>36008</v>
      </c>
      <c r="IP47" s="1" t="s">
        <v>36009</v>
      </c>
      <c r="IQ47" s="1" t="s">
        <v>36010</v>
      </c>
      <c r="IR47" s="1" t="s">
        <v>36011</v>
      </c>
      <c r="IS47" s="1" t="s">
        <v>36012</v>
      </c>
      <c r="IT47" s="1" t="s">
        <v>36013</v>
      </c>
      <c r="IU47" s="1" t="s">
        <v>36014</v>
      </c>
      <c r="IV47" s="1" t="s">
        <v>36015</v>
      </c>
      <c r="IW47" s="1" t="s">
        <v>36016</v>
      </c>
      <c r="IX47" s="1" t="s">
        <v>36017</v>
      </c>
      <c r="IY47" s="1" t="s">
        <v>36018</v>
      </c>
      <c r="IZ47" s="1" t="s">
        <v>36019</v>
      </c>
      <c r="JA47" s="1" t="s">
        <v>36020</v>
      </c>
      <c r="JB47" s="1" t="s">
        <v>36021</v>
      </c>
      <c r="JC47" s="1" t="s">
        <v>36022</v>
      </c>
      <c r="JD47" s="1" t="s">
        <v>36023</v>
      </c>
      <c r="JE47" s="1" t="s">
        <v>36024</v>
      </c>
      <c r="JF47" s="1" t="s">
        <v>36025</v>
      </c>
      <c r="JG47" s="1" t="s">
        <v>36026</v>
      </c>
      <c r="JH47" s="1" t="s">
        <v>36027</v>
      </c>
      <c r="JI47" s="1" t="s">
        <v>36028</v>
      </c>
      <c r="JJ47" s="1" t="s">
        <v>36029</v>
      </c>
      <c r="JK47" s="1" t="s">
        <v>36030</v>
      </c>
      <c r="JL47" s="1" t="s">
        <v>36031</v>
      </c>
      <c r="JM47" s="1" t="s">
        <v>36032</v>
      </c>
      <c r="JN47" s="1" t="s">
        <v>36033</v>
      </c>
      <c r="JO47" s="1" t="s">
        <v>36034</v>
      </c>
      <c r="JP47" s="1" t="s">
        <v>36035</v>
      </c>
      <c r="JQ47" s="1" t="s">
        <v>36036</v>
      </c>
      <c r="JR47" s="1" t="s">
        <v>36037</v>
      </c>
      <c r="JS47" s="1" t="s">
        <v>36038</v>
      </c>
      <c r="JT47" s="1" t="s">
        <v>36039</v>
      </c>
      <c r="JU47" s="1" t="s">
        <v>36040</v>
      </c>
      <c r="JV47" s="1" t="s">
        <v>36041</v>
      </c>
      <c r="JW47" s="1" t="s">
        <v>36042</v>
      </c>
      <c r="JX47" s="1" t="s">
        <v>36043</v>
      </c>
      <c r="JY47" s="1" t="s">
        <v>36044</v>
      </c>
      <c r="JZ47" s="1" t="s">
        <v>36045</v>
      </c>
      <c r="KA47" s="1" t="s">
        <v>36046</v>
      </c>
      <c r="KB47" s="1" t="s">
        <v>36047</v>
      </c>
      <c r="KC47" s="1" t="s">
        <v>36048</v>
      </c>
      <c r="KD47" s="1" t="s">
        <v>36049</v>
      </c>
      <c r="KE47" s="1" t="s">
        <v>36050</v>
      </c>
      <c r="KF47" s="1" t="s">
        <v>36051</v>
      </c>
      <c r="KG47" s="1" t="s">
        <v>36052</v>
      </c>
      <c r="KH47" s="1" t="s">
        <v>36053</v>
      </c>
      <c r="KI47" s="1" t="s">
        <v>36054</v>
      </c>
      <c r="KJ47" s="1" t="s">
        <v>36055</v>
      </c>
      <c r="KK47" s="1" t="s">
        <v>36056</v>
      </c>
      <c r="KL47" s="1" t="s">
        <v>36057</v>
      </c>
      <c r="KM47" s="1" t="s">
        <v>36058</v>
      </c>
      <c r="KN47" s="1" t="s">
        <v>36059</v>
      </c>
      <c r="KO47" s="1" t="s">
        <v>36060</v>
      </c>
      <c r="KP47" s="1" t="s">
        <v>36061</v>
      </c>
      <c r="KQ47" s="1" t="s">
        <v>36062</v>
      </c>
      <c r="KR47" s="1" t="s">
        <v>36063</v>
      </c>
      <c r="KS47" s="1" t="s">
        <v>36064</v>
      </c>
      <c r="KT47" s="1" t="s">
        <v>36065</v>
      </c>
      <c r="KU47" s="1" t="s">
        <v>36066</v>
      </c>
      <c r="KV47" s="1" t="s">
        <v>36067</v>
      </c>
      <c r="KW47" s="1" t="s">
        <v>36068</v>
      </c>
      <c r="KX47" s="1" t="s">
        <v>36069</v>
      </c>
      <c r="KY47" s="1" t="s">
        <v>36070</v>
      </c>
      <c r="KZ47" s="1" t="s">
        <v>36071</v>
      </c>
      <c r="LA47" s="1" t="s">
        <v>36072</v>
      </c>
      <c r="LB47" s="1" t="s">
        <v>36073</v>
      </c>
      <c r="LC47" s="1" t="s">
        <v>36074</v>
      </c>
      <c r="LD47" s="1" t="s">
        <v>36075</v>
      </c>
      <c r="LE47" s="1" t="s">
        <v>36076</v>
      </c>
      <c r="LF47" s="1" t="s">
        <v>36077</v>
      </c>
      <c r="LG47" s="1" t="s">
        <v>36078</v>
      </c>
      <c r="LH47" s="1" t="s">
        <v>36079</v>
      </c>
      <c r="LI47" s="1" t="s">
        <v>36080</v>
      </c>
      <c r="LJ47" s="1" t="s">
        <v>36081</v>
      </c>
      <c r="LK47" s="1" t="s">
        <v>36082</v>
      </c>
      <c r="LL47" s="1" t="s">
        <v>36083</v>
      </c>
      <c r="LM47" s="1" t="s">
        <v>36084</v>
      </c>
      <c r="LN47" s="1" t="s">
        <v>36085</v>
      </c>
      <c r="LO47" s="1" t="s">
        <v>36086</v>
      </c>
      <c r="LP47" s="1" t="s">
        <v>36087</v>
      </c>
      <c r="LQ47" s="1" t="s">
        <v>36088</v>
      </c>
      <c r="LR47" s="1" t="s">
        <v>36089</v>
      </c>
      <c r="LS47" s="1" t="s">
        <v>36090</v>
      </c>
      <c r="LT47" s="1" t="s">
        <v>36091</v>
      </c>
      <c r="LU47" s="1" t="s">
        <v>36092</v>
      </c>
      <c r="LV47" s="1" t="s">
        <v>36093</v>
      </c>
      <c r="LW47" s="1" t="s">
        <v>36094</v>
      </c>
      <c r="LX47" s="1" t="s">
        <v>36095</v>
      </c>
      <c r="LY47" s="1" t="s">
        <v>36096</v>
      </c>
      <c r="LZ47" s="1" t="s">
        <v>36097</v>
      </c>
      <c r="MA47" s="1" t="s">
        <v>36098</v>
      </c>
      <c r="MB47" s="1" t="s">
        <v>36099</v>
      </c>
      <c r="MC47" s="1" t="s">
        <v>36100</v>
      </c>
      <c r="MD47" s="1" t="s">
        <v>36101</v>
      </c>
      <c r="ME47" s="1" t="s">
        <v>36102</v>
      </c>
      <c r="MF47" s="1" t="s">
        <v>36103</v>
      </c>
      <c r="MG47" s="1" t="s">
        <v>36104</v>
      </c>
      <c r="MH47" s="1" t="s">
        <v>36105</v>
      </c>
      <c r="MI47" s="1" t="s">
        <v>36106</v>
      </c>
      <c r="MJ47" s="1" t="s">
        <v>36107</v>
      </c>
      <c r="MK47" s="1" t="s">
        <v>36108</v>
      </c>
      <c r="ML47" s="1" t="s">
        <v>36109</v>
      </c>
      <c r="MM47" s="1" t="s">
        <v>36110</v>
      </c>
      <c r="MN47" s="1" t="s">
        <v>36111</v>
      </c>
      <c r="MO47" s="1" t="s">
        <v>36112</v>
      </c>
      <c r="MP47" s="1" t="s">
        <v>36113</v>
      </c>
      <c r="MQ47" s="1" t="s">
        <v>36114</v>
      </c>
      <c r="MR47" s="1" t="s">
        <v>36115</v>
      </c>
      <c r="MS47" s="1" t="s">
        <v>36116</v>
      </c>
      <c r="MT47" s="1" t="s">
        <v>36117</v>
      </c>
      <c r="MU47" s="1" t="s">
        <v>36118</v>
      </c>
      <c r="MV47" s="1" t="s">
        <v>36119</v>
      </c>
      <c r="MW47" s="1" t="s">
        <v>36120</v>
      </c>
      <c r="MX47" s="1" t="s">
        <v>36121</v>
      </c>
      <c r="MY47" s="1" t="s">
        <v>36122</v>
      </c>
      <c r="MZ47" s="1" t="s">
        <v>36123</v>
      </c>
      <c r="NA47" s="1" t="s">
        <v>36124</v>
      </c>
      <c r="NB47" s="1" t="s">
        <v>36125</v>
      </c>
      <c r="NC47" s="1" t="s">
        <v>36126</v>
      </c>
      <c r="ND47" s="1" t="s">
        <v>36127</v>
      </c>
      <c r="NE47" s="1" t="s">
        <v>36128</v>
      </c>
      <c r="NF47" s="1" t="s">
        <v>36129</v>
      </c>
      <c r="NG47" s="1" t="s">
        <v>36130</v>
      </c>
      <c r="NH47" s="1" t="s">
        <v>36131</v>
      </c>
      <c r="NI47" s="1" t="s">
        <v>36132</v>
      </c>
      <c r="NJ47" s="1" t="s">
        <v>36133</v>
      </c>
      <c r="NK47" s="1" t="s">
        <v>36134</v>
      </c>
      <c r="NL47" s="1" t="s">
        <v>36135</v>
      </c>
      <c r="NM47" s="1" t="s">
        <v>36136</v>
      </c>
      <c r="NN47" s="1" t="s">
        <v>36137</v>
      </c>
      <c r="NO47" s="1" t="s">
        <v>36138</v>
      </c>
      <c r="NP47" s="1" t="s">
        <v>36139</v>
      </c>
      <c r="NQ47" s="1" t="s">
        <v>36140</v>
      </c>
      <c r="NR47" s="1" t="s">
        <v>36141</v>
      </c>
      <c r="NS47" s="1" t="s">
        <v>36142</v>
      </c>
      <c r="NT47" s="1" t="s">
        <v>36143</v>
      </c>
      <c r="NU47" s="1" t="s">
        <v>36144</v>
      </c>
      <c r="NV47" s="1" t="s">
        <v>36145</v>
      </c>
      <c r="NW47" s="1" t="s">
        <v>36146</v>
      </c>
      <c r="NX47" s="1" t="s">
        <v>36147</v>
      </c>
      <c r="NY47" s="1" t="s">
        <v>36148</v>
      </c>
      <c r="NZ47" s="1" t="s">
        <v>36149</v>
      </c>
      <c r="OA47" s="1" t="s">
        <v>36150</v>
      </c>
      <c r="OB47" s="1" t="s">
        <v>36151</v>
      </c>
      <c r="OC47" s="1" t="s">
        <v>36152</v>
      </c>
      <c r="OD47" s="1" t="s">
        <v>36153</v>
      </c>
      <c r="OE47" s="1" t="s">
        <v>36154</v>
      </c>
      <c r="OF47" s="1" t="s">
        <v>36155</v>
      </c>
      <c r="OG47" s="1" t="s">
        <v>36156</v>
      </c>
      <c r="OH47" s="1" t="s">
        <v>36157</v>
      </c>
      <c r="OI47" s="1" t="s">
        <v>36158</v>
      </c>
      <c r="OJ47" s="1" t="s">
        <v>36159</v>
      </c>
      <c r="OK47" s="1" t="s">
        <v>36160</v>
      </c>
      <c r="OL47" s="1" t="s">
        <v>36161</v>
      </c>
      <c r="OM47" s="1" t="s">
        <v>36162</v>
      </c>
      <c r="ON47" s="1" t="s">
        <v>36163</v>
      </c>
      <c r="OO47" s="1" t="s">
        <v>36164</v>
      </c>
      <c r="OP47" s="1" t="s">
        <v>36165</v>
      </c>
      <c r="OQ47" s="1" t="s">
        <v>36166</v>
      </c>
      <c r="OR47" s="1" t="s">
        <v>36167</v>
      </c>
      <c r="OS47" s="1" t="s">
        <v>36168</v>
      </c>
      <c r="OT47" s="1" t="s">
        <v>36169</v>
      </c>
      <c r="OU47" s="1" t="s">
        <v>36170</v>
      </c>
      <c r="OV47" s="1" t="s">
        <v>36171</v>
      </c>
      <c r="OW47" s="1" t="s">
        <v>36172</v>
      </c>
      <c r="OX47" s="1" t="s">
        <v>36173</v>
      </c>
      <c r="OY47" s="1" t="s">
        <v>36174</v>
      </c>
      <c r="OZ47" s="1" t="s">
        <v>36175</v>
      </c>
      <c r="PA47" s="1" t="s">
        <v>36176</v>
      </c>
      <c r="PB47" s="1" t="s">
        <v>36177</v>
      </c>
      <c r="PC47" s="1" t="s">
        <v>36178</v>
      </c>
      <c r="PD47" s="1" t="s">
        <v>36179</v>
      </c>
      <c r="PE47" s="1" t="s">
        <v>36180</v>
      </c>
      <c r="PF47" s="1" t="s">
        <v>36181</v>
      </c>
      <c r="PG47" s="1" t="s">
        <v>36182</v>
      </c>
      <c r="PH47" s="1" t="s">
        <v>36183</v>
      </c>
      <c r="PI47" s="1" t="s">
        <v>36184</v>
      </c>
      <c r="PJ47" s="1" t="s">
        <v>36185</v>
      </c>
      <c r="PK47" s="1" t="s">
        <v>36186</v>
      </c>
      <c r="PL47" s="1" t="s">
        <v>36187</v>
      </c>
      <c r="PM47" s="1" t="s">
        <v>36188</v>
      </c>
      <c r="PN47" s="1" t="s">
        <v>36189</v>
      </c>
      <c r="PO47" s="1" t="s">
        <v>36190</v>
      </c>
      <c r="PP47" s="1" t="s">
        <v>36191</v>
      </c>
      <c r="PQ47" s="1" t="s">
        <v>36192</v>
      </c>
      <c r="PR47" s="1" t="s">
        <v>36193</v>
      </c>
      <c r="PS47" s="1" t="s">
        <v>36194</v>
      </c>
      <c r="PT47" s="1" t="s">
        <v>36195</v>
      </c>
      <c r="PU47" s="1" t="s">
        <v>36196</v>
      </c>
      <c r="PV47" s="1" t="s">
        <v>36197</v>
      </c>
      <c r="PW47" s="1" t="s">
        <v>36198</v>
      </c>
      <c r="PX47" s="1" t="s">
        <v>36199</v>
      </c>
      <c r="PY47" s="1" t="s">
        <v>36200</v>
      </c>
      <c r="PZ47" s="1" t="s">
        <v>36201</v>
      </c>
      <c r="QA47" s="1" t="s">
        <v>36202</v>
      </c>
      <c r="QB47" s="1" t="s">
        <v>36203</v>
      </c>
      <c r="QC47" s="1" t="s">
        <v>36204</v>
      </c>
      <c r="QD47" s="1" t="s">
        <v>36205</v>
      </c>
      <c r="QE47" s="1" t="s">
        <v>36206</v>
      </c>
      <c r="QF47" s="1" t="s">
        <v>36207</v>
      </c>
      <c r="QG47" s="1" t="s">
        <v>36208</v>
      </c>
      <c r="QH47" s="1" t="s">
        <v>36209</v>
      </c>
      <c r="QI47" s="1" t="s">
        <v>36210</v>
      </c>
      <c r="QJ47" s="1" t="s">
        <v>36211</v>
      </c>
      <c r="QK47" s="1" t="s">
        <v>36212</v>
      </c>
      <c r="QL47" s="1" t="s">
        <v>36213</v>
      </c>
      <c r="QM47" s="1" t="s">
        <v>36214</v>
      </c>
      <c r="QN47" s="1" t="s">
        <v>36215</v>
      </c>
      <c r="QO47" s="1" t="s">
        <v>36216</v>
      </c>
      <c r="QP47" s="1" t="s">
        <v>36217</v>
      </c>
      <c r="QQ47" s="1" t="s">
        <v>36218</v>
      </c>
      <c r="QR47" s="1" t="s">
        <v>36219</v>
      </c>
      <c r="QS47" s="1" t="s">
        <v>36220</v>
      </c>
      <c r="QT47" s="1" t="s">
        <v>36221</v>
      </c>
      <c r="QU47" s="1" t="s">
        <v>36222</v>
      </c>
      <c r="QV47" s="1" t="s">
        <v>36223</v>
      </c>
      <c r="QW47" s="1" t="s">
        <v>36224</v>
      </c>
      <c r="QX47" s="1" t="s">
        <v>36225</v>
      </c>
      <c r="QY47" s="1" t="s">
        <v>36226</v>
      </c>
      <c r="QZ47" s="1" t="s">
        <v>36227</v>
      </c>
      <c r="RA47" s="1" t="s">
        <v>36228</v>
      </c>
      <c r="RB47" s="1" t="s">
        <v>36229</v>
      </c>
      <c r="RC47" s="1" t="s">
        <v>36230</v>
      </c>
      <c r="RD47" s="1" t="s">
        <v>36231</v>
      </c>
      <c r="RE47" s="1" t="s">
        <v>36232</v>
      </c>
      <c r="RF47" s="1" t="s">
        <v>36233</v>
      </c>
      <c r="RG47" s="1" t="s">
        <v>36234</v>
      </c>
      <c r="RH47" s="1" t="s">
        <v>36235</v>
      </c>
      <c r="RI47" s="1" t="s">
        <v>36236</v>
      </c>
      <c r="RJ47" s="1" t="s">
        <v>36237</v>
      </c>
      <c r="RK47" s="1" t="s">
        <v>36238</v>
      </c>
      <c r="RL47" s="1" t="s">
        <v>36239</v>
      </c>
      <c r="RM47" s="1" t="s">
        <v>36240</v>
      </c>
      <c r="RN47" s="1" t="s">
        <v>36241</v>
      </c>
      <c r="RO47" s="1" t="s">
        <v>36242</v>
      </c>
      <c r="RP47" s="1" t="s">
        <v>36243</v>
      </c>
      <c r="RQ47" s="1" t="s">
        <v>36244</v>
      </c>
      <c r="RR47" s="1" t="s">
        <v>36245</v>
      </c>
      <c r="RS47" s="1" t="s">
        <v>36246</v>
      </c>
      <c r="RT47" s="1" t="s">
        <v>36247</v>
      </c>
      <c r="RU47" s="1" t="s">
        <v>36248</v>
      </c>
      <c r="RV47" s="1" t="s">
        <v>36249</v>
      </c>
      <c r="RW47" s="1" t="s">
        <v>36250</v>
      </c>
      <c r="RX47" s="1" t="s">
        <v>36251</v>
      </c>
      <c r="RY47" s="1" t="s">
        <v>36252</v>
      </c>
      <c r="RZ47" s="1" t="s">
        <v>36253</v>
      </c>
      <c r="SA47" s="1" t="s">
        <v>36254</v>
      </c>
      <c r="SB47" s="1" t="s">
        <v>36255</v>
      </c>
      <c r="SC47" s="1" t="s">
        <v>36256</v>
      </c>
      <c r="SD47" s="1" t="s">
        <v>36257</v>
      </c>
      <c r="SE47" s="1" t="s">
        <v>36258</v>
      </c>
      <c r="SF47" s="1" t="s">
        <v>36259</v>
      </c>
      <c r="SG47" s="1" t="s">
        <v>36260</v>
      </c>
      <c r="SH47" s="1" t="s">
        <v>36261</v>
      </c>
      <c r="SI47" s="1" t="s">
        <v>36262</v>
      </c>
      <c r="SJ47" s="1" t="s">
        <v>36263</v>
      </c>
      <c r="SK47" s="1" t="s">
        <v>36264</v>
      </c>
      <c r="SL47" s="1" t="s">
        <v>36265</v>
      </c>
      <c r="SM47" s="1" t="s">
        <v>36266</v>
      </c>
      <c r="SN47" s="1" t="s">
        <v>36267</v>
      </c>
      <c r="SO47" s="1" t="s">
        <v>36268</v>
      </c>
      <c r="SP47" s="1" t="s">
        <v>36269</v>
      </c>
      <c r="SQ47" s="1" t="s">
        <v>36270</v>
      </c>
      <c r="SR47" s="1" t="s">
        <v>36271</v>
      </c>
      <c r="SS47" s="1" t="s">
        <v>36272</v>
      </c>
      <c r="ST47" s="1" t="s">
        <v>36273</v>
      </c>
      <c r="SU47" s="1" t="s">
        <v>36274</v>
      </c>
      <c r="SV47" s="1" t="s">
        <v>36275</v>
      </c>
      <c r="SW47" s="1" t="s">
        <v>36276</v>
      </c>
      <c r="SX47" s="1" t="s">
        <v>36277</v>
      </c>
      <c r="SY47" s="1" t="s">
        <v>36278</v>
      </c>
      <c r="SZ47" s="1" t="s">
        <v>36279</v>
      </c>
      <c r="TA47" s="1" t="s">
        <v>36280</v>
      </c>
      <c r="TB47" s="1" t="s">
        <v>36281</v>
      </c>
      <c r="TC47" s="1" t="s">
        <v>36282</v>
      </c>
      <c r="TD47" s="1" t="s">
        <v>36283</v>
      </c>
      <c r="TE47" s="1" t="s">
        <v>36284</v>
      </c>
      <c r="TF47" s="1" t="s">
        <v>36285</v>
      </c>
      <c r="TG47" s="1" t="s">
        <v>36286</v>
      </c>
      <c r="TH47" s="1" t="s">
        <v>36287</v>
      </c>
      <c r="TI47" s="1" t="s">
        <v>36288</v>
      </c>
      <c r="TJ47" s="1" t="s">
        <v>36289</v>
      </c>
      <c r="TK47" s="1" t="s">
        <v>36290</v>
      </c>
      <c r="TL47" s="1" t="s">
        <v>36291</v>
      </c>
      <c r="TM47" s="1" t="s">
        <v>36292</v>
      </c>
      <c r="TN47" s="1" t="s">
        <v>36293</v>
      </c>
      <c r="TO47" s="1" t="s">
        <v>36294</v>
      </c>
      <c r="TP47" s="1" t="s">
        <v>36295</v>
      </c>
      <c r="TQ47" s="1" t="s">
        <v>36296</v>
      </c>
      <c r="TR47" s="1" t="s">
        <v>36297</v>
      </c>
      <c r="TS47" s="1" t="s">
        <v>36298</v>
      </c>
      <c r="TT47" s="1" t="s">
        <v>36299</v>
      </c>
      <c r="TU47" s="1" t="s">
        <v>36300</v>
      </c>
      <c r="TV47" s="1" t="s">
        <v>36301</v>
      </c>
      <c r="TW47" s="1" t="s">
        <v>36302</v>
      </c>
      <c r="TX47" s="1" t="s">
        <v>36303</v>
      </c>
      <c r="TY47" s="1" t="s">
        <v>36304</v>
      </c>
      <c r="TZ47" s="1" t="s">
        <v>36305</v>
      </c>
      <c r="UA47" s="1" t="s">
        <v>36306</v>
      </c>
      <c r="UB47" s="1" t="s">
        <v>36307</v>
      </c>
      <c r="UC47" s="1" t="s">
        <v>36308</v>
      </c>
      <c r="UD47" s="1" t="s">
        <v>36309</v>
      </c>
      <c r="UE47" s="1" t="s">
        <v>36310</v>
      </c>
      <c r="UF47" s="1" t="s">
        <v>36311</v>
      </c>
      <c r="UG47" s="1" t="s">
        <v>36312</v>
      </c>
      <c r="UH47" s="1" t="s">
        <v>36313</v>
      </c>
      <c r="UI47" s="1" t="s">
        <v>36314</v>
      </c>
      <c r="UJ47" s="1" t="s">
        <v>36315</v>
      </c>
      <c r="UK47" s="1" t="s">
        <v>36316</v>
      </c>
      <c r="UL47" s="1" t="s">
        <v>36317</v>
      </c>
      <c r="UM47" s="1" t="s">
        <v>36318</v>
      </c>
      <c r="UN47" s="1" t="s">
        <v>36319</v>
      </c>
      <c r="UO47" s="1" t="s">
        <v>36320</v>
      </c>
      <c r="UP47" s="1" t="s">
        <v>36321</v>
      </c>
      <c r="UQ47" s="1" t="s">
        <v>36322</v>
      </c>
      <c r="UR47" s="1" t="s">
        <v>36323</v>
      </c>
      <c r="US47" s="1" t="s">
        <v>36324</v>
      </c>
      <c r="UT47" s="1" t="s">
        <v>36325</v>
      </c>
      <c r="UU47" s="1" t="s">
        <v>36326</v>
      </c>
      <c r="UV47" s="1" t="s">
        <v>36327</v>
      </c>
      <c r="UW47" s="1" t="s">
        <v>36328</v>
      </c>
      <c r="UX47" s="1" t="s">
        <v>36329</v>
      </c>
      <c r="UY47" s="1" t="s">
        <v>36330</v>
      </c>
      <c r="UZ47" s="1" t="s">
        <v>36331</v>
      </c>
      <c r="VA47" s="1" t="s">
        <v>36332</v>
      </c>
      <c r="VB47" s="1" t="s">
        <v>36333</v>
      </c>
      <c r="VC47" s="1" t="s">
        <v>36334</v>
      </c>
      <c r="VD47" s="1" t="s">
        <v>36335</v>
      </c>
      <c r="VE47" s="1" t="s">
        <v>36336</v>
      </c>
      <c r="VF47" s="1" t="s">
        <v>36337</v>
      </c>
      <c r="VG47" s="1" t="s">
        <v>36338</v>
      </c>
      <c r="VH47" s="1" t="s">
        <v>36339</v>
      </c>
      <c r="VI47" s="1" t="s">
        <v>36340</v>
      </c>
      <c r="VJ47" s="1" t="s">
        <v>36341</v>
      </c>
      <c r="VK47" s="1" t="s">
        <v>36342</v>
      </c>
      <c r="VL47" s="1" t="s">
        <v>36343</v>
      </c>
      <c r="VM47" s="1" t="s">
        <v>36344</v>
      </c>
      <c r="VN47" s="1" t="s">
        <v>36345</v>
      </c>
      <c r="VO47" s="1" t="s">
        <v>36346</v>
      </c>
      <c r="VP47" s="1" t="s">
        <v>36347</v>
      </c>
      <c r="VQ47" s="1" t="s">
        <v>36348</v>
      </c>
      <c r="VR47" s="1" t="s">
        <v>36349</v>
      </c>
      <c r="VS47" s="1" t="s">
        <v>36350</v>
      </c>
      <c r="VT47" s="1" t="s">
        <v>36351</v>
      </c>
      <c r="VU47" s="1" t="s">
        <v>36352</v>
      </c>
      <c r="VV47" s="1" t="s">
        <v>36353</v>
      </c>
      <c r="VW47" s="1" t="s">
        <v>36354</v>
      </c>
      <c r="VX47" s="1" t="s">
        <v>36355</v>
      </c>
      <c r="VY47" s="1" t="s">
        <v>36356</v>
      </c>
      <c r="VZ47" s="1" t="s">
        <v>36357</v>
      </c>
      <c r="WA47" s="1" t="s">
        <v>36358</v>
      </c>
      <c r="WB47" s="1" t="s">
        <v>36359</v>
      </c>
      <c r="WC47" s="1" t="s">
        <v>36360</v>
      </c>
      <c r="WD47" s="1" t="s">
        <v>36361</v>
      </c>
      <c r="WE47" s="1" t="s">
        <v>36362</v>
      </c>
      <c r="WF47" s="1" t="s">
        <v>36363</v>
      </c>
      <c r="WG47" s="1" t="s">
        <v>36364</v>
      </c>
      <c r="WH47" s="1" t="s">
        <v>36365</v>
      </c>
      <c r="WI47" s="1" t="s">
        <v>36366</v>
      </c>
      <c r="WJ47" s="1" t="s">
        <v>36367</v>
      </c>
      <c r="WK47" s="1" t="s">
        <v>36368</v>
      </c>
      <c r="WL47" s="1" t="s">
        <v>36369</v>
      </c>
      <c r="WM47" s="1" t="s">
        <v>36370</v>
      </c>
      <c r="WN47" s="1" t="s">
        <v>36371</v>
      </c>
      <c r="WO47" s="1" t="s">
        <v>36372</v>
      </c>
      <c r="WP47" s="1" t="s">
        <v>36373</v>
      </c>
      <c r="WQ47" s="1" t="s">
        <v>36374</v>
      </c>
      <c r="WR47" s="1" t="s">
        <v>36375</v>
      </c>
      <c r="WS47" s="1" t="s">
        <v>36376</v>
      </c>
      <c r="WT47" s="1" t="s">
        <v>36377</v>
      </c>
      <c r="WU47" s="1" t="s">
        <v>36378</v>
      </c>
      <c r="WV47" s="1" t="s">
        <v>36379</v>
      </c>
      <c r="WW47" s="1" t="s">
        <v>36380</v>
      </c>
      <c r="WX47" s="1" t="s">
        <v>36381</v>
      </c>
      <c r="WY47" s="1" t="s">
        <v>36382</v>
      </c>
      <c r="WZ47" s="1" t="s">
        <v>36383</v>
      </c>
      <c r="XA47" s="1" t="s">
        <v>36384</v>
      </c>
      <c r="XB47" s="1" t="s">
        <v>36385</v>
      </c>
      <c r="XC47" s="1" t="s">
        <v>36386</v>
      </c>
      <c r="XD47" s="1" t="s">
        <v>36387</v>
      </c>
      <c r="XE47" s="1" t="s">
        <v>36388</v>
      </c>
      <c r="XF47" s="1" t="s">
        <v>36389</v>
      </c>
      <c r="XG47" s="1" t="s">
        <v>36390</v>
      </c>
      <c r="XH47" s="1" t="s">
        <v>36391</v>
      </c>
      <c r="XI47" s="1" t="s">
        <v>36392</v>
      </c>
      <c r="XJ47" s="1" t="s">
        <v>36393</v>
      </c>
      <c r="XK47" s="1" t="s">
        <v>36394</v>
      </c>
      <c r="XL47" s="1" t="s">
        <v>36395</v>
      </c>
      <c r="XM47" s="1" t="s">
        <v>36396</v>
      </c>
      <c r="XN47" s="1" t="s">
        <v>36397</v>
      </c>
      <c r="XO47" s="1" t="s">
        <v>36398</v>
      </c>
      <c r="XP47" s="1" t="s">
        <v>36399</v>
      </c>
      <c r="XQ47" s="1" t="s">
        <v>36400</v>
      </c>
      <c r="XR47" s="1" t="s">
        <v>36401</v>
      </c>
      <c r="XS47" s="1" t="s">
        <v>36402</v>
      </c>
      <c r="XT47" s="1" t="s">
        <v>36403</v>
      </c>
      <c r="XU47" s="1" t="s">
        <v>36404</v>
      </c>
      <c r="XV47" s="1" t="s">
        <v>36405</v>
      </c>
      <c r="XW47" s="1" t="s">
        <v>36406</v>
      </c>
      <c r="XX47" s="1" t="s">
        <v>36407</v>
      </c>
      <c r="XY47" s="1" t="s">
        <v>36408</v>
      </c>
      <c r="XZ47" s="1" t="s">
        <v>36409</v>
      </c>
      <c r="YA47" s="1" t="s">
        <v>36410</v>
      </c>
      <c r="YB47" s="1" t="s">
        <v>36411</v>
      </c>
      <c r="YC47" s="1" t="s">
        <v>36412</v>
      </c>
      <c r="YD47" s="1" t="s">
        <v>36413</v>
      </c>
      <c r="YE47" s="1" t="s">
        <v>36414</v>
      </c>
      <c r="YF47" s="1" t="s">
        <v>36415</v>
      </c>
      <c r="YG47" s="1" t="s">
        <v>36416</v>
      </c>
      <c r="YH47" s="1" t="s">
        <v>36417</v>
      </c>
      <c r="YI47" s="1" t="s">
        <v>36418</v>
      </c>
      <c r="YJ47" s="1" t="s">
        <v>36419</v>
      </c>
      <c r="YK47" s="1" t="s">
        <v>36420</v>
      </c>
      <c r="YL47" s="1" t="s">
        <v>36421</v>
      </c>
      <c r="YM47" s="1" t="s">
        <v>36422</v>
      </c>
      <c r="YN47" s="1" t="s">
        <v>36423</v>
      </c>
      <c r="YO47" s="1" t="s">
        <v>36424</v>
      </c>
      <c r="YP47" s="1" t="s">
        <v>36425</v>
      </c>
      <c r="YQ47" s="1" t="s">
        <v>36426</v>
      </c>
      <c r="YR47" s="1" t="s">
        <v>36427</v>
      </c>
      <c r="YS47" s="1" t="s">
        <v>36428</v>
      </c>
      <c r="YT47" s="1" t="s">
        <v>36429</v>
      </c>
      <c r="YU47" s="1" t="s">
        <v>36430</v>
      </c>
      <c r="YV47" s="1" t="s">
        <v>36431</v>
      </c>
      <c r="YW47" s="1" t="s">
        <v>36432</v>
      </c>
      <c r="YX47" s="1" t="s">
        <v>36433</v>
      </c>
      <c r="YY47" s="1" t="s">
        <v>36434</v>
      </c>
      <c r="YZ47" s="1" t="s">
        <v>36435</v>
      </c>
      <c r="ZA47" s="1" t="s">
        <v>36436</v>
      </c>
      <c r="ZB47" s="1" t="s">
        <v>36437</v>
      </c>
      <c r="ZC47" s="1" t="s">
        <v>36438</v>
      </c>
      <c r="ZD47" s="1" t="s">
        <v>36439</v>
      </c>
      <c r="ZE47" s="1" t="s">
        <v>36440</v>
      </c>
      <c r="ZF47" s="1" t="s">
        <v>36441</v>
      </c>
      <c r="ZG47" s="1" t="s">
        <v>36442</v>
      </c>
      <c r="ZH47" s="1" t="s">
        <v>36443</v>
      </c>
      <c r="ZI47" s="1" t="s">
        <v>36444</v>
      </c>
      <c r="ZJ47" s="1" t="s">
        <v>36445</v>
      </c>
      <c r="ZK47" s="1" t="s">
        <v>36446</v>
      </c>
      <c r="ZL47" s="1" t="s">
        <v>36447</v>
      </c>
      <c r="ZM47" s="1" t="s">
        <v>36448</v>
      </c>
      <c r="ZN47" s="1" t="s">
        <v>36449</v>
      </c>
      <c r="ZO47" s="1" t="s">
        <v>36450</v>
      </c>
      <c r="ZP47" s="1" t="s">
        <v>36451</v>
      </c>
      <c r="ZQ47" s="1" t="s">
        <v>36452</v>
      </c>
      <c r="ZR47" s="1" t="s">
        <v>36453</v>
      </c>
      <c r="ZS47" s="1" t="s">
        <v>36454</v>
      </c>
      <c r="ZT47" s="1" t="s">
        <v>36455</v>
      </c>
      <c r="ZU47" s="1" t="s">
        <v>36456</v>
      </c>
      <c r="ZV47" s="1" t="s">
        <v>36457</v>
      </c>
      <c r="ZW47" s="1" t="s">
        <v>36458</v>
      </c>
      <c r="ZX47" s="1" t="s">
        <v>36459</v>
      </c>
      <c r="ZY47" s="1" t="s">
        <v>36460</v>
      </c>
      <c r="ZZ47" s="1" t="s">
        <v>36461</v>
      </c>
      <c r="AAA47" s="1" t="s">
        <v>36462</v>
      </c>
      <c r="AAB47" s="1" t="s">
        <v>36463</v>
      </c>
      <c r="AAC47" s="1" t="s">
        <v>36464</v>
      </c>
      <c r="AAD47" s="1" t="s">
        <v>36465</v>
      </c>
      <c r="AAE47" s="1" t="s">
        <v>36466</v>
      </c>
      <c r="AAF47" s="1" t="s">
        <v>36467</v>
      </c>
      <c r="AAG47" s="1" t="s">
        <v>36468</v>
      </c>
      <c r="AAH47" s="1" t="s">
        <v>36469</v>
      </c>
      <c r="AAI47" s="1" t="s">
        <v>36470</v>
      </c>
      <c r="AAJ47" s="1" t="s">
        <v>36471</v>
      </c>
      <c r="AAK47" s="1" t="s">
        <v>36472</v>
      </c>
      <c r="AAL47" s="1" t="s">
        <v>36473</v>
      </c>
      <c r="AAM47" s="1" t="s">
        <v>36474</v>
      </c>
      <c r="AAN47" s="1" t="s">
        <v>36475</v>
      </c>
      <c r="AAO47" s="1" t="s">
        <v>36476</v>
      </c>
      <c r="AAP47" s="1" t="s">
        <v>36477</v>
      </c>
      <c r="AAQ47" s="1" t="s">
        <v>36478</v>
      </c>
      <c r="AAR47" s="1" t="s">
        <v>36479</v>
      </c>
      <c r="AAS47" s="1" t="s">
        <v>36480</v>
      </c>
      <c r="AAT47" s="1" t="s">
        <v>36481</v>
      </c>
      <c r="AAU47" s="1" t="s">
        <v>36482</v>
      </c>
      <c r="AAV47" s="1" t="s">
        <v>36483</v>
      </c>
      <c r="AAW47" s="1" t="s">
        <v>36484</v>
      </c>
      <c r="AAX47" s="1" t="s">
        <v>36485</v>
      </c>
      <c r="AAY47" s="1" t="s">
        <v>36486</v>
      </c>
      <c r="AAZ47" s="1" t="s">
        <v>36487</v>
      </c>
      <c r="ABA47" s="1" t="s">
        <v>36488</v>
      </c>
      <c r="ABB47" s="1" t="s">
        <v>36489</v>
      </c>
      <c r="ABC47" s="1" t="s">
        <v>36490</v>
      </c>
      <c r="ABD47" s="1" t="s">
        <v>36491</v>
      </c>
      <c r="ABE47" s="1" t="s">
        <v>36492</v>
      </c>
      <c r="ABF47" s="1" t="s">
        <v>36493</v>
      </c>
      <c r="ABG47" s="1" t="s">
        <v>36494</v>
      </c>
      <c r="ABH47" s="1" t="s">
        <v>36495</v>
      </c>
      <c r="ABI47" s="1" t="s">
        <v>36496</v>
      </c>
      <c r="ABJ47" s="1" t="s">
        <v>36497</v>
      </c>
      <c r="ABK47" s="1" t="s">
        <v>36498</v>
      </c>
      <c r="ABL47" s="1" t="s">
        <v>36499</v>
      </c>
      <c r="ABM47" s="1" t="s">
        <v>36500</v>
      </c>
      <c r="ABN47" s="1" t="s">
        <v>36501</v>
      </c>
      <c r="ABO47" s="1" t="s">
        <v>36502</v>
      </c>
      <c r="ABP47" s="1" t="s">
        <v>36503</v>
      </c>
      <c r="ABQ47" s="1" t="s">
        <v>36504</v>
      </c>
      <c r="ABR47" s="1" t="s">
        <v>36505</v>
      </c>
      <c r="ABS47" s="1" t="s">
        <v>36506</v>
      </c>
      <c r="ABT47" s="1" t="s">
        <v>36507</v>
      </c>
      <c r="ABU47" s="1" t="s">
        <v>36508</v>
      </c>
      <c r="ABV47" s="1" t="s">
        <v>36509</v>
      </c>
      <c r="ABW47" s="1" t="s">
        <v>36510</v>
      </c>
      <c r="ABX47" s="1" t="s">
        <v>36511</v>
      </c>
      <c r="ABY47" s="1" t="s">
        <v>36512</v>
      </c>
      <c r="ABZ47" s="1" t="s">
        <v>36513</v>
      </c>
      <c r="ACA47" s="1" t="s">
        <v>36514</v>
      </c>
      <c r="ACB47" s="1" t="s">
        <v>36515</v>
      </c>
      <c r="ACC47" s="1" t="s">
        <v>36516</v>
      </c>
      <c r="ACD47" s="1" t="s">
        <v>36517</v>
      </c>
      <c r="ACE47" s="1" t="s">
        <v>36518</v>
      </c>
      <c r="ACF47" s="1" t="s">
        <v>36519</v>
      </c>
      <c r="ACG47" s="1" t="s">
        <v>36520</v>
      </c>
      <c r="ACH47" s="1" t="s">
        <v>36521</v>
      </c>
      <c r="ACI47" s="1" t="s">
        <v>36522</v>
      </c>
      <c r="ACJ47" s="1" t="s">
        <v>36523</v>
      </c>
      <c r="ACK47" s="1" t="s">
        <v>36524</v>
      </c>
      <c r="ACL47" s="1" t="s">
        <v>36525</v>
      </c>
      <c r="ACM47" s="1" t="s">
        <v>36526</v>
      </c>
      <c r="ACN47" s="1" t="s">
        <v>36527</v>
      </c>
      <c r="ACO47" s="1" t="s">
        <v>36528</v>
      </c>
      <c r="ACP47" s="1" t="s">
        <v>36529</v>
      </c>
      <c r="ACQ47" s="1" t="s">
        <v>36530</v>
      </c>
      <c r="ACR47" s="1" t="s">
        <v>36531</v>
      </c>
      <c r="ACS47" s="1" t="s">
        <v>36532</v>
      </c>
      <c r="ACT47" s="1" t="s">
        <v>36533</v>
      </c>
      <c r="ACU47" s="1" t="s">
        <v>36534</v>
      </c>
      <c r="ACV47" s="1" t="s">
        <v>36535</v>
      </c>
      <c r="ACW47" s="1" t="s">
        <v>12</v>
      </c>
      <c r="ACX47" s="1" t="s">
        <v>1500</v>
      </c>
    </row>
    <row r="48" spans="1:778" x14ac:dyDescent="0.2">
      <c r="A48" s="1" t="s">
        <v>15</v>
      </c>
      <c r="B48" s="1" t="s">
        <v>36536</v>
      </c>
      <c r="C48" s="1" t="s">
        <v>36537</v>
      </c>
      <c r="D48" s="1" t="s">
        <v>36538</v>
      </c>
      <c r="E48" s="1" t="s">
        <v>36539</v>
      </c>
      <c r="F48" s="1" t="s">
        <v>36540</v>
      </c>
      <c r="G48" s="1" t="s">
        <v>36541</v>
      </c>
      <c r="H48" s="1" t="s">
        <v>36542</v>
      </c>
      <c r="I48" s="1" t="s">
        <v>36543</v>
      </c>
      <c r="J48" s="1" t="s">
        <v>36544</v>
      </c>
      <c r="K48" s="1" t="s">
        <v>36545</v>
      </c>
      <c r="L48" s="1" t="s">
        <v>36546</v>
      </c>
      <c r="M48" s="1" t="s">
        <v>36547</v>
      </c>
      <c r="N48" s="1" t="s">
        <v>36548</v>
      </c>
      <c r="O48" s="1" t="s">
        <v>36549</v>
      </c>
      <c r="P48" s="1" t="s">
        <v>36550</v>
      </c>
      <c r="Q48" s="1" t="s">
        <v>36551</v>
      </c>
      <c r="R48" s="1" t="s">
        <v>36552</v>
      </c>
      <c r="S48" s="1" t="s">
        <v>36553</v>
      </c>
      <c r="T48" s="1" t="s">
        <v>36554</v>
      </c>
      <c r="U48" s="1" t="s">
        <v>36555</v>
      </c>
      <c r="V48" s="1" t="s">
        <v>36556</v>
      </c>
      <c r="W48" s="1" t="s">
        <v>36557</v>
      </c>
      <c r="X48" s="1" t="s">
        <v>36558</v>
      </c>
      <c r="Y48" s="1" t="s">
        <v>36559</v>
      </c>
      <c r="Z48" s="1" t="s">
        <v>36560</v>
      </c>
      <c r="AA48" s="1" t="s">
        <v>36561</v>
      </c>
      <c r="AB48" s="1" t="s">
        <v>36562</v>
      </c>
      <c r="AC48" s="1" t="s">
        <v>36563</v>
      </c>
      <c r="AD48" s="1" t="s">
        <v>36564</v>
      </c>
      <c r="AE48" s="1" t="s">
        <v>36565</v>
      </c>
      <c r="AF48" s="1" t="s">
        <v>36566</v>
      </c>
      <c r="AG48" s="1" t="s">
        <v>36567</v>
      </c>
      <c r="AH48" s="1" t="s">
        <v>36568</v>
      </c>
      <c r="AI48" s="1" t="s">
        <v>36569</v>
      </c>
      <c r="AJ48" s="1" t="s">
        <v>36570</v>
      </c>
      <c r="AK48" s="1" t="s">
        <v>36571</v>
      </c>
      <c r="AL48" s="1" t="s">
        <v>36572</v>
      </c>
      <c r="AM48" s="1" t="s">
        <v>36573</v>
      </c>
      <c r="AN48" s="1" t="s">
        <v>36574</v>
      </c>
      <c r="AO48" s="1" t="s">
        <v>36575</v>
      </c>
      <c r="AP48" s="1" t="s">
        <v>36576</v>
      </c>
      <c r="AQ48" s="1" t="s">
        <v>36577</v>
      </c>
      <c r="AR48" s="1" t="s">
        <v>36578</v>
      </c>
      <c r="AS48" s="1" t="s">
        <v>36579</v>
      </c>
      <c r="AT48" s="1" t="s">
        <v>36580</v>
      </c>
      <c r="AU48" s="1" t="s">
        <v>36581</v>
      </c>
      <c r="AV48" s="1" t="s">
        <v>36582</v>
      </c>
      <c r="AW48" s="1" t="s">
        <v>36583</v>
      </c>
      <c r="AX48" s="1" t="s">
        <v>36584</v>
      </c>
      <c r="AY48" s="1" t="s">
        <v>36585</v>
      </c>
      <c r="AZ48" s="1" t="s">
        <v>36586</v>
      </c>
      <c r="BA48" s="1" t="s">
        <v>36587</v>
      </c>
      <c r="BB48" s="1" t="s">
        <v>36588</v>
      </c>
      <c r="BC48" s="1" t="s">
        <v>36589</v>
      </c>
      <c r="BD48" s="1" t="s">
        <v>36590</v>
      </c>
      <c r="BE48" s="1" t="s">
        <v>36591</v>
      </c>
      <c r="BF48" s="1" t="s">
        <v>36592</v>
      </c>
      <c r="BG48" s="1" t="s">
        <v>36593</v>
      </c>
      <c r="BH48" s="1" t="s">
        <v>36594</v>
      </c>
      <c r="BI48" s="1" t="s">
        <v>36595</v>
      </c>
      <c r="BJ48" s="1" t="s">
        <v>36596</v>
      </c>
      <c r="BK48" s="1" t="s">
        <v>36597</v>
      </c>
      <c r="BL48" s="1" t="s">
        <v>36598</v>
      </c>
      <c r="BM48" s="1" t="s">
        <v>36599</v>
      </c>
      <c r="BN48" s="1" t="s">
        <v>36600</v>
      </c>
      <c r="BO48" s="1" t="s">
        <v>36601</v>
      </c>
      <c r="BP48" s="1" t="s">
        <v>36602</v>
      </c>
      <c r="BQ48" s="1" t="s">
        <v>36603</v>
      </c>
      <c r="BR48" s="1" t="s">
        <v>36604</v>
      </c>
      <c r="BS48" s="1" t="s">
        <v>36605</v>
      </c>
      <c r="BT48" s="1" t="s">
        <v>36606</v>
      </c>
      <c r="BU48" s="1" t="s">
        <v>36607</v>
      </c>
      <c r="BV48" s="1" t="s">
        <v>36608</v>
      </c>
      <c r="BW48" s="1" t="s">
        <v>36609</v>
      </c>
      <c r="BX48" s="1" t="s">
        <v>36610</v>
      </c>
      <c r="BY48" s="1" t="s">
        <v>36611</v>
      </c>
      <c r="BZ48" s="1" t="s">
        <v>36612</v>
      </c>
      <c r="CA48" s="1" t="s">
        <v>36613</v>
      </c>
      <c r="CB48" s="1" t="s">
        <v>36614</v>
      </c>
      <c r="CC48" s="1" t="s">
        <v>36615</v>
      </c>
      <c r="CD48" s="1" t="s">
        <v>36616</v>
      </c>
      <c r="CE48" s="1" t="s">
        <v>36617</v>
      </c>
      <c r="CF48" s="1" t="s">
        <v>36618</v>
      </c>
      <c r="CG48" s="1" t="s">
        <v>36619</v>
      </c>
      <c r="CH48" s="1" t="s">
        <v>36620</v>
      </c>
      <c r="CI48" s="1" t="s">
        <v>36621</v>
      </c>
      <c r="CJ48" s="1" t="s">
        <v>36622</v>
      </c>
      <c r="CK48" s="1" t="s">
        <v>36623</v>
      </c>
      <c r="CL48" s="1" t="s">
        <v>36624</v>
      </c>
      <c r="CM48" s="1" t="s">
        <v>36625</v>
      </c>
      <c r="CN48" s="1" t="s">
        <v>36626</v>
      </c>
      <c r="CO48" s="1" t="s">
        <v>36627</v>
      </c>
      <c r="CP48" s="1" t="s">
        <v>36628</v>
      </c>
      <c r="CQ48" s="1" t="s">
        <v>36629</v>
      </c>
      <c r="CR48" s="1" t="s">
        <v>36630</v>
      </c>
      <c r="CS48" s="1" t="s">
        <v>36631</v>
      </c>
      <c r="CT48" s="1" t="s">
        <v>36632</v>
      </c>
      <c r="CU48" s="1" t="s">
        <v>36633</v>
      </c>
      <c r="CV48" s="1" t="s">
        <v>36634</v>
      </c>
      <c r="CW48" s="1" t="s">
        <v>36635</v>
      </c>
      <c r="CX48" s="1" t="s">
        <v>36636</v>
      </c>
      <c r="CY48" s="1" t="s">
        <v>36637</v>
      </c>
      <c r="CZ48" s="1" t="s">
        <v>36638</v>
      </c>
      <c r="DA48" s="1" t="s">
        <v>36639</v>
      </c>
      <c r="DB48" s="1" t="s">
        <v>36640</v>
      </c>
      <c r="DC48" s="1" t="s">
        <v>36641</v>
      </c>
      <c r="DD48" s="1" t="s">
        <v>36642</v>
      </c>
      <c r="DE48" s="1" t="s">
        <v>36643</v>
      </c>
      <c r="DF48" s="1" t="s">
        <v>36644</v>
      </c>
      <c r="DG48" s="1" t="s">
        <v>36645</v>
      </c>
      <c r="DH48" s="1" t="s">
        <v>36646</v>
      </c>
      <c r="DI48" s="1" t="s">
        <v>36647</v>
      </c>
      <c r="DJ48" s="1" t="s">
        <v>36648</v>
      </c>
      <c r="DK48" s="1" t="s">
        <v>36649</v>
      </c>
      <c r="DL48" s="1" t="s">
        <v>36650</v>
      </c>
      <c r="DM48" s="1" t="s">
        <v>36651</v>
      </c>
      <c r="DN48" s="1" t="s">
        <v>36652</v>
      </c>
      <c r="DO48" s="1" t="s">
        <v>36653</v>
      </c>
      <c r="DP48" s="1" t="s">
        <v>36654</v>
      </c>
      <c r="DQ48" s="1" t="s">
        <v>36655</v>
      </c>
      <c r="DR48" s="1" t="s">
        <v>36656</v>
      </c>
      <c r="DS48" s="1" t="s">
        <v>36657</v>
      </c>
      <c r="DT48" s="1" t="s">
        <v>36658</v>
      </c>
      <c r="DU48" s="1" t="s">
        <v>36659</v>
      </c>
      <c r="DV48" s="1" t="s">
        <v>36660</v>
      </c>
      <c r="DW48" s="1" t="s">
        <v>36661</v>
      </c>
      <c r="DX48" s="1" t="s">
        <v>36662</v>
      </c>
      <c r="DY48" s="1" t="s">
        <v>36663</v>
      </c>
      <c r="DZ48" s="1" t="s">
        <v>36664</v>
      </c>
      <c r="EA48" s="1" t="s">
        <v>36665</v>
      </c>
      <c r="EB48" s="1" t="s">
        <v>36666</v>
      </c>
      <c r="EC48" s="1" t="s">
        <v>36667</v>
      </c>
      <c r="ED48" s="1" t="s">
        <v>36668</v>
      </c>
      <c r="EE48" s="1" t="s">
        <v>36669</v>
      </c>
      <c r="EF48" s="1" t="s">
        <v>36670</v>
      </c>
      <c r="EG48" s="1" t="s">
        <v>36671</v>
      </c>
      <c r="EH48" s="1" t="s">
        <v>36672</v>
      </c>
      <c r="EI48" s="1" t="s">
        <v>36673</v>
      </c>
      <c r="EJ48" s="1" t="s">
        <v>36674</v>
      </c>
      <c r="EK48" s="1" t="s">
        <v>36675</v>
      </c>
      <c r="EL48" s="1" t="s">
        <v>36676</v>
      </c>
      <c r="EM48" s="1" t="s">
        <v>36677</v>
      </c>
      <c r="EN48" s="1" t="s">
        <v>36678</v>
      </c>
      <c r="EO48" s="1" t="s">
        <v>36679</v>
      </c>
      <c r="EP48" s="1" t="s">
        <v>36680</v>
      </c>
      <c r="EQ48" s="1" t="s">
        <v>36681</v>
      </c>
      <c r="ER48" s="1" t="s">
        <v>36682</v>
      </c>
      <c r="ES48" s="1" t="s">
        <v>36683</v>
      </c>
      <c r="ET48" s="1" t="s">
        <v>36684</v>
      </c>
      <c r="EU48" s="1" t="s">
        <v>36685</v>
      </c>
      <c r="EV48" s="1" t="s">
        <v>36686</v>
      </c>
      <c r="EW48" s="1" t="s">
        <v>36687</v>
      </c>
      <c r="EX48" s="1" t="s">
        <v>36688</v>
      </c>
      <c r="EY48" s="1" t="s">
        <v>36689</v>
      </c>
      <c r="EZ48" s="1" t="s">
        <v>36690</v>
      </c>
      <c r="FA48" s="1" t="s">
        <v>36691</v>
      </c>
      <c r="FB48" s="1" t="s">
        <v>36692</v>
      </c>
      <c r="FC48" s="1" t="s">
        <v>36693</v>
      </c>
      <c r="FD48" s="1" t="s">
        <v>36694</v>
      </c>
      <c r="FE48" s="1" t="s">
        <v>36695</v>
      </c>
      <c r="FF48" s="1" t="s">
        <v>36696</v>
      </c>
      <c r="FG48" s="1" t="s">
        <v>36697</v>
      </c>
      <c r="FH48" s="1" t="s">
        <v>36698</v>
      </c>
      <c r="FI48" s="1" t="s">
        <v>36699</v>
      </c>
      <c r="FJ48" s="1" t="s">
        <v>36700</v>
      </c>
      <c r="FK48" s="1" t="s">
        <v>36701</v>
      </c>
      <c r="FL48" s="1" t="s">
        <v>36702</v>
      </c>
      <c r="FM48" s="1" t="s">
        <v>36703</v>
      </c>
      <c r="FN48" s="1" t="s">
        <v>36704</v>
      </c>
      <c r="FO48" s="1" t="s">
        <v>36705</v>
      </c>
      <c r="FP48" s="1" t="s">
        <v>36706</v>
      </c>
      <c r="FQ48" s="1" t="s">
        <v>36707</v>
      </c>
      <c r="FR48" s="1" t="s">
        <v>36708</v>
      </c>
      <c r="FS48" s="1" t="s">
        <v>36709</v>
      </c>
      <c r="FT48" s="1" t="s">
        <v>36710</v>
      </c>
      <c r="FU48" s="1" t="s">
        <v>36711</v>
      </c>
      <c r="FV48" s="1" t="s">
        <v>36712</v>
      </c>
      <c r="FW48" s="1" t="s">
        <v>36713</v>
      </c>
      <c r="FX48" s="1" t="s">
        <v>36714</v>
      </c>
      <c r="FY48" s="1" t="s">
        <v>36715</v>
      </c>
      <c r="FZ48" s="1" t="s">
        <v>36716</v>
      </c>
      <c r="GA48" s="1" t="s">
        <v>36717</v>
      </c>
      <c r="GB48" s="1" t="s">
        <v>36718</v>
      </c>
      <c r="GC48" s="1" t="s">
        <v>36719</v>
      </c>
      <c r="GD48" s="1" t="s">
        <v>36720</v>
      </c>
      <c r="GE48" s="1" t="s">
        <v>36721</v>
      </c>
      <c r="GF48" s="1" t="s">
        <v>36722</v>
      </c>
      <c r="GG48" s="1" t="s">
        <v>36723</v>
      </c>
      <c r="GH48" s="1" t="s">
        <v>36724</v>
      </c>
      <c r="GI48" s="1" t="s">
        <v>36725</v>
      </c>
      <c r="GJ48" s="1" t="s">
        <v>36726</v>
      </c>
      <c r="GK48" s="1" t="s">
        <v>36727</v>
      </c>
      <c r="GL48" s="1" t="s">
        <v>36728</v>
      </c>
      <c r="GM48" s="1" t="s">
        <v>36729</v>
      </c>
      <c r="GN48" s="1" t="s">
        <v>36730</v>
      </c>
      <c r="GO48" s="1" t="s">
        <v>36731</v>
      </c>
      <c r="GP48" s="1" t="s">
        <v>36732</v>
      </c>
      <c r="GQ48" s="1" t="s">
        <v>36733</v>
      </c>
      <c r="GR48" s="1" t="s">
        <v>36734</v>
      </c>
      <c r="GS48" s="1" t="s">
        <v>36735</v>
      </c>
      <c r="GT48" s="1" t="s">
        <v>36736</v>
      </c>
      <c r="GU48" s="1" t="s">
        <v>36737</v>
      </c>
      <c r="GV48" s="1" t="s">
        <v>36738</v>
      </c>
      <c r="GW48" s="1" t="s">
        <v>36739</v>
      </c>
      <c r="GX48" s="1" t="s">
        <v>36740</v>
      </c>
      <c r="GY48" s="1" t="s">
        <v>36741</v>
      </c>
      <c r="GZ48" s="1" t="s">
        <v>36742</v>
      </c>
      <c r="HA48" s="1" t="s">
        <v>36743</v>
      </c>
      <c r="HB48" s="1" t="s">
        <v>36744</v>
      </c>
      <c r="HC48" s="1" t="s">
        <v>36745</v>
      </c>
      <c r="HD48" s="1" t="s">
        <v>36746</v>
      </c>
      <c r="HE48" s="1" t="s">
        <v>36747</v>
      </c>
      <c r="HF48" s="1" t="s">
        <v>36748</v>
      </c>
      <c r="HG48" s="1" t="s">
        <v>36749</v>
      </c>
      <c r="HH48" s="1" t="s">
        <v>36750</v>
      </c>
      <c r="HI48" s="1" t="s">
        <v>36751</v>
      </c>
      <c r="HJ48" s="1" t="s">
        <v>36752</v>
      </c>
      <c r="HK48" s="1" t="s">
        <v>36753</v>
      </c>
      <c r="HL48" s="1" t="s">
        <v>36754</v>
      </c>
      <c r="HM48" s="1" t="s">
        <v>36755</v>
      </c>
      <c r="HN48" s="1" t="s">
        <v>36756</v>
      </c>
      <c r="HO48" s="1" t="s">
        <v>36757</v>
      </c>
      <c r="HP48" s="1" t="s">
        <v>36758</v>
      </c>
      <c r="HQ48" s="1" t="s">
        <v>36759</v>
      </c>
      <c r="HR48" s="1" t="s">
        <v>36760</v>
      </c>
      <c r="HS48" s="1" t="s">
        <v>36761</v>
      </c>
      <c r="HT48" s="1" t="s">
        <v>36762</v>
      </c>
      <c r="HU48" s="1" t="s">
        <v>36763</v>
      </c>
      <c r="HV48" s="1" t="s">
        <v>36764</v>
      </c>
      <c r="HW48" s="1" t="s">
        <v>36765</v>
      </c>
      <c r="HX48" s="1" t="s">
        <v>36766</v>
      </c>
      <c r="HY48" s="1" t="s">
        <v>36767</v>
      </c>
      <c r="HZ48" s="1" t="s">
        <v>36768</v>
      </c>
      <c r="IA48" s="1" t="s">
        <v>36769</v>
      </c>
      <c r="IB48" s="1" t="s">
        <v>36770</v>
      </c>
      <c r="IC48" s="1" t="s">
        <v>36771</v>
      </c>
      <c r="ID48" s="1" t="s">
        <v>36772</v>
      </c>
      <c r="IE48" s="1" t="s">
        <v>36773</v>
      </c>
      <c r="IF48" s="1" t="s">
        <v>36774</v>
      </c>
      <c r="IG48" s="1" t="s">
        <v>36775</v>
      </c>
      <c r="IH48" s="1" t="s">
        <v>36776</v>
      </c>
      <c r="II48" s="1" t="s">
        <v>36777</v>
      </c>
      <c r="IJ48" s="1" t="s">
        <v>36778</v>
      </c>
      <c r="IK48" s="1" t="s">
        <v>36779</v>
      </c>
      <c r="IL48" s="1" t="s">
        <v>36780</v>
      </c>
      <c r="IM48" s="1" t="s">
        <v>36781</v>
      </c>
      <c r="IN48" s="1" t="s">
        <v>36782</v>
      </c>
      <c r="IO48" s="1" t="s">
        <v>36783</v>
      </c>
      <c r="IP48" s="1" t="s">
        <v>36784</v>
      </c>
      <c r="IQ48" s="1" t="s">
        <v>36785</v>
      </c>
      <c r="IR48" s="1" t="s">
        <v>36786</v>
      </c>
      <c r="IS48" s="1" t="s">
        <v>36787</v>
      </c>
      <c r="IT48" s="1" t="s">
        <v>36788</v>
      </c>
      <c r="IU48" s="1" t="s">
        <v>36789</v>
      </c>
      <c r="IV48" s="1" t="s">
        <v>36790</v>
      </c>
      <c r="IW48" s="1" t="s">
        <v>36791</v>
      </c>
      <c r="IX48" s="1" t="s">
        <v>36792</v>
      </c>
      <c r="IY48" s="1" t="s">
        <v>36793</v>
      </c>
      <c r="IZ48" s="1" t="s">
        <v>36794</v>
      </c>
      <c r="JA48" s="1" t="s">
        <v>36795</v>
      </c>
      <c r="JB48" s="1" t="s">
        <v>36796</v>
      </c>
      <c r="JC48" s="1" t="s">
        <v>36797</v>
      </c>
      <c r="JD48" s="1" t="s">
        <v>36798</v>
      </c>
      <c r="JE48" s="1" t="s">
        <v>36799</v>
      </c>
      <c r="JF48" s="1" t="s">
        <v>36800</v>
      </c>
      <c r="JG48" s="1" t="s">
        <v>36801</v>
      </c>
      <c r="JH48" s="1" t="s">
        <v>36802</v>
      </c>
      <c r="JI48" s="1" t="s">
        <v>36803</v>
      </c>
      <c r="JJ48" s="1" t="s">
        <v>36804</v>
      </c>
      <c r="JK48" s="1" t="s">
        <v>36805</v>
      </c>
      <c r="JL48" s="1" t="s">
        <v>36806</v>
      </c>
      <c r="JM48" s="1" t="s">
        <v>36807</v>
      </c>
      <c r="JN48" s="1" t="s">
        <v>36808</v>
      </c>
      <c r="JO48" s="1" t="s">
        <v>36809</v>
      </c>
      <c r="JP48" s="1" t="s">
        <v>36810</v>
      </c>
      <c r="JQ48" s="1" t="s">
        <v>36811</v>
      </c>
      <c r="JR48" s="1" t="s">
        <v>36812</v>
      </c>
      <c r="JS48" s="1" t="s">
        <v>36813</v>
      </c>
      <c r="JT48" s="1" t="s">
        <v>36814</v>
      </c>
      <c r="JU48" s="1" t="s">
        <v>36815</v>
      </c>
      <c r="JV48" s="1" t="s">
        <v>36816</v>
      </c>
      <c r="JW48" s="1" t="s">
        <v>36817</v>
      </c>
      <c r="JX48" s="1" t="s">
        <v>36818</v>
      </c>
      <c r="JY48" s="1" t="s">
        <v>36819</v>
      </c>
      <c r="JZ48" s="1" t="s">
        <v>36820</v>
      </c>
      <c r="KA48" s="1" t="s">
        <v>36821</v>
      </c>
      <c r="KB48" s="1" t="s">
        <v>36822</v>
      </c>
      <c r="KC48" s="1" t="s">
        <v>36823</v>
      </c>
      <c r="KD48" s="1" t="s">
        <v>36824</v>
      </c>
      <c r="KE48" s="1" t="s">
        <v>36825</v>
      </c>
      <c r="KF48" s="1" t="s">
        <v>36826</v>
      </c>
      <c r="KG48" s="1" t="s">
        <v>36827</v>
      </c>
      <c r="KH48" s="1" t="s">
        <v>36828</v>
      </c>
      <c r="KI48" s="1" t="s">
        <v>36829</v>
      </c>
      <c r="KJ48" s="1" t="s">
        <v>36830</v>
      </c>
      <c r="KK48" s="1" t="s">
        <v>36831</v>
      </c>
      <c r="KL48" s="1" t="s">
        <v>36832</v>
      </c>
      <c r="KM48" s="1" t="s">
        <v>36833</v>
      </c>
      <c r="KN48" s="1" t="s">
        <v>36834</v>
      </c>
      <c r="KO48" s="1" t="s">
        <v>36835</v>
      </c>
      <c r="KP48" s="1" t="s">
        <v>36836</v>
      </c>
      <c r="KQ48" s="1" t="s">
        <v>36837</v>
      </c>
      <c r="KR48" s="1" t="s">
        <v>36838</v>
      </c>
      <c r="KS48" s="1" t="s">
        <v>36839</v>
      </c>
      <c r="KT48" s="1" t="s">
        <v>36840</v>
      </c>
      <c r="KU48" s="1" t="s">
        <v>36841</v>
      </c>
      <c r="KV48" s="1" t="s">
        <v>36842</v>
      </c>
      <c r="KW48" s="1" t="s">
        <v>36843</v>
      </c>
      <c r="KX48" s="1" t="s">
        <v>36844</v>
      </c>
      <c r="KY48" s="1" t="s">
        <v>36845</v>
      </c>
      <c r="KZ48" s="1" t="s">
        <v>36846</v>
      </c>
      <c r="LA48" s="1" t="s">
        <v>36847</v>
      </c>
      <c r="LB48" s="1" t="s">
        <v>36848</v>
      </c>
      <c r="LC48" s="1" t="s">
        <v>36849</v>
      </c>
      <c r="LD48" s="1" t="s">
        <v>36850</v>
      </c>
      <c r="LE48" s="1" t="s">
        <v>36851</v>
      </c>
      <c r="LF48" s="1" t="s">
        <v>36852</v>
      </c>
      <c r="LG48" s="1" t="s">
        <v>36853</v>
      </c>
      <c r="LH48" s="1" t="s">
        <v>36854</v>
      </c>
      <c r="LI48" s="1" t="s">
        <v>36855</v>
      </c>
      <c r="LJ48" s="1" t="s">
        <v>36856</v>
      </c>
      <c r="LK48" s="1" t="s">
        <v>36857</v>
      </c>
      <c r="LL48" s="1" t="s">
        <v>36858</v>
      </c>
      <c r="LM48" s="1" t="s">
        <v>36859</v>
      </c>
      <c r="LN48" s="1" t="s">
        <v>36860</v>
      </c>
      <c r="LO48" s="1" t="s">
        <v>36861</v>
      </c>
      <c r="LP48" s="1" t="s">
        <v>36862</v>
      </c>
      <c r="LQ48" s="1" t="s">
        <v>36863</v>
      </c>
      <c r="LR48" s="1" t="s">
        <v>36864</v>
      </c>
      <c r="LS48" s="1" t="s">
        <v>36865</v>
      </c>
      <c r="LT48" s="1" t="s">
        <v>36866</v>
      </c>
      <c r="LU48" s="1" t="s">
        <v>36867</v>
      </c>
      <c r="LV48" s="1" t="s">
        <v>36868</v>
      </c>
      <c r="LW48" s="1" t="s">
        <v>36869</v>
      </c>
      <c r="LX48" s="1" t="s">
        <v>36870</v>
      </c>
      <c r="LY48" s="1" t="s">
        <v>36871</v>
      </c>
      <c r="LZ48" s="1" t="s">
        <v>36872</v>
      </c>
      <c r="MA48" s="1" t="s">
        <v>36873</v>
      </c>
      <c r="MB48" s="1" t="s">
        <v>36874</v>
      </c>
      <c r="MC48" s="1" t="s">
        <v>36875</v>
      </c>
      <c r="MD48" s="1" t="s">
        <v>36876</v>
      </c>
      <c r="ME48" s="1" t="s">
        <v>36877</v>
      </c>
      <c r="MF48" s="1" t="s">
        <v>36878</v>
      </c>
      <c r="MG48" s="1" t="s">
        <v>36879</v>
      </c>
      <c r="MH48" s="1" t="s">
        <v>36880</v>
      </c>
      <c r="MI48" s="1" t="s">
        <v>36881</v>
      </c>
      <c r="MJ48" s="1" t="s">
        <v>36882</v>
      </c>
      <c r="MK48" s="1" t="s">
        <v>36883</v>
      </c>
      <c r="ML48" s="1" t="s">
        <v>36884</v>
      </c>
      <c r="MM48" s="1" t="s">
        <v>36885</v>
      </c>
      <c r="MN48" s="1" t="s">
        <v>36886</v>
      </c>
      <c r="MO48" s="1" t="s">
        <v>36887</v>
      </c>
      <c r="MP48" s="1" t="s">
        <v>36888</v>
      </c>
      <c r="MQ48" s="1" t="s">
        <v>36889</v>
      </c>
      <c r="MR48" s="1" t="s">
        <v>36890</v>
      </c>
      <c r="MS48" s="1" t="s">
        <v>36891</v>
      </c>
      <c r="MT48" s="1" t="s">
        <v>36892</v>
      </c>
      <c r="MU48" s="1" t="s">
        <v>36893</v>
      </c>
      <c r="MV48" s="1" t="s">
        <v>36894</v>
      </c>
      <c r="MW48" s="1" t="s">
        <v>36895</v>
      </c>
      <c r="MX48" s="1" t="s">
        <v>36896</v>
      </c>
      <c r="MY48" s="1" t="s">
        <v>36897</v>
      </c>
      <c r="MZ48" s="1" t="s">
        <v>36898</v>
      </c>
      <c r="NA48" s="1" t="s">
        <v>36899</v>
      </c>
      <c r="NB48" s="1" t="s">
        <v>36900</v>
      </c>
      <c r="NC48" s="1" t="s">
        <v>36901</v>
      </c>
      <c r="ND48" s="1" t="s">
        <v>36902</v>
      </c>
      <c r="NE48" s="1" t="s">
        <v>36903</v>
      </c>
      <c r="NF48" s="1" t="s">
        <v>36904</v>
      </c>
      <c r="NG48" s="1" t="s">
        <v>36905</v>
      </c>
      <c r="NH48" s="1" t="s">
        <v>36906</v>
      </c>
      <c r="NI48" s="1" t="s">
        <v>36907</v>
      </c>
      <c r="NJ48" s="1" t="s">
        <v>36908</v>
      </c>
      <c r="NK48" s="1" t="s">
        <v>36909</v>
      </c>
      <c r="NL48" s="1" t="s">
        <v>36910</v>
      </c>
      <c r="NM48" s="1" t="s">
        <v>36911</v>
      </c>
      <c r="NN48" s="1" t="s">
        <v>36912</v>
      </c>
      <c r="NO48" s="1" t="s">
        <v>36913</v>
      </c>
      <c r="NP48" s="1" t="s">
        <v>36914</v>
      </c>
      <c r="NQ48" s="1" t="s">
        <v>36915</v>
      </c>
      <c r="NR48" s="1" t="s">
        <v>36916</v>
      </c>
      <c r="NS48" s="1" t="s">
        <v>36917</v>
      </c>
      <c r="NT48" s="1" t="s">
        <v>36918</v>
      </c>
      <c r="NU48" s="1" t="s">
        <v>36919</v>
      </c>
      <c r="NV48" s="1" t="s">
        <v>36920</v>
      </c>
      <c r="NW48" s="1" t="s">
        <v>36921</v>
      </c>
      <c r="NX48" s="1" t="s">
        <v>36922</v>
      </c>
      <c r="NY48" s="1" t="s">
        <v>36923</v>
      </c>
      <c r="NZ48" s="1" t="s">
        <v>36924</v>
      </c>
      <c r="OA48" s="1" t="s">
        <v>36925</v>
      </c>
      <c r="OB48" s="1" t="s">
        <v>36926</v>
      </c>
      <c r="OC48" s="1" t="s">
        <v>36927</v>
      </c>
      <c r="OD48" s="1" t="s">
        <v>36928</v>
      </c>
      <c r="OE48" s="1" t="s">
        <v>36929</v>
      </c>
      <c r="OF48" s="1" t="s">
        <v>36930</v>
      </c>
      <c r="OG48" s="1" t="s">
        <v>36931</v>
      </c>
      <c r="OH48" s="1" t="s">
        <v>36932</v>
      </c>
      <c r="OI48" s="1" t="s">
        <v>36933</v>
      </c>
      <c r="OJ48" s="1" t="s">
        <v>36934</v>
      </c>
      <c r="OK48" s="1" t="s">
        <v>36935</v>
      </c>
      <c r="OL48" s="1" t="s">
        <v>36936</v>
      </c>
      <c r="OM48" s="1" t="s">
        <v>36937</v>
      </c>
      <c r="ON48" s="1" t="s">
        <v>36938</v>
      </c>
      <c r="OO48" s="1" t="s">
        <v>36939</v>
      </c>
      <c r="OP48" s="1" t="s">
        <v>36940</v>
      </c>
      <c r="OQ48" s="1" t="s">
        <v>36941</v>
      </c>
      <c r="OR48" s="1" t="s">
        <v>36942</v>
      </c>
      <c r="OS48" s="1" t="s">
        <v>36943</v>
      </c>
      <c r="OT48" s="1" t="s">
        <v>36944</v>
      </c>
      <c r="OU48" s="1" t="s">
        <v>36945</v>
      </c>
      <c r="OV48" s="1" t="s">
        <v>36946</v>
      </c>
      <c r="OW48" s="1" t="s">
        <v>36947</v>
      </c>
      <c r="OX48" s="1" t="s">
        <v>36948</v>
      </c>
      <c r="OY48" s="1" t="s">
        <v>36949</v>
      </c>
      <c r="OZ48" s="1" t="s">
        <v>36950</v>
      </c>
      <c r="PA48" s="1" t="s">
        <v>36951</v>
      </c>
      <c r="PB48" s="1" t="s">
        <v>36952</v>
      </c>
      <c r="PC48" s="1" t="s">
        <v>36953</v>
      </c>
      <c r="PD48" s="1" t="s">
        <v>36954</v>
      </c>
      <c r="PE48" s="1" t="s">
        <v>36955</v>
      </c>
      <c r="PF48" s="1" t="s">
        <v>36956</v>
      </c>
      <c r="PG48" s="1" t="s">
        <v>36957</v>
      </c>
      <c r="PH48" s="1" t="s">
        <v>36958</v>
      </c>
      <c r="PI48" s="1" t="s">
        <v>36959</v>
      </c>
      <c r="PJ48" s="1" t="s">
        <v>36960</v>
      </c>
      <c r="PK48" s="1" t="s">
        <v>36961</v>
      </c>
      <c r="PL48" s="1" t="s">
        <v>36962</v>
      </c>
      <c r="PM48" s="1" t="s">
        <v>36963</v>
      </c>
      <c r="PN48" s="1" t="s">
        <v>36964</v>
      </c>
      <c r="PO48" s="1" t="s">
        <v>36965</v>
      </c>
      <c r="PP48" s="1" t="s">
        <v>36966</v>
      </c>
      <c r="PQ48" s="1" t="s">
        <v>36967</v>
      </c>
      <c r="PR48" s="1" t="s">
        <v>36968</v>
      </c>
      <c r="PS48" s="1" t="s">
        <v>36969</v>
      </c>
      <c r="PT48" s="1" t="s">
        <v>36970</v>
      </c>
      <c r="PU48" s="1" t="s">
        <v>36971</v>
      </c>
      <c r="PV48" s="1" t="s">
        <v>36972</v>
      </c>
      <c r="PW48" s="1" t="s">
        <v>36973</v>
      </c>
      <c r="PX48" s="1" t="s">
        <v>36974</v>
      </c>
      <c r="PY48" s="1" t="s">
        <v>36975</v>
      </c>
      <c r="PZ48" s="1" t="s">
        <v>36976</v>
      </c>
      <c r="QA48" s="1" t="s">
        <v>36977</v>
      </c>
      <c r="QB48" s="1" t="s">
        <v>36978</v>
      </c>
      <c r="QC48" s="1" t="s">
        <v>36979</v>
      </c>
      <c r="QD48" s="1" t="s">
        <v>36980</v>
      </c>
      <c r="QE48" s="1" t="s">
        <v>36981</v>
      </c>
      <c r="QF48" s="1" t="s">
        <v>36982</v>
      </c>
      <c r="QG48" s="1" t="s">
        <v>36983</v>
      </c>
      <c r="QH48" s="1" t="s">
        <v>36984</v>
      </c>
      <c r="QI48" s="1" t="s">
        <v>36985</v>
      </c>
      <c r="QJ48" s="1" t="s">
        <v>36986</v>
      </c>
      <c r="QK48" s="1" t="s">
        <v>36987</v>
      </c>
      <c r="QL48" s="1" t="s">
        <v>36988</v>
      </c>
      <c r="QM48" s="1" t="s">
        <v>36989</v>
      </c>
      <c r="QN48" s="1" t="s">
        <v>36990</v>
      </c>
      <c r="QO48" s="1" t="s">
        <v>36991</v>
      </c>
      <c r="QP48" s="1" t="s">
        <v>36992</v>
      </c>
      <c r="QQ48" s="1" t="s">
        <v>36993</v>
      </c>
      <c r="QR48" s="1" t="s">
        <v>36994</v>
      </c>
      <c r="QS48" s="1" t="s">
        <v>36995</v>
      </c>
      <c r="QT48" s="1" t="s">
        <v>36996</v>
      </c>
      <c r="QU48" s="1" t="s">
        <v>36997</v>
      </c>
      <c r="QV48" s="1" t="s">
        <v>36998</v>
      </c>
      <c r="QW48" s="1" t="s">
        <v>36999</v>
      </c>
      <c r="QX48" s="1" t="s">
        <v>37000</v>
      </c>
      <c r="QY48" s="1" t="s">
        <v>37001</v>
      </c>
      <c r="QZ48" s="1" t="s">
        <v>37002</v>
      </c>
      <c r="RA48" s="1" t="s">
        <v>37003</v>
      </c>
      <c r="RB48" s="1" t="s">
        <v>37004</v>
      </c>
      <c r="RC48" s="1" t="s">
        <v>37005</v>
      </c>
      <c r="RD48" s="1" t="s">
        <v>37006</v>
      </c>
      <c r="RE48" s="1" t="s">
        <v>37007</v>
      </c>
      <c r="RF48" s="1" t="s">
        <v>37008</v>
      </c>
      <c r="RG48" s="1" t="s">
        <v>37009</v>
      </c>
      <c r="RH48" s="1" t="s">
        <v>37010</v>
      </c>
      <c r="RI48" s="1" t="s">
        <v>37011</v>
      </c>
      <c r="RJ48" s="1" t="s">
        <v>37012</v>
      </c>
      <c r="RK48" s="1" t="s">
        <v>37013</v>
      </c>
      <c r="RL48" s="1" t="s">
        <v>37014</v>
      </c>
      <c r="RM48" s="1" t="s">
        <v>37015</v>
      </c>
      <c r="RN48" s="1" t="s">
        <v>37016</v>
      </c>
      <c r="RO48" s="1" t="s">
        <v>37017</v>
      </c>
      <c r="RP48" s="1" t="s">
        <v>37018</v>
      </c>
      <c r="RQ48" s="1" t="s">
        <v>37019</v>
      </c>
      <c r="RR48" s="1" t="s">
        <v>37020</v>
      </c>
      <c r="RS48" s="1" t="s">
        <v>37021</v>
      </c>
      <c r="RT48" s="1" t="s">
        <v>37022</v>
      </c>
      <c r="RU48" s="1" t="s">
        <v>37023</v>
      </c>
      <c r="RV48" s="1" t="s">
        <v>37024</v>
      </c>
      <c r="RW48" s="1" t="s">
        <v>37025</v>
      </c>
      <c r="RX48" s="1" t="s">
        <v>37026</v>
      </c>
      <c r="RY48" s="1" t="s">
        <v>37027</v>
      </c>
      <c r="RZ48" s="1" t="s">
        <v>37028</v>
      </c>
      <c r="SA48" s="1" t="s">
        <v>37029</v>
      </c>
      <c r="SB48" s="1" t="s">
        <v>37030</v>
      </c>
      <c r="SC48" s="1" t="s">
        <v>37031</v>
      </c>
      <c r="SD48" s="1" t="s">
        <v>37032</v>
      </c>
      <c r="SE48" s="1" t="s">
        <v>37033</v>
      </c>
      <c r="SF48" s="1" t="s">
        <v>37034</v>
      </c>
      <c r="SG48" s="1" t="s">
        <v>37035</v>
      </c>
      <c r="SH48" s="1" t="s">
        <v>37036</v>
      </c>
      <c r="SI48" s="1" t="s">
        <v>37037</v>
      </c>
      <c r="SJ48" s="1" t="s">
        <v>37038</v>
      </c>
      <c r="SK48" s="1" t="s">
        <v>37039</v>
      </c>
      <c r="SL48" s="1" t="s">
        <v>37040</v>
      </c>
      <c r="SM48" s="1" t="s">
        <v>37041</v>
      </c>
      <c r="SN48" s="1" t="s">
        <v>37042</v>
      </c>
      <c r="SO48" s="1" t="s">
        <v>37043</v>
      </c>
      <c r="SP48" s="1" t="s">
        <v>37044</v>
      </c>
      <c r="SQ48" s="1" t="s">
        <v>37045</v>
      </c>
      <c r="SR48" s="1" t="s">
        <v>37046</v>
      </c>
      <c r="SS48" s="1" t="s">
        <v>37047</v>
      </c>
      <c r="ST48" s="1" t="s">
        <v>37048</v>
      </c>
      <c r="SU48" s="1" t="s">
        <v>37049</v>
      </c>
      <c r="SV48" s="1" t="s">
        <v>37050</v>
      </c>
      <c r="SW48" s="1" t="s">
        <v>37051</v>
      </c>
      <c r="SX48" s="1" t="s">
        <v>37052</v>
      </c>
      <c r="SY48" s="1" t="s">
        <v>37053</v>
      </c>
      <c r="SZ48" s="1" t="s">
        <v>37054</v>
      </c>
      <c r="TA48" s="1" t="s">
        <v>37055</v>
      </c>
      <c r="TB48" s="1" t="s">
        <v>37056</v>
      </c>
      <c r="TC48" s="1" t="s">
        <v>37057</v>
      </c>
      <c r="TD48" s="1" t="s">
        <v>37058</v>
      </c>
      <c r="TE48" s="1" t="s">
        <v>37059</v>
      </c>
      <c r="TF48" s="1" t="s">
        <v>37060</v>
      </c>
      <c r="TG48" s="1" t="s">
        <v>37061</v>
      </c>
      <c r="TH48" s="1" t="s">
        <v>37062</v>
      </c>
      <c r="TI48" s="1" t="s">
        <v>37063</v>
      </c>
      <c r="TJ48" s="1" t="s">
        <v>37064</v>
      </c>
      <c r="TK48" s="1" t="s">
        <v>37065</v>
      </c>
      <c r="TL48" s="1" t="s">
        <v>37066</v>
      </c>
      <c r="TM48" s="1" t="s">
        <v>37067</v>
      </c>
      <c r="TN48" s="1" t="s">
        <v>37068</v>
      </c>
      <c r="TO48" s="1" t="s">
        <v>37069</v>
      </c>
      <c r="TP48" s="1" t="s">
        <v>37070</v>
      </c>
      <c r="TQ48" s="1" t="s">
        <v>37071</v>
      </c>
      <c r="TR48" s="1" t="s">
        <v>37072</v>
      </c>
      <c r="TS48" s="1" t="s">
        <v>37073</v>
      </c>
      <c r="TT48" s="1" t="s">
        <v>37074</v>
      </c>
      <c r="TU48" s="1" t="s">
        <v>37075</v>
      </c>
      <c r="TV48" s="1" t="s">
        <v>37076</v>
      </c>
      <c r="TW48" s="1" t="s">
        <v>37077</v>
      </c>
      <c r="TX48" s="1" t="s">
        <v>37078</v>
      </c>
      <c r="TY48" s="1" t="s">
        <v>37079</v>
      </c>
      <c r="TZ48" s="1" t="s">
        <v>37080</v>
      </c>
      <c r="UA48" s="1" t="s">
        <v>37081</v>
      </c>
      <c r="UB48" s="1" t="s">
        <v>37082</v>
      </c>
      <c r="UC48" s="1" t="s">
        <v>37083</v>
      </c>
      <c r="UD48" s="1" t="s">
        <v>37084</v>
      </c>
      <c r="UE48" s="1" t="s">
        <v>37085</v>
      </c>
      <c r="UF48" s="1" t="s">
        <v>37086</v>
      </c>
      <c r="UG48" s="1" t="s">
        <v>37087</v>
      </c>
      <c r="UH48" s="1" t="s">
        <v>37088</v>
      </c>
      <c r="UI48" s="1" t="s">
        <v>37089</v>
      </c>
      <c r="UJ48" s="1" t="s">
        <v>37090</v>
      </c>
      <c r="UK48" s="1" t="s">
        <v>37091</v>
      </c>
      <c r="UL48" s="1" t="s">
        <v>37092</v>
      </c>
      <c r="UM48" s="1" t="s">
        <v>37093</v>
      </c>
      <c r="UN48" s="1" t="s">
        <v>37094</v>
      </c>
      <c r="UO48" s="1" t="s">
        <v>37095</v>
      </c>
      <c r="UP48" s="1" t="s">
        <v>37096</v>
      </c>
      <c r="UQ48" s="1" t="s">
        <v>37097</v>
      </c>
      <c r="UR48" s="1" t="s">
        <v>37098</v>
      </c>
      <c r="US48" s="1" t="s">
        <v>37099</v>
      </c>
      <c r="UT48" s="1" t="s">
        <v>37100</v>
      </c>
      <c r="UU48" s="1" t="s">
        <v>37101</v>
      </c>
      <c r="UV48" s="1" t="s">
        <v>37102</v>
      </c>
      <c r="UW48" s="1" t="s">
        <v>37103</v>
      </c>
      <c r="UX48" s="1" t="s">
        <v>37104</v>
      </c>
      <c r="UY48" s="1" t="s">
        <v>37105</v>
      </c>
      <c r="UZ48" s="1" t="s">
        <v>37106</v>
      </c>
      <c r="VA48" s="1" t="s">
        <v>37107</v>
      </c>
      <c r="VB48" s="1" t="s">
        <v>37108</v>
      </c>
      <c r="VC48" s="1" t="s">
        <v>37109</v>
      </c>
      <c r="VD48" s="1" t="s">
        <v>37110</v>
      </c>
      <c r="VE48" s="1" t="s">
        <v>37111</v>
      </c>
      <c r="VF48" s="1" t="s">
        <v>37112</v>
      </c>
      <c r="VG48" s="1" t="s">
        <v>37113</v>
      </c>
      <c r="VH48" s="1" t="s">
        <v>37114</v>
      </c>
      <c r="VI48" s="1" t="s">
        <v>37115</v>
      </c>
      <c r="VJ48" s="1" t="s">
        <v>37116</v>
      </c>
      <c r="VK48" s="1" t="s">
        <v>37117</v>
      </c>
      <c r="VL48" s="1" t="s">
        <v>37118</v>
      </c>
      <c r="VM48" s="1" t="s">
        <v>37119</v>
      </c>
      <c r="VN48" s="1" t="s">
        <v>37120</v>
      </c>
      <c r="VO48" s="1" t="s">
        <v>37121</v>
      </c>
      <c r="VP48" s="1" t="s">
        <v>37122</v>
      </c>
      <c r="VQ48" s="1" t="s">
        <v>37123</v>
      </c>
      <c r="VR48" s="1" t="s">
        <v>37124</v>
      </c>
      <c r="VS48" s="1" t="s">
        <v>37125</v>
      </c>
      <c r="VT48" s="1" t="s">
        <v>37126</v>
      </c>
      <c r="VU48" s="1" t="s">
        <v>37127</v>
      </c>
      <c r="VV48" s="1" t="s">
        <v>37128</v>
      </c>
      <c r="VW48" s="1" t="s">
        <v>37129</v>
      </c>
      <c r="VX48" s="1" t="s">
        <v>37130</v>
      </c>
      <c r="VY48" s="1" t="s">
        <v>37131</v>
      </c>
      <c r="VZ48" s="1" t="s">
        <v>37132</v>
      </c>
      <c r="WA48" s="1" t="s">
        <v>37133</v>
      </c>
      <c r="WB48" s="1" t="s">
        <v>37134</v>
      </c>
      <c r="WC48" s="1" t="s">
        <v>37135</v>
      </c>
      <c r="WD48" s="1" t="s">
        <v>37136</v>
      </c>
      <c r="WE48" s="1" t="s">
        <v>37137</v>
      </c>
      <c r="WF48" s="1" t="s">
        <v>37138</v>
      </c>
      <c r="WG48" s="1" t="s">
        <v>37139</v>
      </c>
      <c r="WH48" s="1" t="s">
        <v>37140</v>
      </c>
      <c r="WI48" s="1" t="s">
        <v>37141</v>
      </c>
      <c r="WJ48" s="1" t="s">
        <v>37142</v>
      </c>
      <c r="WK48" s="1" t="s">
        <v>37143</v>
      </c>
      <c r="WL48" s="1" t="s">
        <v>37144</v>
      </c>
      <c r="WM48" s="1" t="s">
        <v>37145</v>
      </c>
      <c r="WN48" s="1" t="s">
        <v>37146</v>
      </c>
      <c r="WO48" s="1" t="s">
        <v>37147</v>
      </c>
      <c r="WP48" s="1" t="s">
        <v>37148</v>
      </c>
      <c r="WQ48" s="1" t="s">
        <v>37149</v>
      </c>
      <c r="WR48" s="1" t="s">
        <v>37150</v>
      </c>
      <c r="WS48" s="1" t="s">
        <v>37151</v>
      </c>
      <c r="WT48" s="1" t="s">
        <v>37152</v>
      </c>
      <c r="WU48" s="1" t="s">
        <v>37153</v>
      </c>
      <c r="WV48" s="1" t="s">
        <v>37154</v>
      </c>
      <c r="WW48" s="1" t="s">
        <v>37155</v>
      </c>
      <c r="WX48" s="1" t="s">
        <v>37156</v>
      </c>
      <c r="WY48" s="1" t="s">
        <v>37157</v>
      </c>
      <c r="WZ48" s="1" t="s">
        <v>37158</v>
      </c>
      <c r="XA48" s="1" t="s">
        <v>37159</v>
      </c>
      <c r="XB48" s="1" t="s">
        <v>37160</v>
      </c>
      <c r="XC48" s="1" t="s">
        <v>37161</v>
      </c>
      <c r="XD48" s="1" t="s">
        <v>37162</v>
      </c>
      <c r="XE48" s="1" t="s">
        <v>37163</v>
      </c>
      <c r="XF48" s="1" t="s">
        <v>37164</v>
      </c>
      <c r="XG48" s="1" t="s">
        <v>37165</v>
      </c>
      <c r="XH48" s="1" t="s">
        <v>37166</v>
      </c>
      <c r="XI48" s="1" t="s">
        <v>37167</v>
      </c>
      <c r="XJ48" s="1" t="s">
        <v>37168</v>
      </c>
      <c r="XK48" s="1" t="s">
        <v>37169</v>
      </c>
      <c r="XL48" s="1" t="s">
        <v>37170</v>
      </c>
      <c r="XM48" s="1" t="s">
        <v>37171</v>
      </c>
      <c r="XN48" s="1" t="s">
        <v>37172</v>
      </c>
      <c r="XO48" s="1" t="s">
        <v>37173</v>
      </c>
      <c r="XP48" s="1" t="s">
        <v>37174</v>
      </c>
      <c r="XQ48" s="1" t="s">
        <v>37175</v>
      </c>
      <c r="XR48" s="1" t="s">
        <v>37176</v>
      </c>
      <c r="XS48" s="1" t="s">
        <v>37177</v>
      </c>
      <c r="XT48" s="1" t="s">
        <v>37178</v>
      </c>
      <c r="XU48" s="1" t="s">
        <v>37179</v>
      </c>
      <c r="XV48" s="1" t="s">
        <v>37180</v>
      </c>
      <c r="XW48" s="1" t="s">
        <v>37181</v>
      </c>
      <c r="XX48" s="1" t="s">
        <v>37182</v>
      </c>
      <c r="XY48" s="1" t="s">
        <v>37183</v>
      </c>
      <c r="XZ48" s="1" t="s">
        <v>37184</v>
      </c>
      <c r="YA48" s="1" t="s">
        <v>37185</v>
      </c>
      <c r="YB48" s="1" t="s">
        <v>37186</v>
      </c>
      <c r="YC48" s="1" t="s">
        <v>37187</v>
      </c>
      <c r="YD48" s="1" t="s">
        <v>37188</v>
      </c>
      <c r="YE48" s="1" t="s">
        <v>37189</v>
      </c>
      <c r="YF48" s="1" t="s">
        <v>37190</v>
      </c>
      <c r="YG48" s="1" t="s">
        <v>37191</v>
      </c>
      <c r="YH48" s="1" t="s">
        <v>37192</v>
      </c>
      <c r="YI48" s="1" t="s">
        <v>37193</v>
      </c>
      <c r="YJ48" s="1" t="s">
        <v>37194</v>
      </c>
      <c r="YK48" s="1" t="s">
        <v>37195</v>
      </c>
      <c r="YL48" s="1" t="s">
        <v>37196</v>
      </c>
      <c r="YM48" s="1" t="s">
        <v>37197</v>
      </c>
      <c r="YN48" s="1" t="s">
        <v>37198</v>
      </c>
      <c r="YO48" s="1" t="s">
        <v>37199</v>
      </c>
      <c r="YP48" s="1" t="s">
        <v>37200</v>
      </c>
      <c r="YQ48" s="1" t="s">
        <v>37201</v>
      </c>
      <c r="YR48" s="1" t="s">
        <v>37202</v>
      </c>
      <c r="YS48" s="1" t="s">
        <v>37203</v>
      </c>
      <c r="YT48" s="1" t="s">
        <v>37204</v>
      </c>
      <c r="YU48" s="1" t="s">
        <v>37205</v>
      </c>
      <c r="YV48" s="1" t="s">
        <v>37206</v>
      </c>
      <c r="YW48" s="1" t="s">
        <v>37207</v>
      </c>
      <c r="YX48" s="1" t="s">
        <v>37208</v>
      </c>
      <c r="YY48" s="1" t="s">
        <v>37209</v>
      </c>
      <c r="YZ48" s="1" t="s">
        <v>37210</v>
      </c>
      <c r="ZA48" s="1" t="s">
        <v>37211</v>
      </c>
      <c r="ZB48" s="1" t="s">
        <v>37212</v>
      </c>
      <c r="ZC48" s="1" t="s">
        <v>37213</v>
      </c>
      <c r="ZD48" s="1" t="s">
        <v>37214</v>
      </c>
      <c r="ZE48" s="1" t="s">
        <v>37215</v>
      </c>
      <c r="ZF48" s="1" t="s">
        <v>37216</v>
      </c>
      <c r="ZG48" s="1" t="s">
        <v>37217</v>
      </c>
      <c r="ZH48" s="1" t="s">
        <v>37218</v>
      </c>
      <c r="ZI48" s="1" t="s">
        <v>37219</v>
      </c>
      <c r="ZJ48" s="1" t="s">
        <v>37220</v>
      </c>
      <c r="ZK48" s="1" t="s">
        <v>37221</v>
      </c>
      <c r="ZL48" s="1" t="s">
        <v>37222</v>
      </c>
      <c r="ZM48" s="1" t="s">
        <v>37223</v>
      </c>
      <c r="ZN48" s="1" t="s">
        <v>37224</v>
      </c>
      <c r="ZO48" s="1" t="s">
        <v>37225</v>
      </c>
      <c r="ZP48" s="1" t="s">
        <v>37226</v>
      </c>
      <c r="ZQ48" s="1" t="s">
        <v>37227</v>
      </c>
      <c r="ZR48" s="1" t="s">
        <v>37228</v>
      </c>
      <c r="ZS48" s="1" t="s">
        <v>37229</v>
      </c>
      <c r="ZT48" s="1" t="s">
        <v>37230</v>
      </c>
      <c r="ZU48" s="1" t="s">
        <v>37231</v>
      </c>
      <c r="ZV48" s="1" t="s">
        <v>37232</v>
      </c>
      <c r="ZW48" s="1" t="s">
        <v>37233</v>
      </c>
      <c r="ZX48" s="1" t="s">
        <v>37234</v>
      </c>
      <c r="ZY48" s="1" t="s">
        <v>37235</v>
      </c>
      <c r="ZZ48" s="1" t="s">
        <v>37236</v>
      </c>
      <c r="AAA48" s="1" t="s">
        <v>37237</v>
      </c>
      <c r="AAB48" s="1" t="s">
        <v>37238</v>
      </c>
      <c r="AAC48" s="1" t="s">
        <v>37239</v>
      </c>
      <c r="AAD48" s="1" t="s">
        <v>37240</v>
      </c>
      <c r="AAE48" s="1" t="s">
        <v>37241</v>
      </c>
      <c r="AAF48" s="1" t="s">
        <v>37242</v>
      </c>
      <c r="AAG48" s="1" t="s">
        <v>37243</v>
      </c>
      <c r="AAH48" s="1" t="s">
        <v>37244</v>
      </c>
      <c r="AAI48" s="1" t="s">
        <v>37245</v>
      </c>
      <c r="AAJ48" s="1" t="s">
        <v>37246</v>
      </c>
      <c r="AAK48" s="1" t="s">
        <v>37247</v>
      </c>
      <c r="AAL48" s="1" t="s">
        <v>37248</v>
      </c>
      <c r="AAM48" s="1" t="s">
        <v>37249</v>
      </c>
      <c r="AAN48" s="1" t="s">
        <v>37250</v>
      </c>
      <c r="AAO48" s="1" t="s">
        <v>37251</v>
      </c>
      <c r="AAP48" s="1" t="s">
        <v>37252</v>
      </c>
      <c r="AAQ48" s="1" t="s">
        <v>37253</v>
      </c>
      <c r="AAR48" s="1" t="s">
        <v>37254</v>
      </c>
      <c r="AAS48" s="1" t="s">
        <v>37255</v>
      </c>
      <c r="AAT48" s="1" t="s">
        <v>37256</v>
      </c>
      <c r="AAU48" s="1" t="s">
        <v>37257</v>
      </c>
      <c r="AAV48" s="1" t="s">
        <v>37258</v>
      </c>
      <c r="AAW48" s="1" t="s">
        <v>37259</v>
      </c>
      <c r="AAX48" s="1" t="s">
        <v>37260</v>
      </c>
      <c r="AAY48" s="1" t="s">
        <v>37261</v>
      </c>
      <c r="AAZ48" s="1" t="s">
        <v>37262</v>
      </c>
      <c r="ABA48" s="1" t="s">
        <v>37263</v>
      </c>
      <c r="ABB48" s="1" t="s">
        <v>37264</v>
      </c>
      <c r="ABC48" s="1" t="s">
        <v>37265</v>
      </c>
      <c r="ABD48" s="1" t="s">
        <v>37266</v>
      </c>
      <c r="ABE48" s="1" t="s">
        <v>37267</v>
      </c>
      <c r="ABF48" s="1" t="s">
        <v>37268</v>
      </c>
      <c r="ABG48" s="1" t="s">
        <v>37269</v>
      </c>
      <c r="ABH48" s="1" t="s">
        <v>37270</v>
      </c>
      <c r="ABI48" s="1" t="s">
        <v>37271</v>
      </c>
      <c r="ABJ48" s="1" t="s">
        <v>37272</v>
      </c>
      <c r="ABK48" s="1" t="s">
        <v>37273</v>
      </c>
      <c r="ABL48" s="1" t="s">
        <v>37274</v>
      </c>
      <c r="ABM48" s="1" t="s">
        <v>37275</v>
      </c>
      <c r="ABN48" s="1" t="s">
        <v>37276</v>
      </c>
      <c r="ABO48" s="1" t="s">
        <v>37277</v>
      </c>
      <c r="ABP48" s="1" t="s">
        <v>37278</v>
      </c>
      <c r="ABQ48" s="1" t="s">
        <v>37279</v>
      </c>
      <c r="ABR48" s="1" t="s">
        <v>37280</v>
      </c>
      <c r="ABS48" s="1" t="s">
        <v>37281</v>
      </c>
      <c r="ABT48" s="1" t="s">
        <v>37282</v>
      </c>
      <c r="ABU48" s="1" t="s">
        <v>37283</v>
      </c>
      <c r="ABV48" s="1" t="s">
        <v>37284</v>
      </c>
      <c r="ABW48" s="1" t="s">
        <v>37285</v>
      </c>
      <c r="ABX48" s="1" t="s">
        <v>37286</v>
      </c>
      <c r="ABY48" s="1" t="s">
        <v>37287</v>
      </c>
      <c r="ABZ48" s="1" t="s">
        <v>37288</v>
      </c>
      <c r="ACA48" s="1" t="s">
        <v>37289</v>
      </c>
      <c r="ACB48" s="1" t="s">
        <v>37290</v>
      </c>
      <c r="ACC48" s="1" t="s">
        <v>37291</v>
      </c>
      <c r="ACD48" s="1" t="s">
        <v>37292</v>
      </c>
      <c r="ACE48" s="1" t="s">
        <v>37293</v>
      </c>
      <c r="ACF48" s="1" t="s">
        <v>37294</v>
      </c>
      <c r="ACG48" s="1" t="s">
        <v>37295</v>
      </c>
      <c r="ACH48" s="1" t="s">
        <v>37296</v>
      </c>
      <c r="ACI48" s="1" t="s">
        <v>37297</v>
      </c>
      <c r="ACJ48" s="1" t="s">
        <v>37298</v>
      </c>
      <c r="ACK48" s="1" t="s">
        <v>37299</v>
      </c>
      <c r="ACL48" s="1" t="s">
        <v>37300</v>
      </c>
      <c r="ACM48" s="1" t="s">
        <v>37301</v>
      </c>
      <c r="ACN48" s="1" t="s">
        <v>37302</v>
      </c>
      <c r="ACO48" s="1" t="s">
        <v>37303</v>
      </c>
      <c r="ACP48" s="1" t="s">
        <v>37304</v>
      </c>
      <c r="ACQ48" s="1" t="s">
        <v>37305</v>
      </c>
      <c r="ACR48" s="1" t="s">
        <v>37306</v>
      </c>
      <c r="ACS48" s="1" t="s">
        <v>37307</v>
      </c>
      <c r="ACT48" s="1" t="s">
        <v>37308</v>
      </c>
      <c r="ACU48" s="1" t="s">
        <v>37309</v>
      </c>
      <c r="ACV48" s="1" t="s">
        <v>37310</v>
      </c>
      <c r="ACW48" s="1" t="s">
        <v>8</v>
      </c>
      <c r="ACX48" s="1" t="s">
        <v>1498</v>
      </c>
    </row>
    <row r="49" spans="1:778" x14ac:dyDescent="0.2">
      <c r="A49" s="1" t="s">
        <v>13</v>
      </c>
      <c r="B49" s="1" t="s">
        <v>37311</v>
      </c>
      <c r="C49" s="1" t="s">
        <v>37312</v>
      </c>
      <c r="D49" s="1" t="s">
        <v>37313</v>
      </c>
      <c r="E49" s="1" t="s">
        <v>37314</v>
      </c>
      <c r="F49" s="1" t="s">
        <v>37315</v>
      </c>
      <c r="G49" s="1" t="s">
        <v>37316</v>
      </c>
      <c r="H49" s="1" t="s">
        <v>37317</v>
      </c>
      <c r="I49" s="1" t="s">
        <v>37318</v>
      </c>
      <c r="J49" s="1" t="s">
        <v>37319</v>
      </c>
      <c r="K49" s="1" t="s">
        <v>37320</v>
      </c>
      <c r="L49" s="1" t="s">
        <v>37321</v>
      </c>
      <c r="M49" s="1" t="s">
        <v>37322</v>
      </c>
      <c r="N49" s="1" t="s">
        <v>37323</v>
      </c>
      <c r="O49" s="1" t="s">
        <v>37324</v>
      </c>
      <c r="P49" s="1" t="s">
        <v>37325</v>
      </c>
      <c r="Q49" s="1" t="s">
        <v>37326</v>
      </c>
      <c r="R49" s="1" t="s">
        <v>37327</v>
      </c>
      <c r="S49" s="1" t="s">
        <v>37328</v>
      </c>
      <c r="T49" s="1" t="s">
        <v>37329</v>
      </c>
      <c r="U49" s="1" t="s">
        <v>37330</v>
      </c>
      <c r="V49" s="1" t="s">
        <v>37331</v>
      </c>
      <c r="W49" s="1" t="s">
        <v>37332</v>
      </c>
      <c r="X49" s="1" t="s">
        <v>37333</v>
      </c>
      <c r="Y49" s="1" t="s">
        <v>37334</v>
      </c>
      <c r="Z49" s="1" t="s">
        <v>37335</v>
      </c>
      <c r="AA49" s="1" t="s">
        <v>37336</v>
      </c>
      <c r="AB49" s="1" t="s">
        <v>37337</v>
      </c>
      <c r="AC49" s="1" t="s">
        <v>37338</v>
      </c>
      <c r="AD49" s="1" t="s">
        <v>37339</v>
      </c>
      <c r="AE49" s="1" t="s">
        <v>37340</v>
      </c>
      <c r="AF49" s="1" t="s">
        <v>37341</v>
      </c>
      <c r="AG49" s="1" t="s">
        <v>37342</v>
      </c>
      <c r="AH49" s="1" t="s">
        <v>37343</v>
      </c>
      <c r="AI49" s="1" t="s">
        <v>37344</v>
      </c>
      <c r="AJ49" s="1" t="s">
        <v>37345</v>
      </c>
      <c r="AK49" s="1" t="s">
        <v>37346</v>
      </c>
      <c r="AL49" s="1" t="s">
        <v>37347</v>
      </c>
      <c r="AM49" s="1" t="s">
        <v>37348</v>
      </c>
      <c r="AN49" s="1" t="s">
        <v>37349</v>
      </c>
      <c r="AO49" s="1" t="s">
        <v>37350</v>
      </c>
      <c r="AP49" s="1" t="s">
        <v>37351</v>
      </c>
      <c r="AQ49" s="1" t="s">
        <v>37352</v>
      </c>
      <c r="AR49" s="1" t="s">
        <v>37353</v>
      </c>
      <c r="AS49" s="1" t="s">
        <v>37354</v>
      </c>
      <c r="AT49" s="1" t="s">
        <v>37355</v>
      </c>
      <c r="AU49" s="1" t="s">
        <v>37356</v>
      </c>
      <c r="AV49" s="1" t="s">
        <v>37357</v>
      </c>
      <c r="AW49" s="1" t="s">
        <v>37358</v>
      </c>
      <c r="AX49" s="1" t="s">
        <v>37359</v>
      </c>
      <c r="AY49" s="1" t="s">
        <v>37360</v>
      </c>
      <c r="AZ49" s="1" t="s">
        <v>37361</v>
      </c>
      <c r="BA49" s="1" t="s">
        <v>37362</v>
      </c>
      <c r="BB49" s="1" t="s">
        <v>37363</v>
      </c>
      <c r="BC49" s="1" t="s">
        <v>37364</v>
      </c>
      <c r="BD49" s="1" t="s">
        <v>37365</v>
      </c>
      <c r="BE49" s="1" t="s">
        <v>37366</v>
      </c>
      <c r="BF49" s="1" t="s">
        <v>37367</v>
      </c>
      <c r="BG49" s="1" t="s">
        <v>37368</v>
      </c>
      <c r="BH49" s="1" t="s">
        <v>37369</v>
      </c>
      <c r="BI49" s="1" t="s">
        <v>37370</v>
      </c>
      <c r="BJ49" s="1" t="s">
        <v>37371</v>
      </c>
      <c r="BK49" s="1" t="s">
        <v>37372</v>
      </c>
      <c r="BL49" s="1" t="s">
        <v>37373</v>
      </c>
      <c r="BM49" s="1" t="s">
        <v>37374</v>
      </c>
      <c r="BN49" s="1" t="s">
        <v>37375</v>
      </c>
      <c r="BO49" s="1" t="s">
        <v>37376</v>
      </c>
      <c r="BP49" s="1" t="s">
        <v>37377</v>
      </c>
      <c r="BQ49" s="1" t="s">
        <v>37378</v>
      </c>
      <c r="BR49" s="1" t="s">
        <v>37379</v>
      </c>
      <c r="BS49" s="1" t="s">
        <v>37380</v>
      </c>
      <c r="BT49" s="1" t="s">
        <v>37381</v>
      </c>
      <c r="BU49" s="1" t="s">
        <v>37382</v>
      </c>
      <c r="BV49" s="1" t="s">
        <v>37383</v>
      </c>
      <c r="BW49" s="1" t="s">
        <v>37384</v>
      </c>
      <c r="BX49" s="1" t="s">
        <v>37385</v>
      </c>
      <c r="BY49" s="1" t="s">
        <v>37386</v>
      </c>
      <c r="BZ49" s="1" t="s">
        <v>37387</v>
      </c>
      <c r="CA49" s="1" t="s">
        <v>37388</v>
      </c>
      <c r="CB49" s="1" t="s">
        <v>37389</v>
      </c>
      <c r="CC49" s="1" t="s">
        <v>37390</v>
      </c>
      <c r="CD49" s="1" t="s">
        <v>37391</v>
      </c>
      <c r="CE49" s="1" t="s">
        <v>37392</v>
      </c>
      <c r="CF49" s="1" t="s">
        <v>37393</v>
      </c>
      <c r="CG49" s="1" t="s">
        <v>37394</v>
      </c>
      <c r="CH49" s="1" t="s">
        <v>37395</v>
      </c>
      <c r="CI49" s="1" t="s">
        <v>37396</v>
      </c>
      <c r="CJ49" s="1" t="s">
        <v>37397</v>
      </c>
      <c r="CK49" s="1" t="s">
        <v>37398</v>
      </c>
      <c r="CL49" s="1" t="s">
        <v>37399</v>
      </c>
      <c r="CM49" s="1" t="s">
        <v>37400</v>
      </c>
      <c r="CN49" s="1" t="s">
        <v>37401</v>
      </c>
      <c r="CO49" s="1" t="s">
        <v>37402</v>
      </c>
      <c r="CP49" s="1" t="s">
        <v>37403</v>
      </c>
      <c r="CQ49" s="1" t="s">
        <v>37404</v>
      </c>
      <c r="CR49" s="1" t="s">
        <v>37405</v>
      </c>
      <c r="CS49" s="1" t="s">
        <v>37406</v>
      </c>
      <c r="CT49" s="1" t="s">
        <v>37407</v>
      </c>
      <c r="CU49" s="1" t="s">
        <v>37408</v>
      </c>
      <c r="CV49" s="1" t="s">
        <v>37409</v>
      </c>
      <c r="CW49" s="1" t="s">
        <v>37410</v>
      </c>
      <c r="CX49" s="1" t="s">
        <v>37411</v>
      </c>
      <c r="CY49" s="1" t="s">
        <v>37412</v>
      </c>
      <c r="CZ49" s="1" t="s">
        <v>37413</v>
      </c>
      <c r="DA49" s="1" t="s">
        <v>37414</v>
      </c>
      <c r="DB49" s="1" t="s">
        <v>37415</v>
      </c>
      <c r="DC49" s="1" t="s">
        <v>37416</v>
      </c>
      <c r="DD49" s="1" t="s">
        <v>37417</v>
      </c>
      <c r="DE49" s="1" t="s">
        <v>37418</v>
      </c>
      <c r="DF49" s="1" t="s">
        <v>37419</v>
      </c>
      <c r="DG49" s="1" t="s">
        <v>37420</v>
      </c>
      <c r="DH49" s="1" t="s">
        <v>37421</v>
      </c>
      <c r="DI49" s="1" t="s">
        <v>37422</v>
      </c>
      <c r="DJ49" s="1" t="s">
        <v>37423</v>
      </c>
      <c r="DK49" s="1" t="s">
        <v>37424</v>
      </c>
      <c r="DL49" s="1" t="s">
        <v>37425</v>
      </c>
      <c r="DM49" s="1" t="s">
        <v>37426</v>
      </c>
      <c r="DN49" s="1" t="s">
        <v>37427</v>
      </c>
      <c r="DO49" s="1" t="s">
        <v>37428</v>
      </c>
      <c r="DP49" s="1" t="s">
        <v>37429</v>
      </c>
      <c r="DQ49" s="1" t="s">
        <v>37430</v>
      </c>
      <c r="DR49" s="1" t="s">
        <v>37431</v>
      </c>
      <c r="DS49" s="1" t="s">
        <v>37432</v>
      </c>
      <c r="DT49" s="1" t="s">
        <v>37433</v>
      </c>
      <c r="DU49" s="1" t="s">
        <v>37434</v>
      </c>
      <c r="DV49" s="1" t="s">
        <v>37435</v>
      </c>
      <c r="DW49" s="1" t="s">
        <v>37436</v>
      </c>
      <c r="DX49" s="1" t="s">
        <v>37437</v>
      </c>
      <c r="DY49" s="1" t="s">
        <v>37438</v>
      </c>
      <c r="DZ49" s="1" t="s">
        <v>37439</v>
      </c>
      <c r="EA49" s="1" t="s">
        <v>37440</v>
      </c>
      <c r="EB49" s="1" t="s">
        <v>37441</v>
      </c>
      <c r="EC49" s="1" t="s">
        <v>37442</v>
      </c>
      <c r="ED49" s="1" t="s">
        <v>37443</v>
      </c>
      <c r="EE49" s="1" t="s">
        <v>37444</v>
      </c>
      <c r="EF49" s="1" t="s">
        <v>37445</v>
      </c>
      <c r="EG49" s="1" t="s">
        <v>37446</v>
      </c>
      <c r="EH49" s="1" t="s">
        <v>37447</v>
      </c>
      <c r="EI49" s="1" t="s">
        <v>37448</v>
      </c>
      <c r="EJ49" s="1" t="s">
        <v>37449</v>
      </c>
      <c r="EK49" s="1" t="s">
        <v>37450</v>
      </c>
      <c r="EL49" s="1" t="s">
        <v>37451</v>
      </c>
      <c r="EM49" s="1" t="s">
        <v>37452</v>
      </c>
      <c r="EN49" s="1" t="s">
        <v>37453</v>
      </c>
      <c r="EO49" s="1" t="s">
        <v>37454</v>
      </c>
      <c r="EP49" s="1" t="s">
        <v>37455</v>
      </c>
      <c r="EQ49" s="1" t="s">
        <v>37456</v>
      </c>
      <c r="ER49" s="1" t="s">
        <v>37457</v>
      </c>
      <c r="ES49" s="1" t="s">
        <v>37458</v>
      </c>
      <c r="ET49" s="1" t="s">
        <v>37459</v>
      </c>
      <c r="EU49" s="1" t="s">
        <v>37460</v>
      </c>
      <c r="EV49" s="1" t="s">
        <v>37461</v>
      </c>
      <c r="EW49" s="1" t="s">
        <v>37462</v>
      </c>
      <c r="EX49" s="1" t="s">
        <v>37463</v>
      </c>
      <c r="EY49" s="1" t="s">
        <v>37464</v>
      </c>
      <c r="EZ49" s="1" t="s">
        <v>37465</v>
      </c>
      <c r="FA49" s="1" t="s">
        <v>37466</v>
      </c>
      <c r="FB49" s="1" t="s">
        <v>37467</v>
      </c>
      <c r="FC49" s="1" t="s">
        <v>37468</v>
      </c>
      <c r="FD49" s="1" t="s">
        <v>37469</v>
      </c>
      <c r="FE49" s="1" t="s">
        <v>37470</v>
      </c>
      <c r="FF49" s="1" t="s">
        <v>37471</v>
      </c>
      <c r="FG49" s="1" t="s">
        <v>37472</v>
      </c>
      <c r="FH49" s="1" t="s">
        <v>37473</v>
      </c>
      <c r="FI49" s="1" t="s">
        <v>37474</v>
      </c>
      <c r="FJ49" s="1" t="s">
        <v>37475</v>
      </c>
      <c r="FK49" s="1" t="s">
        <v>37476</v>
      </c>
      <c r="FL49" s="1" t="s">
        <v>37477</v>
      </c>
      <c r="FM49" s="1" t="s">
        <v>37478</v>
      </c>
      <c r="FN49" s="1" t="s">
        <v>37479</v>
      </c>
      <c r="FO49" s="1" t="s">
        <v>37480</v>
      </c>
      <c r="FP49" s="1" t="s">
        <v>37481</v>
      </c>
      <c r="FQ49" s="1" t="s">
        <v>37482</v>
      </c>
      <c r="FR49" s="1" t="s">
        <v>37483</v>
      </c>
      <c r="FS49" s="1" t="s">
        <v>37484</v>
      </c>
      <c r="FT49" s="1" t="s">
        <v>37485</v>
      </c>
      <c r="FU49" s="1" t="s">
        <v>37486</v>
      </c>
      <c r="FV49" s="1" t="s">
        <v>37487</v>
      </c>
      <c r="FW49" s="1" t="s">
        <v>37488</v>
      </c>
      <c r="FX49" s="1" t="s">
        <v>37489</v>
      </c>
      <c r="FY49" s="1" t="s">
        <v>37490</v>
      </c>
      <c r="FZ49" s="1" t="s">
        <v>37491</v>
      </c>
      <c r="GA49" s="1" t="s">
        <v>37492</v>
      </c>
      <c r="GB49" s="1" t="s">
        <v>37493</v>
      </c>
      <c r="GC49" s="1" t="s">
        <v>37494</v>
      </c>
      <c r="GD49" s="1" t="s">
        <v>37495</v>
      </c>
      <c r="GE49" s="1" t="s">
        <v>37496</v>
      </c>
      <c r="GF49" s="1" t="s">
        <v>37497</v>
      </c>
      <c r="GG49" s="1" t="s">
        <v>37498</v>
      </c>
      <c r="GH49" s="1" t="s">
        <v>37499</v>
      </c>
      <c r="GI49" s="1" t="s">
        <v>37500</v>
      </c>
      <c r="GJ49" s="1" t="s">
        <v>37501</v>
      </c>
      <c r="GK49" s="1" t="s">
        <v>37502</v>
      </c>
      <c r="GL49" s="1" t="s">
        <v>37503</v>
      </c>
      <c r="GM49" s="1" t="s">
        <v>37504</v>
      </c>
      <c r="GN49" s="1" t="s">
        <v>37505</v>
      </c>
      <c r="GO49" s="1" t="s">
        <v>37506</v>
      </c>
      <c r="GP49" s="1" t="s">
        <v>37507</v>
      </c>
      <c r="GQ49" s="1" t="s">
        <v>37508</v>
      </c>
      <c r="GR49" s="1" t="s">
        <v>37509</v>
      </c>
      <c r="GS49" s="1" t="s">
        <v>37510</v>
      </c>
      <c r="GT49" s="1" t="s">
        <v>37511</v>
      </c>
      <c r="GU49" s="1" t="s">
        <v>37512</v>
      </c>
      <c r="GV49" s="1" t="s">
        <v>37513</v>
      </c>
      <c r="GW49" s="1" t="s">
        <v>37514</v>
      </c>
      <c r="GX49" s="1" t="s">
        <v>37515</v>
      </c>
      <c r="GY49" s="1" t="s">
        <v>37516</v>
      </c>
      <c r="GZ49" s="1" t="s">
        <v>37517</v>
      </c>
      <c r="HA49" s="1" t="s">
        <v>37518</v>
      </c>
      <c r="HB49" s="1" t="s">
        <v>37519</v>
      </c>
      <c r="HC49" s="1" t="s">
        <v>37520</v>
      </c>
      <c r="HD49" s="1" t="s">
        <v>37521</v>
      </c>
      <c r="HE49" s="1" t="s">
        <v>37522</v>
      </c>
      <c r="HF49" s="1" t="s">
        <v>37523</v>
      </c>
      <c r="HG49" s="1" t="s">
        <v>37524</v>
      </c>
      <c r="HH49" s="1" t="s">
        <v>37525</v>
      </c>
      <c r="HI49" s="1" t="s">
        <v>37526</v>
      </c>
      <c r="HJ49" s="1" t="s">
        <v>37527</v>
      </c>
      <c r="HK49" s="1" t="s">
        <v>37528</v>
      </c>
      <c r="HL49" s="1" t="s">
        <v>37529</v>
      </c>
      <c r="HM49" s="1" t="s">
        <v>37530</v>
      </c>
      <c r="HN49" s="1" t="s">
        <v>37531</v>
      </c>
      <c r="HO49" s="1" t="s">
        <v>37532</v>
      </c>
      <c r="HP49" s="1" t="s">
        <v>37533</v>
      </c>
      <c r="HQ49" s="1" t="s">
        <v>37534</v>
      </c>
      <c r="HR49" s="1" t="s">
        <v>37535</v>
      </c>
      <c r="HS49" s="1" t="s">
        <v>37536</v>
      </c>
      <c r="HT49" s="1" t="s">
        <v>37537</v>
      </c>
      <c r="HU49" s="1" t="s">
        <v>37538</v>
      </c>
      <c r="HV49" s="1" t="s">
        <v>37539</v>
      </c>
      <c r="HW49" s="1" t="s">
        <v>37540</v>
      </c>
      <c r="HX49" s="1" t="s">
        <v>37541</v>
      </c>
      <c r="HY49" s="1" t="s">
        <v>37542</v>
      </c>
      <c r="HZ49" s="1" t="s">
        <v>37543</v>
      </c>
      <c r="IA49" s="1" t="s">
        <v>37544</v>
      </c>
      <c r="IB49" s="1" t="s">
        <v>37545</v>
      </c>
      <c r="IC49" s="1" t="s">
        <v>37546</v>
      </c>
      <c r="ID49" s="1" t="s">
        <v>37547</v>
      </c>
      <c r="IE49" s="1" t="s">
        <v>37548</v>
      </c>
      <c r="IF49" s="1" t="s">
        <v>37549</v>
      </c>
      <c r="IG49" s="1" t="s">
        <v>37550</v>
      </c>
      <c r="IH49" s="1" t="s">
        <v>37551</v>
      </c>
      <c r="II49" s="1" t="s">
        <v>37552</v>
      </c>
      <c r="IJ49" s="1" t="s">
        <v>37553</v>
      </c>
      <c r="IK49" s="1" t="s">
        <v>37554</v>
      </c>
      <c r="IL49" s="1" t="s">
        <v>37555</v>
      </c>
      <c r="IM49" s="1" t="s">
        <v>37556</v>
      </c>
      <c r="IN49" s="1" t="s">
        <v>37557</v>
      </c>
      <c r="IO49" s="1" t="s">
        <v>37558</v>
      </c>
      <c r="IP49" s="1" t="s">
        <v>37559</v>
      </c>
      <c r="IQ49" s="1" t="s">
        <v>37560</v>
      </c>
      <c r="IR49" s="1" t="s">
        <v>37561</v>
      </c>
      <c r="IS49" s="1" t="s">
        <v>37562</v>
      </c>
      <c r="IT49" s="1" t="s">
        <v>37563</v>
      </c>
      <c r="IU49" s="1" t="s">
        <v>37564</v>
      </c>
      <c r="IV49" s="1" t="s">
        <v>37565</v>
      </c>
      <c r="IW49" s="1" t="s">
        <v>37566</v>
      </c>
      <c r="IX49" s="1" t="s">
        <v>37567</v>
      </c>
      <c r="IY49" s="1" t="s">
        <v>37568</v>
      </c>
      <c r="IZ49" s="1" t="s">
        <v>37569</v>
      </c>
      <c r="JA49" s="1" t="s">
        <v>37570</v>
      </c>
      <c r="JB49" s="1" t="s">
        <v>37571</v>
      </c>
      <c r="JC49" s="1" t="s">
        <v>37572</v>
      </c>
      <c r="JD49" s="1" t="s">
        <v>37573</v>
      </c>
      <c r="JE49" s="1" t="s">
        <v>37574</v>
      </c>
      <c r="JF49" s="1" t="s">
        <v>37575</v>
      </c>
      <c r="JG49" s="1" t="s">
        <v>37576</v>
      </c>
      <c r="JH49" s="1" t="s">
        <v>37577</v>
      </c>
      <c r="JI49" s="1" t="s">
        <v>37578</v>
      </c>
      <c r="JJ49" s="1" t="s">
        <v>37579</v>
      </c>
      <c r="JK49" s="1" t="s">
        <v>37580</v>
      </c>
      <c r="JL49" s="1" t="s">
        <v>37581</v>
      </c>
      <c r="JM49" s="1" t="s">
        <v>37582</v>
      </c>
      <c r="JN49" s="1" t="s">
        <v>37583</v>
      </c>
      <c r="JO49" s="1" t="s">
        <v>37584</v>
      </c>
      <c r="JP49" s="1" t="s">
        <v>37585</v>
      </c>
      <c r="JQ49" s="1" t="s">
        <v>37586</v>
      </c>
      <c r="JR49" s="1" t="s">
        <v>37587</v>
      </c>
      <c r="JS49" s="1" t="s">
        <v>37588</v>
      </c>
      <c r="JT49" s="1" t="s">
        <v>37589</v>
      </c>
      <c r="JU49" s="1" t="s">
        <v>37590</v>
      </c>
      <c r="JV49" s="1" t="s">
        <v>37591</v>
      </c>
      <c r="JW49" s="1" t="s">
        <v>37592</v>
      </c>
      <c r="JX49" s="1" t="s">
        <v>37593</v>
      </c>
      <c r="JY49" s="1" t="s">
        <v>37594</v>
      </c>
      <c r="JZ49" s="1" t="s">
        <v>37595</v>
      </c>
      <c r="KA49" s="1" t="s">
        <v>37596</v>
      </c>
      <c r="KB49" s="1" t="s">
        <v>37597</v>
      </c>
      <c r="KC49" s="1" t="s">
        <v>37598</v>
      </c>
      <c r="KD49" s="1" t="s">
        <v>37599</v>
      </c>
      <c r="KE49" s="1" t="s">
        <v>37600</v>
      </c>
      <c r="KF49" s="1" t="s">
        <v>37601</v>
      </c>
      <c r="KG49" s="1" t="s">
        <v>37602</v>
      </c>
      <c r="KH49" s="1" t="s">
        <v>37603</v>
      </c>
      <c r="KI49" s="1" t="s">
        <v>37604</v>
      </c>
      <c r="KJ49" s="1" t="s">
        <v>37605</v>
      </c>
      <c r="KK49" s="1" t="s">
        <v>37606</v>
      </c>
      <c r="KL49" s="1" t="s">
        <v>37607</v>
      </c>
      <c r="KM49" s="1" t="s">
        <v>37608</v>
      </c>
      <c r="KN49" s="1" t="s">
        <v>37609</v>
      </c>
      <c r="KO49" s="1" t="s">
        <v>37610</v>
      </c>
      <c r="KP49" s="1" t="s">
        <v>37611</v>
      </c>
      <c r="KQ49" s="1" t="s">
        <v>37612</v>
      </c>
      <c r="KR49" s="1" t="s">
        <v>37613</v>
      </c>
      <c r="KS49" s="1" t="s">
        <v>37614</v>
      </c>
      <c r="KT49" s="1" t="s">
        <v>37615</v>
      </c>
      <c r="KU49" s="1" t="s">
        <v>37616</v>
      </c>
      <c r="KV49" s="1" t="s">
        <v>37617</v>
      </c>
      <c r="KW49" s="1" t="s">
        <v>37618</v>
      </c>
      <c r="KX49" s="1" t="s">
        <v>37619</v>
      </c>
      <c r="KY49" s="1" t="s">
        <v>37620</v>
      </c>
      <c r="KZ49" s="1" t="s">
        <v>37621</v>
      </c>
      <c r="LA49" s="1" t="s">
        <v>37622</v>
      </c>
      <c r="LB49" s="1" t="s">
        <v>37623</v>
      </c>
      <c r="LC49" s="1" t="s">
        <v>37624</v>
      </c>
      <c r="LD49" s="1" t="s">
        <v>37625</v>
      </c>
      <c r="LE49" s="1" t="s">
        <v>37626</v>
      </c>
      <c r="LF49" s="1" t="s">
        <v>37627</v>
      </c>
      <c r="LG49" s="1" t="s">
        <v>37628</v>
      </c>
      <c r="LH49" s="1" t="s">
        <v>37629</v>
      </c>
      <c r="LI49" s="1" t="s">
        <v>37630</v>
      </c>
      <c r="LJ49" s="1" t="s">
        <v>37631</v>
      </c>
      <c r="LK49" s="1" t="s">
        <v>37632</v>
      </c>
      <c r="LL49" s="1" t="s">
        <v>37633</v>
      </c>
      <c r="LM49" s="1" t="s">
        <v>37634</v>
      </c>
      <c r="LN49" s="1" t="s">
        <v>37635</v>
      </c>
      <c r="LO49" s="1" t="s">
        <v>37636</v>
      </c>
      <c r="LP49" s="1" t="s">
        <v>37637</v>
      </c>
      <c r="LQ49" s="1" t="s">
        <v>37638</v>
      </c>
      <c r="LR49" s="1" t="s">
        <v>37639</v>
      </c>
      <c r="LS49" s="1" t="s">
        <v>37640</v>
      </c>
      <c r="LT49" s="1" t="s">
        <v>37641</v>
      </c>
      <c r="LU49" s="1" t="s">
        <v>37642</v>
      </c>
      <c r="LV49" s="1" t="s">
        <v>37643</v>
      </c>
      <c r="LW49" s="1" t="s">
        <v>37644</v>
      </c>
      <c r="LX49" s="1" t="s">
        <v>37645</v>
      </c>
      <c r="LY49" s="1" t="s">
        <v>37646</v>
      </c>
      <c r="LZ49" s="1" t="s">
        <v>37647</v>
      </c>
      <c r="MA49" s="1" t="s">
        <v>37648</v>
      </c>
      <c r="MB49" s="1" t="s">
        <v>37649</v>
      </c>
      <c r="MC49" s="1" t="s">
        <v>37650</v>
      </c>
      <c r="MD49" s="1" t="s">
        <v>37651</v>
      </c>
      <c r="ME49" s="1" t="s">
        <v>37652</v>
      </c>
      <c r="MF49" s="1" t="s">
        <v>37653</v>
      </c>
      <c r="MG49" s="1" t="s">
        <v>37654</v>
      </c>
      <c r="MH49" s="1" t="s">
        <v>37655</v>
      </c>
      <c r="MI49" s="1" t="s">
        <v>37656</v>
      </c>
      <c r="MJ49" s="1" t="s">
        <v>37657</v>
      </c>
      <c r="MK49" s="1" t="s">
        <v>37658</v>
      </c>
      <c r="ML49" s="1" t="s">
        <v>37659</v>
      </c>
      <c r="MM49" s="1" t="s">
        <v>37660</v>
      </c>
      <c r="MN49" s="1" t="s">
        <v>37661</v>
      </c>
      <c r="MO49" s="1" t="s">
        <v>37662</v>
      </c>
      <c r="MP49" s="1" t="s">
        <v>37663</v>
      </c>
      <c r="MQ49" s="1" t="s">
        <v>37664</v>
      </c>
      <c r="MR49" s="1" t="s">
        <v>37665</v>
      </c>
      <c r="MS49" s="1" t="s">
        <v>37666</v>
      </c>
      <c r="MT49" s="1" t="s">
        <v>37667</v>
      </c>
      <c r="MU49" s="1" t="s">
        <v>37668</v>
      </c>
      <c r="MV49" s="1" t="s">
        <v>37669</v>
      </c>
      <c r="MW49" s="1" t="s">
        <v>37670</v>
      </c>
      <c r="MX49" s="1" t="s">
        <v>37671</v>
      </c>
      <c r="MY49" s="1" t="s">
        <v>37672</v>
      </c>
      <c r="MZ49" s="1" t="s">
        <v>37673</v>
      </c>
      <c r="NA49" s="1" t="s">
        <v>37674</v>
      </c>
      <c r="NB49" s="1" t="s">
        <v>37675</v>
      </c>
      <c r="NC49" s="1" t="s">
        <v>37676</v>
      </c>
      <c r="ND49" s="1" t="s">
        <v>37677</v>
      </c>
      <c r="NE49" s="1" t="s">
        <v>37678</v>
      </c>
      <c r="NF49" s="1" t="s">
        <v>37679</v>
      </c>
      <c r="NG49" s="1" t="s">
        <v>37680</v>
      </c>
      <c r="NH49" s="1" t="s">
        <v>37681</v>
      </c>
      <c r="NI49" s="1" t="s">
        <v>37682</v>
      </c>
      <c r="NJ49" s="1" t="s">
        <v>37683</v>
      </c>
      <c r="NK49" s="1" t="s">
        <v>37684</v>
      </c>
      <c r="NL49" s="1" t="s">
        <v>37685</v>
      </c>
      <c r="NM49" s="1" t="s">
        <v>37686</v>
      </c>
      <c r="NN49" s="1" t="s">
        <v>37687</v>
      </c>
      <c r="NO49" s="1" t="s">
        <v>37688</v>
      </c>
      <c r="NP49" s="1" t="s">
        <v>37689</v>
      </c>
      <c r="NQ49" s="1" t="s">
        <v>37690</v>
      </c>
      <c r="NR49" s="1" t="s">
        <v>37691</v>
      </c>
      <c r="NS49" s="1" t="s">
        <v>37692</v>
      </c>
      <c r="NT49" s="1" t="s">
        <v>37693</v>
      </c>
      <c r="NU49" s="1" t="s">
        <v>37694</v>
      </c>
      <c r="NV49" s="1" t="s">
        <v>37695</v>
      </c>
      <c r="NW49" s="1" t="s">
        <v>37696</v>
      </c>
      <c r="NX49" s="1" t="s">
        <v>37697</v>
      </c>
      <c r="NY49" s="1" t="s">
        <v>37698</v>
      </c>
      <c r="NZ49" s="1" t="s">
        <v>37699</v>
      </c>
      <c r="OA49" s="1" t="s">
        <v>37700</v>
      </c>
      <c r="OB49" s="1" t="s">
        <v>37701</v>
      </c>
      <c r="OC49" s="1" t="s">
        <v>37702</v>
      </c>
      <c r="OD49" s="1" t="s">
        <v>37703</v>
      </c>
      <c r="OE49" s="1" t="s">
        <v>37704</v>
      </c>
      <c r="OF49" s="1" t="s">
        <v>37705</v>
      </c>
      <c r="OG49" s="1" t="s">
        <v>37706</v>
      </c>
      <c r="OH49" s="1" t="s">
        <v>37707</v>
      </c>
      <c r="OI49" s="1" t="s">
        <v>37708</v>
      </c>
      <c r="OJ49" s="1" t="s">
        <v>37709</v>
      </c>
      <c r="OK49" s="1" t="s">
        <v>37710</v>
      </c>
      <c r="OL49" s="1" t="s">
        <v>37711</v>
      </c>
      <c r="OM49" s="1" t="s">
        <v>37712</v>
      </c>
      <c r="ON49" s="1" t="s">
        <v>37713</v>
      </c>
      <c r="OO49" s="1" t="s">
        <v>37714</v>
      </c>
      <c r="OP49" s="1" t="s">
        <v>37715</v>
      </c>
      <c r="OQ49" s="1" t="s">
        <v>37716</v>
      </c>
      <c r="OR49" s="1" t="s">
        <v>37717</v>
      </c>
      <c r="OS49" s="1" t="s">
        <v>37718</v>
      </c>
      <c r="OT49" s="1" t="s">
        <v>37719</v>
      </c>
      <c r="OU49" s="1" t="s">
        <v>37720</v>
      </c>
      <c r="OV49" s="1" t="s">
        <v>37721</v>
      </c>
      <c r="OW49" s="1" t="s">
        <v>37722</v>
      </c>
      <c r="OX49" s="1" t="s">
        <v>37723</v>
      </c>
      <c r="OY49" s="1" t="s">
        <v>37724</v>
      </c>
      <c r="OZ49" s="1" t="s">
        <v>37725</v>
      </c>
      <c r="PA49" s="1" t="s">
        <v>37726</v>
      </c>
      <c r="PB49" s="1" t="s">
        <v>37727</v>
      </c>
      <c r="PC49" s="1" t="s">
        <v>37728</v>
      </c>
      <c r="PD49" s="1" t="s">
        <v>37729</v>
      </c>
      <c r="PE49" s="1" t="s">
        <v>37730</v>
      </c>
      <c r="PF49" s="1" t="s">
        <v>37731</v>
      </c>
      <c r="PG49" s="1" t="s">
        <v>37732</v>
      </c>
      <c r="PH49" s="1" t="s">
        <v>37733</v>
      </c>
      <c r="PI49" s="1" t="s">
        <v>37734</v>
      </c>
      <c r="PJ49" s="1" t="s">
        <v>37735</v>
      </c>
      <c r="PK49" s="1" t="s">
        <v>37736</v>
      </c>
      <c r="PL49" s="1" t="s">
        <v>37737</v>
      </c>
      <c r="PM49" s="1" t="s">
        <v>37738</v>
      </c>
      <c r="PN49" s="1" t="s">
        <v>37739</v>
      </c>
      <c r="PO49" s="1" t="s">
        <v>37740</v>
      </c>
      <c r="PP49" s="1" t="s">
        <v>37741</v>
      </c>
      <c r="PQ49" s="1" t="s">
        <v>37742</v>
      </c>
      <c r="PR49" s="1" t="s">
        <v>37743</v>
      </c>
      <c r="PS49" s="1" t="s">
        <v>37744</v>
      </c>
      <c r="PT49" s="1" t="s">
        <v>37745</v>
      </c>
      <c r="PU49" s="1" t="s">
        <v>37746</v>
      </c>
      <c r="PV49" s="1" t="s">
        <v>37747</v>
      </c>
      <c r="PW49" s="1" t="s">
        <v>37748</v>
      </c>
      <c r="PX49" s="1" t="s">
        <v>37749</v>
      </c>
      <c r="PY49" s="1" t="s">
        <v>37750</v>
      </c>
      <c r="PZ49" s="1" t="s">
        <v>37751</v>
      </c>
      <c r="QA49" s="1" t="s">
        <v>37752</v>
      </c>
      <c r="QB49" s="1" t="s">
        <v>37753</v>
      </c>
      <c r="QC49" s="1" t="s">
        <v>37754</v>
      </c>
      <c r="QD49" s="1" t="s">
        <v>37755</v>
      </c>
      <c r="QE49" s="1" t="s">
        <v>37756</v>
      </c>
      <c r="QF49" s="1" t="s">
        <v>37757</v>
      </c>
      <c r="QG49" s="1" t="s">
        <v>37758</v>
      </c>
      <c r="QH49" s="1" t="s">
        <v>37759</v>
      </c>
      <c r="QI49" s="1" t="s">
        <v>37760</v>
      </c>
      <c r="QJ49" s="1" t="s">
        <v>37761</v>
      </c>
      <c r="QK49" s="1" t="s">
        <v>37762</v>
      </c>
      <c r="QL49" s="1" t="s">
        <v>37763</v>
      </c>
      <c r="QM49" s="1" t="s">
        <v>37764</v>
      </c>
      <c r="QN49" s="1" t="s">
        <v>37765</v>
      </c>
      <c r="QO49" s="1" t="s">
        <v>37766</v>
      </c>
      <c r="QP49" s="1" t="s">
        <v>37767</v>
      </c>
      <c r="QQ49" s="1" t="s">
        <v>37768</v>
      </c>
      <c r="QR49" s="1" t="s">
        <v>37769</v>
      </c>
      <c r="QS49" s="1" t="s">
        <v>37770</v>
      </c>
      <c r="QT49" s="1" t="s">
        <v>37771</v>
      </c>
      <c r="QU49" s="1" t="s">
        <v>37772</v>
      </c>
      <c r="QV49" s="1" t="s">
        <v>37773</v>
      </c>
      <c r="QW49" s="1" t="s">
        <v>37774</v>
      </c>
      <c r="QX49" s="1" t="s">
        <v>37775</v>
      </c>
      <c r="QY49" s="1" t="s">
        <v>37776</v>
      </c>
      <c r="QZ49" s="1" t="s">
        <v>37777</v>
      </c>
      <c r="RA49" s="1" t="s">
        <v>37778</v>
      </c>
      <c r="RB49" s="1" t="s">
        <v>37779</v>
      </c>
      <c r="RC49" s="1" t="s">
        <v>37780</v>
      </c>
      <c r="RD49" s="1" t="s">
        <v>37781</v>
      </c>
      <c r="RE49" s="1" t="s">
        <v>37782</v>
      </c>
      <c r="RF49" s="1" t="s">
        <v>37783</v>
      </c>
      <c r="RG49" s="1" t="s">
        <v>37784</v>
      </c>
      <c r="RH49" s="1" t="s">
        <v>37785</v>
      </c>
      <c r="RI49" s="1" t="s">
        <v>37786</v>
      </c>
      <c r="RJ49" s="1" t="s">
        <v>37787</v>
      </c>
      <c r="RK49" s="1" t="s">
        <v>37788</v>
      </c>
      <c r="RL49" s="1" t="s">
        <v>37789</v>
      </c>
      <c r="RM49" s="1" t="s">
        <v>37790</v>
      </c>
      <c r="RN49" s="1" t="s">
        <v>37791</v>
      </c>
      <c r="RO49" s="1" t="s">
        <v>37792</v>
      </c>
      <c r="RP49" s="1" t="s">
        <v>37793</v>
      </c>
      <c r="RQ49" s="1" t="s">
        <v>37794</v>
      </c>
      <c r="RR49" s="1" t="s">
        <v>37795</v>
      </c>
      <c r="RS49" s="1" t="s">
        <v>37796</v>
      </c>
      <c r="RT49" s="1" t="s">
        <v>37797</v>
      </c>
      <c r="RU49" s="1" t="s">
        <v>37798</v>
      </c>
      <c r="RV49" s="1" t="s">
        <v>37799</v>
      </c>
      <c r="RW49" s="1" t="s">
        <v>37800</v>
      </c>
      <c r="RX49" s="1" t="s">
        <v>37801</v>
      </c>
      <c r="RY49" s="1" t="s">
        <v>37802</v>
      </c>
      <c r="RZ49" s="1" t="s">
        <v>37803</v>
      </c>
      <c r="SA49" s="1" t="s">
        <v>37804</v>
      </c>
      <c r="SB49" s="1" t="s">
        <v>37805</v>
      </c>
      <c r="SC49" s="1" t="s">
        <v>37806</v>
      </c>
      <c r="SD49" s="1" t="s">
        <v>37807</v>
      </c>
      <c r="SE49" s="1" t="s">
        <v>37808</v>
      </c>
      <c r="SF49" s="1" t="s">
        <v>37809</v>
      </c>
      <c r="SG49" s="1" t="s">
        <v>37810</v>
      </c>
      <c r="SH49" s="1" t="s">
        <v>37811</v>
      </c>
      <c r="SI49" s="1" t="s">
        <v>37812</v>
      </c>
      <c r="SJ49" s="1" t="s">
        <v>37813</v>
      </c>
      <c r="SK49" s="1" t="s">
        <v>37814</v>
      </c>
      <c r="SL49" s="1" t="s">
        <v>37815</v>
      </c>
      <c r="SM49" s="1" t="s">
        <v>37816</v>
      </c>
      <c r="SN49" s="1" t="s">
        <v>37817</v>
      </c>
      <c r="SO49" s="1" t="s">
        <v>37818</v>
      </c>
      <c r="SP49" s="1" t="s">
        <v>37819</v>
      </c>
      <c r="SQ49" s="1" t="s">
        <v>37820</v>
      </c>
      <c r="SR49" s="1" t="s">
        <v>37821</v>
      </c>
      <c r="SS49" s="1" t="s">
        <v>37822</v>
      </c>
      <c r="ST49" s="1" t="s">
        <v>37823</v>
      </c>
      <c r="SU49" s="1" t="s">
        <v>37824</v>
      </c>
      <c r="SV49" s="1" t="s">
        <v>37825</v>
      </c>
      <c r="SW49" s="1" t="s">
        <v>37826</v>
      </c>
      <c r="SX49" s="1" t="s">
        <v>37827</v>
      </c>
      <c r="SY49" s="1" t="s">
        <v>37828</v>
      </c>
      <c r="SZ49" s="1" t="s">
        <v>37829</v>
      </c>
      <c r="TA49" s="1" t="s">
        <v>37830</v>
      </c>
      <c r="TB49" s="1" t="s">
        <v>37831</v>
      </c>
      <c r="TC49" s="1" t="s">
        <v>37832</v>
      </c>
      <c r="TD49" s="1" t="s">
        <v>37833</v>
      </c>
      <c r="TE49" s="1" t="s">
        <v>37834</v>
      </c>
      <c r="TF49" s="1" t="s">
        <v>37835</v>
      </c>
      <c r="TG49" s="1" t="s">
        <v>37836</v>
      </c>
      <c r="TH49" s="1" t="s">
        <v>37837</v>
      </c>
      <c r="TI49" s="1" t="s">
        <v>37838</v>
      </c>
      <c r="TJ49" s="1" t="s">
        <v>37839</v>
      </c>
      <c r="TK49" s="1" t="s">
        <v>37840</v>
      </c>
      <c r="TL49" s="1" t="s">
        <v>37841</v>
      </c>
      <c r="TM49" s="1" t="s">
        <v>37842</v>
      </c>
      <c r="TN49" s="1" t="s">
        <v>37843</v>
      </c>
      <c r="TO49" s="1" t="s">
        <v>37844</v>
      </c>
      <c r="TP49" s="1" t="s">
        <v>37845</v>
      </c>
      <c r="TQ49" s="1" t="s">
        <v>37846</v>
      </c>
      <c r="TR49" s="1" t="s">
        <v>37847</v>
      </c>
      <c r="TS49" s="1" t="s">
        <v>37848</v>
      </c>
      <c r="TT49" s="1" t="s">
        <v>37849</v>
      </c>
      <c r="TU49" s="1" t="s">
        <v>37850</v>
      </c>
      <c r="TV49" s="1" t="s">
        <v>37851</v>
      </c>
      <c r="TW49" s="1" t="s">
        <v>37852</v>
      </c>
      <c r="TX49" s="1" t="s">
        <v>37853</v>
      </c>
      <c r="TY49" s="1" t="s">
        <v>37854</v>
      </c>
      <c r="TZ49" s="1" t="s">
        <v>37855</v>
      </c>
      <c r="UA49" s="1" t="s">
        <v>37856</v>
      </c>
      <c r="UB49" s="1" t="s">
        <v>37857</v>
      </c>
      <c r="UC49" s="1" t="s">
        <v>37858</v>
      </c>
      <c r="UD49" s="1" t="s">
        <v>37859</v>
      </c>
      <c r="UE49" s="1" t="s">
        <v>37860</v>
      </c>
      <c r="UF49" s="1" t="s">
        <v>37861</v>
      </c>
      <c r="UG49" s="1" t="s">
        <v>37862</v>
      </c>
      <c r="UH49" s="1" t="s">
        <v>37863</v>
      </c>
      <c r="UI49" s="1" t="s">
        <v>37864</v>
      </c>
      <c r="UJ49" s="1" t="s">
        <v>37865</v>
      </c>
      <c r="UK49" s="1" t="s">
        <v>37866</v>
      </c>
      <c r="UL49" s="1" t="s">
        <v>37867</v>
      </c>
      <c r="UM49" s="1" t="s">
        <v>37868</v>
      </c>
      <c r="UN49" s="1" t="s">
        <v>37869</v>
      </c>
      <c r="UO49" s="1" t="s">
        <v>37870</v>
      </c>
      <c r="UP49" s="1" t="s">
        <v>37871</v>
      </c>
      <c r="UQ49" s="1" t="s">
        <v>37872</v>
      </c>
      <c r="UR49" s="1" t="s">
        <v>37873</v>
      </c>
      <c r="US49" s="1" t="s">
        <v>37874</v>
      </c>
      <c r="UT49" s="1" t="s">
        <v>37875</v>
      </c>
      <c r="UU49" s="1" t="s">
        <v>37876</v>
      </c>
      <c r="UV49" s="1" t="s">
        <v>37877</v>
      </c>
      <c r="UW49" s="1" t="s">
        <v>37878</v>
      </c>
      <c r="UX49" s="1" t="s">
        <v>37879</v>
      </c>
      <c r="UY49" s="1" t="s">
        <v>37880</v>
      </c>
      <c r="UZ49" s="1" t="s">
        <v>37881</v>
      </c>
      <c r="VA49" s="1" t="s">
        <v>37882</v>
      </c>
      <c r="VB49" s="1" t="s">
        <v>37883</v>
      </c>
      <c r="VC49" s="1" t="s">
        <v>37884</v>
      </c>
      <c r="VD49" s="1" t="s">
        <v>37885</v>
      </c>
      <c r="VE49" s="1" t="s">
        <v>37886</v>
      </c>
      <c r="VF49" s="1" t="s">
        <v>37887</v>
      </c>
      <c r="VG49" s="1" t="s">
        <v>37888</v>
      </c>
      <c r="VH49" s="1" t="s">
        <v>37889</v>
      </c>
      <c r="VI49" s="1" t="s">
        <v>37890</v>
      </c>
      <c r="VJ49" s="1" t="s">
        <v>37891</v>
      </c>
      <c r="VK49" s="1" t="s">
        <v>37892</v>
      </c>
      <c r="VL49" s="1" t="s">
        <v>37893</v>
      </c>
      <c r="VM49" s="1" t="s">
        <v>37894</v>
      </c>
      <c r="VN49" s="1" t="s">
        <v>37895</v>
      </c>
      <c r="VO49" s="1" t="s">
        <v>37896</v>
      </c>
      <c r="VP49" s="1" t="s">
        <v>37897</v>
      </c>
      <c r="VQ49" s="1" t="s">
        <v>37898</v>
      </c>
      <c r="VR49" s="1" t="s">
        <v>37899</v>
      </c>
      <c r="VS49" s="1" t="s">
        <v>37900</v>
      </c>
      <c r="VT49" s="1" t="s">
        <v>37901</v>
      </c>
      <c r="VU49" s="1" t="s">
        <v>37902</v>
      </c>
      <c r="VV49" s="1" t="s">
        <v>37903</v>
      </c>
      <c r="VW49" s="1" t="s">
        <v>37904</v>
      </c>
      <c r="VX49" s="1" t="s">
        <v>37905</v>
      </c>
      <c r="VY49" s="1" t="s">
        <v>37906</v>
      </c>
      <c r="VZ49" s="1" t="s">
        <v>37907</v>
      </c>
      <c r="WA49" s="1" t="s">
        <v>37908</v>
      </c>
      <c r="WB49" s="1" t="s">
        <v>37909</v>
      </c>
      <c r="WC49" s="1" t="s">
        <v>37910</v>
      </c>
      <c r="WD49" s="1" t="s">
        <v>37911</v>
      </c>
      <c r="WE49" s="1" t="s">
        <v>37912</v>
      </c>
      <c r="WF49" s="1" t="s">
        <v>37913</v>
      </c>
      <c r="WG49" s="1" t="s">
        <v>37914</v>
      </c>
      <c r="WH49" s="1" t="s">
        <v>37915</v>
      </c>
      <c r="WI49" s="1" t="s">
        <v>37916</v>
      </c>
      <c r="WJ49" s="1" t="s">
        <v>37917</v>
      </c>
      <c r="WK49" s="1" t="s">
        <v>37918</v>
      </c>
      <c r="WL49" s="1" t="s">
        <v>37919</v>
      </c>
      <c r="WM49" s="1" t="s">
        <v>37920</v>
      </c>
      <c r="WN49" s="1" t="s">
        <v>37921</v>
      </c>
      <c r="WO49" s="1" t="s">
        <v>37922</v>
      </c>
      <c r="WP49" s="1" t="s">
        <v>37923</v>
      </c>
      <c r="WQ49" s="1" t="s">
        <v>37924</v>
      </c>
      <c r="WR49" s="1" t="s">
        <v>37925</v>
      </c>
      <c r="WS49" s="1" t="s">
        <v>37926</v>
      </c>
      <c r="WT49" s="1" t="s">
        <v>37927</v>
      </c>
      <c r="WU49" s="1" t="s">
        <v>37928</v>
      </c>
      <c r="WV49" s="1" t="s">
        <v>37929</v>
      </c>
      <c r="WW49" s="1" t="s">
        <v>37930</v>
      </c>
      <c r="WX49" s="1" t="s">
        <v>37931</v>
      </c>
      <c r="WY49" s="1" t="s">
        <v>37932</v>
      </c>
      <c r="WZ49" s="1" t="s">
        <v>37933</v>
      </c>
      <c r="XA49" s="1" t="s">
        <v>37934</v>
      </c>
      <c r="XB49" s="1" t="s">
        <v>37935</v>
      </c>
      <c r="XC49" s="1" t="s">
        <v>37936</v>
      </c>
      <c r="XD49" s="1" t="s">
        <v>37937</v>
      </c>
      <c r="XE49" s="1" t="s">
        <v>37938</v>
      </c>
      <c r="XF49" s="1" t="s">
        <v>37939</v>
      </c>
      <c r="XG49" s="1" t="s">
        <v>37940</v>
      </c>
      <c r="XH49" s="1" t="s">
        <v>37941</v>
      </c>
      <c r="XI49" s="1" t="s">
        <v>37942</v>
      </c>
      <c r="XJ49" s="1" t="s">
        <v>37943</v>
      </c>
      <c r="XK49" s="1" t="s">
        <v>37944</v>
      </c>
      <c r="XL49" s="1" t="s">
        <v>37945</v>
      </c>
      <c r="XM49" s="1" t="s">
        <v>37946</v>
      </c>
      <c r="XN49" s="1" t="s">
        <v>37947</v>
      </c>
      <c r="XO49" s="1" t="s">
        <v>37948</v>
      </c>
      <c r="XP49" s="1" t="s">
        <v>37949</v>
      </c>
      <c r="XQ49" s="1" t="s">
        <v>37950</v>
      </c>
      <c r="XR49" s="1" t="s">
        <v>37951</v>
      </c>
      <c r="XS49" s="1" t="s">
        <v>37952</v>
      </c>
      <c r="XT49" s="1" t="s">
        <v>37953</v>
      </c>
      <c r="XU49" s="1" t="s">
        <v>37954</v>
      </c>
      <c r="XV49" s="1" t="s">
        <v>37955</v>
      </c>
      <c r="XW49" s="1" t="s">
        <v>37956</v>
      </c>
      <c r="XX49" s="1" t="s">
        <v>37957</v>
      </c>
      <c r="XY49" s="1" t="s">
        <v>37958</v>
      </c>
      <c r="XZ49" s="1" t="s">
        <v>37959</v>
      </c>
      <c r="YA49" s="1" t="s">
        <v>37960</v>
      </c>
      <c r="YB49" s="1" t="s">
        <v>37961</v>
      </c>
      <c r="YC49" s="1" t="s">
        <v>37962</v>
      </c>
      <c r="YD49" s="1" t="s">
        <v>37963</v>
      </c>
      <c r="YE49" s="1" t="s">
        <v>37964</v>
      </c>
      <c r="YF49" s="1" t="s">
        <v>37965</v>
      </c>
      <c r="YG49" s="1" t="s">
        <v>37966</v>
      </c>
      <c r="YH49" s="1" t="s">
        <v>37967</v>
      </c>
      <c r="YI49" s="1" t="s">
        <v>37968</v>
      </c>
      <c r="YJ49" s="1" t="s">
        <v>37969</v>
      </c>
      <c r="YK49" s="1" t="s">
        <v>37970</v>
      </c>
      <c r="YL49" s="1" t="s">
        <v>37971</v>
      </c>
      <c r="YM49" s="1" t="s">
        <v>37972</v>
      </c>
      <c r="YN49" s="1" t="s">
        <v>37973</v>
      </c>
      <c r="YO49" s="1" t="s">
        <v>37974</v>
      </c>
      <c r="YP49" s="1" t="s">
        <v>37975</v>
      </c>
      <c r="YQ49" s="1" t="s">
        <v>37976</v>
      </c>
      <c r="YR49" s="1" t="s">
        <v>37977</v>
      </c>
      <c r="YS49" s="1" t="s">
        <v>37978</v>
      </c>
      <c r="YT49" s="1" t="s">
        <v>37979</v>
      </c>
      <c r="YU49" s="1" t="s">
        <v>37980</v>
      </c>
      <c r="YV49" s="1" t="s">
        <v>37981</v>
      </c>
      <c r="YW49" s="1" t="s">
        <v>37982</v>
      </c>
      <c r="YX49" s="1" t="s">
        <v>37983</v>
      </c>
      <c r="YY49" s="1" t="s">
        <v>37984</v>
      </c>
      <c r="YZ49" s="1" t="s">
        <v>37985</v>
      </c>
      <c r="ZA49" s="1" t="s">
        <v>37986</v>
      </c>
      <c r="ZB49" s="1" t="s">
        <v>37987</v>
      </c>
      <c r="ZC49" s="1" t="s">
        <v>37988</v>
      </c>
      <c r="ZD49" s="1" t="s">
        <v>37989</v>
      </c>
      <c r="ZE49" s="1" t="s">
        <v>37990</v>
      </c>
      <c r="ZF49" s="1" t="s">
        <v>37991</v>
      </c>
      <c r="ZG49" s="1" t="s">
        <v>37992</v>
      </c>
      <c r="ZH49" s="1" t="s">
        <v>37993</v>
      </c>
      <c r="ZI49" s="1" t="s">
        <v>37994</v>
      </c>
      <c r="ZJ49" s="1" t="s">
        <v>37995</v>
      </c>
      <c r="ZK49" s="1" t="s">
        <v>37996</v>
      </c>
      <c r="ZL49" s="1" t="s">
        <v>37997</v>
      </c>
      <c r="ZM49" s="1" t="s">
        <v>37998</v>
      </c>
      <c r="ZN49" s="1" t="s">
        <v>37999</v>
      </c>
      <c r="ZO49" s="1" t="s">
        <v>38000</v>
      </c>
      <c r="ZP49" s="1" t="s">
        <v>38001</v>
      </c>
      <c r="ZQ49" s="1" t="s">
        <v>38002</v>
      </c>
      <c r="ZR49" s="1" t="s">
        <v>38003</v>
      </c>
      <c r="ZS49" s="1" t="s">
        <v>38004</v>
      </c>
      <c r="ZT49" s="1" t="s">
        <v>38005</v>
      </c>
      <c r="ZU49" s="1" t="s">
        <v>38006</v>
      </c>
      <c r="ZV49" s="1" t="s">
        <v>38007</v>
      </c>
      <c r="ZW49" s="1" t="s">
        <v>38008</v>
      </c>
      <c r="ZX49" s="1" t="s">
        <v>38009</v>
      </c>
      <c r="ZY49" s="1" t="s">
        <v>38010</v>
      </c>
      <c r="ZZ49" s="1" t="s">
        <v>38011</v>
      </c>
      <c r="AAA49" s="1" t="s">
        <v>38012</v>
      </c>
      <c r="AAB49" s="1" t="s">
        <v>38013</v>
      </c>
      <c r="AAC49" s="1" t="s">
        <v>38014</v>
      </c>
      <c r="AAD49" s="1" t="s">
        <v>38015</v>
      </c>
      <c r="AAE49" s="1" t="s">
        <v>38016</v>
      </c>
      <c r="AAF49" s="1" t="s">
        <v>38017</v>
      </c>
      <c r="AAG49" s="1" t="s">
        <v>38018</v>
      </c>
      <c r="AAH49" s="1" t="s">
        <v>38019</v>
      </c>
      <c r="AAI49" s="1" t="s">
        <v>38020</v>
      </c>
      <c r="AAJ49" s="1" t="s">
        <v>38021</v>
      </c>
      <c r="AAK49" s="1" t="s">
        <v>38022</v>
      </c>
      <c r="AAL49" s="1" t="s">
        <v>38023</v>
      </c>
      <c r="AAM49" s="1" t="s">
        <v>38024</v>
      </c>
      <c r="AAN49" s="1" t="s">
        <v>38025</v>
      </c>
      <c r="AAO49" s="1" t="s">
        <v>38026</v>
      </c>
      <c r="AAP49" s="1" t="s">
        <v>38027</v>
      </c>
      <c r="AAQ49" s="1" t="s">
        <v>38028</v>
      </c>
      <c r="AAR49" s="1" t="s">
        <v>38029</v>
      </c>
      <c r="AAS49" s="1" t="s">
        <v>38030</v>
      </c>
      <c r="AAT49" s="1" t="s">
        <v>38031</v>
      </c>
      <c r="AAU49" s="1" t="s">
        <v>38032</v>
      </c>
      <c r="AAV49" s="1" t="s">
        <v>38033</v>
      </c>
      <c r="AAW49" s="1" t="s">
        <v>38034</v>
      </c>
      <c r="AAX49" s="1" t="s">
        <v>38035</v>
      </c>
      <c r="AAY49" s="1" t="s">
        <v>38036</v>
      </c>
      <c r="AAZ49" s="1" t="s">
        <v>38037</v>
      </c>
      <c r="ABA49" s="1" t="s">
        <v>38038</v>
      </c>
      <c r="ABB49" s="1" t="s">
        <v>38039</v>
      </c>
      <c r="ABC49" s="1" t="s">
        <v>38040</v>
      </c>
      <c r="ABD49" s="1" t="s">
        <v>38041</v>
      </c>
      <c r="ABE49" s="1" t="s">
        <v>38042</v>
      </c>
      <c r="ABF49" s="1" t="s">
        <v>38043</v>
      </c>
      <c r="ABG49" s="1" t="s">
        <v>38044</v>
      </c>
      <c r="ABH49" s="1" t="s">
        <v>38045</v>
      </c>
      <c r="ABI49" s="1" t="s">
        <v>38046</v>
      </c>
      <c r="ABJ49" s="1" t="s">
        <v>38047</v>
      </c>
      <c r="ABK49" s="1" t="s">
        <v>38048</v>
      </c>
      <c r="ABL49" s="1" t="s">
        <v>38049</v>
      </c>
      <c r="ABM49" s="1" t="s">
        <v>38050</v>
      </c>
      <c r="ABN49" s="1" t="s">
        <v>38051</v>
      </c>
      <c r="ABO49" s="1" t="s">
        <v>38052</v>
      </c>
      <c r="ABP49" s="1" t="s">
        <v>38053</v>
      </c>
      <c r="ABQ49" s="1" t="s">
        <v>38054</v>
      </c>
      <c r="ABR49" s="1" t="s">
        <v>38055</v>
      </c>
      <c r="ABS49" s="1" t="s">
        <v>38056</v>
      </c>
      <c r="ABT49" s="1" t="s">
        <v>38057</v>
      </c>
      <c r="ABU49" s="1" t="s">
        <v>38058</v>
      </c>
      <c r="ABV49" s="1" t="s">
        <v>38059</v>
      </c>
      <c r="ABW49" s="1" t="s">
        <v>38060</v>
      </c>
      <c r="ABX49" s="1" t="s">
        <v>38061</v>
      </c>
      <c r="ABY49" s="1" t="s">
        <v>38062</v>
      </c>
      <c r="ABZ49" s="1" t="s">
        <v>38063</v>
      </c>
      <c r="ACA49" s="1" t="s">
        <v>38064</v>
      </c>
      <c r="ACB49" s="1" t="s">
        <v>38065</v>
      </c>
      <c r="ACC49" s="1" t="s">
        <v>38066</v>
      </c>
      <c r="ACD49" s="1" t="s">
        <v>38067</v>
      </c>
      <c r="ACE49" s="1" t="s">
        <v>38068</v>
      </c>
      <c r="ACF49" s="1" t="s">
        <v>38069</v>
      </c>
      <c r="ACG49" s="1" t="s">
        <v>38070</v>
      </c>
      <c r="ACH49" s="1" t="s">
        <v>38071</v>
      </c>
      <c r="ACI49" s="1" t="s">
        <v>38072</v>
      </c>
      <c r="ACJ49" s="1" t="s">
        <v>38073</v>
      </c>
      <c r="ACK49" s="1" t="s">
        <v>38074</v>
      </c>
      <c r="ACL49" s="1" t="s">
        <v>38075</v>
      </c>
      <c r="ACM49" s="1" t="s">
        <v>38076</v>
      </c>
      <c r="ACN49" s="1" t="s">
        <v>38077</v>
      </c>
      <c r="ACO49" s="1" t="s">
        <v>38078</v>
      </c>
      <c r="ACP49" s="1" t="s">
        <v>38079</v>
      </c>
      <c r="ACQ49" s="1" t="s">
        <v>38080</v>
      </c>
      <c r="ACR49" s="1" t="s">
        <v>38081</v>
      </c>
      <c r="ACS49" s="1" t="s">
        <v>38082</v>
      </c>
      <c r="ACT49" s="1" t="s">
        <v>38083</v>
      </c>
      <c r="ACU49" s="1" t="s">
        <v>38084</v>
      </c>
      <c r="ACV49" s="1" t="s">
        <v>38085</v>
      </c>
      <c r="ACW49" s="1" t="s">
        <v>12</v>
      </c>
      <c r="ACX49" s="1" t="s">
        <v>1500</v>
      </c>
    </row>
    <row r="50" spans="1:778" x14ac:dyDescent="0.2">
      <c r="A50" s="1" t="s">
        <v>1504</v>
      </c>
      <c r="B50" s="1" t="s">
        <v>38086</v>
      </c>
      <c r="C50" s="1" t="s">
        <v>38087</v>
      </c>
      <c r="D50" s="1" t="s">
        <v>38088</v>
      </c>
      <c r="E50" s="1" t="s">
        <v>38089</v>
      </c>
      <c r="F50" s="1" t="s">
        <v>38090</v>
      </c>
      <c r="G50" s="1" t="s">
        <v>38091</v>
      </c>
      <c r="H50" s="1" t="s">
        <v>38092</v>
      </c>
      <c r="I50" s="1" t="s">
        <v>38093</v>
      </c>
      <c r="J50" s="1" t="s">
        <v>38094</v>
      </c>
      <c r="K50" s="1" t="s">
        <v>38095</v>
      </c>
      <c r="L50" s="1" t="s">
        <v>38096</v>
      </c>
      <c r="M50" s="1" t="s">
        <v>38097</v>
      </c>
      <c r="N50" s="1" t="s">
        <v>38098</v>
      </c>
      <c r="O50" s="1" t="s">
        <v>38099</v>
      </c>
      <c r="P50" s="1" t="s">
        <v>38100</v>
      </c>
      <c r="Q50" s="1" t="s">
        <v>38101</v>
      </c>
      <c r="R50" s="1" t="s">
        <v>38102</v>
      </c>
      <c r="S50" s="1" t="s">
        <v>38103</v>
      </c>
      <c r="T50" s="1" t="s">
        <v>38104</v>
      </c>
      <c r="U50" s="1" t="s">
        <v>38105</v>
      </c>
      <c r="V50" s="1" t="s">
        <v>38106</v>
      </c>
      <c r="W50" s="1" t="s">
        <v>38107</v>
      </c>
      <c r="X50" s="1" t="s">
        <v>38108</v>
      </c>
      <c r="Y50" s="1" t="s">
        <v>38109</v>
      </c>
      <c r="Z50" s="1" t="s">
        <v>38110</v>
      </c>
      <c r="AA50" s="1" t="s">
        <v>38111</v>
      </c>
      <c r="AB50" s="1" t="s">
        <v>38112</v>
      </c>
      <c r="AC50" s="1" t="s">
        <v>38113</v>
      </c>
      <c r="AD50" s="1" t="s">
        <v>38114</v>
      </c>
      <c r="AE50" s="1" t="s">
        <v>38115</v>
      </c>
      <c r="AF50" s="1" t="s">
        <v>38116</v>
      </c>
      <c r="AG50" s="1" t="s">
        <v>38117</v>
      </c>
      <c r="AH50" s="1" t="s">
        <v>38118</v>
      </c>
      <c r="AI50" s="1" t="s">
        <v>38119</v>
      </c>
      <c r="AJ50" s="1" t="s">
        <v>38120</v>
      </c>
      <c r="AK50" s="1" t="s">
        <v>38121</v>
      </c>
      <c r="AL50" s="1" t="s">
        <v>38122</v>
      </c>
      <c r="AM50" s="1" t="s">
        <v>38123</v>
      </c>
      <c r="AN50" s="1" t="s">
        <v>38124</v>
      </c>
      <c r="AO50" s="1" t="s">
        <v>38125</v>
      </c>
      <c r="AP50" s="1" t="s">
        <v>38126</v>
      </c>
      <c r="AQ50" s="1" t="s">
        <v>38127</v>
      </c>
      <c r="AR50" s="1" t="s">
        <v>38128</v>
      </c>
      <c r="AS50" s="1" t="s">
        <v>38129</v>
      </c>
      <c r="AT50" s="1" t="s">
        <v>38130</v>
      </c>
      <c r="AU50" s="1" t="s">
        <v>38131</v>
      </c>
      <c r="AV50" s="1" t="s">
        <v>38132</v>
      </c>
      <c r="AW50" s="1" t="s">
        <v>38133</v>
      </c>
      <c r="AX50" s="1" t="s">
        <v>38134</v>
      </c>
      <c r="AY50" s="1" t="s">
        <v>38135</v>
      </c>
      <c r="AZ50" s="1" t="s">
        <v>38136</v>
      </c>
      <c r="BA50" s="1" t="s">
        <v>38137</v>
      </c>
      <c r="BB50" s="1" t="s">
        <v>38138</v>
      </c>
      <c r="BC50" s="1" t="s">
        <v>38139</v>
      </c>
      <c r="BD50" s="1" t="s">
        <v>38140</v>
      </c>
      <c r="BE50" s="1" t="s">
        <v>38141</v>
      </c>
      <c r="BF50" s="1" t="s">
        <v>38142</v>
      </c>
      <c r="BG50" s="1" t="s">
        <v>38143</v>
      </c>
      <c r="BH50" s="1" t="s">
        <v>38144</v>
      </c>
      <c r="BI50" s="1" t="s">
        <v>38145</v>
      </c>
      <c r="BJ50" s="1" t="s">
        <v>38146</v>
      </c>
      <c r="BK50" s="1" t="s">
        <v>38147</v>
      </c>
      <c r="BL50" s="1" t="s">
        <v>38148</v>
      </c>
      <c r="BM50" s="1" t="s">
        <v>38149</v>
      </c>
      <c r="BN50" s="1" t="s">
        <v>38150</v>
      </c>
      <c r="BO50" s="1" t="s">
        <v>38151</v>
      </c>
      <c r="BP50" s="1" t="s">
        <v>38152</v>
      </c>
      <c r="BQ50" s="1" t="s">
        <v>38153</v>
      </c>
      <c r="BR50" s="1" t="s">
        <v>38154</v>
      </c>
      <c r="BS50" s="1" t="s">
        <v>38155</v>
      </c>
      <c r="BT50" s="1" t="s">
        <v>38156</v>
      </c>
      <c r="BU50" s="1" t="s">
        <v>38157</v>
      </c>
      <c r="BV50" s="1" t="s">
        <v>38158</v>
      </c>
      <c r="BW50" s="1" t="s">
        <v>38159</v>
      </c>
      <c r="BX50" s="1" t="s">
        <v>38160</v>
      </c>
      <c r="BY50" s="1" t="s">
        <v>38161</v>
      </c>
      <c r="BZ50" s="1" t="s">
        <v>38162</v>
      </c>
      <c r="CA50" s="1" t="s">
        <v>38163</v>
      </c>
      <c r="CB50" s="1" t="s">
        <v>38164</v>
      </c>
      <c r="CC50" s="1" t="s">
        <v>38165</v>
      </c>
      <c r="CD50" s="1" t="s">
        <v>38166</v>
      </c>
      <c r="CE50" s="1" t="s">
        <v>38167</v>
      </c>
      <c r="CF50" s="1" t="s">
        <v>38168</v>
      </c>
      <c r="CG50" s="1" t="s">
        <v>38169</v>
      </c>
      <c r="CH50" s="1" t="s">
        <v>38170</v>
      </c>
      <c r="CI50" s="1" t="s">
        <v>38171</v>
      </c>
      <c r="CJ50" s="1" t="s">
        <v>38172</v>
      </c>
      <c r="CK50" s="1" t="s">
        <v>38173</v>
      </c>
      <c r="CL50" s="1" t="s">
        <v>38174</v>
      </c>
      <c r="CM50" s="1" t="s">
        <v>38175</v>
      </c>
      <c r="CN50" s="1" t="s">
        <v>38176</v>
      </c>
      <c r="CO50" s="1" t="s">
        <v>38177</v>
      </c>
      <c r="CP50" s="1" t="s">
        <v>38178</v>
      </c>
      <c r="CQ50" s="1" t="s">
        <v>38179</v>
      </c>
      <c r="CR50" s="1" t="s">
        <v>38180</v>
      </c>
      <c r="CS50" s="1" t="s">
        <v>38181</v>
      </c>
      <c r="CT50" s="1" t="s">
        <v>38182</v>
      </c>
      <c r="CU50" s="1" t="s">
        <v>38183</v>
      </c>
      <c r="CV50" s="1" t="s">
        <v>38184</v>
      </c>
      <c r="CW50" s="1" t="s">
        <v>38185</v>
      </c>
      <c r="CX50" s="1" t="s">
        <v>38186</v>
      </c>
      <c r="CY50" s="1" t="s">
        <v>38187</v>
      </c>
      <c r="CZ50" s="1" t="s">
        <v>38188</v>
      </c>
      <c r="DA50" s="1" t="s">
        <v>38189</v>
      </c>
      <c r="DB50" s="1" t="s">
        <v>38190</v>
      </c>
      <c r="DC50" s="1" t="s">
        <v>38191</v>
      </c>
      <c r="DD50" s="1" t="s">
        <v>38192</v>
      </c>
      <c r="DE50" s="1" t="s">
        <v>38193</v>
      </c>
      <c r="DF50" s="1" t="s">
        <v>38194</v>
      </c>
      <c r="DG50" s="1" t="s">
        <v>38195</v>
      </c>
      <c r="DH50" s="1" t="s">
        <v>38196</v>
      </c>
      <c r="DI50" s="1" t="s">
        <v>38197</v>
      </c>
      <c r="DJ50" s="1" t="s">
        <v>38198</v>
      </c>
      <c r="DK50" s="1" t="s">
        <v>38199</v>
      </c>
      <c r="DL50" s="1" t="s">
        <v>38200</v>
      </c>
      <c r="DM50" s="1" t="s">
        <v>38201</v>
      </c>
      <c r="DN50" s="1" t="s">
        <v>38202</v>
      </c>
      <c r="DO50" s="1" t="s">
        <v>38203</v>
      </c>
      <c r="DP50" s="1" t="s">
        <v>38204</v>
      </c>
      <c r="DQ50" s="1" t="s">
        <v>38205</v>
      </c>
      <c r="DR50" s="1" t="s">
        <v>38206</v>
      </c>
      <c r="DS50" s="1" t="s">
        <v>38207</v>
      </c>
      <c r="DT50" s="1" t="s">
        <v>38208</v>
      </c>
      <c r="DU50" s="1" t="s">
        <v>38209</v>
      </c>
      <c r="DV50" s="1" t="s">
        <v>38210</v>
      </c>
      <c r="DW50" s="1" t="s">
        <v>38211</v>
      </c>
      <c r="DX50" s="1" t="s">
        <v>38212</v>
      </c>
      <c r="DY50" s="1" t="s">
        <v>38213</v>
      </c>
      <c r="DZ50" s="1" t="s">
        <v>38214</v>
      </c>
      <c r="EA50" s="1" t="s">
        <v>38215</v>
      </c>
      <c r="EB50" s="1" t="s">
        <v>38216</v>
      </c>
      <c r="EC50" s="1" t="s">
        <v>38217</v>
      </c>
      <c r="ED50" s="1" t="s">
        <v>38218</v>
      </c>
      <c r="EE50" s="1" t="s">
        <v>38219</v>
      </c>
      <c r="EF50" s="1" t="s">
        <v>38220</v>
      </c>
      <c r="EG50" s="1" t="s">
        <v>38221</v>
      </c>
      <c r="EH50" s="1" t="s">
        <v>38222</v>
      </c>
      <c r="EI50" s="1" t="s">
        <v>38223</v>
      </c>
      <c r="EJ50" s="1" t="s">
        <v>38224</v>
      </c>
      <c r="EK50" s="1" t="s">
        <v>38225</v>
      </c>
      <c r="EL50" s="1" t="s">
        <v>38226</v>
      </c>
      <c r="EM50" s="1" t="s">
        <v>38227</v>
      </c>
      <c r="EN50" s="1" t="s">
        <v>38228</v>
      </c>
      <c r="EO50" s="1" t="s">
        <v>38229</v>
      </c>
      <c r="EP50" s="1" t="s">
        <v>38230</v>
      </c>
      <c r="EQ50" s="1" t="s">
        <v>38231</v>
      </c>
      <c r="ER50" s="1" t="s">
        <v>38232</v>
      </c>
      <c r="ES50" s="1" t="s">
        <v>38233</v>
      </c>
      <c r="ET50" s="1" t="s">
        <v>38234</v>
      </c>
      <c r="EU50" s="1" t="s">
        <v>38235</v>
      </c>
      <c r="EV50" s="1" t="s">
        <v>38236</v>
      </c>
      <c r="EW50" s="1" t="s">
        <v>38237</v>
      </c>
      <c r="EX50" s="1" t="s">
        <v>38238</v>
      </c>
      <c r="EY50" s="1" t="s">
        <v>38239</v>
      </c>
      <c r="EZ50" s="1" t="s">
        <v>38240</v>
      </c>
      <c r="FA50" s="1" t="s">
        <v>38241</v>
      </c>
      <c r="FB50" s="1" t="s">
        <v>38242</v>
      </c>
      <c r="FC50" s="1" t="s">
        <v>38243</v>
      </c>
      <c r="FD50" s="1" t="s">
        <v>38244</v>
      </c>
      <c r="FE50" s="1" t="s">
        <v>38245</v>
      </c>
      <c r="FF50" s="1" t="s">
        <v>38246</v>
      </c>
      <c r="FG50" s="1" t="s">
        <v>38247</v>
      </c>
      <c r="FH50" s="1" t="s">
        <v>38248</v>
      </c>
      <c r="FI50" s="1" t="s">
        <v>38249</v>
      </c>
      <c r="FJ50" s="1" t="s">
        <v>38250</v>
      </c>
      <c r="FK50" s="1" t="s">
        <v>38251</v>
      </c>
      <c r="FL50" s="1" t="s">
        <v>38252</v>
      </c>
      <c r="FM50" s="1" t="s">
        <v>38253</v>
      </c>
      <c r="FN50" s="1" t="s">
        <v>38254</v>
      </c>
      <c r="FO50" s="1" t="s">
        <v>38255</v>
      </c>
      <c r="FP50" s="1" t="s">
        <v>38256</v>
      </c>
      <c r="FQ50" s="1" t="s">
        <v>38257</v>
      </c>
      <c r="FR50" s="1" t="s">
        <v>38258</v>
      </c>
      <c r="FS50" s="1" t="s">
        <v>38259</v>
      </c>
      <c r="FT50" s="1" t="s">
        <v>38260</v>
      </c>
      <c r="FU50" s="1" t="s">
        <v>38261</v>
      </c>
      <c r="FV50" s="1" t="s">
        <v>38262</v>
      </c>
      <c r="FW50" s="1" t="s">
        <v>38263</v>
      </c>
      <c r="FX50" s="1" t="s">
        <v>38264</v>
      </c>
      <c r="FY50" s="1" t="s">
        <v>38265</v>
      </c>
      <c r="FZ50" s="1" t="s">
        <v>38266</v>
      </c>
      <c r="GA50" s="1" t="s">
        <v>38267</v>
      </c>
      <c r="GB50" s="1" t="s">
        <v>38268</v>
      </c>
      <c r="GC50" s="1" t="s">
        <v>38269</v>
      </c>
      <c r="GD50" s="1" t="s">
        <v>38270</v>
      </c>
      <c r="GE50" s="1" t="s">
        <v>38271</v>
      </c>
      <c r="GF50" s="1" t="s">
        <v>38272</v>
      </c>
      <c r="GG50" s="1" t="s">
        <v>38273</v>
      </c>
      <c r="GH50" s="1" t="s">
        <v>38274</v>
      </c>
      <c r="GI50" s="1" t="s">
        <v>38275</v>
      </c>
      <c r="GJ50" s="1" t="s">
        <v>38276</v>
      </c>
      <c r="GK50" s="1" t="s">
        <v>38277</v>
      </c>
      <c r="GL50" s="1" t="s">
        <v>38278</v>
      </c>
      <c r="GM50" s="1" t="s">
        <v>38279</v>
      </c>
      <c r="GN50" s="1" t="s">
        <v>38280</v>
      </c>
      <c r="GO50" s="1" t="s">
        <v>38281</v>
      </c>
      <c r="GP50" s="1" t="s">
        <v>38282</v>
      </c>
      <c r="GQ50" s="1" t="s">
        <v>38283</v>
      </c>
      <c r="GR50" s="1" t="s">
        <v>38284</v>
      </c>
      <c r="GS50" s="1" t="s">
        <v>38285</v>
      </c>
      <c r="GT50" s="1" t="s">
        <v>38286</v>
      </c>
      <c r="GU50" s="1" t="s">
        <v>38287</v>
      </c>
      <c r="GV50" s="1" t="s">
        <v>38288</v>
      </c>
      <c r="GW50" s="1" t="s">
        <v>38289</v>
      </c>
      <c r="GX50" s="1" t="s">
        <v>38290</v>
      </c>
      <c r="GY50" s="1" t="s">
        <v>38291</v>
      </c>
      <c r="GZ50" s="1" t="s">
        <v>38292</v>
      </c>
      <c r="HA50" s="1" t="s">
        <v>38293</v>
      </c>
      <c r="HB50" s="1" t="s">
        <v>38294</v>
      </c>
      <c r="HC50" s="1" t="s">
        <v>38295</v>
      </c>
      <c r="HD50" s="1" t="s">
        <v>38296</v>
      </c>
      <c r="HE50" s="1" t="s">
        <v>38297</v>
      </c>
      <c r="HF50" s="1" t="s">
        <v>38298</v>
      </c>
      <c r="HG50" s="1" t="s">
        <v>38299</v>
      </c>
      <c r="HH50" s="1" t="s">
        <v>38300</v>
      </c>
      <c r="HI50" s="1" t="s">
        <v>38301</v>
      </c>
      <c r="HJ50" s="1" t="s">
        <v>38302</v>
      </c>
      <c r="HK50" s="1" t="s">
        <v>38303</v>
      </c>
      <c r="HL50" s="1" t="s">
        <v>38304</v>
      </c>
      <c r="HM50" s="1" t="s">
        <v>38305</v>
      </c>
      <c r="HN50" s="1" t="s">
        <v>38306</v>
      </c>
      <c r="HO50" s="1" t="s">
        <v>38307</v>
      </c>
      <c r="HP50" s="1" t="s">
        <v>38308</v>
      </c>
      <c r="HQ50" s="1" t="s">
        <v>38309</v>
      </c>
      <c r="HR50" s="1" t="s">
        <v>38310</v>
      </c>
      <c r="HS50" s="1" t="s">
        <v>38311</v>
      </c>
      <c r="HT50" s="1" t="s">
        <v>38312</v>
      </c>
      <c r="HU50" s="1" t="s">
        <v>38313</v>
      </c>
      <c r="HV50" s="1" t="s">
        <v>38314</v>
      </c>
      <c r="HW50" s="1" t="s">
        <v>38315</v>
      </c>
      <c r="HX50" s="1" t="s">
        <v>38316</v>
      </c>
      <c r="HY50" s="1" t="s">
        <v>38317</v>
      </c>
      <c r="HZ50" s="1" t="s">
        <v>38318</v>
      </c>
      <c r="IA50" s="1" t="s">
        <v>38319</v>
      </c>
      <c r="IB50" s="1" t="s">
        <v>38320</v>
      </c>
      <c r="IC50" s="1" t="s">
        <v>38321</v>
      </c>
      <c r="ID50" s="1" t="s">
        <v>38322</v>
      </c>
      <c r="IE50" s="1" t="s">
        <v>38323</v>
      </c>
      <c r="IF50" s="1" t="s">
        <v>38324</v>
      </c>
      <c r="IG50" s="1" t="s">
        <v>38325</v>
      </c>
      <c r="IH50" s="1" t="s">
        <v>38326</v>
      </c>
      <c r="II50" s="1" t="s">
        <v>38327</v>
      </c>
      <c r="IJ50" s="1" t="s">
        <v>38328</v>
      </c>
      <c r="IK50" s="1" t="s">
        <v>38329</v>
      </c>
      <c r="IL50" s="1" t="s">
        <v>38330</v>
      </c>
      <c r="IM50" s="1" t="s">
        <v>38331</v>
      </c>
      <c r="IN50" s="1" t="s">
        <v>38332</v>
      </c>
      <c r="IO50" s="1" t="s">
        <v>38333</v>
      </c>
      <c r="IP50" s="1" t="s">
        <v>38334</v>
      </c>
      <c r="IQ50" s="1" t="s">
        <v>38335</v>
      </c>
      <c r="IR50" s="1" t="s">
        <v>38336</v>
      </c>
      <c r="IS50" s="1" t="s">
        <v>38337</v>
      </c>
      <c r="IT50" s="1" t="s">
        <v>38338</v>
      </c>
      <c r="IU50" s="1" t="s">
        <v>38339</v>
      </c>
      <c r="IV50" s="1" t="s">
        <v>38340</v>
      </c>
      <c r="IW50" s="1" t="s">
        <v>38341</v>
      </c>
      <c r="IX50" s="1" t="s">
        <v>38342</v>
      </c>
      <c r="IY50" s="1" t="s">
        <v>38343</v>
      </c>
      <c r="IZ50" s="1" t="s">
        <v>38344</v>
      </c>
      <c r="JA50" s="1" t="s">
        <v>38345</v>
      </c>
      <c r="JB50" s="1" t="s">
        <v>38346</v>
      </c>
      <c r="JC50" s="1" t="s">
        <v>38347</v>
      </c>
      <c r="JD50" s="1" t="s">
        <v>38348</v>
      </c>
      <c r="JE50" s="1" t="s">
        <v>38349</v>
      </c>
      <c r="JF50" s="1" t="s">
        <v>38350</v>
      </c>
      <c r="JG50" s="1" t="s">
        <v>38351</v>
      </c>
      <c r="JH50" s="1" t="s">
        <v>38352</v>
      </c>
      <c r="JI50" s="1" t="s">
        <v>38353</v>
      </c>
      <c r="JJ50" s="1" t="s">
        <v>38354</v>
      </c>
      <c r="JK50" s="1" t="s">
        <v>38355</v>
      </c>
      <c r="JL50" s="1" t="s">
        <v>38356</v>
      </c>
      <c r="JM50" s="1" t="s">
        <v>38357</v>
      </c>
      <c r="JN50" s="1" t="s">
        <v>38358</v>
      </c>
      <c r="JO50" s="1" t="s">
        <v>38359</v>
      </c>
      <c r="JP50" s="1" t="s">
        <v>38360</v>
      </c>
      <c r="JQ50" s="1" t="s">
        <v>38361</v>
      </c>
      <c r="JR50" s="1" t="s">
        <v>38362</v>
      </c>
      <c r="JS50" s="1" t="s">
        <v>38363</v>
      </c>
      <c r="JT50" s="1" t="s">
        <v>38364</v>
      </c>
      <c r="JU50" s="1" t="s">
        <v>38365</v>
      </c>
      <c r="JV50" s="1" t="s">
        <v>38366</v>
      </c>
      <c r="JW50" s="1" t="s">
        <v>38367</v>
      </c>
      <c r="JX50" s="1" t="s">
        <v>38368</v>
      </c>
      <c r="JY50" s="1" t="s">
        <v>38369</v>
      </c>
      <c r="JZ50" s="1" t="s">
        <v>38370</v>
      </c>
      <c r="KA50" s="1" t="s">
        <v>38371</v>
      </c>
      <c r="KB50" s="1" t="s">
        <v>38372</v>
      </c>
      <c r="KC50" s="1" t="s">
        <v>38373</v>
      </c>
      <c r="KD50" s="1" t="s">
        <v>38374</v>
      </c>
      <c r="KE50" s="1" t="s">
        <v>38375</v>
      </c>
      <c r="KF50" s="1" t="s">
        <v>38376</v>
      </c>
      <c r="KG50" s="1" t="s">
        <v>38377</v>
      </c>
      <c r="KH50" s="1" t="s">
        <v>38378</v>
      </c>
      <c r="KI50" s="1" t="s">
        <v>38379</v>
      </c>
      <c r="KJ50" s="1" t="s">
        <v>38380</v>
      </c>
      <c r="KK50" s="1" t="s">
        <v>38381</v>
      </c>
      <c r="KL50" s="1" t="s">
        <v>38382</v>
      </c>
      <c r="KM50" s="1" t="s">
        <v>38383</v>
      </c>
      <c r="KN50" s="1" t="s">
        <v>38384</v>
      </c>
      <c r="KO50" s="1" t="s">
        <v>38385</v>
      </c>
      <c r="KP50" s="1" t="s">
        <v>38386</v>
      </c>
      <c r="KQ50" s="1" t="s">
        <v>38387</v>
      </c>
      <c r="KR50" s="1" t="s">
        <v>38388</v>
      </c>
      <c r="KS50" s="1" t="s">
        <v>38389</v>
      </c>
      <c r="KT50" s="1" t="s">
        <v>38390</v>
      </c>
      <c r="KU50" s="1" t="s">
        <v>38391</v>
      </c>
      <c r="KV50" s="1" t="s">
        <v>38392</v>
      </c>
      <c r="KW50" s="1" t="s">
        <v>38393</v>
      </c>
      <c r="KX50" s="1" t="s">
        <v>38394</v>
      </c>
      <c r="KY50" s="1" t="s">
        <v>38395</v>
      </c>
      <c r="KZ50" s="1" t="s">
        <v>38396</v>
      </c>
      <c r="LA50" s="1" t="s">
        <v>38397</v>
      </c>
      <c r="LB50" s="1" t="s">
        <v>38398</v>
      </c>
      <c r="LC50" s="1" t="s">
        <v>38399</v>
      </c>
      <c r="LD50" s="1" t="s">
        <v>38400</v>
      </c>
      <c r="LE50" s="1" t="s">
        <v>38401</v>
      </c>
      <c r="LF50" s="1" t="s">
        <v>38402</v>
      </c>
      <c r="LG50" s="1" t="s">
        <v>38403</v>
      </c>
      <c r="LH50" s="1" t="s">
        <v>38404</v>
      </c>
      <c r="LI50" s="1" t="s">
        <v>38405</v>
      </c>
      <c r="LJ50" s="1" t="s">
        <v>38406</v>
      </c>
      <c r="LK50" s="1" t="s">
        <v>38407</v>
      </c>
      <c r="LL50" s="1" t="s">
        <v>38408</v>
      </c>
      <c r="LM50" s="1" t="s">
        <v>38409</v>
      </c>
      <c r="LN50" s="1" t="s">
        <v>38410</v>
      </c>
      <c r="LO50" s="1" t="s">
        <v>38411</v>
      </c>
      <c r="LP50" s="1" t="s">
        <v>38412</v>
      </c>
      <c r="LQ50" s="1" t="s">
        <v>38413</v>
      </c>
      <c r="LR50" s="1" t="s">
        <v>38414</v>
      </c>
      <c r="LS50" s="1" t="s">
        <v>38415</v>
      </c>
      <c r="LT50" s="1" t="s">
        <v>38416</v>
      </c>
      <c r="LU50" s="1" t="s">
        <v>38417</v>
      </c>
      <c r="LV50" s="1" t="s">
        <v>38418</v>
      </c>
      <c r="LW50" s="1" t="s">
        <v>38419</v>
      </c>
      <c r="LX50" s="1" t="s">
        <v>38420</v>
      </c>
      <c r="LY50" s="1" t="s">
        <v>38421</v>
      </c>
      <c r="LZ50" s="1" t="s">
        <v>38422</v>
      </c>
      <c r="MA50" s="1" t="s">
        <v>38423</v>
      </c>
      <c r="MB50" s="1" t="s">
        <v>38424</v>
      </c>
      <c r="MC50" s="1" t="s">
        <v>38425</v>
      </c>
      <c r="MD50" s="1" t="s">
        <v>38426</v>
      </c>
      <c r="ME50" s="1" t="s">
        <v>38427</v>
      </c>
      <c r="MF50" s="1" t="s">
        <v>38428</v>
      </c>
      <c r="MG50" s="1" t="s">
        <v>38429</v>
      </c>
      <c r="MH50" s="1" t="s">
        <v>38430</v>
      </c>
      <c r="MI50" s="1" t="s">
        <v>38431</v>
      </c>
      <c r="MJ50" s="1" t="s">
        <v>38432</v>
      </c>
      <c r="MK50" s="1" t="s">
        <v>38433</v>
      </c>
      <c r="ML50" s="1" t="s">
        <v>38434</v>
      </c>
      <c r="MM50" s="1" t="s">
        <v>38435</v>
      </c>
      <c r="MN50" s="1" t="s">
        <v>38436</v>
      </c>
      <c r="MO50" s="1" t="s">
        <v>38437</v>
      </c>
      <c r="MP50" s="1" t="s">
        <v>38438</v>
      </c>
      <c r="MQ50" s="1" t="s">
        <v>38439</v>
      </c>
      <c r="MR50" s="1" t="s">
        <v>38440</v>
      </c>
      <c r="MS50" s="1" t="s">
        <v>38441</v>
      </c>
      <c r="MT50" s="1" t="s">
        <v>38442</v>
      </c>
      <c r="MU50" s="1" t="s">
        <v>38443</v>
      </c>
      <c r="MV50" s="1" t="s">
        <v>38444</v>
      </c>
      <c r="MW50" s="1" t="s">
        <v>38445</v>
      </c>
      <c r="MX50" s="1" t="s">
        <v>38446</v>
      </c>
      <c r="MY50" s="1" t="s">
        <v>38447</v>
      </c>
      <c r="MZ50" s="1" t="s">
        <v>38448</v>
      </c>
      <c r="NA50" s="1" t="s">
        <v>38449</v>
      </c>
      <c r="NB50" s="1" t="s">
        <v>38450</v>
      </c>
      <c r="NC50" s="1" t="s">
        <v>38451</v>
      </c>
      <c r="ND50" s="1" t="s">
        <v>38452</v>
      </c>
      <c r="NE50" s="1" t="s">
        <v>38453</v>
      </c>
      <c r="NF50" s="1" t="s">
        <v>38454</v>
      </c>
      <c r="NG50" s="1" t="s">
        <v>38455</v>
      </c>
      <c r="NH50" s="1" t="s">
        <v>38456</v>
      </c>
      <c r="NI50" s="1" t="s">
        <v>38457</v>
      </c>
      <c r="NJ50" s="1" t="s">
        <v>38458</v>
      </c>
      <c r="NK50" s="1" t="s">
        <v>38459</v>
      </c>
      <c r="NL50" s="1" t="s">
        <v>38460</v>
      </c>
      <c r="NM50" s="1" t="s">
        <v>38461</v>
      </c>
      <c r="NN50" s="1" t="s">
        <v>38462</v>
      </c>
      <c r="NO50" s="1" t="s">
        <v>38463</v>
      </c>
      <c r="NP50" s="1" t="s">
        <v>38464</v>
      </c>
      <c r="NQ50" s="1" t="s">
        <v>38465</v>
      </c>
      <c r="NR50" s="1" t="s">
        <v>38466</v>
      </c>
      <c r="NS50" s="1" t="s">
        <v>38467</v>
      </c>
      <c r="NT50" s="1" t="s">
        <v>38468</v>
      </c>
      <c r="NU50" s="1" t="s">
        <v>38469</v>
      </c>
      <c r="NV50" s="1" t="s">
        <v>38470</v>
      </c>
      <c r="NW50" s="1" t="s">
        <v>38471</v>
      </c>
      <c r="NX50" s="1" t="s">
        <v>38472</v>
      </c>
      <c r="NY50" s="1" t="s">
        <v>38473</v>
      </c>
      <c r="NZ50" s="1" t="s">
        <v>38474</v>
      </c>
      <c r="OA50" s="1" t="s">
        <v>38475</v>
      </c>
      <c r="OB50" s="1" t="s">
        <v>38476</v>
      </c>
      <c r="OC50" s="1" t="s">
        <v>38477</v>
      </c>
      <c r="OD50" s="1" t="s">
        <v>38478</v>
      </c>
      <c r="OE50" s="1" t="s">
        <v>38479</v>
      </c>
      <c r="OF50" s="1" t="s">
        <v>38480</v>
      </c>
      <c r="OG50" s="1" t="s">
        <v>38481</v>
      </c>
      <c r="OH50" s="1" t="s">
        <v>38482</v>
      </c>
      <c r="OI50" s="1" t="s">
        <v>38483</v>
      </c>
      <c r="OJ50" s="1" t="s">
        <v>38484</v>
      </c>
      <c r="OK50" s="1" t="s">
        <v>38485</v>
      </c>
      <c r="OL50" s="1" t="s">
        <v>38486</v>
      </c>
      <c r="OM50" s="1" t="s">
        <v>38487</v>
      </c>
      <c r="ON50" s="1" t="s">
        <v>38488</v>
      </c>
      <c r="OO50" s="1" t="s">
        <v>38489</v>
      </c>
      <c r="OP50" s="1" t="s">
        <v>38490</v>
      </c>
      <c r="OQ50" s="1" t="s">
        <v>38491</v>
      </c>
      <c r="OR50" s="1" t="s">
        <v>38492</v>
      </c>
      <c r="OS50" s="1" t="s">
        <v>38493</v>
      </c>
      <c r="OT50" s="1" t="s">
        <v>38494</v>
      </c>
      <c r="OU50" s="1" t="s">
        <v>38495</v>
      </c>
      <c r="OV50" s="1" t="s">
        <v>38496</v>
      </c>
      <c r="OW50" s="1" t="s">
        <v>38497</v>
      </c>
      <c r="OX50" s="1" t="s">
        <v>38498</v>
      </c>
      <c r="OY50" s="1" t="s">
        <v>38499</v>
      </c>
      <c r="OZ50" s="1" t="s">
        <v>38500</v>
      </c>
      <c r="PA50" s="1" t="s">
        <v>38501</v>
      </c>
      <c r="PB50" s="1" t="s">
        <v>38502</v>
      </c>
      <c r="PC50" s="1" t="s">
        <v>38503</v>
      </c>
      <c r="PD50" s="1" t="s">
        <v>38504</v>
      </c>
      <c r="PE50" s="1" t="s">
        <v>38505</v>
      </c>
      <c r="PF50" s="1" t="s">
        <v>38506</v>
      </c>
      <c r="PG50" s="1" t="s">
        <v>38507</v>
      </c>
      <c r="PH50" s="1" t="s">
        <v>38508</v>
      </c>
      <c r="PI50" s="1" t="s">
        <v>38509</v>
      </c>
      <c r="PJ50" s="1" t="s">
        <v>38510</v>
      </c>
      <c r="PK50" s="1" t="s">
        <v>38511</v>
      </c>
      <c r="PL50" s="1" t="s">
        <v>38512</v>
      </c>
      <c r="PM50" s="1" t="s">
        <v>38513</v>
      </c>
      <c r="PN50" s="1" t="s">
        <v>38514</v>
      </c>
      <c r="PO50" s="1" t="s">
        <v>38515</v>
      </c>
      <c r="PP50" s="1" t="s">
        <v>38516</v>
      </c>
      <c r="PQ50" s="1" t="s">
        <v>38517</v>
      </c>
      <c r="PR50" s="1" t="s">
        <v>38518</v>
      </c>
      <c r="PS50" s="1" t="s">
        <v>38519</v>
      </c>
      <c r="PT50" s="1" t="s">
        <v>38520</v>
      </c>
      <c r="PU50" s="1" t="s">
        <v>38521</v>
      </c>
      <c r="PV50" s="1" t="s">
        <v>38522</v>
      </c>
      <c r="PW50" s="1" t="s">
        <v>38523</v>
      </c>
      <c r="PX50" s="1" t="s">
        <v>38524</v>
      </c>
      <c r="PY50" s="1" t="s">
        <v>38525</v>
      </c>
      <c r="PZ50" s="1" t="s">
        <v>38526</v>
      </c>
      <c r="QA50" s="1" t="s">
        <v>38527</v>
      </c>
      <c r="QB50" s="1" t="s">
        <v>38528</v>
      </c>
      <c r="QC50" s="1" t="s">
        <v>38529</v>
      </c>
      <c r="QD50" s="1" t="s">
        <v>38530</v>
      </c>
      <c r="QE50" s="1" t="s">
        <v>38531</v>
      </c>
      <c r="QF50" s="1" t="s">
        <v>38532</v>
      </c>
      <c r="QG50" s="1" t="s">
        <v>38533</v>
      </c>
      <c r="QH50" s="1" t="s">
        <v>38534</v>
      </c>
      <c r="QI50" s="1" t="s">
        <v>38535</v>
      </c>
      <c r="QJ50" s="1" t="s">
        <v>38536</v>
      </c>
      <c r="QK50" s="1" t="s">
        <v>38537</v>
      </c>
      <c r="QL50" s="1" t="s">
        <v>38538</v>
      </c>
      <c r="QM50" s="1" t="s">
        <v>38539</v>
      </c>
      <c r="QN50" s="1" t="s">
        <v>38540</v>
      </c>
      <c r="QO50" s="1" t="s">
        <v>38541</v>
      </c>
      <c r="QP50" s="1" t="s">
        <v>38542</v>
      </c>
      <c r="QQ50" s="1" t="s">
        <v>38543</v>
      </c>
      <c r="QR50" s="1" t="s">
        <v>38544</v>
      </c>
      <c r="QS50" s="1" t="s">
        <v>38545</v>
      </c>
      <c r="QT50" s="1" t="s">
        <v>38546</v>
      </c>
      <c r="QU50" s="1" t="s">
        <v>38547</v>
      </c>
      <c r="QV50" s="1" t="s">
        <v>38548</v>
      </c>
      <c r="QW50" s="1" t="s">
        <v>38549</v>
      </c>
      <c r="QX50" s="1" t="s">
        <v>38550</v>
      </c>
      <c r="QY50" s="1" t="s">
        <v>38551</v>
      </c>
      <c r="QZ50" s="1" t="s">
        <v>38552</v>
      </c>
      <c r="RA50" s="1" t="s">
        <v>38553</v>
      </c>
      <c r="RB50" s="1" t="s">
        <v>38554</v>
      </c>
      <c r="RC50" s="1" t="s">
        <v>38555</v>
      </c>
      <c r="RD50" s="1" t="s">
        <v>38556</v>
      </c>
      <c r="RE50" s="1" t="s">
        <v>38557</v>
      </c>
      <c r="RF50" s="1" t="s">
        <v>38558</v>
      </c>
      <c r="RG50" s="1" t="s">
        <v>38559</v>
      </c>
      <c r="RH50" s="1" t="s">
        <v>38560</v>
      </c>
      <c r="RI50" s="1" t="s">
        <v>38561</v>
      </c>
      <c r="RJ50" s="1" t="s">
        <v>38562</v>
      </c>
      <c r="RK50" s="1" t="s">
        <v>38563</v>
      </c>
      <c r="RL50" s="1" t="s">
        <v>38564</v>
      </c>
      <c r="RM50" s="1" t="s">
        <v>38565</v>
      </c>
      <c r="RN50" s="1" t="s">
        <v>38566</v>
      </c>
      <c r="RO50" s="1" t="s">
        <v>38567</v>
      </c>
      <c r="RP50" s="1" t="s">
        <v>38568</v>
      </c>
      <c r="RQ50" s="1" t="s">
        <v>38569</v>
      </c>
      <c r="RR50" s="1" t="s">
        <v>38570</v>
      </c>
      <c r="RS50" s="1" t="s">
        <v>38571</v>
      </c>
      <c r="RT50" s="1" t="s">
        <v>38572</v>
      </c>
      <c r="RU50" s="1" t="s">
        <v>38573</v>
      </c>
      <c r="RV50" s="1" t="s">
        <v>38574</v>
      </c>
      <c r="RW50" s="1" t="s">
        <v>38575</v>
      </c>
      <c r="RX50" s="1" t="s">
        <v>38576</v>
      </c>
      <c r="RY50" s="1" t="s">
        <v>38577</v>
      </c>
      <c r="RZ50" s="1" t="s">
        <v>38578</v>
      </c>
      <c r="SA50" s="1" t="s">
        <v>38579</v>
      </c>
      <c r="SB50" s="1" t="s">
        <v>38580</v>
      </c>
      <c r="SC50" s="1" t="s">
        <v>38581</v>
      </c>
      <c r="SD50" s="1" t="s">
        <v>38582</v>
      </c>
      <c r="SE50" s="1" t="s">
        <v>38583</v>
      </c>
      <c r="SF50" s="1" t="s">
        <v>38584</v>
      </c>
      <c r="SG50" s="1" t="s">
        <v>38585</v>
      </c>
      <c r="SH50" s="1" t="s">
        <v>38586</v>
      </c>
      <c r="SI50" s="1" t="s">
        <v>38587</v>
      </c>
      <c r="SJ50" s="1" t="s">
        <v>38588</v>
      </c>
      <c r="SK50" s="1" t="s">
        <v>38589</v>
      </c>
      <c r="SL50" s="1" t="s">
        <v>38590</v>
      </c>
      <c r="SM50" s="1" t="s">
        <v>38591</v>
      </c>
      <c r="SN50" s="1" t="s">
        <v>38592</v>
      </c>
      <c r="SO50" s="1" t="s">
        <v>38593</v>
      </c>
      <c r="SP50" s="1" t="s">
        <v>38594</v>
      </c>
      <c r="SQ50" s="1" t="s">
        <v>38595</v>
      </c>
      <c r="SR50" s="1" t="s">
        <v>38596</v>
      </c>
      <c r="SS50" s="1" t="s">
        <v>38597</v>
      </c>
      <c r="ST50" s="1" t="s">
        <v>38598</v>
      </c>
      <c r="SU50" s="1" t="s">
        <v>38599</v>
      </c>
      <c r="SV50" s="1" t="s">
        <v>38600</v>
      </c>
      <c r="SW50" s="1" t="s">
        <v>38601</v>
      </c>
      <c r="SX50" s="1" t="s">
        <v>38602</v>
      </c>
      <c r="SY50" s="1" t="s">
        <v>38603</v>
      </c>
      <c r="SZ50" s="1" t="s">
        <v>38604</v>
      </c>
      <c r="TA50" s="1" t="s">
        <v>38605</v>
      </c>
      <c r="TB50" s="1" t="s">
        <v>38606</v>
      </c>
      <c r="TC50" s="1" t="s">
        <v>38607</v>
      </c>
      <c r="TD50" s="1" t="s">
        <v>38608</v>
      </c>
      <c r="TE50" s="1" t="s">
        <v>38609</v>
      </c>
      <c r="TF50" s="1" t="s">
        <v>38610</v>
      </c>
      <c r="TG50" s="1" t="s">
        <v>38611</v>
      </c>
      <c r="TH50" s="1" t="s">
        <v>38612</v>
      </c>
      <c r="TI50" s="1" t="s">
        <v>38613</v>
      </c>
      <c r="TJ50" s="1" t="s">
        <v>38614</v>
      </c>
      <c r="TK50" s="1" t="s">
        <v>38615</v>
      </c>
      <c r="TL50" s="1" t="s">
        <v>38616</v>
      </c>
      <c r="TM50" s="1" t="s">
        <v>38617</v>
      </c>
      <c r="TN50" s="1" t="s">
        <v>38618</v>
      </c>
      <c r="TO50" s="1" t="s">
        <v>38619</v>
      </c>
      <c r="TP50" s="1" t="s">
        <v>38620</v>
      </c>
      <c r="TQ50" s="1" t="s">
        <v>38621</v>
      </c>
      <c r="TR50" s="1" t="s">
        <v>38622</v>
      </c>
      <c r="TS50" s="1" t="s">
        <v>38623</v>
      </c>
      <c r="TT50" s="1" t="s">
        <v>38624</v>
      </c>
      <c r="TU50" s="1" t="s">
        <v>38625</v>
      </c>
      <c r="TV50" s="1" t="s">
        <v>38626</v>
      </c>
      <c r="TW50" s="1" t="s">
        <v>38627</v>
      </c>
      <c r="TX50" s="1" t="s">
        <v>38628</v>
      </c>
      <c r="TY50" s="1" t="s">
        <v>38629</v>
      </c>
      <c r="TZ50" s="1" t="s">
        <v>38630</v>
      </c>
      <c r="UA50" s="1" t="s">
        <v>38631</v>
      </c>
      <c r="UB50" s="1" t="s">
        <v>38632</v>
      </c>
      <c r="UC50" s="1" t="s">
        <v>38633</v>
      </c>
      <c r="UD50" s="1" t="s">
        <v>38634</v>
      </c>
      <c r="UE50" s="1" t="s">
        <v>38635</v>
      </c>
      <c r="UF50" s="1" t="s">
        <v>38636</v>
      </c>
      <c r="UG50" s="1" t="s">
        <v>38637</v>
      </c>
      <c r="UH50" s="1" t="s">
        <v>38638</v>
      </c>
      <c r="UI50" s="1" t="s">
        <v>38639</v>
      </c>
      <c r="UJ50" s="1" t="s">
        <v>38640</v>
      </c>
      <c r="UK50" s="1" t="s">
        <v>38641</v>
      </c>
      <c r="UL50" s="1" t="s">
        <v>38642</v>
      </c>
      <c r="UM50" s="1" t="s">
        <v>38643</v>
      </c>
      <c r="UN50" s="1" t="s">
        <v>38644</v>
      </c>
      <c r="UO50" s="1" t="s">
        <v>38645</v>
      </c>
      <c r="UP50" s="1" t="s">
        <v>38646</v>
      </c>
      <c r="UQ50" s="1" t="s">
        <v>38647</v>
      </c>
      <c r="UR50" s="1" t="s">
        <v>38648</v>
      </c>
      <c r="US50" s="1" t="s">
        <v>38649</v>
      </c>
      <c r="UT50" s="1" t="s">
        <v>38650</v>
      </c>
      <c r="UU50" s="1" t="s">
        <v>38651</v>
      </c>
      <c r="UV50" s="1" t="s">
        <v>38652</v>
      </c>
      <c r="UW50" s="1" t="s">
        <v>38653</v>
      </c>
      <c r="UX50" s="1" t="s">
        <v>38654</v>
      </c>
      <c r="UY50" s="1" t="s">
        <v>38655</v>
      </c>
      <c r="UZ50" s="1" t="s">
        <v>38656</v>
      </c>
      <c r="VA50" s="1" t="s">
        <v>38657</v>
      </c>
      <c r="VB50" s="1" t="s">
        <v>38658</v>
      </c>
      <c r="VC50" s="1" t="s">
        <v>38659</v>
      </c>
      <c r="VD50" s="1" t="s">
        <v>38660</v>
      </c>
      <c r="VE50" s="1" t="s">
        <v>38661</v>
      </c>
      <c r="VF50" s="1" t="s">
        <v>38662</v>
      </c>
      <c r="VG50" s="1" t="s">
        <v>38663</v>
      </c>
      <c r="VH50" s="1" t="s">
        <v>38664</v>
      </c>
      <c r="VI50" s="1" t="s">
        <v>38665</v>
      </c>
      <c r="VJ50" s="1" t="s">
        <v>38666</v>
      </c>
      <c r="VK50" s="1" t="s">
        <v>38667</v>
      </c>
      <c r="VL50" s="1" t="s">
        <v>38668</v>
      </c>
      <c r="VM50" s="1" t="s">
        <v>38669</v>
      </c>
      <c r="VN50" s="1" t="s">
        <v>38670</v>
      </c>
      <c r="VO50" s="1" t="s">
        <v>38671</v>
      </c>
      <c r="VP50" s="1" t="s">
        <v>38672</v>
      </c>
      <c r="VQ50" s="1" t="s">
        <v>38673</v>
      </c>
      <c r="VR50" s="1" t="s">
        <v>38674</v>
      </c>
      <c r="VS50" s="1" t="s">
        <v>38675</v>
      </c>
      <c r="VT50" s="1" t="s">
        <v>38676</v>
      </c>
      <c r="VU50" s="1" t="s">
        <v>38677</v>
      </c>
      <c r="VV50" s="1" t="s">
        <v>38678</v>
      </c>
      <c r="VW50" s="1" t="s">
        <v>38679</v>
      </c>
      <c r="VX50" s="1" t="s">
        <v>38680</v>
      </c>
      <c r="VY50" s="1" t="s">
        <v>38681</v>
      </c>
      <c r="VZ50" s="1" t="s">
        <v>38682</v>
      </c>
      <c r="WA50" s="1" t="s">
        <v>38683</v>
      </c>
      <c r="WB50" s="1" t="s">
        <v>38684</v>
      </c>
      <c r="WC50" s="1" t="s">
        <v>38685</v>
      </c>
      <c r="WD50" s="1" t="s">
        <v>38686</v>
      </c>
      <c r="WE50" s="1" t="s">
        <v>38687</v>
      </c>
      <c r="WF50" s="1" t="s">
        <v>38688</v>
      </c>
      <c r="WG50" s="1" t="s">
        <v>38689</v>
      </c>
      <c r="WH50" s="1" t="s">
        <v>38690</v>
      </c>
      <c r="WI50" s="1" t="s">
        <v>38691</v>
      </c>
      <c r="WJ50" s="1" t="s">
        <v>38692</v>
      </c>
      <c r="WK50" s="1" t="s">
        <v>38693</v>
      </c>
      <c r="WL50" s="1" t="s">
        <v>38694</v>
      </c>
      <c r="WM50" s="1" t="s">
        <v>38695</v>
      </c>
      <c r="WN50" s="1" t="s">
        <v>38696</v>
      </c>
      <c r="WO50" s="1" t="s">
        <v>38697</v>
      </c>
      <c r="WP50" s="1" t="s">
        <v>38698</v>
      </c>
      <c r="WQ50" s="1" t="s">
        <v>38699</v>
      </c>
      <c r="WR50" s="1" t="s">
        <v>38700</v>
      </c>
      <c r="WS50" s="1" t="s">
        <v>38701</v>
      </c>
      <c r="WT50" s="1" t="s">
        <v>38702</v>
      </c>
      <c r="WU50" s="1" t="s">
        <v>38703</v>
      </c>
      <c r="WV50" s="1" t="s">
        <v>38704</v>
      </c>
      <c r="WW50" s="1" t="s">
        <v>38705</v>
      </c>
      <c r="WX50" s="1" t="s">
        <v>38706</v>
      </c>
      <c r="WY50" s="1" t="s">
        <v>38707</v>
      </c>
      <c r="WZ50" s="1" t="s">
        <v>38708</v>
      </c>
      <c r="XA50" s="1" t="s">
        <v>38709</v>
      </c>
      <c r="XB50" s="1" t="s">
        <v>38710</v>
      </c>
      <c r="XC50" s="1" t="s">
        <v>38711</v>
      </c>
      <c r="XD50" s="1" t="s">
        <v>38712</v>
      </c>
      <c r="XE50" s="1" t="s">
        <v>38713</v>
      </c>
      <c r="XF50" s="1" t="s">
        <v>38714</v>
      </c>
      <c r="XG50" s="1" t="s">
        <v>38715</v>
      </c>
      <c r="XH50" s="1" t="s">
        <v>38716</v>
      </c>
      <c r="XI50" s="1" t="s">
        <v>38717</v>
      </c>
      <c r="XJ50" s="1" t="s">
        <v>38718</v>
      </c>
      <c r="XK50" s="1" t="s">
        <v>38719</v>
      </c>
      <c r="XL50" s="1" t="s">
        <v>38720</v>
      </c>
      <c r="XM50" s="1" t="s">
        <v>38721</v>
      </c>
      <c r="XN50" s="1" t="s">
        <v>38722</v>
      </c>
      <c r="XO50" s="1" t="s">
        <v>38723</v>
      </c>
      <c r="XP50" s="1" t="s">
        <v>38724</v>
      </c>
      <c r="XQ50" s="1" t="s">
        <v>38725</v>
      </c>
      <c r="XR50" s="1" t="s">
        <v>38726</v>
      </c>
      <c r="XS50" s="1" t="s">
        <v>38727</v>
      </c>
      <c r="XT50" s="1" t="s">
        <v>38728</v>
      </c>
      <c r="XU50" s="1" t="s">
        <v>38729</v>
      </c>
      <c r="XV50" s="1" t="s">
        <v>38730</v>
      </c>
      <c r="XW50" s="1" t="s">
        <v>38731</v>
      </c>
      <c r="XX50" s="1" t="s">
        <v>38732</v>
      </c>
      <c r="XY50" s="1" t="s">
        <v>38733</v>
      </c>
      <c r="XZ50" s="1" t="s">
        <v>38734</v>
      </c>
      <c r="YA50" s="1" t="s">
        <v>38735</v>
      </c>
      <c r="YB50" s="1" t="s">
        <v>38736</v>
      </c>
      <c r="YC50" s="1" t="s">
        <v>38737</v>
      </c>
      <c r="YD50" s="1" t="s">
        <v>38738</v>
      </c>
      <c r="YE50" s="1" t="s">
        <v>38739</v>
      </c>
      <c r="YF50" s="1" t="s">
        <v>38740</v>
      </c>
      <c r="YG50" s="1" t="s">
        <v>38741</v>
      </c>
      <c r="YH50" s="1" t="s">
        <v>38742</v>
      </c>
      <c r="YI50" s="1" t="s">
        <v>38743</v>
      </c>
      <c r="YJ50" s="1" t="s">
        <v>38744</v>
      </c>
      <c r="YK50" s="1" t="s">
        <v>38745</v>
      </c>
      <c r="YL50" s="1" t="s">
        <v>38746</v>
      </c>
      <c r="YM50" s="1" t="s">
        <v>38747</v>
      </c>
      <c r="YN50" s="1" t="s">
        <v>38748</v>
      </c>
      <c r="YO50" s="1" t="s">
        <v>38749</v>
      </c>
      <c r="YP50" s="1" t="s">
        <v>38750</v>
      </c>
      <c r="YQ50" s="1" t="s">
        <v>38751</v>
      </c>
      <c r="YR50" s="1" t="s">
        <v>38752</v>
      </c>
      <c r="YS50" s="1" t="s">
        <v>38753</v>
      </c>
      <c r="YT50" s="1" t="s">
        <v>38754</v>
      </c>
      <c r="YU50" s="1" t="s">
        <v>38755</v>
      </c>
      <c r="YV50" s="1" t="s">
        <v>38756</v>
      </c>
      <c r="YW50" s="1" t="s">
        <v>38757</v>
      </c>
      <c r="YX50" s="1" t="s">
        <v>38758</v>
      </c>
      <c r="YY50" s="1" t="s">
        <v>38759</v>
      </c>
      <c r="YZ50" s="1" t="s">
        <v>38760</v>
      </c>
      <c r="ZA50" s="1" t="s">
        <v>38761</v>
      </c>
      <c r="ZB50" s="1" t="s">
        <v>38762</v>
      </c>
      <c r="ZC50" s="1" t="s">
        <v>38763</v>
      </c>
      <c r="ZD50" s="1" t="s">
        <v>38764</v>
      </c>
      <c r="ZE50" s="1" t="s">
        <v>38765</v>
      </c>
      <c r="ZF50" s="1" t="s">
        <v>38766</v>
      </c>
      <c r="ZG50" s="1" t="s">
        <v>38767</v>
      </c>
      <c r="ZH50" s="1" t="s">
        <v>38768</v>
      </c>
      <c r="ZI50" s="1" t="s">
        <v>38769</v>
      </c>
      <c r="ZJ50" s="1" t="s">
        <v>38770</v>
      </c>
      <c r="ZK50" s="1" t="s">
        <v>38771</v>
      </c>
      <c r="ZL50" s="1" t="s">
        <v>38772</v>
      </c>
      <c r="ZM50" s="1" t="s">
        <v>38773</v>
      </c>
      <c r="ZN50" s="1" t="s">
        <v>38774</v>
      </c>
      <c r="ZO50" s="1" t="s">
        <v>38775</v>
      </c>
      <c r="ZP50" s="1" t="s">
        <v>38776</v>
      </c>
      <c r="ZQ50" s="1" t="s">
        <v>38777</v>
      </c>
      <c r="ZR50" s="1" t="s">
        <v>38778</v>
      </c>
      <c r="ZS50" s="1" t="s">
        <v>38779</v>
      </c>
      <c r="ZT50" s="1" t="s">
        <v>38780</v>
      </c>
      <c r="ZU50" s="1" t="s">
        <v>38781</v>
      </c>
      <c r="ZV50" s="1" t="s">
        <v>38782</v>
      </c>
      <c r="ZW50" s="1" t="s">
        <v>38783</v>
      </c>
      <c r="ZX50" s="1" t="s">
        <v>38784</v>
      </c>
      <c r="ZY50" s="1" t="s">
        <v>38785</v>
      </c>
      <c r="ZZ50" s="1" t="s">
        <v>38786</v>
      </c>
      <c r="AAA50" s="1" t="s">
        <v>38787</v>
      </c>
      <c r="AAB50" s="1" t="s">
        <v>38788</v>
      </c>
      <c r="AAC50" s="1" t="s">
        <v>38789</v>
      </c>
      <c r="AAD50" s="1" t="s">
        <v>38790</v>
      </c>
      <c r="AAE50" s="1" t="s">
        <v>38791</v>
      </c>
      <c r="AAF50" s="1" t="s">
        <v>38792</v>
      </c>
      <c r="AAG50" s="1" t="s">
        <v>38793</v>
      </c>
      <c r="AAH50" s="1" t="s">
        <v>38794</v>
      </c>
      <c r="AAI50" s="1" t="s">
        <v>38795</v>
      </c>
      <c r="AAJ50" s="1" t="s">
        <v>38796</v>
      </c>
      <c r="AAK50" s="1" t="s">
        <v>38797</v>
      </c>
      <c r="AAL50" s="1" t="s">
        <v>38798</v>
      </c>
      <c r="AAM50" s="1" t="s">
        <v>38799</v>
      </c>
      <c r="AAN50" s="1" t="s">
        <v>38800</v>
      </c>
      <c r="AAO50" s="1" t="s">
        <v>38801</v>
      </c>
      <c r="AAP50" s="1" t="s">
        <v>38802</v>
      </c>
      <c r="AAQ50" s="1" t="s">
        <v>38803</v>
      </c>
      <c r="AAR50" s="1" t="s">
        <v>38804</v>
      </c>
      <c r="AAS50" s="1" t="s">
        <v>38805</v>
      </c>
      <c r="AAT50" s="1" t="s">
        <v>38806</v>
      </c>
      <c r="AAU50" s="1" t="s">
        <v>38807</v>
      </c>
      <c r="AAV50" s="1" t="s">
        <v>38808</v>
      </c>
      <c r="AAW50" s="1" t="s">
        <v>38809</v>
      </c>
      <c r="AAX50" s="1" t="s">
        <v>38810</v>
      </c>
      <c r="AAY50" s="1" t="s">
        <v>38811</v>
      </c>
      <c r="AAZ50" s="1" t="s">
        <v>38812</v>
      </c>
      <c r="ABA50" s="1" t="s">
        <v>38813</v>
      </c>
      <c r="ABB50" s="1" t="s">
        <v>38814</v>
      </c>
      <c r="ABC50" s="1" t="s">
        <v>38815</v>
      </c>
      <c r="ABD50" s="1" t="s">
        <v>38816</v>
      </c>
      <c r="ABE50" s="1" t="s">
        <v>38817</v>
      </c>
      <c r="ABF50" s="1" t="s">
        <v>38818</v>
      </c>
      <c r="ABG50" s="1" t="s">
        <v>38819</v>
      </c>
      <c r="ABH50" s="1" t="s">
        <v>38820</v>
      </c>
      <c r="ABI50" s="1" t="s">
        <v>38821</v>
      </c>
      <c r="ABJ50" s="1" t="s">
        <v>38822</v>
      </c>
      <c r="ABK50" s="1" t="s">
        <v>38823</v>
      </c>
      <c r="ABL50" s="1" t="s">
        <v>38824</v>
      </c>
      <c r="ABM50" s="1" t="s">
        <v>38825</v>
      </c>
      <c r="ABN50" s="1" t="s">
        <v>38826</v>
      </c>
      <c r="ABO50" s="1" t="s">
        <v>38827</v>
      </c>
      <c r="ABP50" s="1" t="s">
        <v>38828</v>
      </c>
      <c r="ABQ50" s="1" t="s">
        <v>38829</v>
      </c>
      <c r="ABR50" s="1" t="s">
        <v>38830</v>
      </c>
      <c r="ABS50" s="1" t="s">
        <v>38831</v>
      </c>
      <c r="ABT50" s="1" t="s">
        <v>38832</v>
      </c>
      <c r="ABU50" s="1" t="s">
        <v>38833</v>
      </c>
      <c r="ABV50" s="1" t="s">
        <v>38834</v>
      </c>
      <c r="ABW50" s="1" t="s">
        <v>38835</v>
      </c>
      <c r="ABX50" s="1" t="s">
        <v>38836</v>
      </c>
      <c r="ABY50" s="1" t="s">
        <v>38837</v>
      </c>
      <c r="ABZ50" s="1" t="s">
        <v>38838</v>
      </c>
      <c r="ACA50" s="1" t="s">
        <v>38839</v>
      </c>
      <c r="ACB50" s="1" t="s">
        <v>38840</v>
      </c>
      <c r="ACC50" s="1" t="s">
        <v>38841</v>
      </c>
      <c r="ACD50" s="1" t="s">
        <v>38842</v>
      </c>
      <c r="ACE50" s="1" t="s">
        <v>38843</v>
      </c>
      <c r="ACF50" s="1" t="s">
        <v>38844</v>
      </c>
      <c r="ACG50" s="1" t="s">
        <v>38845</v>
      </c>
      <c r="ACH50" s="1" t="s">
        <v>38846</v>
      </c>
      <c r="ACI50" s="1" t="s">
        <v>38847</v>
      </c>
      <c r="ACJ50" s="1" t="s">
        <v>38848</v>
      </c>
      <c r="ACK50" s="1" t="s">
        <v>38849</v>
      </c>
      <c r="ACL50" s="1" t="s">
        <v>38850</v>
      </c>
      <c r="ACM50" s="1" t="s">
        <v>38851</v>
      </c>
      <c r="ACN50" s="1" t="s">
        <v>38852</v>
      </c>
      <c r="ACO50" s="1" t="s">
        <v>38853</v>
      </c>
      <c r="ACP50" s="1" t="s">
        <v>38854</v>
      </c>
      <c r="ACQ50" s="1" t="s">
        <v>38855</v>
      </c>
      <c r="ACR50" s="1" t="s">
        <v>38856</v>
      </c>
      <c r="ACS50" s="1" t="s">
        <v>38857</v>
      </c>
      <c r="ACT50" s="1" t="s">
        <v>38858</v>
      </c>
      <c r="ACU50" s="1" t="s">
        <v>38859</v>
      </c>
      <c r="ACV50" s="1" t="s">
        <v>38860</v>
      </c>
      <c r="ACW50" s="1" t="s">
        <v>17</v>
      </c>
      <c r="ACX50" s="1" t="s">
        <v>1502</v>
      </c>
    </row>
    <row r="51" spans="1:778" x14ac:dyDescent="0.2">
      <c r="A51" s="1" t="s">
        <v>83</v>
      </c>
      <c r="B51" s="1" t="s">
        <v>38861</v>
      </c>
      <c r="C51" s="1" t="s">
        <v>38862</v>
      </c>
      <c r="D51" s="1" t="s">
        <v>38863</v>
      </c>
      <c r="E51" s="1" t="s">
        <v>38864</v>
      </c>
      <c r="F51" s="1" t="s">
        <v>38865</v>
      </c>
      <c r="G51" s="1" t="s">
        <v>38866</v>
      </c>
      <c r="H51" s="1" t="s">
        <v>38867</v>
      </c>
      <c r="I51" s="1" t="s">
        <v>38868</v>
      </c>
      <c r="J51" s="1" t="s">
        <v>38869</v>
      </c>
      <c r="K51" s="1" t="s">
        <v>38870</v>
      </c>
      <c r="L51" s="1" t="s">
        <v>38871</v>
      </c>
      <c r="M51" s="1" t="s">
        <v>38872</v>
      </c>
      <c r="N51" s="1" t="s">
        <v>38873</v>
      </c>
      <c r="O51" s="1" t="s">
        <v>38874</v>
      </c>
      <c r="P51" s="1" t="s">
        <v>38875</v>
      </c>
      <c r="Q51" s="1" t="s">
        <v>38876</v>
      </c>
      <c r="R51" s="1" t="s">
        <v>38877</v>
      </c>
      <c r="S51" s="1" t="s">
        <v>38878</v>
      </c>
      <c r="T51" s="1" t="s">
        <v>38879</v>
      </c>
      <c r="U51" s="1" t="s">
        <v>38880</v>
      </c>
      <c r="V51" s="1" t="s">
        <v>38881</v>
      </c>
      <c r="W51" s="1" t="s">
        <v>38882</v>
      </c>
      <c r="X51" s="1" t="s">
        <v>38883</v>
      </c>
      <c r="Y51" s="1" t="s">
        <v>38884</v>
      </c>
      <c r="Z51" s="1" t="s">
        <v>38885</v>
      </c>
      <c r="AA51" s="1" t="s">
        <v>38886</v>
      </c>
      <c r="AB51" s="1" t="s">
        <v>38887</v>
      </c>
      <c r="AC51" s="1" t="s">
        <v>38888</v>
      </c>
      <c r="AD51" s="1" t="s">
        <v>38889</v>
      </c>
      <c r="AE51" s="1" t="s">
        <v>38890</v>
      </c>
      <c r="AF51" s="1" t="s">
        <v>38891</v>
      </c>
      <c r="AG51" s="1" t="s">
        <v>38892</v>
      </c>
      <c r="AH51" s="1" t="s">
        <v>38893</v>
      </c>
      <c r="AI51" s="1" t="s">
        <v>38894</v>
      </c>
      <c r="AJ51" s="1" t="s">
        <v>38895</v>
      </c>
      <c r="AK51" s="1" t="s">
        <v>38896</v>
      </c>
      <c r="AL51" s="1" t="s">
        <v>38897</v>
      </c>
      <c r="AM51" s="1" t="s">
        <v>38898</v>
      </c>
      <c r="AN51" s="1" t="s">
        <v>38899</v>
      </c>
      <c r="AO51" s="1" t="s">
        <v>38900</v>
      </c>
      <c r="AP51" s="1" t="s">
        <v>38901</v>
      </c>
      <c r="AQ51" s="1" t="s">
        <v>38902</v>
      </c>
      <c r="AR51" s="1" t="s">
        <v>38903</v>
      </c>
      <c r="AS51" s="1" t="s">
        <v>38904</v>
      </c>
      <c r="AT51" s="1" t="s">
        <v>38905</v>
      </c>
      <c r="AU51" s="1" t="s">
        <v>38906</v>
      </c>
      <c r="AV51" s="1" t="s">
        <v>38907</v>
      </c>
      <c r="AW51" s="1" t="s">
        <v>38908</v>
      </c>
      <c r="AX51" s="1" t="s">
        <v>38909</v>
      </c>
      <c r="AY51" s="1" t="s">
        <v>38910</v>
      </c>
      <c r="AZ51" s="1" t="s">
        <v>38911</v>
      </c>
      <c r="BA51" s="1" t="s">
        <v>38912</v>
      </c>
      <c r="BB51" s="1" t="s">
        <v>38913</v>
      </c>
      <c r="BC51" s="1" t="s">
        <v>38914</v>
      </c>
      <c r="BD51" s="1" t="s">
        <v>38915</v>
      </c>
      <c r="BE51" s="1" t="s">
        <v>38916</v>
      </c>
      <c r="BF51" s="1" t="s">
        <v>38917</v>
      </c>
      <c r="BG51" s="1" t="s">
        <v>38918</v>
      </c>
      <c r="BH51" s="1" t="s">
        <v>38919</v>
      </c>
      <c r="BI51" s="1" t="s">
        <v>38920</v>
      </c>
      <c r="BJ51" s="1" t="s">
        <v>38921</v>
      </c>
      <c r="BK51" s="1" t="s">
        <v>38922</v>
      </c>
      <c r="BL51" s="1" t="s">
        <v>38923</v>
      </c>
      <c r="BM51" s="1" t="s">
        <v>38924</v>
      </c>
      <c r="BN51" s="1" t="s">
        <v>38925</v>
      </c>
      <c r="BO51" s="1" t="s">
        <v>38926</v>
      </c>
      <c r="BP51" s="1" t="s">
        <v>38927</v>
      </c>
      <c r="BQ51" s="1" t="s">
        <v>38928</v>
      </c>
      <c r="BR51" s="1" t="s">
        <v>38929</v>
      </c>
      <c r="BS51" s="1" t="s">
        <v>38930</v>
      </c>
      <c r="BT51" s="1" t="s">
        <v>38931</v>
      </c>
      <c r="BU51" s="1" t="s">
        <v>38932</v>
      </c>
      <c r="BV51" s="1" t="s">
        <v>38933</v>
      </c>
      <c r="BW51" s="1" t="s">
        <v>38934</v>
      </c>
      <c r="BX51" s="1" t="s">
        <v>38935</v>
      </c>
      <c r="BY51" s="1" t="s">
        <v>38936</v>
      </c>
      <c r="BZ51" s="1" t="s">
        <v>38937</v>
      </c>
      <c r="CA51" s="1" t="s">
        <v>38938</v>
      </c>
      <c r="CB51" s="1" t="s">
        <v>38939</v>
      </c>
      <c r="CC51" s="1" t="s">
        <v>38940</v>
      </c>
      <c r="CD51" s="1" t="s">
        <v>38941</v>
      </c>
      <c r="CE51" s="1" t="s">
        <v>38942</v>
      </c>
      <c r="CF51" s="1" t="s">
        <v>38943</v>
      </c>
      <c r="CG51" s="1" t="s">
        <v>38944</v>
      </c>
      <c r="CH51" s="1" t="s">
        <v>38945</v>
      </c>
      <c r="CI51" s="1" t="s">
        <v>38946</v>
      </c>
      <c r="CJ51" s="1" t="s">
        <v>38947</v>
      </c>
      <c r="CK51" s="1" t="s">
        <v>38948</v>
      </c>
      <c r="CL51" s="1" t="s">
        <v>38949</v>
      </c>
      <c r="CM51" s="1" t="s">
        <v>38950</v>
      </c>
      <c r="CN51" s="1" t="s">
        <v>38951</v>
      </c>
      <c r="CO51" s="1" t="s">
        <v>38952</v>
      </c>
      <c r="CP51" s="1" t="s">
        <v>38953</v>
      </c>
      <c r="CQ51" s="1" t="s">
        <v>38954</v>
      </c>
      <c r="CR51" s="1" t="s">
        <v>38955</v>
      </c>
      <c r="CS51" s="1" t="s">
        <v>38956</v>
      </c>
      <c r="CT51" s="1" t="s">
        <v>38957</v>
      </c>
      <c r="CU51" s="1" t="s">
        <v>38958</v>
      </c>
      <c r="CV51" s="1" t="s">
        <v>38959</v>
      </c>
      <c r="CW51" s="1" t="s">
        <v>38960</v>
      </c>
      <c r="CX51" s="1" t="s">
        <v>38961</v>
      </c>
      <c r="CY51" s="1" t="s">
        <v>38962</v>
      </c>
      <c r="CZ51" s="1" t="s">
        <v>38963</v>
      </c>
      <c r="DA51" s="1" t="s">
        <v>38964</v>
      </c>
      <c r="DB51" s="1" t="s">
        <v>38965</v>
      </c>
      <c r="DC51" s="1" t="s">
        <v>38966</v>
      </c>
      <c r="DD51" s="1" t="s">
        <v>38967</v>
      </c>
      <c r="DE51" s="1" t="s">
        <v>38968</v>
      </c>
      <c r="DF51" s="1" t="s">
        <v>38969</v>
      </c>
      <c r="DG51" s="1" t="s">
        <v>38970</v>
      </c>
      <c r="DH51" s="1" t="s">
        <v>38971</v>
      </c>
      <c r="DI51" s="1" t="s">
        <v>38972</v>
      </c>
      <c r="DJ51" s="1" t="s">
        <v>38973</v>
      </c>
      <c r="DK51" s="1" t="s">
        <v>38974</v>
      </c>
      <c r="DL51" s="1" t="s">
        <v>38975</v>
      </c>
      <c r="DM51" s="1" t="s">
        <v>38976</v>
      </c>
      <c r="DN51" s="1" t="s">
        <v>38977</v>
      </c>
      <c r="DO51" s="1" t="s">
        <v>38978</v>
      </c>
      <c r="DP51" s="1" t="s">
        <v>38979</v>
      </c>
      <c r="DQ51" s="1" t="s">
        <v>38980</v>
      </c>
      <c r="DR51" s="1" t="s">
        <v>38981</v>
      </c>
      <c r="DS51" s="1" t="s">
        <v>38982</v>
      </c>
      <c r="DT51" s="1" t="s">
        <v>38983</v>
      </c>
      <c r="DU51" s="1" t="s">
        <v>38984</v>
      </c>
      <c r="DV51" s="1" t="s">
        <v>38985</v>
      </c>
      <c r="DW51" s="1" t="s">
        <v>38986</v>
      </c>
      <c r="DX51" s="1" t="s">
        <v>38987</v>
      </c>
      <c r="DY51" s="1" t="s">
        <v>38988</v>
      </c>
      <c r="DZ51" s="1" t="s">
        <v>38989</v>
      </c>
      <c r="EA51" s="1" t="s">
        <v>38990</v>
      </c>
      <c r="EB51" s="1" t="s">
        <v>38991</v>
      </c>
      <c r="EC51" s="1" t="s">
        <v>38992</v>
      </c>
      <c r="ED51" s="1" t="s">
        <v>38993</v>
      </c>
      <c r="EE51" s="1" t="s">
        <v>38994</v>
      </c>
      <c r="EF51" s="1" t="s">
        <v>38995</v>
      </c>
      <c r="EG51" s="1" t="s">
        <v>38996</v>
      </c>
      <c r="EH51" s="1" t="s">
        <v>38997</v>
      </c>
      <c r="EI51" s="1" t="s">
        <v>38998</v>
      </c>
      <c r="EJ51" s="1" t="s">
        <v>38999</v>
      </c>
      <c r="EK51" s="1" t="s">
        <v>39000</v>
      </c>
      <c r="EL51" s="1" t="s">
        <v>39001</v>
      </c>
      <c r="EM51" s="1" t="s">
        <v>39002</v>
      </c>
      <c r="EN51" s="1" t="s">
        <v>39003</v>
      </c>
      <c r="EO51" s="1" t="s">
        <v>39004</v>
      </c>
      <c r="EP51" s="1" t="s">
        <v>39005</v>
      </c>
      <c r="EQ51" s="1" t="s">
        <v>39006</v>
      </c>
      <c r="ER51" s="1" t="s">
        <v>39007</v>
      </c>
      <c r="ES51" s="1" t="s">
        <v>39008</v>
      </c>
      <c r="ET51" s="1" t="s">
        <v>39009</v>
      </c>
      <c r="EU51" s="1" t="s">
        <v>39010</v>
      </c>
      <c r="EV51" s="1" t="s">
        <v>39011</v>
      </c>
      <c r="EW51" s="1" t="s">
        <v>39012</v>
      </c>
      <c r="EX51" s="1" t="s">
        <v>39013</v>
      </c>
      <c r="EY51" s="1" t="s">
        <v>39014</v>
      </c>
      <c r="EZ51" s="1" t="s">
        <v>39015</v>
      </c>
      <c r="FA51" s="1" t="s">
        <v>39016</v>
      </c>
      <c r="FB51" s="1" t="s">
        <v>39017</v>
      </c>
      <c r="FC51" s="1" t="s">
        <v>39018</v>
      </c>
      <c r="FD51" s="1" t="s">
        <v>39019</v>
      </c>
      <c r="FE51" s="1" t="s">
        <v>39020</v>
      </c>
      <c r="FF51" s="1" t="s">
        <v>39021</v>
      </c>
      <c r="FG51" s="1" t="s">
        <v>39022</v>
      </c>
      <c r="FH51" s="1" t="s">
        <v>39023</v>
      </c>
      <c r="FI51" s="1" t="s">
        <v>39024</v>
      </c>
      <c r="FJ51" s="1" t="s">
        <v>39025</v>
      </c>
      <c r="FK51" s="1" t="s">
        <v>39026</v>
      </c>
      <c r="FL51" s="1" t="s">
        <v>39027</v>
      </c>
      <c r="FM51" s="1" t="s">
        <v>39028</v>
      </c>
      <c r="FN51" s="1" t="s">
        <v>39029</v>
      </c>
      <c r="FO51" s="1" t="s">
        <v>39030</v>
      </c>
      <c r="FP51" s="1" t="s">
        <v>39031</v>
      </c>
      <c r="FQ51" s="1" t="s">
        <v>39032</v>
      </c>
      <c r="FR51" s="1" t="s">
        <v>39033</v>
      </c>
      <c r="FS51" s="1" t="s">
        <v>39034</v>
      </c>
      <c r="FT51" s="1" t="s">
        <v>39035</v>
      </c>
      <c r="FU51" s="1" t="s">
        <v>39036</v>
      </c>
      <c r="FV51" s="1" t="s">
        <v>39037</v>
      </c>
      <c r="FW51" s="1" t="s">
        <v>39038</v>
      </c>
      <c r="FX51" s="1" t="s">
        <v>39039</v>
      </c>
      <c r="FY51" s="1" t="s">
        <v>39040</v>
      </c>
      <c r="FZ51" s="1" t="s">
        <v>39041</v>
      </c>
      <c r="GA51" s="1" t="s">
        <v>39042</v>
      </c>
      <c r="GB51" s="1" t="s">
        <v>39043</v>
      </c>
      <c r="GC51" s="1" t="s">
        <v>39044</v>
      </c>
      <c r="GD51" s="1" t="s">
        <v>39045</v>
      </c>
      <c r="GE51" s="1" t="s">
        <v>39046</v>
      </c>
      <c r="GF51" s="1" t="s">
        <v>39047</v>
      </c>
      <c r="GG51" s="1" t="s">
        <v>39048</v>
      </c>
      <c r="GH51" s="1" t="s">
        <v>39049</v>
      </c>
      <c r="GI51" s="1" t="s">
        <v>39050</v>
      </c>
      <c r="GJ51" s="1" t="s">
        <v>39051</v>
      </c>
      <c r="GK51" s="1" t="s">
        <v>39052</v>
      </c>
      <c r="GL51" s="1" t="s">
        <v>39053</v>
      </c>
      <c r="GM51" s="1" t="s">
        <v>39054</v>
      </c>
      <c r="GN51" s="1" t="s">
        <v>39055</v>
      </c>
      <c r="GO51" s="1" t="s">
        <v>39056</v>
      </c>
      <c r="GP51" s="1" t="s">
        <v>39057</v>
      </c>
      <c r="GQ51" s="1" t="s">
        <v>39058</v>
      </c>
      <c r="GR51" s="1" t="s">
        <v>39059</v>
      </c>
      <c r="GS51" s="1" t="s">
        <v>39060</v>
      </c>
      <c r="GT51" s="1" t="s">
        <v>39061</v>
      </c>
      <c r="GU51" s="1" t="s">
        <v>39062</v>
      </c>
      <c r="GV51" s="1" t="s">
        <v>39063</v>
      </c>
      <c r="GW51" s="1" t="s">
        <v>39064</v>
      </c>
      <c r="GX51" s="1" t="s">
        <v>39065</v>
      </c>
      <c r="GY51" s="1" t="s">
        <v>39066</v>
      </c>
      <c r="GZ51" s="1" t="s">
        <v>39067</v>
      </c>
      <c r="HA51" s="1" t="s">
        <v>39068</v>
      </c>
      <c r="HB51" s="1" t="s">
        <v>39069</v>
      </c>
      <c r="HC51" s="1" t="s">
        <v>39070</v>
      </c>
      <c r="HD51" s="1" t="s">
        <v>39071</v>
      </c>
      <c r="HE51" s="1" t="s">
        <v>39072</v>
      </c>
      <c r="HF51" s="1" t="s">
        <v>39073</v>
      </c>
      <c r="HG51" s="1" t="s">
        <v>39074</v>
      </c>
      <c r="HH51" s="1" t="s">
        <v>39075</v>
      </c>
      <c r="HI51" s="1" t="s">
        <v>39076</v>
      </c>
      <c r="HJ51" s="1" t="s">
        <v>39077</v>
      </c>
      <c r="HK51" s="1" t="s">
        <v>39078</v>
      </c>
      <c r="HL51" s="1" t="s">
        <v>39079</v>
      </c>
      <c r="HM51" s="1" t="s">
        <v>39080</v>
      </c>
      <c r="HN51" s="1" t="s">
        <v>39081</v>
      </c>
      <c r="HO51" s="1" t="s">
        <v>39082</v>
      </c>
      <c r="HP51" s="1" t="s">
        <v>39083</v>
      </c>
      <c r="HQ51" s="1" t="s">
        <v>39084</v>
      </c>
      <c r="HR51" s="1" t="s">
        <v>39085</v>
      </c>
      <c r="HS51" s="1" t="s">
        <v>39086</v>
      </c>
      <c r="HT51" s="1" t="s">
        <v>39087</v>
      </c>
      <c r="HU51" s="1" t="s">
        <v>39088</v>
      </c>
      <c r="HV51" s="1" t="s">
        <v>39089</v>
      </c>
      <c r="HW51" s="1" t="s">
        <v>39090</v>
      </c>
      <c r="HX51" s="1" t="s">
        <v>39091</v>
      </c>
      <c r="HY51" s="1" t="s">
        <v>39092</v>
      </c>
      <c r="HZ51" s="1" t="s">
        <v>39093</v>
      </c>
      <c r="IA51" s="1" t="s">
        <v>39094</v>
      </c>
      <c r="IB51" s="1" t="s">
        <v>39095</v>
      </c>
      <c r="IC51" s="1" t="s">
        <v>39096</v>
      </c>
      <c r="ID51" s="1" t="s">
        <v>39097</v>
      </c>
      <c r="IE51" s="1" t="s">
        <v>39098</v>
      </c>
      <c r="IF51" s="1" t="s">
        <v>39099</v>
      </c>
      <c r="IG51" s="1" t="s">
        <v>39100</v>
      </c>
      <c r="IH51" s="1" t="s">
        <v>39101</v>
      </c>
      <c r="II51" s="1" t="s">
        <v>39102</v>
      </c>
      <c r="IJ51" s="1" t="s">
        <v>39103</v>
      </c>
      <c r="IK51" s="1" t="s">
        <v>39104</v>
      </c>
      <c r="IL51" s="1" t="s">
        <v>39105</v>
      </c>
      <c r="IM51" s="1" t="s">
        <v>39106</v>
      </c>
      <c r="IN51" s="1" t="s">
        <v>39107</v>
      </c>
      <c r="IO51" s="1" t="s">
        <v>39108</v>
      </c>
      <c r="IP51" s="1" t="s">
        <v>39109</v>
      </c>
      <c r="IQ51" s="1" t="s">
        <v>39110</v>
      </c>
      <c r="IR51" s="1" t="s">
        <v>39111</v>
      </c>
      <c r="IS51" s="1" t="s">
        <v>39112</v>
      </c>
      <c r="IT51" s="1" t="s">
        <v>39113</v>
      </c>
      <c r="IU51" s="1" t="s">
        <v>39114</v>
      </c>
      <c r="IV51" s="1" t="s">
        <v>39115</v>
      </c>
      <c r="IW51" s="1" t="s">
        <v>39116</v>
      </c>
      <c r="IX51" s="1" t="s">
        <v>39117</v>
      </c>
      <c r="IY51" s="1" t="s">
        <v>39118</v>
      </c>
      <c r="IZ51" s="1" t="s">
        <v>39119</v>
      </c>
      <c r="JA51" s="1" t="s">
        <v>39120</v>
      </c>
      <c r="JB51" s="1" t="s">
        <v>39121</v>
      </c>
      <c r="JC51" s="1" t="s">
        <v>39122</v>
      </c>
      <c r="JD51" s="1" t="s">
        <v>39123</v>
      </c>
      <c r="JE51" s="1" t="s">
        <v>39124</v>
      </c>
      <c r="JF51" s="1" t="s">
        <v>39125</v>
      </c>
      <c r="JG51" s="1" t="s">
        <v>39126</v>
      </c>
      <c r="JH51" s="1" t="s">
        <v>39127</v>
      </c>
      <c r="JI51" s="1" t="s">
        <v>39128</v>
      </c>
      <c r="JJ51" s="1" t="s">
        <v>39129</v>
      </c>
      <c r="JK51" s="1" t="s">
        <v>39130</v>
      </c>
      <c r="JL51" s="1" t="s">
        <v>39131</v>
      </c>
      <c r="JM51" s="1" t="s">
        <v>39132</v>
      </c>
      <c r="JN51" s="1" t="s">
        <v>39133</v>
      </c>
      <c r="JO51" s="1" t="s">
        <v>39134</v>
      </c>
      <c r="JP51" s="1" t="s">
        <v>39135</v>
      </c>
      <c r="JQ51" s="1" t="s">
        <v>39136</v>
      </c>
      <c r="JR51" s="1" t="s">
        <v>39137</v>
      </c>
      <c r="JS51" s="1" t="s">
        <v>39138</v>
      </c>
      <c r="JT51" s="1" t="s">
        <v>39139</v>
      </c>
      <c r="JU51" s="1" t="s">
        <v>39140</v>
      </c>
      <c r="JV51" s="1" t="s">
        <v>39141</v>
      </c>
      <c r="JW51" s="1" t="s">
        <v>39142</v>
      </c>
      <c r="JX51" s="1" t="s">
        <v>39143</v>
      </c>
      <c r="JY51" s="1" t="s">
        <v>39144</v>
      </c>
      <c r="JZ51" s="1" t="s">
        <v>39145</v>
      </c>
      <c r="KA51" s="1" t="s">
        <v>39146</v>
      </c>
      <c r="KB51" s="1" t="s">
        <v>39147</v>
      </c>
      <c r="KC51" s="1" t="s">
        <v>39148</v>
      </c>
      <c r="KD51" s="1" t="s">
        <v>39149</v>
      </c>
      <c r="KE51" s="1" t="s">
        <v>39150</v>
      </c>
      <c r="KF51" s="1" t="s">
        <v>39151</v>
      </c>
      <c r="KG51" s="1" t="s">
        <v>39152</v>
      </c>
      <c r="KH51" s="1" t="s">
        <v>39153</v>
      </c>
      <c r="KI51" s="1" t="s">
        <v>39154</v>
      </c>
      <c r="KJ51" s="1" t="s">
        <v>39155</v>
      </c>
      <c r="KK51" s="1" t="s">
        <v>39156</v>
      </c>
      <c r="KL51" s="1" t="s">
        <v>39157</v>
      </c>
      <c r="KM51" s="1" t="s">
        <v>39158</v>
      </c>
      <c r="KN51" s="1" t="s">
        <v>39159</v>
      </c>
      <c r="KO51" s="1" t="s">
        <v>39160</v>
      </c>
      <c r="KP51" s="1" t="s">
        <v>39161</v>
      </c>
      <c r="KQ51" s="1" t="s">
        <v>39162</v>
      </c>
      <c r="KR51" s="1" t="s">
        <v>39163</v>
      </c>
      <c r="KS51" s="1" t="s">
        <v>39164</v>
      </c>
      <c r="KT51" s="1" t="s">
        <v>39165</v>
      </c>
      <c r="KU51" s="1" t="s">
        <v>39166</v>
      </c>
      <c r="KV51" s="1" t="s">
        <v>39167</v>
      </c>
      <c r="KW51" s="1" t="s">
        <v>39168</v>
      </c>
      <c r="KX51" s="1" t="s">
        <v>39169</v>
      </c>
      <c r="KY51" s="1" t="s">
        <v>39170</v>
      </c>
      <c r="KZ51" s="1" t="s">
        <v>39171</v>
      </c>
      <c r="LA51" s="1" t="s">
        <v>39172</v>
      </c>
      <c r="LB51" s="1" t="s">
        <v>39173</v>
      </c>
      <c r="LC51" s="1" t="s">
        <v>39174</v>
      </c>
      <c r="LD51" s="1" t="s">
        <v>39175</v>
      </c>
      <c r="LE51" s="1" t="s">
        <v>39176</v>
      </c>
      <c r="LF51" s="1" t="s">
        <v>39177</v>
      </c>
      <c r="LG51" s="1" t="s">
        <v>39178</v>
      </c>
      <c r="LH51" s="1" t="s">
        <v>39179</v>
      </c>
      <c r="LI51" s="1" t="s">
        <v>39180</v>
      </c>
      <c r="LJ51" s="1" t="s">
        <v>39181</v>
      </c>
      <c r="LK51" s="1" t="s">
        <v>39182</v>
      </c>
      <c r="LL51" s="1" t="s">
        <v>39183</v>
      </c>
      <c r="LM51" s="1" t="s">
        <v>39184</v>
      </c>
      <c r="LN51" s="1" t="s">
        <v>39185</v>
      </c>
      <c r="LO51" s="1" t="s">
        <v>39186</v>
      </c>
      <c r="LP51" s="1" t="s">
        <v>39187</v>
      </c>
      <c r="LQ51" s="1" t="s">
        <v>39188</v>
      </c>
      <c r="LR51" s="1" t="s">
        <v>39189</v>
      </c>
      <c r="LS51" s="1" t="s">
        <v>39190</v>
      </c>
      <c r="LT51" s="1" t="s">
        <v>39191</v>
      </c>
      <c r="LU51" s="1" t="s">
        <v>39192</v>
      </c>
      <c r="LV51" s="1" t="s">
        <v>39193</v>
      </c>
      <c r="LW51" s="1" t="s">
        <v>39194</v>
      </c>
      <c r="LX51" s="1" t="s">
        <v>39195</v>
      </c>
      <c r="LY51" s="1" t="s">
        <v>39196</v>
      </c>
      <c r="LZ51" s="1" t="s">
        <v>39197</v>
      </c>
      <c r="MA51" s="1" t="s">
        <v>39198</v>
      </c>
      <c r="MB51" s="1" t="s">
        <v>39199</v>
      </c>
      <c r="MC51" s="1" t="s">
        <v>39200</v>
      </c>
      <c r="MD51" s="1" t="s">
        <v>39201</v>
      </c>
      <c r="ME51" s="1" t="s">
        <v>39202</v>
      </c>
      <c r="MF51" s="1" t="s">
        <v>39203</v>
      </c>
      <c r="MG51" s="1" t="s">
        <v>39204</v>
      </c>
      <c r="MH51" s="1" t="s">
        <v>39205</v>
      </c>
      <c r="MI51" s="1" t="s">
        <v>39206</v>
      </c>
      <c r="MJ51" s="1" t="s">
        <v>39207</v>
      </c>
      <c r="MK51" s="1" t="s">
        <v>39208</v>
      </c>
      <c r="ML51" s="1" t="s">
        <v>39209</v>
      </c>
      <c r="MM51" s="1" t="s">
        <v>39210</v>
      </c>
      <c r="MN51" s="1" t="s">
        <v>39211</v>
      </c>
      <c r="MO51" s="1" t="s">
        <v>39212</v>
      </c>
      <c r="MP51" s="1" t="s">
        <v>39213</v>
      </c>
      <c r="MQ51" s="1" t="s">
        <v>39214</v>
      </c>
      <c r="MR51" s="1" t="s">
        <v>39215</v>
      </c>
      <c r="MS51" s="1" t="s">
        <v>39216</v>
      </c>
      <c r="MT51" s="1" t="s">
        <v>39217</v>
      </c>
      <c r="MU51" s="1" t="s">
        <v>39218</v>
      </c>
      <c r="MV51" s="1" t="s">
        <v>39219</v>
      </c>
      <c r="MW51" s="1" t="s">
        <v>39220</v>
      </c>
      <c r="MX51" s="1" t="s">
        <v>39221</v>
      </c>
      <c r="MY51" s="1" t="s">
        <v>39222</v>
      </c>
      <c r="MZ51" s="1" t="s">
        <v>39223</v>
      </c>
      <c r="NA51" s="1" t="s">
        <v>39224</v>
      </c>
      <c r="NB51" s="1" t="s">
        <v>39225</v>
      </c>
      <c r="NC51" s="1" t="s">
        <v>39226</v>
      </c>
      <c r="ND51" s="1" t="s">
        <v>39227</v>
      </c>
      <c r="NE51" s="1" t="s">
        <v>39228</v>
      </c>
      <c r="NF51" s="1" t="s">
        <v>39229</v>
      </c>
      <c r="NG51" s="1" t="s">
        <v>39230</v>
      </c>
      <c r="NH51" s="1" t="s">
        <v>39231</v>
      </c>
      <c r="NI51" s="1" t="s">
        <v>39232</v>
      </c>
      <c r="NJ51" s="1" t="s">
        <v>39233</v>
      </c>
      <c r="NK51" s="1" t="s">
        <v>39234</v>
      </c>
      <c r="NL51" s="1" t="s">
        <v>39235</v>
      </c>
      <c r="NM51" s="1" t="s">
        <v>39236</v>
      </c>
      <c r="NN51" s="1" t="s">
        <v>39237</v>
      </c>
      <c r="NO51" s="1" t="s">
        <v>39238</v>
      </c>
      <c r="NP51" s="1" t="s">
        <v>39239</v>
      </c>
      <c r="NQ51" s="1" t="s">
        <v>39240</v>
      </c>
      <c r="NR51" s="1" t="s">
        <v>39241</v>
      </c>
      <c r="NS51" s="1" t="s">
        <v>39242</v>
      </c>
      <c r="NT51" s="1" t="s">
        <v>39243</v>
      </c>
      <c r="NU51" s="1" t="s">
        <v>39244</v>
      </c>
      <c r="NV51" s="1" t="s">
        <v>39245</v>
      </c>
      <c r="NW51" s="1" t="s">
        <v>39246</v>
      </c>
      <c r="NX51" s="1" t="s">
        <v>39247</v>
      </c>
      <c r="NY51" s="1" t="s">
        <v>39248</v>
      </c>
      <c r="NZ51" s="1" t="s">
        <v>39249</v>
      </c>
      <c r="OA51" s="1" t="s">
        <v>39250</v>
      </c>
      <c r="OB51" s="1" t="s">
        <v>39251</v>
      </c>
      <c r="OC51" s="1" t="s">
        <v>39252</v>
      </c>
      <c r="OD51" s="1" t="s">
        <v>39253</v>
      </c>
      <c r="OE51" s="1" t="s">
        <v>39254</v>
      </c>
      <c r="OF51" s="1" t="s">
        <v>39255</v>
      </c>
      <c r="OG51" s="1" t="s">
        <v>39256</v>
      </c>
      <c r="OH51" s="1" t="s">
        <v>39257</v>
      </c>
      <c r="OI51" s="1" t="s">
        <v>39258</v>
      </c>
      <c r="OJ51" s="1" t="s">
        <v>39259</v>
      </c>
      <c r="OK51" s="1" t="s">
        <v>39260</v>
      </c>
      <c r="OL51" s="1" t="s">
        <v>39261</v>
      </c>
      <c r="OM51" s="1" t="s">
        <v>39262</v>
      </c>
      <c r="ON51" s="1" t="s">
        <v>39263</v>
      </c>
      <c r="OO51" s="1" t="s">
        <v>39264</v>
      </c>
      <c r="OP51" s="1" t="s">
        <v>39265</v>
      </c>
      <c r="OQ51" s="1" t="s">
        <v>39266</v>
      </c>
      <c r="OR51" s="1" t="s">
        <v>39267</v>
      </c>
      <c r="OS51" s="1" t="s">
        <v>39268</v>
      </c>
      <c r="OT51" s="1" t="s">
        <v>39269</v>
      </c>
      <c r="OU51" s="1" t="s">
        <v>39270</v>
      </c>
      <c r="OV51" s="1" t="s">
        <v>39271</v>
      </c>
      <c r="OW51" s="1" t="s">
        <v>39272</v>
      </c>
      <c r="OX51" s="1" t="s">
        <v>39273</v>
      </c>
      <c r="OY51" s="1" t="s">
        <v>39274</v>
      </c>
      <c r="OZ51" s="1" t="s">
        <v>39275</v>
      </c>
      <c r="PA51" s="1" t="s">
        <v>39276</v>
      </c>
      <c r="PB51" s="1" t="s">
        <v>39277</v>
      </c>
      <c r="PC51" s="1" t="s">
        <v>39278</v>
      </c>
      <c r="PD51" s="1" t="s">
        <v>39279</v>
      </c>
      <c r="PE51" s="1" t="s">
        <v>39280</v>
      </c>
      <c r="PF51" s="1" t="s">
        <v>39281</v>
      </c>
      <c r="PG51" s="1" t="s">
        <v>39282</v>
      </c>
      <c r="PH51" s="1" t="s">
        <v>39283</v>
      </c>
      <c r="PI51" s="1" t="s">
        <v>39284</v>
      </c>
      <c r="PJ51" s="1" t="s">
        <v>39285</v>
      </c>
      <c r="PK51" s="1" t="s">
        <v>39286</v>
      </c>
      <c r="PL51" s="1" t="s">
        <v>39287</v>
      </c>
      <c r="PM51" s="1" t="s">
        <v>39288</v>
      </c>
      <c r="PN51" s="1" t="s">
        <v>39289</v>
      </c>
      <c r="PO51" s="1" t="s">
        <v>39290</v>
      </c>
      <c r="PP51" s="1" t="s">
        <v>39291</v>
      </c>
      <c r="PQ51" s="1" t="s">
        <v>39292</v>
      </c>
      <c r="PR51" s="1" t="s">
        <v>39293</v>
      </c>
      <c r="PS51" s="1" t="s">
        <v>39294</v>
      </c>
      <c r="PT51" s="1" t="s">
        <v>39295</v>
      </c>
      <c r="PU51" s="1" t="s">
        <v>39296</v>
      </c>
      <c r="PV51" s="1" t="s">
        <v>39297</v>
      </c>
      <c r="PW51" s="1" t="s">
        <v>39298</v>
      </c>
      <c r="PX51" s="1" t="s">
        <v>39299</v>
      </c>
      <c r="PY51" s="1" t="s">
        <v>39300</v>
      </c>
      <c r="PZ51" s="1" t="s">
        <v>39301</v>
      </c>
      <c r="QA51" s="1" t="s">
        <v>39302</v>
      </c>
      <c r="QB51" s="1" t="s">
        <v>39303</v>
      </c>
      <c r="QC51" s="1" t="s">
        <v>39304</v>
      </c>
      <c r="QD51" s="1" t="s">
        <v>39305</v>
      </c>
      <c r="QE51" s="1" t="s">
        <v>39306</v>
      </c>
      <c r="QF51" s="1" t="s">
        <v>39307</v>
      </c>
      <c r="QG51" s="1" t="s">
        <v>39308</v>
      </c>
      <c r="QH51" s="1" t="s">
        <v>39309</v>
      </c>
      <c r="QI51" s="1" t="s">
        <v>39310</v>
      </c>
      <c r="QJ51" s="1" t="s">
        <v>39311</v>
      </c>
      <c r="QK51" s="1" t="s">
        <v>39312</v>
      </c>
      <c r="QL51" s="1" t="s">
        <v>39313</v>
      </c>
      <c r="QM51" s="1" t="s">
        <v>39314</v>
      </c>
      <c r="QN51" s="1" t="s">
        <v>39315</v>
      </c>
      <c r="QO51" s="1" t="s">
        <v>39316</v>
      </c>
      <c r="QP51" s="1" t="s">
        <v>39317</v>
      </c>
      <c r="QQ51" s="1" t="s">
        <v>39318</v>
      </c>
      <c r="QR51" s="1" t="s">
        <v>39319</v>
      </c>
      <c r="QS51" s="1" t="s">
        <v>39320</v>
      </c>
      <c r="QT51" s="1" t="s">
        <v>39321</v>
      </c>
      <c r="QU51" s="1" t="s">
        <v>39322</v>
      </c>
      <c r="QV51" s="1" t="s">
        <v>39323</v>
      </c>
      <c r="QW51" s="1" t="s">
        <v>39324</v>
      </c>
      <c r="QX51" s="1" t="s">
        <v>39325</v>
      </c>
      <c r="QY51" s="1" t="s">
        <v>39326</v>
      </c>
      <c r="QZ51" s="1" t="s">
        <v>39327</v>
      </c>
      <c r="RA51" s="1" t="s">
        <v>39328</v>
      </c>
      <c r="RB51" s="1" t="s">
        <v>39329</v>
      </c>
      <c r="RC51" s="1" t="s">
        <v>39330</v>
      </c>
      <c r="RD51" s="1" t="s">
        <v>39331</v>
      </c>
      <c r="RE51" s="1" t="s">
        <v>39332</v>
      </c>
      <c r="RF51" s="1" t="s">
        <v>39333</v>
      </c>
      <c r="RG51" s="1" t="s">
        <v>39334</v>
      </c>
      <c r="RH51" s="1" t="s">
        <v>39335</v>
      </c>
      <c r="RI51" s="1" t="s">
        <v>39336</v>
      </c>
      <c r="RJ51" s="1" t="s">
        <v>39337</v>
      </c>
      <c r="RK51" s="1" t="s">
        <v>39338</v>
      </c>
      <c r="RL51" s="1" t="s">
        <v>39339</v>
      </c>
      <c r="RM51" s="1" t="s">
        <v>39340</v>
      </c>
      <c r="RN51" s="1" t="s">
        <v>39341</v>
      </c>
      <c r="RO51" s="1" t="s">
        <v>39342</v>
      </c>
      <c r="RP51" s="1" t="s">
        <v>39343</v>
      </c>
      <c r="RQ51" s="1" t="s">
        <v>39344</v>
      </c>
      <c r="RR51" s="1" t="s">
        <v>39345</v>
      </c>
      <c r="RS51" s="1" t="s">
        <v>39346</v>
      </c>
      <c r="RT51" s="1" t="s">
        <v>39347</v>
      </c>
      <c r="RU51" s="1" t="s">
        <v>39348</v>
      </c>
      <c r="RV51" s="1" t="s">
        <v>39349</v>
      </c>
      <c r="RW51" s="1" t="s">
        <v>39350</v>
      </c>
      <c r="RX51" s="1" t="s">
        <v>39351</v>
      </c>
      <c r="RY51" s="1" t="s">
        <v>39352</v>
      </c>
      <c r="RZ51" s="1" t="s">
        <v>39353</v>
      </c>
      <c r="SA51" s="1" t="s">
        <v>39354</v>
      </c>
      <c r="SB51" s="1" t="s">
        <v>39355</v>
      </c>
      <c r="SC51" s="1" t="s">
        <v>39356</v>
      </c>
      <c r="SD51" s="1" t="s">
        <v>39357</v>
      </c>
      <c r="SE51" s="1" t="s">
        <v>39358</v>
      </c>
      <c r="SF51" s="1" t="s">
        <v>39359</v>
      </c>
      <c r="SG51" s="1" t="s">
        <v>39360</v>
      </c>
      <c r="SH51" s="1" t="s">
        <v>39361</v>
      </c>
      <c r="SI51" s="1" t="s">
        <v>39362</v>
      </c>
      <c r="SJ51" s="1" t="s">
        <v>39363</v>
      </c>
      <c r="SK51" s="1" t="s">
        <v>39364</v>
      </c>
      <c r="SL51" s="1" t="s">
        <v>39365</v>
      </c>
      <c r="SM51" s="1" t="s">
        <v>39366</v>
      </c>
      <c r="SN51" s="1" t="s">
        <v>39367</v>
      </c>
      <c r="SO51" s="1" t="s">
        <v>39368</v>
      </c>
      <c r="SP51" s="1" t="s">
        <v>39369</v>
      </c>
      <c r="SQ51" s="1" t="s">
        <v>39370</v>
      </c>
      <c r="SR51" s="1" t="s">
        <v>39371</v>
      </c>
      <c r="SS51" s="1" t="s">
        <v>39372</v>
      </c>
      <c r="ST51" s="1" t="s">
        <v>39373</v>
      </c>
      <c r="SU51" s="1" t="s">
        <v>39374</v>
      </c>
      <c r="SV51" s="1" t="s">
        <v>39375</v>
      </c>
      <c r="SW51" s="1" t="s">
        <v>39376</v>
      </c>
      <c r="SX51" s="1" t="s">
        <v>39377</v>
      </c>
      <c r="SY51" s="1" t="s">
        <v>39378</v>
      </c>
      <c r="SZ51" s="1" t="s">
        <v>39379</v>
      </c>
      <c r="TA51" s="1" t="s">
        <v>39380</v>
      </c>
      <c r="TB51" s="1" t="s">
        <v>39381</v>
      </c>
      <c r="TC51" s="1" t="s">
        <v>39382</v>
      </c>
      <c r="TD51" s="1" t="s">
        <v>39383</v>
      </c>
      <c r="TE51" s="1" t="s">
        <v>39384</v>
      </c>
      <c r="TF51" s="1" t="s">
        <v>39385</v>
      </c>
      <c r="TG51" s="1" t="s">
        <v>39386</v>
      </c>
      <c r="TH51" s="1" t="s">
        <v>39387</v>
      </c>
      <c r="TI51" s="1" t="s">
        <v>39388</v>
      </c>
      <c r="TJ51" s="1" t="s">
        <v>39389</v>
      </c>
      <c r="TK51" s="1" t="s">
        <v>39390</v>
      </c>
      <c r="TL51" s="1" t="s">
        <v>39391</v>
      </c>
      <c r="TM51" s="1" t="s">
        <v>39392</v>
      </c>
      <c r="TN51" s="1" t="s">
        <v>39393</v>
      </c>
      <c r="TO51" s="1" t="s">
        <v>39394</v>
      </c>
      <c r="TP51" s="1" t="s">
        <v>39395</v>
      </c>
      <c r="TQ51" s="1" t="s">
        <v>39396</v>
      </c>
      <c r="TR51" s="1" t="s">
        <v>39397</v>
      </c>
      <c r="TS51" s="1" t="s">
        <v>39398</v>
      </c>
      <c r="TT51" s="1" t="s">
        <v>39399</v>
      </c>
      <c r="TU51" s="1" t="s">
        <v>39400</v>
      </c>
      <c r="TV51" s="1" t="s">
        <v>39401</v>
      </c>
      <c r="TW51" s="1" t="s">
        <v>39402</v>
      </c>
      <c r="TX51" s="1" t="s">
        <v>39403</v>
      </c>
      <c r="TY51" s="1" t="s">
        <v>39404</v>
      </c>
      <c r="TZ51" s="1" t="s">
        <v>39405</v>
      </c>
      <c r="UA51" s="1" t="s">
        <v>39406</v>
      </c>
      <c r="UB51" s="1" t="s">
        <v>39407</v>
      </c>
      <c r="UC51" s="1" t="s">
        <v>39408</v>
      </c>
      <c r="UD51" s="1" t="s">
        <v>39409</v>
      </c>
      <c r="UE51" s="1" t="s">
        <v>39410</v>
      </c>
      <c r="UF51" s="1" t="s">
        <v>39411</v>
      </c>
      <c r="UG51" s="1" t="s">
        <v>39412</v>
      </c>
      <c r="UH51" s="1" t="s">
        <v>39413</v>
      </c>
      <c r="UI51" s="1" t="s">
        <v>39414</v>
      </c>
      <c r="UJ51" s="1" t="s">
        <v>39415</v>
      </c>
      <c r="UK51" s="1" t="s">
        <v>39416</v>
      </c>
      <c r="UL51" s="1" t="s">
        <v>39417</v>
      </c>
      <c r="UM51" s="1" t="s">
        <v>39418</v>
      </c>
      <c r="UN51" s="1" t="s">
        <v>39419</v>
      </c>
      <c r="UO51" s="1" t="s">
        <v>39420</v>
      </c>
      <c r="UP51" s="1" t="s">
        <v>39421</v>
      </c>
      <c r="UQ51" s="1" t="s">
        <v>39422</v>
      </c>
      <c r="UR51" s="1" t="s">
        <v>39423</v>
      </c>
      <c r="US51" s="1" t="s">
        <v>39424</v>
      </c>
      <c r="UT51" s="1" t="s">
        <v>39425</v>
      </c>
      <c r="UU51" s="1" t="s">
        <v>39426</v>
      </c>
      <c r="UV51" s="1" t="s">
        <v>39427</v>
      </c>
      <c r="UW51" s="1" t="s">
        <v>39428</v>
      </c>
      <c r="UX51" s="1" t="s">
        <v>39429</v>
      </c>
      <c r="UY51" s="1" t="s">
        <v>39430</v>
      </c>
      <c r="UZ51" s="1" t="s">
        <v>39431</v>
      </c>
      <c r="VA51" s="1" t="s">
        <v>39432</v>
      </c>
      <c r="VB51" s="1" t="s">
        <v>39433</v>
      </c>
      <c r="VC51" s="1" t="s">
        <v>39434</v>
      </c>
      <c r="VD51" s="1" t="s">
        <v>39435</v>
      </c>
      <c r="VE51" s="1" t="s">
        <v>39436</v>
      </c>
      <c r="VF51" s="1" t="s">
        <v>39437</v>
      </c>
      <c r="VG51" s="1" t="s">
        <v>39438</v>
      </c>
      <c r="VH51" s="1" t="s">
        <v>39439</v>
      </c>
      <c r="VI51" s="1" t="s">
        <v>39440</v>
      </c>
      <c r="VJ51" s="1" t="s">
        <v>39441</v>
      </c>
      <c r="VK51" s="1" t="s">
        <v>39442</v>
      </c>
      <c r="VL51" s="1" t="s">
        <v>39443</v>
      </c>
      <c r="VM51" s="1" t="s">
        <v>39444</v>
      </c>
      <c r="VN51" s="1" t="s">
        <v>39445</v>
      </c>
      <c r="VO51" s="1" t="s">
        <v>39446</v>
      </c>
      <c r="VP51" s="1" t="s">
        <v>39447</v>
      </c>
      <c r="VQ51" s="1" t="s">
        <v>39448</v>
      </c>
      <c r="VR51" s="1" t="s">
        <v>39449</v>
      </c>
      <c r="VS51" s="1" t="s">
        <v>39450</v>
      </c>
      <c r="VT51" s="1" t="s">
        <v>39451</v>
      </c>
      <c r="VU51" s="1" t="s">
        <v>39452</v>
      </c>
      <c r="VV51" s="1" t="s">
        <v>39453</v>
      </c>
      <c r="VW51" s="1" t="s">
        <v>39454</v>
      </c>
      <c r="VX51" s="1" t="s">
        <v>39455</v>
      </c>
      <c r="VY51" s="1" t="s">
        <v>39456</v>
      </c>
      <c r="VZ51" s="1" t="s">
        <v>39457</v>
      </c>
      <c r="WA51" s="1" t="s">
        <v>39458</v>
      </c>
      <c r="WB51" s="1" t="s">
        <v>39459</v>
      </c>
      <c r="WC51" s="1" t="s">
        <v>39460</v>
      </c>
      <c r="WD51" s="1" t="s">
        <v>39461</v>
      </c>
      <c r="WE51" s="1" t="s">
        <v>39462</v>
      </c>
      <c r="WF51" s="1" t="s">
        <v>39463</v>
      </c>
      <c r="WG51" s="1" t="s">
        <v>39464</v>
      </c>
      <c r="WH51" s="1" t="s">
        <v>39465</v>
      </c>
      <c r="WI51" s="1" t="s">
        <v>39466</v>
      </c>
      <c r="WJ51" s="1" t="s">
        <v>39467</v>
      </c>
      <c r="WK51" s="1" t="s">
        <v>39468</v>
      </c>
      <c r="WL51" s="1" t="s">
        <v>39469</v>
      </c>
      <c r="WM51" s="1" t="s">
        <v>39470</v>
      </c>
      <c r="WN51" s="1" t="s">
        <v>39471</v>
      </c>
      <c r="WO51" s="1" t="s">
        <v>39472</v>
      </c>
      <c r="WP51" s="1" t="s">
        <v>39473</v>
      </c>
      <c r="WQ51" s="1" t="s">
        <v>39474</v>
      </c>
      <c r="WR51" s="1" t="s">
        <v>39475</v>
      </c>
      <c r="WS51" s="1" t="s">
        <v>39476</v>
      </c>
      <c r="WT51" s="1" t="s">
        <v>39477</v>
      </c>
      <c r="WU51" s="1" t="s">
        <v>39478</v>
      </c>
      <c r="WV51" s="1" t="s">
        <v>39479</v>
      </c>
      <c r="WW51" s="1" t="s">
        <v>39480</v>
      </c>
      <c r="WX51" s="1" t="s">
        <v>39481</v>
      </c>
      <c r="WY51" s="1" t="s">
        <v>39482</v>
      </c>
      <c r="WZ51" s="1" t="s">
        <v>39483</v>
      </c>
      <c r="XA51" s="1" t="s">
        <v>39484</v>
      </c>
      <c r="XB51" s="1" t="s">
        <v>39485</v>
      </c>
      <c r="XC51" s="1" t="s">
        <v>39486</v>
      </c>
      <c r="XD51" s="1" t="s">
        <v>39487</v>
      </c>
      <c r="XE51" s="1" t="s">
        <v>39488</v>
      </c>
      <c r="XF51" s="1" t="s">
        <v>39489</v>
      </c>
      <c r="XG51" s="1" t="s">
        <v>39490</v>
      </c>
      <c r="XH51" s="1" t="s">
        <v>39491</v>
      </c>
      <c r="XI51" s="1" t="s">
        <v>39492</v>
      </c>
      <c r="XJ51" s="1" t="s">
        <v>39493</v>
      </c>
      <c r="XK51" s="1" t="s">
        <v>39494</v>
      </c>
      <c r="XL51" s="1" t="s">
        <v>39495</v>
      </c>
      <c r="XM51" s="1" t="s">
        <v>39496</v>
      </c>
      <c r="XN51" s="1" t="s">
        <v>39497</v>
      </c>
      <c r="XO51" s="1" t="s">
        <v>39498</v>
      </c>
      <c r="XP51" s="1" t="s">
        <v>39499</v>
      </c>
      <c r="XQ51" s="1" t="s">
        <v>39500</v>
      </c>
      <c r="XR51" s="1" t="s">
        <v>39501</v>
      </c>
      <c r="XS51" s="1" t="s">
        <v>39502</v>
      </c>
      <c r="XT51" s="1" t="s">
        <v>39503</v>
      </c>
      <c r="XU51" s="1" t="s">
        <v>39504</v>
      </c>
      <c r="XV51" s="1" t="s">
        <v>39505</v>
      </c>
      <c r="XW51" s="1" t="s">
        <v>39506</v>
      </c>
      <c r="XX51" s="1" t="s">
        <v>39507</v>
      </c>
      <c r="XY51" s="1" t="s">
        <v>39508</v>
      </c>
      <c r="XZ51" s="1" t="s">
        <v>39509</v>
      </c>
      <c r="YA51" s="1" t="s">
        <v>39510</v>
      </c>
      <c r="YB51" s="1" t="s">
        <v>39511</v>
      </c>
      <c r="YC51" s="1" t="s">
        <v>39512</v>
      </c>
      <c r="YD51" s="1" t="s">
        <v>39513</v>
      </c>
      <c r="YE51" s="1" t="s">
        <v>39514</v>
      </c>
      <c r="YF51" s="1" t="s">
        <v>39515</v>
      </c>
      <c r="YG51" s="1" t="s">
        <v>39516</v>
      </c>
      <c r="YH51" s="1" t="s">
        <v>39517</v>
      </c>
      <c r="YI51" s="1" t="s">
        <v>39518</v>
      </c>
      <c r="YJ51" s="1" t="s">
        <v>39519</v>
      </c>
      <c r="YK51" s="1" t="s">
        <v>39520</v>
      </c>
      <c r="YL51" s="1" t="s">
        <v>39521</v>
      </c>
      <c r="YM51" s="1" t="s">
        <v>39522</v>
      </c>
      <c r="YN51" s="1" t="s">
        <v>39523</v>
      </c>
      <c r="YO51" s="1" t="s">
        <v>39524</v>
      </c>
      <c r="YP51" s="1" t="s">
        <v>39525</v>
      </c>
      <c r="YQ51" s="1" t="s">
        <v>39526</v>
      </c>
      <c r="YR51" s="1" t="s">
        <v>39527</v>
      </c>
      <c r="YS51" s="1" t="s">
        <v>39528</v>
      </c>
      <c r="YT51" s="1" t="s">
        <v>39529</v>
      </c>
      <c r="YU51" s="1" t="s">
        <v>39530</v>
      </c>
      <c r="YV51" s="1" t="s">
        <v>39531</v>
      </c>
      <c r="YW51" s="1" t="s">
        <v>39532</v>
      </c>
      <c r="YX51" s="1" t="s">
        <v>39533</v>
      </c>
      <c r="YY51" s="1" t="s">
        <v>39534</v>
      </c>
      <c r="YZ51" s="1" t="s">
        <v>39535</v>
      </c>
      <c r="ZA51" s="1" t="s">
        <v>39536</v>
      </c>
      <c r="ZB51" s="1" t="s">
        <v>39537</v>
      </c>
      <c r="ZC51" s="1" t="s">
        <v>39538</v>
      </c>
      <c r="ZD51" s="1" t="s">
        <v>39539</v>
      </c>
      <c r="ZE51" s="1" t="s">
        <v>39540</v>
      </c>
      <c r="ZF51" s="1" t="s">
        <v>39541</v>
      </c>
      <c r="ZG51" s="1" t="s">
        <v>39542</v>
      </c>
      <c r="ZH51" s="1" t="s">
        <v>39543</v>
      </c>
      <c r="ZI51" s="1" t="s">
        <v>39544</v>
      </c>
      <c r="ZJ51" s="1" t="s">
        <v>39545</v>
      </c>
      <c r="ZK51" s="1" t="s">
        <v>39546</v>
      </c>
      <c r="ZL51" s="1" t="s">
        <v>39547</v>
      </c>
      <c r="ZM51" s="1" t="s">
        <v>39548</v>
      </c>
      <c r="ZN51" s="1" t="s">
        <v>39549</v>
      </c>
      <c r="ZO51" s="1" t="s">
        <v>39550</v>
      </c>
      <c r="ZP51" s="1" t="s">
        <v>39551</v>
      </c>
      <c r="ZQ51" s="1" t="s">
        <v>39552</v>
      </c>
      <c r="ZR51" s="1" t="s">
        <v>39553</v>
      </c>
      <c r="ZS51" s="1" t="s">
        <v>39554</v>
      </c>
      <c r="ZT51" s="1" t="s">
        <v>39555</v>
      </c>
      <c r="ZU51" s="1" t="s">
        <v>39556</v>
      </c>
      <c r="ZV51" s="1" t="s">
        <v>39557</v>
      </c>
      <c r="ZW51" s="1" t="s">
        <v>39558</v>
      </c>
      <c r="ZX51" s="1" t="s">
        <v>39559</v>
      </c>
      <c r="ZY51" s="1" t="s">
        <v>39560</v>
      </c>
      <c r="ZZ51" s="1" t="s">
        <v>39561</v>
      </c>
      <c r="AAA51" s="1" t="s">
        <v>39562</v>
      </c>
      <c r="AAB51" s="1" t="s">
        <v>39563</v>
      </c>
      <c r="AAC51" s="1" t="s">
        <v>39564</v>
      </c>
      <c r="AAD51" s="1" t="s">
        <v>39565</v>
      </c>
      <c r="AAE51" s="1" t="s">
        <v>39566</v>
      </c>
      <c r="AAF51" s="1" t="s">
        <v>39567</v>
      </c>
      <c r="AAG51" s="1" t="s">
        <v>39568</v>
      </c>
      <c r="AAH51" s="1" t="s">
        <v>39569</v>
      </c>
      <c r="AAI51" s="1" t="s">
        <v>39570</v>
      </c>
      <c r="AAJ51" s="1" t="s">
        <v>39571</v>
      </c>
      <c r="AAK51" s="1" t="s">
        <v>39572</v>
      </c>
      <c r="AAL51" s="1" t="s">
        <v>39573</v>
      </c>
      <c r="AAM51" s="1" t="s">
        <v>39574</v>
      </c>
      <c r="AAN51" s="1" t="s">
        <v>39575</v>
      </c>
      <c r="AAO51" s="1" t="s">
        <v>39576</v>
      </c>
      <c r="AAP51" s="1" t="s">
        <v>39577</v>
      </c>
      <c r="AAQ51" s="1" t="s">
        <v>39578</v>
      </c>
      <c r="AAR51" s="1" t="s">
        <v>39579</v>
      </c>
      <c r="AAS51" s="1" t="s">
        <v>39580</v>
      </c>
      <c r="AAT51" s="1" t="s">
        <v>39581</v>
      </c>
      <c r="AAU51" s="1" t="s">
        <v>39582</v>
      </c>
      <c r="AAV51" s="1" t="s">
        <v>39583</v>
      </c>
      <c r="AAW51" s="1" t="s">
        <v>39584</v>
      </c>
      <c r="AAX51" s="1" t="s">
        <v>39585</v>
      </c>
      <c r="AAY51" s="1" t="s">
        <v>39586</v>
      </c>
      <c r="AAZ51" s="1" t="s">
        <v>39587</v>
      </c>
      <c r="ABA51" s="1" t="s">
        <v>39588</v>
      </c>
      <c r="ABB51" s="1" t="s">
        <v>39589</v>
      </c>
      <c r="ABC51" s="1" t="s">
        <v>39590</v>
      </c>
      <c r="ABD51" s="1" t="s">
        <v>39591</v>
      </c>
      <c r="ABE51" s="1" t="s">
        <v>39592</v>
      </c>
      <c r="ABF51" s="1" t="s">
        <v>39593</v>
      </c>
      <c r="ABG51" s="1" t="s">
        <v>39594</v>
      </c>
      <c r="ABH51" s="1" t="s">
        <v>39595</v>
      </c>
      <c r="ABI51" s="1" t="s">
        <v>39596</v>
      </c>
      <c r="ABJ51" s="1" t="s">
        <v>39597</v>
      </c>
      <c r="ABK51" s="1" t="s">
        <v>39598</v>
      </c>
      <c r="ABL51" s="1" t="s">
        <v>39599</v>
      </c>
      <c r="ABM51" s="1" t="s">
        <v>39600</v>
      </c>
      <c r="ABN51" s="1" t="s">
        <v>39601</v>
      </c>
      <c r="ABO51" s="1" t="s">
        <v>39602</v>
      </c>
      <c r="ABP51" s="1" t="s">
        <v>39603</v>
      </c>
      <c r="ABQ51" s="1" t="s">
        <v>39604</v>
      </c>
      <c r="ABR51" s="1" t="s">
        <v>39605</v>
      </c>
      <c r="ABS51" s="1" t="s">
        <v>39606</v>
      </c>
      <c r="ABT51" s="1" t="s">
        <v>39607</v>
      </c>
      <c r="ABU51" s="1" t="s">
        <v>39608</v>
      </c>
      <c r="ABV51" s="1" t="s">
        <v>39609</v>
      </c>
      <c r="ABW51" s="1" t="s">
        <v>39610</v>
      </c>
      <c r="ABX51" s="1" t="s">
        <v>39611</v>
      </c>
      <c r="ABY51" s="1" t="s">
        <v>39612</v>
      </c>
      <c r="ABZ51" s="1" t="s">
        <v>39613</v>
      </c>
      <c r="ACA51" s="1" t="s">
        <v>39614</v>
      </c>
      <c r="ACB51" s="1" t="s">
        <v>39615</v>
      </c>
      <c r="ACC51" s="1" t="s">
        <v>39616</v>
      </c>
      <c r="ACD51" s="1" t="s">
        <v>39617</v>
      </c>
      <c r="ACE51" s="1" t="s">
        <v>39618</v>
      </c>
      <c r="ACF51" s="1" t="s">
        <v>39619</v>
      </c>
      <c r="ACG51" s="1" t="s">
        <v>39620</v>
      </c>
      <c r="ACH51" s="1" t="s">
        <v>39621</v>
      </c>
      <c r="ACI51" s="1" t="s">
        <v>39622</v>
      </c>
      <c r="ACJ51" s="1" t="s">
        <v>39623</v>
      </c>
      <c r="ACK51" s="1" t="s">
        <v>39624</v>
      </c>
      <c r="ACL51" s="1" t="s">
        <v>39625</v>
      </c>
      <c r="ACM51" s="1" t="s">
        <v>39626</v>
      </c>
      <c r="ACN51" s="1" t="s">
        <v>39627</v>
      </c>
      <c r="ACO51" s="1" t="s">
        <v>39628</v>
      </c>
      <c r="ACP51" s="1" t="s">
        <v>39629</v>
      </c>
      <c r="ACQ51" s="1" t="s">
        <v>39630</v>
      </c>
      <c r="ACR51" s="1" t="s">
        <v>39631</v>
      </c>
      <c r="ACS51" s="1" t="s">
        <v>39632</v>
      </c>
      <c r="ACT51" s="1" t="s">
        <v>39633</v>
      </c>
      <c r="ACU51" s="1" t="s">
        <v>39634</v>
      </c>
      <c r="ACV51" s="1" t="s">
        <v>39635</v>
      </c>
      <c r="ACW51" s="1" t="s">
        <v>23</v>
      </c>
      <c r="ACX51" s="1" t="s">
        <v>6310</v>
      </c>
    </row>
    <row r="52" spans="1:778" x14ac:dyDescent="0.2">
      <c r="A52" s="1" t="s">
        <v>28</v>
      </c>
      <c r="B52" s="1" t="s">
        <v>39636</v>
      </c>
      <c r="C52" s="1" t="s">
        <v>39637</v>
      </c>
      <c r="D52" s="1" t="s">
        <v>39638</v>
      </c>
      <c r="E52" s="1" t="s">
        <v>39639</v>
      </c>
      <c r="F52" s="1" t="s">
        <v>39640</v>
      </c>
      <c r="G52" s="1" t="s">
        <v>39641</v>
      </c>
      <c r="H52" s="1" t="s">
        <v>39642</v>
      </c>
      <c r="I52" s="1" t="s">
        <v>39643</v>
      </c>
      <c r="J52" s="1" t="s">
        <v>39644</v>
      </c>
      <c r="K52" s="1" t="s">
        <v>39645</v>
      </c>
      <c r="L52" s="1" t="s">
        <v>39646</v>
      </c>
      <c r="M52" s="1" t="s">
        <v>39647</v>
      </c>
      <c r="N52" s="1" t="s">
        <v>39648</v>
      </c>
      <c r="O52" s="1" t="s">
        <v>39649</v>
      </c>
      <c r="P52" s="1" t="s">
        <v>39650</v>
      </c>
      <c r="Q52" s="1" t="s">
        <v>39651</v>
      </c>
      <c r="R52" s="1" t="s">
        <v>39652</v>
      </c>
      <c r="S52" s="1" t="s">
        <v>39653</v>
      </c>
      <c r="T52" s="1" t="s">
        <v>39654</v>
      </c>
      <c r="U52" s="1" t="s">
        <v>39655</v>
      </c>
      <c r="V52" s="1" t="s">
        <v>39656</v>
      </c>
      <c r="W52" s="1" t="s">
        <v>39657</v>
      </c>
      <c r="X52" s="1" t="s">
        <v>39658</v>
      </c>
      <c r="Y52" s="1" t="s">
        <v>39659</v>
      </c>
      <c r="Z52" s="1" t="s">
        <v>39660</v>
      </c>
      <c r="AA52" s="1" t="s">
        <v>39661</v>
      </c>
      <c r="AB52" s="1" t="s">
        <v>39662</v>
      </c>
      <c r="AC52" s="1" t="s">
        <v>39663</v>
      </c>
      <c r="AD52" s="1" t="s">
        <v>39664</v>
      </c>
      <c r="AE52" s="1" t="s">
        <v>39665</v>
      </c>
      <c r="AF52" s="1" t="s">
        <v>39666</v>
      </c>
      <c r="AG52" s="1" t="s">
        <v>39667</v>
      </c>
      <c r="AH52" s="1" t="s">
        <v>39668</v>
      </c>
      <c r="AI52" s="1" t="s">
        <v>39669</v>
      </c>
      <c r="AJ52" s="1" t="s">
        <v>39670</v>
      </c>
      <c r="AK52" s="1" t="s">
        <v>39671</v>
      </c>
      <c r="AL52" s="1" t="s">
        <v>39672</v>
      </c>
      <c r="AM52" s="1" t="s">
        <v>39673</v>
      </c>
      <c r="AN52" s="1" t="s">
        <v>39674</v>
      </c>
      <c r="AO52" s="1" t="s">
        <v>39675</v>
      </c>
      <c r="AP52" s="1" t="s">
        <v>39676</v>
      </c>
      <c r="AQ52" s="1" t="s">
        <v>39677</v>
      </c>
      <c r="AR52" s="1" t="s">
        <v>39678</v>
      </c>
      <c r="AS52" s="1" t="s">
        <v>39679</v>
      </c>
      <c r="AT52" s="1" t="s">
        <v>39680</v>
      </c>
      <c r="AU52" s="1" t="s">
        <v>39681</v>
      </c>
      <c r="AV52" s="1" t="s">
        <v>39682</v>
      </c>
      <c r="AW52" s="1" t="s">
        <v>39683</v>
      </c>
      <c r="AX52" s="1" t="s">
        <v>39684</v>
      </c>
      <c r="AY52" s="1" t="s">
        <v>39685</v>
      </c>
      <c r="AZ52" s="1" t="s">
        <v>39686</v>
      </c>
      <c r="BA52" s="1" t="s">
        <v>39687</v>
      </c>
      <c r="BB52" s="1" t="s">
        <v>39688</v>
      </c>
      <c r="BC52" s="1" t="s">
        <v>39689</v>
      </c>
      <c r="BD52" s="1" t="s">
        <v>39690</v>
      </c>
      <c r="BE52" s="1" t="s">
        <v>39691</v>
      </c>
      <c r="BF52" s="1" t="s">
        <v>39692</v>
      </c>
      <c r="BG52" s="1" t="s">
        <v>39693</v>
      </c>
      <c r="BH52" s="1" t="s">
        <v>39694</v>
      </c>
      <c r="BI52" s="1" t="s">
        <v>39695</v>
      </c>
      <c r="BJ52" s="1" t="s">
        <v>39696</v>
      </c>
      <c r="BK52" s="1" t="s">
        <v>39697</v>
      </c>
      <c r="BL52" s="1" t="s">
        <v>39698</v>
      </c>
      <c r="BM52" s="1" t="s">
        <v>39699</v>
      </c>
      <c r="BN52" s="1" t="s">
        <v>39700</v>
      </c>
      <c r="BO52" s="1" t="s">
        <v>39701</v>
      </c>
      <c r="BP52" s="1" t="s">
        <v>39702</v>
      </c>
      <c r="BQ52" s="1" t="s">
        <v>39703</v>
      </c>
      <c r="BR52" s="1" t="s">
        <v>39704</v>
      </c>
      <c r="BS52" s="1" t="s">
        <v>39705</v>
      </c>
      <c r="BT52" s="1" t="s">
        <v>39706</v>
      </c>
      <c r="BU52" s="1" t="s">
        <v>39707</v>
      </c>
      <c r="BV52" s="1" t="s">
        <v>39708</v>
      </c>
      <c r="BW52" s="1" t="s">
        <v>39709</v>
      </c>
      <c r="BX52" s="1" t="s">
        <v>39710</v>
      </c>
      <c r="BY52" s="1" t="s">
        <v>39711</v>
      </c>
      <c r="BZ52" s="1" t="s">
        <v>39712</v>
      </c>
      <c r="CA52" s="1" t="s">
        <v>39713</v>
      </c>
      <c r="CB52" s="1" t="s">
        <v>39714</v>
      </c>
      <c r="CC52" s="1" t="s">
        <v>39715</v>
      </c>
      <c r="CD52" s="1" t="s">
        <v>39716</v>
      </c>
      <c r="CE52" s="1" t="s">
        <v>39717</v>
      </c>
      <c r="CF52" s="1" t="s">
        <v>39718</v>
      </c>
      <c r="CG52" s="1" t="s">
        <v>39719</v>
      </c>
      <c r="CH52" s="1" t="s">
        <v>39720</v>
      </c>
      <c r="CI52" s="1" t="s">
        <v>39721</v>
      </c>
      <c r="CJ52" s="1" t="s">
        <v>39722</v>
      </c>
      <c r="CK52" s="1" t="s">
        <v>39723</v>
      </c>
      <c r="CL52" s="1" t="s">
        <v>39724</v>
      </c>
      <c r="CM52" s="1" t="s">
        <v>39725</v>
      </c>
      <c r="CN52" s="1" t="s">
        <v>39726</v>
      </c>
      <c r="CO52" s="1" t="s">
        <v>39727</v>
      </c>
      <c r="CP52" s="1" t="s">
        <v>39728</v>
      </c>
      <c r="CQ52" s="1" t="s">
        <v>39729</v>
      </c>
      <c r="CR52" s="1" t="s">
        <v>39730</v>
      </c>
      <c r="CS52" s="1" t="s">
        <v>39731</v>
      </c>
      <c r="CT52" s="1" t="s">
        <v>39732</v>
      </c>
      <c r="CU52" s="1" t="s">
        <v>39733</v>
      </c>
      <c r="CV52" s="1" t="s">
        <v>39734</v>
      </c>
      <c r="CW52" s="1" t="s">
        <v>39735</v>
      </c>
      <c r="CX52" s="1" t="s">
        <v>39736</v>
      </c>
      <c r="CY52" s="1" t="s">
        <v>39737</v>
      </c>
      <c r="CZ52" s="1" t="s">
        <v>39738</v>
      </c>
      <c r="DA52" s="1" t="s">
        <v>39739</v>
      </c>
      <c r="DB52" s="1" t="s">
        <v>39740</v>
      </c>
      <c r="DC52" s="1" t="s">
        <v>39741</v>
      </c>
      <c r="DD52" s="1" t="s">
        <v>39742</v>
      </c>
      <c r="DE52" s="1" t="s">
        <v>39743</v>
      </c>
      <c r="DF52" s="1" t="s">
        <v>39744</v>
      </c>
      <c r="DG52" s="1" t="s">
        <v>39745</v>
      </c>
      <c r="DH52" s="1" t="s">
        <v>39746</v>
      </c>
      <c r="DI52" s="1" t="s">
        <v>39747</v>
      </c>
      <c r="DJ52" s="1" t="s">
        <v>39748</v>
      </c>
      <c r="DK52" s="1" t="s">
        <v>39749</v>
      </c>
      <c r="DL52" s="1" t="s">
        <v>39750</v>
      </c>
      <c r="DM52" s="1" t="s">
        <v>39751</v>
      </c>
      <c r="DN52" s="1" t="s">
        <v>39752</v>
      </c>
      <c r="DO52" s="1" t="s">
        <v>39753</v>
      </c>
      <c r="DP52" s="1" t="s">
        <v>39754</v>
      </c>
      <c r="DQ52" s="1" t="s">
        <v>39755</v>
      </c>
      <c r="DR52" s="1" t="s">
        <v>39756</v>
      </c>
      <c r="DS52" s="1" t="s">
        <v>39757</v>
      </c>
      <c r="DT52" s="1" t="s">
        <v>39758</v>
      </c>
      <c r="DU52" s="1" t="s">
        <v>39759</v>
      </c>
      <c r="DV52" s="1" t="s">
        <v>39760</v>
      </c>
      <c r="DW52" s="1" t="s">
        <v>39761</v>
      </c>
      <c r="DX52" s="1" t="s">
        <v>39762</v>
      </c>
      <c r="DY52" s="1" t="s">
        <v>39763</v>
      </c>
      <c r="DZ52" s="1" t="s">
        <v>39764</v>
      </c>
      <c r="EA52" s="1" t="s">
        <v>39765</v>
      </c>
      <c r="EB52" s="1" t="s">
        <v>39766</v>
      </c>
      <c r="EC52" s="1" t="s">
        <v>39767</v>
      </c>
      <c r="ED52" s="1" t="s">
        <v>39768</v>
      </c>
      <c r="EE52" s="1" t="s">
        <v>39769</v>
      </c>
      <c r="EF52" s="1" t="s">
        <v>39770</v>
      </c>
      <c r="EG52" s="1" t="s">
        <v>39771</v>
      </c>
      <c r="EH52" s="1" t="s">
        <v>39772</v>
      </c>
      <c r="EI52" s="1" t="s">
        <v>39773</v>
      </c>
      <c r="EJ52" s="1" t="s">
        <v>39774</v>
      </c>
      <c r="EK52" s="1" t="s">
        <v>39775</v>
      </c>
      <c r="EL52" s="1" t="s">
        <v>39776</v>
      </c>
      <c r="EM52" s="1" t="s">
        <v>39777</v>
      </c>
      <c r="EN52" s="1" t="s">
        <v>39778</v>
      </c>
      <c r="EO52" s="1" t="s">
        <v>39779</v>
      </c>
      <c r="EP52" s="1" t="s">
        <v>39780</v>
      </c>
      <c r="EQ52" s="1" t="s">
        <v>39781</v>
      </c>
      <c r="ER52" s="1" t="s">
        <v>39782</v>
      </c>
      <c r="ES52" s="1" t="s">
        <v>39783</v>
      </c>
      <c r="ET52" s="1" t="s">
        <v>39784</v>
      </c>
      <c r="EU52" s="1" t="s">
        <v>39785</v>
      </c>
      <c r="EV52" s="1" t="s">
        <v>39786</v>
      </c>
      <c r="EW52" s="1" t="s">
        <v>39787</v>
      </c>
      <c r="EX52" s="1" t="s">
        <v>39788</v>
      </c>
      <c r="EY52" s="1" t="s">
        <v>39789</v>
      </c>
      <c r="EZ52" s="1" t="s">
        <v>39790</v>
      </c>
      <c r="FA52" s="1" t="s">
        <v>39791</v>
      </c>
      <c r="FB52" s="1" t="s">
        <v>39792</v>
      </c>
      <c r="FC52" s="1" t="s">
        <v>39793</v>
      </c>
      <c r="FD52" s="1" t="s">
        <v>39794</v>
      </c>
      <c r="FE52" s="1" t="s">
        <v>39795</v>
      </c>
      <c r="FF52" s="1" t="s">
        <v>39796</v>
      </c>
      <c r="FG52" s="1" t="s">
        <v>39797</v>
      </c>
      <c r="FH52" s="1" t="s">
        <v>39798</v>
      </c>
      <c r="FI52" s="1" t="s">
        <v>39799</v>
      </c>
      <c r="FJ52" s="1" t="s">
        <v>39800</v>
      </c>
      <c r="FK52" s="1" t="s">
        <v>39801</v>
      </c>
      <c r="FL52" s="1" t="s">
        <v>39802</v>
      </c>
      <c r="FM52" s="1" t="s">
        <v>39803</v>
      </c>
      <c r="FN52" s="1" t="s">
        <v>39804</v>
      </c>
      <c r="FO52" s="1" t="s">
        <v>39805</v>
      </c>
      <c r="FP52" s="1" t="s">
        <v>39806</v>
      </c>
      <c r="FQ52" s="1" t="s">
        <v>39807</v>
      </c>
      <c r="FR52" s="1" t="s">
        <v>39808</v>
      </c>
      <c r="FS52" s="1" t="s">
        <v>39809</v>
      </c>
      <c r="FT52" s="1" t="s">
        <v>39810</v>
      </c>
      <c r="FU52" s="1" t="s">
        <v>39811</v>
      </c>
      <c r="FV52" s="1" t="s">
        <v>39812</v>
      </c>
      <c r="FW52" s="1" t="s">
        <v>39813</v>
      </c>
      <c r="FX52" s="1" t="s">
        <v>39814</v>
      </c>
      <c r="FY52" s="1" t="s">
        <v>39815</v>
      </c>
      <c r="FZ52" s="1" t="s">
        <v>39816</v>
      </c>
      <c r="GA52" s="1" t="s">
        <v>39817</v>
      </c>
      <c r="GB52" s="1" t="s">
        <v>39818</v>
      </c>
      <c r="GC52" s="1" t="s">
        <v>39819</v>
      </c>
      <c r="GD52" s="1" t="s">
        <v>39820</v>
      </c>
      <c r="GE52" s="1" t="s">
        <v>39821</v>
      </c>
      <c r="GF52" s="1" t="s">
        <v>39822</v>
      </c>
      <c r="GG52" s="1" t="s">
        <v>39823</v>
      </c>
      <c r="GH52" s="1" t="s">
        <v>39824</v>
      </c>
      <c r="GI52" s="1" t="s">
        <v>39825</v>
      </c>
      <c r="GJ52" s="1" t="s">
        <v>39826</v>
      </c>
      <c r="GK52" s="1" t="s">
        <v>39827</v>
      </c>
      <c r="GL52" s="1" t="s">
        <v>39828</v>
      </c>
      <c r="GM52" s="1" t="s">
        <v>39829</v>
      </c>
      <c r="GN52" s="1" t="s">
        <v>39830</v>
      </c>
      <c r="GO52" s="1" t="s">
        <v>39831</v>
      </c>
      <c r="GP52" s="1" t="s">
        <v>39832</v>
      </c>
      <c r="GQ52" s="1" t="s">
        <v>39833</v>
      </c>
      <c r="GR52" s="1" t="s">
        <v>39834</v>
      </c>
      <c r="GS52" s="1" t="s">
        <v>39835</v>
      </c>
      <c r="GT52" s="1" t="s">
        <v>39836</v>
      </c>
      <c r="GU52" s="1" t="s">
        <v>39837</v>
      </c>
      <c r="GV52" s="1" t="s">
        <v>39838</v>
      </c>
      <c r="GW52" s="1" t="s">
        <v>39839</v>
      </c>
      <c r="GX52" s="1" t="s">
        <v>39840</v>
      </c>
      <c r="GY52" s="1" t="s">
        <v>39841</v>
      </c>
      <c r="GZ52" s="1" t="s">
        <v>39842</v>
      </c>
      <c r="HA52" s="1" t="s">
        <v>39843</v>
      </c>
      <c r="HB52" s="1" t="s">
        <v>39844</v>
      </c>
      <c r="HC52" s="1" t="s">
        <v>39845</v>
      </c>
      <c r="HD52" s="1" t="s">
        <v>39846</v>
      </c>
      <c r="HE52" s="1" t="s">
        <v>39847</v>
      </c>
      <c r="HF52" s="1" t="s">
        <v>39848</v>
      </c>
      <c r="HG52" s="1" t="s">
        <v>39849</v>
      </c>
      <c r="HH52" s="1" t="s">
        <v>39850</v>
      </c>
      <c r="HI52" s="1" t="s">
        <v>39851</v>
      </c>
      <c r="HJ52" s="1" t="s">
        <v>39852</v>
      </c>
      <c r="HK52" s="1" t="s">
        <v>39853</v>
      </c>
      <c r="HL52" s="1" t="s">
        <v>39854</v>
      </c>
      <c r="HM52" s="1" t="s">
        <v>39855</v>
      </c>
      <c r="HN52" s="1" t="s">
        <v>39856</v>
      </c>
      <c r="HO52" s="1" t="s">
        <v>39857</v>
      </c>
      <c r="HP52" s="1" t="s">
        <v>39858</v>
      </c>
      <c r="HQ52" s="1" t="s">
        <v>39859</v>
      </c>
      <c r="HR52" s="1" t="s">
        <v>39860</v>
      </c>
      <c r="HS52" s="1" t="s">
        <v>39861</v>
      </c>
      <c r="HT52" s="1" t="s">
        <v>39862</v>
      </c>
      <c r="HU52" s="1" t="s">
        <v>39863</v>
      </c>
      <c r="HV52" s="1" t="s">
        <v>39864</v>
      </c>
      <c r="HW52" s="1" t="s">
        <v>39865</v>
      </c>
      <c r="HX52" s="1" t="s">
        <v>39866</v>
      </c>
      <c r="HY52" s="1" t="s">
        <v>39867</v>
      </c>
      <c r="HZ52" s="1" t="s">
        <v>39868</v>
      </c>
      <c r="IA52" s="1" t="s">
        <v>39869</v>
      </c>
      <c r="IB52" s="1" t="s">
        <v>39870</v>
      </c>
      <c r="IC52" s="1" t="s">
        <v>39871</v>
      </c>
      <c r="ID52" s="1" t="s">
        <v>39872</v>
      </c>
      <c r="IE52" s="1" t="s">
        <v>39873</v>
      </c>
      <c r="IF52" s="1" t="s">
        <v>39874</v>
      </c>
      <c r="IG52" s="1" t="s">
        <v>39875</v>
      </c>
      <c r="IH52" s="1" t="s">
        <v>39876</v>
      </c>
      <c r="II52" s="1" t="s">
        <v>39877</v>
      </c>
      <c r="IJ52" s="1" t="s">
        <v>39878</v>
      </c>
      <c r="IK52" s="1" t="s">
        <v>39879</v>
      </c>
      <c r="IL52" s="1" t="s">
        <v>39880</v>
      </c>
      <c r="IM52" s="1" t="s">
        <v>39881</v>
      </c>
      <c r="IN52" s="1" t="s">
        <v>39882</v>
      </c>
      <c r="IO52" s="1" t="s">
        <v>39883</v>
      </c>
      <c r="IP52" s="1" t="s">
        <v>39884</v>
      </c>
      <c r="IQ52" s="1" t="s">
        <v>39885</v>
      </c>
      <c r="IR52" s="1" t="s">
        <v>39886</v>
      </c>
      <c r="IS52" s="1" t="s">
        <v>39887</v>
      </c>
      <c r="IT52" s="1" t="s">
        <v>39888</v>
      </c>
      <c r="IU52" s="1" t="s">
        <v>39889</v>
      </c>
      <c r="IV52" s="1" t="s">
        <v>39890</v>
      </c>
      <c r="IW52" s="1" t="s">
        <v>39891</v>
      </c>
      <c r="IX52" s="1" t="s">
        <v>39892</v>
      </c>
      <c r="IY52" s="1" t="s">
        <v>39893</v>
      </c>
      <c r="IZ52" s="1" t="s">
        <v>39894</v>
      </c>
      <c r="JA52" s="1" t="s">
        <v>39895</v>
      </c>
      <c r="JB52" s="1" t="s">
        <v>39896</v>
      </c>
      <c r="JC52" s="1" t="s">
        <v>39897</v>
      </c>
      <c r="JD52" s="1" t="s">
        <v>39898</v>
      </c>
      <c r="JE52" s="1" t="s">
        <v>39899</v>
      </c>
      <c r="JF52" s="1" t="s">
        <v>39900</v>
      </c>
      <c r="JG52" s="1" t="s">
        <v>39901</v>
      </c>
      <c r="JH52" s="1" t="s">
        <v>39902</v>
      </c>
      <c r="JI52" s="1" t="s">
        <v>39903</v>
      </c>
      <c r="JJ52" s="1" t="s">
        <v>39904</v>
      </c>
      <c r="JK52" s="1" t="s">
        <v>39905</v>
      </c>
      <c r="JL52" s="1" t="s">
        <v>39906</v>
      </c>
      <c r="JM52" s="1" t="s">
        <v>39907</v>
      </c>
      <c r="JN52" s="1" t="s">
        <v>39908</v>
      </c>
      <c r="JO52" s="1" t="s">
        <v>39909</v>
      </c>
      <c r="JP52" s="1" t="s">
        <v>39910</v>
      </c>
      <c r="JQ52" s="1" t="s">
        <v>39911</v>
      </c>
      <c r="JR52" s="1" t="s">
        <v>39912</v>
      </c>
      <c r="JS52" s="1" t="s">
        <v>39913</v>
      </c>
      <c r="JT52" s="1" t="s">
        <v>39914</v>
      </c>
      <c r="JU52" s="1" t="s">
        <v>39915</v>
      </c>
      <c r="JV52" s="1" t="s">
        <v>39916</v>
      </c>
      <c r="JW52" s="1" t="s">
        <v>39917</v>
      </c>
      <c r="JX52" s="1" t="s">
        <v>39918</v>
      </c>
      <c r="JY52" s="1" t="s">
        <v>39919</v>
      </c>
      <c r="JZ52" s="1" t="s">
        <v>39920</v>
      </c>
      <c r="KA52" s="1" t="s">
        <v>39921</v>
      </c>
      <c r="KB52" s="1" t="s">
        <v>39922</v>
      </c>
      <c r="KC52" s="1" t="s">
        <v>39923</v>
      </c>
      <c r="KD52" s="1" t="s">
        <v>39924</v>
      </c>
      <c r="KE52" s="1" t="s">
        <v>39925</v>
      </c>
      <c r="KF52" s="1" t="s">
        <v>39926</v>
      </c>
      <c r="KG52" s="1" t="s">
        <v>39927</v>
      </c>
      <c r="KH52" s="1" t="s">
        <v>39928</v>
      </c>
      <c r="KI52" s="1" t="s">
        <v>39929</v>
      </c>
      <c r="KJ52" s="1" t="s">
        <v>39930</v>
      </c>
      <c r="KK52" s="1" t="s">
        <v>39931</v>
      </c>
      <c r="KL52" s="1" t="s">
        <v>39932</v>
      </c>
      <c r="KM52" s="1" t="s">
        <v>39933</v>
      </c>
      <c r="KN52" s="1" t="s">
        <v>39934</v>
      </c>
      <c r="KO52" s="1" t="s">
        <v>39935</v>
      </c>
      <c r="KP52" s="1" t="s">
        <v>39936</v>
      </c>
      <c r="KQ52" s="1" t="s">
        <v>39937</v>
      </c>
      <c r="KR52" s="1" t="s">
        <v>39938</v>
      </c>
      <c r="KS52" s="1" t="s">
        <v>39939</v>
      </c>
      <c r="KT52" s="1" t="s">
        <v>39940</v>
      </c>
      <c r="KU52" s="1" t="s">
        <v>39941</v>
      </c>
      <c r="KV52" s="1" t="s">
        <v>39942</v>
      </c>
      <c r="KW52" s="1" t="s">
        <v>39943</v>
      </c>
      <c r="KX52" s="1" t="s">
        <v>39944</v>
      </c>
      <c r="KY52" s="1" t="s">
        <v>39945</v>
      </c>
      <c r="KZ52" s="1" t="s">
        <v>39946</v>
      </c>
      <c r="LA52" s="1" t="s">
        <v>39947</v>
      </c>
      <c r="LB52" s="1" t="s">
        <v>39948</v>
      </c>
      <c r="LC52" s="1" t="s">
        <v>39949</v>
      </c>
      <c r="LD52" s="1" t="s">
        <v>39950</v>
      </c>
      <c r="LE52" s="1" t="s">
        <v>39951</v>
      </c>
      <c r="LF52" s="1" t="s">
        <v>39952</v>
      </c>
      <c r="LG52" s="1" t="s">
        <v>39953</v>
      </c>
      <c r="LH52" s="1" t="s">
        <v>39954</v>
      </c>
      <c r="LI52" s="1" t="s">
        <v>39955</v>
      </c>
      <c r="LJ52" s="1" t="s">
        <v>39956</v>
      </c>
      <c r="LK52" s="1" t="s">
        <v>39957</v>
      </c>
      <c r="LL52" s="1" t="s">
        <v>39958</v>
      </c>
      <c r="LM52" s="1" t="s">
        <v>39959</v>
      </c>
      <c r="LN52" s="1" t="s">
        <v>39960</v>
      </c>
      <c r="LO52" s="1" t="s">
        <v>39961</v>
      </c>
      <c r="LP52" s="1" t="s">
        <v>39962</v>
      </c>
      <c r="LQ52" s="1" t="s">
        <v>39963</v>
      </c>
      <c r="LR52" s="1" t="s">
        <v>39964</v>
      </c>
      <c r="LS52" s="1" t="s">
        <v>39965</v>
      </c>
      <c r="LT52" s="1" t="s">
        <v>39966</v>
      </c>
      <c r="LU52" s="1" t="s">
        <v>39967</v>
      </c>
      <c r="LV52" s="1" t="s">
        <v>39968</v>
      </c>
      <c r="LW52" s="1" t="s">
        <v>39969</v>
      </c>
      <c r="LX52" s="1" t="s">
        <v>39970</v>
      </c>
      <c r="LY52" s="1" t="s">
        <v>39971</v>
      </c>
      <c r="LZ52" s="1" t="s">
        <v>39972</v>
      </c>
      <c r="MA52" s="1" t="s">
        <v>39973</v>
      </c>
      <c r="MB52" s="1" t="s">
        <v>39974</v>
      </c>
      <c r="MC52" s="1" t="s">
        <v>39975</v>
      </c>
      <c r="MD52" s="1" t="s">
        <v>39976</v>
      </c>
      <c r="ME52" s="1" t="s">
        <v>39977</v>
      </c>
      <c r="MF52" s="1" t="s">
        <v>39978</v>
      </c>
      <c r="MG52" s="1" t="s">
        <v>39979</v>
      </c>
      <c r="MH52" s="1" t="s">
        <v>39980</v>
      </c>
      <c r="MI52" s="1" t="s">
        <v>39981</v>
      </c>
      <c r="MJ52" s="1" t="s">
        <v>39982</v>
      </c>
      <c r="MK52" s="1" t="s">
        <v>39983</v>
      </c>
      <c r="ML52" s="1" t="s">
        <v>39984</v>
      </c>
      <c r="MM52" s="1" t="s">
        <v>39985</v>
      </c>
      <c r="MN52" s="1" t="s">
        <v>39986</v>
      </c>
      <c r="MO52" s="1" t="s">
        <v>39987</v>
      </c>
      <c r="MP52" s="1" t="s">
        <v>39988</v>
      </c>
      <c r="MQ52" s="1" t="s">
        <v>39989</v>
      </c>
      <c r="MR52" s="1" t="s">
        <v>39990</v>
      </c>
      <c r="MS52" s="1" t="s">
        <v>39991</v>
      </c>
      <c r="MT52" s="1" t="s">
        <v>39992</v>
      </c>
      <c r="MU52" s="1" t="s">
        <v>39993</v>
      </c>
      <c r="MV52" s="1" t="s">
        <v>39994</v>
      </c>
      <c r="MW52" s="1" t="s">
        <v>39995</v>
      </c>
      <c r="MX52" s="1" t="s">
        <v>39996</v>
      </c>
      <c r="MY52" s="1" t="s">
        <v>39997</v>
      </c>
      <c r="MZ52" s="1" t="s">
        <v>39998</v>
      </c>
      <c r="NA52" s="1" t="s">
        <v>39999</v>
      </c>
      <c r="NB52" s="1" t="s">
        <v>40000</v>
      </c>
      <c r="NC52" s="1" t="s">
        <v>40001</v>
      </c>
      <c r="ND52" s="1" t="s">
        <v>40002</v>
      </c>
      <c r="NE52" s="1" t="s">
        <v>40003</v>
      </c>
      <c r="NF52" s="1" t="s">
        <v>40004</v>
      </c>
      <c r="NG52" s="1" t="s">
        <v>40005</v>
      </c>
      <c r="NH52" s="1" t="s">
        <v>40006</v>
      </c>
      <c r="NI52" s="1" t="s">
        <v>40007</v>
      </c>
      <c r="NJ52" s="1" t="s">
        <v>40008</v>
      </c>
      <c r="NK52" s="1" t="s">
        <v>40009</v>
      </c>
      <c r="NL52" s="1" t="s">
        <v>40010</v>
      </c>
      <c r="NM52" s="1" t="s">
        <v>40011</v>
      </c>
      <c r="NN52" s="1" t="s">
        <v>40012</v>
      </c>
      <c r="NO52" s="1" t="s">
        <v>40013</v>
      </c>
      <c r="NP52" s="1" t="s">
        <v>40014</v>
      </c>
      <c r="NQ52" s="1" t="s">
        <v>40015</v>
      </c>
      <c r="NR52" s="1" t="s">
        <v>40016</v>
      </c>
      <c r="NS52" s="1" t="s">
        <v>40017</v>
      </c>
      <c r="NT52" s="1" t="s">
        <v>40018</v>
      </c>
      <c r="NU52" s="1" t="s">
        <v>40019</v>
      </c>
      <c r="NV52" s="1" t="s">
        <v>40020</v>
      </c>
      <c r="NW52" s="1" t="s">
        <v>40021</v>
      </c>
      <c r="NX52" s="1" t="s">
        <v>40022</v>
      </c>
      <c r="NY52" s="1" t="s">
        <v>40023</v>
      </c>
      <c r="NZ52" s="1" t="s">
        <v>40024</v>
      </c>
      <c r="OA52" s="1" t="s">
        <v>40025</v>
      </c>
      <c r="OB52" s="1" t="s">
        <v>40026</v>
      </c>
      <c r="OC52" s="1" t="s">
        <v>40027</v>
      </c>
      <c r="OD52" s="1" t="s">
        <v>40028</v>
      </c>
      <c r="OE52" s="1" t="s">
        <v>40029</v>
      </c>
      <c r="OF52" s="1" t="s">
        <v>40030</v>
      </c>
      <c r="OG52" s="1" t="s">
        <v>40031</v>
      </c>
      <c r="OH52" s="1" t="s">
        <v>40032</v>
      </c>
      <c r="OI52" s="1" t="s">
        <v>40033</v>
      </c>
      <c r="OJ52" s="1" t="s">
        <v>40034</v>
      </c>
      <c r="OK52" s="1" t="s">
        <v>40035</v>
      </c>
      <c r="OL52" s="1" t="s">
        <v>40036</v>
      </c>
      <c r="OM52" s="1" t="s">
        <v>40037</v>
      </c>
      <c r="ON52" s="1" t="s">
        <v>40038</v>
      </c>
      <c r="OO52" s="1" t="s">
        <v>40039</v>
      </c>
      <c r="OP52" s="1" t="s">
        <v>40040</v>
      </c>
      <c r="OQ52" s="1" t="s">
        <v>40041</v>
      </c>
      <c r="OR52" s="1" t="s">
        <v>40042</v>
      </c>
      <c r="OS52" s="1" t="s">
        <v>40043</v>
      </c>
      <c r="OT52" s="1" t="s">
        <v>40044</v>
      </c>
      <c r="OU52" s="1" t="s">
        <v>40045</v>
      </c>
      <c r="OV52" s="1" t="s">
        <v>40046</v>
      </c>
      <c r="OW52" s="1" t="s">
        <v>40047</v>
      </c>
      <c r="OX52" s="1" t="s">
        <v>40048</v>
      </c>
      <c r="OY52" s="1" t="s">
        <v>40049</v>
      </c>
      <c r="OZ52" s="1" t="s">
        <v>40050</v>
      </c>
      <c r="PA52" s="1" t="s">
        <v>40051</v>
      </c>
      <c r="PB52" s="1" t="s">
        <v>40052</v>
      </c>
      <c r="PC52" s="1" t="s">
        <v>40053</v>
      </c>
      <c r="PD52" s="1" t="s">
        <v>40054</v>
      </c>
      <c r="PE52" s="1" t="s">
        <v>40055</v>
      </c>
      <c r="PF52" s="1" t="s">
        <v>40056</v>
      </c>
      <c r="PG52" s="1" t="s">
        <v>40057</v>
      </c>
      <c r="PH52" s="1" t="s">
        <v>40058</v>
      </c>
      <c r="PI52" s="1" t="s">
        <v>40059</v>
      </c>
      <c r="PJ52" s="1" t="s">
        <v>40060</v>
      </c>
      <c r="PK52" s="1" t="s">
        <v>40061</v>
      </c>
      <c r="PL52" s="1" t="s">
        <v>40062</v>
      </c>
      <c r="PM52" s="1" t="s">
        <v>40063</v>
      </c>
      <c r="PN52" s="1" t="s">
        <v>40064</v>
      </c>
      <c r="PO52" s="1" t="s">
        <v>40065</v>
      </c>
      <c r="PP52" s="1" t="s">
        <v>40066</v>
      </c>
      <c r="PQ52" s="1" t="s">
        <v>40067</v>
      </c>
      <c r="PR52" s="1" t="s">
        <v>40068</v>
      </c>
      <c r="PS52" s="1" t="s">
        <v>40069</v>
      </c>
      <c r="PT52" s="1" t="s">
        <v>40070</v>
      </c>
      <c r="PU52" s="1" t="s">
        <v>40071</v>
      </c>
      <c r="PV52" s="1" t="s">
        <v>40072</v>
      </c>
      <c r="PW52" s="1" t="s">
        <v>40073</v>
      </c>
      <c r="PX52" s="1" t="s">
        <v>40074</v>
      </c>
      <c r="PY52" s="1" t="s">
        <v>40075</v>
      </c>
      <c r="PZ52" s="1" t="s">
        <v>40076</v>
      </c>
      <c r="QA52" s="1" t="s">
        <v>40077</v>
      </c>
      <c r="QB52" s="1" t="s">
        <v>40078</v>
      </c>
      <c r="QC52" s="1" t="s">
        <v>40079</v>
      </c>
      <c r="QD52" s="1" t="s">
        <v>40080</v>
      </c>
      <c r="QE52" s="1" t="s">
        <v>40081</v>
      </c>
      <c r="QF52" s="1" t="s">
        <v>40082</v>
      </c>
      <c r="QG52" s="1" t="s">
        <v>40083</v>
      </c>
      <c r="QH52" s="1" t="s">
        <v>40084</v>
      </c>
      <c r="QI52" s="1" t="s">
        <v>40085</v>
      </c>
      <c r="QJ52" s="1" t="s">
        <v>40086</v>
      </c>
      <c r="QK52" s="1" t="s">
        <v>40087</v>
      </c>
      <c r="QL52" s="1" t="s">
        <v>40088</v>
      </c>
      <c r="QM52" s="1" t="s">
        <v>40089</v>
      </c>
      <c r="QN52" s="1" t="s">
        <v>40090</v>
      </c>
      <c r="QO52" s="1" t="s">
        <v>40091</v>
      </c>
      <c r="QP52" s="1" t="s">
        <v>40092</v>
      </c>
      <c r="QQ52" s="1" t="s">
        <v>40093</v>
      </c>
      <c r="QR52" s="1" t="s">
        <v>40094</v>
      </c>
      <c r="QS52" s="1" t="s">
        <v>40095</v>
      </c>
      <c r="QT52" s="1" t="s">
        <v>40096</v>
      </c>
      <c r="QU52" s="1" t="s">
        <v>40097</v>
      </c>
      <c r="QV52" s="1" t="s">
        <v>40098</v>
      </c>
      <c r="QW52" s="1" t="s">
        <v>40099</v>
      </c>
      <c r="QX52" s="1" t="s">
        <v>40100</v>
      </c>
      <c r="QY52" s="1" t="s">
        <v>40101</v>
      </c>
      <c r="QZ52" s="1" t="s">
        <v>40102</v>
      </c>
      <c r="RA52" s="1" t="s">
        <v>40103</v>
      </c>
      <c r="RB52" s="1" t="s">
        <v>40104</v>
      </c>
      <c r="RC52" s="1" t="s">
        <v>40105</v>
      </c>
      <c r="RD52" s="1" t="s">
        <v>40106</v>
      </c>
      <c r="RE52" s="1" t="s">
        <v>40107</v>
      </c>
      <c r="RF52" s="1" t="s">
        <v>40108</v>
      </c>
      <c r="RG52" s="1" t="s">
        <v>40109</v>
      </c>
      <c r="RH52" s="1" t="s">
        <v>40110</v>
      </c>
      <c r="RI52" s="1" t="s">
        <v>40111</v>
      </c>
      <c r="RJ52" s="1" t="s">
        <v>40112</v>
      </c>
      <c r="RK52" s="1" t="s">
        <v>40113</v>
      </c>
      <c r="RL52" s="1" t="s">
        <v>40114</v>
      </c>
      <c r="RM52" s="1" t="s">
        <v>40115</v>
      </c>
      <c r="RN52" s="1" t="s">
        <v>40116</v>
      </c>
      <c r="RO52" s="1" t="s">
        <v>40117</v>
      </c>
      <c r="RP52" s="1" t="s">
        <v>40118</v>
      </c>
      <c r="RQ52" s="1" t="s">
        <v>40119</v>
      </c>
      <c r="RR52" s="1" t="s">
        <v>40120</v>
      </c>
      <c r="RS52" s="1" t="s">
        <v>40121</v>
      </c>
      <c r="RT52" s="1" t="s">
        <v>40122</v>
      </c>
      <c r="RU52" s="1" t="s">
        <v>40123</v>
      </c>
      <c r="RV52" s="1" t="s">
        <v>40124</v>
      </c>
      <c r="RW52" s="1" t="s">
        <v>40125</v>
      </c>
      <c r="RX52" s="1" t="s">
        <v>40126</v>
      </c>
      <c r="RY52" s="1" t="s">
        <v>40127</v>
      </c>
      <c r="RZ52" s="1" t="s">
        <v>40128</v>
      </c>
      <c r="SA52" s="1" t="s">
        <v>40129</v>
      </c>
      <c r="SB52" s="1" t="s">
        <v>40130</v>
      </c>
      <c r="SC52" s="1" t="s">
        <v>40131</v>
      </c>
      <c r="SD52" s="1" t="s">
        <v>40132</v>
      </c>
      <c r="SE52" s="1" t="s">
        <v>40133</v>
      </c>
      <c r="SF52" s="1" t="s">
        <v>40134</v>
      </c>
      <c r="SG52" s="1" t="s">
        <v>40135</v>
      </c>
      <c r="SH52" s="1" t="s">
        <v>40136</v>
      </c>
      <c r="SI52" s="1" t="s">
        <v>40137</v>
      </c>
      <c r="SJ52" s="1" t="s">
        <v>40138</v>
      </c>
      <c r="SK52" s="1" t="s">
        <v>40139</v>
      </c>
      <c r="SL52" s="1" t="s">
        <v>40140</v>
      </c>
      <c r="SM52" s="1" t="s">
        <v>40141</v>
      </c>
      <c r="SN52" s="1" t="s">
        <v>40142</v>
      </c>
      <c r="SO52" s="1" t="s">
        <v>40143</v>
      </c>
      <c r="SP52" s="1" t="s">
        <v>40144</v>
      </c>
      <c r="SQ52" s="1" t="s">
        <v>40145</v>
      </c>
      <c r="SR52" s="1" t="s">
        <v>40146</v>
      </c>
      <c r="SS52" s="1" t="s">
        <v>40147</v>
      </c>
      <c r="ST52" s="1" t="s">
        <v>40148</v>
      </c>
      <c r="SU52" s="1" t="s">
        <v>40149</v>
      </c>
      <c r="SV52" s="1" t="s">
        <v>40150</v>
      </c>
      <c r="SW52" s="1" t="s">
        <v>40151</v>
      </c>
      <c r="SX52" s="1" t="s">
        <v>40152</v>
      </c>
      <c r="SY52" s="1" t="s">
        <v>40153</v>
      </c>
      <c r="SZ52" s="1" t="s">
        <v>40154</v>
      </c>
      <c r="TA52" s="1" t="s">
        <v>40155</v>
      </c>
      <c r="TB52" s="1" t="s">
        <v>40156</v>
      </c>
      <c r="TC52" s="1" t="s">
        <v>40157</v>
      </c>
      <c r="TD52" s="1" t="s">
        <v>40158</v>
      </c>
      <c r="TE52" s="1" t="s">
        <v>40159</v>
      </c>
      <c r="TF52" s="1" t="s">
        <v>40160</v>
      </c>
      <c r="TG52" s="1" t="s">
        <v>40161</v>
      </c>
      <c r="TH52" s="1" t="s">
        <v>40162</v>
      </c>
      <c r="TI52" s="1" t="s">
        <v>40163</v>
      </c>
      <c r="TJ52" s="1" t="s">
        <v>40164</v>
      </c>
      <c r="TK52" s="1" t="s">
        <v>40165</v>
      </c>
      <c r="TL52" s="1" t="s">
        <v>40166</v>
      </c>
      <c r="TM52" s="1" t="s">
        <v>40167</v>
      </c>
      <c r="TN52" s="1" t="s">
        <v>40168</v>
      </c>
      <c r="TO52" s="1" t="s">
        <v>40169</v>
      </c>
      <c r="TP52" s="1" t="s">
        <v>40170</v>
      </c>
      <c r="TQ52" s="1" t="s">
        <v>40171</v>
      </c>
      <c r="TR52" s="1" t="s">
        <v>40172</v>
      </c>
      <c r="TS52" s="1" t="s">
        <v>40173</v>
      </c>
      <c r="TT52" s="1" t="s">
        <v>40174</v>
      </c>
      <c r="TU52" s="1" t="s">
        <v>40175</v>
      </c>
      <c r="TV52" s="1" t="s">
        <v>40176</v>
      </c>
      <c r="TW52" s="1" t="s">
        <v>40177</v>
      </c>
      <c r="TX52" s="1" t="s">
        <v>40178</v>
      </c>
      <c r="TY52" s="1" t="s">
        <v>40179</v>
      </c>
      <c r="TZ52" s="1" t="s">
        <v>40180</v>
      </c>
      <c r="UA52" s="1" t="s">
        <v>40181</v>
      </c>
      <c r="UB52" s="1" t="s">
        <v>40182</v>
      </c>
      <c r="UC52" s="1" t="s">
        <v>40183</v>
      </c>
      <c r="UD52" s="1" t="s">
        <v>40184</v>
      </c>
      <c r="UE52" s="1" t="s">
        <v>40185</v>
      </c>
      <c r="UF52" s="1" t="s">
        <v>40186</v>
      </c>
      <c r="UG52" s="1" t="s">
        <v>40187</v>
      </c>
      <c r="UH52" s="1" t="s">
        <v>40188</v>
      </c>
      <c r="UI52" s="1" t="s">
        <v>40189</v>
      </c>
      <c r="UJ52" s="1" t="s">
        <v>40190</v>
      </c>
      <c r="UK52" s="1" t="s">
        <v>40191</v>
      </c>
      <c r="UL52" s="1" t="s">
        <v>40192</v>
      </c>
      <c r="UM52" s="1" t="s">
        <v>40193</v>
      </c>
      <c r="UN52" s="1" t="s">
        <v>40194</v>
      </c>
      <c r="UO52" s="1" t="s">
        <v>40195</v>
      </c>
      <c r="UP52" s="1" t="s">
        <v>40196</v>
      </c>
      <c r="UQ52" s="1" t="s">
        <v>40197</v>
      </c>
      <c r="UR52" s="1" t="s">
        <v>40198</v>
      </c>
      <c r="US52" s="1" t="s">
        <v>40199</v>
      </c>
      <c r="UT52" s="1" t="s">
        <v>40200</v>
      </c>
      <c r="UU52" s="1" t="s">
        <v>40201</v>
      </c>
      <c r="UV52" s="1" t="s">
        <v>40202</v>
      </c>
      <c r="UW52" s="1" t="s">
        <v>40203</v>
      </c>
      <c r="UX52" s="1" t="s">
        <v>40204</v>
      </c>
      <c r="UY52" s="1" t="s">
        <v>40205</v>
      </c>
      <c r="UZ52" s="1" t="s">
        <v>40206</v>
      </c>
      <c r="VA52" s="1" t="s">
        <v>40207</v>
      </c>
      <c r="VB52" s="1" t="s">
        <v>40208</v>
      </c>
      <c r="VC52" s="1" t="s">
        <v>40209</v>
      </c>
      <c r="VD52" s="1" t="s">
        <v>40210</v>
      </c>
      <c r="VE52" s="1" t="s">
        <v>40211</v>
      </c>
      <c r="VF52" s="1" t="s">
        <v>40212</v>
      </c>
      <c r="VG52" s="1" t="s">
        <v>40213</v>
      </c>
      <c r="VH52" s="1" t="s">
        <v>40214</v>
      </c>
      <c r="VI52" s="1" t="s">
        <v>40215</v>
      </c>
      <c r="VJ52" s="1" t="s">
        <v>40216</v>
      </c>
      <c r="VK52" s="1" t="s">
        <v>40217</v>
      </c>
      <c r="VL52" s="1" t="s">
        <v>40218</v>
      </c>
      <c r="VM52" s="1" t="s">
        <v>40219</v>
      </c>
      <c r="VN52" s="1" t="s">
        <v>40220</v>
      </c>
      <c r="VO52" s="1" t="s">
        <v>40221</v>
      </c>
      <c r="VP52" s="1" t="s">
        <v>40222</v>
      </c>
      <c r="VQ52" s="1" t="s">
        <v>40223</v>
      </c>
      <c r="VR52" s="1" t="s">
        <v>40224</v>
      </c>
      <c r="VS52" s="1" t="s">
        <v>40225</v>
      </c>
      <c r="VT52" s="1" t="s">
        <v>40226</v>
      </c>
      <c r="VU52" s="1" t="s">
        <v>40227</v>
      </c>
      <c r="VV52" s="1" t="s">
        <v>40228</v>
      </c>
      <c r="VW52" s="1" t="s">
        <v>40229</v>
      </c>
      <c r="VX52" s="1" t="s">
        <v>40230</v>
      </c>
      <c r="VY52" s="1" t="s">
        <v>40231</v>
      </c>
      <c r="VZ52" s="1" t="s">
        <v>40232</v>
      </c>
      <c r="WA52" s="1" t="s">
        <v>40233</v>
      </c>
      <c r="WB52" s="1" t="s">
        <v>40234</v>
      </c>
      <c r="WC52" s="1" t="s">
        <v>40235</v>
      </c>
      <c r="WD52" s="1" t="s">
        <v>40236</v>
      </c>
      <c r="WE52" s="1" t="s">
        <v>40237</v>
      </c>
      <c r="WF52" s="1" t="s">
        <v>40238</v>
      </c>
      <c r="WG52" s="1" t="s">
        <v>40239</v>
      </c>
      <c r="WH52" s="1" t="s">
        <v>40240</v>
      </c>
      <c r="WI52" s="1" t="s">
        <v>40241</v>
      </c>
      <c r="WJ52" s="1" t="s">
        <v>40242</v>
      </c>
      <c r="WK52" s="1" t="s">
        <v>40243</v>
      </c>
      <c r="WL52" s="1" t="s">
        <v>40244</v>
      </c>
      <c r="WM52" s="1" t="s">
        <v>40245</v>
      </c>
      <c r="WN52" s="1" t="s">
        <v>40246</v>
      </c>
      <c r="WO52" s="1" t="s">
        <v>40247</v>
      </c>
      <c r="WP52" s="1" t="s">
        <v>40248</v>
      </c>
      <c r="WQ52" s="1" t="s">
        <v>40249</v>
      </c>
      <c r="WR52" s="1" t="s">
        <v>40250</v>
      </c>
      <c r="WS52" s="1" t="s">
        <v>40251</v>
      </c>
      <c r="WT52" s="1" t="s">
        <v>40252</v>
      </c>
      <c r="WU52" s="1" t="s">
        <v>40253</v>
      </c>
      <c r="WV52" s="1" t="s">
        <v>40254</v>
      </c>
      <c r="WW52" s="1" t="s">
        <v>40255</v>
      </c>
      <c r="WX52" s="1" t="s">
        <v>40256</v>
      </c>
      <c r="WY52" s="1" t="s">
        <v>40257</v>
      </c>
      <c r="WZ52" s="1" t="s">
        <v>40258</v>
      </c>
      <c r="XA52" s="1" t="s">
        <v>40259</v>
      </c>
      <c r="XB52" s="1" t="s">
        <v>40260</v>
      </c>
      <c r="XC52" s="1" t="s">
        <v>40261</v>
      </c>
      <c r="XD52" s="1" t="s">
        <v>40262</v>
      </c>
      <c r="XE52" s="1" t="s">
        <v>40263</v>
      </c>
      <c r="XF52" s="1" t="s">
        <v>40264</v>
      </c>
      <c r="XG52" s="1" t="s">
        <v>40265</v>
      </c>
      <c r="XH52" s="1" t="s">
        <v>40266</v>
      </c>
      <c r="XI52" s="1" t="s">
        <v>40267</v>
      </c>
      <c r="XJ52" s="1" t="s">
        <v>40268</v>
      </c>
      <c r="XK52" s="1" t="s">
        <v>40269</v>
      </c>
      <c r="XL52" s="1" t="s">
        <v>40270</v>
      </c>
      <c r="XM52" s="1" t="s">
        <v>40271</v>
      </c>
      <c r="XN52" s="1" t="s">
        <v>40272</v>
      </c>
      <c r="XO52" s="1" t="s">
        <v>40273</v>
      </c>
      <c r="XP52" s="1" t="s">
        <v>40274</v>
      </c>
      <c r="XQ52" s="1" t="s">
        <v>40275</v>
      </c>
      <c r="XR52" s="1" t="s">
        <v>40276</v>
      </c>
      <c r="XS52" s="1" t="s">
        <v>40277</v>
      </c>
      <c r="XT52" s="1" t="s">
        <v>40278</v>
      </c>
      <c r="XU52" s="1" t="s">
        <v>40279</v>
      </c>
      <c r="XV52" s="1" t="s">
        <v>40280</v>
      </c>
      <c r="XW52" s="1" t="s">
        <v>40281</v>
      </c>
      <c r="XX52" s="1" t="s">
        <v>40282</v>
      </c>
      <c r="XY52" s="1" t="s">
        <v>40283</v>
      </c>
      <c r="XZ52" s="1" t="s">
        <v>40284</v>
      </c>
      <c r="YA52" s="1" t="s">
        <v>40285</v>
      </c>
      <c r="YB52" s="1" t="s">
        <v>40286</v>
      </c>
      <c r="YC52" s="1" t="s">
        <v>40287</v>
      </c>
      <c r="YD52" s="1" t="s">
        <v>40288</v>
      </c>
      <c r="YE52" s="1" t="s">
        <v>40289</v>
      </c>
      <c r="YF52" s="1" t="s">
        <v>40290</v>
      </c>
      <c r="YG52" s="1" t="s">
        <v>40291</v>
      </c>
      <c r="YH52" s="1" t="s">
        <v>40292</v>
      </c>
      <c r="YI52" s="1" t="s">
        <v>40293</v>
      </c>
      <c r="YJ52" s="1" t="s">
        <v>40294</v>
      </c>
      <c r="YK52" s="1" t="s">
        <v>40295</v>
      </c>
      <c r="YL52" s="1" t="s">
        <v>40296</v>
      </c>
      <c r="YM52" s="1" t="s">
        <v>40297</v>
      </c>
      <c r="YN52" s="1" t="s">
        <v>40298</v>
      </c>
      <c r="YO52" s="1" t="s">
        <v>40299</v>
      </c>
      <c r="YP52" s="1" t="s">
        <v>40300</v>
      </c>
      <c r="YQ52" s="1" t="s">
        <v>40301</v>
      </c>
      <c r="YR52" s="1" t="s">
        <v>40302</v>
      </c>
      <c r="YS52" s="1" t="s">
        <v>40303</v>
      </c>
      <c r="YT52" s="1" t="s">
        <v>40304</v>
      </c>
      <c r="YU52" s="1" t="s">
        <v>40305</v>
      </c>
      <c r="YV52" s="1" t="s">
        <v>40306</v>
      </c>
      <c r="YW52" s="1" t="s">
        <v>40307</v>
      </c>
      <c r="YX52" s="1" t="s">
        <v>40308</v>
      </c>
      <c r="YY52" s="1" t="s">
        <v>40309</v>
      </c>
      <c r="YZ52" s="1" t="s">
        <v>40310</v>
      </c>
      <c r="ZA52" s="1" t="s">
        <v>40311</v>
      </c>
      <c r="ZB52" s="1" t="s">
        <v>40312</v>
      </c>
      <c r="ZC52" s="1" t="s">
        <v>40313</v>
      </c>
      <c r="ZD52" s="1" t="s">
        <v>40314</v>
      </c>
      <c r="ZE52" s="1" t="s">
        <v>40315</v>
      </c>
      <c r="ZF52" s="1" t="s">
        <v>40316</v>
      </c>
      <c r="ZG52" s="1" t="s">
        <v>40317</v>
      </c>
      <c r="ZH52" s="1" t="s">
        <v>40318</v>
      </c>
      <c r="ZI52" s="1" t="s">
        <v>40319</v>
      </c>
      <c r="ZJ52" s="1" t="s">
        <v>40320</v>
      </c>
      <c r="ZK52" s="1" t="s">
        <v>40321</v>
      </c>
      <c r="ZL52" s="1" t="s">
        <v>40322</v>
      </c>
      <c r="ZM52" s="1" t="s">
        <v>40323</v>
      </c>
      <c r="ZN52" s="1" t="s">
        <v>40324</v>
      </c>
      <c r="ZO52" s="1" t="s">
        <v>40325</v>
      </c>
      <c r="ZP52" s="1" t="s">
        <v>40326</v>
      </c>
      <c r="ZQ52" s="1" t="s">
        <v>40327</v>
      </c>
      <c r="ZR52" s="1" t="s">
        <v>40328</v>
      </c>
      <c r="ZS52" s="1" t="s">
        <v>40329</v>
      </c>
      <c r="ZT52" s="1" t="s">
        <v>40330</v>
      </c>
      <c r="ZU52" s="1" t="s">
        <v>40331</v>
      </c>
      <c r="ZV52" s="1" t="s">
        <v>40332</v>
      </c>
      <c r="ZW52" s="1" t="s">
        <v>40333</v>
      </c>
      <c r="ZX52" s="1" t="s">
        <v>40334</v>
      </c>
      <c r="ZY52" s="1" t="s">
        <v>40335</v>
      </c>
      <c r="ZZ52" s="1" t="s">
        <v>40336</v>
      </c>
      <c r="AAA52" s="1" t="s">
        <v>40337</v>
      </c>
      <c r="AAB52" s="1" t="s">
        <v>40338</v>
      </c>
      <c r="AAC52" s="1" t="s">
        <v>40339</v>
      </c>
      <c r="AAD52" s="1" t="s">
        <v>40340</v>
      </c>
      <c r="AAE52" s="1" t="s">
        <v>40341</v>
      </c>
      <c r="AAF52" s="1" t="s">
        <v>40342</v>
      </c>
      <c r="AAG52" s="1" t="s">
        <v>40343</v>
      </c>
      <c r="AAH52" s="1" t="s">
        <v>40344</v>
      </c>
      <c r="AAI52" s="1" t="s">
        <v>40345</v>
      </c>
      <c r="AAJ52" s="1" t="s">
        <v>40346</v>
      </c>
      <c r="AAK52" s="1" t="s">
        <v>40347</v>
      </c>
      <c r="AAL52" s="1" t="s">
        <v>40348</v>
      </c>
      <c r="AAM52" s="1" t="s">
        <v>40349</v>
      </c>
      <c r="AAN52" s="1" t="s">
        <v>40350</v>
      </c>
      <c r="AAO52" s="1" t="s">
        <v>40351</v>
      </c>
      <c r="AAP52" s="1" t="s">
        <v>40352</v>
      </c>
      <c r="AAQ52" s="1" t="s">
        <v>40353</v>
      </c>
      <c r="AAR52" s="1" t="s">
        <v>40354</v>
      </c>
      <c r="AAS52" s="1" t="s">
        <v>40355</v>
      </c>
      <c r="AAT52" s="1" t="s">
        <v>40356</v>
      </c>
      <c r="AAU52" s="1" t="s">
        <v>40357</v>
      </c>
      <c r="AAV52" s="1" t="s">
        <v>40358</v>
      </c>
      <c r="AAW52" s="1" t="s">
        <v>40359</v>
      </c>
      <c r="AAX52" s="1" t="s">
        <v>40360</v>
      </c>
      <c r="AAY52" s="1" t="s">
        <v>40361</v>
      </c>
      <c r="AAZ52" s="1" t="s">
        <v>40362</v>
      </c>
      <c r="ABA52" s="1" t="s">
        <v>40363</v>
      </c>
      <c r="ABB52" s="1" t="s">
        <v>40364</v>
      </c>
      <c r="ABC52" s="1" t="s">
        <v>40365</v>
      </c>
      <c r="ABD52" s="1" t="s">
        <v>40366</v>
      </c>
      <c r="ABE52" s="1" t="s">
        <v>40367</v>
      </c>
      <c r="ABF52" s="1" t="s">
        <v>40368</v>
      </c>
      <c r="ABG52" s="1" t="s">
        <v>40369</v>
      </c>
      <c r="ABH52" s="1" t="s">
        <v>40370</v>
      </c>
      <c r="ABI52" s="1" t="s">
        <v>40371</v>
      </c>
      <c r="ABJ52" s="1" t="s">
        <v>40372</v>
      </c>
      <c r="ABK52" s="1" t="s">
        <v>40373</v>
      </c>
      <c r="ABL52" s="1" t="s">
        <v>40374</v>
      </c>
      <c r="ABM52" s="1" t="s">
        <v>40375</v>
      </c>
      <c r="ABN52" s="1" t="s">
        <v>40376</v>
      </c>
      <c r="ABO52" s="1" t="s">
        <v>40377</v>
      </c>
      <c r="ABP52" s="1" t="s">
        <v>40378</v>
      </c>
      <c r="ABQ52" s="1" t="s">
        <v>40379</v>
      </c>
      <c r="ABR52" s="1" t="s">
        <v>40380</v>
      </c>
      <c r="ABS52" s="1" t="s">
        <v>40381</v>
      </c>
      <c r="ABT52" s="1" t="s">
        <v>40382</v>
      </c>
      <c r="ABU52" s="1" t="s">
        <v>40383</v>
      </c>
      <c r="ABV52" s="1" t="s">
        <v>40384</v>
      </c>
      <c r="ABW52" s="1" t="s">
        <v>40385</v>
      </c>
      <c r="ABX52" s="1" t="s">
        <v>40386</v>
      </c>
      <c r="ABY52" s="1" t="s">
        <v>40387</v>
      </c>
      <c r="ABZ52" s="1" t="s">
        <v>40388</v>
      </c>
      <c r="ACA52" s="1" t="s">
        <v>40389</v>
      </c>
      <c r="ACB52" s="1" t="s">
        <v>40390</v>
      </c>
      <c r="ACC52" s="1" t="s">
        <v>40391</v>
      </c>
      <c r="ACD52" s="1" t="s">
        <v>40392</v>
      </c>
      <c r="ACE52" s="1" t="s">
        <v>40393</v>
      </c>
      <c r="ACF52" s="1" t="s">
        <v>40394</v>
      </c>
      <c r="ACG52" s="1" t="s">
        <v>40395</v>
      </c>
      <c r="ACH52" s="1" t="s">
        <v>40396</v>
      </c>
      <c r="ACI52" s="1" t="s">
        <v>40397</v>
      </c>
      <c r="ACJ52" s="1" t="s">
        <v>40398</v>
      </c>
      <c r="ACK52" s="1" t="s">
        <v>40399</v>
      </c>
      <c r="ACL52" s="1" t="s">
        <v>40400</v>
      </c>
      <c r="ACM52" s="1" t="s">
        <v>40401</v>
      </c>
      <c r="ACN52" s="1" t="s">
        <v>40402</v>
      </c>
      <c r="ACO52" s="1" t="s">
        <v>40403</v>
      </c>
      <c r="ACP52" s="1" t="s">
        <v>40404</v>
      </c>
      <c r="ACQ52" s="1" t="s">
        <v>40405</v>
      </c>
      <c r="ACR52" s="1" t="s">
        <v>40406</v>
      </c>
      <c r="ACS52" s="1" t="s">
        <v>40407</v>
      </c>
      <c r="ACT52" s="1" t="s">
        <v>40408</v>
      </c>
      <c r="ACU52" s="1" t="s">
        <v>40409</v>
      </c>
      <c r="ACV52" s="1" t="s">
        <v>40410</v>
      </c>
      <c r="ACW52" s="1" t="s">
        <v>12</v>
      </c>
      <c r="ACX52" s="1" t="s">
        <v>1500</v>
      </c>
    </row>
    <row r="53" spans="1:778" x14ac:dyDescent="0.2">
      <c r="A53" s="1" t="s">
        <v>21</v>
      </c>
      <c r="B53" s="1" t="s">
        <v>40411</v>
      </c>
      <c r="C53" s="1" t="s">
        <v>40412</v>
      </c>
      <c r="D53" s="1" t="s">
        <v>40413</v>
      </c>
      <c r="E53" s="1" t="s">
        <v>40414</v>
      </c>
      <c r="F53" s="1" t="s">
        <v>40415</v>
      </c>
      <c r="G53" s="1" t="s">
        <v>40416</v>
      </c>
      <c r="H53" s="1" t="s">
        <v>40417</v>
      </c>
      <c r="I53" s="1" t="s">
        <v>40418</v>
      </c>
      <c r="J53" s="1" t="s">
        <v>40419</v>
      </c>
      <c r="K53" s="1" t="s">
        <v>40420</v>
      </c>
      <c r="L53" s="1" t="s">
        <v>40421</v>
      </c>
      <c r="M53" s="1" t="s">
        <v>40422</v>
      </c>
      <c r="N53" s="1" t="s">
        <v>40423</v>
      </c>
      <c r="O53" s="1" t="s">
        <v>40424</v>
      </c>
      <c r="P53" s="1" t="s">
        <v>40425</v>
      </c>
      <c r="Q53" s="1" t="s">
        <v>40426</v>
      </c>
      <c r="R53" s="1" t="s">
        <v>40427</v>
      </c>
      <c r="S53" s="1" t="s">
        <v>40428</v>
      </c>
      <c r="T53" s="1" t="s">
        <v>40429</v>
      </c>
      <c r="U53" s="1" t="s">
        <v>40430</v>
      </c>
      <c r="V53" s="1" t="s">
        <v>40431</v>
      </c>
      <c r="W53" s="1" t="s">
        <v>40432</v>
      </c>
      <c r="X53" s="1" t="s">
        <v>40433</v>
      </c>
      <c r="Y53" s="1" t="s">
        <v>40434</v>
      </c>
      <c r="Z53" s="1" t="s">
        <v>40435</v>
      </c>
      <c r="AA53" s="1" t="s">
        <v>40436</v>
      </c>
      <c r="AB53" s="1" t="s">
        <v>40437</v>
      </c>
      <c r="AC53" s="1" t="s">
        <v>40438</v>
      </c>
      <c r="AD53" s="1" t="s">
        <v>40439</v>
      </c>
      <c r="AE53" s="1" t="s">
        <v>40440</v>
      </c>
      <c r="AF53" s="1" t="s">
        <v>40441</v>
      </c>
      <c r="AG53" s="1" t="s">
        <v>40442</v>
      </c>
      <c r="AH53" s="1" t="s">
        <v>40443</v>
      </c>
      <c r="AI53" s="1" t="s">
        <v>40444</v>
      </c>
      <c r="AJ53" s="1" t="s">
        <v>40445</v>
      </c>
      <c r="AK53" s="1" t="s">
        <v>40446</v>
      </c>
      <c r="AL53" s="1" t="s">
        <v>40447</v>
      </c>
      <c r="AM53" s="1" t="s">
        <v>40448</v>
      </c>
      <c r="AN53" s="1" t="s">
        <v>40449</v>
      </c>
      <c r="AO53" s="1" t="s">
        <v>40450</v>
      </c>
      <c r="AP53" s="1" t="s">
        <v>40451</v>
      </c>
      <c r="AQ53" s="1" t="s">
        <v>40452</v>
      </c>
      <c r="AR53" s="1" t="s">
        <v>40453</v>
      </c>
      <c r="AS53" s="1" t="s">
        <v>40454</v>
      </c>
      <c r="AT53" s="1" t="s">
        <v>40455</v>
      </c>
      <c r="AU53" s="1" t="s">
        <v>40456</v>
      </c>
      <c r="AV53" s="1" t="s">
        <v>40457</v>
      </c>
      <c r="AW53" s="1" t="s">
        <v>40458</v>
      </c>
      <c r="AX53" s="1" t="s">
        <v>40459</v>
      </c>
      <c r="AY53" s="1" t="s">
        <v>40460</v>
      </c>
      <c r="AZ53" s="1" t="s">
        <v>40461</v>
      </c>
      <c r="BA53" s="1" t="s">
        <v>40462</v>
      </c>
      <c r="BB53" s="1" t="s">
        <v>40463</v>
      </c>
      <c r="BC53" s="1" t="s">
        <v>40464</v>
      </c>
      <c r="BD53" s="1" t="s">
        <v>40465</v>
      </c>
      <c r="BE53" s="1" t="s">
        <v>40466</v>
      </c>
      <c r="BF53" s="1" t="s">
        <v>40467</v>
      </c>
      <c r="BG53" s="1" t="s">
        <v>40468</v>
      </c>
      <c r="BH53" s="1" t="s">
        <v>40469</v>
      </c>
      <c r="BI53" s="1" t="s">
        <v>40470</v>
      </c>
      <c r="BJ53" s="1" t="s">
        <v>40471</v>
      </c>
      <c r="BK53" s="1" t="s">
        <v>40472</v>
      </c>
      <c r="BL53" s="1" t="s">
        <v>40473</v>
      </c>
      <c r="BM53" s="1" t="s">
        <v>40474</v>
      </c>
      <c r="BN53" s="1" t="s">
        <v>40475</v>
      </c>
      <c r="BO53" s="1" t="s">
        <v>40476</v>
      </c>
      <c r="BP53" s="1" t="s">
        <v>40477</v>
      </c>
      <c r="BQ53" s="1" t="s">
        <v>40478</v>
      </c>
      <c r="BR53" s="1" t="s">
        <v>40479</v>
      </c>
      <c r="BS53" s="1" t="s">
        <v>40480</v>
      </c>
      <c r="BT53" s="1" t="s">
        <v>40481</v>
      </c>
      <c r="BU53" s="1" t="s">
        <v>40482</v>
      </c>
      <c r="BV53" s="1" t="s">
        <v>40483</v>
      </c>
      <c r="BW53" s="1" t="s">
        <v>40484</v>
      </c>
      <c r="BX53" s="1" t="s">
        <v>40485</v>
      </c>
      <c r="BY53" s="1" t="s">
        <v>40486</v>
      </c>
      <c r="BZ53" s="1" t="s">
        <v>40487</v>
      </c>
      <c r="CA53" s="1" t="s">
        <v>40488</v>
      </c>
      <c r="CB53" s="1" t="s">
        <v>40489</v>
      </c>
      <c r="CC53" s="1" t="s">
        <v>40490</v>
      </c>
      <c r="CD53" s="1" t="s">
        <v>40491</v>
      </c>
      <c r="CE53" s="1" t="s">
        <v>40492</v>
      </c>
      <c r="CF53" s="1" t="s">
        <v>40493</v>
      </c>
      <c r="CG53" s="1" t="s">
        <v>40494</v>
      </c>
      <c r="CH53" s="1" t="s">
        <v>40495</v>
      </c>
      <c r="CI53" s="1" t="s">
        <v>40496</v>
      </c>
      <c r="CJ53" s="1" t="s">
        <v>40497</v>
      </c>
      <c r="CK53" s="1" t="s">
        <v>40498</v>
      </c>
      <c r="CL53" s="1" t="s">
        <v>40499</v>
      </c>
      <c r="CM53" s="1" t="s">
        <v>40500</v>
      </c>
      <c r="CN53" s="1" t="s">
        <v>40501</v>
      </c>
      <c r="CO53" s="1" t="s">
        <v>40502</v>
      </c>
      <c r="CP53" s="1" t="s">
        <v>40503</v>
      </c>
      <c r="CQ53" s="1" t="s">
        <v>40504</v>
      </c>
      <c r="CR53" s="1" t="s">
        <v>40505</v>
      </c>
      <c r="CS53" s="1" t="s">
        <v>40506</v>
      </c>
      <c r="CT53" s="1" t="s">
        <v>40507</v>
      </c>
      <c r="CU53" s="1" t="s">
        <v>40508</v>
      </c>
      <c r="CV53" s="1" t="s">
        <v>40509</v>
      </c>
      <c r="CW53" s="1" t="s">
        <v>40510</v>
      </c>
      <c r="CX53" s="1" t="s">
        <v>40511</v>
      </c>
      <c r="CY53" s="1" t="s">
        <v>40512</v>
      </c>
      <c r="CZ53" s="1" t="s">
        <v>40513</v>
      </c>
      <c r="DA53" s="1" t="s">
        <v>40514</v>
      </c>
      <c r="DB53" s="1" t="s">
        <v>40515</v>
      </c>
      <c r="DC53" s="1" t="s">
        <v>40516</v>
      </c>
      <c r="DD53" s="1" t="s">
        <v>40517</v>
      </c>
      <c r="DE53" s="1" t="s">
        <v>40518</v>
      </c>
      <c r="DF53" s="1" t="s">
        <v>40519</v>
      </c>
      <c r="DG53" s="1" t="s">
        <v>40520</v>
      </c>
      <c r="DH53" s="1" t="s">
        <v>40521</v>
      </c>
      <c r="DI53" s="1" t="s">
        <v>40522</v>
      </c>
      <c r="DJ53" s="1" t="s">
        <v>40523</v>
      </c>
      <c r="DK53" s="1" t="s">
        <v>40524</v>
      </c>
      <c r="DL53" s="1" t="s">
        <v>40525</v>
      </c>
      <c r="DM53" s="1" t="s">
        <v>40526</v>
      </c>
      <c r="DN53" s="1" t="s">
        <v>40527</v>
      </c>
      <c r="DO53" s="1" t="s">
        <v>40528</v>
      </c>
      <c r="DP53" s="1" t="s">
        <v>40529</v>
      </c>
      <c r="DQ53" s="1" t="s">
        <v>40530</v>
      </c>
      <c r="DR53" s="1" t="s">
        <v>40531</v>
      </c>
      <c r="DS53" s="1" t="s">
        <v>40532</v>
      </c>
      <c r="DT53" s="1" t="s">
        <v>40533</v>
      </c>
      <c r="DU53" s="1" t="s">
        <v>40534</v>
      </c>
      <c r="DV53" s="1" t="s">
        <v>40535</v>
      </c>
      <c r="DW53" s="1" t="s">
        <v>40536</v>
      </c>
      <c r="DX53" s="1" t="s">
        <v>40537</v>
      </c>
      <c r="DY53" s="1" t="s">
        <v>40538</v>
      </c>
      <c r="DZ53" s="1" t="s">
        <v>40539</v>
      </c>
      <c r="EA53" s="1" t="s">
        <v>40540</v>
      </c>
      <c r="EB53" s="1" t="s">
        <v>40541</v>
      </c>
      <c r="EC53" s="1" t="s">
        <v>40542</v>
      </c>
      <c r="ED53" s="1" t="s">
        <v>40543</v>
      </c>
      <c r="EE53" s="1" t="s">
        <v>40544</v>
      </c>
      <c r="EF53" s="1" t="s">
        <v>40545</v>
      </c>
      <c r="EG53" s="1" t="s">
        <v>40546</v>
      </c>
      <c r="EH53" s="1" t="s">
        <v>40547</v>
      </c>
      <c r="EI53" s="1" t="s">
        <v>40548</v>
      </c>
      <c r="EJ53" s="1" t="s">
        <v>40549</v>
      </c>
      <c r="EK53" s="1" t="s">
        <v>40550</v>
      </c>
      <c r="EL53" s="1" t="s">
        <v>40551</v>
      </c>
      <c r="EM53" s="1" t="s">
        <v>40552</v>
      </c>
      <c r="EN53" s="1" t="s">
        <v>40553</v>
      </c>
      <c r="EO53" s="1" t="s">
        <v>40554</v>
      </c>
      <c r="EP53" s="1" t="s">
        <v>40555</v>
      </c>
      <c r="EQ53" s="1" t="s">
        <v>40556</v>
      </c>
      <c r="ER53" s="1" t="s">
        <v>40557</v>
      </c>
      <c r="ES53" s="1" t="s">
        <v>40558</v>
      </c>
      <c r="ET53" s="1" t="s">
        <v>40559</v>
      </c>
      <c r="EU53" s="1" t="s">
        <v>40560</v>
      </c>
      <c r="EV53" s="1" t="s">
        <v>40561</v>
      </c>
      <c r="EW53" s="1" t="s">
        <v>40562</v>
      </c>
      <c r="EX53" s="1" t="s">
        <v>40563</v>
      </c>
      <c r="EY53" s="1" t="s">
        <v>40564</v>
      </c>
      <c r="EZ53" s="1" t="s">
        <v>40565</v>
      </c>
      <c r="FA53" s="1" t="s">
        <v>40566</v>
      </c>
      <c r="FB53" s="1" t="s">
        <v>40567</v>
      </c>
      <c r="FC53" s="1" t="s">
        <v>40568</v>
      </c>
      <c r="FD53" s="1" t="s">
        <v>40569</v>
      </c>
      <c r="FE53" s="1" t="s">
        <v>40570</v>
      </c>
      <c r="FF53" s="1" t="s">
        <v>40571</v>
      </c>
      <c r="FG53" s="1" t="s">
        <v>40572</v>
      </c>
      <c r="FH53" s="1" t="s">
        <v>40573</v>
      </c>
      <c r="FI53" s="1" t="s">
        <v>40574</v>
      </c>
      <c r="FJ53" s="1" t="s">
        <v>40575</v>
      </c>
      <c r="FK53" s="1" t="s">
        <v>40576</v>
      </c>
      <c r="FL53" s="1" t="s">
        <v>40577</v>
      </c>
      <c r="FM53" s="1" t="s">
        <v>40578</v>
      </c>
      <c r="FN53" s="1" t="s">
        <v>40579</v>
      </c>
      <c r="FO53" s="1" t="s">
        <v>40580</v>
      </c>
      <c r="FP53" s="1" t="s">
        <v>40581</v>
      </c>
      <c r="FQ53" s="1" t="s">
        <v>40582</v>
      </c>
      <c r="FR53" s="1" t="s">
        <v>40583</v>
      </c>
      <c r="FS53" s="1" t="s">
        <v>40584</v>
      </c>
      <c r="FT53" s="1" t="s">
        <v>40585</v>
      </c>
      <c r="FU53" s="1" t="s">
        <v>40586</v>
      </c>
      <c r="FV53" s="1" t="s">
        <v>40587</v>
      </c>
      <c r="FW53" s="1" t="s">
        <v>40588</v>
      </c>
      <c r="FX53" s="1" t="s">
        <v>40589</v>
      </c>
      <c r="FY53" s="1" t="s">
        <v>40590</v>
      </c>
      <c r="FZ53" s="1" t="s">
        <v>40591</v>
      </c>
      <c r="GA53" s="1" t="s">
        <v>40592</v>
      </c>
      <c r="GB53" s="1" t="s">
        <v>40593</v>
      </c>
      <c r="GC53" s="1" t="s">
        <v>40594</v>
      </c>
      <c r="GD53" s="1" t="s">
        <v>40595</v>
      </c>
      <c r="GE53" s="1" t="s">
        <v>40596</v>
      </c>
      <c r="GF53" s="1" t="s">
        <v>40597</v>
      </c>
      <c r="GG53" s="1" t="s">
        <v>40598</v>
      </c>
      <c r="GH53" s="1" t="s">
        <v>40599</v>
      </c>
      <c r="GI53" s="1" t="s">
        <v>40600</v>
      </c>
      <c r="GJ53" s="1" t="s">
        <v>40601</v>
      </c>
      <c r="GK53" s="1" t="s">
        <v>40602</v>
      </c>
      <c r="GL53" s="1" t="s">
        <v>40603</v>
      </c>
      <c r="GM53" s="1" t="s">
        <v>40604</v>
      </c>
      <c r="GN53" s="1" t="s">
        <v>40605</v>
      </c>
      <c r="GO53" s="1" t="s">
        <v>40606</v>
      </c>
      <c r="GP53" s="1" t="s">
        <v>40607</v>
      </c>
      <c r="GQ53" s="1" t="s">
        <v>40608</v>
      </c>
      <c r="GR53" s="1" t="s">
        <v>40609</v>
      </c>
      <c r="GS53" s="1" t="s">
        <v>40610</v>
      </c>
      <c r="GT53" s="1" t="s">
        <v>40611</v>
      </c>
      <c r="GU53" s="1" t="s">
        <v>40612</v>
      </c>
      <c r="GV53" s="1" t="s">
        <v>40613</v>
      </c>
      <c r="GW53" s="1" t="s">
        <v>40614</v>
      </c>
      <c r="GX53" s="1" t="s">
        <v>40615</v>
      </c>
      <c r="GY53" s="1" t="s">
        <v>40616</v>
      </c>
      <c r="GZ53" s="1" t="s">
        <v>40617</v>
      </c>
      <c r="HA53" s="1" t="s">
        <v>40618</v>
      </c>
      <c r="HB53" s="1" t="s">
        <v>40619</v>
      </c>
      <c r="HC53" s="1" t="s">
        <v>40620</v>
      </c>
      <c r="HD53" s="1" t="s">
        <v>40621</v>
      </c>
      <c r="HE53" s="1" t="s">
        <v>40622</v>
      </c>
      <c r="HF53" s="1" t="s">
        <v>40623</v>
      </c>
      <c r="HG53" s="1" t="s">
        <v>40624</v>
      </c>
      <c r="HH53" s="1" t="s">
        <v>40625</v>
      </c>
      <c r="HI53" s="1" t="s">
        <v>40626</v>
      </c>
      <c r="HJ53" s="1" t="s">
        <v>40627</v>
      </c>
      <c r="HK53" s="1" t="s">
        <v>40628</v>
      </c>
      <c r="HL53" s="1" t="s">
        <v>40629</v>
      </c>
      <c r="HM53" s="1" t="s">
        <v>40630</v>
      </c>
      <c r="HN53" s="1" t="s">
        <v>40631</v>
      </c>
      <c r="HO53" s="1" t="s">
        <v>40632</v>
      </c>
      <c r="HP53" s="1" t="s">
        <v>40633</v>
      </c>
      <c r="HQ53" s="1" t="s">
        <v>40634</v>
      </c>
      <c r="HR53" s="1" t="s">
        <v>40635</v>
      </c>
      <c r="HS53" s="1" t="s">
        <v>40636</v>
      </c>
      <c r="HT53" s="1" t="s">
        <v>40637</v>
      </c>
      <c r="HU53" s="1" t="s">
        <v>40638</v>
      </c>
      <c r="HV53" s="1" t="s">
        <v>40639</v>
      </c>
      <c r="HW53" s="1" t="s">
        <v>40640</v>
      </c>
      <c r="HX53" s="1" t="s">
        <v>40641</v>
      </c>
      <c r="HY53" s="1" t="s">
        <v>40642</v>
      </c>
      <c r="HZ53" s="1" t="s">
        <v>40643</v>
      </c>
      <c r="IA53" s="1" t="s">
        <v>40644</v>
      </c>
      <c r="IB53" s="1" t="s">
        <v>40645</v>
      </c>
      <c r="IC53" s="1" t="s">
        <v>40646</v>
      </c>
      <c r="ID53" s="1" t="s">
        <v>40647</v>
      </c>
      <c r="IE53" s="1" t="s">
        <v>40648</v>
      </c>
      <c r="IF53" s="1" t="s">
        <v>40649</v>
      </c>
      <c r="IG53" s="1" t="s">
        <v>40650</v>
      </c>
      <c r="IH53" s="1" t="s">
        <v>40651</v>
      </c>
      <c r="II53" s="1" t="s">
        <v>40652</v>
      </c>
      <c r="IJ53" s="1" t="s">
        <v>40653</v>
      </c>
      <c r="IK53" s="1" t="s">
        <v>40654</v>
      </c>
      <c r="IL53" s="1" t="s">
        <v>40655</v>
      </c>
      <c r="IM53" s="1" t="s">
        <v>40656</v>
      </c>
      <c r="IN53" s="1" t="s">
        <v>40657</v>
      </c>
      <c r="IO53" s="1" t="s">
        <v>40658</v>
      </c>
      <c r="IP53" s="1" t="s">
        <v>40659</v>
      </c>
      <c r="IQ53" s="1" t="s">
        <v>40660</v>
      </c>
      <c r="IR53" s="1" t="s">
        <v>40661</v>
      </c>
      <c r="IS53" s="1" t="s">
        <v>40662</v>
      </c>
      <c r="IT53" s="1" t="s">
        <v>40663</v>
      </c>
      <c r="IU53" s="1" t="s">
        <v>40664</v>
      </c>
      <c r="IV53" s="1" t="s">
        <v>40665</v>
      </c>
      <c r="IW53" s="1" t="s">
        <v>40666</v>
      </c>
      <c r="IX53" s="1" t="s">
        <v>40667</v>
      </c>
      <c r="IY53" s="1" t="s">
        <v>40668</v>
      </c>
      <c r="IZ53" s="1" t="s">
        <v>40669</v>
      </c>
      <c r="JA53" s="1" t="s">
        <v>40670</v>
      </c>
      <c r="JB53" s="1" t="s">
        <v>40671</v>
      </c>
      <c r="JC53" s="1" t="s">
        <v>40672</v>
      </c>
      <c r="JD53" s="1" t="s">
        <v>40673</v>
      </c>
      <c r="JE53" s="1" t="s">
        <v>40674</v>
      </c>
      <c r="JF53" s="1" t="s">
        <v>40675</v>
      </c>
      <c r="JG53" s="1" t="s">
        <v>40676</v>
      </c>
      <c r="JH53" s="1" t="s">
        <v>40677</v>
      </c>
      <c r="JI53" s="1" t="s">
        <v>40678</v>
      </c>
      <c r="JJ53" s="1" t="s">
        <v>40679</v>
      </c>
      <c r="JK53" s="1" t="s">
        <v>40680</v>
      </c>
      <c r="JL53" s="1" t="s">
        <v>40681</v>
      </c>
      <c r="JM53" s="1" t="s">
        <v>40682</v>
      </c>
      <c r="JN53" s="1" t="s">
        <v>40683</v>
      </c>
      <c r="JO53" s="1" t="s">
        <v>40684</v>
      </c>
      <c r="JP53" s="1" t="s">
        <v>40685</v>
      </c>
      <c r="JQ53" s="1" t="s">
        <v>40686</v>
      </c>
      <c r="JR53" s="1" t="s">
        <v>40687</v>
      </c>
      <c r="JS53" s="1" t="s">
        <v>40688</v>
      </c>
      <c r="JT53" s="1" t="s">
        <v>40689</v>
      </c>
      <c r="JU53" s="1" t="s">
        <v>40690</v>
      </c>
      <c r="JV53" s="1" t="s">
        <v>40691</v>
      </c>
      <c r="JW53" s="1" t="s">
        <v>40692</v>
      </c>
      <c r="JX53" s="1" t="s">
        <v>40693</v>
      </c>
      <c r="JY53" s="1" t="s">
        <v>40694</v>
      </c>
      <c r="JZ53" s="1" t="s">
        <v>40695</v>
      </c>
      <c r="KA53" s="1" t="s">
        <v>40696</v>
      </c>
      <c r="KB53" s="1" t="s">
        <v>40697</v>
      </c>
      <c r="KC53" s="1" t="s">
        <v>40698</v>
      </c>
      <c r="KD53" s="1" t="s">
        <v>40699</v>
      </c>
      <c r="KE53" s="1" t="s">
        <v>40700</v>
      </c>
      <c r="KF53" s="1" t="s">
        <v>40701</v>
      </c>
      <c r="KG53" s="1" t="s">
        <v>40702</v>
      </c>
      <c r="KH53" s="1" t="s">
        <v>40703</v>
      </c>
      <c r="KI53" s="1" t="s">
        <v>40704</v>
      </c>
      <c r="KJ53" s="1" t="s">
        <v>40705</v>
      </c>
      <c r="KK53" s="1" t="s">
        <v>40706</v>
      </c>
      <c r="KL53" s="1" t="s">
        <v>40707</v>
      </c>
      <c r="KM53" s="1" t="s">
        <v>40708</v>
      </c>
      <c r="KN53" s="1" t="s">
        <v>40709</v>
      </c>
      <c r="KO53" s="1" t="s">
        <v>40710</v>
      </c>
      <c r="KP53" s="1" t="s">
        <v>40711</v>
      </c>
      <c r="KQ53" s="1" t="s">
        <v>40712</v>
      </c>
      <c r="KR53" s="1" t="s">
        <v>40713</v>
      </c>
      <c r="KS53" s="1" t="s">
        <v>40714</v>
      </c>
      <c r="KT53" s="1" t="s">
        <v>40715</v>
      </c>
      <c r="KU53" s="1" t="s">
        <v>40716</v>
      </c>
      <c r="KV53" s="1" t="s">
        <v>40717</v>
      </c>
      <c r="KW53" s="1" t="s">
        <v>40718</v>
      </c>
      <c r="KX53" s="1" t="s">
        <v>40719</v>
      </c>
      <c r="KY53" s="1" t="s">
        <v>40720</v>
      </c>
      <c r="KZ53" s="1" t="s">
        <v>40721</v>
      </c>
      <c r="LA53" s="1" t="s">
        <v>40722</v>
      </c>
      <c r="LB53" s="1" t="s">
        <v>40723</v>
      </c>
      <c r="LC53" s="1" t="s">
        <v>40724</v>
      </c>
      <c r="LD53" s="1" t="s">
        <v>40725</v>
      </c>
      <c r="LE53" s="1" t="s">
        <v>40726</v>
      </c>
      <c r="LF53" s="1" t="s">
        <v>40727</v>
      </c>
      <c r="LG53" s="1" t="s">
        <v>40728</v>
      </c>
      <c r="LH53" s="1" t="s">
        <v>40729</v>
      </c>
      <c r="LI53" s="1" t="s">
        <v>40730</v>
      </c>
      <c r="LJ53" s="1" t="s">
        <v>40731</v>
      </c>
      <c r="LK53" s="1" t="s">
        <v>40732</v>
      </c>
      <c r="LL53" s="1" t="s">
        <v>40733</v>
      </c>
      <c r="LM53" s="1" t="s">
        <v>40734</v>
      </c>
      <c r="LN53" s="1" t="s">
        <v>40735</v>
      </c>
      <c r="LO53" s="1" t="s">
        <v>40736</v>
      </c>
      <c r="LP53" s="1" t="s">
        <v>40737</v>
      </c>
      <c r="LQ53" s="1" t="s">
        <v>40738</v>
      </c>
      <c r="LR53" s="1" t="s">
        <v>40739</v>
      </c>
      <c r="LS53" s="1" t="s">
        <v>40740</v>
      </c>
      <c r="LT53" s="1" t="s">
        <v>40741</v>
      </c>
      <c r="LU53" s="1" t="s">
        <v>40742</v>
      </c>
      <c r="LV53" s="1" t="s">
        <v>40743</v>
      </c>
      <c r="LW53" s="1" t="s">
        <v>40744</v>
      </c>
      <c r="LX53" s="1" t="s">
        <v>40745</v>
      </c>
      <c r="LY53" s="1" t="s">
        <v>40746</v>
      </c>
      <c r="LZ53" s="1" t="s">
        <v>40747</v>
      </c>
      <c r="MA53" s="1" t="s">
        <v>40748</v>
      </c>
      <c r="MB53" s="1" t="s">
        <v>40749</v>
      </c>
      <c r="MC53" s="1" t="s">
        <v>40750</v>
      </c>
      <c r="MD53" s="1" t="s">
        <v>40751</v>
      </c>
      <c r="ME53" s="1" t="s">
        <v>40752</v>
      </c>
      <c r="MF53" s="1" t="s">
        <v>40753</v>
      </c>
      <c r="MG53" s="1" t="s">
        <v>40754</v>
      </c>
      <c r="MH53" s="1" t="s">
        <v>40755</v>
      </c>
      <c r="MI53" s="1" t="s">
        <v>40756</v>
      </c>
      <c r="MJ53" s="1" t="s">
        <v>40757</v>
      </c>
      <c r="MK53" s="1" t="s">
        <v>40758</v>
      </c>
      <c r="ML53" s="1" t="s">
        <v>40759</v>
      </c>
      <c r="MM53" s="1" t="s">
        <v>40760</v>
      </c>
      <c r="MN53" s="1" t="s">
        <v>40761</v>
      </c>
      <c r="MO53" s="1" t="s">
        <v>40762</v>
      </c>
      <c r="MP53" s="1" t="s">
        <v>40763</v>
      </c>
      <c r="MQ53" s="1" t="s">
        <v>40764</v>
      </c>
      <c r="MR53" s="1" t="s">
        <v>40765</v>
      </c>
      <c r="MS53" s="1" t="s">
        <v>40766</v>
      </c>
      <c r="MT53" s="1" t="s">
        <v>40767</v>
      </c>
      <c r="MU53" s="1" t="s">
        <v>40768</v>
      </c>
      <c r="MV53" s="1" t="s">
        <v>40769</v>
      </c>
      <c r="MW53" s="1" t="s">
        <v>40770</v>
      </c>
      <c r="MX53" s="1" t="s">
        <v>40771</v>
      </c>
      <c r="MY53" s="1" t="s">
        <v>40772</v>
      </c>
      <c r="MZ53" s="1" t="s">
        <v>40773</v>
      </c>
      <c r="NA53" s="1" t="s">
        <v>40774</v>
      </c>
      <c r="NB53" s="1" t="s">
        <v>40775</v>
      </c>
      <c r="NC53" s="1" t="s">
        <v>40776</v>
      </c>
      <c r="ND53" s="1" t="s">
        <v>40777</v>
      </c>
      <c r="NE53" s="1" t="s">
        <v>40778</v>
      </c>
      <c r="NF53" s="1" t="s">
        <v>40779</v>
      </c>
      <c r="NG53" s="1" t="s">
        <v>40780</v>
      </c>
      <c r="NH53" s="1" t="s">
        <v>40781</v>
      </c>
      <c r="NI53" s="1" t="s">
        <v>40782</v>
      </c>
      <c r="NJ53" s="1" t="s">
        <v>40783</v>
      </c>
      <c r="NK53" s="1" t="s">
        <v>40784</v>
      </c>
      <c r="NL53" s="1" t="s">
        <v>40785</v>
      </c>
      <c r="NM53" s="1" t="s">
        <v>40786</v>
      </c>
      <c r="NN53" s="1" t="s">
        <v>40787</v>
      </c>
      <c r="NO53" s="1" t="s">
        <v>40788</v>
      </c>
      <c r="NP53" s="1" t="s">
        <v>40789</v>
      </c>
      <c r="NQ53" s="1" t="s">
        <v>40790</v>
      </c>
      <c r="NR53" s="1" t="s">
        <v>40791</v>
      </c>
      <c r="NS53" s="1" t="s">
        <v>40792</v>
      </c>
      <c r="NT53" s="1" t="s">
        <v>40793</v>
      </c>
      <c r="NU53" s="1" t="s">
        <v>40794</v>
      </c>
      <c r="NV53" s="1" t="s">
        <v>40795</v>
      </c>
      <c r="NW53" s="1" t="s">
        <v>40796</v>
      </c>
      <c r="NX53" s="1" t="s">
        <v>40797</v>
      </c>
      <c r="NY53" s="1" t="s">
        <v>40798</v>
      </c>
      <c r="NZ53" s="1" t="s">
        <v>40799</v>
      </c>
      <c r="OA53" s="1" t="s">
        <v>40800</v>
      </c>
      <c r="OB53" s="1" t="s">
        <v>40801</v>
      </c>
      <c r="OC53" s="1" t="s">
        <v>40802</v>
      </c>
      <c r="OD53" s="1" t="s">
        <v>40803</v>
      </c>
      <c r="OE53" s="1" t="s">
        <v>40804</v>
      </c>
      <c r="OF53" s="1" t="s">
        <v>40805</v>
      </c>
      <c r="OG53" s="1" t="s">
        <v>40806</v>
      </c>
      <c r="OH53" s="1" t="s">
        <v>40807</v>
      </c>
      <c r="OI53" s="1" t="s">
        <v>40808</v>
      </c>
      <c r="OJ53" s="1" t="s">
        <v>40809</v>
      </c>
      <c r="OK53" s="1" t="s">
        <v>40810</v>
      </c>
      <c r="OL53" s="1" t="s">
        <v>40811</v>
      </c>
      <c r="OM53" s="1" t="s">
        <v>40812</v>
      </c>
      <c r="ON53" s="1" t="s">
        <v>40813</v>
      </c>
      <c r="OO53" s="1" t="s">
        <v>40814</v>
      </c>
      <c r="OP53" s="1" t="s">
        <v>40815</v>
      </c>
      <c r="OQ53" s="1" t="s">
        <v>40816</v>
      </c>
      <c r="OR53" s="1" t="s">
        <v>40817</v>
      </c>
      <c r="OS53" s="1" t="s">
        <v>40818</v>
      </c>
      <c r="OT53" s="1" t="s">
        <v>40819</v>
      </c>
      <c r="OU53" s="1" t="s">
        <v>40820</v>
      </c>
      <c r="OV53" s="1" t="s">
        <v>40821</v>
      </c>
      <c r="OW53" s="1" t="s">
        <v>40822</v>
      </c>
      <c r="OX53" s="1" t="s">
        <v>40823</v>
      </c>
      <c r="OY53" s="1" t="s">
        <v>40824</v>
      </c>
      <c r="OZ53" s="1" t="s">
        <v>40825</v>
      </c>
      <c r="PA53" s="1" t="s">
        <v>40826</v>
      </c>
      <c r="PB53" s="1" t="s">
        <v>40827</v>
      </c>
      <c r="PC53" s="1" t="s">
        <v>40828</v>
      </c>
      <c r="PD53" s="1" t="s">
        <v>40829</v>
      </c>
      <c r="PE53" s="1" t="s">
        <v>40830</v>
      </c>
      <c r="PF53" s="1" t="s">
        <v>40831</v>
      </c>
      <c r="PG53" s="1" t="s">
        <v>40832</v>
      </c>
      <c r="PH53" s="1" t="s">
        <v>40833</v>
      </c>
      <c r="PI53" s="1" t="s">
        <v>40834</v>
      </c>
      <c r="PJ53" s="1" t="s">
        <v>40835</v>
      </c>
      <c r="PK53" s="1" t="s">
        <v>40836</v>
      </c>
      <c r="PL53" s="1" t="s">
        <v>40837</v>
      </c>
      <c r="PM53" s="1" t="s">
        <v>40838</v>
      </c>
      <c r="PN53" s="1" t="s">
        <v>40839</v>
      </c>
      <c r="PO53" s="1" t="s">
        <v>40840</v>
      </c>
      <c r="PP53" s="1" t="s">
        <v>40841</v>
      </c>
      <c r="PQ53" s="1" t="s">
        <v>40842</v>
      </c>
      <c r="PR53" s="1" t="s">
        <v>40843</v>
      </c>
      <c r="PS53" s="1" t="s">
        <v>40844</v>
      </c>
      <c r="PT53" s="1" t="s">
        <v>40845</v>
      </c>
      <c r="PU53" s="1" t="s">
        <v>40846</v>
      </c>
      <c r="PV53" s="1" t="s">
        <v>40847</v>
      </c>
      <c r="PW53" s="1" t="s">
        <v>40848</v>
      </c>
      <c r="PX53" s="1" t="s">
        <v>40849</v>
      </c>
      <c r="PY53" s="1" t="s">
        <v>40850</v>
      </c>
      <c r="PZ53" s="1" t="s">
        <v>40851</v>
      </c>
      <c r="QA53" s="1" t="s">
        <v>40852</v>
      </c>
      <c r="QB53" s="1" t="s">
        <v>40853</v>
      </c>
      <c r="QC53" s="1" t="s">
        <v>40854</v>
      </c>
      <c r="QD53" s="1" t="s">
        <v>40855</v>
      </c>
      <c r="QE53" s="1" t="s">
        <v>40856</v>
      </c>
      <c r="QF53" s="1" t="s">
        <v>40857</v>
      </c>
      <c r="QG53" s="1" t="s">
        <v>40858</v>
      </c>
      <c r="QH53" s="1" t="s">
        <v>40859</v>
      </c>
      <c r="QI53" s="1" t="s">
        <v>40860</v>
      </c>
      <c r="QJ53" s="1" t="s">
        <v>40861</v>
      </c>
      <c r="QK53" s="1" t="s">
        <v>40862</v>
      </c>
      <c r="QL53" s="1" t="s">
        <v>40863</v>
      </c>
      <c r="QM53" s="1" t="s">
        <v>40864</v>
      </c>
      <c r="QN53" s="1" t="s">
        <v>40865</v>
      </c>
      <c r="QO53" s="1" t="s">
        <v>40866</v>
      </c>
      <c r="QP53" s="1" t="s">
        <v>40867</v>
      </c>
      <c r="QQ53" s="1" t="s">
        <v>40868</v>
      </c>
      <c r="QR53" s="1" t="s">
        <v>40869</v>
      </c>
      <c r="QS53" s="1" t="s">
        <v>40870</v>
      </c>
      <c r="QT53" s="1" t="s">
        <v>40871</v>
      </c>
      <c r="QU53" s="1" t="s">
        <v>40872</v>
      </c>
      <c r="QV53" s="1" t="s">
        <v>40873</v>
      </c>
      <c r="QW53" s="1" t="s">
        <v>40874</v>
      </c>
      <c r="QX53" s="1" t="s">
        <v>40875</v>
      </c>
      <c r="QY53" s="1" t="s">
        <v>40876</v>
      </c>
      <c r="QZ53" s="1" t="s">
        <v>40877</v>
      </c>
      <c r="RA53" s="1" t="s">
        <v>40878</v>
      </c>
      <c r="RB53" s="1" t="s">
        <v>40879</v>
      </c>
      <c r="RC53" s="1" t="s">
        <v>40880</v>
      </c>
      <c r="RD53" s="1" t="s">
        <v>40881</v>
      </c>
      <c r="RE53" s="1" t="s">
        <v>40882</v>
      </c>
      <c r="RF53" s="1" t="s">
        <v>40883</v>
      </c>
      <c r="RG53" s="1" t="s">
        <v>40884</v>
      </c>
      <c r="RH53" s="1" t="s">
        <v>40885</v>
      </c>
      <c r="RI53" s="1" t="s">
        <v>40886</v>
      </c>
      <c r="RJ53" s="1" t="s">
        <v>40887</v>
      </c>
      <c r="RK53" s="1" t="s">
        <v>40888</v>
      </c>
      <c r="RL53" s="1" t="s">
        <v>40889</v>
      </c>
      <c r="RM53" s="1" t="s">
        <v>40890</v>
      </c>
      <c r="RN53" s="1" t="s">
        <v>40891</v>
      </c>
      <c r="RO53" s="1" t="s">
        <v>40892</v>
      </c>
      <c r="RP53" s="1" t="s">
        <v>40893</v>
      </c>
      <c r="RQ53" s="1" t="s">
        <v>40894</v>
      </c>
      <c r="RR53" s="1" t="s">
        <v>40895</v>
      </c>
      <c r="RS53" s="1" t="s">
        <v>40896</v>
      </c>
      <c r="RT53" s="1" t="s">
        <v>40897</v>
      </c>
      <c r="RU53" s="1" t="s">
        <v>40898</v>
      </c>
      <c r="RV53" s="1" t="s">
        <v>40899</v>
      </c>
      <c r="RW53" s="1" t="s">
        <v>40900</v>
      </c>
      <c r="RX53" s="1" t="s">
        <v>40901</v>
      </c>
      <c r="RY53" s="1" t="s">
        <v>40902</v>
      </c>
      <c r="RZ53" s="1" t="s">
        <v>40903</v>
      </c>
      <c r="SA53" s="1" t="s">
        <v>40904</v>
      </c>
      <c r="SB53" s="1" t="s">
        <v>40905</v>
      </c>
      <c r="SC53" s="1" t="s">
        <v>40906</v>
      </c>
      <c r="SD53" s="1" t="s">
        <v>40907</v>
      </c>
      <c r="SE53" s="1" t="s">
        <v>40908</v>
      </c>
      <c r="SF53" s="1" t="s">
        <v>40909</v>
      </c>
      <c r="SG53" s="1" t="s">
        <v>40910</v>
      </c>
      <c r="SH53" s="1" t="s">
        <v>40911</v>
      </c>
      <c r="SI53" s="1" t="s">
        <v>40912</v>
      </c>
      <c r="SJ53" s="1" t="s">
        <v>40913</v>
      </c>
      <c r="SK53" s="1" t="s">
        <v>40914</v>
      </c>
      <c r="SL53" s="1" t="s">
        <v>40915</v>
      </c>
      <c r="SM53" s="1" t="s">
        <v>40916</v>
      </c>
      <c r="SN53" s="1" t="s">
        <v>40917</v>
      </c>
      <c r="SO53" s="1" t="s">
        <v>40918</v>
      </c>
      <c r="SP53" s="1" t="s">
        <v>40919</v>
      </c>
      <c r="SQ53" s="1" t="s">
        <v>40920</v>
      </c>
      <c r="SR53" s="1" t="s">
        <v>40921</v>
      </c>
      <c r="SS53" s="1" t="s">
        <v>40922</v>
      </c>
      <c r="ST53" s="1" t="s">
        <v>40923</v>
      </c>
      <c r="SU53" s="1" t="s">
        <v>40924</v>
      </c>
      <c r="SV53" s="1" t="s">
        <v>40925</v>
      </c>
      <c r="SW53" s="1" t="s">
        <v>40926</v>
      </c>
      <c r="SX53" s="1" t="s">
        <v>40927</v>
      </c>
      <c r="SY53" s="1" t="s">
        <v>40928</v>
      </c>
      <c r="SZ53" s="1" t="s">
        <v>40929</v>
      </c>
      <c r="TA53" s="1" t="s">
        <v>40930</v>
      </c>
      <c r="TB53" s="1" t="s">
        <v>40931</v>
      </c>
      <c r="TC53" s="1" t="s">
        <v>40932</v>
      </c>
      <c r="TD53" s="1" t="s">
        <v>40933</v>
      </c>
      <c r="TE53" s="1" t="s">
        <v>40934</v>
      </c>
      <c r="TF53" s="1" t="s">
        <v>40935</v>
      </c>
      <c r="TG53" s="1" t="s">
        <v>40936</v>
      </c>
      <c r="TH53" s="1" t="s">
        <v>40937</v>
      </c>
      <c r="TI53" s="1" t="s">
        <v>40938</v>
      </c>
      <c r="TJ53" s="1" t="s">
        <v>40939</v>
      </c>
      <c r="TK53" s="1" t="s">
        <v>40940</v>
      </c>
      <c r="TL53" s="1" t="s">
        <v>40941</v>
      </c>
      <c r="TM53" s="1" t="s">
        <v>40942</v>
      </c>
      <c r="TN53" s="1" t="s">
        <v>40943</v>
      </c>
      <c r="TO53" s="1" t="s">
        <v>40944</v>
      </c>
      <c r="TP53" s="1" t="s">
        <v>40945</v>
      </c>
      <c r="TQ53" s="1" t="s">
        <v>40946</v>
      </c>
      <c r="TR53" s="1" t="s">
        <v>40947</v>
      </c>
      <c r="TS53" s="1" t="s">
        <v>40948</v>
      </c>
      <c r="TT53" s="1" t="s">
        <v>40949</v>
      </c>
      <c r="TU53" s="1" t="s">
        <v>40950</v>
      </c>
      <c r="TV53" s="1" t="s">
        <v>40951</v>
      </c>
      <c r="TW53" s="1" t="s">
        <v>40952</v>
      </c>
      <c r="TX53" s="1" t="s">
        <v>40953</v>
      </c>
      <c r="TY53" s="1" t="s">
        <v>40954</v>
      </c>
      <c r="TZ53" s="1" t="s">
        <v>40955</v>
      </c>
      <c r="UA53" s="1" t="s">
        <v>40956</v>
      </c>
      <c r="UB53" s="1" t="s">
        <v>40957</v>
      </c>
      <c r="UC53" s="1" t="s">
        <v>40958</v>
      </c>
      <c r="UD53" s="1" t="s">
        <v>40959</v>
      </c>
      <c r="UE53" s="1" t="s">
        <v>40960</v>
      </c>
      <c r="UF53" s="1" t="s">
        <v>40961</v>
      </c>
      <c r="UG53" s="1" t="s">
        <v>40962</v>
      </c>
      <c r="UH53" s="1" t="s">
        <v>40963</v>
      </c>
      <c r="UI53" s="1" t="s">
        <v>40964</v>
      </c>
      <c r="UJ53" s="1" t="s">
        <v>40965</v>
      </c>
      <c r="UK53" s="1" t="s">
        <v>40966</v>
      </c>
      <c r="UL53" s="1" t="s">
        <v>40967</v>
      </c>
      <c r="UM53" s="1" t="s">
        <v>40968</v>
      </c>
      <c r="UN53" s="1" t="s">
        <v>40969</v>
      </c>
      <c r="UO53" s="1" t="s">
        <v>40970</v>
      </c>
      <c r="UP53" s="1" t="s">
        <v>40971</v>
      </c>
      <c r="UQ53" s="1" t="s">
        <v>40972</v>
      </c>
      <c r="UR53" s="1" t="s">
        <v>40973</v>
      </c>
      <c r="US53" s="1" t="s">
        <v>40974</v>
      </c>
      <c r="UT53" s="1" t="s">
        <v>40975</v>
      </c>
      <c r="UU53" s="1" t="s">
        <v>40976</v>
      </c>
      <c r="UV53" s="1" t="s">
        <v>40977</v>
      </c>
      <c r="UW53" s="1" t="s">
        <v>40978</v>
      </c>
      <c r="UX53" s="1" t="s">
        <v>40979</v>
      </c>
      <c r="UY53" s="1" t="s">
        <v>40980</v>
      </c>
      <c r="UZ53" s="1" t="s">
        <v>40981</v>
      </c>
      <c r="VA53" s="1" t="s">
        <v>40982</v>
      </c>
      <c r="VB53" s="1" t="s">
        <v>40983</v>
      </c>
      <c r="VC53" s="1" t="s">
        <v>40984</v>
      </c>
      <c r="VD53" s="1" t="s">
        <v>40985</v>
      </c>
      <c r="VE53" s="1" t="s">
        <v>40986</v>
      </c>
      <c r="VF53" s="1" t="s">
        <v>40987</v>
      </c>
      <c r="VG53" s="1" t="s">
        <v>40988</v>
      </c>
      <c r="VH53" s="1" t="s">
        <v>40989</v>
      </c>
      <c r="VI53" s="1" t="s">
        <v>40990</v>
      </c>
      <c r="VJ53" s="1" t="s">
        <v>40991</v>
      </c>
      <c r="VK53" s="1" t="s">
        <v>40992</v>
      </c>
      <c r="VL53" s="1" t="s">
        <v>40993</v>
      </c>
      <c r="VM53" s="1" t="s">
        <v>40994</v>
      </c>
      <c r="VN53" s="1" t="s">
        <v>40995</v>
      </c>
      <c r="VO53" s="1" t="s">
        <v>40996</v>
      </c>
      <c r="VP53" s="1" t="s">
        <v>40997</v>
      </c>
      <c r="VQ53" s="1" t="s">
        <v>40998</v>
      </c>
      <c r="VR53" s="1" t="s">
        <v>40999</v>
      </c>
      <c r="VS53" s="1" t="s">
        <v>41000</v>
      </c>
      <c r="VT53" s="1" t="s">
        <v>41001</v>
      </c>
      <c r="VU53" s="1" t="s">
        <v>41002</v>
      </c>
      <c r="VV53" s="1" t="s">
        <v>41003</v>
      </c>
      <c r="VW53" s="1" t="s">
        <v>41004</v>
      </c>
      <c r="VX53" s="1" t="s">
        <v>41005</v>
      </c>
      <c r="VY53" s="1" t="s">
        <v>41006</v>
      </c>
      <c r="VZ53" s="1" t="s">
        <v>41007</v>
      </c>
      <c r="WA53" s="1" t="s">
        <v>41008</v>
      </c>
      <c r="WB53" s="1" t="s">
        <v>41009</v>
      </c>
      <c r="WC53" s="1" t="s">
        <v>41010</v>
      </c>
      <c r="WD53" s="1" t="s">
        <v>41011</v>
      </c>
      <c r="WE53" s="1" t="s">
        <v>41012</v>
      </c>
      <c r="WF53" s="1" t="s">
        <v>41013</v>
      </c>
      <c r="WG53" s="1" t="s">
        <v>41014</v>
      </c>
      <c r="WH53" s="1" t="s">
        <v>41015</v>
      </c>
      <c r="WI53" s="1" t="s">
        <v>41016</v>
      </c>
      <c r="WJ53" s="1" t="s">
        <v>41017</v>
      </c>
      <c r="WK53" s="1" t="s">
        <v>41018</v>
      </c>
      <c r="WL53" s="1" t="s">
        <v>41019</v>
      </c>
      <c r="WM53" s="1" t="s">
        <v>41020</v>
      </c>
      <c r="WN53" s="1" t="s">
        <v>41021</v>
      </c>
      <c r="WO53" s="1" t="s">
        <v>41022</v>
      </c>
      <c r="WP53" s="1" t="s">
        <v>41023</v>
      </c>
      <c r="WQ53" s="1" t="s">
        <v>41024</v>
      </c>
      <c r="WR53" s="1" t="s">
        <v>41025</v>
      </c>
      <c r="WS53" s="1" t="s">
        <v>41026</v>
      </c>
      <c r="WT53" s="1" t="s">
        <v>41027</v>
      </c>
      <c r="WU53" s="1" t="s">
        <v>41028</v>
      </c>
      <c r="WV53" s="1" t="s">
        <v>41029</v>
      </c>
      <c r="WW53" s="1" t="s">
        <v>41030</v>
      </c>
      <c r="WX53" s="1" t="s">
        <v>41031</v>
      </c>
      <c r="WY53" s="1" t="s">
        <v>41032</v>
      </c>
      <c r="WZ53" s="1" t="s">
        <v>41033</v>
      </c>
      <c r="XA53" s="1" t="s">
        <v>41034</v>
      </c>
      <c r="XB53" s="1" t="s">
        <v>41035</v>
      </c>
      <c r="XC53" s="1" t="s">
        <v>41036</v>
      </c>
      <c r="XD53" s="1" t="s">
        <v>41037</v>
      </c>
      <c r="XE53" s="1" t="s">
        <v>41038</v>
      </c>
      <c r="XF53" s="1" t="s">
        <v>41039</v>
      </c>
      <c r="XG53" s="1" t="s">
        <v>41040</v>
      </c>
      <c r="XH53" s="1" t="s">
        <v>41041</v>
      </c>
      <c r="XI53" s="1" t="s">
        <v>41042</v>
      </c>
      <c r="XJ53" s="1" t="s">
        <v>41043</v>
      </c>
      <c r="XK53" s="1" t="s">
        <v>41044</v>
      </c>
      <c r="XL53" s="1" t="s">
        <v>41045</v>
      </c>
      <c r="XM53" s="1" t="s">
        <v>41046</v>
      </c>
      <c r="XN53" s="1" t="s">
        <v>41047</v>
      </c>
      <c r="XO53" s="1" t="s">
        <v>41048</v>
      </c>
      <c r="XP53" s="1" t="s">
        <v>41049</v>
      </c>
      <c r="XQ53" s="1" t="s">
        <v>41050</v>
      </c>
      <c r="XR53" s="1" t="s">
        <v>41051</v>
      </c>
      <c r="XS53" s="1" t="s">
        <v>41052</v>
      </c>
      <c r="XT53" s="1" t="s">
        <v>41053</v>
      </c>
      <c r="XU53" s="1" t="s">
        <v>41054</v>
      </c>
      <c r="XV53" s="1" t="s">
        <v>41055</v>
      </c>
      <c r="XW53" s="1" t="s">
        <v>41056</v>
      </c>
      <c r="XX53" s="1" t="s">
        <v>41057</v>
      </c>
      <c r="XY53" s="1" t="s">
        <v>41058</v>
      </c>
      <c r="XZ53" s="1" t="s">
        <v>41059</v>
      </c>
      <c r="YA53" s="1" t="s">
        <v>41060</v>
      </c>
      <c r="YB53" s="1" t="s">
        <v>41061</v>
      </c>
      <c r="YC53" s="1" t="s">
        <v>41062</v>
      </c>
      <c r="YD53" s="1" t="s">
        <v>41063</v>
      </c>
      <c r="YE53" s="1" t="s">
        <v>41064</v>
      </c>
      <c r="YF53" s="1" t="s">
        <v>41065</v>
      </c>
      <c r="YG53" s="1" t="s">
        <v>41066</v>
      </c>
      <c r="YH53" s="1" t="s">
        <v>41067</v>
      </c>
      <c r="YI53" s="1" t="s">
        <v>41068</v>
      </c>
      <c r="YJ53" s="1" t="s">
        <v>41069</v>
      </c>
      <c r="YK53" s="1" t="s">
        <v>41070</v>
      </c>
      <c r="YL53" s="1" t="s">
        <v>41071</v>
      </c>
      <c r="YM53" s="1" t="s">
        <v>41072</v>
      </c>
      <c r="YN53" s="1" t="s">
        <v>41073</v>
      </c>
      <c r="YO53" s="1" t="s">
        <v>41074</v>
      </c>
      <c r="YP53" s="1" t="s">
        <v>41075</v>
      </c>
      <c r="YQ53" s="1" t="s">
        <v>41076</v>
      </c>
      <c r="YR53" s="1" t="s">
        <v>41077</v>
      </c>
      <c r="YS53" s="1" t="s">
        <v>41078</v>
      </c>
      <c r="YT53" s="1" t="s">
        <v>41079</v>
      </c>
      <c r="YU53" s="1" t="s">
        <v>41080</v>
      </c>
      <c r="YV53" s="1" t="s">
        <v>41081</v>
      </c>
      <c r="YW53" s="1" t="s">
        <v>41082</v>
      </c>
      <c r="YX53" s="1" t="s">
        <v>41083</v>
      </c>
      <c r="YY53" s="1" t="s">
        <v>41084</v>
      </c>
      <c r="YZ53" s="1" t="s">
        <v>41085</v>
      </c>
      <c r="ZA53" s="1" t="s">
        <v>41086</v>
      </c>
      <c r="ZB53" s="1" t="s">
        <v>41087</v>
      </c>
      <c r="ZC53" s="1" t="s">
        <v>41088</v>
      </c>
      <c r="ZD53" s="1" t="s">
        <v>41089</v>
      </c>
      <c r="ZE53" s="1" t="s">
        <v>41090</v>
      </c>
      <c r="ZF53" s="1" t="s">
        <v>41091</v>
      </c>
      <c r="ZG53" s="1" t="s">
        <v>41092</v>
      </c>
      <c r="ZH53" s="1" t="s">
        <v>41093</v>
      </c>
      <c r="ZI53" s="1" t="s">
        <v>41094</v>
      </c>
      <c r="ZJ53" s="1" t="s">
        <v>41095</v>
      </c>
      <c r="ZK53" s="1" t="s">
        <v>41096</v>
      </c>
      <c r="ZL53" s="1" t="s">
        <v>41097</v>
      </c>
      <c r="ZM53" s="1" t="s">
        <v>41098</v>
      </c>
      <c r="ZN53" s="1" t="s">
        <v>41099</v>
      </c>
      <c r="ZO53" s="1" t="s">
        <v>41100</v>
      </c>
      <c r="ZP53" s="1" t="s">
        <v>41101</v>
      </c>
      <c r="ZQ53" s="1" t="s">
        <v>41102</v>
      </c>
      <c r="ZR53" s="1" t="s">
        <v>41103</v>
      </c>
      <c r="ZS53" s="1" t="s">
        <v>41104</v>
      </c>
      <c r="ZT53" s="1" t="s">
        <v>41105</v>
      </c>
      <c r="ZU53" s="1" t="s">
        <v>41106</v>
      </c>
      <c r="ZV53" s="1" t="s">
        <v>41107</v>
      </c>
      <c r="ZW53" s="1" t="s">
        <v>41108</v>
      </c>
      <c r="ZX53" s="1" t="s">
        <v>41109</v>
      </c>
      <c r="ZY53" s="1" t="s">
        <v>41110</v>
      </c>
      <c r="ZZ53" s="1" t="s">
        <v>41111</v>
      </c>
      <c r="AAA53" s="1" t="s">
        <v>41112</v>
      </c>
      <c r="AAB53" s="1" t="s">
        <v>41113</v>
      </c>
      <c r="AAC53" s="1" t="s">
        <v>41114</v>
      </c>
      <c r="AAD53" s="1" t="s">
        <v>41115</v>
      </c>
      <c r="AAE53" s="1" t="s">
        <v>41116</v>
      </c>
      <c r="AAF53" s="1" t="s">
        <v>41117</v>
      </c>
      <c r="AAG53" s="1" t="s">
        <v>41118</v>
      </c>
      <c r="AAH53" s="1" t="s">
        <v>41119</v>
      </c>
      <c r="AAI53" s="1" t="s">
        <v>41120</v>
      </c>
      <c r="AAJ53" s="1" t="s">
        <v>41121</v>
      </c>
      <c r="AAK53" s="1" t="s">
        <v>41122</v>
      </c>
      <c r="AAL53" s="1" t="s">
        <v>41123</v>
      </c>
      <c r="AAM53" s="1" t="s">
        <v>41124</v>
      </c>
      <c r="AAN53" s="1" t="s">
        <v>41125</v>
      </c>
      <c r="AAO53" s="1" t="s">
        <v>41126</v>
      </c>
      <c r="AAP53" s="1" t="s">
        <v>41127</v>
      </c>
      <c r="AAQ53" s="1" t="s">
        <v>41128</v>
      </c>
      <c r="AAR53" s="1" t="s">
        <v>41129</v>
      </c>
      <c r="AAS53" s="1" t="s">
        <v>41130</v>
      </c>
      <c r="AAT53" s="1" t="s">
        <v>41131</v>
      </c>
      <c r="AAU53" s="1" t="s">
        <v>41132</v>
      </c>
      <c r="AAV53" s="1" t="s">
        <v>41133</v>
      </c>
      <c r="AAW53" s="1" t="s">
        <v>41134</v>
      </c>
      <c r="AAX53" s="1" t="s">
        <v>41135</v>
      </c>
      <c r="AAY53" s="1" t="s">
        <v>41136</v>
      </c>
      <c r="AAZ53" s="1" t="s">
        <v>41137</v>
      </c>
      <c r="ABA53" s="1" t="s">
        <v>41138</v>
      </c>
      <c r="ABB53" s="1" t="s">
        <v>41139</v>
      </c>
      <c r="ABC53" s="1" t="s">
        <v>41140</v>
      </c>
      <c r="ABD53" s="1" t="s">
        <v>41141</v>
      </c>
      <c r="ABE53" s="1" t="s">
        <v>41142</v>
      </c>
      <c r="ABF53" s="1" t="s">
        <v>41143</v>
      </c>
      <c r="ABG53" s="1" t="s">
        <v>41144</v>
      </c>
      <c r="ABH53" s="1" t="s">
        <v>41145</v>
      </c>
      <c r="ABI53" s="1" t="s">
        <v>41146</v>
      </c>
      <c r="ABJ53" s="1" t="s">
        <v>41147</v>
      </c>
      <c r="ABK53" s="1" t="s">
        <v>41148</v>
      </c>
      <c r="ABL53" s="1" t="s">
        <v>41149</v>
      </c>
      <c r="ABM53" s="1" t="s">
        <v>41150</v>
      </c>
      <c r="ABN53" s="1" t="s">
        <v>41151</v>
      </c>
      <c r="ABO53" s="1" t="s">
        <v>41152</v>
      </c>
      <c r="ABP53" s="1" t="s">
        <v>41153</v>
      </c>
      <c r="ABQ53" s="1" t="s">
        <v>41154</v>
      </c>
      <c r="ABR53" s="1" t="s">
        <v>41155</v>
      </c>
      <c r="ABS53" s="1" t="s">
        <v>41156</v>
      </c>
      <c r="ABT53" s="1" t="s">
        <v>41157</v>
      </c>
      <c r="ABU53" s="1" t="s">
        <v>41158</v>
      </c>
      <c r="ABV53" s="1" t="s">
        <v>41159</v>
      </c>
      <c r="ABW53" s="1" t="s">
        <v>41160</v>
      </c>
      <c r="ABX53" s="1" t="s">
        <v>41161</v>
      </c>
      <c r="ABY53" s="1" t="s">
        <v>41162</v>
      </c>
      <c r="ABZ53" s="1" t="s">
        <v>41163</v>
      </c>
      <c r="ACA53" s="1" t="s">
        <v>41164</v>
      </c>
      <c r="ACB53" s="1" t="s">
        <v>41165</v>
      </c>
      <c r="ACC53" s="1" t="s">
        <v>41166</v>
      </c>
      <c r="ACD53" s="1" t="s">
        <v>41167</v>
      </c>
      <c r="ACE53" s="1" t="s">
        <v>41168</v>
      </c>
      <c r="ACF53" s="1" t="s">
        <v>41169</v>
      </c>
      <c r="ACG53" s="1" t="s">
        <v>41170</v>
      </c>
      <c r="ACH53" s="1" t="s">
        <v>41171</v>
      </c>
      <c r="ACI53" s="1" t="s">
        <v>41172</v>
      </c>
      <c r="ACJ53" s="1" t="s">
        <v>41173</v>
      </c>
      <c r="ACK53" s="1" t="s">
        <v>41174</v>
      </c>
      <c r="ACL53" s="1" t="s">
        <v>41175</v>
      </c>
      <c r="ACM53" s="1" t="s">
        <v>41176</v>
      </c>
      <c r="ACN53" s="1" t="s">
        <v>41177</v>
      </c>
      <c r="ACO53" s="1" t="s">
        <v>41178</v>
      </c>
      <c r="ACP53" s="1" t="s">
        <v>41179</v>
      </c>
      <c r="ACQ53" s="1" t="s">
        <v>41180</v>
      </c>
      <c r="ACR53" s="1" t="s">
        <v>41181</v>
      </c>
      <c r="ACS53" s="1" t="s">
        <v>41182</v>
      </c>
      <c r="ACT53" s="1" t="s">
        <v>41183</v>
      </c>
      <c r="ACU53" s="1" t="s">
        <v>41184</v>
      </c>
      <c r="ACV53" s="1" t="s">
        <v>41185</v>
      </c>
      <c r="ACW53" s="1" t="s">
        <v>6</v>
      </c>
      <c r="ACX53" s="1" t="s">
        <v>1501</v>
      </c>
    </row>
    <row r="54" spans="1:778" x14ac:dyDescent="0.2">
      <c r="A54" s="1" t="s">
        <v>37</v>
      </c>
      <c r="B54" s="1" t="s">
        <v>41186</v>
      </c>
      <c r="C54" s="1" t="s">
        <v>41187</v>
      </c>
      <c r="D54" s="1" t="s">
        <v>41188</v>
      </c>
      <c r="E54" s="1" t="s">
        <v>41189</v>
      </c>
      <c r="F54" s="1" t="s">
        <v>41190</v>
      </c>
      <c r="G54" s="1" t="s">
        <v>41191</v>
      </c>
      <c r="H54" s="1" t="s">
        <v>41192</v>
      </c>
      <c r="I54" s="1" t="s">
        <v>41193</v>
      </c>
      <c r="J54" s="1" t="s">
        <v>41194</v>
      </c>
      <c r="K54" s="1" t="s">
        <v>41195</v>
      </c>
      <c r="L54" s="1" t="s">
        <v>41196</v>
      </c>
      <c r="M54" s="1" t="s">
        <v>41197</v>
      </c>
      <c r="N54" s="1" t="s">
        <v>41198</v>
      </c>
      <c r="O54" s="1" t="s">
        <v>41199</v>
      </c>
      <c r="P54" s="1" t="s">
        <v>41200</v>
      </c>
      <c r="Q54" s="1" t="s">
        <v>41201</v>
      </c>
      <c r="R54" s="1" t="s">
        <v>41202</v>
      </c>
      <c r="S54" s="1" t="s">
        <v>41203</v>
      </c>
      <c r="T54" s="1" t="s">
        <v>41204</v>
      </c>
      <c r="U54" s="1" t="s">
        <v>41205</v>
      </c>
      <c r="V54" s="1" t="s">
        <v>41206</v>
      </c>
      <c r="W54" s="1" t="s">
        <v>41207</v>
      </c>
      <c r="X54" s="1" t="s">
        <v>41208</v>
      </c>
      <c r="Y54" s="1" t="s">
        <v>41209</v>
      </c>
      <c r="Z54" s="1" t="s">
        <v>41210</v>
      </c>
      <c r="AA54" s="1" t="s">
        <v>41211</v>
      </c>
      <c r="AB54" s="1" t="s">
        <v>41212</v>
      </c>
      <c r="AC54" s="1" t="s">
        <v>41213</v>
      </c>
      <c r="AD54" s="1" t="s">
        <v>41214</v>
      </c>
      <c r="AE54" s="1" t="s">
        <v>41215</v>
      </c>
      <c r="AF54" s="1" t="s">
        <v>41216</v>
      </c>
      <c r="AG54" s="1" t="s">
        <v>41217</v>
      </c>
      <c r="AH54" s="1" t="s">
        <v>41218</v>
      </c>
      <c r="AI54" s="1" t="s">
        <v>41219</v>
      </c>
      <c r="AJ54" s="1" t="s">
        <v>41220</v>
      </c>
      <c r="AK54" s="1" t="s">
        <v>41221</v>
      </c>
      <c r="AL54" s="1" t="s">
        <v>41222</v>
      </c>
      <c r="AM54" s="1" t="s">
        <v>41223</v>
      </c>
      <c r="AN54" s="1" t="s">
        <v>41224</v>
      </c>
      <c r="AO54" s="1" t="s">
        <v>41225</v>
      </c>
      <c r="AP54" s="1" t="s">
        <v>41226</v>
      </c>
      <c r="AQ54" s="1" t="s">
        <v>41227</v>
      </c>
      <c r="AR54" s="1" t="s">
        <v>41228</v>
      </c>
      <c r="AS54" s="1" t="s">
        <v>41229</v>
      </c>
      <c r="AT54" s="1" t="s">
        <v>41230</v>
      </c>
      <c r="AU54" s="1" t="s">
        <v>41231</v>
      </c>
      <c r="AV54" s="1" t="s">
        <v>41232</v>
      </c>
      <c r="AW54" s="1" t="s">
        <v>41233</v>
      </c>
      <c r="AX54" s="1" t="s">
        <v>41234</v>
      </c>
      <c r="AY54" s="1" t="s">
        <v>41235</v>
      </c>
      <c r="AZ54" s="1" t="s">
        <v>41236</v>
      </c>
      <c r="BA54" s="1" t="s">
        <v>41237</v>
      </c>
      <c r="BB54" s="1" t="s">
        <v>41238</v>
      </c>
      <c r="BC54" s="1" t="s">
        <v>41239</v>
      </c>
      <c r="BD54" s="1" t="s">
        <v>41240</v>
      </c>
      <c r="BE54" s="1" t="s">
        <v>41241</v>
      </c>
      <c r="BF54" s="1" t="s">
        <v>41242</v>
      </c>
      <c r="BG54" s="1" t="s">
        <v>41243</v>
      </c>
      <c r="BH54" s="1" t="s">
        <v>41244</v>
      </c>
      <c r="BI54" s="1" t="s">
        <v>41245</v>
      </c>
      <c r="BJ54" s="1" t="s">
        <v>41246</v>
      </c>
      <c r="BK54" s="1" t="s">
        <v>41247</v>
      </c>
      <c r="BL54" s="1" t="s">
        <v>41248</v>
      </c>
      <c r="BM54" s="1" t="s">
        <v>41249</v>
      </c>
      <c r="BN54" s="1" t="s">
        <v>41250</v>
      </c>
      <c r="BO54" s="1" t="s">
        <v>41251</v>
      </c>
      <c r="BP54" s="1" t="s">
        <v>41252</v>
      </c>
      <c r="BQ54" s="1" t="s">
        <v>41253</v>
      </c>
      <c r="BR54" s="1" t="s">
        <v>41254</v>
      </c>
      <c r="BS54" s="1" t="s">
        <v>41255</v>
      </c>
      <c r="BT54" s="1" t="s">
        <v>41256</v>
      </c>
      <c r="BU54" s="1" t="s">
        <v>41257</v>
      </c>
      <c r="BV54" s="1" t="s">
        <v>41258</v>
      </c>
      <c r="BW54" s="1" t="s">
        <v>41259</v>
      </c>
      <c r="BX54" s="1" t="s">
        <v>41260</v>
      </c>
      <c r="BY54" s="1" t="s">
        <v>41261</v>
      </c>
      <c r="BZ54" s="1" t="s">
        <v>41262</v>
      </c>
      <c r="CA54" s="1" t="s">
        <v>41263</v>
      </c>
      <c r="CB54" s="1" t="s">
        <v>41264</v>
      </c>
      <c r="CC54" s="1" t="s">
        <v>41265</v>
      </c>
      <c r="CD54" s="1" t="s">
        <v>41266</v>
      </c>
      <c r="CE54" s="1" t="s">
        <v>41267</v>
      </c>
      <c r="CF54" s="1" t="s">
        <v>41268</v>
      </c>
      <c r="CG54" s="1" t="s">
        <v>41269</v>
      </c>
      <c r="CH54" s="1" t="s">
        <v>41270</v>
      </c>
      <c r="CI54" s="1" t="s">
        <v>41271</v>
      </c>
      <c r="CJ54" s="1" t="s">
        <v>41272</v>
      </c>
      <c r="CK54" s="1" t="s">
        <v>41273</v>
      </c>
      <c r="CL54" s="1" t="s">
        <v>41274</v>
      </c>
      <c r="CM54" s="1" t="s">
        <v>41275</v>
      </c>
      <c r="CN54" s="1" t="s">
        <v>41276</v>
      </c>
      <c r="CO54" s="1" t="s">
        <v>41277</v>
      </c>
      <c r="CP54" s="1" t="s">
        <v>41278</v>
      </c>
      <c r="CQ54" s="1" t="s">
        <v>41279</v>
      </c>
      <c r="CR54" s="1" t="s">
        <v>41280</v>
      </c>
      <c r="CS54" s="1" t="s">
        <v>41281</v>
      </c>
      <c r="CT54" s="1" t="s">
        <v>41282</v>
      </c>
      <c r="CU54" s="1" t="s">
        <v>41283</v>
      </c>
      <c r="CV54" s="1" t="s">
        <v>41284</v>
      </c>
      <c r="CW54" s="1" t="s">
        <v>41285</v>
      </c>
      <c r="CX54" s="1" t="s">
        <v>41286</v>
      </c>
      <c r="CY54" s="1" t="s">
        <v>41287</v>
      </c>
      <c r="CZ54" s="1" t="s">
        <v>41288</v>
      </c>
      <c r="DA54" s="1" t="s">
        <v>41289</v>
      </c>
      <c r="DB54" s="1" t="s">
        <v>41290</v>
      </c>
      <c r="DC54" s="1" t="s">
        <v>41291</v>
      </c>
      <c r="DD54" s="1" t="s">
        <v>41292</v>
      </c>
      <c r="DE54" s="1" t="s">
        <v>41293</v>
      </c>
      <c r="DF54" s="1" t="s">
        <v>41294</v>
      </c>
      <c r="DG54" s="1" t="s">
        <v>41295</v>
      </c>
      <c r="DH54" s="1" t="s">
        <v>41296</v>
      </c>
      <c r="DI54" s="1" t="s">
        <v>41297</v>
      </c>
      <c r="DJ54" s="1" t="s">
        <v>41298</v>
      </c>
      <c r="DK54" s="1" t="s">
        <v>41299</v>
      </c>
      <c r="DL54" s="1" t="s">
        <v>41300</v>
      </c>
      <c r="DM54" s="1" t="s">
        <v>41301</v>
      </c>
      <c r="DN54" s="1" t="s">
        <v>41302</v>
      </c>
      <c r="DO54" s="1" t="s">
        <v>41303</v>
      </c>
      <c r="DP54" s="1" t="s">
        <v>41304</v>
      </c>
      <c r="DQ54" s="1" t="s">
        <v>41305</v>
      </c>
      <c r="DR54" s="1" t="s">
        <v>41306</v>
      </c>
      <c r="DS54" s="1" t="s">
        <v>41307</v>
      </c>
      <c r="DT54" s="1" t="s">
        <v>41308</v>
      </c>
      <c r="DU54" s="1" t="s">
        <v>41309</v>
      </c>
      <c r="DV54" s="1" t="s">
        <v>41310</v>
      </c>
      <c r="DW54" s="1" t="s">
        <v>41311</v>
      </c>
      <c r="DX54" s="1" t="s">
        <v>41312</v>
      </c>
      <c r="DY54" s="1" t="s">
        <v>41313</v>
      </c>
      <c r="DZ54" s="1" t="s">
        <v>41314</v>
      </c>
      <c r="EA54" s="1" t="s">
        <v>41315</v>
      </c>
      <c r="EB54" s="1" t="s">
        <v>41316</v>
      </c>
      <c r="EC54" s="1" t="s">
        <v>41317</v>
      </c>
      <c r="ED54" s="1" t="s">
        <v>41318</v>
      </c>
      <c r="EE54" s="1" t="s">
        <v>41319</v>
      </c>
      <c r="EF54" s="1" t="s">
        <v>41320</v>
      </c>
      <c r="EG54" s="1" t="s">
        <v>41321</v>
      </c>
      <c r="EH54" s="1" t="s">
        <v>41322</v>
      </c>
      <c r="EI54" s="1" t="s">
        <v>41323</v>
      </c>
      <c r="EJ54" s="1" t="s">
        <v>41324</v>
      </c>
      <c r="EK54" s="1" t="s">
        <v>41325</v>
      </c>
      <c r="EL54" s="1" t="s">
        <v>41326</v>
      </c>
      <c r="EM54" s="1" t="s">
        <v>41327</v>
      </c>
      <c r="EN54" s="1" t="s">
        <v>41328</v>
      </c>
      <c r="EO54" s="1" t="s">
        <v>41329</v>
      </c>
      <c r="EP54" s="1" t="s">
        <v>41330</v>
      </c>
      <c r="EQ54" s="1" t="s">
        <v>41331</v>
      </c>
      <c r="ER54" s="1" t="s">
        <v>41332</v>
      </c>
      <c r="ES54" s="1" t="s">
        <v>41333</v>
      </c>
      <c r="ET54" s="1" t="s">
        <v>41334</v>
      </c>
      <c r="EU54" s="1" t="s">
        <v>41335</v>
      </c>
      <c r="EV54" s="1" t="s">
        <v>41336</v>
      </c>
      <c r="EW54" s="1" t="s">
        <v>41337</v>
      </c>
      <c r="EX54" s="1" t="s">
        <v>41338</v>
      </c>
      <c r="EY54" s="1" t="s">
        <v>41339</v>
      </c>
      <c r="EZ54" s="1" t="s">
        <v>41340</v>
      </c>
      <c r="FA54" s="1" t="s">
        <v>41341</v>
      </c>
      <c r="FB54" s="1" t="s">
        <v>41342</v>
      </c>
      <c r="FC54" s="1" t="s">
        <v>41343</v>
      </c>
      <c r="FD54" s="1" t="s">
        <v>41344</v>
      </c>
      <c r="FE54" s="1" t="s">
        <v>41345</v>
      </c>
      <c r="FF54" s="1" t="s">
        <v>41346</v>
      </c>
      <c r="FG54" s="1" t="s">
        <v>41347</v>
      </c>
      <c r="FH54" s="1" t="s">
        <v>41348</v>
      </c>
      <c r="FI54" s="1" t="s">
        <v>41349</v>
      </c>
      <c r="FJ54" s="1" t="s">
        <v>41350</v>
      </c>
      <c r="FK54" s="1" t="s">
        <v>41351</v>
      </c>
      <c r="FL54" s="1" t="s">
        <v>41352</v>
      </c>
      <c r="FM54" s="1" t="s">
        <v>41353</v>
      </c>
      <c r="FN54" s="1" t="s">
        <v>41354</v>
      </c>
      <c r="FO54" s="1" t="s">
        <v>41355</v>
      </c>
      <c r="FP54" s="1" t="s">
        <v>41356</v>
      </c>
      <c r="FQ54" s="1" t="s">
        <v>41357</v>
      </c>
      <c r="FR54" s="1" t="s">
        <v>41358</v>
      </c>
      <c r="FS54" s="1" t="s">
        <v>41359</v>
      </c>
      <c r="FT54" s="1" t="s">
        <v>41360</v>
      </c>
      <c r="FU54" s="1" t="s">
        <v>41361</v>
      </c>
      <c r="FV54" s="1" t="s">
        <v>41362</v>
      </c>
      <c r="FW54" s="1" t="s">
        <v>41363</v>
      </c>
      <c r="FX54" s="1" t="s">
        <v>41364</v>
      </c>
      <c r="FY54" s="1" t="s">
        <v>41365</v>
      </c>
      <c r="FZ54" s="1" t="s">
        <v>41366</v>
      </c>
      <c r="GA54" s="1" t="s">
        <v>41367</v>
      </c>
      <c r="GB54" s="1" t="s">
        <v>41368</v>
      </c>
      <c r="GC54" s="1" t="s">
        <v>41369</v>
      </c>
      <c r="GD54" s="1" t="s">
        <v>41370</v>
      </c>
      <c r="GE54" s="1" t="s">
        <v>41371</v>
      </c>
      <c r="GF54" s="1" t="s">
        <v>41372</v>
      </c>
      <c r="GG54" s="1" t="s">
        <v>41373</v>
      </c>
      <c r="GH54" s="1" t="s">
        <v>41374</v>
      </c>
      <c r="GI54" s="1" t="s">
        <v>41375</v>
      </c>
      <c r="GJ54" s="1" t="s">
        <v>41376</v>
      </c>
      <c r="GK54" s="1" t="s">
        <v>41377</v>
      </c>
      <c r="GL54" s="1" t="s">
        <v>41378</v>
      </c>
      <c r="GM54" s="1" t="s">
        <v>41379</v>
      </c>
      <c r="GN54" s="1" t="s">
        <v>41380</v>
      </c>
      <c r="GO54" s="1" t="s">
        <v>41381</v>
      </c>
      <c r="GP54" s="1" t="s">
        <v>41382</v>
      </c>
      <c r="GQ54" s="1" t="s">
        <v>41383</v>
      </c>
      <c r="GR54" s="1" t="s">
        <v>41384</v>
      </c>
      <c r="GS54" s="1" t="s">
        <v>41385</v>
      </c>
      <c r="GT54" s="1" t="s">
        <v>41386</v>
      </c>
      <c r="GU54" s="1" t="s">
        <v>41387</v>
      </c>
      <c r="GV54" s="1" t="s">
        <v>41388</v>
      </c>
      <c r="GW54" s="1" t="s">
        <v>41389</v>
      </c>
      <c r="GX54" s="1" t="s">
        <v>41390</v>
      </c>
      <c r="GY54" s="1" t="s">
        <v>41391</v>
      </c>
      <c r="GZ54" s="1" t="s">
        <v>41392</v>
      </c>
      <c r="HA54" s="1" t="s">
        <v>41393</v>
      </c>
      <c r="HB54" s="1" t="s">
        <v>41394</v>
      </c>
      <c r="HC54" s="1" t="s">
        <v>41395</v>
      </c>
      <c r="HD54" s="1" t="s">
        <v>41396</v>
      </c>
      <c r="HE54" s="1" t="s">
        <v>41397</v>
      </c>
      <c r="HF54" s="1" t="s">
        <v>41398</v>
      </c>
      <c r="HG54" s="1" t="s">
        <v>41399</v>
      </c>
      <c r="HH54" s="1" t="s">
        <v>41400</v>
      </c>
      <c r="HI54" s="1" t="s">
        <v>41401</v>
      </c>
      <c r="HJ54" s="1" t="s">
        <v>41402</v>
      </c>
      <c r="HK54" s="1" t="s">
        <v>41403</v>
      </c>
      <c r="HL54" s="1" t="s">
        <v>41404</v>
      </c>
      <c r="HM54" s="1" t="s">
        <v>41405</v>
      </c>
      <c r="HN54" s="1" t="s">
        <v>41406</v>
      </c>
      <c r="HO54" s="1" t="s">
        <v>41407</v>
      </c>
      <c r="HP54" s="1" t="s">
        <v>41408</v>
      </c>
      <c r="HQ54" s="1" t="s">
        <v>41409</v>
      </c>
      <c r="HR54" s="1" t="s">
        <v>41410</v>
      </c>
      <c r="HS54" s="1" t="s">
        <v>41411</v>
      </c>
      <c r="HT54" s="1" t="s">
        <v>41412</v>
      </c>
      <c r="HU54" s="1" t="s">
        <v>41413</v>
      </c>
      <c r="HV54" s="1" t="s">
        <v>41414</v>
      </c>
      <c r="HW54" s="1" t="s">
        <v>41415</v>
      </c>
      <c r="HX54" s="1" t="s">
        <v>41416</v>
      </c>
      <c r="HY54" s="1" t="s">
        <v>41417</v>
      </c>
      <c r="HZ54" s="1" t="s">
        <v>41418</v>
      </c>
      <c r="IA54" s="1" t="s">
        <v>41419</v>
      </c>
      <c r="IB54" s="1" t="s">
        <v>41420</v>
      </c>
      <c r="IC54" s="1" t="s">
        <v>41421</v>
      </c>
      <c r="ID54" s="1" t="s">
        <v>41422</v>
      </c>
      <c r="IE54" s="1" t="s">
        <v>41423</v>
      </c>
      <c r="IF54" s="1" t="s">
        <v>41424</v>
      </c>
      <c r="IG54" s="1" t="s">
        <v>41425</v>
      </c>
      <c r="IH54" s="1" t="s">
        <v>41426</v>
      </c>
      <c r="II54" s="1" t="s">
        <v>41427</v>
      </c>
      <c r="IJ54" s="1" t="s">
        <v>41428</v>
      </c>
      <c r="IK54" s="1" t="s">
        <v>41429</v>
      </c>
      <c r="IL54" s="1" t="s">
        <v>41430</v>
      </c>
      <c r="IM54" s="1" t="s">
        <v>41431</v>
      </c>
      <c r="IN54" s="1" t="s">
        <v>41432</v>
      </c>
      <c r="IO54" s="1" t="s">
        <v>41433</v>
      </c>
      <c r="IP54" s="1" t="s">
        <v>41434</v>
      </c>
      <c r="IQ54" s="1" t="s">
        <v>41435</v>
      </c>
      <c r="IR54" s="1" t="s">
        <v>41436</v>
      </c>
      <c r="IS54" s="1" t="s">
        <v>41437</v>
      </c>
      <c r="IT54" s="1" t="s">
        <v>41438</v>
      </c>
      <c r="IU54" s="1" t="s">
        <v>41439</v>
      </c>
      <c r="IV54" s="1" t="s">
        <v>41440</v>
      </c>
      <c r="IW54" s="1" t="s">
        <v>41441</v>
      </c>
      <c r="IX54" s="1" t="s">
        <v>41442</v>
      </c>
      <c r="IY54" s="1" t="s">
        <v>41443</v>
      </c>
      <c r="IZ54" s="1" t="s">
        <v>41444</v>
      </c>
      <c r="JA54" s="1" t="s">
        <v>41445</v>
      </c>
      <c r="JB54" s="1" t="s">
        <v>41446</v>
      </c>
      <c r="JC54" s="1" t="s">
        <v>41447</v>
      </c>
      <c r="JD54" s="1" t="s">
        <v>41448</v>
      </c>
      <c r="JE54" s="1" t="s">
        <v>41449</v>
      </c>
      <c r="JF54" s="1" t="s">
        <v>41450</v>
      </c>
      <c r="JG54" s="1" t="s">
        <v>41451</v>
      </c>
      <c r="JH54" s="1" t="s">
        <v>41452</v>
      </c>
      <c r="JI54" s="1" t="s">
        <v>41453</v>
      </c>
      <c r="JJ54" s="1" t="s">
        <v>41454</v>
      </c>
      <c r="JK54" s="1" t="s">
        <v>41455</v>
      </c>
      <c r="JL54" s="1" t="s">
        <v>41456</v>
      </c>
      <c r="JM54" s="1" t="s">
        <v>41457</v>
      </c>
      <c r="JN54" s="1" t="s">
        <v>41458</v>
      </c>
      <c r="JO54" s="1" t="s">
        <v>41459</v>
      </c>
      <c r="JP54" s="1" t="s">
        <v>41460</v>
      </c>
      <c r="JQ54" s="1" t="s">
        <v>41461</v>
      </c>
      <c r="JR54" s="1" t="s">
        <v>41462</v>
      </c>
      <c r="JS54" s="1" t="s">
        <v>41463</v>
      </c>
      <c r="JT54" s="1" t="s">
        <v>41464</v>
      </c>
      <c r="JU54" s="1" t="s">
        <v>41465</v>
      </c>
      <c r="JV54" s="1" t="s">
        <v>41466</v>
      </c>
      <c r="JW54" s="1" t="s">
        <v>41467</v>
      </c>
      <c r="JX54" s="1" t="s">
        <v>41468</v>
      </c>
      <c r="JY54" s="1" t="s">
        <v>41469</v>
      </c>
      <c r="JZ54" s="1" t="s">
        <v>41470</v>
      </c>
      <c r="KA54" s="1" t="s">
        <v>41471</v>
      </c>
      <c r="KB54" s="1" t="s">
        <v>41472</v>
      </c>
      <c r="KC54" s="1" t="s">
        <v>41473</v>
      </c>
      <c r="KD54" s="1" t="s">
        <v>41474</v>
      </c>
      <c r="KE54" s="1" t="s">
        <v>41475</v>
      </c>
      <c r="KF54" s="1" t="s">
        <v>41476</v>
      </c>
      <c r="KG54" s="1" t="s">
        <v>41477</v>
      </c>
      <c r="KH54" s="1" t="s">
        <v>41478</v>
      </c>
      <c r="KI54" s="1" t="s">
        <v>41479</v>
      </c>
      <c r="KJ54" s="1" t="s">
        <v>41480</v>
      </c>
      <c r="KK54" s="1" t="s">
        <v>41481</v>
      </c>
      <c r="KL54" s="1" t="s">
        <v>41482</v>
      </c>
      <c r="KM54" s="1" t="s">
        <v>41483</v>
      </c>
      <c r="KN54" s="1" t="s">
        <v>41484</v>
      </c>
      <c r="KO54" s="1" t="s">
        <v>41485</v>
      </c>
      <c r="KP54" s="1" t="s">
        <v>41486</v>
      </c>
      <c r="KQ54" s="1" t="s">
        <v>41487</v>
      </c>
      <c r="KR54" s="1" t="s">
        <v>41488</v>
      </c>
      <c r="KS54" s="1" t="s">
        <v>41489</v>
      </c>
      <c r="KT54" s="1" t="s">
        <v>41490</v>
      </c>
      <c r="KU54" s="1" t="s">
        <v>41491</v>
      </c>
      <c r="KV54" s="1" t="s">
        <v>41492</v>
      </c>
      <c r="KW54" s="1" t="s">
        <v>41493</v>
      </c>
      <c r="KX54" s="1" t="s">
        <v>41494</v>
      </c>
      <c r="KY54" s="1" t="s">
        <v>41495</v>
      </c>
      <c r="KZ54" s="1" t="s">
        <v>41496</v>
      </c>
      <c r="LA54" s="1" t="s">
        <v>41497</v>
      </c>
      <c r="LB54" s="1" t="s">
        <v>41498</v>
      </c>
      <c r="LC54" s="1" t="s">
        <v>41499</v>
      </c>
      <c r="LD54" s="1" t="s">
        <v>41500</v>
      </c>
      <c r="LE54" s="1" t="s">
        <v>41501</v>
      </c>
      <c r="LF54" s="1" t="s">
        <v>41502</v>
      </c>
      <c r="LG54" s="1" t="s">
        <v>41503</v>
      </c>
      <c r="LH54" s="1" t="s">
        <v>41504</v>
      </c>
      <c r="LI54" s="1" t="s">
        <v>41505</v>
      </c>
      <c r="LJ54" s="1" t="s">
        <v>41506</v>
      </c>
      <c r="LK54" s="1" t="s">
        <v>41507</v>
      </c>
      <c r="LL54" s="1" t="s">
        <v>41508</v>
      </c>
      <c r="LM54" s="1" t="s">
        <v>41509</v>
      </c>
      <c r="LN54" s="1" t="s">
        <v>41510</v>
      </c>
      <c r="LO54" s="1" t="s">
        <v>41511</v>
      </c>
      <c r="LP54" s="1" t="s">
        <v>41512</v>
      </c>
      <c r="LQ54" s="1" t="s">
        <v>41513</v>
      </c>
      <c r="LR54" s="1" t="s">
        <v>41514</v>
      </c>
      <c r="LS54" s="1" t="s">
        <v>41515</v>
      </c>
      <c r="LT54" s="1" t="s">
        <v>41516</v>
      </c>
      <c r="LU54" s="1" t="s">
        <v>41517</v>
      </c>
      <c r="LV54" s="1" t="s">
        <v>41518</v>
      </c>
      <c r="LW54" s="1" t="s">
        <v>41519</v>
      </c>
      <c r="LX54" s="1" t="s">
        <v>41520</v>
      </c>
      <c r="LY54" s="1" t="s">
        <v>41521</v>
      </c>
      <c r="LZ54" s="1" t="s">
        <v>41522</v>
      </c>
      <c r="MA54" s="1" t="s">
        <v>41523</v>
      </c>
      <c r="MB54" s="1" t="s">
        <v>41524</v>
      </c>
      <c r="MC54" s="1" t="s">
        <v>41525</v>
      </c>
      <c r="MD54" s="1" t="s">
        <v>41526</v>
      </c>
      <c r="ME54" s="1" t="s">
        <v>41527</v>
      </c>
      <c r="MF54" s="1" t="s">
        <v>41528</v>
      </c>
      <c r="MG54" s="1" t="s">
        <v>41529</v>
      </c>
      <c r="MH54" s="1" t="s">
        <v>41530</v>
      </c>
      <c r="MI54" s="1" t="s">
        <v>41531</v>
      </c>
      <c r="MJ54" s="1" t="s">
        <v>41532</v>
      </c>
      <c r="MK54" s="1" t="s">
        <v>41533</v>
      </c>
      <c r="ML54" s="1" t="s">
        <v>41534</v>
      </c>
      <c r="MM54" s="1" t="s">
        <v>41535</v>
      </c>
      <c r="MN54" s="1" t="s">
        <v>41536</v>
      </c>
      <c r="MO54" s="1" t="s">
        <v>41537</v>
      </c>
      <c r="MP54" s="1" t="s">
        <v>41538</v>
      </c>
      <c r="MQ54" s="1" t="s">
        <v>41539</v>
      </c>
      <c r="MR54" s="1" t="s">
        <v>41540</v>
      </c>
      <c r="MS54" s="1" t="s">
        <v>41541</v>
      </c>
      <c r="MT54" s="1" t="s">
        <v>41542</v>
      </c>
      <c r="MU54" s="1" t="s">
        <v>41543</v>
      </c>
      <c r="MV54" s="1" t="s">
        <v>41544</v>
      </c>
      <c r="MW54" s="1" t="s">
        <v>41545</v>
      </c>
      <c r="MX54" s="1" t="s">
        <v>41546</v>
      </c>
      <c r="MY54" s="1" t="s">
        <v>41547</v>
      </c>
      <c r="MZ54" s="1" t="s">
        <v>41548</v>
      </c>
      <c r="NA54" s="1" t="s">
        <v>41549</v>
      </c>
      <c r="NB54" s="1" t="s">
        <v>41550</v>
      </c>
      <c r="NC54" s="1" t="s">
        <v>41551</v>
      </c>
      <c r="ND54" s="1" t="s">
        <v>41552</v>
      </c>
      <c r="NE54" s="1" t="s">
        <v>41553</v>
      </c>
      <c r="NF54" s="1" t="s">
        <v>41554</v>
      </c>
      <c r="NG54" s="1" t="s">
        <v>41555</v>
      </c>
      <c r="NH54" s="1" t="s">
        <v>41556</v>
      </c>
      <c r="NI54" s="1" t="s">
        <v>41557</v>
      </c>
      <c r="NJ54" s="1" t="s">
        <v>41558</v>
      </c>
      <c r="NK54" s="1" t="s">
        <v>41559</v>
      </c>
      <c r="NL54" s="1" t="s">
        <v>41560</v>
      </c>
      <c r="NM54" s="1" t="s">
        <v>41561</v>
      </c>
      <c r="NN54" s="1" t="s">
        <v>41562</v>
      </c>
      <c r="NO54" s="1" t="s">
        <v>41563</v>
      </c>
      <c r="NP54" s="1" t="s">
        <v>41564</v>
      </c>
      <c r="NQ54" s="1" t="s">
        <v>41565</v>
      </c>
      <c r="NR54" s="1" t="s">
        <v>41566</v>
      </c>
      <c r="NS54" s="1" t="s">
        <v>41567</v>
      </c>
      <c r="NT54" s="1" t="s">
        <v>41568</v>
      </c>
      <c r="NU54" s="1" t="s">
        <v>41569</v>
      </c>
      <c r="NV54" s="1" t="s">
        <v>41570</v>
      </c>
      <c r="NW54" s="1" t="s">
        <v>41571</v>
      </c>
      <c r="NX54" s="1" t="s">
        <v>41572</v>
      </c>
      <c r="NY54" s="1" t="s">
        <v>41573</v>
      </c>
      <c r="NZ54" s="1" t="s">
        <v>41574</v>
      </c>
      <c r="OA54" s="1" t="s">
        <v>41575</v>
      </c>
      <c r="OB54" s="1" t="s">
        <v>41576</v>
      </c>
      <c r="OC54" s="1" t="s">
        <v>41577</v>
      </c>
      <c r="OD54" s="1" t="s">
        <v>41578</v>
      </c>
      <c r="OE54" s="1" t="s">
        <v>41579</v>
      </c>
      <c r="OF54" s="1" t="s">
        <v>41580</v>
      </c>
      <c r="OG54" s="1" t="s">
        <v>41581</v>
      </c>
      <c r="OH54" s="1" t="s">
        <v>41582</v>
      </c>
      <c r="OI54" s="1" t="s">
        <v>41583</v>
      </c>
      <c r="OJ54" s="1" t="s">
        <v>41584</v>
      </c>
      <c r="OK54" s="1" t="s">
        <v>41585</v>
      </c>
      <c r="OL54" s="1" t="s">
        <v>41586</v>
      </c>
      <c r="OM54" s="1" t="s">
        <v>41587</v>
      </c>
      <c r="ON54" s="1" t="s">
        <v>41588</v>
      </c>
      <c r="OO54" s="1" t="s">
        <v>41589</v>
      </c>
      <c r="OP54" s="1" t="s">
        <v>41590</v>
      </c>
      <c r="OQ54" s="1" t="s">
        <v>41591</v>
      </c>
      <c r="OR54" s="1" t="s">
        <v>41592</v>
      </c>
      <c r="OS54" s="1" t="s">
        <v>41593</v>
      </c>
      <c r="OT54" s="1" t="s">
        <v>41594</v>
      </c>
      <c r="OU54" s="1" t="s">
        <v>41595</v>
      </c>
      <c r="OV54" s="1" t="s">
        <v>41596</v>
      </c>
      <c r="OW54" s="1" t="s">
        <v>41597</v>
      </c>
      <c r="OX54" s="1" t="s">
        <v>41598</v>
      </c>
      <c r="OY54" s="1" t="s">
        <v>41599</v>
      </c>
      <c r="OZ54" s="1" t="s">
        <v>41600</v>
      </c>
      <c r="PA54" s="1" t="s">
        <v>41601</v>
      </c>
      <c r="PB54" s="1" t="s">
        <v>41602</v>
      </c>
      <c r="PC54" s="1" t="s">
        <v>41603</v>
      </c>
      <c r="PD54" s="1" t="s">
        <v>41604</v>
      </c>
      <c r="PE54" s="1" t="s">
        <v>41605</v>
      </c>
      <c r="PF54" s="1" t="s">
        <v>41606</v>
      </c>
      <c r="PG54" s="1" t="s">
        <v>41607</v>
      </c>
      <c r="PH54" s="1" t="s">
        <v>41608</v>
      </c>
      <c r="PI54" s="1" t="s">
        <v>41609</v>
      </c>
      <c r="PJ54" s="1" t="s">
        <v>41610</v>
      </c>
      <c r="PK54" s="1" t="s">
        <v>41611</v>
      </c>
      <c r="PL54" s="1" t="s">
        <v>41612</v>
      </c>
      <c r="PM54" s="1" t="s">
        <v>41613</v>
      </c>
      <c r="PN54" s="1" t="s">
        <v>41614</v>
      </c>
      <c r="PO54" s="1" t="s">
        <v>41615</v>
      </c>
      <c r="PP54" s="1" t="s">
        <v>41616</v>
      </c>
      <c r="PQ54" s="1" t="s">
        <v>41617</v>
      </c>
      <c r="PR54" s="1" t="s">
        <v>41618</v>
      </c>
      <c r="PS54" s="1" t="s">
        <v>41619</v>
      </c>
      <c r="PT54" s="1" t="s">
        <v>41620</v>
      </c>
      <c r="PU54" s="1" t="s">
        <v>41621</v>
      </c>
      <c r="PV54" s="1" t="s">
        <v>41622</v>
      </c>
      <c r="PW54" s="1" t="s">
        <v>41623</v>
      </c>
      <c r="PX54" s="1" t="s">
        <v>41624</v>
      </c>
      <c r="PY54" s="1" t="s">
        <v>41625</v>
      </c>
      <c r="PZ54" s="1" t="s">
        <v>41626</v>
      </c>
      <c r="QA54" s="1" t="s">
        <v>41627</v>
      </c>
      <c r="QB54" s="1" t="s">
        <v>41628</v>
      </c>
      <c r="QC54" s="1" t="s">
        <v>41629</v>
      </c>
      <c r="QD54" s="1" t="s">
        <v>41630</v>
      </c>
      <c r="QE54" s="1" t="s">
        <v>41631</v>
      </c>
      <c r="QF54" s="1" t="s">
        <v>41632</v>
      </c>
      <c r="QG54" s="1" t="s">
        <v>41633</v>
      </c>
      <c r="QH54" s="1" t="s">
        <v>41634</v>
      </c>
      <c r="QI54" s="1" t="s">
        <v>41635</v>
      </c>
      <c r="QJ54" s="1" t="s">
        <v>41636</v>
      </c>
      <c r="QK54" s="1" t="s">
        <v>41637</v>
      </c>
      <c r="QL54" s="1" t="s">
        <v>41638</v>
      </c>
      <c r="QM54" s="1" t="s">
        <v>41639</v>
      </c>
      <c r="QN54" s="1" t="s">
        <v>41640</v>
      </c>
      <c r="QO54" s="1" t="s">
        <v>41641</v>
      </c>
      <c r="QP54" s="1" t="s">
        <v>41642</v>
      </c>
      <c r="QQ54" s="1" t="s">
        <v>41643</v>
      </c>
      <c r="QR54" s="1" t="s">
        <v>41644</v>
      </c>
      <c r="QS54" s="1" t="s">
        <v>41645</v>
      </c>
      <c r="QT54" s="1" t="s">
        <v>41646</v>
      </c>
      <c r="QU54" s="1" t="s">
        <v>41647</v>
      </c>
      <c r="QV54" s="1" t="s">
        <v>41648</v>
      </c>
      <c r="QW54" s="1" t="s">
        <v>41649</v>
      </c>
      <c r="QX54" s="1" t="s">
        <v>41650</v>
      </c>
      <c r="QY54" s="1" t="s">
        <v>41651</v>
      </c>
      <c r="QZ54" s="1" t="s">
        <v>41652</v>
      </c>
      <c r="RA54" s="1" t="s">
        <v>41653</v>
      </c>
      <c r="RB54" s="1" t="s">
        <v>41654</v>
      </c>
      <c r="RC54" s="1" t="s">
        <v>41655</v>
      </c>
      <c r="RD54" s="1" t="s">
        <v>41656</v>
      </c>
      <c r="RE54" s="1" t="s">
        <v>41657</v>
      </c>
      <c r="RF54" s="1" t="s">
        <v>41658</v>
      </c>
      <c r="RG54" s="1" t="s">
        <v>41659</v>
      </c>
      <c r="RH54" s="1" t="s">
        <v>41660</v>
      </c>
      <c r="RI54" s="1" t="s">
        <v>41661</v>
      </c>
      <c r="RJ54" s="1" t="s">
        <v>41662</v>
      </c>
      <c r="RK54" s="1" t="s">
        <v>41663</v>
      </c>
      <c r="RL54" s="1" t="s">
        <v>41664</v>
      </c>
      <c r="RM54" s="1" t="s">
        <v>41665</v>
      </c>
      <c r="RN54" s="1" t="s">
        <v>41666</v>
      </c>
      <c r="RO54" s="1" t="s">
        <v>41667</v>
      </c>
      <c r="RP54" s="1" t="s">
        <v>41668</v>
      </c>
      <c r="RQ54" s="1" t="s">
        <v>41669</v>
      </c>
      <c r="RR54" s="1" t="s">
        <v>41670</v>
      </c>
      <c r="RS54" s="1" t="s">
        <v>41671</v>
      </c>
      <c r="RT54" s="1" t="s">
        <v>41672</v>
      </c>
      <c r="RU54" s="1" t="s">
        <v>41673</v>
      </c>
      <c r="RV54" s="1" t="s">
        <v>41674</v>
      </c>
      <c r="RW54" s="1" t="s">
        <v>41675</v>
      </c>
      <c r="RX54" s="1" t="s">
        <v>41676</v>
      </c>
      <c r="RY54" s="1" t="s">
        <v>41677</v>
      </c>
      <c r="RZ54" s="1" t="s">
        <v>41678</v>
      </c>
      <c r="SA54" s="1" t="s">
        <v>41679</v>
      </c>
      <c r="SB54" s="1" t="s">
        <v>41680</v>
      </c>
      <c r="SC54" s="1" t="s">
        <v>41681</v>
      </c>
      <c r="SD54" s="1" t="s">
        <v>41682</v>
      </c>
      <c r="SE54" s="1" t="s">
        <v>41683</v>
      </c>
      <c r="SF54" s="1" t="s">
        <v>41684</v>
      </c>
      <c r="SG54" s="1" t="s">
        <v>41685</v>
      </c>
      <c r="SH54" s="1" t="s">
        <v>41686</v>
      </c>
      <c r="SI54" s="1" t="s">
        <v>41687</v>
      </c>
      <c r="SJ54" s="1" t="s">
        <v>41688</v>
      </c>
      <c r="SK54" s="1" t="s">
        <v>41689</v>
      </c>
      <c r="SL54" s="1" t="s">
        <v>41690</v>
      </c>
      <c r="SM54" s="1" t="s">
        <v>41691</v>
      </c>
      <c r="SN54" s="1" t="s">
        <v>41692</v>
      </c>
      <c r="SO54" s="1" t="s">
        <v>41693</v>
      </c>
      <c r="SP54" s="1" t="s">
        <v>41694</v>
      </c>
      <c r="SQ54" s="1" t="s">
        <v>41695</v>
      </c>
      <c r="SR54" s="1" t="s">
        <v>41696</v>
      </c>
      <c r="SS54" s="1" t="s">
        <v>41697</v>
      </c>
      <c r="ST54" s="1" t="s">
        <v>41698</v>
      </c>
      <c r="SU54" s="1" t="s">
        <v>41699</v>
      </c>
      <c r="SV54" s="1" t="s">
        <v>41700</v>
      </c>
      <c r="SW54" s="1" t="s">
        <v>41701</v>
      </c>
      <c r="SX54" s="1" t="s">
        <v>41702</v>
      </c>
      <c r="SY54" s="1" t="s">
        <v>41703</v>
      </c>
      <c r="SZ54" s="1" t="s">
        <v>41704</v>
      </c>
      <c r="TA54" s="1" t="s">
        <v>41705</v>
      </c>
      <c r="TB54" s="1" t="s">
        <v>41706</v>
      </c>
      <c r="TC54" s="1" t="s">
        <v>41707</v>
      </c>
      <c r="TD54" s="1" t="s">
        <v>41708</v>
      </c>
      <c r="TE54" s="1" t="s">
        <v>41709</v>
      </c>
      <c r="TF54" s="1" t="s">
        <v>41710</v>
      </c>
      <c r="TG54" s="1" t="s">
        <v>41711</v>
      </c>
      <c r="TH54" s="1" t="s">
        <v>41712</v>
      </c>
      <c r="TI54" s="1" t="s">
        <v>41713</v>
      </c>
      <c r="TJ54" s="1" t="s">
        <v>41714</v>
      </c>
      <c r="TK54" s="1" t="s">
        <v>41715</v>
      </c>
      <c r="TL54" s="1" t="s">
        <v>41716</v>
      </c>
      <c r="TM54" s="1" t="s">
        <v>41717</v>
      </c>
      <c r="TN54" s="1" t="s">
        <v>41718</v>
      </c>
      <c r="TO54" s="1" t="s">
        <v>41719</v>
      </c>
      <c r="TP54" s="1" t="s">
        <v>41720</v>
      </c>
      <c r="TQ54" s="1" t="s">
        <v>41721</v>
      </c>
      <c r="TR54" s="1" t="s">
        <v>41722</v>
      </c>
      <c r="TS54" s="1" t="s">
        <v>41723</v>
      </c>
      <c r="TT54" s="1" t="s">
        <v>41724</v>
      </c>
      <c r="TU54" s="1" t="s">
        <v>41725</v>
      </c>
      <c r="TV54" s="1" t="s">
        <v>41726</v>
      </c>
      <c r="TW54" s="1" t="s">
        <v>41727</v>
      </c>
      <c r="TX54" s="1" t="s">
        <v>41728</v>
      </c>
      <c r="TY54" s="1" t="s">
        <v>41729</v>
      </c>
      <c r="TZ54" s="1" t="s">
        <v>41730</v>
      </c>
      <c r="UA54" s="1" t="s">
        <v>41731</v>
      </c>
      <c r="UB54" s="1" t="s">
        <v>41732</v>
      </c>
      <c r="UC54" s="1" t="s">
        <v>41733</v>
      </c>
      <c r="UD54" s="1" t="s">
        <v>41734</v>
      </c>
      <c r="UE54" s="1" t="s">
        <v>41735</v>
      </c>
      <c r="UF54" s="1" t="s">
        <v>41736</v>
      </c>
      <c r="UG54" s="1" t="s">
        <v>41737</v>
      </c>
      <c r="UH54" s="1" t="s">
        <v>41738</v>
      </c>
      <c r="UI54" s="1" t="s">
        <v>41739</v>
      </c>
      <c r="UJ54" s="1" t="s">
        <v>41740</v>
      </c>
      <c r="UK54" s="1" t="s">
        <v>41741</v>
      </c>
      <c r="UL54" s="1" t="s">
        <v>41742</v>
      </c>
      <c r="UM54" s="1" t="s">
        <v>41743</v>
      </c>
      <c r="UN54" s="1" t="s">
        <v>41744</v>
      </c>
      <c r="UO54" s="1" t="s">
        <v>41745</v>
      </c>
      <c r="UP54" s="1" t="s">
        <v>41746</v>
      </c>
      <c r="UQ54" s="1" t="s">
        <v>41747</v>
      </c>
      <c r="UR54" s="1" t="s">
        <v>41748</v>
      </c>
      <c r="US54" s="1" t="s">
        <v>41749</v>
      </c>
      <c r="UT54" s="1" t="s">
        <v>41750</v>
      </c>
      <c r="UU54" s="1" t="s">
        <v>41751</v>
      </c>
      <c r="UV54" s="1" t="s">
        <v>41752</v>
      </c>
      <c r="UW54" s="1" t="s">
        <v>41753</v>
      </c>
      <c r="UX54" s="1" t="s">
        <v>41754</v>
      </c>
      <c r="UY54" s="1" t="s">
        <v>41755</v>
      </c>
      <c r="UZ54" s="1" t="s">
        <v>41756</v>
      </c>
      <c r="VA54" s="1" t="s">
        <v>41757</v>
      </c>
      <c r="VB54" s="1" t="s">
        <v>41758</v>
      </c>
      <c r="VC54" s="1" t="s">
        <v>41759</v>
      </c>
      <c r="VD54" s="1" t="s">
        <v>41760</v>
      </c>
      <c r="VE54" s="1" t="s">
        <v>41761</v>
      </c>
      <c r="VF54" s="1" t="s">
        <v>41762</v>
      </c>
      <c r="VG54" s="1" t="s">
        <v>41763</v>
      </c>
      <c r="VH54" s="1" t="s">
        <v>41764</v>
      </c>
      <c r="VI54" s="1" t="s">
        <v>41765</v>
      </c>
      <c r="VJ54" s="1" t="s">
        <v>41766</v>
      </c>
      <c r="VK54" s="1" t="s">
        <v>41767</v>
      </c>
      <c r="VL54" s="1" t="s">
        <v>41768</v>
      </c>
      <c r="VM54" s="1" t="s">
        <v>41769</v>
      </c>
      <c r="VN54" s="1" t="s">
        <v>41770</v>
      </c>
      <c r="VO54" s="1" t="s">
        <v>41771</v>
      </c>
      <c r="VP54" s="1" t="s">
        <v>41772</v>
      </c>
      <c r="VQ54" s="1" t="s">
        <v>41773</v>
      </c>
      <c r="VR54" s="1" t="s">
        <v>41774</v>
      </c>
      <c r="VS54" s="1" t="s">
        <v>41775</v>
      </c>
      <c r="VT54" s="1" t="s">
        <v>41776</v>
      </c>
      <c r="VU54" s="1" t="s">
        <v>41777</v>
      </c>
      <c r="VV54" s="1" t="s">
        <v>41778</v>
      </c>
      <c r="VW54" s="1" t="s">
        <v>41779</v>
      </c>
      <c r="VX54" s="1" t="s">
        <v>41780</v>
      </c>
      <c r="VY54" s="1" t="s">
        <v>41781</v>
      </c>
      <c r="VZ54" s="1" t="s">
        <v>41782</v>
      </c>
      <c r="WA54" s="1" t="s">
        <v>41783</v>
      </c>
      <c r="WB54" s="1" t="s">
        <v>41784</v>
      </c>
      <c r="WC54" s="1" t="s">
        <v>41785</v>
      </c>
      <c r="WD54" s="1" t="s">
        <v>41786</v>
      </c>
      <c r="WE54" s="1" t="s">
        <v>41787</v>
      </c>
      <c r="WF54" s="1" t="s">
        <v>41788</v>
      </c>
      <c r="WG54" s="1" t="s">
        <v>41789</v>
      </c>
      <c r="WH54" s="1" t="s">
        <v>41790</v>
      </c>
      <c r="WI54" s="1" t="s">
        <v>41791</v>
      </c>
      <c r="WJ54" s="1" t="s">
        <v>41792</v>
      </c>
      <c r="WK54" s="1" t="s">
        <v>41793</v>
      </c>
      <c r="WL54" s="1" t="s">
        <v>41794</v>
      </c>
      <c r="WM54" s="1" t="s">
        <v>41795</v>
      </c>
      <c r="WN54" s="1" t="s">
        <v>41796</v>
      </c>
      <c r="WO54" s="1" t="s">
        <v>41797</v>
      </c>
      <c r="WP54" s="1" t="s">
        <v>41798</v>
      </c>
      <c r="WQ54" s="1" t="s">
        <v>41799</v>
      </c>
      <c r="WR54" s="1" t="s">
        <v>41800</v>
      </c>
      <c r="WS54" s="1" t="s">
        <v>41801</v>
      </c>
      <c r="WT54" s="1" t="s">
        <v>41802</v>
      </c>
      <c r="WU54" s="1" t="s">
        <v>41803</v>
      </c>
      <c r="WV54" s="1" t="s">
        <v>41804</v>
      </c>
      <c r="WW54" s="1" t="s">
        <v>41805</v>
      </c>
      <c r="WX54" s="1" t="s">
        <v>41806</v>
      </c>
      <c r="WY54" s="1" t="s">
        <v>41807</v>
      </c>
      <c r="WZ54" s="1" t="s">
        <v>41808</v>
      </c>
      <c r="XA54" s="1" t="s">
        <v>41809</v>
      </c>
      <c r="XB54" s="1" t="s">
        <v>41810</v>
      </c>
      <c r="XC54" s="1" t="s">
        <v>41811</v>
      </c>
      <c r="XD54" s="1" t="s">
        <v>41812</v>
      </c>
      <c r="XE54" s="1" t="s">
        <v>41813</v>
      </c>
      <c r="XF54" s="1" t="s">
        <v>41814</v>
      </c>
      <c r="XG54" s="1" t="s">
        <v>41815</v>
      </c>
      <c r="XH54" s="1" t="s">
        <v>41816</v>
      </c>
      <c r="XI54" s="1" t="s">
        <v>41817</v>
      </c>
      <c r="XJ54" s="1" t="s">
        <v>41818</v>
      </c>
      <c r="XK54" s="1" t="s">
        <v>41819</v>
      </c>
      <c r="XL54" s="1" t="s">
        <v>41820</v>
      </c>
      <c r="XM54" s="1" t="s">
        <v>41821</v>
      </c>
      <c r="XN54" s="1" t="s">
        <v>41822</v>
      </c>
      <c r="XO54" s="1" t="s">
        <v>41823</v>
      </c>
      <c r="XP54" s="1" t="s">
        <v>41824</v>
      </c>
      <c r="XQ54" s="1" t="s">
        <v>41825</v>
      </c>
      <c r="XR54" s="1" t="s">
        <v>41826</v>
      </c>
      <c r="XS54" s="1" t="s">
        <v>41827</v>
      </c>
      <c r="XT54" s="1" t="s">
        <v>41828</v>
      </c>
      <c r="XU54" s="1" t="s">
        <v>41829</v>
      </c>
      <c r="XV54" s="1" t="s">
        <v>41830</v>
      </c>
      <c r="XW54" s="1" t="s">
        <v>41831</v>
      </c>
      <c r="XX54" s="1" t="s">
        <v>41832</v>
      </c>
      <c r="XY54" s="1" t="s">
        <v>41833</v>
      </c>
      <c r="XZ54" s="1" t="s">
        <v>41834</v>
      </c>
      <c r="YA54" s="1" t="s">
        <v>41835</v>
      </c>
      <c r="YB54" s="1" t="s">
        <v>41836</v>
      </c>
      <c r="YC54" s="1" t="s">
        <v>41837</v>
      </c>
      <c r="YD54" s="1" t="s">
        <v>41838</v>
      </c>
      <c r="YE54" s="1" t="s">
        <v>41839</v>
      </c>
      <c r="YF54" s="1" t="s">
        <v>41840</v>
      </c>
      <c r="YG54" s="1" t="s">
        <v>41841</v>
      </c>
      <c r="YH54" s="1" t="s">
        <v>41842</v>
      </c>
      <c r="YI54" s="1" t="s">
        <v>41843</v>
      </c>
      <c r="YJ54" s="1" t="s">
        <v>41844</v>
      </c>
      <c r="YK54" s="1" t="s">
        <v>41845</v>
      </c>
      <c r="YL54" s="1" t="s">
        <v>41846</v>
      </c>
      <c r="YM54" s="1" t="s">
        <v>41847</v>
      </c>
      <c r="YN54" s="1" t="s">
        <v>41848</v>
      </c>
      <c r="YO54" s="1" t="s">
        <v>41849</v>
      </c>
      <c r="YP54" s="1" t="s">
        <v>41850</v>
      </c>
      <c r="YQ54" s="1" t="s">
        <v>41851</v>
      </c>
      <c r="YR54" s="1" t="s">
        <v>41852</v>
      </c>
      <c r="YS54" s="1" t="s">
        <v>41853</v>
      </c>
      <c r="YT54" s="1" t="s">
        <v>41854</v>
      </c>
      <c r="YU54" s="1" t="s">
        <v>41855</v>
      </c>
      <c r="YV54" s="1" t="s">
        <v>41856</v>
      </c>
      <c r="YW54" s="1" t="s">
        <v>41857</v>
      </c>
      <c r="YX54" s="1" t="s">
        <v>41858</v>
      </c>
      <c r="YY54" s="1" t="s">
        <v>41859</v>
      </c>
      <c r="YZ54" s="1" t="s">
        <v>41860</v>
      </c>
      <c r="ZA54" s="1" t="s">
        <v>41861</v>
      </c>
      <c r="ZB54" s="1" t="s">
        <v>41862</v>
      </c>
      <c r="ZC54" s="1" t="s">
        <v>41863</v>
      </c>
      <c r="ZD54" s="1" t="s">
        <v>41864</v>
      </c>
      <c r="ZE54" s="1" t="s">
        <v>41865</v>
      </c>
      <c r="ZF54" s="1" t="s">
        <v>41866</v>
      </c>
      <c r="ZG54" s="1" t="s">
        <v>41867</v>
      </c>
      <c r="ZH54" s="1" t="s">
        <v>41868</v>
      </c>
      <c r="ZI54" s="1" t="s">
        <v>41869</v>
      </c>
      <c r="ZJ54" s="1" t="s">
        <v>41870</v>
      </c>
      <c r="ZK54" s="1" t="s">
        <v>41871</v>
      </c>
      <c r="ZL54" s="1" t="s">
        <v>41872</v>
      </c>
      <c r="ZM54" s="1" t="s">
        <v>41873</v>
      </c>
      <c r="ZN54" s="1" t="s">
        <v>41874</v>
      </c>
      <c r="ZO54" s="1" t="s">
        <v>41875</v>
      </c>
      <c r="ZP54" s="1" t="s">
        <v>41876</v>
      </c>
      <c r="ZQ54" s="1" t="s">
        <v>41877</v>
      </c>
      <c r="ZR54" s="1" t="s">
        <v>41878</v>
      </c>
      <c r="ZS54" s="1" t="s">
        <v>41879</v>
      </c>
      <c r="ZT54" s="1" t="s">
        <v>41880</v>
      </c>
      <c r="ZU54" s="1" t="s">
        <v>41881</v>
      </c>
      <c r="ZV54" s="1" t="s">
        <v>41882</v>
      </c>
      <c r="ZW54" s="1" t="s">
        <v>41883</v>
      </c>
      <c r="ZX54" s="1" t="s">
        <v>41884</v>
      </c>
      <c r="ZY54" s="1" t="s">
        <v>41885</v>
      </c>
      <c r="ZZ54" s="1" t="s">
        <v>41886</v>
      </c>
      <c r="AAA54" s="1" t="s">
        <v>41887</v>
      </c>
      <c r="AAB54" s="1" t="s">
        <v>41888</v>
      </c>
      <c r="AAC54" s="1" t="s">
        <v>41889</v>
      </c>
      <c r="AAD54" s="1" t="s">
        <v>41890</v>
      </c>
      <c r="AAE54" s="1" t="s">
        <v>41891</v>
      </c>
      <c r="AAF54" s="1" t="s">
        <v>41892</v>
      </c>
      <c r="AAG54" s="1" t="s">
        <v>41893</v>
      </c>
      <c r="AAH54" s="1" t="s">
        <v>41894</v>
      </c>
      <c r="AAI54" s="1" t="s">
        <v>41895</v>
      </c>
      <c r="AAJ54" s="1" t="s">
        <v>41896</v>
      </c>
      <c r="AAK54" s="1" t="s">
        <v>41897</v>
      </c>
      <c r="AAL54" s="1" t="s">
        <v>41898</v>
      </c>
      <c r="AAM54" s="1" t="s">
        <v>41899</v>
      </c>
      <c r="AAN54" s="1" t="s">
        <v>41900</v>
      </c>
      <c r="AAO54" s="1" t="s">
        <v>41901</v>
      </c>
      <c r="AAP54" s="1" t="s">
        <v>41902</v>
      </c>
      <c r="AAQ54" s="1" t="s">
        <v>41903</v>
      </c>
      <c r="AAR54" s="1" t="s">
        <v>41904</v>
      </c>
      <c r="AAS54" s="1" t="s">
        <v>41905</v>
      </c>
      <c r="AAT54" s="1" t="s">
        <v>41906</v>
      </c>
      <c r="AAU54" s="1" t="s">
        <v>41907</v>
      </c>
      <c r="AAV54" s="1" t="s">
        <v>41908</v>
      </c>
      <c r="AAW54" s="1" t="s">
        <v>41909</v>
      </c>
      <c r="AAX54" s="1" t="s">
        <v>41910</v>
      </c>
      <c r="AAY54" s="1" t="s">
        <v>41911</v>
      </c>
      <c r="AAZ54" s="1" t="s">
        <v>41912</v>
      </c>
      <c r="ABA54" s="1" t="s">
        <v>41913</v>
      </c>
      <c r="ABB54" s="1" t="s">
        <v>41914</v>
      </c>
      <c r="ABC54" s="1" t="s">
        <v>41915</v>
      </c>
      <c r="ABD54" s="1" t="s">
        <v>41916</v>
      </c>
      <c r="ABE54" s="1" t="s">
        <v>41917</v>
      </c>
      <c r="ABF54" s="1" t="s">
        <v>41918</v>
      </c>
      <c r="ABG54" s="1" t="s">
        <v>41919</v>
      </c>
      <c r="ABH54" s="1" t="s">
        <v>41920</v>
      </c>
      <c r="ABI54" s="1" t="s">
        <v>41921</v>
      </c>
      <c r="ABJ54" s="1" t="s">
        <v>41922</v>
      </c>
      <c r="ABK54" s="1" t="s">
        <v>41923</v>
      </c>
      <c r="ABL54" s="1" t="s">
        <v>41924</v>
      </c>
      <c r="ABM54" s="1" t="s">
        <v>41925</v>
      </c>
      <c r="ABN54" s="1" t="s">
        <v>41926</v>
      </c>
      <c r="ABO54" s="1" t="s">
        <v>41927</v>
      </c>
      <c r="ABP54" s="1" t="s">
        <v>41928</v>
      </c>
      <c r="ABQ54" s="1" t="s">
        <v>41929</v>
      </c>
      <c r="ABR54" s="1" t="s">
        <v>41930</v>
      </c>
      <c r="ABS54" s="1" t="s">
        <v>41931</v>
      </c>
      <c r="ABT54" s="1" t="s">
        <v>41932</v>
      </c>
      <c r="ABU54" s="1" t="s">
        <v>41933</v>
      </c>
      <c r="ABV54" s="1" t="s">
        <v>41934</v>
      </c>
      <c r="ABW54" s="1" t="s">
        <v>41935</v>
      </c>
      <c r="ABX54" s="1" t="s">
        <v>41936</v>
      </c>
      <c r="ABY54" s="1" t="s">
        <v>41937</v>
      </c>
      <c r="ABZ54" s="1" t="s">
        <v>41938</v>
      </c>
      <c r="ACA54" s="1" t="s">
        <v>41939</v>
      </c>
      <c r="ACB54" s="1" t="s">
        <v>41940</v>
      </c>
      <c r="ACC54" s="1" t="s">
        <v>41941</v>
      </c>
      <c r="ACD54" s="1" t="s">
        <v>41942</v>
      </c>
      <c r="ACE54" s="1" t="s">
        <v>41943</v>
      </c>
      <c r="ACF54" s="1" t="s">
        <v>41944</v>
      </c>
      <c r="ACG54" s="1" t="s">
        <v>41945</v>
      </c>
      <c r="ACH54" s="1" t="s">
        <v>41946</v>
      </c>
      <c r="ACI54" s="1" t="s">
        <v>41947</v>
      </c>
      <c r="ACJ54" s="1" t="s">
        <v>41948</v>
      </c>
      <c r="ACK54" s="1" t="s">
        <v>41949</v>
      </c>
      <c r="ACL54" s="1" t="s">
        <v>41950</v>
      </c>
      <c r="ACM54" s="1" t="s">
        <v>41951</v>
      </c>
      <c r="ACN54" s="1" t="s">
        <v>41952</v>
      </c>
      <c r="ACO54" s="1" t="s">
        <v>41953</v>
      </c>
      <c r="ACP54" s="1" t="s">
        <v>41954</v>
      </c>
      <c r="ACQ54" s="1" t="s">
        <v>41955</v>
      </c>
      <c r="ACR54" s="1" t="s">
        <v>41956</v>
      </c>
      <c r="ACS54" s="1" t="s">
        <v>41957</v>
      </c>
      <c r="ACT54" s="1" t="s">
        <v>41958</v>
      </c>
      <c r="ACU54" s="1" t="s">
        <v>41959</v>
      </c>
      <c r="ACV54" s="1" t="s">
        <v>41960</v>
      </c>
      <c r="ACW54" s="1" t="s">
        <v>12</v>
      </c>
      <c r="ACX54" s="1" t="s">
        <v>1500</v>
      </c>
    </row>
    <row r="55" spans="1:778" x14ac:dyDescent="0.2">
      <c r="A55" s="1" t="s">
        <v>39</v>
      </c>
      <c r="B55" s="1" t="s">
        <v>41961</v>
      </c>
      <c r="C55" s="1" t="s">
        <v>41962</v>
      </c>
      <c r="D55" s="1" t="s">
        <v>41963</v>
      </c>
      <c r="E55" s="1" t="s">
        <v>41964</v>
      </c>
      <c r="F55" s="1" t="s">
        <v>41965</v>
      </c>
      <c r="G55" s="1" t="s">
        <v>41966</v>
      </c>
      <c r="H55" s="1" t="s">
        <v>41967</v>
      </c>
      <c r="I55" s="1" t="s">
        <v>41968</v>
      </c>
      <c r="J55" s="1" t="s">
        <v>41969</v>
      </c>
      <c r="K55" s="1" t="s">
        <v>41970</v>
      </c>
      <c r="L55" s="1" t="s">
        <v>41971</v>
      </c>
      <c r="M55" s="1" t="s">
        <v>41972</v>
      </c>
      <c r="N55" s="1" t="s">
        <v>41973</v>
      </c>
      <c r="O55" s="1" t="s">
        <v>41974</v>
      </c>
      <c r="P55" s="1" t="s">
        <v>41975</v>
      </c>
      <c r="Q55" s="1" t="s">
        <v>41976</v>
      </c>
      <c r="R55" s="1" t="s">
        <v>41977</v>
      </c>
      <c r="S55" s="1" t="s">
        <v>41978</v>
      </c>
      <c r="T55" s="1" t="s">
        <v>41979</v>
      </c>
      <c r="U55" s="1" t="s">
        <v>41980</v>
      </c>
      <c r="V55" s="1" t="s">
        <v>41981</v>
      </c>
      <c r="W55" s="1" t="s">
        <v>41982</v>
      </c>
      <c r="X55" s="1" t="s">
        <v>41983</v>
      </c>
      <c r="Y55" s="1" t="s">
        <v>41984</v>
      </c>
      <c r="Z55" s="1" t="s">
        <v>41985</v>
      </c>
      <c r="AA55" s="1" t="s">
        <v>41986</v>
      </c>
      <c r="AB55" s="1" t="s">
        <v>41987</v>
      </c>
      <c r="AC55" s="1" t="s">
        <v>41988</v>
      </c>
      <c r="AD55" s="1" t="s">
        <v>41989</v>
      </c>
      <c r="AE55" s="1" t="s">
        <v>41990</v>
      </c>
      <c r="AF55" s="1" t="s">
        <v>41991</v>
      </c>
      <c r="AG55" s="1" t="s">
        <v>41992</v>
      </c>
      <c r="AH55" s="1" t="s">
        <v>41993</v>
      </c>
      <c r="AI55" s="1" t="s">
        <v>41994</v>
      </c>
      <c r="AJ55" s="1" t="s">
        <v>41995</v>
      </c>
      <c r="AK55" s="1" t="s">
        <v>41996</v>
      </c>
      <c r="AL55" s="1" t="s">
        <v>41997</v>
      </c>
      <c r="AM55" s="1" t="s">
        <v>41998</v>
      </c>
      <c r="AN55" s="1" t="s">
        <v>41999</v>
      </c>
      <c r="AO55" s="1" t="s">
        <v>42000</v>
      </c>
      <c r="AP55" s="1" t="s">
        <v>42001</v>
      </c>
      <c r="AQ55" s="1" t="s">
        <v>42002</v>
      </c>
      <c r="AR55" s="1" t="s">
        <v>42003</v>
      </c>
      <c r="AS55" s="1" t="s">
        <v>42004</v>
      </c>
      <c r="AT55" s="1" t="s">
        <v>42005</v>
      </c>
      <c r="AU55" s="1" t="s">
        <v>42006</v>
      </c>
      <c r="AV55" s="1" t="s">
        <v>42007</v>
      </c>
      <c r="AW55" s="1" t="s">
        <v>42008</v>
      </c>
      <c r="AX55" s="1" t="s">
        <v>42009</v>
      </c>
      <c r="AY55" s="1" t="s">
        <v>42010</v>
      </c>
      <c r="AZ55" s="1" t="s">
        <v>42011</v>
      </c>
      <c r="BA55" s="1" t="s">
        <v>42012</v>
      </c>
      <c r="BB55" s="1" t="s">
        <v>42013</v>
      </c>
      <c r="BC55" s="1" t="s">
        <v>42014</v>
      </c>
      <c r="BD55" s="1" t="s">
        <v>42015</v>
      </c>
      <c r="BE55" s="1" t="s">
        <v>42016</v>
      </c>
      <c r="BF55" s="1" t="s">
        <v>42017</v>
      </c>
      <c r="BG55" s="1" t="s">
        <v>42018</v>
      </c>
      <c r="BH55" s="1" t="s">
        <v>42019</v>
      </c>
      <c r="BI55" s="1" t="s">
        <v>42020</v>
      </c>
      <c r="BJ55" s="1" t="s">
        <v>42021</v>
      </c>
      <c r="BK55" s="1" t="s">
        <v>42022</v>
      </c>
      <c r="BL55" s="1" t="s">
        <v>42023</v>
      </c>
      <c r="BM55" s="1" t="s">
        <v>42024</v>
      </c>
      <c r="BN55" s="1" t="s">
        <v>42025</v>
      </c>
      <c r="BO55" s="1" t="s">
        <v>42026</v>
      </c>
      <c r="BP55" s="1" t="s">
        <v>42027</v>
      </c>
      <c r="BQ55" s="1" t="s">
        <v>42028</v>
      </c>
      <c r="BR55" s="1" t="s">
        <v>42029</v>
      </c>
      <c r="BS55" s="1" t="s">
        <v>42030</v>
      </c>
      <c r="BT55" s="1" t="s">
        <v>42031</v>
      </c>
      <c r="BU55" s="1" t="s">
        <v>42032</v>
      </c>
      <c r="BV55" s="1" t="s">
        <v>42033</v>
      </c>
      <c r="BW55" s="1" t="s">
        <v>42034</v>
      </c>
      <c r="BX55" s="1" t="s">
        <v>42035</v>
      </c>
      <c r="BY55" s="1" t="s">
        <v>42036</v>
      </c>
      <c r="BZ55" s="1" t="s">
        <v>42037</v>
      </c>
      <c r="CA55" s="1" t="s">
        <v>42038</v>
      </c>
      <c r="CB55" s="1" t="s">
        <v>42039</v>
      </c>
      <c r="CC55" s="1" t="s">
        <v>42040</v>
      </c>
      <c r="CD55" s="1" t="s">
        <v>42041</v>
      </c>
      <c r="CE55" s="1" t="s">
        <v>42042</v>
      </c>
      <c r="CF55" s="1" t="s">
        <v>42043</v>
      </c>
      <c r="CG55" s="1" t="s">
        <v>42044</v>
      </c>
      <c r="CH55" s="1" t="s">
        <v>42045</v>
      </c>
      <c r="CI55" s="1" t="s">
        <v>42046</v>
      </c>
      <c r="CJ55" s="1" t="s">
        <v>42047</v>
      </c>
      <c r="CK55" s="1" t="s">
        <v>42048</v>
      </c>
      <c r="CL55" s="1" t="s">
        <v>42049</v>
      </c>
      <c r="CM55" s="1" t="s">
        <v>42050</v>
      </c>
      <c r="CN55" s="1" t="s">
        <v>42051</v>
      </c>
      <c r="CO55" s="1" t="s">
        <v>42052</v>
      </c>
      <c r="CP55" s="1" t="s">
        <v>42053</v>
      </c>
      <c r="CQ55" s="1" t="s">
        <v>42054</v>
      </c>
      <c r="CR55" s="1" t="s">
        <v>42055</v>
      </c>
      <c r="CS55" s="1" t="s">
        <v>42056</v>
      </c>
      <c r="CT55" s="1" t="s">
        <v>42057</v>
      </c>
      <c r="CU55" s="1" t="s">
        <v>42058</v>
      </c>
      <c r="CV55" s="1" t="s">
        <v>42059</v>
      </c>
      <c r="CW55" s="1" t="s">
        <v>42060</v>
      </c>
      <c r="CX55" s="1" t="s">
        <v>42061</v>
      </c>
      <c r="CY55" s="1" t="s">
        <v>42062</v>
      </c>
      <c r="CZ55" s="1" t="s">
        <v>42063</v>
      </c>
      <c r="DA55" s="1" t="s">
        <v>42064</v>
      </c>
      <c r="DB55" s="1" t="s">
        <v>42065</v>
      </c>
      <c r="DC55" s="1" t="s">
        <v>42066</v>
      </c>
      <c r="DD55" s="1" t="s">
        <v>42067</v>
      </c>
      <c r="DE55" s="1" t="s">
        <v>42068</v>
      </c>
      <c r="DF55" s="1" t="s">
        <v>42069</v>
      </c>
      <c r="DG55" s="1" t="s">
        <v>42070</v>
      </c>
      <c r="DH55" s="1" t="s">
        <v>42071</v>
      </c>
      <c r="DI55" s="1" t="s">
        <v>42072</v>
      </c>
      <c r="DJ55" s="1" t="s">
        <v>42073</v>
      </c>
      <c r="DK55" s="1" t="s">
        <v>42074</v>
      </c>
      <c r="DL55" s="1" t="s">
        <v>42075</v>
      </c>
      <c r="DM55" s="1" t="s">
        <v>42076</v>
      </c>
      <c r="DN55" s="1" t="s">
        <v>42077</v>
      </c>
      <c r="DO55" s="1" t="s">
        <v>42078</v>
      </c>
      <c r="DP55" s="1" t="s">
        <v>42079</v>
      </c>
      <c r="DQ55" s="1" t="s">
        <v>42080</v>
      </c>
      <c r="DR55" s="1" t="s">
        <v>42081</v>
      </c>
      <c r="DS55" s="1" t="s">
        <v>42082</v>
      </c>
      <c r="DT55" s="1" t="s">
        <v>42083</v>
      </c>
      <c r="DU55" s="1" t="s">
        <v>42084</v>
      </c>
      <c r="DV55" s="1" t="s">
        <v>42085</v>
      </c>
      <c r="DW55" s="1" t="s">
        <v>42086</v>
      </c>
      <c r="DX55" s="1" t="s">
        <v>42087</v>
      </c>
      <c r="DY55" s="1" t="s">
        <v>42088</v>
      </c>
      <c r="DZ55" s="1" t="s">
        <v>42089</v>
      </c>
      <c r="EA55" s="1" t="s">
        <v>42090</v>
      </c>
      <c r="EB55" s="1" t="s">
        <v>42091</v>
      </c>
      <c r="EC55" s="1" t="s">
        <v>42092</v>
      </c>
      <c r="ED55" s="1" t="s">
        <v>42093</v>
      </c>
      <c r="EE55" s="1" t="s">
        <v>42094</v>
      </c>
      <c r="EF55" s="1" t="s">
        <v>42095</v>
      </c>
      <c r="EG55" s="1" t="s">
        <v>42096</v>
      </c>
      <c r="EH55" s="1" t="s">
        <v>42097</v>
      </c>
      <c r="EI55" s="1" t="s">
        <v>42098</v>
      </c>
      <c r="EJ55" s="1" t="s">
        <v>42099</v>
      </c>
      <c r="EK55" s="1" t="s">
        <v>42100</v>
      </c>
      <c r="EL55" s="1" t="s">
        <v>42101</v>
      </c>
      <c r="EM55" s="1" t="s">
        <v>42102</v>
      </c>
      <c r="EN55" s="1" t="s">
        <v>42103</v>
      </c>
      <c r="EO55" s="1" t="s">
        <v>42104</v>
      </c>
      <c r="EP55" s="1" t="s">
        <v>42105</v>
      </c>
      <c r="EQ55" s="1" t="s">
        <v>42106</v>
      </c>
      <c r="ER55" s="1" t="s">
        <v>42107</v>
      </c>
      <c r="ES55" s="1" t="s">
        <v>42108</v>
      </c>
      <c r="ET55" s="1" t="s">
        <v>42109</v>
      </c>
      <c r="EU55" s="1" t="s">
        <v>42110</v>
      </c>
      <c r="EV55" s="1" t="s">
        <v>42111</v>
      </c>
      <c r="EW55" s="1" t="s">
        <v>42112</v>
      </c>
      <c r="EX55" s="1" t="s">
        <v>42113</v>
      </c>
      <c r="EY55" s="1" t="s">
        <v>42114</v>
      </c>
      <c r="EZ55" s="1" t="s">
        <v>42115</v>
      </c>
      <c r="FA55" s="1" t="s">
        <v>42116</v>
      </c>
      <c r="FB55" s="1" t="s">
        <v>42117</v>
      </c>
      <c r="FC55" s="1" t="s">
        <v>42118</v>
      </c>
      <c r="FD55" s="1" t="s">
        <v>42119</v>
      </c>
      <c r="FE55" s="1" t="s">
        <v>42120</v>
      </c>
      <c r="FF55" s="1" t="s">
        <v>42121</v>
      </c>
      <c r="FG55" s="1" t="s">
        <v>42122</v>
      </c>
      <c r="FH55" s="1" t="s">
        <v>42123</v>
      </c>
      <c r="FI55" s="1" t="s">
        <v>42124</v>
      </c>
      <c r="FJ55" s="1" t="s">
        <v>42125</v>
      </c>
      <c r="FK55" s="1" t="s">
        <v>42126</v>
      </c>
      <c r="FL55" s="1" t="s">
        <v>42127</v>
      </c>
      <c r="FM55" s="1" t="s">
        <v>42128</v>
      </c>
      <c r="FN55" s="1" t="s">
        <v>42129</v>
      </c>
      <c r="FO55" s="1" t="s">
        <v>42130</v>
      </c>
      <c r="FP55" s="1" t="s">
        <v>42131</v>
      </c>
      <c r="FQ55" s="1" t="s">
        <v>42132</v>
      </c>
      <c r="FR55" s="1" t="s">
        <v>42133</v>
      </c>
      <c r="FS55" s="1" t="s">
        <v>42134</v>
      </c>
      <c r="FT55" s="1" t="s">
        <v>42135</v>
      </c>
      <c r="FU55" s="1" t="s">
        <v>42136</v>
      </c>
      <c r="FV55" s="1" t="s">
        <v>42137</v>
      </c>
      <c r="FW55" s="1" t="s">
        <v>42138</v>
      </c>
      <c r="FX55" s="1" t="s">
        <v>42139</v>
      </c>
      <c r="FY55" s="1" t="s">
        <v>42140</v>
      </c>
      <c r="FZ55" s="1" t="s">
        <v>42141</v>
      </c>
      <c r="GA55" s="1" t="s">
        <v>42142</v>
      </c>
      <c r="GB55" s="1" t="s">
        <v>42143</v>
      </c>
      <c r="GC55" s="1" t="s">
        <v>42144</v>
      </c>
      <c r="GD55" s="1" t="s">
        <v>42145</v>
      </c>
      <c r="GE55" s="1" t="s">
        <v>42146</v>
      </c>
      <c r="GF55" s="1" t="s">
        <v>42147</v>
      </c>
      <c r="GG55" s="1" t="s">
        <v>42148</v>
      </c>
      <c r="GH55" s="1" t="s">
        <v>42149</v>
      </c>
      <c r="GI55" s="1" t="s">
        <v>42150</v>
      </c>
      <c r="GJ55" s="1" t="s">
        <v>42151</v>
      </c>
      <c r="GK55" s="1" t="s">
        <v>42152</v>
      </c>
      <c r="GL55" s="1" t="s">
        <v>42153</v>
      </c>
      <c r="GM55" s="1" t="s">
        <v>42154</v>
      </c>
      <c r="GN55" s="1" t="s">
        <v>42155</v>
      </c>
      <c r="GO55" s="1" t="s">
        <v>42156</v>
      </c>
      <c r="GP55" s="1" t="s">
        <v>42157</v>
      </c>
      <c r="GQ55" s="1" t="s">
        <v>42158</v>
      </c>
      <c r="GR55" s="1" t="s">
        <v>42159</v>
      </c>
      <c r="GS55" s="1" t="s">
        <v>42160</v>
      </c>
      <c r="GT55" s="1" t="s">
        <v>42161</v>
      </c>
      <c r="GU55" s="1" t="s">
        <v>42162</v>
      </c>
      <c r="GV55" s="1" t="s">
        <v>42163</v>
      </c>
      <c r="GW55" s="1" t="s">
        <v>42164</v>
      </c>
      <c r="GX55" s="1" t="s">
        <v>42165</v>
      </c>
      <c r="GY55" s="1" t="s">
        <v>42166</v>
      </c>
      <c r="GZ55" s="1" t="s">
        <v>42167</v>
      </c>
      <c r="HA55" s="1" t="s">
        <v>42168</v>
      </c>
      <c r="HB55" s="1" t="s">
        <v>42169</v>
      </c>
      <c r="HC55" s="1" t="s">
        <v>42170</v>
      </c>
      <c r="HD55" s="1" t="s">
        <v>42171</v>
      </c>
      <c r="HE55" s="1" t="s">
        <v>42172</v>
      </c>
      <c r="HF55" s="1" t="s">
        <v>42173</v>
      </c>
      <c r="HG55" s="1" t="s">
        <v>42174</v>
      </c>
      <c r="HH55" s="1" t="s">
        <v>42175</v>
      </c>
      <c r="HI55" s="1" t="s">
        <v>42176</v>
      </c>
      <c r="HJ55" s="1" t="s">
        <v>42177</v>
      </c>
      <c r="HK55" s="1" t="s">
        <v>42178</v>
      </c>
      <c r="HL55" s="1" t="s">
        <v>42179</v>
      </c>
      <c r="HM55" s="1" t="s">
        <v>42180</v>
      </c>
      <c r="HN55" s="1" t="s">
        <v>42181</v>
      </c>
      <c r="HO55" s="1" t="s">
        <v>42182</v>
      </c>
      <c r="HP55" s="1" t="s">
        <v>42183</v>
      </c>
      <c r="HQ55" s="1" t="s">
        <v>42184</v>
      </c>
      <c r="HR55" s="1" t="s">
        <v>42185</v>
      </c>
      <c r="HS55" s="1" t="s">
        <v>42186</v>
      </c>
      <c r="HT55" s="1" t="s">
        <v>42187</v>
      </c>
      <c r="HU55" s="1" t="s">
        <v>42188</v>
      </c>
      <c r="HV55" s="1" t="s">
        <v>42189</v>
      </c>
      <c r="HW55" s="1" t="s">
        <v>42190</v>
      </c>
      <c r="HX55" s="1" t="s">
        <v>42191</v>
      </c>
      <c r="HY55" s="1" t="s">
        <v>42192</v>
      </c>
      <c r="HZ55" s="1" t="s">
        <v>42193</v>
      </c>
      <c r="IA55" s="1" t="s">
        <v>42194</v>
      </c>
      <c r="IB55" s="1" t="s">
        <v>42195</v>
      </c>
      <c r="IC55" s="1" t="s">
        <v>42196</v>
      </c>
      <c r="ID55" s="1" t="s">
        <v>42197</v>
      </c>
      <c r="IE55" s="1" t="s">
        <v>42198</v>
      </c>
      <c r="IF55" s="1" t="s">
        <v>42199</v>
      </c>
      <c r="IG55" s="1" t="s">
        <v>42200</v>
      </c>
      <c r="IH55" s="1" t="s">
        <v>42201</v>
      </c>
      <c r="II55" s="1" t="s">
        <v>42202</v>
      </c>
      <c r="IJ55" s="1" t="s">
        <v>42203</v>
      </c>
      <c r="IK55" s="1" t="s">
        <v>42204</v>
      </c>
      <c r="IL55" s="1" t="s">
        <v>42205</v>
      </c>
      <c r="IM55" s="1" t="s">
        <v>42206</v>
      </c>
      <c r="IN55" s="1" t="s">
        <v>42207</v>
      </c>
      <c r="IO55" s="1" t="s">
        <v>42208</v>
      </c>
      <c r="IP55" s="1" t="s">
        <v>42209</v>
      </c>
      <c r="IQ55" s="1" t="s">
        <v>42210</v>
      </c>
      <c r="IR55" s="1" t="s">
        <v>42211</v>
      </c>
      <c r="IS55" s="1" t="s">
        <v>42212</v>
      </c>
      <c r="IT55" s="1" t="s">
        <v>42213</v>
      </c>
      <c r="IU55" s="1" t="s">
        <v>42214</v>
      </c>
      <c r="IV55" s="1" t="s">
        <v>42215</v>
      </c>
      <c r="IW55" s="1" t="s">
        <v>42216</v>
      </c>
      <c r="IX55" s="1" t="s">
        <v>42217</v>
      </c>
      <c r="IY55" s="1" t="s">
        <v>42218</v>
      </c>
      <c r="IZ55" s="1" t="s">
        <v>42219</v>
      </c>
      <c r="JA55" s="1" t="s">
        <v>42220</v>
      </c>
      <c r="JB55" s="1" t="s">
        <v>42221</v>
      </c>
      <c r="JC55" s="1" t="s">
        <v>42222</v>
      </c>
      <c r="JD55" s="1" t="s">
        <v>42223</v>
      </c>
      <c r="JE55" s="1" t="s">
        <v>42224</v>
      </c>
      <c r="JF55" s="1" t="s">
        <v>42225</v>
      </c>
      <c r="JG55" s="1" t="s">
        <v>42226</v>
      </c>
      <c r="JH55" s="1" t="s">
        <v>42227</v>
      </c>
      <c r="JI55" s="1" t="s">
        <v>42228</v>
      </c>
      <c r="JJ55" s="1" t="s">
        <v>42229</v>
      </c>
      <c r="JK55" s="1" t="s">
        <v>42230</v>
      </c>
      <c r="JL55" s="1" t="s">
        <v>42231</v>
      </c>
      <c r="JM55" s="1" t="s">
        <v>42232</v>
      </c>
      <c r="JN55" s="1" t="s">
        <v>42233</v>
      </c>
      <c r="JO55" s="1" t="s">
        <v>42234</v>
      </c>
      <c r="JP55" s="1" t="s">
        <v>42235</v>
      </c>
      <c r="JQ55" s="1" t="s">
        <v>42236</v>
      </c>
      <c r="JR55" s="1" t="s">
        <v>42237</v>
      </c>
      <c r="JS55" s="1" t="s">
        <v>42238</v>
      </c>
      <c r="JT55" s="1" t="s">
        <v>42239</v>
      </c>
      <c r="JU55" s="1" t="s">
        <v>42240</v>
      </c>
      <c r="JV55" s="1" t="s">
        <v>42241</v>
      </c>
      <c r="JW55" s="1" t="s">
        <v>42242</v>
      </c>
      <c r="JX55" s="1" t="s">
        <v>42243</v>
      </c>
      <c r="JY55" s="1" t="s">
        <v>42244</v>
      </c>
      <c r="JZ55" s="1" t="s">
        <v>42245</v>
      </c>
      <c r="KA55" s="1" t="s">
        <v>42246</v>
      </c>
      <c r="KB55" s="1" t="s">
        <v>42247</v>
      </c>
      <c r="KC55" s="1" t="s">
        <v>42248</v>
      </c>
      <c r="KD55" s="1" t="s">
        <v>42249</v>
      </c>
      <c r="KE55" s="1" t="s">
        <v>42250</v>
      </c>
      <c r="KF55" s="1" t="s">
        <v>42251</v>
      </c>
      <c r="KG55" s="1" t="s">
        <v>42252</v>
      </c>
      <c r="KH55" s="1" t="s">
        <v>42253</v>
      </c>
      <c r="KI55" s="1" t="s">
        <v>42254</v>
      </c>
      <c r="KJ55" s="1" t="s">
        <v>42255</v>
      </c>
      <c r="KK55" s="1" t="s">
        <v>42256</v>
      </c>
      <c r="KL55" s="1" t="s">
        <v>42257</v>
      </c>
      <c r="KM55" s="1" t="s">
        <v>42258</v>
      </c>
      <c r="KN55" s="1" t="s">
        <v>42259</v>
      </c>
      <c r="KO55" s="1" t="s">
        <v>42260</v>
      </c>
      <c r="KP55" s="1" t="s">
        <v>42261</v>
      </c>
      <c r="KQ55" s="1" t="s">
        <v>42262</v>
      </c>
      <c r="KR55" s="1" t="s">
        <v>42263</v>
      </c>
      <c r="KS55" s="1" t="s">
        <v>42264</v>
      </c>
      <c r="KT55" s="1" t="s">
        <v>42265</v>
      </c>
      <c r="KU55" s="1" t="s">
        <v>42266</v>
      </c>
      <c r="KV55" s="1" t="s">
        <v>42267</v>
      </c>
      <c r="KW55" s="1" t="s">
        <v>42268</v>
      </c>
      <c r="KX55" s="1" t="s">
        <v>42269</v>
      </c>
      <c r="KY55" s="1" t="s">
        <v>42270</v>
      </c>
      <c r="KZ55" s="1" t="s">
        <v>42271</v>
      </c>
      <c r="LA55" s="1" t="s">
        <v>42272</v>
      </c>
      <c r="LB55" s="1" t="s">
        <v>42273</v>
      </c>
      <c r="LC55" s="1" t="s">
        <v>42274</v>
      </c>
      <c r="LD55" s="1" t="s">
        <v>42275</v>
      </c>
      <c r="LE55" s="1" t="s">
        <v>42276</v>
      </c>
      <c r="LF55" s="1" t="s">
        <v>42277</v>
      </c>
      <c r="LG55" s="1" t="s">
        <v>42278</v>
      </c>
      <c r="LH55" s="1" t="s">
        <v>42279</v>
      </c>
      <c r="LI55" s="1" t="s">
        <v>42280</v>
      </c>
      <c r="LJ55" s="1" t="s">
        <v>42281</v>
      </c>
      <c r="LK55" s="1" t="s">
        <v>42282</v>
      </c>
      <c r="LL55" s="1" t="s">
        <v>42283</v>
      </c>
      <c r="LM55" s="1" t="s">
        <v>42284</v>
      </c>
      <c r="LN55" s="1" t="s">
        <v>42285</v>
      </c>
      <c r="LO55" s="1" t="s">
        <v>42286</v>
      </c>
      <c r="LP55" s="1" t="s">
        <v>42287</v>
      </c>
      <c r="LQ55" s="1" t="s">
        <v>42288</v>
      </c>
      <c r="LR55" s="1" t="s">
        <v>42289</v>
      </c>
      <c r="LS55" s="1" t="s">
        <v>42290</v>
      </c>
      <c r="LT55" s="1" t="s">
        <v>42291</v>
      </c>
      <c r="LU55" s="1" t="s">
        <v>42292</v>
      </c>
      <c r="LV55" s="1" t="s">
        <v>42293</v>
      </c>
      <c r="LW55" s="1" t="s">
        <v>42294</v>
      </c>
      <c r="LX55" s="1" t="s">
        <v>42295</v>
      </c>
      <c r="LY55" s="1" t="s">
        <v>42296</v>
      </c>
      <c r="LZ55" s="1" t="s">
        <v>42297</v>
      </c>
      <c r="MA55" s="1" t="s">
        <v>42298</v>
      </c>
      <c r="MB55" s="1" t="s">
        <v>42299</v>
      </c>
      <c r="MC55" s="1" t="s">
        <v>42300</v>
      </c>
      <c r="MD55" s="1" t="s">
        <v>42301</v>
      </c>
      <c r="ME55" s="1" t="s">
        <v>42302</v>
      </c>
      <c r="MF55" s="1" t="s">
        <v>42303</v>
      </c>
      <c r="MG55" s="1" t="s">
        <v>42304</v>
      </c>
      <c r="MH55" s="1" t="s">
        <v>42305</v>
      </c>
      <c r="MI55" s="1" t="s">
        <v>42306</v>
      </c>
      <c r="MJ55" s="1" t="s">
        <v>42307</v>
      </c>
      <c r="MK55" s="1" t="s">
        <v>42308</v>
      </c>
      <c r="ML55" s="1" t="s">
        <v>42309</v>
      </c>
      <c r="MM55" s="1" t="s">
        <v>42310</v>
      </c>
      <c r="MN55" s="1" t="s">
        <v>42311</v>
      </c>
      <c r="MO55" s="1" t="s">
        <v>42312</v>
      </c>
      <c r="MP55" s="1" t="s">
        <v>42313</v>
      </c>
      <c r="MQ55" s="1" t="s">
        <v>42314</v>
      </c>
      <c r="MR55" s="1" t="s">
        <v>42315</v>
      </c>
      <c r="MS55" s="1" t="s">
        <v>42316</v>
      </c>
      <c r="MT55" s="1" t="s">
        <v>42317</v>
      </c>
      <c r="MU55" s="1" t="s">
        <v>42318</v>
      </c>
      <c r="MV55" s="1" t="s">
        <v>42319</v>
      </c>
      <c r="MW55" s="1" t="s">
        <v>42320</v>
      </c>
      <c r="MX55" s="1" t="s">
        <v>42321</v>
      </c>
      <c r="MY55" s="1" t="s">
        <v>42322</v>
      </c>
      <c r="MZ55" s="1" t="s">
        <v>42323</v>
      </c>
      <c r="NA55" s="1" t="s">
        <v>42324</v>
      </c>
      <c r="NB55" s="1" t="s">
        <v>42325</v>
      </c>
      <c r="NC55" s="1" t="s">
        <v>42326</v>
      </c>
      <c r="ND55" s="1" t="s">
        <v>42327</v>
      </c>
      <c r="NE55" s="1" t="s">
        <v>42328</v>
      </c>
      <c r="NF55" s="1" t="s">
        <v>42329</v>
      </c>
      <c r="NG55" s="1" t="s">
        <v>42330</v>
      </c>
      <c r="NH55" s="1" t="s">
        <v>42331</v>
      </c>
      <c r="NI55" s="1" t="s">
        <v>42332</v>
      </c>
      <c r="NJ55" s="1" t="s">
        <v>42333</v>
      </c>
      <c r="NK55" s="1" t="s">
        <v>42334</v>
      </c>
      <c r="NL55" s="1" t="s">
        <v>42335</v>
      </c>
      <c r="NM55" s="1" t="s">
        <v>42336</v>
      </c>
      <c r="NN55" s="1" t="s">
        <v>42337</v>
      </c>
      <c r="NO55" s="1" t="s">
        <v>42338</v>
      </c>
      <c r="NP55" s="1" t="s">
        <v>42339</v>
      </c>
      <c r="NQ55" s="1" t="s">
        <v>42340</v>
      </c>
      <c r="NR55" s="1" t="s">
        <v>42341</v>
      </c>
      <c r="NS55" s="1" t="s">
        <v>42342</v>
      </c>
      <c r="NT55" s="1" t="s">
        <v>42343</v>
      </c>
      <c r="NU55" s="1" t="s">
        <v>42344</v>
      </c>
      <c r="NV55" s="1" t="s">
        <v>42345</v>
      </c>
      <c r="NW55" s="1" t="s">
        <v>42346</v>
      </c>
      <c r="NX55" s="1" t="s">
        <v>42347</v>
      </c>
      <c r="NY55" s="1" t="s">
        <v>42348</v>
      </c>
      <c r="NZ55" s="1" t="s">
        <v>42349</v>
      </c>
      <c r="OA55" s="1" t="s">
        <v>42350</v>
      </c>
      <c r="OB55" s="1" t="s">
        <v>42351</v>
      </c>
      <c r="OC55" s="1" t="s">
        <v>42352</v>
      </c>
      <c r="OD55" s="1" t="s">
        <v>42353</v>
      </c>
      <c r="OE55" s="1" t="s">
        <v>42354</v>
      </c>
      <c r="OF55" s="1" t="s">
        <v>42355</v>
      </c>
      <c r="OG55" s="1" t="s">
        <v>42356</v>
      </c>
      <c r="OH55" s="1" t="s">
        <v>42357</v>
      </c>
      <c r="OI55" s="1" t="s">
        <v>42358</v>
      </c>
      <c r="OJ55" s="1" t="s">
        <v>42359</v>
      </c>
      <c r="OK55" s="1" t="s">
        <v>42360</v>
      </c>
      <c r="OL55" s="1" t="s">
        <v>42361</v>
      </c>
      <c r="OM55" s="1" t="s">
        <v>42362</v>
      </c>
      <c r="ON55" s="1" t="s">
        <v>42363</v>
      </c>
      <c r="OO55" s="1" t="s">
        <v>42364</v>
      </c>
      <c r="OP55" s="1" t="s">
        <v>42365</v>
      </c>
      <c r="OQ55" s="1" t="s">
        <v>42366</v>
      </c>
      <c r="OR55" s="1" t="s">
        <v>42367</v>
      </c>
      <c r="OS55" s="1" t="s">
        <v>42368</v>
      </c>
      <c r="OT55" s="1" t="s">
        <v>42369</v>
      </c>
      <c r="OU55" s="1" t="s">
        <v>42370</v>
      </c>
      <c r="OV55" s="1" t="s">
        <v>42371</v>
      </c>
      <c r="OW55" s="1" t="s">
        <v>42372</v>
      </c>
      <c r="OX55" s="1" t="s">
        <v>42373</v>
      </c>
      <c r="OY55" s="1" t="s">
        <v>42374</v>
      </c>
      <c r="OZ55" s="1" t="s">
        <v>42375</v>
      </c>
      <c r="PA55" s="1" t="s">
        <v>42376</v>
      </c>
      <c r="PB55" s="1" t="s">
        <v>42377</v>
      </c>
      <c r="PC55" s="1" t="s">
        <v>42378</v>
      </c>
      <c r="PD55" s="1" t="s">
        <v>42379</v>
      </c>
      <c r="PE55" s="1" t="s">
        <v>42380</v>
      </c>
      <c r="PF55" s="1" t="s">
        <v>42381</v>
      </c>
      <c r="PG55" s="1" t="s">
        <v>42382</v>
      </c>
      <c r="PH55" s="1" t="s">
        <v>42383</v>
      </c>
      <c r="PI55" s="1" t="s">
        <v>42384</v>
      </c>
      <c r="PJ55" s="1" t="s">
        <v>42385</v>
      </c>
      <c r="PK55" s="1" t="s">
        <v>42386</v>
      </c>
      <c r="PL55" s="1" t="s">
        <v>42387</v>
      </c>
      <c r="PM55" s="1" t="s">
        <v>42388</v>
      </c>
      <c r="PN55" s="1" t="s">
        <v>42389</v>
      </c>
      <c r="PO55" s="1" t="s">
        <v>42390</v>
      </c>
      <c r="PP55" s="1" t="s">
        <v>42391</v>
      </c>
      <c r="PQ55" s="1" t="s">
        <v>42392</v>
      </c>
      <c r="PR55" s="1" t="s">
        <v>42393</v>
      </c>
      <c r="PS55" s="1" t="s">
        <v>42394</v>
      </c>
      <c r="PT55" s="1" t="s">
        <v>42395</v>
      </c>
      <c r="PU55" s="1" t="s">
        <v>42396</v>
      </c>
      <c r="PV55" s="1" t="s">
        <v>42397</v>
      </c>
      <c r="PW55" s="1" t="s">
        <v>42398</v>
      </c>
      <c r="PX55" s="1" t="s">
        <v>42399</v>
      </c>
      <c r="PY55" s="1" t="s">
        <v>42400</v>
      </c>
      <c r="PZ55" s="1" t="s">
        <v>42401</v>
      </c>
      <c r="QA55" s="1" t="s">
        <v>42402</v>
      </c>
      <c r="QB55" s="1" t="s">
        <v>42403</v>
      </c>
      <c r="QC55" s="1" t="s">
        <v>42404</v>
      </c>
      <c r="QD55" s="1" t="s">
        <v>42405</v>
      </c>
      <c r="QE55" s="1" t="s">
        <v>42406</v>
      </c>
      <c r="QF55" s="1" t="s">
        <v>42407</v>
      </c>
      <c r="QG55" s="1" t="s">
        <v>42408</v>
      </c>
      <c r="QH55" s="1" t="s">
        <v>42409</v>
      </c>
      <c r="QI55" s="1" t="s">
        <v>42410</v>
      </c>
      <c r="QJ55" s="1" t="s">
        <v>42411</v>
      </c>
      <c r="QK55" s="1" t="s">
        <v>42412</v>
      </c>
      <c r="QL55" s="1" t="s">
        <v>42413</v>
      </c>
      <c r="QM55" s="1" t="s">
        <v>42414</v>
      </c>
      <c r="QN55" s="1" t="s">
        <v>42415</v>
      </c>
      <c r="QO55" s="1" t="s">
        <v>42416</v>
      </c>
      <c r="QP55" s="1" t="s">
        <v>42417</v>
      </c>
      <c r="QQ55" s="1" t="s">
        <v>42418</v>
      </c>
      <c r="QR55" s="1" t="s">
        <v>42419</v>
      </c>
      <c r="QS55" s="1" t="s">
        <v>42420</v>
      </c>
      <c r="QT55" s="1" t="s">
        <v>42421</v>
      </c>
      <c r="QU55" s="1" t="s">
        <v>42422</v>
      </c>
      <c r="QV55" s="1" t="s">
        <v>42423</v>
      </c>
      <c r="QW55" s="1" t="s">
        <v>42424</v>
      </c>
      <c r="QX55" s="1" t="s">
        <v>42425</v>
      </c>
      <c r="QY55" s="1" t="s">
        <v>42426</v>
      </c>
      <c r="QZ55" s="1" t="s">
        <v>42427</v>
      </c>
      <c r="RA55" s="1" t="s">
        <v>42428</v>
      </c>
      <c r="RB55" s="1" t="s">
        <v>42429</v>
      </c>
      <c r="RC55" s="1" t="s">
        <v>42430</v>
      </c>
      <c r="RD55" s="1" t="s">
        <v>42431</v>
      </c>
      <c r="RE55" s="1" t="s">
        <v>42432</v>
      </c>
      <c r="RF55" s="1" t="s">
        <v>42433</v>
      </c>
      <c r="RG55" s="1" t="s">
        <v>42434</v>
      </c>
      <c r="RH55" s="1" t="s">
        <v>42435</v>
      </c>
      <c r="RI55" s="1" t="s">
        <v>42436</v>
      </c>
      <c r="RJ55" s="1" t="s">
        <v>42437</v>
      </c>
      <c r="RK55" s="1" t="s">
        <v>42438</v>
      </c>
      <c r="RL55" s="1" t="s">
        <v>42439</v>
      </c>
      <c r="RM55" s="1" t="s">
        <v>42440</v>
      </c>
      <c r="RN55" s="1" t="s">
        <v>42441</v>
      </c>
      <c r="RO55" s="1" t="s">
        <v>42442</v>
      </c>
      <c r="RP55" s="1" t="s">
        <v>42443</v>
      </c>
      <c r="RQ55" s="1" t="s">
        <v>42444</v>
      </c>
      <c r="RR55" s="1" t="s">
        <v>42445</v>
      </c>
      <c r="RS55" s="1" t="s">
        <v>42446</v>
      </c>
      <c r="RT55" s="1" t="s">
        <v>42447</v>
      </c>
      <c r="RU55" s="1" t="s">
        <v>42448</v>
      </c>
      <c r="RV55" s="1" t="s">
        <v>42449</v>
      </c>
      <c r="RW55" s="1" t="s">
        <v>42450</v>
      </c>
      <c r="RX55" s="1" t="s">
        <v>42451</v>
      </c>
      <c r="RY55" s="1" t="s">
        <v>42452</v>
      </c>
      <c r="RZ55" s="1" t="s">
        <v>42453</v>
      </c>
      <c r="SA55" s="1" t="s">
        <v>42454</v>
      </c>
      <c r="SB55" s="1" t="s">
        <v>42455</v>
      </c>
      <c r="SC55" s="1" t="s">
        <v>42456</v>
      </c>
      <c r="SD55" s="1" t="s">
        <v>42457</v>
      </c>
      <c r="SE55" s="1" t="s">
        <v>42458</v>
      </c>
      <c r="SF55" s="1" t="s">
        <v>42459</v>
      </c>
      <c r="SG55" s="1" t="s">
        <v>42460</v>
      </c>
      <c r="SH55" s="1" t="s">
        <v>42461</v>
      </c>
      <c r="SI55" s="1" t="s">
        <v>42462</v>
      </c>
      <c r="SJ55" s="1" t="s">
        <v>42463</v>
      </c>
      <c r="SK55" s="1" t="s">
        <v>42464</v>
      </c>
      <c r="SL55" s="1" t="s">
        <v>42465</v>
      </c>
      <c r="SM55" s="1" t="s">
        <v>42466</v>
      </c>
      <c r="SN55" s="1" t="s">
        <v>42467</v>
      </c>
      <c r="SO55" s="1" t="s">
        <v>42468</v>
      </c>
      <c r="SP55" s="1" t="s">
        <v>42469</v>
      </c>
      <c r="SQ55" s="1" t="s">
        <v>42470</v>
      </c>
      <c r="SR55" s="1" t="s">
        <v>42471</v>
      </c>
      <c r="SS55" s="1" t="s">
        <v>42472</v>
      </c>
      <c r="ST55" s="1" t="s">
        <v>42473</v>
      </c>
      <c r="SU55" s="1" t="s">
        <v>42474</v>
      </c>
      <c r="SV55" s="1" t="s">
        <v>42475</v>
      </c>
      <c r="SW55" s="1" t="s">
        <v>42476</v>
      </c>
      <c r="SX55" s="1" t="s">
        <v>42477</v>
      </c>
      <c r="SY55" s="1" t="s">
        <v>42478</v>
      </c>
      <c r="SZ55" s="1" t="s">
        <v>42479</v>
      </c>
      <c r="TA55" s="1" t="s">
        <v>42480</v>
      </c>
      <c r="TB55" s="1" t="s">
        <v>42481</v>
      </c>
      <c r="TC55" s="1" t="s">
        <v>42482</v>
      </c>
      <c r="TD55" s="1" t="s">
        <v>42483</v>
      </c>
      <c r="TE55" s="1" t="s">
        <v>42484</v>
      </c>
      <c r="TF55" s="1" t="s">
        <v>42485</v>
      </c>
      <c r="TG55" s="1" t="s">
        <v>42486</v>
      </c>
      <c r="TH55" s="1" t="s">
        <v>42487</v>
      </c>
      <c r="TI55" s="1" t="s">
        <v>42488</v>
      </c>
      <c r="TJ55" s="1" t="s">
        <v>42489</v>
      </c>
      <c r="TK55" s="1" t="s">
        <v>42490</v>
      </c>
      <c r="TL55" s="1" t="s">
        <v>42491</v>
      </c>
      <c r="TM55" s="1" t="s">
        <v>42492</v>
      </c>
      <c r="TN55" s="1" t="s">
        <v>42493</v>
      </c>
      <c r="TO55" s="1" t="s">
        <v>42494</v>
      </c>
      <c r="TP55" s="1" t="s">
        <v>42495</v>
      </c>
      <c r="TQ55" s="1" t="s">
        <v>42496</v>
      </c>
      <c r="TR55" s="1" t="s">
        <v>42497</v>
      </c>
      <c r="TS55" s="1" t="s">
        <v>42498</v>
      </c>
      <c r="TT55" s="1" t="s">
        <v>42499</v>
      </c>
      <c r="TU55" s="1" t="s">
        <v>42500</v>
      </c>
      <c r="TV55" s="1" t="s">
        <v>42501</v>
      </c>
      <c r="TW55" s="1" t="s">
        <v>42502</v>
      </c>
      <c r="TX55" s="1" t="s">
        <v>42503</v>
      </c>
      <c r="TY55" s="1" t="s">
        <v>42504</v>
      </c>
      <c r="TZ55" s="1" t="s">
        <v>42505</v>
      </c>
      <c r="UA55" s="1" t="s">
        <v>42506</v>
      </c>
      <c r="UB55" s="1" t="s">
        <v>42507</v>
      </c>
      <c r="UC55" s="1" t="s">
        <v>42508</v>
      </c>
      <c r="UD55" s="1" t="s">
        <v>42509</v>
      </c>
      <c r="UE55" s="1" t="s">
        <v>42510</v>
      </c>
      <c r="UF55" s="1" t="s">
        <v>42511</v>
      </c>
      <c r="UG55" s="1" t="s">
        <v>42512</v>
      </c>
      <c r="UH55" s="1" t="s">
        <v>42513</v>
      </c>
      <c r="UI55" s="1" t="s">
        <v>42514</v>
      </c>
      <c r="UJ55" s="1" t="s">
        <v>42515</v>
      </c>
      <c r="UK55" s="1" t="s">
        <v>42516</v>
      </c>
      <c r="UL55" s="1" t="s">
        <v>42517</v>
      </c>
      <c r="UM55" s="1" t="s">
        <v>42518</v>
      </c>
      <c r="UN55" s="1" t="s">
        <v>42519</v>
      </c>
      <c r="UO55" s="1" t="s">
        <v>42520</v>
      </c>
      <c r="UP55" s="1" t="s">
        <v>42521</v>
      </c>
      <c r="UQ55" s="1" t="s">
        <v>42522</v>
      </c>
      <c r="UR55" s="1" t="s">
        <v>42523</v>
      </c>
      <c r="US55" s="1" t="s">
        <v>42524</v>
      </c>
      <c r="UT55" s="1" t="s">
        <v>42525</v>
      </c>
      <c r="UU55" s="1" t="s">
        <v>42526</v>
      </c>
      <c r="UV55" s="1" t="s">
        <v>42527</v>
      </c>
      <c r="UW55" s="1" t="s">
        <v>42528</v>
      </c>
      <c r="UX55" s="1" t="s">
        <v>42529</v>
      </c>
      <c r="UY55" s="1" t="s">
        <v>42530</v>
      </c>
      <c r="UZ55" s="1" t="s">
        <v>42531</v>
      </c>
      <c r="VA55" s="1" t="s">
        <v>42532</v>
      </c>
      <c r="VB55" s="1" t="s">
        <v>42533</v>
      </c>
      <c r="VC55" s="1" t="s">
        <v>42534</v>
      </c>
      <c r="VD55" s="1" t="s">
        <v>42535</v>
      </c>
      <c r="VE55" s="1" t="s">
        <v>42536</v>
      </c>
      <c r="VF55" s="1" t="s">
        <v>42537</v>
      </c>
      <c r="VG55" s="1" t="s">
        <v>42538</v>
      </c>
      <c r="VH55" s="1" t="s">
        <v>42539</v>
      </c>
      <c r="VI55" s="1" t="s">
        <v>42540</v>
      </c>
      <c r="VJ55" s="1" t="s">
        <v>42541</v>
      </c>
      <c r="VK55" s="1" t="s">
        <v>42542</v>
      </c>
      <c r="VL55" s="1" t="s">
        <v>42543</v>
      </c>
      <c r="VM55" s="1" t="s">
        <v>42544</v>
      </c>
      <c r="VN55" s="1" t="s">
        <v>42545</v>
      </c>
      <c r="VO55" s="1" t="s">
        <v>42546</v>
      </c>
      <c r="VP55" s="1" t="s">
        <v>42547</v>
      </c>
      <c r="VQ55" s="1" t="s">
        <v>42548</v>
      </c>
      <c r="VR55" s="1" t="s">
        <v>42549</v>
      </c>
      <c r="VS55" s="1" t="s">
        <v>42550</v>
      </c>
      <c r="VT55" s="1" t="s">
        <v>42551</v>
      </c>
      <c r="VU55" s="1" t="s">
        <v>42552</v>
      </c>
      <c r="VV55" s="1" t="s">
        <v>42553</v>
      </c>
      <c r="VW55" s="1" t="s">
        <v>42554</v>
      </c>
      <c r="VX55" s="1" t="s">
        <v>42555</v>
      </c>
      <c r="VY55" s="1" t="s">
        <v>42556</v>
      </c>
      <c r="VZ55" s="1" t="s">
        <v>42557</v>
      </c>
      <c r="WA55" s="1" t="s">
        <v>42558</v>
      </c>
      <c r="WB55" s="1" t="s">
        <v>42559</v>
      </c>
      <c r="WC55" s="1" t="s">
        <v>42560</v>
      </c>
      <c r="WD55" s="1" t="s">
        <v>42561</v>
      </c>
      <c r="WE55" s="1" t="s">
        <v>42562</v>
      </c>
      <c r="WF55" s="1" t="s">
        <v>42563</v>
      </c>
      <c r="WG55" s="1" t="s">
        <v>42564</v>
      </c>
      <c r="WH55" s="1" t="s">
        <v>42565</v>
      </c>
      <c r="WI55" s="1" t="s">
        <v>42566</v>
      </c>
      <c r="WJ55" s="1" t="s">
        <v>42567</v>
      </c>
      <c r="WK55" s="1" t="s">
        <v>42568</v>
      </c>
      <c r="WL55" s="1" t="s">
        <v>42569</v>
      </c>
      <c r="WM55" s="1" t="s">
        <v>42570</v>
      </c>
      <c r="WN55" s="1" t="s">
        <v>42571</v>
      </c>
      <c r="WO55" s="1" t="s">
        <v>42572</v>
      </c>
      <c r="WP55" s="1" t="s">
        <v>42573</v>
      </c>
      <c r="WQ55" s="1" t="s">
        <v>42574</v>
      </c>
      <c r="WR55" s="1" t="s">
        <v>42575</v>
      </c>
      <c r="WS55" s="1" t="s">
        <v>42576</v>
      </c>
      <c r="WT55" s="1" t="s">
        <v>42577</v>
      </c>
      <c r="WU55" s="1" t="s">
        <v>42578</v>
      </c>
      <c r="WV55" s="1" t="s">
        <v>42579</v>
      </c>
      <c r="WW55" s="1" t="s">
        <v>42580</v>
      </c>
      <c r="WX55" s="1" t="s">
        <v>42581</v>
      </c>
      <c r="WY55" s="1" t="s">
        <v>42582</v>
      </c>
      <c r="WZ55" s="1" t="s">
        <v>42583</v>
      </c>
      <c r="XA55" s="1" t="s">
        <v>42584</v>
      </c>
      <c r="XB55" s="1" t="s">
        <v>42585</v>
      </c>
      <c r="XC55" s="1" t="s">
        <v>42586</v>
      </c>
      <c r="XD55" s="1" t="s">
        <v>42587</v>
      </c>
      <c r="XE55" s="1" t="s">
        <v>42588</v>
      </c>
      <c r="XF55" s="1" t="s">
        <v>42589</v>
      </c>
      <c r="XG55" s="1" t="s">
        <v>42590</v>
      </c>
      <c r="XH55" s="1" t="s">
        <v>42591</v>
      </c>
      <c r="XI55" s="1" t="s">
        <v>42592</v>
      </c>
      <c r="XJ55" s="1" t="s">
        <v>42593</v>
      </c>
      <c r="XK55" s="1" t="s">
        <v>42594</v>
      </c>
      <c r="XL55" s="1" t="s">
        <v>42595</v>
      </c>
      <c r="XM55" s="1" t="s">
        <v>42596</v>
      </c>
      <c r="XN55" s="1" t="s">
        <v>42597</v>
      </c>
      <c r="XO55" s="1" t="s">
        <v>42598</v>
      </c>
      <c r="XP55" s="1" t="s">
        <v>42599</v>
      </c>
      <c r="XQ55" s="1" t="s">
        <v>42600</v>
      </c>
      <c r="XR55" s="1" t="s">
        <v>42601</v>
      </c>
      <c r="XS55" s="1" t="s">
        <v>42602</v>
      </c>
      <c r="XT55" s="1" t="s">
        <v>42603</v>
      </c>
      <c r="XU55" s="1" t="s">
        <v>42604</v>
      </c>
      <c r="XV55" s="1" t="s">
        <v>42605</v>
      </c>
      <c r="XW55" s="1" t="s">
        <v>42606</v>
      </c>
      <c r="XX55" s="1" t="s">
        <v>42607</v>
      </c>
      <c r="XY55" s="1" t="s">
        <v>42608</v>
      </c>
      <c r="XZ55" s="1" t="s">
        <v>42609</v>
      </c>
      <c r="YA55" s="1" t="s">
        <v>42610</v>
      </c>
      <c r="YB55" s="1" t="s">
        <v>42611</v>
      </c>
      <c r="YC55" s="1" t="s">
        <v>42612</v>
      </c>
      <c r="YD55" s="1" t="s">
        <v>42613</v>
      </c>
      <c r="YE55" s="1" t="s">
        <v>42614</v>
      </c>
      <c r="YF55" s="1" t="s">
        <v>42615</v>
      </c>
      <c r="YG55" s="1" t="s">
        <v>42616</v>
      </c>
      <c r="YH55" s="1" t="s">
        <v>42617</v>
      </c>
      <c r="YI55" s="1" t="s">
        <v>42618</v>
      </c>
      <c r="YJ55" s="1" t="s">
        <v>42619</v>
      </c>
      <c r="YK55" s="1" t="s">
        <v>42620</v>
      </c>
      <c r="YL55" s="1" t="s">
        <v>42621</v>
      </c>
      <c r="YM55" s="1" t="s">
        <v>42622</v>
      </c>
      <c r="YN55" s="1" t="s">
        <v>42623</v>
      </c>
      <c r="YO55" s="1" t="s">
        <v>42624</v>
      </c>
      <c r="YP55" s="1" t="s">
        <v>42625</v>
      </c>
      <c r="YQ55" s="1" t="s">
        <v>42626</v>
      </c>
      <c r="YR55" s="1" t="s">
        <v>42627</v>
      </c>
      <c r="YS55" s="1" t="s">
        <v>42628</v>
      </c>
      <c r="YT55" s="1" t="s">
        <v>42629</v>
      </c>
      <c r="YU55" s="1" t="s">
        <v>42630</v>
      </c>
      <c r="YV55" s="1" t="s">
        <v>42631</v>
      </c>
      <c r="YW55" s="1" t="s">
        <v>42632</v>
      </c>
      <c r="YX55" s="1" t="s">
        <v>42633</v>
      </c>
      <c r="YY55" s="1" t="s">
        <v>42634</v>
      </c>
      <c r="YZ55" s="1" t="s">
        <v>42635</v>
      </c>
      <c r="ZA55" s="1" t="s">
        <v>42636</v>
      </c>
      <c r="ZB55" s="1" t="s">
        <v>42637</v>
      </c>
      <c r="ZC55" s="1" t="s">
        <v>42638</v>
      </c>
      <c r="ZD55" s="1" t="s">
        <v>42639</v>
      </c>
      <c r="ZE55" s="1" t="s">
        <v>42640</v>
      </c>
      <c r="ZF55" s="1" t="s">
        <v>42641</v>
      </c>
      <c r="ZG55" s="1" t="s">
        <v>42642</v>
      </c>
      <c r="ZH55" s="1" t="s">
        <v>42643</v>
      </c>
      <c r="ZI55" s="1" t="s">
        <v>42644</v>
      </c>
      <c r="ZJ55" s="1" t="s">
        <v>42645</v>
      </c>
      <c r="ZK55" s="1" t="s">
        <v>42646</v>
      </c>
      <c r="ZL55" s="1" t="s">
        <v>42647</v>
      </c>
      <c r="ZM55" s="1" t="s">
        <v>42648</v>
      </c>
      <c r="ZN55" s="1" t="s">
        <v>42649</v>
      </c>
      <c r="ZO55" s="1" t="s">
        <v>42650</v>
      </c>
      <c r="ZP55" s="1" t="s">
        <v>42651</v>
      </c>
      <c r="ZQ55" s="1" t="s">
        <v>42652</v>
      </c>
      <c r="ZR55" s="1" t="s">
        <v>42653</v>
      </c>
      <c r="ZS55" s="1" t="s">
        <v>42654</v>
      </c>
      <c r="ZT55" s="1" t="s">
        <v>42655</v>
      </c>
      <c r="ZU55" s="1" t="s">
        <v>42656</v>
      </c>
      <c r="ZV55" s="1" t="s">
        <v>42657</v>
      </c>
      <c r="ZW55" s="1" t="s">
        <v>42658</v>
      </c>
      <c r="ZX55" s="1" t="s">
        <v>42659</v>
      </c>
      <c r="ZY55" s="1" t="s">
        <v>42660</v>
      </c>
      <c r="ZZ55" s="1" t="s">
        <v>42661</v>
      </c>
      <c r="AAA55" s="1" t="s">
        <v>42662</v>
      </c>
      <c r="AAB55" s="1" t="s">
        <v>42663</v>
      </c>
      <c r="AAC55" s="1" t="s">
        <v>42664</v>
      </c>
      <c r="AAD55" s="1" t="s">
        <v>42665</v>
      </c>
      <c r="AAE55" s="1" t="s">
        <v>42666</v>
      </c>
      <c r="AAF55" s="1" t="s">
        <v>42667</v>
      </c>
      <c r="AAG55" s="1" t="s">
        <v>42668</v>
      </c>
      <c r="AAH55" s="1" t="s">
        <v>42669</v>
      </c>
      <c r="AAI55" s="1" t="s">
        <v>42670</v>
      </c>
      <c r="AAJ55" s="1" t="s">
        <v>42671</v>
      </c>
      <c r="AAK55" s="1" t="s">
        <v>42672</v>
      </c>
      <c r="AAL55" s="1" t="s">
        <v>42673</v>
      </c>
      <c r="AAM55" s="1" t="s">
        <v>42674</v>
      </c>
      <c r="AAN55" s="1" t="s">
        <v>42675</v>
      </c>
      <c r="AAO55" s="1" t="s">
        <v>42676</v>
      </c>
      <c r="AAP55" s="1" t="s">
        <v>42677</v>
      </c>
      <c r="AAQ55" s="1" t="s">
        <v>42678</v>
      </c>
      <c r="AAR55" s="1" t="s">
        <v>42679</v>
      </c>
      <c r="AAS55" s="1" t="s">
        <v>42680</v>
      </c>
      <c r="AAT55" s="1" t="s">
        <v>42681</v>
      </c>
      <c r="AAU55" s="1" t="s">
        <v>42682</v>
      </c>
      <c r="AAV55" s="1" t="s">
        <v>42683</v>
      </c>
      <c r="AAW55" s="1" t="s">
        <v>42684</v>
      </c>
      <c r="AAX55" s="1" t="s">
        <v>42685</v>
      </c>
      <c r="AAY55" s="1" t="s">
        <v>42686</v>
      </c>
      <c r="AAZ55" s="1" t="s">
        <v>42687</v>
      </c>
      <c r="ABA55" s="1" t="s">
        <v>42688</v>
      </c>
      <c r="ABB55" s="1" t="s">
        <v>42689</v>
      </c>
      <c r="ABC55" s="1" t="s">
        <v>42690</v>
      </c>
      <c r="ABD55" s="1" t="s">
        <v>42691</v>
      </c>
      <c r="ABE55" s="1" t="s">
        <v>42692</v>
      </c>
      <c r="ABF55" s="1" t="s">
        <v>42693</v>
      </c>
      <c r="ABG55" s="1" t="s">
        <v>42694</v>
      </c>
      <c r="ABH55" s="1" t="s">
        <v>42695</v>
      </c>
      <c r="ABI55" s="1" t="s">
        <v>42696</v>
      </c>
      <c r="ABJ55" s="1" t="s">
        <v>42697</v>
      </c>
      <c r="ABK55" s="1" t="s">
        <v>42698</v>
      </c>
      <c r="ABL55" s="1" t="s">
        <v>42699</v>
      </c>
      <c r="ABM55" s="1" t="s">
        <v>42700</v>
      </c>
      <c r="ABN55" s="1" t="s">
        <v>42701</v>
      </c>
      <c r="ABO55" s="1" t="s">
        <v>42702</v>
      </c>
      <c r="ABP55" s="1" t="s">
        <v>42703</v>
      </c>
      <c r="ABQ55" s="1" t="s">
        <v>42704</v>
      </c>
      <c r="ABR55" s="1" t="s">
        <v>42705</v>
      </c>
      <c r="ABS55" s="1" t="s">
        <v>42706</v>
      </c>
      <c r="ABT55" s="1" t="s">
        <v>42707</v>
      </c>
      <c r="ABU55" s="1" t="s">
        <v>42708</v>
      </c>
      <c r="ABV55" s="1" t="s">
        <v>42709</v>
      </c>
      <c r="ABW55" s="1" t="s">
        <v>42710</v>
      </c>
      <c r="ABX55" s="1" t="s">
        <v>42711</v>
      </c>
      <c r="ABY55" s="1" t="s">
        <v>42712</v>
      </c>
      <c r="ABZ55" s="1" t="s">
        <v>42713</v>
      </c>
      <c r="ACA55" s="1" t="s">
        <v>42714</v>
      </c>
      <c r="ACB55" s="1" t="s">
        <v>42715</v>
      </c>
      <c r="ACC55" s="1" t="s">
        <v>42716</v>
      </c>
      <c r="ACD55" s="1" t="s">
        <v>42717</v>
      </c>
      <c r="ACE55" s="1" t="s">
        <v>42718</v>
      </c>
      <c r="ACF55" s="1" t="s">
        <v>42719</v>
      </c>
      <c r="ACG55" s="1" t="s">
        <v>42720</v>
      </c>
      <c r="ACH55" s="1" t="s">
        <v>42721</v>
      </c>
      <c r="ACI55" s="1" t="s">
        <v>42722</v>
      </c>
      <c r="ACJ55" s="1" t="s">
        <v>42723</v>
      </c>
      <c r="ACK55" s="1" t="s">
        <v>42724</v>
      </c>
      <c r="ACL55" s="1" t="s">
        <v>42725</v>
      </c>
      <c r="ACM55" s="1" t="s">
        <v>42726</v>
      </c>
      <c r="ACN55" s="1" t="s">
        <v>42727</v>
      </c>
      <c r="ACO55" s="1" t="s">
        <v>42728</v>
      </c>
      <c r="ACP55" s="1" t="s">
        <v>42729</v>
      </c>
      <c r="ACQ55" s="1" t="s">
        <v>42730</v>
      </c>
      <c r="ACR55" s="1" t="s">
        <v>42731</v>
      </c>
      <c r="ACS55" s="1" t="s">
        <v>42732</v>
      </c>
      <c r="ACT55" s="1" t="s">
        <v>42733</v>
      </c>
      <c r="ACU55" s="1" t="s">
        <v>42734</v>
      </c>
      <c r="ACV55" s="1" t="s">
        <v>42735</v>
      </c>
      <c r="ACW55" s="1" t="s">
        <v>12</v>
      </c>
      <c r="ACX55" s="1" t="s">
        <v>1500</v>
      </c>
    </row>
    <row r="56" spans="1:778" x14ac:dyDescent="0.2">
      <c r="A56" s="1" t="s">
        <v>91</v>
      </c>
      <c r="B56" s="1" t="s">
        <v>42736</v>
      </c>
      <c r="C56" s="1" t="s">
        <v>42737</v>
      </c>
      <c r="D56" s="1" t="s">
        <v>42738</v>
      </c>
      <c r="E56" s="1" t="s">
        <v>42739</v>
      </c>
      <c r="F56" s="1" t="s">
        <v>42740</v>
      </c>
      <c r="G56" s="1" t="s">
        <v>42741</v>
      </c>
      <c r="H56" s="1" t="s">
        <v>42742</v>
      </c>
      <c r="I56" s="1" t="s">
        <v>42743</v>
      </c>
      <c r="J56" s="1" t="s">
        <v>42744</v>
      </c>
      <c r="K56" s="1" t="s">
        <v>42745</v>
      </c>
      <c r="L56" s="1" t="s">
        <v>42746</v>
      </c>
      <c r="M56" s="1" t="s">
        <v>42747</v>
      </c>
      <c r="N56" s="1" t="s">
        <v>42748</v>
      </c>
      <c r="O56" s="1" t="s">
        <v>42749</v>
      </c>
      <c r="P56" s="1" t="s">
        <v>42750</v>
      </c>
      <c r="Q56" s="1" t="s">
        <v>42751</v>
      </c>
      <c r="R56" s="1" t="s">
        <v>42752</v>
      </c>
      <c r="S56" s="1" t="s">
        <v>42753</v>
      </c>
      <c r="T56" s="1" t="s">
        <v>42754</v>
      </c>
      <c r="U56" s="1" t="s">
        <v>42755</v>
      </c>
      <c r="V56" s="1" t="s">
        <v>42756</v>
      </c>
      <c r="W56" s="1" t="s">
        <v>42757</v>
      </c>
      <c r="X56" s="1" t="s">
        <v>42758</v>
      </c>
      <c r="Y56" s="1" t="s">
        <v>42759</v>
      </c>
      <c r="Z56" s="1" t="s">
        <v>42760</v>
      </c>
      <c r="AA56" s="1" t="s">
        <v>42761</v>
      </c>
      <c r="AB56" s="1" t="s">
        <v>42762</v>
      </c>
      <c r="AC56" s="1" t="s">
        <v>42763</v>
      </c>
      <c r="AD56" s="1" t="s">
        <v>42764</v>
      </c>
      <c r="AE56" s="1" t="s">
        <v>42765</v>
      </c>
      <c r="AF56" s="1" t="s">
        <v>42766</v>
      </c>
      <c r="AG56" s="1" t="s">
        <v>42767</v>
      </c>
      <c r="AH56" s="1" t="s">
        <v>42768</v>
      </c>
      <c r="AI56" s="1" t="s">
        <v>42769</v>
      </c>
      <c r="AJ56" s="1" t="s">
        <v>42770</v>
      </c>
      <c r="AK56" s="1" t="s">
        <v>42771</v>
      </c>
      <c r="AL56" s="1" t="s">
        <v>42772</v>
      </c>
      <c r="AM56" s="1" t="s">
        <v>42773</v>
      </c>
      <c r="AN56" s="1" t="s">
        <v>42774</v>
      </c>
      <c r="AO56" s="1" t="s">
        <v>42775</v>
      </c>
      <c r="AP56" s="1" t="s">
        <v>42776</v>
      </c>
      <c r="AQ56" s="1" t="s">
        <v>42777</v>
      </c>
      <c r="AR56" s="1" t="s">
        <v>42778</v>
      </c>
      <c r="AS56" s="1" t="s">
        <v>42779</v>
      </c>
      <c r="AT56" s="1" t="s">
        <v>42780</v>
      </c>
      <c r="AU56" s="1" t="s">
        <v>42781</v>
      </c>
      <c r="AV56" s="1" t="s">
        <v>42782</v>
      </c>
      <c r="AW56" s="1" t="s">
        <v>42783</v>
      </c>
      <c r="AX56" s="1" t="s">
        <v>42784</v>
      </c>
      <c r="AY56" s="1" t="s">
        <v>42785</v>
      </c>
      <c r="AZ56" s="1" t="s">
        <v>42786</v>
      </c>
      <c r="BA56" s="1" t="s">
        <v>42787</v>
      </c>
      <c r="BB56" s="1" t="s">
        <v>42788</v>
      </c>
      <c r="BC56" s="1" t="s">
        <v>42789</v>
      </c>
      <c r="BD56" s="1" t="s">
        <v>42790</v>
      </c>
      <c r="BE56" s="1" t="s">
        <v>42791</v>
      </c>
      <c r="BF56" s="1" t="s">
        <v>42792</v>
      </c>
      <c r="BG56" s="1" t="s">
        <v>42793</v>
      </c>
      <c r="BH56" s="1" t="s">
        <v>42794</v>
      </c>
      <c r="BI56" s="1" t="s">
        <v>42795</v>
      </c>
      <c r="BJ56" s="1" t="s">
        <v>42796</v>
      </c>
      <c r="BK56" s="1" t="s">
        <v>42797</v>
      </c>
      <c r="BL56" s="1" t="s">
        <v>42798</v>
      </c>
      <c r="BM56" s="1" t="s">
        <v>42799</v>
      </c>
      <c r="BN56" s="1" t="s">
        <v>42800</v>
      </c>
      <c r="BO56" s="1" t="s">
        <v>42801</v>
      </c>
      <c r="BP56" s="1" t="s">
        <v>42802</v>
      </c>
      <c r="BQ56" s="1" t="s">
        <v>42803</v>
      </c>
      <c r="BR56" s="1" t="s">
        <v>42804</v>
      </c>
      <c r="BS56" s="1" t="s">
        <v>42805</v>
      </c>
      <c r="BT56" s="1" t="s">
        <v>42806</v>
      </c>
      <c r="BU56" s="1" t="s">
        <v>42807</v>
      </c>
      <c r="BV56" s="1" t="s">
        <v>42808</v>
      </c>
      <c r="BW56" s="1" t="s">
        <v>42809</v>
      </c>
      <c r="BX56" s="1" t="s">
        <v>42810</v>
      </c>
      <c r="BY56" s="1" t="s">
        <v>42811</v>
      </c>
      <c r="BZ56" s="1" t="s">
        <v>42812</v>
      </c>
      <c r="CA56" s="1" t="s">
        <v>42813</v>
      </c>
      <c r="CB56" s="1" t="s">
        <v>42814</v>
      </c>
      <c r="CC56" s="1" t="s">
        <v>42815</v>
      </c>
      <c r="CD56" s="1" t="s">
        <v>42816</v>
      </c>
      <c r="CE56" s="1" t="s">
        <v>42817</v>
      </c>
      <c r="CF56" s="1" t="s">
        <v>42818</v>
      </c>
      <c r="CG56" s="1" t="s">
        <v>42819</v>
      </c>
      <c r="CH56" s="1" t="s">
        <v>42820</v>
      </c>
      <c r="CI56" s="1" t="s">
        <v>42821</v>
      </c>
      <c r="CJ56" s="1" t="s">
        <v>42822</v>
      </c>
      <c r="CK56" s="1" t="s">
        <v>42823</v>
      </c>
      <c r="CL56" s="1" t="s">
        <v>42824</v>
      </c>
      <c r="CM56" s="1" t="s">
        <v>42825</v>
      </c>
      <c r="CN56" s="1" t="s">
        <v>42826</v>
      </c>
      <c r="CO56" s="1" t="s">
        <v>42827</v>
      </c>
      <c r="CP56" s="1" t="s">
        <v>42828</v>
      </c>
      <c r="CQ56" s="1" t="s">
        <v>42829</v>
      </c>
      <c r="CR56" s="1" t="s">
        <v>42830</v>
      </c>
      <c r="CS56" s="1" t="s">
        <v>42831</v>
      </c>
      <c r="CT56" s="1" t="s">
        <v>42832</v>
      </c>
      <c r="CU56" s="1" t="s">
        <v>42833</v>
      </c>
      <c r="CV56" s="1" t="s">
        <v>42834</v>
      </c>
      <c r="CW56" s="1" t="s">
        <v>42835</v>
      </c>
      <c r="CX56" s="1" t="s">
        <v>42836</v>
      </c>
      <c r="CY56" s="1" t="s">
        <v>42837</v>
      </c>
      <c r="CZ56" s="1" t="s">
        <v>42838</v>
      </c>
      <c r="DA56" s="1" t="s">
        <v>42839</v>
      </c>
      <c r="DB56" s="1" t="s">
        <v>42840</v>
      </c>
      <c r="DC56" s="1" t="s">
        <v>42841</v>
      </c>
      <c r="DD56" s="1" t="s">
        <v>42842</v>
      </c>
      <c r="DE56" s="1" t="s">
        <v>42843</v>
      </c>
      <c r="DF56" s="1" t="s">
        <v>42844</v>
      </c>
      <c r="DG56" s="1" t="s">
        <v>42845</v>
      </c>
      <c r="DH56" s="1" t="s">
        <v>42846</v>
      </c>
      <c r="DI56" s="1" t="s">
        <v>42847</v>
      </c>
      <c r="DJ56" s="1" t="s">
        <v>42848</v>
      </c>
      <c r="DK56" s="1" t="s">
        <v>42849</v>
      </c>
      <c r="DL56" s="1" t="s">
        <v>42850</v>
      </c>
      <c r="DM56" s="1" t="s">
        <v>42851</v>
      </c>
      <c r="DN56" s="1" t="s">
        <v>42852</v>
      </c>
      <c r="DO56" s="1" t="s">
        <v>42853</v>
      </c>
      <c r="DP56" s="1" t="s">
        <v>42854</v>
      </c>
      <c r="DQ56" s="1" t="s">
        <v>42855</v>
      </c>
      <c r="DR56" s="1" t="s">
        <v>42856</v>
      </c>
      <c r="DS56" s="1" t="s">
        <v>42857</v>
      </c>
      <c r="DT56" s="1" t="s">
        <v>42858</v>
      </c>
      <c r="DU56" s="1" t="s">
        <v>42859</v>
      </c>
      <c r="DV56" s="1" t="s">
        <v>42860</v>
      </c>
      <c r="DW56" s="1" t="s">
        <v>42861</v>
      </c>
      <c r="DX56" s="1" t="s">
        <v>42862</v>
      </c>
      <c r="DY56" s="1" t="s">
        <v>42863</v>
      </c>
      <c r="DZ56" s="1" t="s">
        <v>42864</v>
      </c>
      <c r="EA56" s="1" t="s">
        <v>42865</v>
      </c>
      <c r="EB56" s="1" t="s">
        <v>42866</v>
      </c>
      <c r="EC56" s="1" t="s">
        <v>42867</v>
      </c>
      <c r="ED56" s="1" t="s">
        <v>42868</v>
      </c>
      <c r="EE56" s="1" t="s">
        <v>42869</v>
      </c>
      <c r="EF56" s="1" t="s">
        <v>42870</v>
      </c>
      <c r="EG56" s="1" t="s">
        <v>42871</v>
      </c>
      <c r="EH56" s="1" t="s">
        <v>42872</v>
      </c>
      <c r="EI56" s="1" t="s">
        <v>42873</v>
      </c>
      <c r="EJ56" s="1" t="s">
        <v>42874</v>
      </c>
      <c r="EK56" s="1" t="s">
        <v>42875</v>
      </c>
      <c r="EL56" s="1" t="s">
        <v>42876</v>
      </c>
      <c r="EM56" s="1" t="s">
        <v>42877</v>
      </c>
      <c r="EN56" s="1" t="s">
        <v>42878</v>
      </c>
      <c r="EO56" s="1" t="s">
        <v>42879</v>
      </c>
      <c r="EP56" s="1" t="s">
        <v>42880</v>
      </c>
      <c r="EQ56" s="1" t="s">
        <v>42881</v>
      </c>
      <c r="ER56" s="1" t="s">
        <v>42882</v>
      </c>
      <c r="ES56" s="1" t="s">
        <v>42883</v>
      </c>
      <c r="ET56" s="1" t="s">
        <v>42884</v>
      </c>
      <c r="EU56" s="1" t="s">
        <v>42885</v>
      </c>
      <c r="EV56" s="1" t="s">
        <v>42886</v>
      </c>
      <c r="EW56" s="1" t="s">
        <v>42887</v>
      </c>
      <c r="EX56" s="1" t="s">
        <v>42888</v>
      </c>
      <c r="EY56" s="1" t="s">
        <v>42889</v>
      </c>
      <c r="EZ56" s="1" t="s">
        <v>42890</v>
      </c>
      <c r="FA56" s="1" t="s">
        <v>42891</v>
      </c>
      <c r="FB56" s="1" t="s">
        <v>42892</v>
      </c>
      <c r="FC56" s="1" t="s">
        <v>42893</v>
      </c>
      <c r="FD56" s="1" t="s">
        <v>42894</v>
      </c>
      <c r="FE56" s="1" t="s">
        <v>42895</v>
      </c>
      <c r="FF56" s="1" t="s">
        <v>42896</v>
      </c>
      <c r="FG56" s="1" t="s">
        <v>42897</v>
      </c>
      <c r="FH56" s="1" t="s">
        <v>42898</v>
      </c>
      <c r="FI56" s="1" t="s">
        <v>42899</v>
      </c>
      <c r="FJ56" s="1" t="s">
        <v>42900</v>
      </c>
      <c r="FK56" s="1" t="s">
        <v>42901</v>
      </c>
      <c r="FL56" s="1" t="s">
        <v>42902</v>
      </c>
      <c r="FM56" s="1" t="s">
        <v>42903</v>
      </c>
      <c r="FN56" s="1" t="s">
        <v>42904</v>
      </c>
      <c r="FO56" s="1" t="s">
        <v>42905</v>
      </c>
      <c r="FP56" s="1" t="s">
        <v>42906</v>
      </c>
      <c r="FQ56" s="1" t="s">
        <v>42907</v>
      </c>
      <c r="FR56" s="1" t="s">
        <v>42908</v>
      </c>
      <c r="FS56" s="1" t="s">
        <v>42909</v>
      </c>
      <c r="FT56" s="1" t="s">
        <v>42910</v>
      </c>
      <c r="FU56" s="1" t="s">
        <v>42911</v>
      </c>
      <c r="FV56" s="1" t="s">
        <v>42912</v>
      </c>
      <c r="FW56" s="1" t="s">
        <v>42913</v>
      </c>
      <c r="FX56" s="1" t="s">
        <v>42914</v>
      </c>
      <c r="FY56" s="1" t="s">
        <v>42915</v>
      </c>
      <c r="FZ56" s="1" t="s">
        <v>42916</v>
      </c>
      <c r="GA56" s="1" t="s">
        <v>42917</v>
      </c>
      <c r="GB56" s="1" t="s">
        <v>42918</v>
      </c>
      <c r="GC56" s="1" t="s">
        <v>42919</v>
      </c>
      <c r="GD56" s="1" t="s">
        <v>42920</v>
      </c>
      <c r="GE56" s="1" t="s">
        <v>42921</v>
      </c>
      <c r="GF56" s="1" t="s">
        <v>42922</v>
      </c>
      <c r="GG56" s="1" t="s">
        <v>42923</v>
      </c>
      <c r="GH56" s="1" t="s">
        <v>42924</v>
      </c>
      <c r="GI56" s="1" t="s">
        <v>42925</v>
      </c>
      <c r="GJ56" s="1" t="s">
        <v>42926</v>
      </c>
      <c r="GK56" s="1" t="s">
        <v>42927</v>
      </c>
      <c r="GL56" s="1" t="s">
        <v>42928</v>
      </c>
      <c r="GM56" s="1" t="s">
        <v>42929</v>
      </c>
      <c r="GN56" s="1" t="s">
        <v>42930</v>
      </c>
      <c r="GO56" s="1" t="s">
        <v>42931</v>
      </c>
      <c r="GP56" s="1" t="s">
        <v>42932</v>
      </c>
      <c r="GQ56" s="1" t="s">
        <v>42933</v>
      </c>
      <c r="GR56" s="1" t="s">
        <v>42934</v>
      </c>
      <c r="GS56" s="1" t="s">
        <v>42935</v>
      </c>
      <c r="GT56" s="1" t="s">
        <v>42936</v>
      </c>
      <c r="GU56" s="1" t="s">
        <v>42937</v>
      </c>
      <c r="GV56" s="1" t="s">
        <v>42938</v>
      </c>
      <c r="GW56" s="1" t="s">
        <v>42939</v>
      </c>
      <c r="GX56" s="1" t="s">
        <v>42940</v>
      </c>
      <c r="GY56" s="1" t="s">
        <v>42941</v>
      </c>
      <c r="GZ56" s="1" t="s">
        <v>42942</v>
      </c>
      <c r="HA56" s="1" t="s">
        <v>42943</v>
      </c>
      <c r="HB56" s="1" t="s">
        <v>42944</v>
      </c>
      <c r="HC56" s="1" t="s">
        <v>42945</v>
      </c>
      <c r="HD56" s="1" t="s">
        <v>42946</v>
      </c>
      <c r="HE56" s="1" t="s">
        <v>42947</v>
      </c>
      <c r="HF56" s="1" t="s">
        <v>42948</v>
      </c>
      <c r="HG56" s="1" t="s">
        <v>42949</v>
      </c>
      <c r="HH56" s="1" t="s">
        <v>42950</v>
      </c>
      <c r="HI56" s="1" t="s">
        <v>42951</v>
      </c>
      <c r="HJ56" s="1" t="s">
        <v>42952</v>
      </c>
      <c r="HK56" s="1" t="s">
        <v>42953</v>
      </c>
      <c r="HL56" s="1" t="s">
        <v>42954</v>
      </c>
      <c r="HM56" s="1" t="s">
        <v>42955</v>
      </c>
      <c r="HN56" s="1" t="s">
        <v>42956</v>
      </c>
      <c r="HO56" s="1" t="s">
        <v>42957</v>
      </c>
      <c r="HP56" s="1" t="s">
        <v>42958</v>
      </c>
      <c r="HQ56" s="1" t="s">
        <v>42959</v>
      </c>
      <c r="HR56" s="1" t="s">
        <v>42960</v>
      </c>
      <c r="HS56" s="1" t="s">
        <v>42961</v>
      </c>
      <c r="HT56" s="1" t="s">
        <v>42962</v>
      </c>
      <c r="HU56" s="1" t="s">
        <v>42963</v>
      </c>
      <c r="HV56" s="1" t="s">
        <v>42964</v>
      </c>
      <c r="HW56" s="1" t="s">
        <v>42965</v>
      </c>
      <c r="HX56" s="1" t="s">
        <v>42966</v>
      </c>
      <c r="HY56" s="1" t="s">
        <v>42967</v>
      </c>
      <c r="HZ56" s="1" t="s">
        <v>42968</v>
      </c>
      <c r="IA56" s="1" t="s">
        <v>42969</v>
      </c>
      <c r="IB56" s="1" t="s">
        <v>42970</v>
      </c>
      <c r="IC56" s="1" t="s">
        <v>42971</v>
      </c>
      <c r="ID56" s="1" t="s">
        <v>42972</v>
      </c>
      <c r="IE56" s="1" t="s">
        <v>42973</v>
      </c>
      <c r="IF56" s="1" t="s">
        <v>42974</v>
      </c>
      <c r="IG56" s="1" t="s">
        <v>42975</v>
      </c>
      <c r="IH56" s="1" t="s">
        <v>42976</v>
      </c>
      <c r="II56" s="1" t="s">
        <v>42977</v>
      </c>
      <c r="IJ56" s="1" t="s">
        <v>42978</v>
      </c>
      <c r="IK56" s="1" t="s">
        <v>42979</v>
      </c>
      <c r="IL56" s="1" t="s">
        <v>42980</v>
      </c>
      <c r="IM56" s="1" t="s">
        <v>42981</v>
      </c>
      <c r="IN56" s="1" t="s">
        <v>42982</v>
      </c>
      <c r="IO56" s="1" t="s">
        <v>42983</v>
      </c>
      <c r="IP56" s="1" t="s">
        <v>42984</v>
      </c>
      <c r="IQ56" s="1" t="s">
        <v>42985</v>
      </c>
      <c r="IR56" s="1" t="s">
        <v>42986</v>
      </c>
      <c r="IS56" s="1" t="s">
        <v>42987</v>
      </c>
      <c r="IT56" s="1" t="s">
        <v>42988</v>
      </c>
      <c r="IU56" s="1" t="s">
        <v>42989</v>
      </c>
      <c r="IV56" s="1" t="s">
        <v>42990</v>
      </c>
      <c r="IW56" s="1" t="s">
        <v>42991</v>
      </c>
      <c r="IX56" s="1" t="s">
        <v>42992</v>
      </c>
      <c r="IY56" s="1" t="s">
        <v>42993</v>
      </c>
      <c r="IZ56" s="1" t="s">
        <v>42994</v>
      </c>
      <c r="JA56" s="1" t="s">
        <v>42995</v>
      </c>
      <c r="JB56" s="1" t="s">
        <v>42996</v>
      </c>
      <c r="JC56" s="1" t="s">
        <v>42997</v>
      </c>
      <c r="JD56" s="1" t="s">
        <v>42998</v>
      </c>
      <c r="JE56" s="1" t="s">
        <v>42999</v>
      </c>
      <c r="JF56" s="1" t="s">
        <v>43000</v>
      </c>
      <c r="JG56" s="1" t="s">
        <v>43001</v>
      </c>
      <c r="JH56" s="1" t="s">
        <v>43002</v>
      </c>
      <c r="JI56" s="1" t="s">
        <v>43003</v>
      </c>
      <c r="JJ56" s="1" t="s">
        <v>43004</v>
      </c>
      <c r="JK56" s="1" t="s">
        <v>43005</v>
      </c>
      <c r="JL56" s="1" t="s">
        <v>43006</v>
      </c>
      <c r="JM56" s="1" t="s">
        <v>43007</v>
      </c>
      <c r="JN56" s="1" t="s">
        <v>43008</v>
      </c>
      <c r="JO56" s="1" t="s">
        <v>43009</v>
      </c>
      <c r="JP56" s="1" t="s">
        <v>43010</v>
      </c>
      <c r="JQ56" s="1" t="s">
        <v>43011</v>
      </c>
      <c r="JR56" s="1" t="s">
        <v>43012</v>
      </c>
      <c r="JS56" s="1" t="s">
        <v>43013</v>
      </c>
      <c r="JT56" s="1" t="s">
        <v>43014</v>
      </c>
      <c r="JU56" s="1" t="s">
        <v>43015</v>
      </c>
      <c r="JV56" s="1" t="s">
        <v>43016</v>
      </c>
      <c r="JW56" s="1" t="s">
        <v>43017</v>
      </c>
      <c r="JX56" s="1" t="s">
        <v>43018</v>
      </c>
      <c r="JY56" s="1" t="s">
        <v>43019</v>
      </c>
      <c r="JZ56" s="1" t="s">
        <v>43020</v>
      </c>
      <c r="KA56" s="1" t="s">
        <v>43021</v>
      </c>
      <c r="KB56" s="1" t="s">
        <v>43022</v>
      </c>
      <c r="KC56" s="1" t="s">
        <v>43023</v>
      </c>
      <c r="KD56" s="1" t="s">
        <v>43024</v>
      </c>
      <c r="KE56" s="1" t="s">
        <v>43025</v>
      </c>
      <c r="KF56" s="1" t="s">
        <v>43026</v>
      </c>
      <c r="KG56" s="1" t="s">
        <v>43027</v>
      </c>
      <c r="KH56" s="1" t="s">
        <v>43028</v>
      </c>
      <c r="KI56" s="1" t="s">
        <v>43029</v>
      </c>
      <c r="KJ56" s="1" t="s">
        <v>43030</v>
      </c>
      <c r="KK56" s="1" t="s">
        <v>43031</v>
      </c>
      <c r="KL56" s="1" t="s">
        <v>43032</v>
      </c>
      <c r="KM56" s="1" t="s">
        <v>43033</v>
      </c>
      <c r="KN56" s="1" t="s">
        <v>43034</v>
      </c>
      <c r="KO56" s="1" t="s">
        <v>43035</v>
      </c>
      <c r="KP56" s="1" t="s">
        <v>43036</v>
      </c>
      <c r="KQ56" s="1" t="s">
        <v>43037</v>
      </c>
      <c r="KR56" s="1" t="s">
        <v>43038</v>
      </c>
      <c r="KS56" s="1" t="s">
        <v>43039</v>
      </c>
      <c r="KT56" s="1" t="s">
        <v>43040</v>
      </c>
      <c r="KU56" s="1" t="s">
        <v>43041</v>
      </c>
      <c r="KV56" s="1" t="s">
        <v>43042</v>
      </c>
      <c r="KW56" s="1" t="s">
        <v>43043</v>
      </c>
      <c r="KX56" s="1" t="s">
        <v>43044</v>
      </c>
      <c r="KY56" s="1" t="s">
        <v>43045</v>
      </c>
      <c r="KZ56" s="1" t="s">
        <v>43046</v>
      </c>
      <c r="LA56" s="1" t="s">
        <v>43047</v>
      </c>
      <c r="LB56" s="1" t="s">
        <v>43048</v>
      </c>
      <c r="LC56" s="1" t="s">
        <v>43049</v>
      </c>
      <c r="LD56" s="1" t="s">
        <v>43050</v>
      </c>
      <c r="LE56" s="1" t="s">
        <v>43051</v>
      </c>
      <c r="LF56" s="1" t="s">
        <v>43052</v>
      </c>
      <c r="LG56" s="1" t="s">
        <v>43053</v>
      </c>
      <c r="LH56" s="1" t="s">
        <v>43054</v>
      </c>
      <c r="LI56" s="1" t="s">
        <v>43055</v>
      </c>
      <c r="LJ56" s="1" t="s">
        <v>43056</v>
      </c>
      <c r="LK56" s="1" t="s">
        <v>43057</v>
      </c>
      <c r="LL56" s="1" t="s">
        <v>43058</v>
      </c>
      <c r="LM56" s="1" t="s">
        <v>43059</v>
      </c>
      <c r="LN56" s="1" t="s">
        <v>43060</v>
      </c>
      <c r="LO56" s="1" t="s">
        <v>43061</v>
      </c>
      <c r="LP56" s="1" t="s">
        <v>43062</v>
      </c>
      <c r="LQ56" s="1" t="s">
        <v>43063</v>
      </c>
      <c r="LR56" s="1" t="s">
        <v>43064</v>
      </c>
      <c r="LS56" s="1" t="s">
        <v>43065</v>
      </c>
      <c r="LT56" s="1" t="s">
        <v>43066</v>
      </c>
      <c r="LU56" s="1" t="s">
        <v>43067</v>
      </c>
      <c r="LV56" s="1" t="s">
        <v>43068</v>
      </c>
      <c r="LW56" s="1" t="s">
        <v>43069</v>
      </c>
      <c r="LX56" s="1" t="s">
        <v>43070</v>
      </c>
      <c r="LY56" s="1" t="s">
        <v>43071</v>
      </c>
      <c r="LZ56" s="1" t="s">
        <v>43072</v>
      </c>
      <c r="MA56" s="1" t="s">
        <v>43073</v>
      </c>
      <c r="MB56" s="1" t="s">
        <v>43074</v>
      </c>
      <c r="MC56" s="1" t="s">
        <v>43075</v>
      </c>
      <c r="MD56" s="1" t="s">
        <v>43076</v>
      </c>
      <c r="ME56" s="1" t="s">
        <v>43077</v>
      </c>
      <c r="MF56" s="1" t="s">
        <v>43078</v>
      </c>
      <c r="MG56" s="1" t="s">
        <v>43079</v>
      </c>
      <c r="MH56" s="1" t="s">
        <v>43080</v>
      </c>
      <c r="MI56" s="1" t="s">
        <v>43081</v>
      </c>
      <c r="MJ56" s="1" t="s">
        <v>43082</v>
      </c>
      <c r="MK56" s="1" t="s">
        <v>43083</v>
      </c>
      <c r="ML56" s="1" t="s">
        <v>43084</v>
      </c>
      <c r="MM56" s="1" t="s">
        <v>43085</v>
      </c>
      <c r="MN56" s="1" t="s">
        <v>43086</v>
      </c>
      <c r="MO56" s="1" t="s">
        <v>43087</v>
      </c>
      <c r="MP56" s="1" t="s">
        <v>43088</v>
      </c>
      <c r="MQ56" s="1" t="s">
        <v>43089</v>
      </c>
      <c r="MR56" s="1" t="s">
        <v>43090</v>
      </c>
      <c r="MS56" s="1" t="s">
        <v>43091</v>
      </c>
      <c r="MT56" s="1" t="s">
        <v>43092</v>
      </c>
      <c r="MU56" s="1" t="s">
        <v>43093</v>
      </c>
      <c r="MV56" s="1" t="s">
        <v>43094</v>
      </c>
      <c r="MW56" s="1" t="s">
        <v>43095</v>
      </c>
      <c r="MX56" s="1" t="s">
        <v>43096</v>
      </c>
      <c r="MY56" s="1" t="s">
        <v>43097</v>
      </c>
      <c r="MZ56" s="1" t="s">
        <v>43098</v>
      </c>
      <c r="NA56" s="1" t="s">
        <v>43099</v>
      </c>
      <c r="NB56" s="1" t="s">
        <v>43100</v>
      </c>
      <c r="NC56" s="1" t="s">
        <v>43101</v>
      </c>
      <c r="ND56" s="1" t="s">
        <v>43102</v>
      </c>
      <c r="NE56" s="1" t="s">
        <v>43103</v>
      </c>
      <c r="NF56" s="1" t="s">
        <v>43104</v>
      </c>
      <c r="NG56" s="1" t="s">
        <v>43105</v>
      </c>
      <c r="NH56" s="1" t="s">
        <v>43106</v>
      </c>
      <c r="NI56" s="1" t="s">
        <v>43107</v>
      </c>
      <c r="NJ56" s="1" t="s">
        <v>43108</v>
      </c>
      <c r="NK56" s="1" t="s">
        <v>43109</v>
      </c>
      <c r="NL56" s="1" t="s">
        <v>43110</v>
      </c>
      <c r="NM56" s="1" t="s">
        <v>43111</v>
      </c>
      <c r="NN56" s="1" t="s">
        <v>43112</v>
      </c>
      <c r="NO56" s="1" t="s">
        <v>43113</v>
      </c>
      <c r="NP56" s="1" t="s">
        <v>43114</v>
      </c>
      <c r="NQ56" s="1" t="s">
        <v>43115</v>
      </c>
      <c r="NR56" s="1" t="s">
        <v>43116</v>
      </c>
      <c r="NS56" s="1" t="s">
        <v>43117</v>
      </c>
      <c r="NT56" s="1" t="s">
        <v>43118</v>
      </c>
      <c r="NU56" s="1" t="s">
        <v>43119</v>
      </c>
      <c r="NV56" s="1" t="s">
        <v>43120</v>
      </c>
      <c r="NW56" s="1" t="s">
        <v>43121</v>
      </c>
      <c r="NX56" s="1" t="s">
        <v>43122</v>
      </c>
      <c r="NY56" s="1" t="s">
        <v>43123</v>
      </c>
      <c r="NZ56" s="1" t="s">
        <v>43124</v>
      </c>
      <c r="OA56" s="1" t="s">
        <v>43125</v>
      </c>
      <c r="OB56" s="1" t="s">
        <v>43126</v>
      </c>
      <c r="OC56" s="1" t="s">
        <v>43127</v>
      </c>
      <c r="OD56" s="1" t="s">
        <v>43128</v>
      </c>
      <c r="OE56" s="1" t="s">
        <v>43129</v>
      </c>
      <c r="OF56" s="1" t="s">
        <v>43130</v>
      </c>
      <c r="OG56" s="1" t="s">
        <v>43131</v>
      </c>
      <c r="OH56" s="1" t="s">
        <v>43132</v>
      </c>
      <c r="OI56" s="1" t="s">
        <v>43133</v>
      </c>
      <c r="OJ56" s="1" t="s">
        <v>43134</v>
      </c>
      <c r="OK56" s="1" t="s">
        <v>43135</v>
      </c>
      <c r="OL56" s="1" t="s">
        <v>43136</v>
      </c>
      <c r="OM56" s="1" t="s">
        <v>43137</v>
      </c>
      <c r="ON56" s="1" t="s">
        <v>43138</v>
      </c>
      <c r="OO56" s="1" t="s">
        <v>43139</v>
      </c>
      <c r="OP56" s="1" t="s">
        <v>43140</v>
      </c>
      <c r="OQ56" s="1" t="s">
        <v>43141</v>
      </c>
      <c r="OR56" s="1" t="s">
        <v>43142</v>
      </c>
      <c r="OS56" s="1" t="s">
        <v>43143</v>
      </c>
      <c r="OT56" s="1" t="s">
        <v>43144</v>
      </c>
      <c r="OU56" s="1" t="s">
        <v>43145</v>
      </c>
      <c r="OV56" s="1" t="s">
        <v>43146</v>
      </c>
      <c r="OW56" s="1" t="s">
        <v>43147</v>
      </c>
      <c r="OX56" s="1" t="s">
        <v>43148</v>
      </c>
      <c r="OY56" s="1" t="s">
        <v>43149</v>
      </c>
      <c r="OZ56" s="1" t="s">
        <v>43150</v>
      </c>
      <c r="PA56" s="1" t="s">
        <v>43151</v>
      </c>
      <c r="PB56" s="1" t="s">
        <v>43152</v>
      </c>
      <c r="PC56" s="1" t="s">
        <v>43153</v>
      </c>
      <c r="PD56" s="1" t="s">
        <v>43154</v>
      </c>
      <c r="PE56" s="1" t="s">
        <v>43155</v>
      </c>
      <c r="PF56" s="1" t="s">
        <v>43156</v>
      </c>
      <c r="PG56" s="1" t="s">
        <v>43157</v>
      </c>
      <c r="PH56" s="1" t="s">
        <v>43158</v>
      </c>
      <c r="PI56" s="1" t="s">
        <v>43159</v>
      </c>
      <c r="PJ56" s="1" t="s">
        <v>43160</v>
      </c>
      <c r="PK56" s="1" t="s">
        <v>43161</v>
      </c>
      <c r="PL56" s="1" t="s">
        <v>43162</v>
      </c>
      <c r="PM56" s="1" t="s">
        <v>43163</v>
      </c>
      <c r="PN56" s="1" t="s">
        <v>43164</v>
      </c>
      <c r="PO56" s="1" t="s">
        <v>43165</v>
      </c>
      <c r="PP56" s="1" t="s">
        <v>43166</v>
      </c>
      <c r="PQ56" s="1" t="s">
        <v>43167</v>
      </c>
      <c r="PR56" s="1" t="s">
        <v>43168</v>
      </c>
      <c r="PS56" s="1" t="s">
        <v>43169</v>
      </c>
      <c r="PT56" s="1" t="s">
        <v>43170</v>
      </c>
      <c r="PU56" s="1" t="s">
        <v>43171</v>
      </c>
      <c r="PV56" s="1" t="s">
        <v>43172</v>
      </c>
      <c r="PW56" s="1" t="s">
        <v>43173</v>
      </c>
      <c r="PX56" s="1" t="s">
        <v>43174</v>
      </c>
      <c r="PY56" s="1" t="s">
        <v>43175</v>
      </c>
      <c r="PZ56" s="1" t="s">
        <v>43176</v>
      </c>
      <c r="QA56" s="1" t="s">
        <v>43177</v>
      </c>
      <c r="QB56" s="1" t="s">
        <v>43178</v>
      </c>
      <c r="QC56" s="1" t="s">
        <v>43179</v>
      </c>
      <c r="QD56" s="1" t="s">
        <v>43180</v>
      </c>
      <c r="QE56" s="1" t="s">
        <v>43181</v>
      </c>
      <c r="QF56" s="1" t="s">
        <v>43182</v>
      </c>
      <c r="QG56" s="1" t="s">
        <v>43183</v>
      </c>
      <c r="QH56" s="1" t="s">
        <v>43184</v>
      </c>
      <c r="QI56" s="1" t="s">
        <v>43185</v>
      </c>
      <c r="QJ56" s="1" t="s">
        <v>43186</v>
      </c>
      <c r="QK56" s="1" t="s">
        <v>43187</v>
      </c>
      <c r="QL56" s="1" t="s">
        <v>43188</v>
      </c>
      <c r="QM56" s="1" t="s">
        <v>43189</v>
      </c>
      <c r="QN56" s="1" t="s">
        <v>43190</v>
      </c>
      <c r="QO56" s="1" t="s">
        <v>43191</v>
      </c>
      <c r="QP56" s="1" t="s">
        <v>43192</v>
      </c>
      <c r="QQ56" s="1" t="s">
        <v>43193</v>
      </c>
      <c r="QR56" s="1" t="s">
        <v>43194</v>
      </c>
      <c r="QS56" s="1" t="s">
        <v>43195</v>
      </c>
      <c r="QT56" s="1" t="s">
        <v>43196</v>
      </c>
      <c r="QU56" s="1" t="s">
        <v>43197</v>
      </c>
      <c r="QV56" s="1" t="s">
        <v>43198</v>
      </c>
      <c r="QW56" s="1" t="s">
        <v>43199</v>
      </c>
      <c r="QX56" s="1" t="s">
        <v>43200</v>
      </c>
      <c r="QY56" s="1" t="s">
        <v>43201</v>
      </c>
      <c r="QZ56" s="1" t="s">
        <v>43202</v>
      </c>
      <c r="RA56" s="1" t="s">
        <v>43203</v>
      </c>
      <c r="RB56" s="1" t="s">
        <v>43204</v>
      </c>
      <c r="RC56" s="1" t="s">
        <v>43205</v>
      </c>
      <c r="RD56" s="1" t="s">
        <v>43206</v>
      </c>
      <c r="RE56" s="1" t="s">
        <v>43207</v>
      </c>
      <c r="RF56" s="1" t="s">
        <v>43208</v>
      </c>
      <c r="RG56" s="1" t="s">
        <v>43209</v>
      </c>
      <c r="RH56" s="1" t="s">
        <v>43210</v>
      </c>
      <c r="RI56" s="1" t="s">
        <v>43211</v>
      </c>
      <c r="RJ56" s="1" t="s">
        <v>43212</v>
      </c>
      <c r="RK56" s="1" t="s">
        <v>43213</v>
      </c>
      <c r="RL56" s="1" t="s">
        <v>43214</v>
      </c>
      <c r="RM56" s="1" t="s">
        <v>43215</v>
      </c>
      <c r="RN56" s="1" t="s">
        <v>43216</v>
      </c>
      <c r="RO56" s="1" t="s">
        <v>43217</v>
      </c>
      <c r="RP56" s="1" t="s">
        <v>43218</v>
      </c>
      <c r="RQ56" s="1" t="s">
        <v>43219</v>
      </c>
      <c r="RR56" s="1" t="s">
        <v>43220</v>
      </c>
      <c r="RS56" s="1" t="s">
        <v>43221</v>
      </c>
      <c r="RT56" s="1" t="s">
        <v>43222</v>
      </c>
      <c r="RU56" s="1" t="s">
        <v>43223</v>
      </c>
      <c r="RV56" s="1" t="s">
        <v>43224</v>
      </c>
      <c r="RW56" s="1" t="s">
        <v>43225</v>
      </c>
      <c r="RX56" s="1" t="s">
        <v>43226</v>
      </c>
      <c r="RY56" s="1" t="s">
        <v>43227</v>
      </c>
      <c r="RZ56" s="1" t="s">
        <v>43228</v>
      </c>
      <c r="SA56" s="1" t="s">
        <v>43229</v>
      </c>
      <c r="SB56" s="1" t="s">
        <v>43230</v>
      </c>
      <c r="SC56" s="1" t="s">
        <v>43231</v>
      </c>
      <c r="SD56" s="1" t="s">
        <v>43232</v>
      </c>
      <c r="SE56" s="1" t="s">
        <v>43233</v>
      </c>
      <c r="SF56" s="1" t="s">
        <v>43234</v>
      </c>
      <c r="SG56" s="1" t="s">
        <v>43235</v>
      </c>
      <c r="SH56" s="1" t="s">
        <v>43236</v>
      </c>
      <c r="SI56" s="1" t="s">
        <v>43237</v>
      </c>
      <c r="SJ56" s="1" t="s">
        <v>43238</v>
      </c>
      <c r="SK56" s="1" t="s">
        <v>43239</v>
      </c>
      <c r="SL56" s="1" t="s">
        <v>43240</v>
      </c>
      <c r="SM56" s="1" t="s">
        <v>43241</v>
      </c>
      <c r="SN56" s="1" t="s">
        <v>43242</v>
      </c>
      <c r="SO56" s="1" t="s">
        <v>43243</v>
      </c>
      <c r="SP56" s="1" t="s">
        <v>43244</v>
      </c>
      <c r="SQ56" s="1" t="s">
        <v>43245</v>
      </c>
      <c r="SR56" s="1" t="s">
        <v>43246</v>
      </c>
      <c r="SS56" s="1" t="s">
        <v>43247</v>
      </c>
      <c r="ST56" s="1" t="s">
        <v>43248</v>
      </c>
      <c r="SU56" s="1" t="s">
        <v>43249</v>
      </c>
      <c r="SV56" s="1" t="s">
        <v>43250</v>
      </c>
      <c r="SW56" s="1" t="s">
        <v>43251</v>
      </c>
      <c r="SX56" s="1" t="s">
        <v>43252</v>
      </c>
      <c r="SY56" s="1" t="s">
        <v>43253</v>
      </c>
      <c r="SZ56" s="1" t="s">
        <v>43254</v>
      </c>
      <c r="TA56" s="1" t="s">
        <v>43255</v>
      </c>
      <c r="TB56" s="1" t="s">
        <v>43256</v>
      </c>
      <c r="TC56" s="1" t="s">
        <v>43257</v>
      </c>
      <c r="TD56" s="1" t="s">
        <v>43258</v>
      </c>
      <c r="TE56" s="1" t="s">
        <v>43259</v>
      </c>
      <c r="TF56" s="1" t="s">
        <v>43260</v>
      </c>
      <c r="TG56" s="1" t="s">
        <v>43261</v>
      </c>
      <c r="TH56" s="1" t="s">
        <v>43262</v>
      </c>
      <c r="TI56" s="1" t="s">
        <v>43263</v>
      </c>
      <c r="TJ56" s="1" t="s">
        <v>43264</v>
      </c>
      <c r="TK56" s="1" t="s">
        <v>43265</v>
      </c>
      <c r="TL56" s="1" t="s">
        <v>43266</v>
      </c>
      <c r="TM56" s="1" t="s">
        <v>43267</v>
      </c>
      <c r="TN56" s="1" t="s">
        <v>43268</v>
      </c>
      <c r="TO56" s="1" t="s">
        <v>43269</v>
      </c>
      <c r="TP56" s="1" t="s">
        <v>43270</v>
      </c>
      <c r="TQ56" s="1" t="s">
        <v>43271</v>
      </c>
      <c r="TR56" s="1" t="s">
        <v>43272</v>
      </c>
      <c r="TS56" s="1" t="s">
        <v>43273</v>
      </c>
      <c r="TT56" s="1" t="s">
        <v>43274</v>
      </c>
      <c r="TU56" s="1" t="s">
        <v>43275</v>
      </c>
      <c r="TV56" s="1" t="s">
        <v>43276</v>
      </c>
      <c r="TW56" s="1" t="s">
        <v>43277</v>
      </c>
      <c r="TX56" s="1" t="s">
        <v>43278</v>
      </c>
      <c r="TY56" s="1" t="s">
        <v>43279</v>
      </c>
      <c r="TZ56" s="1" t="s">
        <v>43280</v>
      </c>
      <c r="UA56" s="1" t="s">
        <v>43281</v>
      </c>
      <c r="UB56" s="1" t="s">
        <v>43282</v>
      </c>
      <c r="UC56" s="1" t="s">
        <v>43283</v>
      </c>
      <c r="UD56" s="1" t="s">
        <v>43284</v>
      </c>
      <c r="UE56" s="1" t="s">
        <v>43285</v>
      </c>
      <c r="UF56" s="1" t="s">
        <v>43286</v>
      </c>
      <c r="UG56" s="1" t="s">
        <v>43287</v>
      </c>
      <c r="UH56" s="1" t="s">
        <v>43288</v>
      </c>
      <c r="UI56" s="1" t="s">
        <v>43289</v>
      </c>
      <c r="UJ56" s="1" t="s">
        <v>43290</v>
      </c>
      <c r="UK56" s="1" t="s">
        <v>43291</v>
      </c>
      <c r="UL56" s="1" t="s">
        <v>43292</v>
      </c>
      <c r="UM56" s="1" t="s">
        <v>43293</v>
      </c>
      <c r="UN56" s="1" t="s">
        <v>43294</v>
      </c>
      <c r="UO56" s="1" t="s">
        <v>43295</v>
      </c>
      <c r="UP56" s="1" t="s">
        <v>43296</v>
      </c>
      <c r="UQ56" s="1" t="s">
        <v>43297</v>
      </c>
      <c r="UR56" s="1" t="s">
        <v>43298</v>
      </c>
      <c r="US56" s="1" t="s">
        <v>43299</v>
      </c>
      <c r="UT56" s="1" t="s">
        <v>43300</v>
      </c>
      <c r="UU56" s="1" t="s">
        <v>43301</v>
      </c>
      <c r="UV56" s="1" t="s">
        <v>43302</v>
      </c>
      <c r="UW56" s="1" t="s">
        <v>43303</v>
      </c>
      <c r="UX56" s="1" t="s">
        <v>43304</v>
      </c>
      <c r="UY56" s="1" t="s">
        <v>43305</v>
      </c>
      <c r="UZ56" s="1" t="s">
        <v>43306</v>
      </c>
      <c r="VA56" s="1" t="s">
        <v>43307</v>
      </c>
      <c r="VB56" s="1" t="s">
        <v>43308</v>
      </c>
      <c r="VC56" s="1" t="s">
        <v>43309</v>
      </c>
      <c r="VD56" s="1" t="s">
        <v>43310</v>
      </c>
      <c r="VE56" s="1" t="s">
        <v>43311</v>
      </c>
      <c r="VF56" s="1" t="s">
        <v>43312</v>
      </c>
      <c r="VG56" s="1" t="s">
        <v>43313</v>
      </c>
      <c r="VH56" s="1" t="s">
        <v>43314</v>
      </c>
      <c r="VI56" s="1" t="s">
        <v>43315</v>
      </c>
      <c r="VJ56" s="1" t="s">
        <v>43316</v>
      </c>
      <c r="VK56" s="1" t="s">
        <v>43317</v>
      </c>
      <c r="VL56" s="1" t="s">
        <v>43318</v>
      </c>
      <c r="VM56" s="1" t="s">
        <v>43319</v>
      </c>
      <c r="VN56" s="1" t="s">
        <v>43320</v>
      </c>
      <c r="VO56" s="1" t="s">
        <v>43321</v>
      </c>
      <c r="VP56" s="1" t="s">
        <v>43322</v>
      </c>
      <c r="VQ56" s="1" t="s">
        <v>43323</v>
      </c>
      <c r="VR56" s="1" t="s">
        <v>43324</v>
      </c>
      <c r="VS56" s="1" t="s">
        <v>43325</v>
      </c>
      <c r="VT56" s="1" t="s">
        <v>43326</v>
      </c>
      <c r="VU56" s="1" t="s">
        <v>43327</v>
      </c>
      <c r="VV56" s="1" t="s">
        <v>43328</v>
      </c>
      <c r="VW56" s="1" t="s">
        <v>43329</v>
      </c>
      <c r="VX56" s="1" t="s">
        <v>43330</v>
      </c>
      <c r="VY56" s="1" t="s">
        <v>43331</v>
      </c>
      <c r="VZ56" s="1" t="s">
        <v>43332</v>
      </c>
      <c r="WA56" s="1" t="s">
        <v>43333</v>
      </c>
      <c r="WB56" s="1" t="s">
        <v>43334</v>
      </c>
      <c r="WC56" s="1" t="s">
        <v>43335</v>
      </c>
      <c r="WD56" s="1" t="s">
        <v>43336</v>
      </c>
      <c r="WE56" s="1" t="s">
        <v>43337</v>
      </c>
      <c r="WF56" s="1" t="s">
        <v>43338</v>
      </c>
      <c r="WG56" s="1" t="s">
        <v>43339</v>
      </c>
      <c r="WH56" s="1" t="s">
        <v>43340</v>
      </c>
      <c r="WI56" s="1" t="s">
        <v>43341</v>
      </c>
      <c r="WJ56" s="1" t="s">
        <v>43342</v>
      </c>
      <c r="WK56" s="1" t="s">
        <v>43343</v>
      </c>
      <c r="WL56" s="1" t="s">
        <v>43344</v>
      </c>
      <c r="WM56" s="1" t="s">
        <v>43345</v>
      </c>
      <c r="WN56" s="1" t="s">
        <v>43346</v>
      </c>
      <c r="WO56" s="1" t="s">
        <v>43347</v>
      </c>
      <c r="WP56" s="1" t="s">
        <v>43348</v>
      </c>
      <c r="WQ56" s="1" t="s">
        <v>43349</v>
      </c>
      <c r="WR56" s="1" t="s">
        <v>43350</v>
      </c>
      <c r="WS56" s="1" t="s">
        <v>43351</v>
      </c>
      <c r="WT56" s="1" t="s">
        <v>43352</v>
      </c>
      <c r="WU56" s="1" t="s">
        <v>43353</v>
      </c>
      <c r="WV56" s="1" t="s">
        <v>43354</v>
      </c>
      <c r="WW56" s="1" t="s">
        <v>43355</v>
      </c>
      <c r="WX56" s="1" t="s">
        <v>43356</v>
      </c>
      <c r="WY56" s="1" t="s">
        <v>43357</v>
      </c>
      <c r="WZ56" s="1" t="s">
        <v>43358</v>
      </c>
      <c r="XA56" s="1" t="s">
        <v>43359</v>
      </c>
      <c r="XB56" s="1" t="s">
        <v>43360</v>
      </c>
      <c r="XC56" s="1" t="s">
        <v>43361</v>
      </c>
      <c r="XD56" s="1" t="s">
        <v>43362</v>
      </c>
      <c r="XE56" s="1" t="s">
        <v>43363</v>
      </c>
      <c r="XF56" s="1" t="s">
        <v>43364</v>
      </c>
      <c r="XG56" s="1" t="s">
        <v>43365</v>
      </c>
      <c r="XH56" s="1" t="s">
        <v>43366</v>
      </c>
      <c r="XI56" s="1" t="s">
        <v>43367</v>
      </c>
      <c r="XJ56" s="1" t="s">
        <v>43368</v>
      </c>
      <c r="XK56" s="1" t="s">
        <v>43369</v>
      </c>
      <c r="XL56" s="1" t="s">
        <v>43370</v>
      </c>
      <c r="XM56" s="1" t="s">
        <v>43371</v>
      </c>
      <c r="XN56" s="1" t="s">
        <v>43372</v>
      </c>
      <c r="XO56" s="1" t="s">
        <v>43373</v>
      </c>
      <c r="XP56" s="1" t="s">
        <v>43374</v>
      </c>
      <c r="XQ56" s="1" t="s">
        <v>43375</v>
      </c>
      <c r="XR56" s="1" t="s">
        <v>43376</v>
      </c>
      <c r="XS56" s="1" t="s">
        <v>43377</v>
      </c>
      <c r="XT56" s="1" t="s">
        <v>43378</v>
      </c>
      <c r="XU56" s="1" t="s">
        <v>43379</v>
      </c>
      <c r="XV56" s="1" t="s">
        <v>43380</v>
      </c>
      <c r="XW56" s="1" t="s">
        <v>43381</v>
      </c>
      <c r="XX56" s="1" t="s">
        <v>43382</v>
      </c>
      <c r="XY56" s="1" t="s">
        <v>43383</v>
      </c>
      <c r="XZ56" s="1" t="s">
        <v>43384</v>
      </c>
      <c r="YA56" s="1" t="s">
        <v>43385</v>
      </c>
      <c r="YB56" s="1" t="s">
        <v>43386</v>
      </c>
      <c r="YC56" s="1" t="s">
        <v>43387</v>
      </c>
      <c r="YD56" s="1" t="s">
        <v>43388</v>
      </c>
      <c r="YE56" s="1" t="s">
        <v>43389</v>
      </c>
      <c r="YF56" s="1" t="s">
        <v>43390</v>
      </c>
      <c r="YG56" s="1" t="s">
        <v>43391</v>
      </c>
      <c r="YH56" s="1" t="s">
        <v>43392</v>
      </c>
      <c r="YI56" s="1" t="s">
        <v>43393</v>
      </c>
      <c r="YJ56" s="1" t="s">
        <v>43394</v>
      </c>
      <c r="YK56" s="1" t="s">
        <v>43395</v>
      </c>
      <c r="YL56" s="1" t="s">
        <v>43396</v>
      </c>
      <c r="YM56" s="1" t="s">
        <v>43397</v>
      </c>
      <c r="YN56" s="1" t="s">
        <v>43398</v>
      </c>
      <c r="YO56" s="1" t="s">
        <v>43399</v>
      </c>
      <c r="YP56" s="1" t="s">
        <v>43400</v>
      </c>
      <c r="YQ56" s="1" t="s">
        <v>43401</v>
      </c>
      <c r="YR56" s="1" t="s">
        <v>43402</v>
      </c>
      <c r="YS56" s="1" t="s">
        <v>43403</v>
      </c>
      <c r="YT56" s="1" t="s">
        <v>43404</v>
      </c>
      <c r="YU56" s="1" t="s">
        <v>43405</v>
      </c>
      <c r="YV56" s="1" t="s">
        <v>43406</v>
      </c>
      <c r="YW56" s="1" t="s">
        <v>43407</v>
      </c>
      <c r="YX56" s="1" t="s">
        <v>43408</v>
      </c>
      <c r="YY56" s="1" t="s">
        <v>43409</v>
      </c>
      <c r="YZ56" s="1" t="s">
        <v>43410</v>
      </c>
      <c r="ZA56" s="1" t="s">
        <v>43411</v>
      </c>
      <c r="ZB56" s="1" t="s">
        <v>43412</v>
      </c>
      <c r="ZC56" s="1" t="s">
        <v>43413</v>
      </c>
      <c r="ZD56" s="1" t="s">
        <v>43414</v>
      </c>
      <c r="ZE56" s="1" t="s">
        <v>43415</v>
      </c>
      <c r="ZF56" s="1" t="s">
        <v>43416</v>
      </c>
      <c r="ZG56" s="1" t="s">
        <v>43417</v>
      </c>
      <c r="ZH56" s="1" t="s">
        <v>43418</v>
      </c>
      <c r="ZI56" s="1" t="s">
        <v>43419</v>
      </c>
      <c r="ZJ56" s="1" t="s">
        <v>43420</v>
      </c>
      <c r="ZK56" s="1" t="s">
        <v>43421</v>
      </c>
      <c r="ZL56" s="1" t="s">
        <v>43422</v>
      </c>
      <c r="ZM56" s="1" t="s">
        <v>43423</v>
      </c>
      <c r="ZN56" s="1" t="s">
        <v>43424</v>
      </c>
      <c r="ZO56" s="1" t="s">
        <v>43425</v>
      </c>
      <c r="ZP56" s="1" t="s">
        <v>43426</v>
      </c>
      <c r="ZQ56" s="1" t="s">
        <v>43427</v>
      </c>
      <c r="ZR56" s="1" t="s">
        <v>43428</v>
      </c>
      <c r="ZS56" s="1" t="s">
        <v>43429</v>
      </c>
      <c r="ZT56" s="1" t="s">
        <v>43430</v>
      </c>
      <c r="ZU56" s="1" t="s">
        <v>43431</v>
      </c>
      <c r="ZV56" s="1" t="s">
        <v>43432</v>
      </c>
      <c r="ZW56" s="1" t="s">
        <v>43433</v>
      </c>
      <c r="ZX56" s="1" t="s">
        <v>43434</v>
      </c>
      <c r="ZY56" s="1" t="s">
        <v>43435</v>
      </c>
      <c r="ZZ56" s="1" t="s">
        <v>43436</v>
      </c>
      <c r="AAA56" s="1" t="s">
        <v>43437</v>
      </c>
      <c r="AAB56" s="1" t="s">
        <v>43438</v>
      </c>
      <c r="AAC56" s="1" t="s">
        <v>43439</v>
      </c>
      <c r="AAD56" s="1" t="s">
        <v>43440</v>
      </c>
      <c r="AAE56" s="1" t="s">
        <v>43441</v>
      </c>
      <c r="AAF56" s="1" t="s">
        <v>43442</v>
      </c>
      <c r="AAG56" s="1" t="s">
        <v>43443</v>
      </c>
      <c r="AAH56" s="1" t="s">
        <v>43444</v>
      </c>
      <c r="AAI56" s="1" t="s">
        <v>43445</v>
      </c>
      <c r="AAJ56" s="1" t="s">
        <v>43446</v>
      </c>
      <c r="AAK56" s="1" t="s">
        <v>43447</v>
      </c>
      <c r="AAL56" s="1" t="s">
        <v>43448</v>
      </c>
      <c r="AAM56" s="1" t="s">
        <v>43449</v>
      </c>
      <c r="AAN56" s="1" t="s">
        <v>43450</v>
      </c>
      <c r="AAO56" s="1" t="s">
        <v>43451</v>
      </c>
      <c r="AAP56" s="1" t="s">
        <v>43452</v>
      </c>
      <c r="AAQ56" s="1" t="s">
        <v>43453</v>
      </c>
      <c r="AAR56" s="1" t="s">
        <v>43454</v>
      </c>
      <c r="AAS56" s="1" t="s">
        <v>43455</v>
      </c>
      <c r="AAT56" s="1" t="s">
        <v>43456</v>
      </c>
      <c r="AAU56" s="1" t="s">
        <v>43457</v>
      </c>
      <c r="AAV56" s="1" t="s">
        <v>43458</v>
      </c>
      <c r="AAW56" s="1" t="s">
        <v>43459</v>
      </c>
      <c r="AAX56" s="1" t="s">
        <v>43460</v>
      </c>
      <c r="AAY56" s="1" t="s">
        <v>43461</v>
      </c>
      <c r="AAZ56" s="1" t="s">
        <v>43462</v>
      </c>
      <c r="ABA56" s="1" t="s">
        <v>43463</v>
      </c>
      <c r="ABB56" s="1" t="s">
        <v>43464</v>
      </c>
      <c r="ABC56" s="1" t="s">
        <v>43465</v>
      </c>
      <c r="ABD56" s="1" t="s">
        <v>43466</v>
      </c>
      <c r="ABE56" s="1" t="s">
        <v>43467</v>
      </c>
      <c r="ABF56" s="1" t="s">
        <v>43468</v>
      </c>
      <c r="ABG56" s="1" t="s">
        <v>43469</v>
      </c>
      <c r="ABH56" s="1" t="s">
        <v>43470</v>
      </c>
      <c r="ABI56" s="1" t="s">
        <v>43471</v>
      </c>
      <c r="ABJ56" s="1" t="s">
        <v>43472</v>
      </c>
      <c r="ABK56" s="1" t="s">
        <v>43473</v>
      </c>
      <c r="ABL56" s="1" t="s">
        <v>43474</v>
      </c>
      <c r="ABM56" s="1" t="s">
        <v>43475</v>
      </c>
      <c r="ABN56" s="1" t="s">
        <v>43476</v>
      </c>
      <c r="ABO56" s="1" t="s">
        <v>43477</v>
      </c>
      <c r="ABP56" s="1" t="s">
        <v>43478</v>
      </c>
      <c r="ABQ56" s="1" t="s">
        <v>43479</v>
      </c>
      <c r="ABR56" s="1" t="s">
        <v>43480</v>
      </c>
      <c r="ABS56" s="1" t="s">
        <v>43481</v>
      </c>
      <c r="ABT56" s="1" t="s">
        <v>43482</v>
      </c>
      <c r="ABU56" s="1" t="s">
        <v>43483</v>
      </c>
      <c r="ABV56" s="1" t="s">
        <v>43484</v>
      </c>
      <c r="ABW56" s="1" t="s">
        <v>43485</v>
      </c>
      <c r="ABX56" s="1" t="s">
        <v>43486</v>
      </c>
      <c r="ABY56" s="1" t="s">
        <v>43487</v>
      </c>
      <c r="ABZ56" s="1" t="s">
        <v>43488</v>
      </c>
      <c r="ACA56" s="1" t="s">
        <v>43489</v>
      </c>
      <c r="ACB56" s="1" t="s">
        <v>43490</v>
      </c>
      <c r="ACC56" s="1" t="s">
        <v>43491</v>
      </c>
      <c r="ACD56" s="1" t="s">
        <v>43492</v>
      </c>
      <c r="ACE56" s="1" t="s">
        <v>43493</v>
      </c>
      <c r="ACF56" s="1" t="s">
        <v>43494</v>
      </c>
      <c r="ACG56" s="1" t="s">
        <v>43495</v>
      </c>
      <c r="ACH56" s="1" t="s">
        <v>43496</v>
      </c>
      <c r="ACI56" s="1" t="s">
        <v>43497</v>
      </c>
      <c r="ACJ56" s="1" t="s">
        <v>43498</v>
      </c>
      <c r="ACK56" s="1" t="s">
        <v>43499</v>
      </c>
      <c r="ACL56" s="1" t="s">
        <v>43500</v>
      </c>
      <c r="ACM56" s="1" t="s">
        <v>43501</v>
      </c>
      <c r="ACN56" s="1" t="s">
        <v>43502</v>
      </c>
      <c r="ACO56" s="1" t="s">
        <v>43503</v>
      </c>
      <c r="ACP56" s="1" t="s">
        <v>43504</v>
      </c>
      <c r="ACQ56" s="1" t="s">
        <v>43505</v>
      </c>
      <c r="ACR56" s="1" t="s">
        <v>43506</v>
      </c>
      <c r="ACS56" s="1" t="s">
        <v>43507</v>
      </c>
      <c r="ACT56" s="1" t="s">
        <v>43508</v>
      </c>
      <c r="ACU56" s="1" t="s">
        <v>43509</v>
      </c>
      <c r="ACV56" s="1" t="s">
        <v>43510</v>
      </c>
      <c r="ACW56" s="1" t="s">
        <v>23</v>
      </c>
      <c r="ACX56" s="1" t="s">
        <v>6310</v>
      </c>
    </row>
    <row r="57" spans="1:778" x14ac:dyDescent="0.2">
      <c r="A57" s="1" t="s">
        <v>63</v>
      </c>
      <c r="B57" s="1" t="s">
        <v>43511</v>
      </c>
      <c r="C57" s="1" t="s">
        <v>43512</v>
      </c>
      <c r="D57" s="1" t="s">
        <v>43513</v>
      </c>
      <c r="E57" s="1" t="s">
        <v>43514</v>
      </c>
      <c r="F57" s="1" t="s">
        <v>43515</v>
      </c>
      <c r="G57" s="1" t="s">
        <v>43516</v>
      </c>
      <c r="H57" s="1" t="s">
        <v>43517</v>
      </c>
      <c r="I57" s="1" t="s">
        <v>43518</v>
      </c>
      <c r="J57" s="1" t="s">
        <v>43519</v>
      </c>
      <c r="K57" s="1" t="s">
        <v>43520</v>
      </c>
      <c r="L57" s="1" t="s">
        <v>43521</v>
      </c>
      <c r="M57" s="1" t="s">
        <v>43522</v>
      </c>
      <c r="N57" s="1" t="s">
        <v>43523</v>
      </c>
      <c r="O57" s="1" t="s">
        <v>43524</v>
      </c>
      <c r="P57" s="1" t="s">
        <v>43525</v>
      </c>
      <c r="Q57" s="1" t="s">
        <v>43526</v>
      </c>
      <c r="R57" s="1" t="s">
        <v>43527</v>
      </c>
      <c r="S57" s="1" t="s">
        <v>43528</v>
      </c>
      <c r="T57" s="1" t="s">
        <v>43529</v>
      </c>
      <c r="U57" s="1" t="s">
        <v>43530</v>
      </c>
      <c r="V57" s="1" t="s">
        <v>43531</v>
      </c>
      <c r="W57" s="1" t="s">
        <v>43532</v>
      </c>
      <c r="X57" s="1" t="s">
        <v>43533</v>
      </c>
      <c r="Y57" s="1" t="s">
        <v>43534</v>
      </c>
      <c r="Z57" s="1" t="s">
        <v>43535</v>
      </c>
      <c r="AA57" s="1" t="s">
        <v>43536</v>
      </c>
      <c r="AB57" s="1" t="s">
        <v>43537</v>
      </c>
      <c r="AC57" s="1" t="s">
        <v>43538</v>
      </c>
      <c r="AD57" s="1" t="s">
        <v>43539</v>
      </c>
      <c r="AE57" s="1" t="s">
        <v>43540</v>
      </c>
      <c r="AF57" s="1" t="s">
        <v>43541</v>
      </c>
      <c r="AG57" s="1" t="s">
        <v>43542</v>
      </c>
      <c r="AH57" s="1" t="s">
        <v>43543</v>
      </c>
      <c r="AI57" s="1" t="s">
        <v>43544</v>
      </c>
      <c r="AJ57" s="1" t="s">
        <v>43545</v>
      </c>
      <c r="AK57" s="1" t="s">
        <v>43546</v>
      </c>
      <c r="AL57" s="1" t="s">
        <v>43547</v>
      </c>
      <c r="AM57" s="1" t="s">
        <v>43548</v>
      </c>
      <c r="AN57" s="1" t="s">
        <v>43549</v>
      </c>
      <c r="AO57" s="1" t="s">
        <v>43550</v>
      </c>
      <c r="AP57" s="1" t="s">
        <v>43551</v>
      </c>
      <c r="AQ57" s="1" t="s">
        <v>43552</v>
      </c>
      <c r="AR57" s="1" t="s">
        <v>43553</v>
      </c>
      <c r="AS57" s="1" t="s">
        <v>43554</v>
      </c>
      <c r="AT57" s="1" t="s">
        <v>43555</v>
      </c>
      <c r="AU57" s="1" t="s">
        <v>43556</v>
      </c>
      <c r="AV57" s="1" t="s">
        <v>43557</v>
      </c>
      <c r="AW57" s="1" t="s">
        <v>43558</v>
      </c>
      <c r="AX57" s="1" t="s">
        <v>43559</v>
      </c>
      <c r="AY57" s="1" t="s">
        <v>43560</v>
      </c>
      <c r="AZ57" s="1" t="s">
        <v>43561</v>
      </c>
      <c r="BA57" s="1" t="s">
        <v>43562</v>
      </c>
      <c r="BB57" s="1" t="s">
        <v>43563</v>
      </c>
      <c r="BC57" s="1" t="s">
        <v>43564</v>
      </c>
      <c r="BD57" s="1" t="s">
        <v>43565</v>
      </c>
      <c r="BE57" s="1" t="s">
        <v>43566</v>
      </c>
      <c r="BF57" s="1" t="s">
        <v>43567</v>
      </c>
      <c r="BG57" s="1" t="s">
        <v>43568</v>
      </c>
      <c r="BH57" s="1" t="s">
        <v>43569</v>
      </c>
      <c r="BI57" s="1" t="s">
        <v>43570</v>
      </c>
      <c r="BJ57" s="1" t="s">
        <v>43571</v>
      </c>
      <c r="BK57" s="1" t="s">
        <v>43572</v>
      </c>
      <c r="BL57" s="1" t="s">
        <v>43573</v>
      </c>
      <c r="BM57" s="1" t="s">
        <v>43574</v>
      </c>
      <c r="BN57" s="1" t="s">
        <v>43575</v>
      </c>
      <c r="BO57" s="1" t="s">
        <v>43576</v>
      </c>
      <c r="BP57" s="1" t="s">
        <v>43577</v>
      </c>
      <c r="BQ57" s="1" t="s">
        <v>43578</v>
      </c>
      <c r="BR57" s="1" t="s">
        <v>43579</v>
      </c>
      <c r="BS57" s="1" t="s">
        <v>43580</v>
      </c>
      <c r="BT57" s="1" t="s">
        <v>43581</v>
      </c>
      <c r="BU57" s="1" t="s">
        <v>43582</v>
      </c>
      <c r="BV57" s="1" t="s">
        <v>43583</v>
      </c>
      <c r="BW57" s="1" t="s">
        <v>43584</v>
      </c>
      <c r="BX57" s="1" t="s">
        <v>43585</v>
      </c>
      <c r="BY57" s="1" t="s">
        <v>43586</v>
      </c>
      <c r="BZ57" s="1" t="s">
        <v>43587</v>
      </c>
      <c r="CA57" s="1" t="s">
        <v>43588</v>
      </c>
      <c r="CB57" s="1" t="s">
        <v>43589</v>
      </c>
      <c r="CC57" s="1" t="s">
        <v>43590</v>
      </c>
      <c r="CD57" s="1" t="s">
        <v>43591</v>
      </c>
      <c r="CE57" s="1" t="s">
        <v>43592</v>
      </c>
      <c r="CF57" s="1" t="s">
        <v>43593</v>
      </c>
      <c r="CG57" s="1" t="s">
        <v>43594</v>
      </c>
      <c r="CH57" s="1" t="s">
        <v>43595</v>
      </c>
      <c r="CI57" s="1" t="s">
        <v>43596</v>
      </c>
      <c r="CJ57" s="1" t="s">
        <v>43597</v>
      </c>
      <c r="CK57" s="1" t="s">
        <v>43598</v>
      </c>
      <c r="CL57" s="1" t="s">
        <v>43599</v>
      </c>
      <c r="CM57" s="1" t="s">
        <v>43600</v>
      </c>
      <c r="CN57" s="1" t="s">
        <v>43601</v>
      </c>
      <c r="CO57" s="1" t="s">
        <v>43602</v>
      </c>
      <c r="CP57" s="1" t="s">
        <v>43603</v>
      </c>
      <c r="CQ57" s="1" t="s">
        <v>43604</v>
      </c>
      <c r="CR57" s="1" t="s">
        <v>43605</v>
      </c>
      <c r="CS57" s="1" t="s">
        <v>43606</v>
      </c>
      <c r="CT57" s="1" t="s">
        <v>43607</v>
      </c>
      <c r="CU57" s="1" t="s">
        <v>43608</v>
      </c>
      <c r="CV57" s="1" t="s">
        <v>43609</v>
      </c>
      <c r="CW57" s="1" t="s">
        <v>43610</v>
      </c>
      <c r="CX57" s="1" t="s">
        <v>43611</v>
      </c>
      <c r="CY57" s="1" t="s">
        <v>43612</v>
      </c>
      <c r="CZ57" s="1" t="s">
        <v>43613</v>
      </c>
      <c r="DA57" s="1" t="s">
        <v>43614</v>
      </c>
      <c r="DB57" s="1" t="s">
        <v>43615</v>
      </c>
      <c r="DC57" s="1" t="s">
        <v>43616</v>
      </c>
      <c r="DD57" s="1" t="s">
        <v>43617</v>
      </c>
      <c r="DE57" s="1" t="s">
        <v>43618</v>
      </c>
      <c r="DF57" s="1" t="s">
        <v>43619</v>
      </c>
      <c r="DG57" s="1" t="s">
        <v>43620</v>
      </c>
      <c r="DH57" s="1" t="s">
        <v>43621</v>
      </c>
      <c r="DI57" s="1" t="s">
        <v>43622</v>
      </c>
      <c r="DJ57" s="1" t="s">
        <v>43623</v>
      </c>
      <c r="DK57" s="1" t="s">
        <v>43624</v>
      </c>
      <c r="DL57" s="1" t="s">
        <v>43625</v>
      </c>
      <c r="DM57" s="1" t="s">
        <v>43626</v>
      </c>
      <c r="DN57" s="1" t="s">
        <v>43627</v>
      </c>
      <c r="DO57" s="1" t="s">
        <v>43628</v>
      </c>
      <c r="DP57" s="1" t="s">
        <v>43629</v>
      </c>
      <c r="DQ57" s="1" t="s">
        <v>43630</v>
      </c>
      <c r="DR57" s="1" t="s">
        <v>43631</v>
      </c>
      <c r="DS57" s="1" t="s">
        <v>43632</v>
      </c>
      <c r="DT57" s="1" t="s">
        <v>43633</v>
      </c>
      <c r="DU57" s="1" t="s">
        <v>43634</v>
      </c>
      <c r="DV57" s="1" t="s">
        <v>43635</v>
      </c>
      <c r="DW57" s="1" t="s">
        <v>43636</v>
      </c>
      <c r="DX57" s="1" t="s">
        <v>43637</v>
      </c>
      <c r="DY57" s="1" t="s">
        <v>43638</v>
      </c>
      <c r="DZ57" s="1" t="s">
        <v>43639</v>
      </c>
      <c r="EA57" s="1" t="s">
        <v>43640</v>
      </c>
      <c r="EB57" s="1" t="s">
        <v>43641</v>
      </c>
      <c r="EC57" s="1" t="s">
        <v>43642</v>
      </c>
      <c r="ED57" s="1" t="s">
        <v>43643</v>
      </c>
      <c r="EE57" s="1" t="s">
        <v>43644</v>
      </c>
      <c r="EF57" s="1" t="s">
        <v>43645</v>
      </c>
      <c r="EG57" s="1" t="s">
        <v>43646</v>
      </c>
      <c r="EH57" s="1" t="s">
        <v>43647</v>
      </c>
      <c r="EI57" s="1" t="s">
        <v>43648</v>
      </c>
      <c r="EJ57" s="1" t="s">
        <v>43649</v>
      </c>
      <c r="EK57" s="1" t="s">
        <v>43650</v>
      </c>
      <c r="EL57" s="1" t="s">
        <v>43651</v>
      </c>
      <c r="EM57" s="1" t="s">
        <v>43652</v>
      </c>
      <c r="EN57" s="1" t="s">
        <v>43653</v>
      </c>
      <c r="EO57" s="1" t="s">
        <v>43654</v>
      </c>
      <c r="EP57" s="1" t="s">
        <v>43655</v>
      </c>
      <c r="EQ57" s="1" t="s">
        <v>43656</v>
      </c>
      <c r="ER57" s="1" t="s">
        <v>43657</v>
      </c>
      <c r="ES57" s="1" t="s">
        <v>43658</v>
      </c>
      <c r="ET57" s="1" t="s">
        <v>43659</v>
      </c>
      <c r="EU57" s="1" t="s">
        <v>43660</v>
      </c>
      <c r="EV57" s="1" t="s">
        <v>43661</v>
      </c>
      <c r="EW57" s="1" t="s">
        <v>43662</v>
      </c>
      <c r="EX57" s="1" t="s">
        <v>43663</v>
      </c>
      <c r="EY57" s="1" t="s">
        <v>43664</v>
      </c>
      <c r="EZ57" s="1" t="s">
        <v>43665</v>
      </c>
      <c r="FA57" s="1" t="s">
        <v>43666</v>
      </c>
      <c r="FB57" s="1" t="s">
        <v>43667</v>
      </c>
      <c r="FC57" s="1" t="s">
        <v>43668</v>
      </c>
      <c r="FD57" s="1" t="s">
        <v>43669</v>
      </c>
      <c r="FE57" s="1" t="s">
        <v>43670</v>
      </c>
      <c r="FF57" s="1" t="s">
        <v>43671</v>
      </c>
      <c r="FG57" s="1" t="s">
        <v>43672</v>
      </c>
      <c r="FH57" s="1" t="s">
        <v>43673</v>
      </c>
      <c r="FI57" s="1" t="s">
        <v>43674</v>
      </c>
      <c r="FJ57" s="1" t="s">
        <v>43675</v>
      </c>
      <c r="FK57" s="1" t="s">
        <v>43676</v>
      </c>
      <c r="FL57" s="1" t="s">
        <v>43677</v>
      </c>
      <c r="FM57" s="1" t="s">
        <v>43678</v>
      </c>
      <c r="FN57" s="1" t="s">
        <v>43679</v>
      </c>
      <c r="FO57" s="1" t="s">
        <v>43680</v>
      </c>
      <c r="FP57" s="1" t="s">
        <v>43681</v>
      </c>
      <c r="FQ57" s="1" t="s">
        <v>43682</v>
      </c>
      <c r="FR57" s="1" t="s">
        <v>43683</v>
      </c>
      <c r="FS57" s="1" t="s">
        <v>43684</v>
      </c>
      <c r="FT57" s="1" t="s">
        <v>43685</v>
      </c>
      <c r="FU57" s="1" t="s">
        <v>43686</v>
      </c>
      <c r="FV57" s="1" t="s">
        <v>43687</v>
      </c>
      <c r="FW57" s="1" t="s">
        <v>43688</v>
      </c>
      <c r="FX57" s="1" t="s">
        <v>43689</v>
      </c>
      <c r="FY57" s="1" t="s">
        <v>43690</v>
      </c>
      <c r="FZ57" s="1" t="s">
        <v>43691</v>
      </c>
      <c r="GA57" s="1" t="s">
        <v>43692</v>
      </c>
      <c r="GB57" s="1" t="s">
        <v>43693</v>
      </c>
      <c r="GC57" s="1" t="s">
        <v>43694</v>
      </c>
      <c r="GD57" s="1" t="s">
        <v>43695</v>
      </c>
      <c r="GE57" s="1" t="s">
        <v>43696</v>
      </c>
      <c r="GF57" s="1" t="s">
        <v>43697</v>
      </c>
      <c r="GG57" s="1" t="s">
        <v>43698</v>
      </c>
      <c r="GH57" s="1" t="s">
        <v>43699</v>
      </c>
      <c r="GI57" s="1" t="s">
        <v>43700</v>
      </c>
      <c r="GJ57" s="1" t="s">
        <v>43701</v>
      </c>
      <c r="GK57" s="1" t="s">
        <v>43702</v>
      </c>
      <c r="GL57" s="1" t="s">
        <v>43703</v>
      </c>
      <c r="GM57" s="1" t="s">
        <v>43704</v>
      </c>
      <c r="GN57" s="1" t="s">
        <v>43705</v>
      </c>
      <c r="GO57" s="1" t="s">
        <v>43706</v>
      </c>
      <c r="GP57" s="1" t="s">
        <v>43707</v>
      </c>
      <c r="GQ57" s="1" t="s">
        <v>43708</v>
      </c>
      <c r="GR57" s="1" t="s">
        <v>43709</v>
      </c>
      <c r="GS57" s="1" t="s">
        <v>43710</v>
      </c>
      <c r="GT57" s="1" t="s">
        <v>43711</v>
      </c>
      <c r="GU57" s="1" t="s">
        <v>43712</v>
      </c>
      <c r="GV57" s="1" t="s">
        <v>43713</v>
      </c>
      <c r="GW57" s="1" t="s">
        <v>43714</v>
      </c>
      <c r="GX57" s="1" t="s">
        <v>43715</v>
      </c>
      <c r="GY57" s="1" t="s">
        <v>43716</v>
      </c>
      <c r="GZ57" s="1" t="s">
        <v>43717</v>
      </c>
      <c r="HA57" s="1" t="s">
        <v>43718</v>
      </c>
      <c r="HB57" s="1" t="s">
        <v>43719</v>
      </c>
      <c r="HC57" s="1" t="s">
        <v>43720</v>
      </c>
      <c r="HD57" s="1" t="s">
        <v>43721</v>
      </c>
      <c r="HE57" s="1" t="s">
        <v>43722</v>
      </c>
      <c r="HF57" s="1" t="s">
        <v>43723</v>
      </c>
      <c r="HG57" s="1" t="s">
        <v>43724</v>
      </c>
      <c r="HH57" s="1" t="s">
        <v>43725</v>
      </c>
      <c r="HI57" s="1" t="s">
        <v>43726</v>
      </c>
      <c r="HJ57" s="1" t="s">
        <v>43727</v>
      </c>
      <c r="HK57" s="1" t="s">
        <v>43728</v>
      </c>
      <c r="HL57" s="1" t="s">
        <v>43729</v>
      </c>
      <c r="HM57" s="1" t="s">
        <v>43730</v>
      </c>
      <c r="HN57" s="1" t="s">
        <v>43731</v>
      </c>
      <c r="HO57" s="1" t="s">
        <v>43732</v>
      </c>
      <c r="HP57" s="1" t="s">
        <v>43733</v>
      </c>
      <c r="HQ57" s="1" t="s">
        <v>43734</v>
      </c>
      <c r="HR57" s="1" t="s">
        <v>43735</v>
      </c>
      <c r="HS57" s="1" t="s">
        <v>43736</v>
      </c>
      <c r="HT57" s="1" t="s">
        <v>43737</v>
      </c>
      <c r="HU57" s="1" t="s">
        <v>43738</v>
      </c>
      <c r="HV57" s="1" t="s">
        <v>43739</v>
      </c>
      <c r="HW57" s="1" t="s">
        <v>43740</v>
      </c>
      <c r="HX57" s="1" t="s">
        <v>43741</v>
      </c>
      <c r="HY57" s="1" t="s">
        <v>43742</v>
      </c>
      <c r="HZ57" s="1" t="s">
        <v>43743</v>
      </c>
      <c r="IA57" s="1" t="s">
        <v>43744</v>
      </c>
      <c r="IB57" s="1" t="s">
        <v>43745</v>
      </c>
      <c r="IC57" s="1" t="s">
        <v>43746</v>
      </c>
      <c r="ID57" s="1" t="s">
        <v>43747</v>
      </c>
      <c r="IE57" s="1" t="s">
        <v>43748</v>
      </c>
      <c r="IF57" s="1" t="s">
        <v>43749</v>
      </c>
      <c r="IG57" s="1" t="s">
        <v>43750</v>
      </c>
      <c r="IH57" s="1" t="s">
        <v>43751</v>
      </c>
      <c r="II57" s="1" t="s">
        <v>43752</v>
      </c>
      <c r="IJ57" s="1" t="s">
        <v>43753</v>
      </c>
      <c r="IK57" s="1" t="s">
        <v>43754</v>
      </c>
      <c r="IL57" s="1" t="s">
        <v>43755</v>
      </c>
      <c r="IM57" s="1" t="s">
        <v>43756</v>
      </c>
      <c r="IN57" s="1" t="s">
        <v>43757</v>
      </c>
      <c r="IO57" s="1" t="s">
        <v>43758</v>
      </c>
      <c r="IP57" s="1" t="s">
        <v>43759</v>
      </c>
      <c r="IQ57" s="1" t="s">
        <v>43760</v>
      </c>
      <c r="IR57" s="1" t="s">
        <v>43761</v>
      </c>
      <c r="IS57" s="1" t="s">
        <v>43762</v>
      </c>
      <c r="IT57" s="1" t="s">
        <v>43763</v>
      </c>
      <c r="IU57" s="1" t="s">
        <v>43764</v>
      </c>
      <c r="IV57" s="1" t="s">
        <v>43765</v>
      </c>
      <c r="IW57" s="1" t="s">
        <v>43766</v>
      </c>
      <c r="IX57" s="1" t="s">
        <v>43767</v>
      </c>
      <c r="IY57" s="1" t="s">
        <v>43768</v>
      </c>
      <c r="IZ57" s="1" t="s">
        <v>43769</v>
      </c>
      <c r="JA57" s="1" t="s">
        <v>43770</v>
      </c>
      <c r="JB57" s="1" t="s">
        <v>43771</v>
      </c>
      <c r="JC57" s="1" t="s">
        <v>43772</v>
      </c>
      <c r="JD57" s="1" t="s">
        <v>43773</v>
      </c>
      <c r="JE57" s="1" t="s">
        <v>43774</v>
      </c>
      <c r="JF57" s="1" t="s">
        <v>43775</v>
      </c>
      <c r="JG57" s="1" t="s">
        <v>43776</v>
      </c>
      <c r="JH57" s="1" t="s">
        <v>43777</v>
      </c>
      <c r="JI57" s="1" t="s">
        <v>43778</v>
      </c>
      <c r="JJ57" s="1" t="s">
        <v>43779</v>
      </c>
      <c r="JK57" s="1" t="s">
        <v>43780</v>
      </c>
      <c r="JL57" s="1" t="s">
        <v>43781</v>
      </c>
      <c r="JM57" s="1" t="s">
        <v>43782</v>
      </c>
      <c r="JN57" s="1" t="s">
        <v>43783</v>
      </c>
      <c r="JO57" s="1" t="s">
        <v>43784</v>
      </c>
      <c r="JP57" s="1" t="s">
        <v>43785</v>
      </c>
      <c r="JQ57" s="1" t="s">
        <v>43786</v>
      </c>
      <c r="JR57" s="1" t="s">
        <v>43787</v>
      </c>
      <c r="JS57" s="1" t="s">
        <v>43788</v>
      </c>
      <c r="JT57" s="1" t="s">
        <v>43789</v>
      </c>
      <c r="JU57" s="1" t="s">
        <v>43790</v>
      </c>
      <c r="JV57" s="1" t="s">
        <v>43791</v>
      </c>
      <c r="JW57" s="1" t="s">
        <v>43792</v>
      </c>
      <c r="JX57" s="1" t="s">
        <v>43793</v>
      </c>
      <c r="JY57" s="1" t="s">
        <v>43794</v>
      </c>
      <c r="JZ57" s="1" t="s">
        <v>43795</v>
      </c>
      <c r="KA57" s="1" t="s">
        <v>43796</v>
      </c>
      <c r="KB57" s="1" t="s">
        <v>43797</v>
      </c>
      <c r="KC57" s="1" t="s">
        <v>43798</v>
      </c>
      <c r="KD57" s="1" t="s">
        <v>43799</v>
      </c>
      <c r="KE57" s="1" t="s">
        <v>43800</v>
      </c>
      <c r="KF57" s="1" t="s">
        <v>43801</v>
      </c>
      <c r="KG57" s="1" t="s">
        <v>43802</v>
      </c>
      <c r="KH57" s="1" t="s">
        <v>43803</v>
      </c>
      <c r="KI57" s="1" t="s">
        <v>43804</v>
      </c>
      <c r="KJ57" s="1" t="s">
        <v>43805</v>
      </c>
      <c r="KK57" s="1" t="s">
        <v>43806</v>
      </c>
      <c r="KL57" s="1" t="s">
        <v>43807</v>
      </c>
      <c r="KM57" s="1" t="s">
        <v>43808</v>
      </c>
      <c r="KN57" s="1" t="s">
        <v>43809</v>
      </c>
      <c r="KO57" s="1" t="s">
        <v>43810</v>
      </c>
      <c r="KP57" s="1" t="s">
        <v>43811</v>
      </c>
      <c r="KQ57" s="1" t="s">
        <v>43812</v>
      </c>
      <c r="KR57" s="1" t="s">
        <v>43813</v>
      </c>
      <c r="KS57" s="1" t="s">
        <v>43814</v>
      </c>
      <c r="KT57" s="1" t="s">
        <v>43815</v>
      </c>
      <c r="KU57" s="1" t="s">
        <v>43816</v>
      </c>
      <c r="KV57" s="1" t="s">
        <v>43817</v>
      </c>
      <c r="KW57" s="1" t="s">
        <v>43818</v>
      </c>
      <c r="KX57" s="1" t="s">
        <v>43819</v>
      </c>
      <c r="KY57" s="1" t="s">
        <v>43820</v>
      </c>
      <c r="KZ57" s="1" t="s">
        <v>43821</v>
      </c>
      <c r="LA57" s="1" t="s">
        <v>43822</v>
      </c>
      <c r="LB57" s="1" t="s">
        <v>43823</v>
      </c>
      <c r="LC57" s="1" t="s">
        <v>43824</v>
      </c>
      <c r="LD57" s="1" t="s">
        <v>43825</v>
      </c>
      <c r="LE57" s="1" t="s">
        <v>43826</v>
      </c>
      <c r="LF57" s="1" t="s">
        <v>43827</v>
      </c>
      <c r="LG57" s="1" t="s">
        <v>43828</v>
      </c>
      <c r="LH57" s="1" t="s">
        <v>43829</v>
      </c>
      <c r="LI57" s="1" t="s">
        <v>43830</v>
      </c>
      <c r="LJ57" s="1" t="s">
        <v>43831</v>
      </c>
      <c r="LK57" s="1" t="s">
        <v>43832</v>
      </c>
      <c r="LL57" s="1" t="s">
        <v>43833</v>
      </c>
      <c r="LM57" s="1" t="s">
        <v>43834</v>
      </c>
      <c r="LN57" s="1" t="s">
        <v>43835</v>
      </c>
      <c r="LO57" s="1" t="s">
        <v>43836</v>
      </c>
      <c r="LP57" s="1" t="s">
        <v>43837</v>
      </c>
      <c r="LQ57" s="1" t="s">
        <v>43838</v>
      </c>
      <c r="LR57" s="1" t="s">
        <v>43839</v>
      </c>
      <c r="LS57" s="1" t="s">
        <v>43840</v>
      </c>
      <c r="LT57" s="1" t="s">
        <v>43841</v>
      </c>
      <c r="LU57" s="1" t="s">
        <v>43842</v>
      </c>
      <c r="LV57" s="1" t="s">
        <v>43843</v>
      </c>
      <c r="LW57" s="1" t="s">
        <v>43844</v>
      </c>
      <c r="LX57" s="1" t="s">
        <v>43845</v>
      </c>
      <c r="LY57" s="1" t="s">
        <v>43846</v>
      </c>
      <c r="LZ57" s="1" t="s">
        <v>43847</v>
      </c>
      <c r="MA57" s="1" t="s">
        <v>43848</v>
      </c>
      <c r="MB57" s="1" t="s">
        <v>43849</v>
      </c>
      <c r="MC57" s="1" t="s">
        <v>43850</v>
      </c>
      <c r="MD57" s="1" t="s">
        <v>43851</v>
      </c>
      <c r="ME57" s="1" t="s">
        <v>43852</v>
      </c>
      <c r="MF57" s="1" t="s">
        <v>43853</v>
      </c>
      <c r="MG57" s="1" t="s">
        <v>43854</v>
      </c>
      <c r="MH57" s="1" t="s">
        <v>43855</v>
      </c>
      <c r="MI57" s="1" t="s">
        <v>43856</v>
      </c>
      <c r="MJ57" s="1" t="s">
        <v>43857</v>
      </c>
      <c r="MK57" s="1" t="s">
        <v>43858</v>
      </c>
      <c r="ML57" s="1" t="s">
        <v>43859</v>
      </c>
      <c r="MM57" s="1" t="s">
        <v>43860</v>
      </c>
      <c r="MN57" s="1" t="s">
        <v>43861</v>
      </c>
      <c r="MO57" s="1" t="s">
        <v>43862</v>
      </c>
      <c r="MP57" s="1" t="s">
        <v>43863</v>
      </c>
      <c r="MQ57" s="1" t="s">
        <v>43864</v>
      </c>
      <c r="MR57" s="1" t="s">
        <v>43865</v>
      </c>
      <c r="MS57" s="1" t="s">
        <v>43866</v>
      </c>
      <c r="MT57" s="1" t="s">
        <v>43867</v>
      </c>
      <c r="MU57" s="1" t="s">
        <v>43868</v>
      </c>
      <c r="MV57" s="1" t="s">
        <v>43869</v>
      </c>
      <c r="MW57" s="1" t="s">
        <v>43870</v>
      </c>
      <c r="MX57" s="1" t="s">
        <v>43871</v>
      </c>
      <c r="MY57" s="1" t="s">
        <v>43872</v>
      </c>
      <c r="MZ57" s="1" t="s">
        <v>43873</v>
      </c>
      <c r="NA57" s="1" t="s">
        <v>43874</v>
      </c>
      <c r="NB57" s="1" t="s">
        <v>43875</v>
      </c>
      <c r="NC57" s="1" t="s">
        <v>43876</v>
      </c>
      <c r="ND57" s="1" t="s">
        <v>43877</v>
      </c>
      <c r="NE57" s="1" t="s">
        <v>43878</v>
      </c>
      <c r="NF57" s="1" t="s">
        <v>43879</v>
      </c>
      <c r="NG57" s="1" t="s">
        <v>43880</v>
      </c>
      <c r="NH57" s="1" t="s">
        <v>43881</v>
      </c>
      <c r="NI57" s="1" t="s">
        <v>43882</v>
      </c>
      <c r="NJ57" s="1" t="s">
        <v>43883</v>
      </c>
      <c r="NK57" s="1" t="s">
        <v>43884</v>
      </c>
      <c r="NL57" s="1" t="s">
        <v>43885</v>
      </c>
      <c r="NM57" s="1" t="s">
        <v>43886</v>
      </c>
      <c r="NN57" s="1" t="s">
        <v>43887</v>
      </c>
      <c r="NO57" s="1" t="s">
        <v>43888</v>
      </c>
      <c r="NP57" s="1" t="s">
        <v>43889</v>
      </c>
      <c r="NQ57" s="1" t="s">
        <v>43890</v>
      </c>
      <c r="NR57" s="1" t="s">
        <v>43891</v>
      </c>
      <c r="NS57" s="1" t="s">
        <v>43892</v>
      </c>
      <c r="NT57" s="1" t="s">
        <v>43893</v>
      </c>
      <c r="NU57" s="1" t="s">
        <v>43894</v>
      </c>
      <c r="NV57" s="1" t="s">
        <v>43895</v>
      </c>
      <c r="NW57" s="1" t="s">
        <v>43896</v>
      </c>
      <c r="NX57" s="1" t="s">
        <v>43897</v>
      </c>
      <c r="NY57" s="1" t="s">
        <v>43898</v>
      </c>
      <c r="NZ57" s="1" t="s">
        <v>43899</v>
      </c>
      <c r="OA57" s="1" t="s">
        <v>43900</v>
      </c>
      <c r="OB57" s="1" t="s">
        <v>43901</v>
      </c>
      <c r="OC57" s="1" t="s">
        <v>43902</v>
      </c>
      <c r="OD57" s="1" t="s">
        <v>43903</v>
      </c>
      <c r="OE57" s="1" t="s">
        <v>43904</v>
      </c>
      <c r="OF57" s="1" t="s">
        <v>43905</v>
      </c>
      <c r="OG57" s="1" t="s">
        <v>43906</v>
      </c>
      <c r="OH57" s="1" t="s">
        <v>43907</v>
      </c>
      <c r="OI57" s="1" t="s">
        <v>43908</v>
      </c>
      <c r="OJ57" s="1" t="s">
        <v>43909</v>
      </c>
      <c r="OK57" s="1" t="s">
        <v>43910</v>
      </c>
      <c r="OL57" s="1" t="s">
        <v>43911</v>
      </c>
      <c r="OM57" s="1" t="s">
        <v>43912</v>
      </c>
      <c r="ON57" s="1" t="s">
        <v>43913</v>
      </c>
      <c r="OO57" s="1" t="s">
        <v>43914</v>
      </c>
      <c r="OP57" s="1" t="s">
        <v>43915</v>
      </c>
      <c r="OQ57" s="1" t="s">
        <v>43916</v>
      </c>
      <c r="OR57" s="1" t="s">
        <v>43917</v>
      </c>
      <c r="OS57" s="1" t="s">
        <v>43918</v>
      </c>
      <c r="OT57" s="1" t="s">
        <v>43919</v>
      </c>
      <c r="OU57" s="1" t="s">
        <v>43920</v>
      </c>
      <c r="OV57" s="1" t="s">
        <v>43921</v>
      </c>
      <c r="OW57" s="1" t="s">
        <v>43922</v>
      </c>
      <c r="OX57" s="1" t="s">
        <v>43923</v>
      </c>
      <c r="OY57" s="1" t="s">
        <v>43924</v>
      </c>
      <c r="OZ57" s="1" t="s">
        <v>43925</v>
      </c>
      <c r="PA57" s="1" t="s">
        <v>43926</v>
      </c>
      <c r="PB57" s="1" t="s">
        <v>43927</v>
      </c>
      <c r="PC57" s="1" t="s">
        <v>43928</v>
      </c>
      <c r="PD57" s="1" t="s">
        <v>43929</v>
      </c>
      <c r="PE57" s="1" t="s">
        <v>43930</v>
      </c>
      <c r="PF57" s="1" t="s">
        <v>43931</v>
      </c>
      <c r="PG57" s="1" t="s">
        <v>43932</v>
      </c>
      <c r="PH57" s="1" t="s">
        <v>43933</v>
      </c>
      <c r="PI57" s="1" t="s">
        <v>43934</v>
      </c>
      <c r="PJ57" s="1" t="s">
        <v>43935</v>
      </c>
      <c r="PK57" s="1" t="s">
        <v>43936</v>
      </c>
      <c r="PL57" s="1" t="s">
        <v>43937</v>
      </c>
      <c r="PM57" s="1" t="s">
        <v>43938</v>
      </c>
      <c r="PN57" s="1" t="s">
        <v>43939</v>
      </c>
      <c r="PO57" s="1" t="s">
        <v>43940</v>
      </c>
      <c r="PP57" s="1" t="s">
        <v>43941</v>
      </c>
      <c r="PQ57" s="1" t="s">
        <v>43942</v>
      </c>
      <c r="PR57" s="1" t="s">
        <v>43943</v>
      </c>
      <c r="PS57" s="1" t="s">
        <v>43944</v>
      </c>
      <c r="PT57" s="1" t="s">
        <v>43945</v>
      </c>
      <c r="PU57" s="1" t="s">
        <v>43946</v>
      </c>
      <c r="PV57" s="1" t="s">
        <v>43947</v>
      </c>
      <c r="PW57" s="1" t="s">
        <v>43948</v>
      </c>
      <c r="PX57" s="1" t="s">
        <v>43949</v>
      </c>
      <c r="PY57" s="1" t="s">
        <v>43950</v>
      </c>
      <c r="PZ57" s="1" t="s">
        <v>43951</v>
      </c>
      <c r="QA57" s="1" t="s">
        <v>43952</v>
      </c>
      <c r="QB57" s="1" t="s">
        <v>43953</v>
      </c>
      <c r="QC57" s="1" t="s">
        <v>43954</v>
      </c>
      <c r="QD57" s="1" t="s">
        <v>43955</v>
      </c>
      <c r="QE57" s="1" t="s">
        <v>43956</v>
      </c>
      <c r="QF57" s="1" t="s">
        <v>43957</v>
      </c>
      <c r="QG57" s="1" t="s">
        <v>43958</v>
      </c>
      <c r="QH57" s="1" t="s">
        <v>43959</v>
      </c>
      <c r="QI57" s="1" t="s">
        <v>43960</v>
      </c>
      <c r="QJ57" s="1" t="s">
        <v>43961</v>
      </c>
      <c r="QK57" s="1" t="s">
        <v>43962</v>
      </c>
      <c r="QL57" s="1" t="s">
        <v>43963</v>
      </c>
      <c r="QM57" s="1" t="s">
        <v>43964</v>
      </c>
      <c r="QN57" s="1" t="s">
        <v>43965</v>
      </c>
      <c r="QO57" s="1" t="s">
        <v>43966</v>
      </c>
      <c r="QP57" s="1" t="s">
        <v>43967</v>
      </c>
      <c r="QQ57" s="1" t="s">
        <v>43968</v>
      </c>
      <c r="QR57" s="1" t="s">
        <v>43969</v>
      </c>
      <c r="QS57" s="1" t="s">
        <v>43970</v>
      </c>
      <c r="QT57" s="1" t="s">
        <v>43971</v>
      </c>
      <c r="QU57" s="1" t="s">
        <v>43972</v>
      </c>
      <c r="QV57" s="1" t="s">
        <v>43973</v>
      </c>
      <c r="QW57" s="1" t="s">
        <v>43974</v>
      </c>
      <c r="QX57" s="1" t="s">
        <v>43975</v>
      </c>
      <c r="QY57" s="1" t="s">
        <v>43976</v>
      </c>
      <c r="QZ57" s="1" t="s">
        <v>43977</v>
      </c>
      <c r="RA57" s="1" t="s">
        <v>43978</v>
      </c>
      <c r="RB57" s="1" t="s">
        <v>43979</v>
      </c>
      <c r="RC57" s="1" t="s">
        <v>43980</v>
      </c>
      <c r="RD57" s="1" t="s">
        <v>43981</v>
      </c>
      <c r="RE57" s="1" t="s">
        <v>43982</v>
      </c>
      <c r="RF57" s="1" t="s">
        <v>43983</v>
      </c>
      <c r="RG57" s="1" t="s">
        <v>43984</v>
      </c>
      <c r="RH57" s="1" t="s">
        <v>43985</v>
      </c>
      <c r="RI57" s="1" t="s">
        <v>43986</v>
      </c>
      <c r="RJ57" s="1" t="s">
        <v>43987</v>
      </c>
      <c r="RK57" s="1" t="s">
        <v>43988</v>
      </c>
      <c r="RL57" s="1" t="s">
        <v>43989</v>
      </c>
      <c r="RM57" s="1" t="s">
        <v>43990</v>
      </c>
      <c r="RN57" s="1" t="s">
        <v>43991</v>
      </c>
      <c r="RO57" s="1" t="s">
        <v>43992</v>
      </c>
      <c r="RP57" s="1" t="s">
        <v>43993</v>
      </c>
      <c r="RQ57" s="1" t="s">
        <v>43994</v>
      </c>
      <c r="RR57" s="1" t="s">
        <v>43995</v>
      </c>
      <c r="RS57" s="1" t="s">
        <v>43996</v>
      </c>
      <c r="RT57" s="1" t="s">
        <v>43997</v>
      </c>
      <c r="RU57" s="1" t="s">
        <v>43998</v>
      </c>
      <c r="RV57" s="1" t="s">
        <v>43999</v>
      </c>
      <c r="RW57" s="1" t="s">
        <v>44000</v>
      </c>
      <c r="RX57" s="1" t="s">
        <v>44001</v>
      </c>
      <c r="RY57" s="1" t="s">
        <v>44002</v>
      </c>
      <c r="RZ57" s="1" t="s">
        <v>44003</v>
      </c>
      <c r="SA57" s="1" t="s">
        <v>44004</v>
      </c>
      <c r="SB57" s="1" t="s">
        <v>44005</v>
      </c>
      <c r="SC57" s="1" t="s">
        <v>44006</v>
      </c>
      <c r="SD57" s="1" t="s">
        <v>44007</v>
      </c>
      <c r="SE57" s="1" t="s">
        <v>44008</v>
      </c>
      <c r="SF57" s="1" t="s">
        <v>44009</v>
      </c>
      <c r="SG57" s="1" t="s">
        <v>44010</v>
      </c>
      <c r="SH57" s="1" t="s">
        <v>44011</v>
      </c>
      <c r="SI57" s="1" t="s">
        <v>44012</v>
      </c>
      <c r="SJ57" s="1" t="s">
        <v>44013</v>
      </c>
      <c r="SK57" s="1" t="s">
        <v>44014</v>
      </c>
      <c r="SL57" s="1" t="s">
        <v>44015</v>
      </c>
      <c r="SM57" s="1" t="s">
        <v>44016</v>
      </c>
      <c r="SN57" s="1" t="s">
        <v>44017</v>
      </c>
      <c r="SO57" s="1" t="s">
        <v>44018</v>
      </c>
      <c r="SP57" s="1" t="s">
        <v>44019</v>
      </c>
      <c r="SQ57" s="1" t="s">
        <v>44020</v>
      </c>
      <c r="SR57" s="1" t="s">
        <v>44021</v>
      </c>
      <c r="SS57" s="1" t="s">
        <v>44022</v>
      </c>
      <c r="ST57" s="1" t="s">
        <v>44023</v>
      </c>
      <c r="SU57" s="1" t="s">
        <v>44024</v>
      </c>
      <c r="SV57" s="1" t="s">
        <v>44025</v>
      </c>
      <c r="SW57" s="1" t="s">
        <v>44026</v>
      </c>
      <c r="SX57" s="1" t="s">
        <v>44027</v>
      </c>
      <c r="SY57" s="1" t="s">
        <v>44028</v>
      </c>
      <c r="SZ57" s="1" t="s">
        <v>44029</v>
      </c>
      <c r="TA57" s="1" t="s">
        <v>44030</v>
      </c>
      <c r="TB57" s="1" t="s">
        <v>44031</v>
      </c>
      <c r="TC57" s="1" t="s">
        <v>44032</v>
      </c>
      <c r="TD57" s="1" t="s">
        <v>44033</v>
      </c>
      <c r="TE57" s="1" t="s">
        <v>44034</v>
      </c>
      <c r="TF57" s="1" t="s">
        <v>44035</v>
      </c>
      <c r="TG57" s="1" t="s">
        <v>44036</v>
      </c>
      <c r="TH57" s="1" t="s">
        <v>44037</v>
      </c>
      <c r="TI57" s="1" t="s">
        <v>44038</v>
      </c>
      <c r="TJ57" s="1" t="s">
        <v>44039</v>
      </c>
      <c r="TK57" s="1" t="s">
        <v>44040</v>
      </c>
      <c r="TL57" s="1" t="s">
        <v>44041</v>
      </c>
      <c r="TM57" s="1" t="s">
        <v>44042</v>
      </c>
      <c r="TN57" s="1" t="s">
        <v>44043</v>
      </c>
      <c r="TO57" s="1" t="s">
        <v>44044</v>
      </c>
      <c r="TP57" s="1" t="s">
        <v>44045</v>
      </c>
      <c r="TQ57" s="1" t="s">
        <v>44046</v>
      </c>
      <c r="TR57" s="1" t="s">
        <v>44047</v>
      </c>
      <c r="TS57" s="1" t="s">
        <v>44048</v>
      </c>
      <c r="TT57" s="1" t="s">
        <v>44049</v>
      </c>
      <c r="TU57" s="1" t="s">
        <v>44050</v>
      </c>
      <c r="TV57" s="1" t="s">
        <v>44051</v>
      </c>
      <c r="TW57" s="1" t="s">
        <v>44052</v>
      </c>
      <c r="TX57" s="1" t="s">
        <v>44053</v>
      </c>
      <c r="TY57" s="1" t="s">
        <v>44054</v>
      </c>
      <c r="TZ57" s="1" t="s">
        <v>44055</v>
      </c>
      <c r="UA57" s="1" t="s">
        <v>44056</v>
      </c>
      <c r="UB57" s="1" t="s">
        <v>44057</v>
      </c>
      <c r="UC57" s="1" t="s">
        <v>44058</v>
      </c>
      <c r="UD57" s="1" t="s">
        <v>44059</v>
      </c>
      <c r="UE57" s="1" t="s">
        <v>44060</v>
      </c>
      <c r="UF57" s="1" t="s">
        <v>44061</v>
      </c>
      <c r="UG57" s="1" t="s">
        <v>44062</v>
      </c>
      <c r="UH57" s="1" t="s">
        <v>44063</v>
      </c>
      <c r="UI57" s="1" t="s">
        <v>44064</v>
      </c>
      <c r="UJ57" s="1" t="s">
        <v>44065</v>
      </c>
      <c r="UK57" s="1" t="s">
        <v>44066</v>
      </c>
      <c r="UL57" s="1" t="s">
        <v>44067</v>
      </c>
      <c r="UM57" s="1" t="s">
        <v>44068</v>
      </c>
      <c r="UN57" s="1" t="s">
        <v>44069</v>
      </c>
      <c r="UO57" s="1" t="s">
        <v>44070</v>
      </c>
      <c r="UP57" s="1" t="s">
        <v>44071</v>
      </c>
      <c r="UQ57" s="1" t="s">
        <v>44072</v>
      </c>
      <c r="UR57" s="1" t="s">
        <v>44073</v>
      </c>
      <c r="US57" s="1" t="s">
        <v>44074</v>
      </c>
      <c r="UT57" s="1" t="s">
        <v>44075</v>
      </c>
      <c r="UU57" s="1" t="s">
        <v>44076</v>
      </c>
      <c r="UV57" s="1" t="s">
        <v>44077</v>
      </c>
      <c r="UW57" s="1" t="s">
        <v>44078</v>
      </c>
      <c r="UX57" s="1" t="s">
        <v>44079</v>
      </c>
      <c r="UY57" s="1" t="s">
        <v>44080</v>
      </c>
      <c r="UZ57" s="1" t="s">
        <v>44081</v>
      </c>
      <c r="VA57" s="1" t="s">
        <v>44082</v>
      </c>
      <c r="VB57" s="1" t="s">
        <v>44083</v>
      </c>
      <c r="VC57" s="1" t="s">
        <v>44084</v>
      </c>
      <c r="VD57" s="1" t="s">
        <v>44085</v>
      </c>
      <c r="VE57" s="1" t="s">
        <v>44086</v>
      </c>
      <c r="VF57" s="1" t="s">
        <v>44087</v>
      </c>
      <c r="VG57" s="1" t="s">
        <v>44088</v>
      </c>
      <c r="VH57" s="1" t="s">
        <v>44089</v>
      </c>
      <c r="VI57" s="1" t="s">
        <v>44090</v>
      </c>
      <c r="VJ57" s="1" t="s">
        <v>44091</v>
      </c>
      <c r="VK57" s="1" t="s">
        <v>44092</v>
      </c>
      <c r="VL57" s="1" t="s">
        <v>44093</v>
      </c>
      <c r="VM57" s="1" t="s">
        <v>44094</v>
      </c>
      <c r="VN57" s="1" t="s">
        <v>44095</v>
      </c>
      <c r="VO57" s="1" t="s">
        <v>44096</v>
      </c>
      <c r="VP57" s="1" t="s">
        <v>44097</v>
      </c>
      <c r="VQ57" s="1" t="s">
        <v>44098</v>
      </c>
      <c r="VR57" s="1" t="s">
        <v>44099</v>
      </c>
      <c r="VS57" s="1" t="s">
        <v>44100</v>
      </c>
      <c r="VT57" s="1" t="s">
        <v>44101</v>
      </c>
      <c r="VU57" s="1" t="s">
        <v>44102</v>
      </c>
      <c r="VV57" s="1" t="s">
        <v>44103</v>
      </c>
      <c r="VW57" s="1" t="s">
        <v>44104</v>
      </c>
      <c r="VX57" s="1" t="s">
        <v>44105</v>
      </c>
      <c r="VY57" s="1" t="s">
        <v>44106</v>
      </c>
      <c r="VZ57" s="1" t="s">
        <v>44107</v>
      </c>
      <c r="WA57" s="1" t="s">
        <v>44108</v>
      </c>
      <c r="WB57" s="1" t="s">
        <v>44109</v>
      </c>
      <c r="WC57" s="1" t="s">
        <v>44110</v>
      </c>
      <c r="WD57" s="1" t="s">
        <v>44111</v>
      </c>
      <c r="WE57" s="1" t="s">
        <v>44112</v>
      </c>
      <c r="WF57" s="1" t="s">
        <v>44113</v>
      </c>
      <c r="WG57" s="1" t="s">
        <v>44114</v>
      </c>
      <c r="WH57" s="1" t="s">
        <v>44115</v>
      </c>
      <c r="WI57" s="1" t="s">
        <v>44116</v>
      </c>
      <c r="WJ57" s="1" t="s">
        <v>44117</v>
      </c>
      <c r="WK57" s="1" t="s">
        <v>44118</v>
      </c>
      <c r="WL57" s="1" t="s">
        <v>44119</v>
      </c>
      <c r="WM57" s="1" t="s">
        <v>44120</v>
      </c>
      <c r="WN57" s="1" t="s">
        <v>44121</v>
      </c>
      <c r="WO57" s="1" t="s">
        <v>44122</v>
      </c>
      <c r="WP57" s="1" t="s">
        <v>44123</v>
      </c>
      <c r="WQ57" s="1" t="s">
        <v>44124</v>
      </c>
      <c r="WR57" s="1" t="s">
        <v>44125</v>
      </c>
      <c r="WS57" s="1" t="s">
        <v>44126</v>
      </c>
      <c r="WT57" s="1" t="s">
        <v>44127</v>
      </c>
      <c r="WU57" s="1" t="s">
        <v>44128</v>
      </c>
      <c r="WV57" s="1" t="s">
        <v>44129</v>
      </c>
      <c r="WW57" s="1" t="s">
        <v>44130</v>
      </c>
      <c r="WX57" s="1" t="s">
        <v>44131</v>
      </c>
      <c r="WY57" s="1" t="s">
        <v>44132</v>
      </c>
      <c r="WZ57" s="1" t="s">
        <v>44133</v>
      </c>
      <c r="XA57" s="1" t="s">
        <v>44134</v>
      </c>
      <c r="XB57" s="1" t="s">
        <v>44135</v>
      </c>
      <c r="XC57" s="1" t="s">
        <v>44136</v>
      </c>
      <c r="XD57" s="1" t="s">
        <v>44137</v>
      </c>
      <c r="XE57" s="1" t="s">
        <v>44138</v>
      </c>
      <c r="XF57" s="1" t="s">
        <v>44139</v>
      </c>
      <c r="XG57" s="1" t="s">
        <v>44140</v>
      </c>
      <c r="XH57" s="1" t="s">
        <v>44141</v>
      </c>
      <c r="XI57" s="1" t="s">
        <v>44142</v>
      </c>
      <c r="XJ57" s="1" t="s">
        <v>44143</v>
      </c>
      <c r="XK57" s="1" t="s">
        <v>44144</v>
      </c>
      <c r="XL57" s="1" t="s">
        <v>44145</v>
      </c>
      <c r="XM57" s="1" t="s">
        <v>44146</v>
      </c>
      <c r="XN57" s="1" t="s">
        <v>44147</v>
      </c>
      <c r="XO57" s="1" t="s">
        <v>44148</v>
      </c>
      <c r="XP57" s="1" t="s">
        <v>44149</v>
      </c>
      <c r="XQ57" s="1" t="s">
        <v>44150</v>
      </c>
      <c r="XR57" s="1" t="s">
        <v>44151</v>
      </c>
      <c r="XS57" s="1" t="s">
        <v>44152</v>
      </c>
      <c r="XT57" s="1" t="s">
        <v>44153</v>
      </c>
      <c r="XU57" s="1" t="s">
        <v>44154</v>
      </c>
      <c r="XV57" s="1" t="s">
        <v>44155</v>
      </c>
      <c r="XW57" s="1" t="s">
        <v>44156</v>
      </c>
      <c r="XX57" s="1" t="s">
        <v>44157</v>
      </c>
      <c r="XY57" s="1" t="s">
        <v>44158</v>
      </c>
      <c r="XZ57" s="1" t="s">
        <v>44159</v>
      </c>
      <c r="YA57" s="1" t="s">
        <v>44160</v>
      </c>
      <c r="YB57" s="1" t="s">
        <v>44161</v>
      </c>
      <c r="YC57" s="1" t="s">
        <v>44162</v>
      </c>
      <c r="YD57" s="1" t="s">
        <v>44163</v>
      </c>
      <c r="YE57" s="1" t="s">
        <v>44164</v>
      </c>
      <c r="YF57" s="1" t="s">
        <v>44165</v>
      </c>
      <c r="YG57" s="1" t="s">
        <v>44166</v>
      </c>
      <c r="YH57" s="1" t="s">
        <v>44167</v>
      </c>
      <c r="YI57" s="1" t="s">
        <v>44168</v>
      </c>
      <c r="YJ57" s="1" t="s">
        <v>44169</v>
      </c>
      <c r="YK57" s="1" t="s">
        <v>44170</v>
      </c>
      <c r="YL57" s="1" t="s">
        <v>44171</v>
      </c>
      <c r="YM57" s="1" t="s">
        <v>44172</v>
      </c>
      <c r="YN57" s="1" t="s">
        <v>44173</v>
      </c>
      <c r="YO57" s="1" t="s">
        <v>44174</v>
      </c>
      <c r="YP57" s="1" t="s">
        <v>44175</v>
      </c>
      <c r="YQ57" s="1" t="s">
        <v>44176</v>
      </c>
      <c r="YR57" s="1" t="s">
        <v>44177</v>
      </c>
      <c r="YS57" s="1" t="s">
        <v>44178</v>
      </c>
      <c r="YT57" s="1" t="s">
        <v>44179</v>
      </c>
      <c r="YU57" s="1" t="s">
        <v>44180</v>
      </c>
      <c r="YV57" s="1" t="s">
        <v>44181</v>
      </c>
      <c r="YW57" s="1" t="s">
        <v>44182</v>
      </c>
      <c r="YX57" s="1" t="s">
        <v>44183</v>
      </c>
      <c r="YY57" s="1" t="s">
        <v>44184</v>
      </c>
      <c r="YZ57" s="1" t="s">
        <v>44185</v>
      </c>
      <c r="ZA57" s="1" t="s">
        <v>44186</v>
      </c>
      <c r="ZB57" s="1" t="s">
        <v>44187</v>
      </c>
      <c r="ZC57" s="1" t="s">
        <v>44188</v>
      </c>
      <c r="ZD57" s="1" t="s">
        <v>44189</v>
      </c>
      <c r="ZE57" s="1" t="s">
        <v>44190</v>
      </c>
      <c r="ZF57" s="1" t="s">
        <v>44191</v>
      </c>
      <c r="ZG57" s="1" t="s">
        <v>44192</v>
      </c>
      <c r="ZH57" s="1" t="s">
        <v>44193</v>
      </c>
      <c r="ZI57" s="1" t="s">
        <v>44194</v>
      </c>
      <c r="ZJ57" s="1" t="s">
        <v>44195</v>
      </c>
      <c r="ZK57" s="1" t="s">
        <v>44196</v>
      </c>
      <c r="ZL57" s="1" t="s">
        <v>44197</v>
      </c>
      <c r="ZM57" s="1" t="s">
        <v>44198</v>
      </c>
      <c r="ZN57" s="1" t="s">
        <v>44199</v>
      </c>
      <c r="ZO57" s="1" t="s">
        <v>44200</v>
      </c>
      <c r="ZP57" s="1" t="s">
        <v>44201</v>
      </c>
      <c r="ZQ57" s="1" t="s">
        <v>44202</v>
      </c>
      <c r="ZR57" s="1" t="s">
        <v>44203</v>
      </c>
      <c r="ZS57" s="1" t="s">
        <v>44204</v>
      </c>
      <c r="ZT57" s="1" t="s">
        <v>44205</v>
      </c>
      <c r="ZU57" s="1" t="s">
        <v>44206</v>
      </c>
      <c r="ZV57" s="1" t="s">
        <v>44207</v>
      </c>
      <c r="ZW57" s="1" t="s">
        <v>44208</v>
      </c>
      <c r="ZX57" s="1" t="s">
        <v>44209</v>
      </c>
      <c r="ZY57" s="1" t="s">
        <v>44210</v>
      </c>
      <c r="ZZ57" s="1" t="s">
        <v>44211</v>
      </c>
      <c r="AAA57" s="1" t="s">
        <v>44212</v>
      </c>
      <c r="AAB57" s="1" t="s">
        <v>44213</v>
      </c>
      <c r="AAC57" s="1" t="s">
        <v>44214</v>
      </c>
      <c r="AAD57" s="1" t="s">
        <v>44215</v>
      </c>
      <c r="AAE57" s="1" t="s">
        <v>44216</v>
      </c>
      <c r="AAF57" s="1" t="s">
        <v>44217</v>
      </c>
      <c r="AAG57" s="1" t="s">
        <v>44218</v>
      </c>
      <c r="AAH57" s="1" t="s">
        <v>44219</v>
      </c>
      <c r="AAI57" s="1" t="s">
        <v>44220</v>
      </c>
      <c r="AAJ57" s="1" t="s">
        <v>44221</v>
      </c>
      <c r="AAK57" s="1" t="s">
        <v>44222</v>
      </c>
      <c r="AAL57" s="1" t="s">
        <v>44223</v>
      </c>
      <c r="AAM57" s="1" t="s">
        <v>44224</v>
      </c>
      <c r="AAN57" s="1" t="s">
        <v>44225</v>
      </c>
      <c r="AAO57" s="1" t="s">
        <v>44226</v>
      </c>
      <c r="AAP57" s="1" t="s">
        <v>44227</v>
      </c>
      <c r="AAQ57" s="1" t="s">
        <v>44228</v>
      </c>
      <c r="AAR57" s="1" t="s">
        <v>44229</v>
      </c>
      <c r="AAS57" s="1" t="s">
        <v>44230</v>
      </c>
      <c r="AAT57" s="1" t="s">
        <v>44231</v>
      </c>
      <c r="AAU57" s="1" t="s">
        <v>44232</v>
      </c>
      <c r="AAV57" s="1" t="s">
        <v>44233</v>
      </c>
      <c r="AAW57" s="1" t="s">
        <v>44234</v>
      </c>
      <c r="AAX57" s="1" t="s">
        <v>44235</v>
      </c>
      <c r="AAY57" s="1" t="s">
        <v>44236</v>
      </c>
      <c r="AAZ57" s="1" t="s">
        <v>44237</v>
      </c>
      <c r="ABA57" s="1" t="s">
        <v>44238</v>
      </c>
      <c r="ABB57" s="1" t="s">
        <v>44239</v>
      </c>
      <c r="ABC57" s="1" t="s">
        <v>44240</v>
      </c>
      <c r="ABD57" s="1" t="s">
        <v>44241</v>
      </c>
      <c r="ABE57" s="1" t="s">
        <v>44242</v>
      </c>
      <c r="ABF57" s="1" t="s">
        <v>44243</v>
      </c>
      <c r="ABG57" s="1" t="s">
        <v>44244</v>
      </c>
      <c r="ABH57" s="1" t="s">
        <v>44245</v>
      </c>
      <c r="ABI57" s="1" t="s">
        <v>44246</v>
      </c>
      <c r="ABJ57" s="1" t="s">
        <v>44247</v>
      </c>
      <c r="ABK57" s="1" t="s">
        <v>44248</v>
      </c>
      <c r="ABL57" s="1" t="s">
        <v>44249</v>
      </c>
      <c r="ABM57" s="1" t="s">
        <v>44250</v>
      </c>
      <c r="ABN57" s="1" t="s">
        <v>44251</v>
      </c>
      <c r="ABO57" s="1" t="s">
        <v>44252</v>
      </c>
      <c r="ABP57" s="1" t="s">
        <v>44253</v>
      </c>
      <c r="ABQ57" s="1" t="s">
        <v>44254</v>
      </c>
      <c r="ABR57" s="1" t="s">
        <v>44255</v>
      </c>
      <c r="ABS57" s="1" t="s">
        <v>44256</v>
      </c>
      <c r="ABT57" s="1" t="s">
        <v>44257</v>
      </c>
      <c r="ABU57" s="1" t="s">
        <v>44258</v>
      </c>
      <c r="ABV57" s="1" t="s">
        <v>44259</v>
      </c>
      <c r="ABW57" s="1" t="s">
        <v>44260</v>
      </c>
      <c r="ABX57" s="1" t="s">
        <v>44261</v>
      </c>
      <c r="ABY57" s="1" t="s">
        <v>44262</v>
      </c>
      <c r="ABZ57" s="1" t="s">
        <v>44263</v>
      </c>
      <c r="ACA57" s="1" t="s">
        <v>44264</v>
      </c>
      <c r="ACB57" s="1" t="s">
        <v>44265</v>
      </c>
      <c r="ACC57" s="1" t="s">
        <v>44266</v>
      </c>
      <c r="ACD57" s="1" t="s">
        <v>44267</v>
      </c>
      <c r="ACE57" s="1" t="s">
        <v>44268</v>
      </c>
      <c r="ACF57" s="1" t="s">
        <v>44269</v>
      </c>
      <c r="ACG57" s="1" t="s">
        <v>44270</v>
      </c>
      <c r="ACH57" s="1" t="s">
        <v>44271</v>
      </c>
      <c r="ACI57" s="1" t="s">
        <v>44272</v>
      </c>
      <c r="ACJ57" s="1" t="s">
        <v>44273</v>
      </c>
      <c r="ACK57" s="1" t="s">
        <v>44274</v>
      </c>
      <c r="ACL57" s="1" t="s">
        <v>44275</v>
      </c>
      <c r="ACM57" s="1" t="s">
        <v>44276</v>
      </c>
      <c r="ACN57" s="1" t="s">
        <v>44277</v>
      </c>
      <c r="ACO57" s="1" t="s">
        <v>44278</v>
      </c>
      <c r="ACP57" s="1" t="s">
        <v>44279</v>
      </c>
      <c r="ACQ57" s="1" t="s">
        <v>44280</v>
      </c>
      <c r="ACR57" s="1" t="s">
        <v>44281</v>
      </c>
      <c r="ACS57" s="1" t="s">
        <v>44282</v>
      </c>
      <c r="ACT57" s="1" t="s">
        <v>44283</v>
      </c>
      <c r="ACU57" s="1" t="s">
        <v>44284</v>
      </c>
      <c r="ACV57" s="1" t="s">
        <v>44285</v>
      </c>
      <c r="ACW57" s="1" t="s">
        <v>12</v>
      </c>
      <c r="ACX57" s="1" t="s">
        <v>1500</v>
      </c>
    </row>
    <row r="58" spans="1:778" x14ac:dyDescent="0.2">
      <c r="A58" s="1" t="s">
        <v>40</v>
      </c>
      <c r="B58" s="1" t="s">
        <v>44286</v>
      </c>
      <c r="C58" s="1" t="s">
        <v>44287</v>
      </c>
      <c r="D58" s="1" t="s">
        <v>44288</v>
      </c>
      <c r="E58" s="1" t="s">
        <v>44289</v>
      </c>
      <c r="F58" s="1" t="s">
        <v>44290</v>
      </c>
      <c r="G58" s="1" t="s">
        <v>44291</v>
      </c>
      <c r="H58" s="1" t="s">
        <v>44292</v>
      </c>
      <c r="I58" s="1" t="s">
        <v>44293</v>
      </c>
      <c r="J58" s="1" t="s">
        <v>44294</v>
      </c>
      <c r="K58" s="1" t="s">
        <v>44295</v>
      </c>
      <c r="L58" s="1" t="s">
        <v>44296</v>
      </c>
      <c r="M58" s="1" t="s">
        <v>44297</v>
      </c>
      <c r="N58" s="1" t="s">
        <v>44298</v>
      </c>
      <c r="O58" s="1" t="s">
        <v>44299</v>
      </c>
      <c r="P58" s="1" t="s">
        <v>44300</v>
      </c>
      <c r="Q58" s="1" t="s">
        <v>44301</v>
      </c>
      <c r="R58" s="1" t="s">
        <v>44302</v>
      </c>
      <c r="S58" s="1" t="s">
        <v>44303</v>
      </c>
      <c r="T58" s="1" t="s">
        <v>44304</v>
      </c>
      <c r="U58" s="1" t="s">
        <v>44305</v>
      </c>
      <c r="V58" s="1" t="s">
        <v>44306</v>
      </c>
      <c r="W58" s="1" t="s">
        <v>44307</v>
      </c>
      <c r="X58" s="1" t="s">
        <v>44308</v>
      </c>
      <c r="Y58" s="1" t="s">
        <v>44309</v>
      </c>
      <c r="Z58" s="1" t="s">
        <v>44310</v>
      </c>
      <c r="AA58" s="1" t="s">
        <v>44311</v>
      </c>
      <c r="AB58" s="1" t="s">
        <v>44312</v>
      </c>
      <c r="AC58" s="1" t="s">
        <v>44313</v>
      </c>
      <c r="AD58" s="1" t="s">
        <v>44314</v>
      </c>
      <c r="AE58" s="1" t="s">
        <v>44315</v>
      </c>
      <c r="AF58" s="1" t="s">
        <v>44316</v>
      </c>
      <c r="AG58" s="1" t="s">
        <v>44317</v>
      </c>
      <c r="AH58" s="1" t="s">
        <v>44318</v>
      </c>
      <c r="AI58" s="1" t="s">
        <v>44319</v>
      </c>
      <c r="AJ58" s="1" t="s">
        <v>44320</v>
      </c>
      <c r="AK58" s="1" t="s">
        <v>44321</v>
      </c>
      <c r="AL58" s="1" t="s">
        <v>44322</v>
      </c>
      <c r="AM58" s="1" t="s">
        <v>44323</v>
      </c>
      <c r="AN58" s="1" t="s">
        <v>44324</v>
      </c>
      <c r="AO58" s="1" t="s">
        <v>44325</v>
      </c>
      <c r="AP58" s="1" t="s">
        <v>44326</v>
      </c>
      <c r="AQ58" s="1" t="s">
        <v>44327</v>
      </c>
      <c r="AR58" s="1" t="s">
        <v>44328</v>
      </c>
      <c r="AS58" s="1" t="s">
        <v>44329</v>
      </c>
      <c r="AT58" s="1" t="s">
        <v>44330</v>
      </c>
      <c r="AU58" s="1" t="s">
        <v>44331</v>
      </c>
      <c r="AV58" s="1" t="s">
        <v>44332</v>
      </c>
      <c r="AW58" s="1" t="s">
        <v>44333</v>
      </c>
      <c r="AX58" s="1" t="s">
        <v>44334</v>
      </c>
      <c r="AY58" s="1" t="s">
        <v>44335</v>
      </c>
      <c r="AZ58" s="1" t="s">
        <v>44336</v>
      </c>
      <c r="BA58" s="1" t="s">
        <v>44337</v>
      </c>
      <c r="BB58" s="1" t="s">
        <v>44338</v>
      </c>
      <c r="BC58" s="1" t="s">
        <v>44339</v>
      </c>
      <c r="BD58" s="1" t="s">
        <v>44340</v>
      </c>
      <c r="BE58" s="1" t="s">
        <v>44341</v>
      </c>
      <c r="BF58" s="1" t="s">
        <v>44342</v>
      </c>
      <c r="BG58" s="1" t="s">
        <v>44343</v>
      </c>
      <c r="BH58" s="1" t="s">
        <v>44344</v>
      </c>
      <c r="BI58" s="1" t="s">
        <v>44345</v>
      </c>
      <c r="BJ58" s="1" t="s">
        <v>44346</v>
      </c>
      <c r="BK58" s="1" t="s">
        <v>44347</v>
      </c>
      <c r="BL58" s="1" t="s">
        <v>44348</v>
      </c>
      <c r="BM58" s="1" t="s">
        <v>44349</v>
      </c>
      <c r="BN58" s="1" t="s">
        <v>44350</v>
      </c>
      <c r="BO58" s="1" t="s">
        <v>44351</v>
      </c>
      <c r="BP58" s="1" t="s">
        <v>44352</v>
      </c>
      <c r="BQ58" s="1" t="s">
        <v>44353</v>
      </c>
      <c r="BR58" s="1" t="s">
        <v>44354</v>
      </c>
      <c r="BS58" s="1" t="s">
        <v>44355</v>
      </c>
      <c r="BT58" s="1" t="s">
        <v>44356</v>
      </c>
      <c r="BU58" s="1" t="s">
        <v>44357</v>
      </c>
      <c r="BV58" s="1" t="s">
        <v>44358</v>
      </c>
      <c r="BW58" s="1" t="s">
        <v>44359</v>
      </c>
      <c r="BX58" s="1" t="s">
        <v>44360</v>
      </c>
      <c r="BY58" s="1" t="s">
        <v>44361</v>
      </c>
      <c r="BZ58" s="1" t="s">
        <v>44362</v>
      </c>
      <c r="CA58" s="1" t="s">
        <v>44363</v>
      </c>
      <c r="CB58" s="1" t="s">
        <v>44364</v>
      </c>
      <c r="CC58" s="1" t="s">
        <v>44365</v>
      </c>
      <c r="CD58" s="1" t="s">
        <v>44366</v>
      </c>
      <c r="CE58" s="1" t="s">
        <v>44367</v>
      </c>
      <c r="CF58" s="1" t="s">
        <v>44368</v>
      </c>
      <c r="CG58" s="1" t="s">
        <v>44369</v>
      </c>
      <c r="CH58" s="1" t="s">
        <v>44370</v>
      </c>
      <c r="CI58" s="1" t="s">
        <v>44371</v>
      </c>
      <c r="CJ58" s="1" t="s">
        <v>44372</v>
      </c>
      <c r="CK58" s="1" t="s">
        <v>44373</v>
      </c>
      <c r="CL58" s="1" t="s">
        <v>44374</v>
      </c>
      <c r="CM58" s="1" t="s">
        <v>44375</v>
      </c>
      <c r="CN58" s="1" t="s">
        <v>44376</v>
      </c>
      <c r="CO58" s="1" t="s">
        <v>44377</v>
      </c>
      <c r="CP58" s="1" t="s">
        <v>44378</v>
      </c>
      <c r="CQ58" s="1" t="s">
        <v>44379</v>
      </c>
      <c r="CR58" s="1" t="s">
        <v>44380</v>
      </c>
      <c r="CS58" s="1" t="s">
        <v>44381</v>
      </c>
      <c r="CT58" s="1" t="s">
        <v>44382</v>
      </c>
      <c r="CU58" s="1" t="s">
        <v>44383</v>
      </c>
      <c r="CV58" s="1" t="s">
        <v>44384</v>
      </c>
      <c r="CW58" s="1" t="s">
        <v>44385</v>
      </c>
      <c r="CX58" s="1" t="s">
        <v>44386</v>
      </c>
      <c r="CY58" s="1" t="s">
        <v>44387</v>
      </c>
      <c r="CZ58" s="1" t="s">
        <v>44388</v>
      </c>
      <c r="DA58" s="1" t="s">
        <v>44389</v>
      </c>
      <c r="DB58" s="1" t="s">
        <v>44390</v>
      </c>
      <c r="DC58" s="1" t="s">
        <v>44391</v>
      </c>
      <c r="DD58" s="1" t="s">
        <v>44392</v>
      </c>
      <c r="DE58" s="1" t="s">
        <v>44393</v>
      </c>
      <c r="DF58" s="1" t="s">
        <v>44394</v>
      </c>
      <c r="DG58" s="1" t="s">
        <v>44395</v>
      </c>
      <c r="DH58" s="1" t="s">
        <v>44396</v>
      </c>
      <c r="DI58" s="1" t="s">
        <v>44397</v>
      </c>
      <c r="DJ58" s="1" t="s">
        <v>44398</v>
      </c>
      <c r="DK58" s="1" t="s">
        <v>44399</v>
      </c>
      <c r="DL58" s="1" t="s">
        <v>44400</v>
      </c>
      <c r="DM58" s="1" t="s">
        <v>44401</v>
      </c>
      <c r="DN58" s="1" t="s">
        <v>44402</v>
      </c>
      <c r="DO58" s="1" t="s">
        <v>44403</v>
      </c>
      <c r="DP58" s="1" t="s">
        <v>44404</v>
      </c>
      <c r="DQ58" s="1" t="s">
        <v>44405</v>
      </c>
      <c r="DR58" s="1" t="s">
        <v>44406</v>
      </c>
      <c r="DS58" s="1" t="s">
        <v>44407</v>
      </c>
      <c r="DT58" s="1" t="s">
        <v>44408</v>
      </c>
      <c r="DU58" s="1" t="s">
        <v>44409</v>
      </c>
      <c r="DV58" s="1" t="s">
        <v>44410</v>
      </c>
      <c r="DW58" s="1" t="s">
        <v>44411</v>
      </c>
      <c r="DX58" s="1" t="s">
        <v>44412</v>
      </c>
      <c r="DY58" s="1" t="s">
        <v>44413</v>
      </c>
      <c r="DZ58" s="1" t="s">
        <v>44414</v>
      </c>
      <c r="EA58" s="1" t="s">
        <v>44415</v>
      </c>
      <c r="EB58" s="1" t="s">
        <v>44416</v>
      </c>
      <c r="EC58" s="1" t="s">
        <v>44417</v>
      </c>
      <c r="ED58" s="1" t="s">
        <v>44418</v>
      </c>
      <c r="EE58" s="1" t="s">
        <v>44419</v>
      </c>
      <c r="EF58" s="1" t="s">
        <v>44420</v>
      </c>
      <c r="EG58" s="1" t="s">
        <v>44421</v>
      </c>
      <c r="EH58" s="1" t="s">
        <v>44422</v>
      </c>
      <c r="EI58" s="1" t="s">
        <v>44423</v>
      </c>
      <c r="EJ58" s="1" t="s">
        <v>44424</v>
      </c>
      <c r="EK58" s="1" t="s">
        <v>44425</v>
      </c>
      <c r="EL58" s="1" t="s">
        <v>44426</v>
      </c>
      <c r="EM58" s="1" t="s">
        <v>44427</v>
      </c>
      <c r="EN58" s="1" t="s">
        <v>44428</v>
      </c>
      <c r="EO58" s="1" t="s">
        <v>44429</v>
      </c>
      <c r="EP58" s="1" t="s">
        <v>44430</v>
      </c>
      <c r="EQ58" s="1" t="s">
        <v>44431</v>
      </c>
      <c r="ER58" s="1" t="s">
        <v>44432</v>
      </c>
      <c r="ES58" s="1" t="s">
        <v>44433</v>
      </c>
      <c r="ET58" s="1" t="s">
        <v>44434</v>
      </c>
      <c r="EU58" s="1" t="s">
        <v>44435</v>
      </c>
      <c r="EV58" s="1" t="s">
        <v>44436</v>
      </c>
      <c r="EW58" s="1" t="s">
        <v>44437</v>
      </c>
      <c r="EX58" s="1" t="s">
        <v>44438</v>
      </c>
      <c r="EY58" s="1" t="s">
        <v>44439</v>
      </c>
      <c r="EZ58" s="1" t="s">
        <v>44440</v>
      </c>
      <c r="FA58" s="1" t="s">
        <v>44441</v>
      </c>
      <c r="FB58" s="1" t="s">
        <v>44442</v>
      </c>
      <c r="FC58" s="1" t="s">
        <v>44443</v>
      </c>
      <c r="FD58" s="1" t="s">
        <v>44444</v>
      </c>
      <c r="FE58" s="1" t="s">
        <v>44445</v>
      </c>
      <c r="FF58" s="1" t="s">
        <v>44446</v>
      </c>
      <c r="FG58" s="1" t="s">
        <v>44447</v>
      </c>
      <c r="FH58" s="1" t="s">
        <v>44448</v>
      </c>
      <c r="FI58" s="1" t="s">
        <v>44449</v>
      </c>
      <c r="FJ58" s="1" t="s">
        <v>44450</v>
      </c>
      <c r="FK58" s="1" t="s">
        <v>44451</v>
      </c>
      <c r="FL58" s="1" t="s">
        <v>44452</v>
      </c>
      <c r="FM58" s="1" t="s">
        <v>44453</v>
      </c>
      <c r="FN58" s="1" t="s">
        <v>44454</v>
      </c>
      <c r="FO58" s="1" t="s">
        <v>44455</v>
      </c>
      <c r="FP58" s="1" t="s">
        <v>44456</v>
      </c>
      <c r="FQ58" s="1" t="s">
        <v>44457</v>
      </c>
      <c r="FR58" s="1" t="s">
        <v>44458</v>
      </c>
      <c r="FS58" s="1" t="s">
        <v>44459</v>
      </c>
      <c r="FT58" s="1" t="s">
        <v>44460</v>
      </c>
      <c r="FU58" s="1" t="s">
        <v>44461</v>
      </c>
      <c r="FV58" s="1" t="s">
        <v>44462</v>
      </c>
      <c r="FW58" s="1" t="s">
        <v>44463</v>
      </c>
      <c r="FX58" s="1" t="s">
        <v>44464</v>
      </c>
      <c r="FY58" s="1" t="s">
        <v>44465</v>
      </c>
      <c r="FZ58" s="1" t="s">
        <v>44466</v>
      </c>
      <c r="GA58" s="1" t="s">
        <v>44467</v>
      </c>
      <c r="GB58" s="1" t="s">
        <v>44468</v>
      </c>
      <c r="GC58" s="1" t="s">
        <v>44469</v>
      </c>
      <c r="GD58" s="1" t="s">
        <v>44470</v>
      </c>
      <c r="GE58" s="1" t="s">
        <v>44471</v>
      </c>
      <c r="GF58" s="1" t="s">
        <v>44472</v>
      </c>
      <c r="GG58" s="1" t="s">
        <v>44473</v>
      </c>
      <c r="GH58" s="1" t="s">
        <v>44474</v>
      </c>
      <c r="GI58" s="1" t="s">
        <v>44475</v>
      </c>
      <c r="GJ58" s="1" t="s">
        <v>44476</v>
      </c>
      <c r="GK58" s="1" t="s">
        <v>44477</v>
      </c>
      <c r="GL58" s="1" t="s">
        <v>44478</v>
      </c>
      <c r="GM58" s="1" t="s">
        <v>44479</v>
      </c>
      <c r="GN58" s="1" t="s">
        <v>44480</v>
      </c>
      <c r="GO58" s="1" t="s">
        <v>44481</v>
      </c>
      <c r="GP58" s="1" t="s">
        <v>44482</v>
      </c>
      <c r="GQ58" s="1" t="s">
        <v>44483</v>
      </c>
      <c r="GR58" s="1" t="s">
        <v>44484</v>
      </c>
      <c r="GS58" s="1" t="s">
        <v>44485</v>
      </c>
      <c r="GT58" s="1" t="s">
        <v>44486</v>
      </c>
      <c r="GU58" s="1" t="s">
        <v>44487</v>
      </c>
      <c r="GV58" s="1" t="s">
        <v>44488</v>
      </c>
      <c r="GW58" s="1" t="s">
        <v>44489</v>
      </c>
      <c r="GX58" s="1" t="s">
        <v>44490</v>
      </c>
      <c r="GY58" s="1" t="s">
        <v>44491</v>
      </c>
      <c r="GZ58" s="1" t="s">
        <v>44492</v>
      </c>
      <c r="HA58" s="1" t="s">
        <v>44493</v>
      </c>
      <c r="HB58" s="1" t="s">
        <v>44494</v>
      </c>
      <c r="HC58" s="1" t="s">
        <v>44495</v>
      </c>
      <c r="HD58" s="1" t="s">
        <v>44496</v>
      </c>
      <c r="HE58" s="1" t="s">
        <v>44497</v>
      </c>
      <c r="HF58" s="1" t="s">
        <v>44498</v>
      </c>
      <c r="HG58" s="1" t="s">
        <v>44499</v>
      </c>
      <c r="HH58" s="1" t="s">
        <v>44500</v>
      </c>
      <c r="HI58" s="1" t="s">
        <v>44501</v>
      </c>
      <c r="HJ58" s="1" t="s">
        <v>44502</v>
      </c>
      <c r="HK58" s="1" t="s">
        <v>44503</v>
      </c>
      <c r="HL58" s="1" t="s">
        <v>44504</v>
      </c>
      <c r="HM58" s="1" t="s">
        <v>44505</v>
      </c>
      <c r="HN58" s="1" t="s">
        <v>44506</v>
      </c>
      <c r="HO58" s="1" t="s">
        <v>44507</v>
      </c>
      <c r="HP58" s="1" t="s">
        <v>44508</v>
      </c>
      <c r="HQ58" s="1" t="s">
        <v>44509</v>
      </c>
      <c r="HR58" s="1" t="s">
        <v>44510</v>
      </c>
      <c r="HS58" s="1" t="s">
        <v>44511</v>
      </c>
      <c r="HT58" s="1" t="s">
        <v>44512</v>
      </c>
      <c r="HU58" s="1" t="s">
        <v>44513</v>
      </c>
      <c r="HV58" s="1" t="s">
        <v>44514</v>
      </c>
      <c r="HW58" s="1" t="s">
        <v>44515</v>
      </c>
      <c r="HX58" s="1" t="s">
        <v>44516</v>
      </c>
      <c r="HY58" s="1" t="s">
        <v>44517</v>
      </c>
      <c r="HZ58" s="1" t="s">
        <v>44518</v>
      </c>
      <c r="IA58" s="1" t="s">
        <v>44519</v>
      </c>
      <c r="IB58" s="1" t="s">
        <v>44520</v>
      </c>
      <c r="IC58" s="1" t="s">
        <v>44521</v>
      </c>
      <c r="ID58" s="1" t="s">
        <v>44522</v>
      </c>
      <c r="IE58" s="1" t="s">
        <v>44523</v>
      </c>
      <c r="IF58" s="1" t="s">
        <v>44524</v>
      </c>
      <c r="IG58" s="1" t="s">
        <v>44525</v>
      </c>
      <c r="IH58" s="1" t="s">
        <v>44526</v>
      </c>
      <c r="II58" s="1" t="s">
        <v>44527</v>
      </c>
      <c r="IJ58" s="1" t="s">
        <v>44528</v>
      </c>
      <c r="IK58" s="1" t="s">
        <v>44529</v>
      </c>
      <c r="IL58" s="1" t="s">
        <v>44530</v>
      </c>
      <c r="IM58" s="1" t="s">
        <v>44531</v>
      </c>
      <c r="IN58" s="1" t="s">
        <v>44532</v>
      </c>
      <c r="IO58" s="1" t="s">
        <v>44533</v>
      </c>
      <c r="IP58" s="1" t="s">
        <v>44534</v>
      </c>
      <c r="IQ58" s="1" t="s">
        <v>44535</v>
      </c>
      <c r="IR58" s="1" t="s">
        <v>44536</v>
      </c>
      <c r="IS58" s="1" t="s">
        <v>44537</v>
      </c>
      <c r="IT58" s="1" t="s">
        <v>44538</v>
      </c>
      <c r="IU58" s="1" t="s">
        <v>44539</v>
      </c>
      <c r="IV58" s="1" t="s">
        <v>44540</v>
      </c>
      <c r="IW58" s="1" t="s">
        <v>44541</v>
      </c>
      <c r="IX58" s="1" t="s">
        <v>44542</v>
      </c>
      <c r="IY58" s="1" t="s">
        <v>44543</v>
      </c>
      <c r="IZ58" s="1" t="s">
        <v>44544</v>
      </c>
      <c r="JA58" s="1" t="s">
        <v>44545</v>
      </c>
      <c r="JB58" s="1" t="s">
        <v>44546</v>
      </c>
      <c r="JC58" s="1" t="s">
        <v>44547</v>
      </c>
      <c r="JD58" s="1" t="s">
        <v>44548</v>
      </c>
      <c r="JE58" s="1" t="s">
        <v>44549</v>
      </c>
      <c r="JF58" s="1" t="s">
        <v>44550</v>
      </c>
      <c r="JG58" s="1" t="s">
        <v>44551</v>
      </c>
      <c r="JH58" s="1" t="s">
        <v>44552</v>
      </c>
      <c r="JI58" s="1" t="s">
        <v>44553</v>
      </c>
      <c r="JJ58" s="1" t="s">
        <v>44554</v>
      </c>
      <c r="JK58" s="1" t="s">
        <v>44555</v>
      </c>
      <c r="JL58" s="1" t="s">
        <v>44556</v>
      </c>
      <c r="JM58" s="1" t="s">
        <v>44557</v>
      </c>
      <c r="JN58" s="1" t="s">
        <v>44558</v>
      </c>
      <c r="JO58" s="1" t="s">
        <v>44559</v>
      </c>
      <c r="JP58" s="1" t="s">
        <v>44560</v>
      </c>
      <c r="JQ58" s="1" t="s">
        <v>44561</v>
      </c>
      <c r="JR58" s="1" t="s">
        <v>44562</v>
      </c>
      <c r="JS58" s="1" t="s">
        <v>44563</v>
      </c>
      <c r="JT58" s="1" t="s">
        <v>44564</v>
      </c>
      <c r="JU58" s="1" t="s">
        <v>44565</v>
      </c>
      <c r="JV58" s="1" t="s">
        <v>44566</v>
      </c>
      <c r="JW58" s="1" t="s">
        <v>44567</v>
      </c>
      <c r="JX58" s="1" t="s">
        <v>44568</v>
      </c>
      <c r="JY58" s="1" t="s">
        <v>44569</v>
      </c>
      <c r="JZ58" s="1" t="s">
        <v>44570</v>
      </c>
      <c r="KA58" s="1" t="s">
        <v>44571</v>
      </c>
      <c r="KB58" s="1" t="s">
        <v>44572</v>
      </c>
      <c r="KC58" s="1" t="s">
        <v>44573</v>
      </c>
      <c r="KD58" s="1" t="s">
        <v>44574</v>
      </c>
      <c r="KE58" s="1" t="s">
        <v>44575</v>
      </c>
      <c r="KF58" s="1" t="s">
        <v>44576</v>
      </c>
      <c r="KG58" s="1" t="s">
        <v>44577</v>
      </c>
      <c r="KH58" s="1" t="s">
        <v>44578</v>
      </c>
      <c r="KI58" s="1" t="s">
        <v>44579</v>
      </c>
      <c r="KJ58" s="1" t="s">
        <v>44580</v>
      </c>
      <c r="KK58" s="1" t="s">
        <v>44581</v>
      </c>
      <c r="KL58" s="1" t="s">
        <v>44582</v>
      </c>
      <c r="KM58" s="1" t="s">
        <v>44583</v>
      </c>
      <c r="KN58" s="1" t="s">
        <v>44584</v>
      </c>
      <c r="KO58" s="1" t="s">
        <v>44585</v>
      </c>
      <c r="KP58" s="1" t="s">
        <v>44586</v>
      </c>
      <c r="KQ58" s="1" t="s">
        <v>44587</v>
      </c>
      <c r="KR58" s="1" t="s">
        <v>44588</v>
      </c>
      <c r="KS58" s="1" t="s">
        <v>44589</v>
      </c>
      <c r="KT58" s="1" t="s">
        <v>44590</v>
      </c>
      <c r="KU58" s="1" t="s">
        <v>44591</v>
      </c>
      <c r="KV58" s="1" t="s">
        <v>44592</v>
      </c>
      <c r="KW58" s="1" t="s">
        <v>44593</v>
      </c>
      <c r="KX58" s="1" t="s">
        <v>44594</v>
      </c>
      <c r="KY58" s="1" t="s">
        <v>44595</v>
      </c>
      <c r="KZ58" s="1" t="s">
        <v>44596</v>
      </c>
      <c r="LA58" s="1" t="s">
        <v>44597</v>
      </c>
      <c r="LB58" s="1" t="s">
        <v>44598</v>
      </c>
      <c r="LC58" s="1" t="s">
        <v>44599</v>
      </c>
      <c r="LD58" s="1" t="s">
        <v>44600</v>
      </c>
      <c r="LE58" s="1" t="s">
        <v>44601</v>
      </c>
      <c r="LF58" s="1" t="s">
        <v>44602</v>
      </c>
      <c r="LG58" s="1" t="s">
        <v>44603</v>
      </c>
      <c r="LH58" s="1" t="s">
        <v>44604</v>
      </c>
      <c r="LI58" s="1" t="s">
        <v>44605</v>
      </c>
      <c r="LJ58" s="1" t="s">
        <v>44606</v>
      </c>
      <c r="LK58" s="1" t="s">
        <v>44607</v>
      </c>
      <c r="LL58" s="1" t="s">
        <v>44608</v>
      </c>
      <c r="LM58" s="1" t="s">
        <v>44609</v>
      </c>
      <c r="LN58" s="1" t="s">
        <v>44610</v>
      </c>
      <c r="LO58" s="1" t="s">
        <v>44611</v>
      </c>
      <c r="LP58" s="1" t="s">
        <v>44612</v>
      </c>
      <c r="LQ58" s="1" t="s">
        <v>44613</v>
      </c>
      <c r="LR58" s="1" t="s">
        <v>44614</v>
      </c>
      <c r="LS58" s="1" t="s">
        <v>44615</v>
      </c>
      <c r="LT58" s="1" t="s">
        <v>44616</v>
      </c>
      <c r="LU58" s="1" t="s">
        <v>44617</v>
      </c>
      <c r="LV58" s="1" t="s">
        <v>44618</v>
      </c>
      <c r="LW58" s="1" t="s">
        <v>44619</v>
      </c>
      <c r="LX58" s="1" t="s">
        <v>44620</v>
      </c>
      <c r="LY58" s="1" t="s">
        <v>44621</v>
      </c>
      <c r="LZ58" s="1" t="s">
        <v>44622</v>
      </c>
      <c r="MA58" s="1" t="s">
        <v>44623</v>
      </c>
      <c r="MB58" s="1" t="s">
        <v>44624</v>
      </c>
      <c r="MC58" s="1" t="s">
        <v>44625</v>
      </c>
      <c r="MD58" s="1" t="s">
        <v>44626</v>
      </c>
      <c r="ME58" s="1" t="s">
        <v>44627</v>
      </c>
      <c r="MF58" s="1" t="s">
        <v>44628</v>
      </c>
      <c r="MG58" s="1" t="s">
        <v>44629</v>
      </c>
      <c r="MH58" s="1" t="s">
        <v>44630</v>
      </c>
      <c r="MI58" s="1" t="s">
        <v>44631</v>
      </c>
      <c r="MJ58" s="1" t="s">
        <v>44632</v>
      </c>
      <c r="MK58" s="1" t="s">
        <v>44633</v>
      </c>
      <c r="ML58" s="1" t="s">
        <v>44634</v>
      </c>
      <c r="MM58" s="1" t="s">
        <v>44635</v>
      </c>
      <c r="MN58" s="1" t="s">
        <v>44636</v>
      </c>
      <c r="MO58" s="1" t="s">
        <v>44637</v>
      </c>
      <c r="MP58" s="1" t="s">
        <v>44638</v>
      </c>
      <c r="MQ58" s="1" t="s">
        <v>44639</v>
      </c>
      <c r="MR58" s="1" t="s">
        <v>44640</v>
      </c>
      <c r="MS58" s="1" t="s">
        <v>44641</v>
      </c>
      <c r="MT58" s="1" t="s">
        <v>44642</v>
      </c>
      <c r="MU58" s="1" t="s">
        <v>44643</v>
      </c>
      <c r="MV58" s="1" t="s">
        <v>44644</v>
      </c>
      <c r="MW58" s="1" t="s">
        <v>44645</v>
      </c>
      <c r="MX58" s="1" t="s">
        <v>44646</v>
      </c>
      <c r="MY58" s="1" t="s">
        <v>44647</v>
      </c>
      <c r="MZ58" s="1" t="s">
        <v>44648</v>
      </c>
      <c r="NA58" s="1" t="s">
        <v>44649</v>
      </c>
      <c r="NB58" s="1" t="s">
        <v>44650</v>
      </c>
      <c r="NC58" s="1" t="s">
        <v>44651</v>
      </c>
      <c r="ND58" s="1" t="s">
        <v>44652</v>
      </c>
      <c r="NE58" s="1" t="s">
        <v>44653</v>
      </c>
      <c r="NF58" s="1" t="s">
        <v>44654</v>
      </c>
      <c r="NG58" s="1" t="s">
        <v>44655</v>
      </c>
      <c r="NH58" s="1" t="s">
        <v>44656</v>
      </c>
      <c r="NI58" s="1" t="s">
        <v>44657</v>
      </c>
      <c r="NJ58" s="1" t="s">
        <v>44658</v>
      </c>
      <c r="NK58" s="1" t="s">
        <v>44659</v>
      </c>
      <c r="NL58" s="1" t="s">
        <v>44660</v>
      </c>
      <c r="NM58" s="1" t="s">
        <v>44661</v>
      </c>
      <c r="NN58" s="1" t="s">
        <v>44662</v>
      </c>
      <c r="NO58" s="1" t="s">
        <v>44663</v>
      </c>
      <c r="NP58" s="1" t="s">
        <v>44664</v>
      </c>
      <c r="NQ58" s="1" t="s">
        <v>44665</v>
      </c>
      <c r="NR58" s="1" t="s">
        <v>44666</v>
      </c>
      <c r="NS58" s="1" t="s">
        <v>44667</v>
      </c>
      <c r="NT58" s="1" t="s">
        <v>44668</v>
      </c>
      <c r="NU58" s="1" t="s">
        <v>44669</v>
      </c>
      <c r="NV58" s="1" t="s">
        <v>44670</v>
      </c>
      <c r="NW58" s="1" t="s">
        <v>44671</v>
      </c>
      <c r="NX58" s="1" t="s">
        <v>44672</v>
      </c>
      <c r="NY58" s="1" t="s">
        <v>44673</v>
      </c>
      <c r="NZ58" s="1" t="s">
        <v>44674</v>
      </c>
      <c r="OA58" s="1" t="s">
        <v>44675</v>
      </c>
      <c r="OB58" s="1" t="s">
        <v>44676</v>
      </c>
      <c r="OC58" s="1" t="s">
        <v>44677</v>
      </c>
      <c r="OD58" s="1" t="s">
        <v>44678</v>
      </c>
      <c r="OE58" s="1" t="s">
        <v>44679</v>
      </c>
      <c r="OF58" s="1" t="s">
        <v>44680</v>
      </c>
      <c r="OG58" s="1" t="s">
        <v>44681</v>
      </c>
      <c r="OH58" s="1" t="s">
        <v>44682</v>
      </c>
      <c r="OI58" s="1" t="s">
        <v>44683</v>
      </c>
      <c r="OJ58" s="1" t="s">
        <v>44684</v>
      </c>
      <c r="OK58" s="1" t="s">
        <v>44685</v>
      </c>
      <c r="OL58" s="1" t="s">
        <v>44686</v>
      </c>
      <c r="OM58" s="1" t="s">
        <v>44687</v>
      </c>
      <c r="ON58" s="1" t="s">
        <v>44688</v>
      </c>
      <c r="OO58" s="1" t="s">
        <v>44689</v>
      </c>
      <c r="OP58" s="1" t="s">
        <v>44690</v>
      </c>
      <c r="OQ58" s="1" t="s">
        <v>44691</v>
      </c>
      <c r="OR58" s="1" t="s">
        <v>44692</v>
      </c>
      <c r="OS58" s="1" t="s">
        <v>44693</v>
      </c>
      <c r="OT58" s="1" t="s">
        <v>44694</v>
      </c>
      <c r="OU58" s="1" t="s">
        <v>44695</v>
      </c>
      <c r="OV58" s="1" t="s">
        <v>44696</v>
      </c>
      <c r="OW58" s="1" t="s">
        <v>44697</v>
      </c>
      <c r="OX58" s="1" t="s">
        <v>44698</v>
      </c>
      <c r="OY58" s="1" t="s">
        <v>44699</v>
      </c>
      <c r="OZ58" s="1" t="s">
        <v>44700</v>
      </c>
      <c r="PA58" s="1" t="s">
        <v>44701</v>
      </c>
      <c r="PB58" s="1" t="s">
        <v>44702</v>
      </c>
      <c r="PC58" s="1" t="s">
        <v>44703</v>
      </c>
      <c r="PD58" s="1" t="s">
        <v>44704</v>
      </c>
      <c r="PE58" s="1" t="s">
        <v>44705</v>
      </c>
      <c r="PF58" s="1" t="s">
        <v>44706</v>
      </c>
      <c r="PG58" s="1" t="s">
        <v>44707</v>
      </c>
      <c r="PH58" s="1" t="s">
        <v>44708</v>
      </c>
      <c r="PI58" s="1" t="s">
        <v>44709</v>
      </c>
      <c r="PJ58" s="1" t="s">
        <v>44710</v>
      </c>
      <c r="PK58" s="1" t="s">
        <v>44711</v>
      </c>
      <c r="PL58" s="1" t="s">
        <v>44712</v>
      </c>
      <c r="PM58" s="1" t="s">
        <v>44713</v>
      </c>
      <c r="PN58" s="1" t="s">
        <v>44714</v>
      </c>
      <c r="PO58" s="1" t="s">
        <v>44715</v>
      </c>
      <c r="PP58" s="1" t="s">
        <v>44716</v>
      </c>
      <c r="PQ58" s="1" t="s">
        <v>44717</v>
      </c>
      <c r="PR58" s="1" t="s">
        <v>44718</v>
      </c>
      <c r="PS58" s="1" t="s">
        <v>44719</v>
      </c>
      <c r="PT58" s="1" t="s">
        <v>44720</v>
      </c>
      <c r="PU58" s="1" t="s">
        <v>44721</v>
      </c>
      <c r="PV58" s="1" t="s">
        <v>44722</v>
      </c>
      <c r="PW58" s="1" t="s">
        <v>44723</v>
      </c>
      <c r="PX58" s="1" t="s">
        <v>44724</v>
      </c>
      <c r="PY58" s="1" t="s">
        <v>44725</v>
      </c>
      <c r="PZ58" s="1" t="s">
        <v>44726</v>
      </c>
      <c r="QA58" s="1" t="s">
        <v>44727</v>
      </c>
      <c r="QB58" s="1" t="s">
        <v>44728</v>
      </c>
      <c r="QC58" s="1" t="s">
        <v>44729</v>
      </c>
      <c r="QD58" s="1" t="s">
        <v>44730</v>
      </c>
      <c r="QE58" s="1" t="s">
        <v>44731</v>
      </c>
      <c r="QF58" s="1" t="s">
        <v>44732</v>
      </c>
      <c r="QG58" s="1" t="s">
        <v>44733</v>
      </c>
      <c r="QH58" s="1" t="s">
        <v>44734</v>
      </c>
      <c r="QI58" s="1" t="s">
        <v>44735</v>
      </c>
      <c r="QJ58" s="1" t="s">
        <v>44736</v>
      </c>
      <c r="QK58" s="1" t="s">
        <v>44737</v>
      </c>
      <c r="QL58" s="1" t="s">
        <v>44738</v>
      </c>
      <c r="QM58" s="1" t="s">
        <v>44739</v>
      </c>
      <c r="QN58" s="1" t="s">
        <v>44740</v>
      </c>
      <c r="QO58" s="1" t="s">
        <v>44741</v>
      </c>
      <c r="QP58" s="1" t="s">
        <v>44742</v>
      </c>
      <c r="QQ58" s="1" t="s">
        <v>44743</v>
      </c>
      <c r="QR58" s="1" t="s">
        <v>44744</v>
      </c>
      <c r="QS58" s="1" t="s">
        <v>44745</v>
      </c>
      <c r="QT58" s="1" t="s">
        <v>44746</v>
      </c>
      <c r="QU58" s="1" t="s">
        <v>44747</v>
      </c>
      <c r="QV58" s="1" t="s">
        <v>44748</v>
      </c>
      <c r="QW58" s="1" t="s">
        <v>44749</v>
      </c>
      <c r="QX58" s="1" t="s">
        <v>44750</v>
      </c>
      <c r="QY58" s="1" t="s">
        <v>44751</v>
      </c>
      <c r="QZ58" s="1" t="s">
        <v>44752</v>
      </c>
      <c r="RA58" s="1" t="s">
        <v>44753</v>
      </c>
      <c r="RB58" s="1" t="s">
        <v>44754</v>
      </c>
      <c r="RC58" s="1" t="s">
        <v>44755</v>
      </c>
      <c r="RD58" s="1" t="s">
        <v>44756</v>
      </c>
      <c r="RE58" s="1" t="s">
        <v>44757</v>
      </c>
      <c r="RF58" s="1" t="s">
        <v>44758</v>
      </c>
      <c r="RG58" s="1" t="s">
        <v>44759</v>
      </c>
      <c r="RH58" s="1" t="s">
        <v>44760</v>
      </c>
      <c r="RI58" s="1" t="s">
        <v>44761</v>
      </c>
      <c r="RJ58" s="1" t="s">
        <v>44762</v>
      </c>
      <c r="RK58" s="1" t="s">
        <v>44763</v>
      </c>
      <c r="RL58" s="1" t="s">
        <v>44764</v>
      </c>
      <c r="RM58" s="1" t="s">
        <v>44765</v>
      </c>
      <c r="RN58" s="1" t="s">
        <v>44766</v>
      </c>
      <c r="RO58" s="1" t="s">
        <v>44767</v>
      </c>
      <c r="RP58" s="1" t="s">
        <v>44768</v>
      </c>
      <c r="RQ58" s="1" t="s">
        <v>44769</v>
      </c>
      <c r="RR58" s="1" t="s">
        <v>44770</v>
      </c>
      <c r="RS58" s="1" t="s">
        <v>44771</v>
      </c>
      <c r="RT58" s="1" t="s">
        <v>44772</v>
      </c>
      <c r="RU58" s="1" t="s">
        <v>44773</v>
      </c>
      <c r="RV58" s="1" t="s">
        <v>44774</v>
      </c>
      <c r="RW58" s="1" t="s">
        <v>44775</v>
      </c>
      <c r="RX58" s="1" t="s">
        <v>44776</v>
      </c>
      <c r="RY58" s="1" t="s">
        <v>44777</v>
      </c>
      <c r="RZ58" s="1" t="s">
        <v>44778</v>
      </c>
      <c r="SA58" s="1" t="s">
        <v>44779</v>
      </c>
      <c r="SB58" s="1" t="s">
        <v>44780</v>
      </c>
      <c r="SC58" s="1" t="s">
        <v>44781</v>
      </c>
      <c r="SD58" s="1" t="s">
        <v>44782</v>
      </c>
      <c r="SE58" s="1" t="s">
        <v>44783</v>
      </c>
      <c r="SF58" s="1" t="s">
        <v>44784</v>
      </c>
      <c r="SG58" s="1" t="s">
        <v>44785</v>
      </c>
      <c r="SH58" s="1" t="s">
        <v>44786</v>
      </c>
      <c r="SI58" s="1" t="s">
        <v>44787</v>
      </c>
      <c r="SJ58" s="1" t="s">
        <v>44788</v>
      </c>
      <c r="SK58" s="1" t="s">
        <v>44789</v>
      </c>
      <c r="SL58" s="1" t="s">
        <v>44790</v>
      </c>
      <c r="SM58" s="1" t="s">
        <v>44791</v>
      </c>
      <c r="SN58" s="1" t="s">
        <v>44792</v>
      </c>
      <c r="SO58" s="1" t="s">
        <v>44793</v>
      </c>
      <c r="SP58" s="1" t="s">
        <v>44794</v>
      </c>
      <c r="SQ58" s="1" t="s">
        <v>44795</v>
      </c>
      <c r="SR58" s="1" t="s">
        <v>44796</v>
      </c>
      <c r="SS58" s="1" t="s">
        <v>44797</v>
      </c>
      <c r="ST58" s="1" t="s">
        <v>44798</v>
      </c>
      <c r="SU58" s="1" t="s">
        <v>44799</v>
      </c>
      <c r="SV58" s="1" t="s">
        <v>44800</v>
      </c>
      <c r="SW58" s="1" t="s">
        <v>44801</v>
      </c>
      <c r="SX58" s="1" t="s">
        <v>44802</v>
      </c>
      <c r="SY58" s="1" t="s">
        <v>44803</v>
      </c>
      <c r="SZ58" s="1" t="s">
        <v>44804</v>
      </c>
      <c r="TA58" s="1" t="s">
        <v>44805</v>
      </c>
      <c r="TB58" s="1" t="s">
        <v>44806</v>
      </c>
      <c r="TC58" s="1" t="s">
        <v>44807</v>
      </c>
      <c r="TD58" s="1" t="s">
        <v>44808</v>
      </c>
      <c r="TE58" s="1" t="s">
        <v>44809</v>
      </c>
      <c r="TF58" s="1" t="s">
        <v>44810</v>
      </c>
      <c r="TG58" s="1" t="s">
        <v>44811</v>
      </c>
      <c r="TH58" s="1" t="s">
        <v>44812</v>
      </c>
      <c r="TI58" s="1" t="s">
        <v>44813</v>
      </c>
      <c r="TJ58" s="1" t="s">
        <v>44814</v>
      </c>
      <c r="TK58" s="1" t="s">
        <v>44815</v>
      </c>
      <c r="TL58" s="1" t="s">
        <v>44816</v>
      </c>
      <c r="TM58" s="1" t="s">
        <v>44817</v>
      </c>
      <c r="TN58" s="1" t="s">
        <v>44818</v>
      </c>
      <c r="TO58" s="1" t="s">
        <v>44819</v>
      </c>
      <c r="TP58" s="1" t="s">
        <v>44820</v>
      </c>
      <c r="TQ58" s="1" t="s">
        <v>44821</v>
      </c>
      <c r="TR58" s="1" t="s">
        <v>44822</v>
      </c>
      <c r="TS58" s="1" t="s">
        <v>44823</v>
      </c>
      <c r="TT58" s="1" t="s">
        <v>44824</v>
      </c>
      <c r="TU58" s="1" t="s">
        <v>44825</v>
      </c>
      <c r="TV58" s="1" t="s">
        <v>44826</v>
      </c>
      <c r="TW58" s="1" t="s">
        <v>44827</v>
      </c>
      <c r="TX58" s="1" t="s">
        <v>44828</v>
      </c>
      <c r="TY58" s="1" t="s">
        <v>44829</v>
      </c>
      <c r="TZ58" s="1" t="s">
        <v>44830</v>
      </c>
      <c r="UA58" s="1" t="s">
        <v>44831</v>
      </c>
      <c r="UB58" s="1" t="s">
        <v>44832</v>
      </c>
      <c r="UC58" s="1" t="s">
        <v>44833</v>
      </c>
      <c r="UD58" s="1" t="s">
        <v>44834</v>
      </c>
      <c r="UE58" s="1" t="s">
        <v>44835</v>
      </c>
      <c r="UF58" s="1" t="s">
        <v>44836</v>
      </c>
      <c r="UG58" s="1" t="s">
        <v>44837</v>
      </c>
      <c r="UH58" s="1" t="s">
        <v>44838</v>
      </c>
      <c r="UI58" s="1" t="s">
        <v>44839</v>
      </c>
      <c r="UJ58" s="1" t="s">
        <v>44840</v>
      </c>
      <c r="UK58" s="1" t="s">
        <v>44841</v>
      </c>
      <c r="UL58" s="1" t="s">
        <v>44842</v>
      </c>
      <c r="UM58" s="1" t="s">
        <v>44843</v>
      </c>
      <c r="UN58" s="1" t="s">
        <v>44844</v>
      </c>
      <c r="UO58" s="1" t="s">
        <v>44845</v>
      </c>
      <c r="UP58" s="1" t="s">
        <v>44846</v>
      </c>
      <c r="UQ58" s="1" t="s">
        <v>44847</v>
      </c>
      <c r="UR58" s="1" t="s">
        <v>44848</v>
      </c>
      <c r="US58" s="1" t="s">
        <v>44849</v>
      </c>
      <c r="UT58" s="1" t="s">
        <v>44850</v>
      </c>
      <c r="UU58" s="1" t="s">
        <v>44851</v>
      </c>
      <c r="UV58" s="1" t="s">
        <v>44852</v>
      </c>
      <c r="UW58" s="1" t="s">
        <v>44853</v>
      </c>
      <c r="UX58" s="1" t="s">
        <v>44854</v>
      </c>
      <c r="UY58" s="1" t="s">
        <v>44855</v>
      </c>
      <c r="UZ58" s="1" t="s">
        <v>44856</v>
      </c>
      <c r="VA58" s="1" t="s">
        <v>44857</v>
      </c>
      <c r="VB58" s="1" t="s">
        <v>44858</v>
      </c>
      <c r="VC58" s="1" t="s">
        <v>44859</v>
      </c>
      <c r="VD58" s="1" t="s">
        <v>44860</v>
      </c>
      <c r="VE58" s="1" t="s">
        <v>44861</v>
      </c>
      <c r="VF58" s="1" t="s">
        <v>44862</v>
      </c>
      <c r="VG58" s="1" t="s">
        <v>44863</v>
      </c>
      <c r="VH58" s="1" t="s">
        <v>44864</v>
      </c>
      <c r="VI58" s="1" t="s">
        <v>44865</v>
      </c>
      <c r="VJ58" s="1" t="s">
        <v>44866</v>
      </c>
      <c r="VK58" s="1" t="s">
        <v>44867</v>
      </c>
      <c r="VL58" s="1" t="s">
        <v>44868</v>
      </c>
      <c r="VM58" s="1" t="s">
        <v>44869</v>
      </c>
      <c r="VN58" s="1" t="s">
        <v>44870</v>
      </c>
      <c r="VO58" s="1" t="s">
        <v>44871</v>
      </c>
      <c r="VP58" s="1" t="s">
        <v>44872</v>
      </c>
      <c r="VQ58" s="1" t="s">
        <v>44873</v>
      </c>
      <c r="VR58" s="1" t="s">
        <v>44874</v>
      </c>
      <c r="VS58" s="1" t="s">
        <v>44875</v>
      </c>
      <c r="VT58" s="1" t="s">
        <v>44876</v>
      </c>
      <c r="VU58" s="1" t="s">
        <v>44877</v>
      </c>
      <c r="VV58" s="1" t="s">
        <v>44878</v>
      </c>
      <c r="VW58" s="1" t="s">
        <v>44879</v>
      </c>
      <c r="VX58" s="1" t="s">
        <v>44880</v>
      </c>
      <c r="VY58" s="1" t="s">
        <v>44881</v>
      </c>
      <c r="VZ58" s="1" t="s">
        <v>44882</v>
      </c>
      <c r="WA58" s="1" t="s">
        <v>44883</v>
      </c>
      <c r="WB58" s="1" t="s">
        <v>44884</v>
      </c>
      <c r="WC58" s="1" t="s">
        <v>44885</v>
      </c>
      <c r="WD58" s="1" t="s">
        <v>44886</v>
      </c>
      <c r="WE58" s="1" t="s">
        <v>44887</v>
      </c>
      <c r="WF58" s="1" t="s">
        <v>44888</v>
      </c>
      <c r="WG58" s="1" t="s">
        <v>44889</v>
      </c>
      <c r="WH58" s="1" t="s">
        <v>44890</v>
      </c>
      <c r="WI58" s="1" t="s">
        <v>44891</v>
      </c>
      <c r="WJ58" s="1" t="s">
        <v>44892</v>
      </c>
      <c r="WK58" s="1" t="s">
        <v>44893</v>
      </c>
      <c r="WL58" s="1" t="s">
        <v>44894</v>
      </c>
      <c r="WM58" s="1" t="s">
        <v>44895</v>
      </c>
      <c r="WN58" s="1" t="s">
        <v>44896</v>
      </c>
      <c r="WO58" s="1" t="s">
        <v>44897</v>
      </c>
      <c r="WP58" s="1" t="s">
        <v>44898</v>
      </c>
      <c r="WQ58" s="1" t="s">
        <v>44899</v>
      </c>
      <c r="WR58" s="1" t="s">
        <v>44900</v>
      </c>
      <c r="WS58" s="1" t="s">
        <v>44901</v>
      </c>
      <c r="WT58" s="1" t="s">
        <v>44902</v>
      </c>
      <c r="WU58" s="1" t="s">
        <v>44903</v>
      </c>
      <c r="WV58" s="1" t="s">
        <v>44904</v>
      </c>
      <c r="WW58" s="1" t="s">
        <v>44905</v>
      </c>
      <c r="WX58" s="1" t="s">
        <v>44906</v>
      </c>
      <c r="WY58" s="1" t="s">
        <v>44907</v>
      </c>
      <c r="WZ58" s="1" t="s">
        <v>44908</v>
      </c>
      <c r="XA58" s="1" t="s">
        <v>44909</v>
      </c>
      <c r="XB58" s="1" t="s">
        <v>44910</v>
      </c>
      <c r="XC58" s="1" t="s">
        <v>44911</v>
      </c>
      <c r="XD58" s="1" t="s">
        <v>44912</v>
      </c>
      <c r="XE58" s="1" t="s">
        <v>44913</v>
      </c>
      <c r="XF58" s="1" t="s">
        <v>44914</v>
      </c>
      <c r="XG58" s="1" t="s">
        <v>44915</v>
      </c>
      <c r="XH58" s="1" t="s">
        <v>44916</v>
      </c>
      <c r="XI58" s="1" t="s">
        <v>44917</v>
      </c>
      <c r="XJ58" s="1" t="s">
        <v>44918</v>
      </c>
      <c r="XK58" s="1" t="s">
        <v>44919</v>
      </c>
      <c r="XL58" s="1" t="s">
        <v>44920</v>
      </c>
      <c r="XM58" s="1" t="s">
        <v>44921</v>
      </c>
      <c r="XN58" s="1" t="s">
        <v>44922</v>
      </c>
      <c r="XO58" s="1" t="s">
        <v>44923</v>
      </c>
      <c r="XP58" s="1" t="s">
        <v>44924</v>
      </c>
      <c r="XQ58" s="1" t="s">
        <v>44925</v>
      </c>
      <c r="XR58" s="1" t="s">
        <v>44926</v>
      </c>
      <c r="XS58" s="1" t="s">
        <v>44927</v>
      </c>
      <c r="XT58" s="1" t="s">
        <v>44928</v>
      </c>
      <c r="XU58" s="1" t="s">
        <v>44929</v>
      </c>
      <c r="XV58" s="1" t="s">
        <v>44930</v>
      </c>
      <c r="XW58" s="1" t="s">
        <v>44931</v>
      </c>
      <c r="XX58" s="1" t="s">
        <v>44932</v>
      </c>
      <c r="XY58" s="1" t="s">
        <v>44933</v>
      </c>
      <c r="XZ58" s="1" t="s">
        <v>44934</v>
      </c>
      <c r="YA58" s="1" t="s">
        <v>44935</v>
      </c>
      <c r="YB58" s="1" t="s">
        <v>44936</v>
      </c>
      <c r="YC58" s="1" t="s">
        <v>44937</v>
      </c>
      <c r="YD58" s="1" t="s">
        <v>44938</v>
      </c>
      <c r="YE58" s="1" t="s">
        <v>44939</v>
      </c>
      <c r="YF58" s="1" t="s">
        <v>44940</v>
      </c>
      <c r="YG58" s="1" t="s">
        <v>44941</v>
      </c>
      <c r="YH58" s="1" t="s">
        <v>44942</v>
      </c>
      <c r="YI58" s="1" t="s">
        <v>44943</v>
      </c>
      <c r="YJ58" s="1" t="s">
        <v>44944</v>
      </c>
      <c r="YK58" s="1" t="s">
        <v>44945</v>
      </c>
      <c r="YL58" s="1" t="s">
        <v>44946</v>
      </c>
      <c r="YM58" s="1" t="s">
        <v>44947</v>
      </c>
      <c r="YN58" s="1" t="s">
        <v>44948</v>
      </c>
      <c r="YO58" s="1" t="s">
        <v>44949</v>
      </c>
      <c r="YP58" s="1" t="s">
        <v>44950</v>
      </c>
      <c r="YQ58" s="1" t="s">
        <v>44951</v>
      </c>
      <c r="YR58" s="1" t="s">
        <v>44952</v>
      </c>
      <c r="YS58" s="1" t="s">
        <v>44953</v>
      </c>
      <c r="YT58" s="1" t="s">
        <v>44954</v>
      </c>
      <c r="YU58" s="1" t="s">
        <v>44955</v>
      </c>
      <c r="YV58" s="1" t="s">
        <v>44956</v>
      </c>
      <c r="YW58" s="1" t="s">
        <v>44957</v>
      </c>
      <c r="YX58" s="1" t="s">
        <v>44958</v>
      </c>
      <c r="YY58" s="1" t="s">
        <v>44959</v>
      </c>
      <c r="YZ58" s="1" t="s">
        <v>44960</v>
      </c>
      <c r="ZA58" s="1" t="s">
        <v>44961</v>
      </c>
      <c r="ZB58" s="1" t="s">
        <v>44962</v>
      </c>
      <c r="ZC58" s="1" t="s">
        <v>44963</v>
      </c>
      <c r="ZD58" s="1" t="s">
        <v>44964</v>
      </c>
      <c r="ZE58" s="1" t="s">
        <v>44965</v>
      </c>
      <c r="ZF58" s="1" t="s">
        <v>44966</v>
      </c>
      <c r="ZG58" s="1" t="s">
        <v>44967</v>
      </c>
      <c r="ZH58" s="1" t="s">
        <v>44968</v>
      </c>
      <c r="ZI58" s="1" t="s">
        <v>44969</v>
      </c>
      <c r="ZJ58" s="1" t="s">
        <v>44970</v>
      </c>
      <c r="ZK58" s="1" t="s">
        <v>44971</v>
      </c>
      <c r="ZL58" s="1" t="s">
        <v>44972</v>
      </c>
      <c r="ZM58" s="1" t="s">
        <v>44973</v>
      </c>
      <c r="ZN58" s="1" t="s">
        <v>44974</v>
      </c>
      <c r="ZO58" s="1" t="s">
        <v>44975</v>
      </c>
      <c r="ZP58" s="1" t="s">
        <v>44976</v>
      </c>
      <c r="ZQ58" s="1" t="s">
        <v>44977</v>
      </c>
      <c r="ZR58" s="1" t="s">
        <v>44978</v>
      </c>
      <c r="ZS58" s="1" t="s">
        <v>44979</v>
      </c>
      <c r="ZT58" s="1" t="s">
        <v>44980</v>
      </c>
      <c r="ZU58" s="1" t="s">
        <v>44981</v>
      </c>
      <c r="ZV58" s="1" t="s">
        <v>44982</v>
      </c>
      <c r="ZW58" s="1" t="s">
        <v>44983</v>
      </c>
      <c r="ZX58" s="1" t="s">
        <v>44984</v>
      </c>
      <c r="ZY58" s="1" t="s">
        <v>44985</v>
      </c>
      <c r="ZZ58" s="1" t="s">
        <v>44986</v>
      </c>
      <c r="AAA58" s="1" t="s">
        <v>44987</v>
      </c>
      <c r="AAB58" s="1" t="s">
        <v>44988</v>
      </c>
      <c r="AAC58" s="1" t="s">
        <v>44989</v>
      </c>
      <c r="AAD58" s="1" t="s">
        <v>44990</v>
      </c>
      <c r="AAE58" s="1" t="s">
        <v>44991</v>
      </c>
      <c r="AAF58" s="1" t="s">
        <v>44992</v>
      </c>
      <c r="AAG58" s="1" t="s">
        <v>44993</v>
      </c>
      <c r="AAH58" s="1" t="s">
        <v>44994</v>
      </c>
      <c r="AAI58" s="1" t="s">
        <v>44995</v>
      </c>
      <c r="AAJ58" s="1" t="s">
        <v>44996</v>
      </c>
      <c r="AAK58" s="1" t="s">
        <v>44997</v>
      </c>
      <c r="AAL58" s="1" t="s">
        <v>44998</v>
      </c>
      <c r="AAM58" s="1" t="s">
        <v>44999</v>
      </c>
      <c r="AAN58" s="1" t="s">
        <v>45000</v>
      </c>
      <c r="AAO58" s="1" t="s">
        <v>45001</v>
      </c>
      <c r="AAP58" s="1" t="s">
        <v>45002</v>
      </c>
      <c r="AAQ58" s="1" t="s">
        <v>45003</v>
      </c>
      <c r="AAR58" s="1" t="s">
        <v>45004</v>
      </c>
      <c r="AAS58" s="1" t="s">
        <v>45005</v>
      </c>
      <c r="AAT58" s="1" t="s">
        <v>45006</v>
      </c>
      <c r="AAU58" s="1" t="s">
        <v>45007</v>
      </c>
      <c r="AAV58" s="1" t="s">
        <v>45008</v>
      </c>
      <c r="AAW58" s="1" t="s">
        <v>45009</v>
      </c>
      <c r="AAX58" s="1" t="s">
        <v>45010</v>
      </c>
      <c r="AAY58" s="1" t="s">
        <v>45011</v>
      </c>
      <c r="AAZ58" s="1" t="s">
        <v>45012</v>
      </c>
      <c r="ABA58" s="1" t="s">
        <v>45013</v>
      </c>
      <c r="ABB58" s="1" t="s">
        <v>45014</v>
      </c>
      <c r="ABC58" s="1" t="s">
        <v>45015</v>
      </c>
      <c r="ABD58" s="1" t="s">
        <v>45016</v>
      </c>
      <c r="ABE58" s="1" t="s">
        <v>45017</v>
      </c>
      <c r="ABF58" s="1" t="s">
        <v>45018</v>
      </c>
      <c r="ABG58" s="1" t="s">
        <v>45019</v>
      </c>
      <c r="ABH58" s="1" t="s">
        <v>45020</v>
      </c>
      <c r="ABI58" s="1" t="s">
        <v>45021</v>
      </c>
      <c r="ABJ58" s="1" t="s">
        <v>45022</v>
      </c>
      <c r="ABK58" s="1" t="s">
        <v>45023</v>
      </c>
      <c r="ABL58" s="1" t="s">
        <v>45024</v>
      </c>
      <c r="ABM58" s="1" t="s">
        <v>45025</v>
      </c>
      <c r="ABN58" s="1" t="s">
        <v>45026</v>
      </c>
      <c r="ABO58" s="1" t="s">
        <v>45027</v>
      </c>
      <c r="ABP58" s="1" t="s">
        <v>45028</v>
      </c>
      <c r="ABQ58" s="1" t="s">
        <v>45029</v>
      </c>
      <c r="ABR58" s="1" t="s">
        <v>45030</v>
      </c>
      <c r="ABS58" s="1" t="s">
        <v>45031</v>
      </c>
      <c r="ABT58" s="1" t="s">
        <v>45032</v>
      </c>
      <c r="ABU58" s="1" t="s">
        <v>45033</v>
      </c>
      <c r="ABV58" s="1" t="s">
        <v>45034</v>
      </c>
      <c r="ABW58" s="1" t="s">
        <v>45035</v>
      </c>
      <c r="ABX58" s="1" t="s">
        <v>45036</v>
      </c>
      <c r="ABY58" s="1" t="s">
        <v>45037</v>
      </c>
      <c r="ABZ58" s="1" t="s">
        <v>45038</v>
      </c>
      <c r="ACA58" s="1" t="s">
        <v>45039</v>
      </c>
      <c r="ACB58" s="1" t="s">
        <v>45040</v>
      </c>
      <c r="ACC58" s="1" t="s">
        <v>45041</v>
      </c>
      <c r="ACD58" s="1" t="s">
        <v>45042</v>
      </c>
      <c r="ACE58" s="1" t="s">
        <v>45043</v>
      </c>
      <c r="ACF58" s="1" t="s">
        <v>45044</v>
      </c>
      <c r="ACG58" s="1" t="s">
        <v>45045</v>
      </c>
      <c r="ACH58" s="1" t="s">
        <v>45046</v>
      </c>
      <c r="ACI58" s="1" t="s">
        <v>45047</v>
      </c>
      <c r="ACJ58" s="1" t="s">
        <v>45048</v>
      </c>
      <c r="ACK58" s="1" t="s">
        <v>45049</v>
      </c>
      <c r="ACL58" s="1" t="s">
        <v>45050</v>
      </c>
      <c r="ACM58" s="1" t="s">
        <v>45051</v>
      </c>
      <c r="ACN58" s="1" t="s">
        <v>45052</v>
      </c>
      <c r="ACO58" s="1" t="s">
        <v>45053</v>
      </c>
      <c r="ACP58" s="1" t="s">
        <v>45054</v>
      </c>
      <c r="ACQ58" s="1" t="s">
        <v>45055</v>
      </c>
      <c r="ACR58" s="1" t="s">
        <v>45056</v>
      </c>
      <c r="ACS58" s="1" t="s">
        <v>45057</v>
      </c>
      <c r="ACT58" s="1" t="s">
        <v>45058</v>
      </c>
      <c r="ACU58" s="1" t="s">
        <v>45059</v>
      </c>
      <c r="ACV58" s="1" t="s">
        <v>45060</v>
      </c>
      <c r="ACW58" s="1" t="s">
        <v>12</v>
      </c>
      <c r="ACX58" s="1" t="s">
        <v>1500</v>
      </c>
    </row>
    <row r="59" spans="1:778" x14ac:dyDescent="0.2">
      <c r="A59" s="1" t="s">
        <v>89</v>
      </c>
      <c r="B59" s="1" t="s">
        <v>45061</v>
      </c>
      <c r="C59" s="1" t="s">
        <v>45062</v>
      </c>
      <c r="D59" s="1" t="s">
        <v>45063</v>
      </c>
      <c r="E59" s="1" t="s">
        <v>45064</v>
      </c>
      <c r="F59" s="1" t="s">
        <v>45065</v>
      </c>
      <c r="G59" s="1" t="s">
        <v>45066</v>
      </c>
      <c r="H59" s="1" t="s">
        <v>45067</v>
      </c>
      <c r="I59" s="1" t="s">
        <v>45068</v>
      </c>
      <c r="J59" s="1" t="s">
        <v>45069</v>
      </c>
      <c r="K59" s="1" t="s">
        <v>45070</v>
      </c>
      <c r="L59" s="1" t="s">
        <v>45071</v>
      </c>
      <c r="M59" s="1" t="s">
        <v>45072</v>
      </c>
      <c r="N59" s="1" t="s">
        <v>45073</v>
      </c>
      <c r="O59" s="1" t="s">
        <v>45074</v>
      </c>
      <c r="P59" s="1" t="s">
        <v>45075</v>
      </c>
      <c r="Q59" s="1" t="s">
        <v>45076</v>
      </c>
      <c r="R59" s="1" t="s">
        <v>45077</v>
      </c>
      <c r="S59" s="1" t="s">
        <v>45078</v>
      </c>
      <c r="T59" s="1" t="s">
        <v>45079</v>
      </c>
      <c r="U59" s="1" t="s">
        <v>45080</v>
      </c>
      <c r="V59" s="1" t="s">
        <v>45081</v>
      </c>
      <c r="W59" s="1" t="s">
        <v>45082</v>
      </c>
      <c r="X59" s="1" t="s">
        <v>45083</v>
      </c>
      <c r="Y59" s="1" t="s">
        <v>45084</v>
      </c>
      <c r="Z59" s="1" t="s">
        <v>45085</v>
      </c>
      <c r="AA59" s="1" t="s">
        <v>45086</v>
      </c>
      <c r="AB59" s="1" t="s">
        <v>45087</v>
      </c>
      <c r="AC59" s="1" t="s">
        <v>45088</v>
      </c>
      <c r="AD59" s="1" t="s">
        <v>45089</v>
      </c>
      <c r="AE59" s="1" t="s">
        <v>45090</v>
      </c>
      <c r="AF59" s="1" t="s">
        <v>45091</v>
      </c>
      <c r="AG59" s="1" t="s">
        <v>45092</v>
      </c>
      <c r="AH59" s="1" t="s">
        <v>45093</v>
      </c>
      <c r="AI59" s="1" t="s">
        <v>45094</v>
      </c>
      <c r="AJ59" s="1" t="s">
        <v>45095</v>
      </c>
      <c r="AK59" s="1" t="s">
        <v>45096</v>
      </c>
      <c r="AL59" s="1" t="s">
        <v>45097</v>
      </c>
      <c r="AM59" s="1" t="s">
        <v>45098</v>
      </c>
      <c r="AN59" s="1" t="s">
        <v>45099</v>
      </c>
      <c r="AO59" s="1" t="s">
        <v>45100</v>
      </c>
      <c r="AP59" s="1" t="s">
        <v>45101</v>
      </c>
      <c r="AQ59" s="1" t="s">
        <v>45102</v>
      </c>
      <c r="AR59" s="1" t="s">
        <v>45103</v>
      </c>
      <c r="AS59" s="1" t="s">
        <v>45104</v>
      </c>
      <c r="AT59" s="1" t="s">
        <v>45105</v>
      </c>
      <c r="AU59" s="1" t="s">
        <v>45106</v>
      </c>
      <c r="AV59" s="1" t="s">
        <v>45107</v>
      </c>
      <c r="AW59" s="1" t="s">
        <v>45108</v>
      </c>
      <c r="AX59" s="1" t="s">
        <v>45109</v>
      </c>
      <c r="AY59" s="1" t="s">
        <v>45110</v>
      </c>
      <c r="AZ59" s="1" t="s">
        <v>45111</v>
      </c>
      <c r="BA59" s="1" t="s">
        <v>45112</v>
      </c>
      <c r="BB59" s="1" t="s">
        <v>45113</v>
      </c>
      <c r="BC59" s="1" t="s">
        <v>45114</v>
      </c>
      <c r="BD59" s="1" t="s">
        <v>45115</v>
      </c>
      <c r="BE59" s="1" t="s">
        <v>45116</v>
      </c>
      <c r="BF59" s="1" t="s">
        <v>45117</v>
      </c>
      <c r="BG59" s="1" t="s">
        <v>45118</v>
      </c>
      <c r="BH59" s="1" t="s">
        <v>45119</v>
      </c>
      <c r="BI59" s="1" t="s">
        <v>45120</v>
      </c>
      <c r="BJ59" s="1" t="s">
        <v>45121</v>
      </c>
      <c r="BK59" s="1" t="s">
        <v>45122</v>
      </c>
      <c r="BL59" s="1" t="s">
        <v>45123</v>
      </c>
      <c r="BM59" s="1" t="s">
        <v>45124</v>
      </c>
      <c r="BN59" s="1" t="s">
        <v>45125</v>
      </c>
      <c r="BO59" s="1" t="s">
        <v>45126</v>
      </c>
      <c r="BP59" s="1" t="s">
        <v>45127</v>
      </c>
      <c r="BQ59" s="1" t="s">
        <v>45128</v>
      </c>
      <c r="BR59" s="1" t="s">
        <v>45129</v>
      </c>
      <c r="BS59" s="1" t="s">
        <v>45130</v>
      </c>
      <c r="BT59" s="1" t="s">
        <v>45131</v>
      </c>
      <c r="BU59" s="1" t="s">
        <v>45132</v>
      </c>
      <c r="BV59" s="1" t="s">
        <v>45133</v>
      </c>
      <c r="BW59" s="1" t="s">
        <v>45134</v>
      </c>
      <c r="BX59" s="1" t="s">
        <v>45135</v>
      </c>
      <c r="BY59" s="1" t="s">
        <v>45136</v>
      </c>
      <c r="BZ59" s="1" t="s">
        <v>45137</v>
      </c>
      <c r="CA59" s="1" t="s">
        <v>45138</v>
      </c>
      <c r="CB59" s="1" t="s">
        <v>45139</v>
      </c>
      <c r="CC59" s="1" t="s">
        <v>45140</v>
      </c>
      <c r="CD59" s="1" t="s">
        <v>45141</v>
      </c>
      <c r="CE59" s="1" t="s">
        <v>45142</v>
      </c>
      <c r="CF59" s="1" t="s">
        <v>45143</v>
      </c>
      <c r="CG59" s="1" t="s">
        <v>45144</v>
      </c>
      <c r="CH59" s="1" t="s">
        <v>45145</v>
      </c>
      <c r="CI59" s="1" t="s">
        <v>45146</v>
      </c>
      <c r="CJ59" s="1" t="s">
        <v>45147</v>
      </c>
      <c r="CK59" s="1" t="s">
        <v>45148</v>
      </c>
      <c r="CL59" s="1" t="s">
        <v>45149</v>
      </c>
      <c r="CM59" s="1" t="s">
        <v>45150</v>
      </c>
      <c r="CN59" s="1" t="s">
        <v>45151</v>
      </c>
      <c r="CO59" s="1" t="s">
        <v>45152</v>
      </c>
      <c r="CP59" s="1" t="s">
        <v>45153</v>
      </c>
      <c r="CQ59" s="1" t="s">
        <v>45154</v>
      </c>
      <c r="CR59" s="1" t="s">
        <v>45155</v>
      </c>
      <c r="CS59" s="1" t="s">
        <v>45156</v>
      </c>
      <c r="CT59" s="1" t="s">
        <v>45157</v>
      </c>
      <c r="CU59" s="1" t="s">
        <v>45158</v>
      </c>
      <c r="CV59" s="1" t="s">
        <v>45159</v>
      </c>
      <c r="CW59" s="1" t="s">
        <v>45160</v>
      </c>
      <c r="CX59" s="1" t="s">
        <v>45161</v>
      </c>
      <c r="CY59" s="1" t="s">
        <v>45162</v>
      </c>
      <c r="CZ59" s="1" t="s">
        <v>45163</v>
      </c>
      <c r="DA59" s="1" t="s">
        <v>45164</v>
      </c>
      <c r="DB59" s="1" t="s">
        <v>45165</v>
      </c>
      <c r="DC59" s="1" t="s">
        <v>45166</v>
      </c>
      <c r="DD59" s="1" t="s">
        <v>45167</v>
      </c>
      <c r="DE59" s="1" t="s">
        <v>45168</v>
      </c>
      <c r="DF59" s="1" t="s">
        <v>45169</v>
      </c>
      <c r="DG59" s="1" t="s">
        <v>45170</v>
      </c>
      <c r="DH59" s="1" t="s">
        <v>45171</v>
      </c>
      <c r="DI59" s="1" t="s">
        <v>45172</v>
      </c>
      <c r="DJ59" s="1" t="s">
        <v>45173</v>
      </c>
      <c r="DK59" s="1" t="s">
        <v>45174</v>
      </c>
      <c r="DL59" s="1" t="s">
        <v>45175</v>
      </c>
      <c r="DM59" s="1" t="s">
        <v>45176</v>
      </c>
      <c r="DN59" s="1" t="s">
        <v>45177</v>
      </c>
      <c r="DO59" s="1" t="s">
        <v>45178</v>
      </c>
      <c r="DP59" s="1" t="s">
        <v>45179</v>
      </c>
      <c r="DQ59" s="1" t="s">
        <v>45180</v>
      </c>
      <c r="DR59" s="1" t="s">
        <v>45181</v>
      </c>
      <c r="DS59" s="1" t="s">
        <v>45182</v>
      </c>
      <c r="DT59" s="1" t="s">
        <v>45183</v>
      </c>
      <c r="DU59" s="1" t="s">
        <v>45184</v>
      </c>
      <c r="DV59" s="1" t="s">
        <v>45185</v>
      </c>
      <c r="DW59" s="1" t="s">
        <v>45186</v>
      </c>
      <c r="DX59" s="1" t="s">
        <v>45187</v>
      </c>
      <c r="DY59" s="1" t="s">
        <v>45188</v>
      </c>
      <c r="DZ59" s="1" t="s">
        <v>45189</v>
      </c>
      <c r="EA59" s="1" t="s">
        <v>45190</v>
      </c>
      <c r="EB59" s="1" t="s">
        <v>45191</v>
      </c>
      <c r="EC59" s="1" t="s">
        <v>45192</v>
      </c>
      <c r="ED59" s="1" t="s">
        <v>45193</v>
      </c>
      <c r="EE59" s="1" t="s">
        <v>45194</v>
      </c>
      <c r="EF59" s="1" t="s">
        <v>45195</v>
      </c>
      <c r="EG59" s="1" t="s">
        <v>45196</v>
      </c>
      <c r="EH59" s="1" t="s">
        <v>45197</v>
      </c>
      <c r="EI59" s="1" t="s">
        <v>45198</v>
      </c>
      <c r="EJ59" s="1" t="s">
        <v>45199</v>
      </c>
      <c r="EK59" s="1" t="s">
        <v>45200</v>
      </c>
      <c r="EL59" s="1" t="s">
        <v>45201</v>
      </c>
      <c r="EM59" s="1" t="s">
        <v>45202</v>
      </c>
      <c r="EN59" s="1" t="s">
        <v>45203</v>
      </c>
      <c r="EO59" s="1" t="s">
        <v>45204</v>
      </c>
      <c r="EP59" s="1" t="s">
        <v>45205</v>
      </c>
      <c r="EQ59" s="1" t="s">
        <v>45206</v>
      </c>
      <c r="ER59" s="1" t="s">
        <v>45207</v>
      </c>
      <c r="ES59" s="1" t="s">
        <v>45208</v>
      </c>
      <c r="ET59" s="1" t="s">
        <v>45209</v>
      </c>
      <c r="EU59" s="1" t="s">
        <v>45210</v>
      </c>
      <c r="EV59" s="1" t="s">
        <v>45211</v>
      </c>
      <c r="EW59" s="1" t="s">
        <v>45212</v>
      </c>
      <c r="EX59" s="1" t="s">
        <v>45213</v>
      </c>
      <c r="EY59" s="1" t="s">
        <v>45214</v>
      </c>
      <c r="EZ59" s="1" t="s">
        <v>45215</v>
      </c>
      <c r="FA59" s="1" t="s">
        <v>45216</v>
      </c>
      <c r="FB59" s="1" t="s">
        <v>45217</v>
      </c>
      <c r="FC59" s="1" t="s">
        <v>45218</v>
      </c>
      <c r="FD59" s="1" t="s">
        <v>45219</v>
      </c>
      <c r="FE59" s="1" t="s">
        <v>45220</v>
      </c>
      <c r="FF59" s="1" t="s">
        <v>45221</v>
      </c>
      <c r="FG59" s="1" t="s">
        <v>45222</v>
      </c>
      <c r="FH59" s="1" t="s">
        <v>45223</v>
      </c>
      <c r="FI59" s="1" t="s">
        <v>45224</v>
      </c>
      <c r="FJ59" s="1" t="s">
        <v>45225</v>
      </c>
      <c r="FK59" s="1" t="s">
        <v>45226</v>
      </c>
      <c r="FL59" s="1" t="s">
        <v>45227</v>
      </c>
      <c r="FM59" s="1" t="s">
        <v>45228</v>
      </c>
      <c r="FN59" s="1" t="s">
        <v>45229</v>
      </c>
      <c r="FO59" s="1" t="s">
        <v>45230</v>
      </c>
      <c r="FP59" s="1" t="s">
        <v>45231</v>
      </c>
      <c r="FQ59" s="1" t="s">
        <v>45232</v>
      </c>
      <c r="FR59" s="1" t="s">
        <v>45233</v>
      </c>
      <c r="FS59" s="1" t="s">
        <v>45234</v>
      </c>
      <c r="FT59" s="1" t="s">
        <v>45235</v>
      </c>
      <c r="FU59" s="1" t="s">
        <v>45236</v>
      </c>
      <c r="FV59" s="1" t="s">
        <v>45237</v>
      </c>
      <c r="FW59" s="1" t="s">
        <v>45238</v>
      </c>
      <c r="FX59" s="1" t="s">
        <v>45239</v>
      </c>
      <c r="FY59" s="1" t="s">
        <v>45240</v>
      </c>
      <c r="FZ59" s="1" t="s">
        <v>45241</v>
      </c>
      <c r="GA59" s="1" t="s">
        <v>45242</v>
      </c>
      <c r="GB59" s="1" t="s">
        <v>45243</v>
      </c>
      <c r="GC59" s="1" t="s">
        <v>45244</v>
      </c>
      <c r="GD59" s="1" t="s">
        <v>45245</v>
      </c>
      <c r="GE59" s="1" t="s">
        <v>45246</v>
      </c>
      <c r="GF59" s="1" t="s">
        <v>45247</v>
      </c>
      <c r="GG59" s="1" t="s">
        <v>45248</v>
      </c>
      <c r="GH59" s="1" t="s">
        <v>45249</v>
      </c>
      <c r="GI59" s="1" t="s">
        <v>45250</v>
      </c>
      <c r="GJ59" s="1" t="s">
        <v>45251</v>
      </c>
      <c r="GK59" s="1" t="s">
        <v>45252</v>
      </c>
      <c r="GL59" s="1" t="s">
        <v>45253</v>
      </c>
      <c r="GM59" s="1" t="s">
        <v>45254</v>
      </c>
      <c r="GN59" s="1" t="s">
        <v>45255</v>
      </c>
      <c r="GO59" s="1" t="s">
        <v>45256</v>
      </c>
      <c r="GP59" s="1" t="s">
        <v>45257</v>
      </c>
      <c r="GQ59" s="1" t="s">
        <v>45258</v>
      </c>
      <c r="GR59" s="1" t="s">
        <v>45259</v>
      </c>
      <c r="GS59" s="1" t="s">
        <v>45260</v>
      </c>
      <c r="GT59" s="1" t="s">
        <v>45261</v>
      </c>
      <c r="GU59" s="1" t="s">
        <v>45262</v>
      </c>
      <c r="GV59" s="1" t="s">
        <v>45263</v>
      </c>
      <c r="GW59" s="1" t="s">
        <v>45264</v>
      </c>
      <c r="GX59" s="1" t="s">
        <v>45265</v>
      </c>
      <c r="GY59" s="1" t="s">
        <v>45266</v>
      </c>
      <c r="GZ59" s="1" t="s">
        <v>45267</v>
      </c>
      <c r="HA59" s="1" t="s">
        <v>45268</v>
      </c>
      <c r="HB59" s="1" t="s">
        <v>45269</v>
      </c>
      <c r="HC59" s="1" t="s">
        <v>45270</v>
      </c>
      <c r="HD59" s="1" t="s">
        <v>45271</v>
      </c>
      <c r="HE59" s="1" t="s">
        <v>45272</v>
      </c>
      <c r="HF59" s="1" t="s">
        <v>45273</v>
      </c>
      <c r="HG59" s="1" t="s">
        <v>45274</v>
      </c>
      <c r="HH59" s="1" t="s">
        <v>45275</v>
      </c>
      <c r="HI59" s="1" t="s">
        <v>45276</v>
      </c>
      <c r="HJ59" s="1" t="s">
        <v>45277</v>
      </c>
      <c r="HK59" s="1" t="s">
        <v>45278</v>
      </c>
      <c r="HL59" s="1" t="s">
        <v>45279</v>
      </c>
      <c r="HM59" s="1" t="s">
        <v>45280</v>
      </c>
      <c r="HN59" s="1" t="s">
        <v>45281</v>
      </c>
      <c r="HO59" s="1" t="s">
        <v>45282</v>
      </c>
      <c r="HP59" s="1" t="s">
        <v>45283</v>
      </c>
      <c r="HQ59" s="1" t="s">
        <v>45284</v>
      </c>
      <c r="HR59" s="1" t="s">
        <v>45285</v>
      </c>
      <c r="HS59" s="1" t="s">
        <v>45286</v>
      </c>
      <c r="HT59" s="1" t="s">
        <v>45287</v>
      </c>
      <c r="HU59" s="1" t="s">
        <v>45288</v>
      </c>
      <c r="HV59" s="1" t="s">
        <v>45289</v>
      </c>
      <c r="HW59" s="1" t="s">
        <v>45290</v>
      </c>
      <c r="HX59" s="1" t="s">
        <v>45291</v>
      </c>
      <c r="HY59" s="1" t="s">
        <v>45292</v>
      </c>
      <c r="HZ59" s="1" t="s">
        <v>45293</v>
      </c>
      <c r="IA59" s="1" t="s">
        <v>45294</v>
      </c>
      <c r="IB59" s="1" t="s">
        <v>45295</v>
      </c>
      <c r="IC59" s="1" t="s">
        <v>45296</v>
      </c>
      <c r="ID59" s="1" t="s">
        <v>45297</v>
      </c>
      <c r="IE59" s="1" t="s">
        <v>45298</v>
      </c>
      <c r="IF59" s="1" t="s">
        <v>45299</v>
      </c>
      <c r="IG59" s="1" t="s">
        <v>45300</v>
      </c>
      <c r="IH59" s="1" t="s">
        <v>45301</v>
      </c>
      <c r="II59" s="1" t="s">
        <v>45302</v>
      </c>
      <c r="IJ59" s="1" t="s">
        <v>45303</v>
      </c>
      <c r="IK59" s="1" t="s">
        <v>45304</v>
      </c>
      <c r="IL59" s="1" t="s">
        <v>45305</v>
      </c>
      <c r="IM59" s="1" t="s">
        <v>45306</v>
      </c>
      <c r="IN59" s="1" t="s">
        <v>45307</v>
      </c>
      <c r="IO59" s="1" t="s">
        <v>45308</v>
      </c>
      <c r="IP59" s="1" t="s">
        <v>45309</v>
      </c>
      <c r="IQ59" s="1" t="s">
        <v>45310</v>
      </c>
      <c r="IR59" s="1" t="s">
        <v>45311</v>
      </c>
      <c r="IS59" s="1" t="s">
        <v>45312</v>
      </c>
      <c r="IT59" s="1" t="s">
        <v>45313</v>
      </c>
      <c r="IU59" s="1" t="s">
        <v>45314</v>
      </c>
      <c r="IV59" s="1" t="s">
        <v>45315</v>
      </c>
      <c r="IW59" s="1" t="s">
        <v>45316</v>
      </c>
      <c r="IX59" s="1" t="s">
        <v>45317</v>
      </c>
      <c r="IY59" s="1" t="s">
        <v>45318</v>
      </c>
      <c r="IZ59" s="1" t="s">
        <v>45319</v>
      </c>
      <c r="JA59" s="1" t="s">
        <v>45320</v>
      </c>
      <c r="JB59" s="1" t="s">
        <v>45321</v>
      </c>
      <c r="JC59" s="1" t="s">
        <v>45322</v>
      </c>
      <c r="JD59" s="1" t="s">
        <v>45323</v>
      </c>
      <c r="JE59" s="1" t="s">
        <v>45324</v>
      </c>
      <c r="JF59" s="1" t="s">
        <v>45325</v>
      </c>
      <c r="JG59" s="1" t="s">
        <v>45326</v>
      </c>
      <c r="JH59" s="1" t="s">
        <v>45327</v>
      </c>
      <c r="JI59" s="1" t="s">
        <v>45328</v>
      </c>
      <c r="JJ59" s="1" t="s">
        <v>45329</v>
      </c>
      <c r="JK59" s="1" t="s">
        <v>45330</v>
      </c>
      <c r="JL59" s="1" t="s">
        <v>45331</v>
      </c>
      <c r="JM59" s="1" t="s">
        <v>45332</v>
      </c>
      <c r="JN59" s="1" t="s">
        <v>45333</v>
      </c>
      <c r="JO59" s="1" t="s">
        <v>45334</v>
      </c>
      <c r="JP59" s="1" t="s">
        <v>45335</v>
      </c>
      <c r="JQ59" s="1" t="s">
        <v>45336</v>
      </c>
      <c r="JR59" s="1" t="s">
        <v>45337</v>
      </c>
      <c r="JS59" s="1" t="s">
        <v>45338</v>
      </c>
      <c r="JT59" s="1" t="s">
        <v>45339</v>
      </c>
      <c r="JU59" s="1" t="s">
        <v>45340</v>
      </c>
      <c r="JV59" s="1" t="s">
        <v>45341</v>
      </c>
      <c r="JW59" s="1" t="s">
        <v>45342</v>
      </c>
      <c r="JX59" s="1" t="s">
        <v>45343</v>
      </c>
      <c r="JY59" s="1" t="s">
        <v>45344</v>
      </c>
      <c r="JZ59" s="1" t="s">
        <v>45345</v>
      </c>
      <c r="KA59" s="1" t="s">
        <v>45346</v>
      </c>
      <c r="KB59" s="1" t="s">
        <v>45347</v>
      </c>
      <c r="KC59" s="1" t="s">
        <v>45348</v>
      </c>
      <c r="KD59" s="1" t="s">
        <v>45349</v>
      </c>
      <c r="KE59" s="1" t="s">
        <v>45350</v>
      </c>
      <c r="KF59" s="1" t="s">
        <v>45351</v>
      </c>
      <c r="KG59" s="1" t="s">
        <v>45352</v>
      </c>
      <c r="KH59" s="1" t="s">
        <v>45353</v>
      </c>
      <c r="KI59" s="1" t="s">
        <v>45354</v>
      </c>
      <c r="KJ59" s="1" t="s">
        <v>45355</v>
      </c>
      <c r="KK59" s="1" t="s">
        <v>45356</v>
      </c>
      <c r="KL59" s="1" t="s">
        <v>45357</v>
      </c>
      <c r="KM59" s="1" t="s">
        <v>45358</v>
      </c>
      <c r="KN59" s="1" t="s">
        <v>45359</v>
      </c>
      <c r="KO59" s="1" t="s">
        <v>45360</v>
      </c>
      <c r="KP59" s="1" t="s">
        <v>45361</v>
      </c>
      <c r="KQ59" s="1" t="s">
        <v>45362</v>
      </c>
      <c r="KR59" s="1" t="s">
        <v>45363</v>
      </c>
      <c r="KS59" s="1" t="s">
        <v>45364</v>
      </c>
      <c r="KT59" s="1" t="s">
        <v>45365</v>
      </c>
      <c r="KU59" s="1" t="s">
        <v>45366</v>
      </c>
      <c r="KV59" s="1" t="s">
        <v>45367</v>
      </c>
      <c r="KW59" s="1" t="s">
        <v>45368</v>
      </c>
      <c r="KX59" s="1" t="s">
        <v>45369</v>
      </c>
      <c r="KY59" s="1" t="s">
        <v>45370</v>
      </c>
      <c r="KZ59" s="1" t="s">
        <v>45371</v>
      </c>
      <c r="LA59" s="1" t="s">
        <v>45372</v>
      </c>
      <c r="LB59" s="1" t="s">
        <v>45373</v>
      </c>
      <c r="LC59" s="1" t="s">
        <v>45374</v>
      </c>
      <c r="LD59" s="1" t="s">
        <v>45375</v>
      </c>
      <c r="LE59" s="1" t="s">
        <v>45376</v>
      </c>
      <c r="LF59" s="1" t="s">
        <v>45377</v>
      </c>
      <c r="LG59" s="1" t="s">
        <v>45378</v>
      </c>
      <c r="LH59" s="1" t="s">
        <v>45379</v>
      </c>
      <c r="LI59" s="1" t="s">
        <v>45380</v>
      </c>
      <c r="LJ59" s="1" t="s">
        <v>45381</v>
      </c>
      <c r="LK59" s="1" t="s">
        <v>45382</v>
      </c>
      <c r="LL59" s="1" t="s">
        <v>45383</v>
      </c>
      <c r="LM59" s="1" t="s">
        <v>45384</v>
      </c>
      <c r="LN59" s="1" t="s">
        <v>45385</v>
      </c>
      <c r="LO59" s="1" t="s">
        <v>45386</v>
      </c>
      <c r="LP59" s="1" t="s">
        <v>45387</v>
      </c>
      <c r="LQ59" s="1" t="s">
        <v>45388</v>
      </c>
      <c r="LR59" s="1" t="s">
        <v>45389</v>
      </c>
      <c r="LS59" s="1" t="s">
        <v>45390</v>
      </c>
      <c r="LT59" s="1" t="s">
        <v>45391</v>
      </c>
      <c r="LU59" s="1" t="s">
        <v>45392</v>
      </c>
      <c r="LV59" s="1" t="s">
        <v>45393</v>
      </c>
      <c r="LW59" s="1" t="s">
        <v>45394</v>
      </c>
      <c r="LX59" s="1" t="s">
        <v>45395</v>
      </c>
      <c r="LY59" s="1" t="s">
        <v>45396</v>
      </c>
      <c r="LZ59" s="1" t="s">
        <v>45397</v>
      </c>
      <c r="MA59" s="1" t="s">
        <v>45398</v>
      </c>
      <c r="MB59" s="1" t="s">
        <v>45399</v>
      </c>
      <c r="MC59" s="1" t="s">
        <v>45400</v>
      </c>
      <c r="MD59" s="1" t="s">
        <v>45401</v>
      </c>
      <c r="ME59" s="1" t="s">
        <v>45402</v>
      </c>
      <c r="MF59" s="1" t="s">
        <v>45403</v>
      </c>
      <c r="MG59" s="1" t="s">
        <v>45404</v>
      </c>
      <c r="MH59" s="1" t="s">
        <v>45405</v>
      </c>
      <c r="MI59" s="1" t="s">
        <v>45406</v>
      </c>
      <c r="MJ59" s="1" t="s">
        <v>45407</v>
      </c>
      <c r="MK59" s="1" t="s">
        <v>45408</v>
      </c>
      <c r="ML59" s="1" t="s">
        <v>45409</v>
      </c>
      <c r="MM59" s="1" t="s">
        <v>45410</v>
      </c>
      <c r="MN59" s="1" t="s">
        <v>45411</v>
      </c>
      <c r="MO59" s="1" t="s">
        <v>45412</v>
      </c>
      <c r="MP59" s="1" t="s">
        <v>45413</v>
      </c>
      <c r="MQ59" s="1" t="s">
        <v>45414</v>
      </c>
      <c r="MR59" s="1" t="s">
        <v>45415</v>
      </c>
      <c r="MS59" s="1" t="s">
        <v>45416</v>
      </c>
      <c r="MT59" s="1" t="s">
        <v>45417</v>
      </c>
      <c r="MU59" s="1" t="s">
        <v>45418</v>
      </c>
      <c r="MV59" s="1" t="s">
        <v>45419</v>
      </c>
      <c r="MW59" s="1" t="s">
        <v>45420</v>
      </c>
      <c r="MX59" s="1" t="s">
        <v>45421</v>
      </c>
      <c r="MY59" s="1" t="s">
        <v>45422</v>
      </c>
      <c r="MZ59" s="1" t="s">
        <v>45423</v>
      </c>
      <c r="NA59" s="1" t="s">
        <v>45424</v>
      </c>
      <c r="NB59" s="1" t="s">
        <v>45425</v>
      </c>
      <c r="NC59" s="1" t="s">
        <v>45426</v>
      </c>
      <c r="ND59" s="1" t="s">
        <v>45427</v>
      </c>
      <c r="NE59" s="1" t="s">
        <v>45428</v>
      </c>
      <c r="NF59" s="1" t="s">
        <v>45429</v>
      </c>
      <c r="NG59" s="1" t="s">
        <v>45430</v>
      </c>
      <c r="NH59" s="1" t="s">
        <v>45431</v>
      </c>
      <c r="NI59" s="1" t="s">
        <v>45432</v>
      </c>
      <c r="NJ59" s="1" t="s">
        <v>45433</v>
      </c>
      <c r="NK59" s="1" t="s">
        <v>45434</v>
      </c>
      <c r="NL59" s="1" t="s">
        <v>45435</v>
      </c>
      <c r="NM59" s="1" t="s">
        <v>45436</v>
      </c>
      <c r="NN59" s="1" t="s">
        <v>45437</v>
      </c>
      <c r="NO59" s="1" t="s">
        <v>45438</v>
      </c>
      <c r="NP59" s="1" t="s">
        <v>45439</v>
      </c>
      <c r="NQ59" s="1" t="s">
        <v>45440</v>
      </c>
      <c r="NR59" s="1" t="s">
        <v>45441</v>
      </c>
      <c r="NS59" s="1" t="s">
        <v>45442</v>
      </c>
      <c r="NT59" s="1" t="s">
        <v>45443</v>
      </c>
      <c r="NU59" s="1" t="s">
        <v>45444</v>
      </c>
      <c r="NV59" s="1" t="s">
        <v>45445</v>
      </c>
      <c r="NW59" s="1" t="s">
        <v>45446</v>
      </c>
      <c r="NX59" s="1" t="s">
        <v>45447</v>
      </c>
      <c r="NY59" s="1" t="s">
        <v>45448</v>
      </c>
      <c r="NZ59" s="1" t="s">
        <v>45449</v>
      </c>
      <c r="OA59" s="1" t="s">
        <v>45450</v>
      </c>
      <c r="OB59" s="1" t="s">
        <v>45451</v>
      </c>
      <c r="OC59" s="1" t="s">
        <v>45452</v>
      </c>
      <c r="OD59" s="1" t="s">
        <v>45453</v>
      </c>
      <c r="OE59" s="1" t="s">
        <v>45454</v>
      </c>
      <c r="OF59" s="1" t="s">
        <v>45455</v>
      </c>
      <c r="OG59" s="1" t="s">
        <v>45456</v>
      </c>
      <c r="OH59" s="1" t="s">
        <v>45457</v>
      </c>
      <c r="OI59" s="1" t="s">
        <v>45458</v>
      </c>
      <c r="OJ59" s="1" t="s">
        <v>45459</v>
      </c>
      <c r="OK59" s="1" t="s">
        <v>45460</v>
      </c>
      <c r="OL59" s="1" t="s">
        <v>45461</v>
      </c>
      <c r="OM59" s="1" t="s">
        <v>45462</v>
      </c>
      <c r="ON59" s="1" t="s">
        <v>45463</v>
      </c>
      <c r="OO59" s="1" t="s">
        <v>45464</v>
      </c>
      <c r="OP59" s="1" t="s">
        <v>45465</v>
      </c>
      <c r="OQ59" s="1" t="s">
        <v>45466</v>
      </c>
      <c r="OR59" s="1" t="s">
        <v>45467</v>
      </c>
      <c r="OS59" s="1" t="s">
        <v>45468</v>
      </c>
      <c r="OT59" s="1" t="s">
        <v>45469</v>
      </c>
      <c r="OU59" s="1" t="s">
        <v>45470</v>
      </c>
      <c r="OV59" s="1" t="s">
        <v>45471</v>
      </c>
      <c r="OW59" s="1" t="s">
        <v>45472</v>
      </c>
      <c r="OX59" s="1" t="s">
        <v>45473</v>
      </c>
      <c r="OY59" s="1" t="s">
        <v>45474</v>
      </c>
      <c r="OZ59" s="1" t="s">
        <v>45475</v>
      </c>
      <c r="PA59" s="1" t="s">
        <v>45476</v>
      </c>
      <c r="PB59" s="1" t="s">
        <v>45477</v>
      </c>
      <c r="PC59" s="1" t="s">
        <v>45478</v>
      </c>
      <c r="PD59" s="1" t="s">
        <v>45479</v>
      </c>
      <c r="PE59" s="1" t="s">
        <v>45480</v>
      </c>
      <c r="PF59" s="1" t="s">
        <v>45481</v>
      </c>
      <c r="PG59" s="1" t="s">
        <v>45482</v>
      </c>
      <c r="PH59" s="1" t="s">
        <v>45483</v>
      </c>
      <c r="PI59" s="1" t="s">
        <v>45484</v>
      </c>
      <c r="PJ59" s="1" t="s">
        <v>45485</v>
      </c>
      <c r="PK59" s="1" t="s">
        <v>45486</v>
      </c>
      <c r="PL59" s="1" t="s">
        <v>45487</v>
      </c>
      <c r="PM59" s="1" t="s">
        <v>45488</v>
      </c>
      <c r="PN59" s="1" t="s">
        <v>45489</v>
      </c>
      <c r="PO59" s="1" t="s">
        <v>45490</v>
      </c>
      <c r="PP59" s="1" t="s">
        <v>45491</v>
      </c>
      <c r="PQ59" s="1" t="s">
        <v>45492</v>
      </c>
      <c r="PR59" s="1" t="s">
        <v>45493</v>
      </c>
      <c r="PS59" s="1" t="s">
        <v>45494</v>
      </c>
      <c r="PT59" s="1" t="s">
        <v>45495</v>
      </c>
      <c r="PU59" s="1" t="s">
        <v>45496</v>
      </c>
      <c r="PV59" s="1" t="s">
        <v>45497</v>
      </c>
      <c r="PW59" s="1" t="s">
        <v>45498</v>
      </c>
      <c r="PX59" s="1" t="s">
        <v>45499</v>
      </c>
      <c r="PY59" s="1" t="s">
        <v>45500</v>
      </c>
      <c r="PZ59" s="1" t="s">
        <v>45501</v>
      </c>
      <c r="QA59" s="1" t="s">
        <v>45502</v>
      </c>
      <c r="QB59" s="1" t="s">
        <v>45503</v>
      </c>
      <c r="QC59" s="1" t="s">
        <v>45504</v>
      </c>
      <c r="QD59" s="1" t="s">
        <v>45505</v>
      </c>
      <c r="QE59" s="1" t="s">
        <v>45506</v>
      </c>
      <c r="QF59" s="1" t="s">
        <v>45507</v>
      </c>
      <c r="QG59" s="1" t="s">
        <v>45508</v>
      </c>
      <c r="QH59" s="1" t="s">
        <v>45509</v>
      </c>
      <c r="QI59" s="1" t="s">
        <v>45510</v>
      </c>
      <c r="QJ59" s="1" t="s">
        <v>45511</v>
      </c>
      <c r="QK59" s="1" t="s">
        <v>45512</v>
      </c>
      <c r="QL59" s="1" t="s">
        <v>45513</v>
      </c>
      <c r="QM59" s="1" t="s">
        <v>45514</v>
      </c>
      <c r="QN59" s="1" t="s">
        <v>45515</v>
      </c>
      <c r="QO59" s="1" t="s">
        <v>45516</v>
      </c>
      <c r="QP59" s="1" t="s">
        <v>45517</v>
      </c>
      <c r="QQ59" s="1" t="s">
        <v>45518</v>
      </c>
      <c r="QR59" s="1" t="s">
        <v>45519</v>
      </c>
      <c r="QS59" s="1" t="s">
        <v>45520</v>
      </c>
      <c r="QT59" s="1" t="s">
        <v>45521</v>
      </c>
      <c r="QU59" s="1" t="s">
        <v>45522</v>
      </c>
      <c r="QV59" s="1" t="s">
        <v>45523</v>
      </c>
      <c r="QW59" s="1" t="s">
        <v>45524</v>
      </c>
      <c r="QX59" s="1" t="s">
        <v>45525</v>
      </c>
      <c r="QY59" s="1" t="s">
        <v>45526</v>
      </c>
      <c r="QZ59" s="1" t="s">
        <v>45527</v>
      </c>
      <c r="RA59" s="1" t="s">
        <v>45528</v>
      </c>
      <c r="RB59" s="1" t="s">
        <v>45529</v>
      </c>
      <c r="RC59" s="1" t="s">
        <v>45530</v>
      </c>
      <c r="RD59" s="1" t="s">
        <v>45531</v>
      </c>
      <c r="RE59" s="1" t="s">
        <v>45532</v>
      </c>
      <c r="RF59" s="1" t="s">
        <v>45533</v>
      </c>
      <c r="RG59" s="1" t="s">
        <v>45534</v>
      </c>
      <c r="RH59" s="1" t="s">
        <v>45535</v>
      </c>
      <c r="RI59" s="1" t="s">
        <v>45536</v>
      </c>
      <c r="RJ59" s="1" t="s">
        <v>45537</v>
      </c>
      <c r="RK59" s="1" t="s">
        <v>45538</v>
      </c>
      <c r="RL59" s="1" t="s">
        <v>45539</v>
      </c>
      <c r="RM59" s="1" t="s">
        <v>45540</v>
      </c>
      <c r="RN59" s="1" t="s">
        <v>45541</v>
      </c>
      <c r="RO59" s="1" t="s">
        <v>45542</v>
      </c>
      <c r="RP59" s="1" t="s">
        <v>45543</v>
      </c>
      <c r="RQ59" s="1" t="s">
        <v>45544</v>
      </c>
      <c r="RR59" s="1" t="s">
        <v>45545</v>
      </c>
      <c r="RS59" s="1" t="s">
        <v>45546</v>
      </c>
      <c r="RT59" s="1" t="s">
        <v>45547</v>
      </c>
      <c r="RU59" s="1" t="s">
        <v>45548</v>
      </c>
      <c r="RV59" s="1" t="s">
        <v>45549</v>
      </c>
      <c r="RW59" s="1" t="s">
        <v>45550</v>
      </c>
      <c r="RX59" s="1" t="s">
        <v>45551</v>
      </c>
      <c r="RY59" s="1" t="s">
        <v>45552</v>
      </c>
      <c r="RZ59" s="1" t="s">
        <v>45553</v>
      </c>
      <c r="SA59" s="1" t="s">
        <v>45554</v>
      </c>
      <c r="SB59" s="1" t="s">
        <v>45555</v>
      </c>
      <c r="SC59" s="1" t="s">
        <v>45556</v>
      </c>
      <c r="SD59" s="1" t="s">
        <v>45557</v>
      </c>
      <c r="SE59" s="1" t="s">
        <v>45558</v>
      </c>
      <c r="SF59" s="1" t="s">
        <v>45559</v>
      </c>
      <c r="SG59" s="1" t="s">
        <v>45560</v>
      </c>
      <c r="SH59" s="1" t="s">
        <v>45561</v>
      </c>
      <c r="SI59" s="1" t="s">
        <v>45562</v>
      </c>
      <c r="SJ59" s="1" t="s">
        <v>45563</v>
      </c>
      <c r="SK59" s="1" t="s">
        <v>45564</v>
      </c>
      <c r="SL59" s="1" t="s">
        <v>45565</v>
      </c>
      <c r="SM59" s="1" t="s">
        <v>45566</v>
      </c>
      <c r="SN59" s="1" t="s">
        <v>45567</v>
      </c>
      <c r="SO59" s="1" t="s">
        <v>45568</v>
      </c>
      <c r="SP59" s="1" t="s">
        <v>45569</v>
      </c>
      <c r="SQ59" s="1" t="s">
        <v>45570</v>
      </c>
      <c r="SR59" s="1" t="s">
        <v>45571</v>
      </c>
      <c r="SS59" s="1" t="s">
        <v>45572</v>
      </c>
      <c r="ST59" s="1" t="s">
        <v>45573</v>
      </c>
      <c r="SU59" s="1" t="s">
        <v>45574</v>
      </c>
      <c r="SV59" s="1" t="s">
        <v>45575</v>
      </c>
      <c r="SW59" s="1" t="s">
        <v>45576</v>
      </c>
      <c r="SX59" s="1" t="s">
        <v>45577</v>
      </c>
      <c r="SY59" s="1" t="s">
        <v>45578</v>
      </c>
      <c r="SZ59" s="1" t="s">
        <v>45579</v>
      </c>
      <c r="TA59" s="1" t="s">
        <v>45580</v>
      </c>
      <c r="TB59" s="1" t="s">
        <v>45581</v>
      </c>
      <c r="TC59" s="1" t="s">
        <v>45582</v>
      </c>
      <c r="TD59" s="1" t="s">
        <v>45583</v>
      </c>
      <c r="TE59" s="1" t="s">
        <v>45584</v>
      </c>
      <c r="TF59" s="1" t="s">
        <v>45585</v>
      </c>
      <c r="TG59" s="1" t="s">
        <v>45586</v>
      </c>
      <c r="TH59" s="1" t="s">
        <v>45587</v>
      </c>
      <c r="TI59" s="1" t="s">
        <v>45588</v>
      </c>
      <c r="TJ59" s="1" t="s">
        <v>45589</v>
      </c>
      <c r="TK59" s="1" t="s">
        <v>45590</v>
      </c>
      <c r="TL59" s="1" t="s">
        <v>45591</v>
      </c>
      <c r="TM59" s="1" t="s">
        <v>45592</v>
      </c>
      <c r="TN59" s="1" t="s">
        <v>45593</v>
      </c>
      <c r="TO59" s="1" t="s">
        <v>45594</v>
      </c>
      <c r="TP59" s="1" t="s">
        <v>45595</v>
      </c>
      <c r="TQ59" s="1" t="s">
        <v>45596</v>
      </c>
      <c r="TR59" s="1" t="s">
        <v>45597</v>
      </c>
      <c r="TS59" s="1" t="s">
        <v>45598</v>
      </c>
      <c r="TT59" s="1" t="s">
        <v>45599</v>
      </c>
      <c r="TU59" s="1" t="s">
        <v>45600</v>
      </c>
      <c r="TV59" s="1" t="s">
        <v>45601</v>
      </c>
      <c r="TW59" s="1" t="s">
        <v>45602</v>
      </c>
      <c r="TX59" s="1" t="s">
        <v>45603</v>
      </c>
      <c r="TY59" s="1" t="s">
        <v>45604</v>
      </c>
      <c r="TZ59" s="1" t="s">
        <v>45605</v>
      </c>
      <c r="UA59" s="1" t="s">
        <v>45606</v>
      </c>
      <c r="UB59" s="1" t="s">
        <v>45607</v>
      </c>
      <c r="UC59" s="1" t="s">
        <v>45608</v>
      </c>
      <c r="UD59" s="1" t="s">
        <v>45609</v>
      </c>
      <c r="UE59" s="1" t="s">
        <v>45610</v>
      </c>
      <c r="UF59" s="1" t="s">
        <v>45611</v>
      </c>
      <c r="UG59" s="1" t="s">
        <v>45612</v>
      </c>
      <c r="UH59" s="1" t="s">
        <v>45613</v>
      </c>
      <c r="UI59" s="1" t="s">
        <v>45614</v>
      </c>
      <c r="UJ59" s="1" t="s">
        <v>45615</v>
      </c>
      <c r="UK59" s="1" t="s">
        <v>45616</v>
      </c>
      <c r="UL59" s="1" t="s">
        <v>45617</v>
      </c>
      <c r="UM59" s="1" t="s">
        <v>45618</v>
      </c>
      <c r="UN59" s="1" t="s">
        <v>45619</v>
      </c>
      <c r="UO59" s="1" t="s">
        <v>45620</v>
      </c>
      <c r="UP59" s="1" t="s">
        <v>45621</v>
      </c>
      <c r="UQ59" s="1" t="s">
        <v>45622</v>
      </c>
      <c r="UR59" s="1" t="s">
        <v>45623</v>
      </c>
      <c r="US59" s="1" t="s">
        <v>45624</v>
      </c>
      <c r="UT59" s="1" t="s">
        <v>45625</v>
      </c>
      <c r="UU59" s="1" t="s">
        <v>45626</v>
      </c>
      <c r="UV59" s="1" t="s">
        <v>45627</v>
      </c>
      <c r="UW59" s="1" t="s">
        <v>45628</v>
      </c>
      <c r="UX59" s="1" t="s">
        <v>45629</v>
      </c>
      <c r="UY59" s="1" t="s">
        <v>45630</v>
      </c>
      <c r="UZ59" s="1" t="s">
        <v>45631</v>
      </c>
      <c r="VA59" s="1" t="s">
        <v>45632</v>
      </c>
      <c r="VB59" s="1" t="s">
        <v>45633</v>
      </c>
      <c r="VC59" s="1" t="s">
        <v>45634</v>
      </c>
      <c r="VD59" s="1" t="s">
        <v>45635</v>
      </c>
      <c r="VE59" s="1" t="s">
        <v>45636</v>
      </c>
      <c r="VF59" s="1" t="s">
        <v>45637</v>
      </c>
      <c r="VG59" s="1" t="s">
        <v>45638</v>
      </c>
      <c r="VH59" s="1" t="s">
        <v>45639</v>
      </c>
      <c r="VI59" s="1" t="s">
        <v>45640</v>
      </c>
      <c r="VJ59" s="1" t="s">
        <v>45641</v>
      </c>
      <c r="VK59" s="1" t="s">
        <v>45642</v>
      </c>
      <c r="VL59" s="1" t="s">
        <v>45643</v>
      </c>
      <c r="VM59" s="1" t="s">
        <v>45644</v>
      </c>
      <c r="VN59" s="1" t="s">
        <v>45645</v>
      </c>
      <c r="VO59" s="1" t="s">
        <v>45646</v>
      </c>
      <c r="VP59" s="1" t="s">
        <v>45647</v>
      </c>
      <c r="VQ59" s="1" t="s">
        <v>45648</v>
      </c>
      <c r="VR59" s="1" t="s">
        <v>45649</v>
      </c>
      <c r="VS59" s="1" t="s">
        <v>45650</v>
      </c>
      <c r="VT59" s="1" t="s">
        <v>45651</v>
      </c>
      <c r="VU59" s="1" t="s">
        <v>45652</v>
      </c>
      <c r="VV59" s="1" t="s">
        <v>45653</v>
      </c>
      <c r="VW59" s="1" t="s">
        <v>45654</v>
      </c>
      <c r="VX59" s="1" t="s">
        <v>45655</v>
      </c>
      <c r="VY59" s="1" t="s">
        <v>45656</v>
      </c>
      <c r="VZ59" s="1" t="s">
        <v>45657</v>
      </c>
      <c r="WA59" s="1" t="s">
        <v>45658</v>
      </c>
      <c r="WB59" s="1" t="s">
        <v>45659</v>
      </c>
      <c r="WC59" s="1" t="s">
        <v>45660</v>
      </c>
      <c r="WD59" s="1" t="s">
        <v>45661</v>
      </c>
      <c r="WE59" s="1" t="s">
        <v>45662</v>
      </c>
      <c r="WF59" s="1" t="s">
        <v>45663</v>
      </c>
      <c r="WG59" s="1" t="s">
        <v>45664</v>
      </c>
      <c r="WH59" s="1" t="s">
        <v>45665</v>
      </c>
      <c r="WI59" s="1" t="s">
        <v>45666</v>
      </c>
      <c r="WJ59" s="1" t="s">
        <v>45667</v>
      </c>
      <c r="WK59" s="1" t="s">
        <v>45668</v>
      </c>
      <c r="WL59" s="1" t="s">
        <v>45669</v>
      </c>
      <c r="WM59" s="1" t="s">
        <v>45670</v>
      </c>
      <c r="WN59" s="1" t="s">
        <v>45671</v>
      </c>
      <c r="WO59" s="1" t="s">
        <v>45672</v>
      </c>
      <c r="WP59" s="1" t="s">
        <v>45673</v>
      </c>
      <c r="WQ59" s="1" t="s">
        <v>45674</v>
      </c>
      <c r="WR59" s="1" t="s">
        <v>45675</v>
      </c>
      <c r="WS59" s="1" t="s">
        <v>45676</v>
      </c>
      <c r="WT59" s="1" t="s">
        <v>45677</v>
      </c>
      <c r="WU59" s="1" t="s">
        <v>45678</v>
      </c>
      <c r="WV59" s="1" t="s">
        <v>45679</v>
      </c>
      <c r="WW59" s="1" t="s">
        <v>45680</v>
      </c>
      <c r="WX59" s="1" t="s">
        <v>45681</v>
      </c>
      <c r="WY59" s="1" t="s">
        <v>45682</v>
      </c>
      <c r="WZ59" s="1" t="s">
        <v>45683</v>
      </c>
      <c r="XA59" s="1" t="s">
        <v>45684</v>
      </c>
      <c r="XB59" s="1" t="s">
        <v>45685</v>
      </c>
      <c r="XC59" s="1" t="s">
        <v>45686</v>
      </c>
      <c r="XD59" s="1" t="s">
        <v>45687</v>
      </c>
      <c r="XE59" s="1" t="s">
        <v>45688</v>
      </c>
      <c r="XF59" s="1" t="s">
        <v>45689</v>
      </c>
      <c r="XG59" s="1" t="s">
        <v>45690</v>
      </c>
      <c r="XH59" s="1" t="s">
        <v>45691</v>
      </c>
      <c r="XI59" s="1" t="s">
        <v>45692</v>
      </c>
      <c r="XJ59" s="1" t="s">
        <v>45693</v>
      </c>
      <c r="XK59" s="1" t="s">
        <v>45694</v>
      </c>
      <c r="XL59" s="1" t="s">
        <v>45695</v>
      </c>
      <c r="XM59" s="1" t="s">
        <v>45696</v>
      </c>
      <c r="XN59" s="1" t="s">
        <v>45697</v>
      </c>
      <c r="XO59" s="1" t="s">
        <v>45698</v>
      </c>
      <c r="XP59" s="1" t="s">
        <v>45699</v>
      </c>
      <c r="XQ59" s="1" t="s">
        <v>45700</v>
      </c>
      <c r="XR59" s="1" t="s">
        <v>45701</v>
      </c>
      <c r="XS59" s="1" t="s">
        <v>45702</v>
      </c>
      <c r="XT59" s="1" t="s">
        <v>45703</v>
      </c>
      <c r="XU59" s="1" t="s">
        <v>45704</v>
      </c>
      <c r="XV59" s="1" t="s">
        <v>45705</v>
      </c>
      <c r="XW59" s="1" t="s">
        <v>45706</v>
      </c>
      <c r="XX59" s="1" t="s">
        <v>45707</v>
      </c>
      <c r="XY59" s="1" t="s">
        <v>45708</v>
      </c>
      <c r="XZ59" s="1" t="s">
        <v>45709</v>
      </c>
      <c r="YA59" s="1" t="s">
        <v>45710</v>
      </c>
      <c r="YB59" s="1" t="s">
        <v>45711</v>
      </c>
      <c r="YC59" s="1" t="s">
        <v>45712</v>
      </c>
      <c r="YD59" s="1" t="s">
        <v>45713</v>
      </c>
      <c r="YE59" s="1" t="s">
        <v>45714</v>
      </c>
      <c r="YF59" s="1" t="s">
        <v>45715</v>
      </c>
      <c r="YG59" s="1" t="s">
        <v>45716</v>
      </c>
      <c r="YH59" s="1" t="s">
        <v>45717</v>
      </c>
      <c r="YI59" s="1" t="s">
        <v>45718</v>
      </c>
      <c r="YJ59" s="1" t="s">
        <v>45719</v>
      </c>
      <c r="YK59" s="1" t="s">
        <v>45720</v>
      </c>
      <c r="YL59" s="1" t="s">
        <v>45721</v>
      </c>
      <c r="YM59" s="1" t="s">
        <v>45722</v>
      </c>
      <c r="YN59" s="1" t="s">
        <v>45723</v>
      </c>
      <c r="YO59" s="1" t="s">
        <v>45724</v>
      </c>
      <c r="YP59" s="1" t="s">
        <v>45725</v>
      </c>
      <c r="YQ59" s="1" t="s">
        <v>45726</v>
      </c>
      <c r="YR59" s="1" t="s">
        <v>45727</v>
      </c>
      <c r="YS59" s="1" t="s">
        <v>45728</v>
      </c>
      <c r="YT59" s="1" t="s">
        <v>45729</v>
      </c>
      <c r="YU59" s="1" t="s">
        <v>45730</v>
      </c>
      <c r="YV59" s="1" t="s">
        <v>45731</v>
      </c>
      <c r="YW59" s="1" t="s">
        <v>45732</v>
      </c>
      <c r="YX59" s="1" t="s">
        <v>45733</v>
      </c>
      <c r="YY59" s="1" t="s">
        <v>45734</v>
      </c>
      <c r="YZ59" s="1" t="s">
        <v>45735</v>
      </c>
      <c r="ZA59" s="1" t="s">
        <v>45736</v>
      </c>
      <c r="ZB59" s="1" t="s">
        <v>45737</v>
      </c>
      <c r="ZC59" s="1" t="s">
        <v>45738</v>
      </c>
      <c r="ZD59" s="1" t="s">
        <v>45739</v>
      </c>
      <c r="ZE59" s="1" t="s">
        <v>45740</v>
      </c>
      <c r="ZF59" s="1" t="s">
        <v>45741</v>
      </c>
      <c r="ZG59" s="1" t="s">
        <v>45742</v>
      </c>
      <c r="ZH59" s="1" t="s">
        <v>45743</v>
      </c>
      <c r="ZI59" s="1" t="s">
        <v>45744</v>
      </c>
      <c r="ZJ59" s="1" t="s">
        <v>45745</v>
      </c>
      <c r="ZK59" s="1" t="s">
        <v>45746</v>
      </c>
      <c r="ZL59" s="1" t="s">
        <v>45747</v>
      </c>
      <c r="ZM59" s="1" t="s">
        <v>45748</v>
      </c>
      <c r="ZN59" s="1" t="s">
        <v>45749</v>
      </c>
      <c r="ZO59" s="1" t="s">
        <v>45750</v>
      </c>
      <c r="ZP59" s="1" t="s">
        <v>45751</v>
      </c>
      <c r="ZQ59" s="1" t="s">
        <v>45752</v>
      </c>
      <c r="ZR59" s="1" t="s">
        <v>45753</v>
      </c>
      <c r="ZS59" s="1" t="s">
        <v>45754</v>
      </c>
      <c r="ZT59" s="1" t="s">
        <v>45755</v>
      </c>
      <c r="ZU59" s="1" t="s">
        <v>45756</v>
      </c>
      <c r="ZV59" s="1" t="s">
        <v>45757</v>
      </c>
      <c r="ZW59" s="1" t="s">
        <v>45758</v>
      </c>
      <c r="ZX59" s="1" t="s">
        <v>45759</v>
      </c>
      <c r="ZY59" s="1" t="s">
        <v>45760</v>
      </c>
      <c r="ZZ59" s="1" t="s">
        <v>45761</v>
      </c>
      <c r="AAA59" s="1" t="s">
        <v>45762</v>
      </c>
      <c r="AAB59" s="1" t="s">
        <v>45763</v>
      </c>
      <c r="AAC59" s="1" t="s">
        <v>45764</v>
      </c>
      <c r="AAD59" s="1" t="s">
        <v>45765</v>
      </c>
      <c r="AAE59" s="1" t="s">
        <v>45766</v>
      </c>
      <c r="AAF59" s="1" t="s">
        <v>45767</v>
      </c>
      <c r="AAG59" s="1" t="s">
        <v>45768</v>
      </c>
      <c r="AAH59" s="1" t="s">
        <v>45769</v>
      </c>
      <c r="AAI59" s="1" t="s">
        <v>45770</v>
      </c>
      <c r="AAJ59" s="1" t="s">
        <v>45771</v>
      </c>
      <c r="AAK59" s="1" t="s">
        <v>45772</v>
      </c>
      <c r="AAL59" s="1" t="s">
        <v>45773</v>
      </c>
      <c r="AAM59" s="1" t="s">
        <v>45774</v>
      </c>
      <c r="AAN59" s="1" t="s">
        <v>45775</v>
      </c>
      <c r="AAO59" s="1" t="s">
        <v>45776</v>
      </c>
      <c r="AAP59" s="1" t="s">
        <v>45777</v>
      </c>
      <c r="AAQ59" s="1" t="s">
        <v>45778</v>
      </c>
      <c r="AAR59" s="1" t="s">
        <v>45779</v>
      </c>
      <c r="AAS59" s="1" t="s">
        <v>45780</v>
      </c>
      <c r="AAT59" s="1" t="s">
        <v>45781</v>
      </c>
      <c r="AAU59" s="1" t="s">
        <v>45782</v>
      </c>
      <c r="AAV59" s="1" t="s">
        <v>45783</v>
      </c>
      <c r="AAW59" s="1" t="s">
        <v>45784</v>
      </c>
      <c r="AAX59" s="1" t="s">
        <v>45785</v>
      </c>
      <c r="AAY59" s="1" t="s">
        <v>45786</v>
      </c>
      <c r="AAZ59" s="1" t="s">
        <v>45787</v>
      </c>
      <c r="ABA59" s="1" t="s">
        <v>45788</v>
      </c>
      <c r="ABB59" s="1" t="s">
        <v>45789</v>
      </c>
      <c r="ABC59" s="1" t="s">
        <v>45790</v>
      </c>
      <c r="ABD59" s="1" t="s">
        <v>45791</v>
      </c>
      <c r="ABE59" s="1" t="s">
        <v>45792</v>
      </c>
      <c r="ABF59" s="1" t="s">
        <v>45793</v>
      </c>
      <c r="ABG59" s="1" t="s">
        <v>45794</v>
      </c>
      <c r="ABH59" s="1" t="s">
        <v>45795</v>
      </c>
      <c r="ABI59" s="1" t="s">
        <v>45796</v>
      </c>
      <c r="ABJ59" s="1" t="s">
        <v>45797</v>
      </c>
      <c r="ABK59" s="1" t="s">
        <v>45798</v>
      </c>
      <c r="ABL59" s="1" t="s">
        <v>45799</v>
      </c>
      <c r="ABM59" s="1" t="s">
        <v>45800</v>
      </c>
      <c r="ABN59" s="1" t="s">
        <v>45801</v>
      </c>
      <c r="ABO59" s="1" t="s">
        <v>45802</v>
      </c>
      <c r="ABP59" s="1" t="s">
        <v>45803</v>
      </c>
      <c r="ABQ59" s="1" t="s">
        <v>45804</v>
      </c>
      <c r="ABR59" s="1" t="s">
        <v>45805</v>
      </c>
      <c r="ABS59" s="1" t="s">
        <v>45806</v>
      </c>
      <c r="ABT59" s="1" t="s">
        <v>45807</v>
      </c>
      <c r="ABU59" s="1" t="s">
        <v>45808</v>
      </c>
      <c r="ABV59" s="1" t="s">
        <v>45809</v>
      </c>
      <c r="ABW59" s="1" t="s">
        <v>45810</v>
      </c>
      <c r="ABX59" s="1" t="s">
        <v>45811</v>
      </c>
      <c r="ABY59" s="1" t="s">
        <v>45812</v>
      </c>
      <c r="ABZ59" s="1" t="s">
        <v>45813</v>
      </c>
      <c r="ACA59" s="1" t="s">
        <v>45814</v>
      </c>
      <c r="ACB59" s="1" t="s">
        <v>45815</v>
      </c>
      <c r="ACC59" s="1" t="s">
        <v>45816</v>
      </c>
      <c r="ACD59" s="1" t="s">
        <v>45817</v>
      </c>
      <c r="ACE59" s="1" t="s">
        <v>45818</v>
      </c>
      <c r="ACF59" s="1" t="s">
        <v>45819</v>
      </c>
      <c r="ACG59" s="1" t="s">
        <v>45820</v>
      </c>
      <c r="ACH59" s="1" t="s">
        <v>45821</v>
      </c>
      <c r="ACI59" s="1" t="s">
        <v>45822</v>
      </c>
      <c r="ACJ59" s="1" t="s">
        <v>45823</v>
      </c>
      <c r="ACK59" s="1" t="s">
        <v>45824</v>
      </c>
      <c r="ACL59" s="1" t="s">
        <v>45825</v>
      </c>
      <c r="ACM59" s="1" t="s">
        <v>45826</v>
      </c>
      <c r="ACN59" s="1" t="s">
        <v>45827</v>
      </c>
      <c r="ACO59" s="1" t="s">
        <v>45828</v>
      </c>
      <c r="ACP59" s="1" t="s">
        <v>45829</v>
      </c>
      <c r="ACQ59" s="1" t="s">
        <v>45830</v>
      </c>
      <c r="ACR59" s="1" t="s">
        <v>45831</v>
      </c>
      <c r="ACS59" s="1" t="s">
        <v>45832</v>
      </c>
      <c r="ACT59" s="1" t="s">
        <v>45833</v>
      </c>
      <c r="ACU59" s="1" t="s">
        <v>45834</v>
      </c>
      <c r="ACV59" s="1" t="s">
        <v>45835</v>
      </c>
      <c r="ACW59" s="1" t="s">
        <v>23</v>
      </c>
      <c r="ACX59" s="1" t="s">
        <v>6310</v>
      </c>
    </row>
    <row r="60" spans="1:778" x14ac:dyDescent="0.2">
      <c r="A60" s="1" t="s">
        <v>57</v>
      </c>
      <c r="B60" s="1" t="s">
        <v>45836</v>
      </c>
      <c r="C60" s="1" t="s">
        <v>45837</v>
      </c>
      <c r="D60" s="1" t="s">
        <v>45838</v>
      </c>
      <c r="E60" s="1" t="s">
        <v>45839</v>
      </c>
      <c r="F60" s="1" t="s">
        <v>45840</v>
      </c>
      <c r="G60" s="1" t="s">
        <v>45841</v>
      </c>
      <c r="H60" s="1" t="s">
        <v>45842</v>
      </c>
      <c r="I60" s="1" t="s">
        <v>45843</v>
      </c>
      <c r="J60" s="1" t="s">
        <v>45844</v>
      </c>
      <c r="K60" s="1" t="s">
        <v>45845</v>
      </c>
      <c r="L60" s="1" t="s">
        <v>45846</v>
      </c>
      <c r="M60" s="1" t="s">
        <v>45847</v>
      </c>
      <c r="N60" s="1" t="s">
        <v>45848</v>
      </c>
      <c r="O60" s="1" t="s">
        <v>45849</v>
      </c>
      <c r="P60" s="1" t="s">
        <v>45850</v>
      </c>
      <c r="Q60" s="1" t="s">
        <v>45851</v>
      </c>
      <c r="R60" s="1" t="s">
        <v>45852</v>
      </c>
      <c r="S60" s="1" t="s">
        <v>45853</v>
      </c>
      <c r="T60" s="1" t="s">
        <v>45854</v>
      </c>
      <c r="U60" s="1" t="s">
        <v>45855</v>
      </c>
      <c r="V60" s="1" t="s">
        <v>45856</v>
      </c>
      <c r="W60" s="1" t="s">
        <v>45857</v>
      </c>
      <c r="X60" s="1" t="s">
        <v>45858</v>
      </c>
      <c r="Y60" s="1" t="s">
        <v>45859</v>
      </c>
      <c r="Z60" s="1" t="s">
        <v>45860</v>
      </c>
      <c r="AA60" s="1" t="s">
        <v>45861</v>
      </c>
      <c r="AB60" s="1" t="s">
        <v>45862</v>
      </c>
      <c r="AC60" s="1" t="s">
        <v>45863</v>
      </c>
      <c r="AD60" s="1" t="s">
        <v>45864</v>
      </c>
      <c r="AE60" s="1" t="s">
        <v>45865</v>
      </c>
      <c r="AF60" s="1" t="s">
        <v>45866</v>
      </c>
      <c r="AG60" s="1" t="s">
        <v>45867</v>
      </c>
      <c r="AH60" s="1" t="s">
        <v>45868</v>
      </c>
      <c r="AI60" s="1" t="s">
        <v>45869</v>
      </c>
      <c r="AJ60" s="1" t="s">
        <v>45870</v>
      </c>
      <c r="AK60" s="1" t="s">
        <v>45871</v>
      </c>
      <c r="AL60" s="1" t="s">
        <v>45872</v>
      </c>
      <c r="AM60" s="1" t="s">
        <v>45873</v>
      </c>
      <c r="AN60" s="1" t="s">
        <v>45874</v>
      </c>
      <c r="AO60" s="1" t="s">
        <v>45875</v>
      </c>
      <c r="AP60" s="1" t="s">
        <v>45876</v>
      </c>
      <c r="AQ60" s="1" t="s">
        <v>45877</v>
      </c>
      <c r="AR60" s="1" t="s">
        <v>45878</v>
      </c>
      <c r="AS60" s="1" t="s">
        <v>45879</v>
      </c>
      <c r="AT60" s="1" t="s">
        <v>45880</v>
      </c>
      <c r="AU60" s="1" t="s">
        <v>45881</v>
      </c>
      <c r="AV60" s="1" t="s">
        <v>45882</v>
      </c>
      <c r="AW60" s="1" t="s">
        <v>45883</v>
      </c>
      <c r="AX60" s="1" t="s">
        <v>45884</v>
      </c>
      <c r="AY60" s="1" t="s">
        <v>45885</v>
      </c>
      <c r="AZ60" s="1" t="s">
        <v>45886</v>
      </c>
      <c r="BA60" s="1" t="s">
        <v>45887</v>
      </c>
      <c r="BB60" s="1" t="s">
        <v>45888</v>
      </c>
      <c r="BC60" s="1" t="s">
        <v>45889</v>
      </c>
      <c r="BD60" s="1" t="s">
        <v>45890</v>
      </c>
      <c r="BE60" s="1" t="s">
        <v>45891</v>
      </c>
      <c r="BF60" s="1" t="s">
        <v>45892</v>
      </c>
      <c r="BG60" s="1" t="s">
        <v>45893</v>
      </c>
      <c r="BH60" s="1" t="s">
        <v>45894</v>
      </c>
      <c r="BI60" s="1" t="s">
        <v>45895</v>
      </c>
      <c r="BJ60" s="1" t="s">
        <v>45896</v>
      </c>
      <c r="BK60" s="1" t="s">
        <v>45897</v>
      </c>
      <c r="BL60" s="1" t="s">
        <v>45898</v>
      </c>
      <c r="BM60" s="1" t="s">
        <v>45899</v>
      </c>
      <c r="BN60" s="1" t="s">
        <v>45900</v>
      </c>
      <c r="BO60" s="1" t="s">
        <v>45901</v>
      </c>
      <c r="BP60" s="1" t="s">
        <v>45902</v>
      </c>
      <c r="BQ60" s="1" t="s">
        <v>45903</v>
      </c>
      <c r="BR60" s="1" t="s">
        <v>45904</v>
      </c>
      <c r="BS60" s="1" t="s">
        <v>45905</v>
      </c>
      <c r="BT60" s="1" t="s">
        <v>45906</v>
      </c>
      <c r="BU60" s="1" t="s">
        <v>45907</v>
      </c>
      <c r="BV60" s="1" t="s">
        <v>45908</v>
      </c>
      <c r="BW60" s="1" t="s">
        <v>45909</v>
      </c>
      <c r="BX60" s="1" t="s">
        <v>45910</v>
      </c>
      <c r="BY60" s="1" t="s">
        <v>45911</v>
      </c>
      <c r="BZ60" s="1" t="s">
        <v>45912</v>
      </c>
      <c r="CA60" s="1" t="s">
        <v>45913</v>
      </c>
      <c r="CB60" s="1" t="s">
        <v>45914</v>
      </c>
      <c r="CC60" s="1" t="s">
        <v>45915</v>
      </c>
      <c r="CD60" s="1" t="s">
        <v>45916</v>
      </c>
      <c r="CE60" s="1" t="s">
        <v>45917</v>
      </c>
      <c r="CF60" s="1" t="s">
        <v>45918</v>
      </c>
      <c r="CG60" s="1" t="s">
        <v>45919</v>
      </c>
      <c r="CH60" s="1" t="s">
        <v>45920</v>
      </c>
      <c r="CI60" s="1" t="s">
        <v>45921</v>
      </c>
      <c r="CJ60" s="1" t="s">
        <v>45922</v>
      </c>
      <c r="CK60" s="1" t="s">
        <v>45923</v>
      </c>
      <c r="CL60" s="1" t="s">
        <v>45924</v>
      </c>
      <c r="CM60" s="1" t="s">
        <v>45925</v>
      </c>
      <c r="CN60" s="1" t="s">
        <v>45926</v>
      </c>
      <c r="CO60" s="1" t="s">
        <v>45927</v>
      </c>
      <c r="CP60" s="1" t="s">
        <v>45928</v>
      </c>
      <c r="CQ60" s="1" t="s">
        <v>45929</v>
      </c>
      <c r="CR60" s="1" t="s">
        <v>45930</v>
      </c>
      <c r="CS60" s="1" t="s">
        <v>45931</v>
      </c>
      <c r="CT60" s="1" t="s">
        <v>45932</v>
      </c>
      <c r="CU60" s="1" t="s">
        <v>45933</v>
      </c>
      <c r="CV60" s="1" t="s">
        <v>45934</v>
      </c>
      <c r="CW60" s="1" t="s">
        <v>45935</v>
      </c>
      <c r="CX60" s="1" t="s">
        <v>45936</v>
      </c>
      <c r="CY60" s="1" t="s">
        <v>45937</v>
      </c>
      <c r="CZ60" s="1" t="s">
        <v>45938</v>
      </c>
      <c r="DA60" s="1" t="s">
        <v>45939</v>
      </c>
      <c r="DB60" s="1" t="s">
        <v>45940</v>
      </c>
      <c r="DC60" s="1" t="s">
        <v>45941</v>
      </c>
      <c r="DD60" s="1" t="s">
        <v>45942</v>
      </c>
      <c r="DE60" s="1" t="s">
        <v>45943</v>
      </c>
      <c r="DF60" s="1" t="s">
        <v>45944</v>
      </c>
      <c r="DG60" s="1" t="s">
        <v>45945</v>
      </c>
      <c r="DH60" s="1" t="s">
        <v>45946</v>
      </c>
      <c r="DI60" s="1" t="s">
        <v>45947</v>
      </c>
      <c r="DJ60" s="1" t="s">
        <v>45948</v>
      </c>
      <c r="DK60" s="1" t="s">
        <v>45949</v>
      </c>
      <c r="DL60" s="1" t="s">
        <v>45950</v>
      </c>
      <c r="DM60" s="1" t="s">
        <v>45951</v>
      </c>
      <c r="DN60" s="1" t="s">
        <v>45952</v>
      </c>
      <c r="DO60" s="1" t="s">
        <v>45953</v>
      </c>
      <c r="DP60" s="1" t="s">
        <v>45954</v>
      </c>
      <c r="DQ60" s="1" t="s">
        <v>45955</v>
      </c>
      <c r="DR60" s="1" t="s">
        <v>45956</v>
      </c>
      <c r="DS60" s="1" t="s">
        <v>45957</v>
      </c>
      <c r="DT60" s="1" t="s">
        <v>45958</v>
      </c>
      <c r="DU60" s="1" t="s">
        <v>45959</v>
      </c>
      <c r="DV60" s="1" t="s">
        <v>45960</v>
      </c>
      <c r="DW60" s="1" t="s">
        <v>45961</v>
      </c>
      <c r="DX60" s="1" t="s">
        <v>45962</v>
      </c>
      <c r="DY60" s="1" t="s">
        <v>45963</v>
      </c>
      <c r="DZ60" s="1" t="s">
        <v>45964</v>
      </c>
      <c r="EA60" s="1" t="s">
        <v>45965</v>
      </c>
      <c r="EB60" s="1" t="s">
        <v>45966</v>
      </c>
      <c r="EC60" s="1" t="s">
        <v>45967</v>
      </c>
      <c r="ED60" s="1" t="s">
        <v>45968</v>
      </c>
      <c r="EE60" s="1" t="s">
        <v>45969</v>
      </c>
      <c r="EF60" s="1" t="s">
        <v>45970</v>
      </c>
      <c r="EG60" s="1" t="s">
        <v>45971</v>
      </c>
      <c r="EH60" s="1" t="s">
        <v>45972</v>
      </c>
      <c r="EI60" s="1" t="s">
        <v>45973</v>
      </c>
      <c r="EJ60" s="1" t="s">
        <v>45974</v>
      </c>
      <c r="EK60" s="1" t="s">
        <v>45975</v>
      </c>
      <c r="EL60" s="1" t="s">
        <v>45976</v>
      </c>
      <c r="EM60" s="1" t="s">
        <v>45977</v>
      </c>
      <c r="EN60" s="1" t="s">
        <v>45978</v>
      </c>
      <c r="EO60" s="1" t="s">
        <v>45979</v>
      </c>
      <c r="EP60" s="1" t="s">
        <v>45980</v>
      </c>
      <c r="EQ60" s="1" t="s">
        <v>45981</v>
      </c>
      <c r="ER60" s="1" t="s">
        <v>45982</v>
      </c>
      <c r="ES60" s="1" t="s">
        <v>45983</v>
      </c>
      <c r="ET60" s="1" t="s">
        <v>45984</v>
      </c>
      <c r="EU60" s="1" t="s">
        <v>45985</v>
      </c>
      <c r="EV60" s="1" t="s">
        <v>45986</v>
      </c>
      <c r="EW60" s="1" t="s">
        <v>45987</v>
      </c>
      <c r="EX60" s="1" t="s">
        <v>45988</v>
      </c>
      <c r="EY60" s="1" t="s">
        <v>45989</v>
      </c>
      <c r="EZ60" s="1" t="s">
        <v>45990</v>
      </c>
      <c r="FA60" s="1" t="s">
        <v>45991</v>
      </c>
      <c r="FB60" s="1" t="s">
        <v>45992</v>
      </c>
      <c r="FC60" s="1" t="s">
        <v>45993</v>
      </c>
      <c r="FD60" s="1" t="s">
        <v>45994</v>
      </c>
      <c r="FE60" s="1" t="s">
        <v>45995</v>
      </c>
      <c r="FF60" s="1" t="s">
        <v>45996</v>
      </c>
      <c r="FG60" s="1" t="s">
        <v>45997</v>
      </c>
      <c r="FH60" s="1" t="s">
        <v>45998</v>
      </c>
      <c r="FI60" s="1" t="s">
        <v>45999</v>
      </c>
      <c r="FJ60" s="1" t="s">
        <v>46000</v>
      </c>
      <c r="FK60" s="1" t="s">
        <v>46001</v>
      </c>
      <c r="FL60" s="1" t="s">
        <v>46002</v>
      </c>
      <c r="FM60" s="1" t="s">
        <v>46003</v>
      </c>
      <c r="FN60" s="1" t="s">
        <v>46004</v>
      </c>
      <c r="FO60" s="1" t="s">
        <v>46005</v>
      </c>
      <c r="FP60" s="1" t="s">
        <v>46006</v>
      </c>
      <c r="FQ60" s="1" t="s">
        <v>46007</v>
      </c>
      <c r="FR60" s="1" t="s">
        <v>46008</v>
      </c>
      <c r="FS60" s="1" t="s">
        <v>46009</v>
      </c>
      <c r="FT60" s="1" t="s">
        <v>46010</v>
      </c>
      <c r="FU60" s="1" t="s">
        <v>46011</v>
      </c>
      <c r="FV60" s="1" t="s">
        <v>46012</v>
      </c>
      <c r="FW60" s="1" t="s">
        <v>46013</v>
      </c>
      <c r="FX60" s="1" t="s">
        <v>46014</v>
      </c>
      <c r="FY60" s="1" t="s">
        <v>46015</v>
      </c>
      <c r="FZ60" s="1" t="s">
        <v>46016</v>
      </c>
      <c r="GA60" s="1" t="s">
        <v>46017</v>
      </c>
      <c r="GB60" s="1" t="s">
        <v>46018</v>
      </c>
      <c r="GC60" s="1" t="s">
        <v>46019</v>
      </c>
      <c r="GD60" s="1" t="s">
        <v>46020</v>
      </c>
      <c r="GE60" s="1" t="s">
        <v>46021</v>
      </c>
      <c r="GF60" s="1" t="s">
        <v>46022</v>
      </c>
      <c r="GG60" s="1" t="s">
        <v>46023</v>
      </c>
      <c r="GH60" s="1" t="s">
        <v>46024</v>
      </c>
      <c r="GI60" s="1" t="s">
        <v>46025</v>
      </c>
      <c r="GJ60" s="1" t="s">
        <v>46026</v>
      </c>
      <c r="GK60" s="1" t="s">
        <v>46027</v>
      </c>
      <c r="GL60" s="1" t="s">
        <v>46028</v>
      </c>
      <c r="GM60" s="1" t="s">
        <v>46029</v>
      </c>
      <c r="GN60" s="1" t="s">
        <v>46030</v>
      </c>
      <c r="GO60" s="1" t="s">
        <v>46031</v>
      </c>
      <c r="GP60" s="1" t="s">
        <v>46032</v>
      </c>
      <c r="GQ60" s="1" t="s">
        <v>46033</v>
      </c>
      <c r="GR60" s="1" t="s">
        <v>46034</v>
      </c>
      <c r="GS60" s="1" t="s">
        <v>46035</v>
      </c>
      <c r="GT60" s="1" t="s">
        <v>46036</v>
      </c>
      <c r="GU60" s="1" t="s">
        <v>46037</v>
      </c>
      <c r="GV60" s="1" t="s">
        <v>46038</v>
      </c>
      <c r="GW60" s="1" t="s">
        <v>46039</v>
      </c>
      <c r="GX60" s="1" t="s">
        <v>46040</v>
      </c>
      <c r="GY60" s="1" t="s">
        <v>46041</v>
      </c>
      <c r="GZ60" s="1" t="s">
        <v>46042</v>
      </c>
      <c r="HA60" s="1" t="s">
        <v>46043</v>
      </c>
      <c r="HB60" s="1" t="s">
        <v>46044</v>
      </c>
      <c r="HC60" s="1" t="s">
        <v>46045</v>
      </c>
      <c r="HD60" s="1" t="s">
        <v>46046</v>
      </c>
      <c r="HE60" s="1" t="s">
        <v>46047</v>
      </c>
      <c r="HF60" s="1" t="s">
        <v>46048</v>
      </c>
      <c r="HG60" s="1" t="s">
        <v>46049</v>
      </c>
      <c r="HH60" s="1" t="s">
        <v>46050</v>
      </c>
      <c r="HI60" s="1" t="s">
        <v>46051</v>
      </c>
      <c r="HJ60" s="1" t="s">
        <v>46052</v>
      </c>
      <c r="HK60" s="1" t="s">
        <v>46053</v>
      </c>
      <c r="HL60" s="1" t="s">
        <v>46054</v>
      </c>
      <c r="HM60" s="1" t="s">
        <v>46055</v>
      </c>
      <c r="HN60" s="1" t="s">
        <v>46056</v>
      </c>
      <c r="HO60" s="1" t="s">
        <v>46057</v>
      </c>
      <c r="HP60" s="1" t="s">
        <v>46058</v>
      </c>
      <c r="HQ60" s="1" t="s">
        <v>46059</v>
      </c>
      <c r="HR60" s="1" t="s">
        <v>46060</v>
      </c>
      <c r="HS60" s="1" t="s">
        <v>46061</v>
      </c>
      <c r="HT60" s="1" t="s">
        <v>46062</v>
      </c>
      <c r="HU60" s="1" t="s">
        <v>46063</v>
      </c>
      <c r="HV60" s="1" t="s">
        <v>46064</v>
      </c>
      <c r="HW60" s="1" t="s">
        <v>46065</v>
      </c>
      <c r="HX60" s="1" t="s">
        <v>46066</v>
      </c>
      <c r="HY60" s="1" t="s">
        <v>46067</v>
      </c>
      <c r="HZ60" s="1" t="s">
        <v>46068</v>
      </c>
      <c r="IA60" s="1" t="s">
        <v>46069</v>
      </c>
      <c r="IB60" s="1" t="s">
        <v>46070</v>
      </c>
      <c r="IC60" s="1" t="s">
        <v>46071</v>
      </c>
      <c r="ID60" s="1" t="s">
        <v>46072</v>
      </c>
      <c r="IE60" s="1" t="s">
        <v>46073</v>
      </c>
      <c r="IF60" s="1" t="s">
        <v>46074</v>
      </c>
      <c r="IG60" s="1" t="s">
        <v>46075</v>
      </c>
      <c r="IH60" s="1" t="s">
        <v>46076</v>
      </c>
      <c r="II60" s="1" t="s">
        <v>46077</v>
      </c>
      <c r="IJ60" s="1" t="s">
        <v>46078</v>
      </c>
      <c r="IK60" s="1" t="s">
        <v>46079</v>
      </c>
      <c r="IL60" s="1" t="s">
        <v>46080</v>
      </c>
      <c r="IM60" s="1" t="s">
        <v>46081</v>
      </c>
      <c r="IN60" s="1" t="s">
        <v>46082</v>
      </c>
      <c r="IO60" s="1" t="s">
        <v>46083</v>
      </c>
      <c r="IP60" s="1" t="s">
        <v>46084</v>
      </c>
      <c r="IQ60" s="1" t="s">
        <v>46085</v>
      </c>
      <c r="IR60" s="1" t="s">
        <v>46086</v>
      </c>
      <c r="IS60" s="1" t="s">
        <v>46087</v>
      </c>
      <c r="IT60" s="1" t="s">
        <v>46088</v>
      </c>
      <c r="IU60" s="1" t="s">
        <v>46089</v>
      </c>
      <c r="IV60" s="1" t="s">
        <v>46090</v>
      </c>
      <c r="IW60" s="1" t="s">
        <v>46091</v>
      </c>
      <c r="IX60" s="1" t="s">
        <v>46092</v>
      </c>
      <c r="IY60" s="1" t="s">
        <v>46093</v>
      </c>
      <c r="IZ60" s="1" t="s">
        <v>46094</v>
      </c>
      <c r="JA60" s="1" t="s">
        <v>46095</v>
      </c>
      <c r="JB60" s="1" t="s">
        <v>46096</v>
      </c>
      <c r="JC60" s="1" t="s">
        <v>46097</v>
      </c>
      <c r="JD60" s="1" t="s">
        <v>46098</v>
      </c>
      <c r="JE60" s="1" t="s">
        <v>46099</v>
      </c>
      <c r="JF60" s="1" t="s">
        <v>46100</v>
      </c>
      <c r="JG60" s="1" t="s">
        <v>46101</v>
      </c>
      <c r="JH60" s="1" t="s">
        <v>46102</v>
      </c>
      <c r="JI60" s="1" t="s">
        <v>46103</v>
      </c>
      <c r="JJ60" s="1" t="s">
        <v>46104</v>
      </c>
      <c r="JK60" s="1" t="s">
        <v>46105</v>
      </c>
      <c r="JL60" s="1" t="s">
        <v>46106</v>
      </c>
      <c r="JM60" s="1" t="s">
        <v>46107</v>
      </c>
      <c r="JN60" s="1" t="s">
        <v>46108</v>
      </c>
      <c r="JO60" s="1" t="s">
        <v>46109</v>
      </c>
      <c r="JP60" s="1" t="s">
        <v>46110</v>
      </c>
      <c r="JQ60" s="1" t="s">
        <v>46111</v>
      </c>
      <c r="JR60" s="1" t="s">
        <v>46112</v>
      </c>
      <c r="JS60" s="1" t="s">
        <v>46113</v>
      </c>
      <c r="JT60" s="1" t="s">
        <v>46114</v>
      </c>
      <c r="JU60" s="1" t="s">
        <v>46115</v>
      </c>
      <c r="JV60" s="1" t="s">
        <v>46116</v>
      </c>
      <c r="JW60" s="1" t="s">
        <v>46117</v>
      </c>
      <c r="JX60" s="1" t="s">
        <v>46118</v>
      </c>
      <c r="JY60" s="1" t="s">
        <v>46119</v>
      </c>
      <c r="JZ60" s="1" t="s">
        <v>46120</v>
      </c>
      <c r="KA60" s="1" t="s">
        <v>46121</v>
      </c>
      <c r="KB60" s="1" t="s">
        <v>46122</v>
      </c>
      <c r="KC60" s="1" t="s">
        <v>46123</v>
      </c>
      <c r="KD60" s="1" t="s">
        <v>46124</v>
      </c>
      <c r="KE60" s="1" t="s">
        <v>46125</v>
      </c>
      <c r="KF60" s="1" t="s">
        <v>46126</v>
      </c>
      <c r="KG60" s="1" t="s">
        <v>46127</v>
      </c>
      <c r="KH60" s="1" t="s">
        <v>46128</v>
      </c>
      <c r="KI60" s="1" t="s">
        <v>46129</v>
      </c>
      <c r="KJ60" s="1" t="s">
        <v>46130</v>
      </c>
      <c r="KK60" s="1" t="s">
        <v>46131</v>
      </c>
      <c r="KL60" s="1" t="s">
        <v>46132</v>
      </c>
      <c r="KM60" s="1" t="s">
        <v>46133</v>
      </c>
      <c r="KN60" s="1" t="s">
        <v>46134</v>
      </c>
      <c r="KO60" s="1" t="s">
        <v>46135</v>
      </c>
      <c r="KP60" s="1" t="s">
        <v>46136</v>
      </c>
      <c r="KQ60" s="1" t="s">
        <v>46137</v>
      </c>
      <c r="KR60" s="1" t="s">
        <v>46138</v>
      </c>
      <c r="KS60" s="1" t="s">
        <v>46139</v>
      </c>
      <c r="KT60" s="1" t="s">
        <v>46140</v>
      </c>
      <c r="KU60" s="1" t="s">
        <v>46141</v>
      </c>
      <c r="KV60" s="1" t="s">
        <v>46142</v>
      </c>
      <c r="KW60" s="1" t="s">
        <v>46143</v>
      </c>
      <c r="KX60" s="1" t="s">
        <v>46144</v>
      </c>
      <c r="KY60" s="1" t="s">
        <v>46145</v>
      </c>
      <c r="KZ60" s="1" t="s">
        <v>46146</v>
      </c>
      <c r="LA60" s="1" t="s">
        <v>46147</v>
      </c>
      <c r="LB60" s="1" t="s">
        <v>46148</v>
      </c>
      <c r="LC60" s="1" t="s">
        <v>46149</v>
      </c>
      <c r="LD60" s="1" t="s">
        <v>46150</v>
      </c>
      <c r="LE60" s="1" t="s">
        <v>46151</v>
      </c>
      <c r="LF60" s="1" t="s">
        <v>46152</v>
      </c>
      <c r="LG60" s="1" t="s">
        <v>46153</v>
      </c>
      <c r="LH60" s="1" t="s">
        <v>46154</v>
      </c>
      <c r="LI60" s="1" t="s">
        <v>46155</v>
      </c>
      <c r="LJ60" s="1" t="s">
        <v>46156</v>
      </c>
      <c r="LK60" s="1" t="s">
        <v>46157</v>
      </c>
      <c r="LL60" s="1" t="s">
        <v>46158</v>
      </c>
      <c r="LM60" s="1" t="s">
        <v>46159</v>
      </c>
      <c r="LN60" s="1" t="s">
        <v>46160</v>
      </c>
      <c r="LO60" s="1" t="s">
        <v>46161</v>
      </c>
      <c r="LP60" s="1" t="s">
        <v>46162</v>
      </c>
      <c r="LQ60" s="1" t="s">
        <v>46163</v>
      </c>
      <c r="LR60" s="1" t="s">
        <v>46164</v>
      </c>
      <c r="LS60" s="1" t="s">
        <v>46165</v>
      </c>
      <c r="LT60" s="1" t="s">
        <v>46166</v>
      </c>
      <c r="LU60" s="1" t="s">
        <v>46167</v>
      </c>
      <c r="LV60" s="1" t="s">
        <v>46168</v>
      </c>
      <c r="LW60" s="1" t="s">
        <v>46169</v>
      </c>
      <c r="LX60" s="1" t="s">
        <v>46170</v>
      </c>
      <c r="LY60" s="1" t="s">
        <v>46171</v>
      </c>
      <c r="LZ60" s="1" t="s">
        <v>46172</v>
      </c>
      <c r="MA60" s="1" t="s">
        <v>46173</v>
      </c>
      <c r="MB60" s="1" t="s">
        <v>46174</v>
      </c>
      <c r="MC60" s="1" t="s">
        <v>46175</v>
      </c>
      <c r="MD60" s="1" t="s">
        <v>46176</v>
      </c>
      <c r="ME60" s="1" t="s">
        <v>46177</v>
      </c>
      <c r="MF60" s="1" t="s">
        <v>46178</v>
      </c>
      <c r="MG60" s="1" t="s">
        <v>46179</v>
      </c>
      <c r="MH60" s="1" t="s">
        <v>46180</v>
      </c>
      <c r="MI60" s="1" t="s">
        <v>46181</v>
      </c>
      <c r="MJ60" s="1" t="s">
        <v>46182</v>
      </c>
      <c r="MK60" s="1" t="s">
        <v>46183</v>
      </c>
      <c r="ML60" s="1" t="s">
        <v>46184</v>
      </c>
      <c r="MM60" s="1" t="s">
        <v>46185</v>
      </c>
      <c r="MN60" s="1" t="s">
        <v>46186</v>
      </c>
      <c r="MO60" s="1" t="s">
        <v>46187</v>
      </c>
      <c r="MP60" s="1" t="s">
        <v>46188</v>
      </c>
      <c r="MQ60" s="1" t="s">
        <v>46189</v>
      </c>
      <c r="MR60" s="1" t="s">
        <v>46190</v>
      </c>
      <c r="MS60" s="1" t="s">
        <v>46191</v>
      </c>
      <c r="MT60" s="1" t="s">
        <v>46192</v>
      </c>
      <c r="MU60" s="1" t="s">
        <v>46193</v>
      </c>
      <c r="MV60" s="1" t="s">
        <v>46194</v>
      </c>
      <c r="MW60" s="1" t="s">
        <v>46195</v>
      </c>
      <c r="MX60" s="1" t="s">
        <v>46196</v>
      </c>
      <c r="MY60" s="1" t="s">
        <v>46197</v>
      </c>
      <c r="MZ60" s="1" t="s">
        <v>46198</v>
      </c>
      <c r="NA60" s="1" t="s">
        <v>46199</v>
      </c>
      <c r="NB60" s="1" t="s">
        <v>46200</v>
      </c>
      <c r="NC60" s="1" t="s">
        <v>46201</v>
      </c>
      <c r="ND60" s="1" t="s">
        <v>46202</v>
      </c>
      <c r="NE60" s="1" t="s">
        <v>46203</v>
      </c>
      <c r="NF60" s="1" t="s">
        <v>46204</v>
      </c>
      <c r="NG60" s="1" t="s">
        <v>46205</v>
      </c>
      <c r="NH60" s="1" t="s">
        <v>46206</v>
      </c>
      <c r="NI60" s="1" t="s">
        <v>46207</v>
      </c>
      <c r="NJ60" s="1" t="s">
        <v>46208</v>
      </c>
      <c r="NK60" s="1" t="s">
        <v>46209</v>
      </c>
      <c r="NL60" s="1" t="s">
        <v>46210</v>
      </c>
      <c r="NM60" s="1" t="s">
        <v>46211</v>
      </c>
      <c r="NN60" s="1" t="s">
        <v>46212</v>
      </c>
      <c r="NO60" s="1" t="s">
        <v>46213</v>
      </c>
      <c r="NP60" s="1" t="s">
        <v>46214</v>
      </c>
      <c r="NQ60" s="1" t="s">
        <v>46215</v>
      </c>
      <c r="NR60" s="1" t="s">
        <v>46216</v>
      </c>
      <c r="NS60" s="1" t="s">
        <v>46217</v>
      </c>
      <c r="NT60" s="1" t="s">
        <v>46218</v>
      </c>
      <c r="NU60" s="1" t="s">
        <v>46219</v>
      </c>
      <c r="NV60" s="1" t="s">
        <v>46220</v>
      </c>
      <c r="NW60" s="1" t="s">
        <v>46221</v>
      </c>
      <c r="NX60" s="1" t="s">
        <v>46222</v>
      </c>
      <c r="NY60" s="1" t="s">
        <v>46223</v>
      </c>
      <c r="NZ60" s="1" t="s">
        <v>46224</v>
      </c>
      <c r="OA60" s="1" t="s">
        <v>46225</v>
      </c>
      <c r="OB60" s="1" t="s">
        <v>46226</v>
      </c>
      <c r="OC60" s="1" t="s">
        <v>46227</v>
      </c>
      <c r="OD60" s="1" t="s">
        <v>46228</v>
      </c>
      <c r="OE60" s="1" t="s">
        <v>46229</v>
      </c>
      <c r="OF60" s="1" t="s">
        <v>46230</v>
      </c>
      <c r="OG60" s="1" t="s">
        <v>46231</v>
      </c>
      <c r="OH60" s="1" t="s">
        <v>46232</v>
      </c>
      <c r="OI60" s="1" t="s">
        <v>46233</v>
      </c>
      <c r="OJ60" s="1" t="s">
        <v>46234</v>
      </c>
      <c r="OK60" s="1" t="s">
        <v>46235</v>
      </c>
      <c r="OL60" s="1" t="s">
        <v>46236</v>
      </c>
      <c r="OM60" s="1" t="s">
        <v>46237</v>
      </c>
      <c r="ON60" s="1" t="s">
        <v>46238</v>
      </c>
      <c r="OO60" s="1" t="s">
        <v>46239</v>
      </c>
      <c r="OP60" s="1" t="s">
        <v>46240</v>
      </c>
      <c r="OQ60" s="1" t="s">
        <v>46241</v>
      </c>
      <c r="OR60" s="1" t="s">
        <v>46242</v>
      </c>
      <c r="OS60" s="1" t="s">
        <v>46243</v>
      </c>
      <c r="OT60" s="1" t="s">
        <v>46244</v>
      </c>
      <c r="OU60" s="1" t="s">
        <v>46245</v>
      </c>
      <c r="OV60" s="1" t="s">
        <v>46246</v>
      </c>
      <c r="OW60" s="1" t="s">
        <v>46247</v>
      </c>
      <c r="OX60" s="1" t="s">
        <v>46248</v>
      </c>
      <c r="OY60" s="1" t="s">
        <v>46249</v>
      </c>
      <c r="OZ60" s="1" t="s">
        <v>46250</v>
      </c>
      <c r="PA60" s="1" t="s">
        <v>46251</v>
      </c>
      <c r="PB60" s="1" t="s">
        <v>46252</v>
      </c>
      <c r="PC60" s="1" t="s">
        <v>46253</v>
      </c>
      <c r="PD60" s="1" t="s">
        <v>46254</v>
      </c>
      <c r="PE60" s="1" t="s">
        <v>46255</v>
      </c>
      <c r="PF60" s="1" t="s">
        <v>46256</v>
      </c>
      <c r="PG60" s="1" t="s">
        <v>46257</v>
      </c>
      <c r="PH60" s="1" t="s">
        <v>46258</v>
      </c>
      <c r="PI60" s="1" t="s">
        <v>46259</v>
      </c>
      <c r="PJ60" s="1" t="s">
        <v>46260</v>
      </c>
      <c r="PK60" s="1" t="s">
        <v>46261</v>
      </c>
      <c r="PL60" s="1" t="s">
        <v>46262</v>
      </c>
      <c r="PM60" s="1" t="s">
        <v>46263</v>
      </c>
      <c r="PN60" s="1" t="s">
        <v>46264</v>
      </c>
      <c r="PO60" s="1" t="s">
        <v>46265</v>
      </c>
      <c r="PP60" s="1" t="s">
        <v>46266</v>
      </c>
      <c r="PQ60" s="1" t="s">
        <v>46267</v>
      </c>
      <c r="PR60" s="1" t="s">
        <v>46268</v>
      </c>
      <c r="PS60" s="1" t="s">
        <v>46269</v>
      </c>
      <c r="PT60" s="1" t="s">
        <v>46270</v>
      </c>
      <c r="PU60" s="1" t="s">
        <v>46271</v>
      </c>
      <c r="PV60" s="1" t="s">
        <v>46272</v>
      </c>
      <c r="PW60" s="1" t="s">
        <v>46273</v>
      </c>
      <c r="PX60" s="1" t="s">
        <v>46274</v>
      </c>
      <c r="PY60" s="1" t="s">
        <v>46275</v>
      </c>
      <c r="PZ60" s="1" t="s">
        <v>46276</v>
      </c>
      <c r="QA60" s="1" t="s">
        <v>46277</v>
      </c>
      <c r="QB60" s="1" t="s">
        <v>46278</v>
      </c>
      <c r="QC60" s="1" t="s">
        <v>46279</v>
      </c>
      <c r="QD60" s="1" t="s">
        <v>46280</v>
      </c>
      <c r="QE60" s="1" t="s">
        <v>46281</v>
      </c>
      <c r="QF60" s="1" t="s">
        <v>46282</v>
      </c>
      <c r="QG60" s="1" t="s">
        <v>46283</v>
      </c>
      <c r="QH60" s="1" t="s">
        <v>46284</v>
      </c>
      <c r="QI60" s="1" t="s">
        <v>46285</v>
      </c>
      <c r="QJ60" s="1" t="s">
        <v>46286</v>
      </c>
      <c r="QK60" s="1" t="s">
        <v>46287</v>
      </c>
      <c r="QL60" s="1" t="s">
        <v>46288</v>
      </c>
      <c r="QM60" s="1" t="s">
        <v>46289</v>
      </c>
      <c r="QN60" s="1" t="s">
        <v>46290</v>
      </c>
      <c r="QO60" s="1" t="s">
        <v>46291</v>
      </c>
      <c r="QP60" s="1" t="s">
        <v>46292</v>
      </c>
      <c r="QQ60" s="1" t="s">
        <v>46293</v>
      </c>
      <c r="QR60" s="1" t="s">
        <v>46294</v>
      </c>
      <c r="QS60" s="1" t="s">
        <v>46295</v>
      </c>
      <c r="QT60" s="1" t="s">
        <v>46296</v>
      </c>
      <c r="QU60" s="1" t="s">
        <v>46297</v>
      </c>
      <c r="QV60" s="1" t="s">
        <v>46298</v>
      </c>
      <c r="QW60" s="1" t="s">
        <v>46299</v>
      </c>
      <c r="QX60" s="1" t="s">
        <v>46300</v>
      </c>
      <c r="QY60" s="1" t="s">
        <v>46301</v>
      </c>
      <c r="QZ60" s="1" t="s">
        <v>46302</v>
      </c>
      <c r="RA60" s="1" t="s">
        <v>46303</v>
      </c>
      <c r="RB60" s="1" t="s">
        <v>46304</v>
      </c>
      <c r="RC60" s="1" t="s">
        <v>46305</v>
      </c>
      <c r="RD60" s="1" t="s">
        <v>46306</v>
      </c>
      <c r="RE60" s="1" t="s">
        <v>46307</v>
      </c>
      <c r="RF60" s="1" t="s">
        <v>46308</v>
      </c>
      <c r="RG60" s="1" t="s">
        <v>46309</v>
      </c>
      <c r="RH60" s="1" t="s">
        <v>46310</v>
      </c>
      <c r="RI60" s="1" t="s">
        <v>46311</v>
      </c>
      <c r="RJ60" s="1" t="s">
        <v>46312</v>
      </c>
      <c r="RK60" s="1" t="s">
        <v>46313</v>
      </c>
      <c r="RL60" s="1" t="s">
        <v>46314</v>
      </c>
      <c r="RM60" s="1" t="s">
        <v>46315</v>
      </c>
      <c r="RN60" s="1" t="s">
        <v>46316</v>
      </c>
      <c r="RO60" s="1" t="s">
        <v>46317</v>
      </c>
      <c r="RP60" s="1" t="s">
        <v>46318</v>
      </c>
      <c r="RQ60" s="1" t="s">
        <v>46319</v>
      </c>
      <c r="RR60" s="1" t="s">
        <v>46320</v>
      </c>
      <c r="RS60" s="1" t="s">
        <v>46321</v>
      </c>
      <c r="RT60" s="1" t="s">
        <v>46322</v>
      </c>
      <c r="RU60" s="1" t="s">
        <v>46323</v>
      </c>
      <c r="RV60" s="1" t="s">
        <v>46324</v>
      </c>
      <c r="RW60" s="1" t="s">
        <v>46325</v>
      </c>
      <c r="RX60" s="1" t="s">
        <v>46326</v>
      </c>
      <c r="RY60" s="1" t="s">
        <v>46327</v>
      </c>
      <c r="RZ60" s="1" t="s">
        <v>46328</v>
      </c>
      <c r="SA60" s="1" t="s">
        <v>46329</v>
      </c>
      <c r="SB60" s="1" t="s">
        <v>46330</v>
      </c>
      <c r="SC60" s="1" t="s">
        <v>46331</v>
      </c>
      <c r="SD60" s="1" t="s">
        <v>46332</v>
      </c>
      <c r="SE60" s="1" t="s">
        <v>46333</v>
      </c>
      <c r="SF60" s="1" t="s">
        <v>46334</v>
      </c>
      <c r="SG60" s="1" t="s">
        <v>46335</v>
      </c>
      <c r="SH60" s="1" t="s">
        <v>46336</v>
      </c>
      <c r="SI60" s="1" t="s">
        <v>46337</v>
      </c>
      <c r="SJ60" s="1" t="s">
        <v>46338</v>
      </c>
      <c r="SK60" s="1" t="s">
        <v>46339</v>
      </c>
      <c r="SL60" s="1" t="s">
        <v>46340</v>
      </c>
      <c r="SM60" s="1" t="s">
        <v>46341</v>
      </c>
      <c r="SN60" s="1" t="s">
        <v>46342</v>
      </c>
      <c r="SO60" s="1" t="s">
        <v>46343</v>
      </c>
      <c r="SP60" s="1" t="s">
        <v>46344</v>
      </c>
      <c r="SQ60" s="1" t="s">
        <v>46345</v>
      </c>
      <c r="SR60" s="1" t="s">
        <v>46346</v>
      </c>
      <c r="SS60" s="1" t="s">
        <v>46347</v>
      </c>
      <c r="ST60" s="1" t="s">
        <v>46348</v>
      </c>
      <c r="SU60" s="1" t="s">
        <v>46349</v>
      </c>
      <c r="SV60" s="1" t="s">
        <v>46350</v>
      </c>
      <c r="SW60" s="1" t="s">
        <v>46351</v>
      </c>
      <c r="SX60" s="1" t="s">
        <v>46352</v>
      </c>
      <c r="SY60" s="1" t="s">
        <v>46353</v>
      </c>
      <c r="SZ60" s="1" t="s">
        <v>46354</v>
      </c>
      <c r="TA60" s="1" t="s">
        <v>46355</v>
      </c>
      <c r="TB60" s="1" t="s">
        <v>46356</v>
      </c>
      <c r="TC60" s="1" t="s">
        <v>46357</v>
      </c>
      <c r="TD60" s="1" t="s">
        <v>46358</v>
      </c>
      <c r="TE60" s="1" t="s">
        <v>46359</v>
      </c>
      <c r="TF60" s="1" t="s">
        <v>46360</v>
      </c>
      <c r="TG60" s="1" t="s">
        <v>46361</v>
      </c>
      <c r="TH60" s="1" t="s">
        <v>46362</v>
      </c>
      <c r="TI60" s="1" t="s">
        <v>46363</v>
      </c>
      <c r="TJ60" s="1" t="s">
        <v>46364</v>
      </c>
      <c r="TK60" s="1" t="s">
        <v>46365</v>
      </c>
      <c r="TL60" s="1" t="s">
        <v>46366</v>
      </c>
      <c r="TM60" s="1" t="s">
        <v>46367</v>
      </c>
      <c r="TN60" s="1" t="s">
        <v>46368</v>
      </c>
      <c r="TO60" s="1" t="s">
        <v>46369</v>
      </c>
      <c r="TP60" s="1" t="s">
        <v>46370</v>
      </c>
      <c r="TQ60" s="1" t="s">
        <v>46371</v>
      </c>
      <c r="TR60" s="1" t="s">
        <v>46372</v>
      </c>
      <c r="TS60" s="1" t="s">
        <v>46373</v>
      </c>
      <c r="TT60" s="1" t="s">
        <v>46374</v>
      </c>
      <c r="TU60" s="1" t="s">
        <v>46375</v>
      </c>
      <c r="TV60" s="1" t="s">
        <v>46376</v>
      </c>
      <c r="TW60" s="1" t="s">
        <v>46377</v>
      </c>
      <c r="TX60" s="1" t="s">
        <v>46378</v>
      </c>
      <c r="TY60" s="1" t="s">
        <v>46379</v>
      </c>
      <c r="TZ60" s="1" t="s">
        <v>46380</v>
      </c>
      <c r="UA60" s="1" t="s">
        <v>46381</v>
      </c>
      <c r="UB60" s="1" t="s">
        <v>46382</v>
      </c>
      <c r="UC60" s="1" t="s">
        <v>46383</v>
      </c>
      <c r="UD60" s="1" t="s">
        <v>46384</v>
      </c>
      <c r="UE60" s="1" t="s">
        <v>46385</v>
      </c>
      <c r="UF60" s="1" t="s">
        <v>46386</v>
      </c>
      <c r="UG60" s="1" t="s">
        <v>46387</v>
      </c>
      <c r="UH60" s="1" t="s">
        <v>46388</v>
      </c>
      <c r="UI60" s="1" t="s">
        <v>46389</v>
      </c>
      <c r="UJ60" s="1" t="s">
        <v>46390</v>
      </c>
      <c r="UK60" s="1" t="s">
        <v>46391</v>
      </c>
      <c r="UL60" s="1" t="s">
        <v>46392</v>
      </c>
      <c r="UM60" s="1" t="s">
        <v>46393</v>
      </c>
      <c r="UN60" s="1" t="s">
        <v>46394</v>
      </c>
      <c r="UO60" s="1" t="s">
        <v>46395</v>
      </c>
      <c r="UP60" s="1" t="s">
        <v>46396</v>
      </c>
      <c r="UQ60" s="1" t="s">
        <v>46397</v>
      </c>
      <c r="UR60" s="1" t="s">
        <v>46398</v>
      </c>
      <c r="US60" s="1" t="s">
        <v>46399</v>
      </c>
      <c r="UT60" s="1" t="s">
        <v>46400</v>
      </c>
      <c r="UU60" s="1" t="s">
        <v>46401</v>
      </c>
      <c r="UV60" s="1" t="s">
        <v>46402</v>
      </c>
      <c r="UW60" s="1" t="s">
        <v>46403</v>
      </c>
      <c r="UX60" s="1" t="s">
        <v>46404</v>
      </c>
      <c r="UY60" s="1" t="s">
        <v>46405</v>
      </c>
      <c r="UZ60" s="1" t="s">
        <v>46406</v>
      </c>
      <c r="VA60" s="1" t="s">
        <v>46407</v>
      </c>
      <c r="VB60" s="1" t="s">
        <v>46408</v>
      </c>
      <c r="VC60" s="1" t="s">
        <v>46409</v>
      </c>
      <c r="VD60" s="1" t="s">
        <v>46410</v>
      </c>
      <c r="VE60" s="1" t="s">
        <v>46411</v>
      </c>
      <c r="VF60" s="1" t="s">
        <v>46412</v>
      </c>
      <c r="VG60" s="1" t="s">
        <v>46413</v>
      </c>
      <c r="VH60" s="1" t="s">
        <v>46414</v>
      </c>
      <c r="VI60" s="1" t="s">
        <v>46415</v>
      </c>
      <c r="VJ60" s="1" t="s">
        <v>46416</v>
      </c>
      <c r="VK60" s="1" t="s">
        <v>46417</v>
      </c>
      <c r="VL60" s="1" t="s">
        <v>46418</v>
      </c>
      <c r="VM60" s="1" t="s">
        <v>46419</v>
      </c>
      <c r="VN60" s="1" t="s">
        <v>46420</v>
      </c>
      <c r="VO60" s="1" t="s">
        <v>46421</v>
      </c>
      <c r="VP60" s="1" t="s">
        <v>46422</v>
      </c>
      <c r="VQ60" s="1" t="s">
        <v>46423</v>
      </c>
      <c r="VR60" s="1" t="s">
        <v>46424</v>
      </c>
      <c r="VS60" s="1" t="s">
        <v>46425</v>
      </c>
      <c r="VT60" s="1" t="s">
        <v>46426</v>
      </c>
      <c r="VU60" s="1" t="s">
        <v>46427</v>
      </c>
      <c r="VV60" s="1" t="s">
        <v>46428</v>
      </c>
      <c r="VW60" s="1" t="s">
        <v>46429</v>
      </c>
      <c r="VX60" s="1" t="s">
        <v>46430</v>
      </c>
      <c r="VY60" s="1" t="s">
        <v>46431</v>
      </c>
      <c r="VZ60" s="1" t="s">
        <v>46432</v>
      </c>
      <c r="WA60" s="1" t="s">
        <v>46433</v>
      </c>
      <c r="WB60" s="1" t="s">
        <v>46434</v>
      </c>
      <c r="WC60" s="1" t="s">
        <v>46435</v>
      </c>
      <c r="WD60" s="1" t="s">
        <v>46436</v>
      </c>
      <c r="WE60" s="1" t="s">
        <v>46437</v>
      </c>
      <c r="WF60" s="1" t="s">
        <v>46438</v>
      </c>
      <c r="WG60" s="1" t="s">
        <v>46439</v>
      </c>
      <c r="WH60" s="1" t="s">
        <v>46440</v>
      </c>
      <c r="WI60" s="1" t="s">
        <v>46441</v>
      </c>
      <c r="WJ60" s="1" t="s">
        <v>46442</v>
      </c>
      <c r="WK60" s="1" t="s">
        <v>46443</v>
      </c>
      <c r="WL60" s="1" t="s">
        <v>46444</v>
      </c>
      <c r="WM60" s="1" t="s">
        <v>46445</v>
      </c>
      <c r="WN60" s="1" t="s">
        <v>46446</v>
      </c>
      <c r="WO60" s="1" t="s">
        <v>46447</v>
      </c>
      <c r="WP60" s="1" t="s">
        <v>46448</v>
      </c>
      <c r="WQ60" s="1" t="s">
        <v>46449</v>
      </c>
      <c r="WR60" s="1" t="s">
        <v>46450</v>
      </c>
      <c r="WS60" s="1" t="s">
        <v>46451</v>
      </c>
      <c r="WT60" s="1" t="s">
        <v>46452</v>
      </c>
      <c r="WU60" s="1" t="s">
        <v>46453</v>
      </c>
      <c r="WV60" s="1" t="s">
        <v>46454</v>
      </c>
      <c r="WW60" s="1" t="s">
        <v>46455</v>
      </c>
      <c r="WX60" s="1" t="s">
        <v>46456</v>
      </c>
      <c r="WY60" s="1" t="s">
        <v>46457</v>
      </c>
      <c r="WZ60" s="1" t="s">
        <v>46458</v>
      </c>
      <c r="XA60" s="1" t="s">
        <v>46459</v>
      </c>
      <c r="XB60" s="1" t="s">
        <v>46460</v>
      </c>
      <c r="XC60" s="1" t="s">
        <v>46461</v>
      </c>
      <c r="XD60" s="1" t="s">
        <v>46462</v>
      </c>
      <c r="XE60" s="1" t="s">
        <v>46463</v>
      </c>
      <c r="XF60" s="1" t="s">
        <v>46464</v>
      </c>
      <c r="XG60" s="1" t="s">
        <v>46465</v>
      </c>
      <c r="XH60" s="1" t="s">
        <v>46466</v>
      </c>
      <c r="XI60" s="1" t="s">
        <v>46467</v>
      </c>
      <c r="XJ60" s="1" t="s">
        <v>46468</v>
      </c>
      <c r="XK60" s="1" t="s">
        <v>46469</v>
      </c>
      <c r="XL60" s="1" t="s">
        <v>46470</v>
      </c>
      <c r="XM60" s="1" t="s">
        <v>46471</v>
      </c>
      <c r="XN60" s="1" t="s">
        <v>46472</v>
      </c>
      <c r="XO60" s="1" t="s">
        <v>46473</v>
      </c>
      <c r="XP60" s="1" t="s">
        <v>46474</v>
      </c>
      <c r="XQ60" s="1" t="s">
        <v>46475</v>
      </c>
      <c r="XR60" s="1" t="s">
        <v>46476</v>
      </c>
      <c r="XS60" s="1" t="s">
        <v>46477</v>
      </c>
      <c r="XT60" s="1" t="s">
        <v>46478</v>
      </c>
      <c r="XU60" s="1" t="s">
        <v>46479</v>
      </c>
      <c r="XV60" s="1" t="s">
        <v>46480</v>
      </c>
      <c r="XW60" s="1" t="s">
        <v>46481</v>
      </c>
      <c r="XX60" s="1" t="s">
        <v>46482</v>
      </c>
      <c r="XY60" s="1" t="s">
        <v>46483</v>
      </c>
      <c r="XZ60" s="1" t="s">
        <v>46484</v>
      </c>
      <c r="YA60" s="1" t="s">
        <v>46485</v>
      </c>
      <c r="YB60" s="1" t="s">
        <v>46486</v>
      </c>
      <c r="YC60" s="1" t="s">
        <v>46487</v>
      </c>
      <c r="YD60" s="1" t="s">
        <v>46488</v>
      </c>
      <c r="YE60" s="1" t="s">
        <v>46489</v>
      </c>
      <c r="YF60" s="1" t="s">
        <v>46490</v>
      </c>
      <c r="YG60" s="1" t="s">
        <v>46491</v>
      </c>
      <c r="YH60" s="1" t="s">
        <v>46492</v>
      </c>
      <c r="YI60" s="1" t="s">
        <v>46493</v>
      </c>
      <c r="YJ60" s="1" t="s">
        <v>46494</v>
      </c>
      <c r="YK60" s="1" t="s">
        <v>46495</v>
      </c>
      <c r="YL60" s="1" t="s">
        <v>46496</v>
      </c>
      <c r="YM60" s="1" t="s">
        <v>46497</v>
      </c>
      <c r="YN60" s="1" t="s">
        <v>46498</v>
      </c>
      <c r="YO60" s="1" t="s">
        <v>46499</v>
      </c>
      <c r="YP60" s="1" t="s">
        <v>46500</v>
      </c>
      <c r="YQ60" s="1" t="s">
        <v>46501</v>
      </c>
      <c r="YR60" s="1" t="s">
        <v>46502</v>
      </c>
      <c r="YS60" s="1" t="s">
        <v>46503</v>
      </c>
      <c r="YT60" s="1" t="s">
        <v>46504</v>
      </c>
      <c r="YU60" s="1" t="s">
        <v>46505</v>
      </c>
      <c r="YV60" s="1" t="s">
        <v>46506</v>
      </c>
      <c r="YW60" s="1" t="s">
        <v>46507</v>
      </c>
      <c r="YX60" s="1" t="s">
        <v>46508</v>
      </c>
      <c r="YY60" s="1" t="s">
        <v>46509</v>
      </c>
      <c r="YZ60" s="1" t="s">
        <v>46510</v>
      </c>
      <c r="ZA60" s="1" t="s">
        <v>46511</v>
      </c>
      <c r="ZB60" s="1" t="s">
        <v>46512</v>
      </c>
      <c r="ZC60" s="1" t="s">
        <v>46513</v>
      </c>
      <c r="ZD60" s="1" t="s">
        <v>46514</v>
      </c>
      <c r="ZE60" s="1" t="s">
        <v>46515</v>
      </c>
      <c r="ZF60" s="1" t="s">
        <v>46516</v>
      </c>
      <c r="ZG60" s="1" t="s">
        <v>46517</v>
      </c>
      <c r="ZH60" s="1" t="s">
        <v>46518</v>
      </c>
      <c r="ZI60" s="1" t="s">
        <v>46519</v>
      </c>
      <c r="ZJ60" s="1" t="s">
        <v>46520</v>
      </c>
      <c r="ZK60" s="1" t="s">
        <v>46521</v>
      </c>
      <c r="ZL60" s="1" t="s">
        <v>46522</v>
      </c>
      <c r="ZM60" s="1" t="s">
        <v>46523</v>
      </c>
      <c r="ZN60" s="1" t="s">
        <v>46524</v>
      </c>
      <c r="ZO60" s="1" t="s">
        <v>46525</v>
      </c>
      <c r="ZP60" s="1" t="s">
        <v>46526</v>
      </c>
      <c r="ZQ60" s="1" t="s">
        <v>46527</v>
      </c>
      <c r="ZR60" s="1" t="s">
        <v>46528</v>
      </c>
      <c r="ZS60" s="1" t="s">
        <v>46529</v>
      </c>
      <c r="ZT60" s="1" t="s">
        <v>46530</v>
      </c>
      <c r="ZU60" s="1" t="s">
        <v>46531</v>
      </c>
      <c r="ZV60" s="1" t="s">
        <v>46532</v>
      </c>
      <c r="ZW60" s="1" t="s">
        <v>46533</v>
      </c>
      <c r="ZX60" s="1" t="s">
        <v>46534</v>
      </c>
      <c r="ZY60" s="1" t="s">
        <v>46535</v>
      </c>
      <c r="ZZ60" s="1" t="s">
        <v>46536</v>
      </c>
      <c r="AAA60" s="1" t="s">
        <v>46537</v>
      </c>
      <c r="AAB60" s="1" t="s">
        <v>46538</v>
      </c>
      <c r="AAC60" s="1" t="s">
        <v>46539</v>
      </c>
      <c r="AAD60" s="1" t="s">
        <v>46540</v>
      </c>
      <c r="AAE60" s="1" t="s">
        <v>46541</v>
      </c>
      <c r="AAF60" s="1" t="s">
        <v>46542</v>
      </c>
      <c r="AAG60" s="1" t="s">
        <v>46543</v>
      </c>
      <c r="AAH60" s="1" t="s">
        <v>46544</v>
      </c>
      <c r="AAI60" s="1" t="s">
        <v>46545</v>
      </c>
      <c r="AAJ60" s="1" t="s">
        <v>46546</v>
      </c>
      <c r="AAK60" s="1" t="s">
        <v>46547</v>
      </c>
      <c r="AAL60" s="1" t="s">
        <v>46548</v>
      </c>
      <c r="AAM60" s="1" t="s">
        <v>46549</v>
      </c>
      <c r="AAN60" s="1" t="s">
        <v>46550</v>
      </c>
      <c r="AAO60" s="1" t="s">
        <v>46551</v>
      </c>
      <c r="AAP60" s="1" t="s">
        <v>46552</v>
      </c>
      <c r="AAQ60" s="1" t="s">
        <v>46553</v>
      </c>
      <c r="AAR60" s="1" t="s">
        <v>46554</v>
      </c>
      <c r="AAS60" s="1" t="s">
        <v>46555</v>
      </c>
      <c r="AAT60" s="1" t="s">
        <v>46556</v>
      </c>
      <c r="AAU60" s="1" t="s">
        <v>46557</v>
      </c>
      <c r="AAV60" s="1" t="s">
        <v>46558</v>
      </c>
      <c r="AAW60" s="1" t="s">
        <v>46559</v>
      </c>
      <c r="AAX60" s="1" t="s">
        <v>46560</v>
      </c>
      <c r="AAY60" s="1" t="s">
        <v>46561</v>
      </c>
      <c r="AAZ60" s="1" t="s">
        <v>46562</v>
      </c>
      <c r="ABA60" s="1" t="s">
        <v>46563</v>
      </c>
      <c r="ABB60" s="1" t="s">
        <v>46564</v>
      </c>
      <c r="ABC60" s="1" t="s">
        <v>46565</v>
      </c>
      <c r="ABD60" s="1" t="s">
        <v>46566</v>
      </c>
      <c r="ABE60" s="1" t="s">
        <v>46567</v>
      </c>
      <c r="ABF60" s="1" t="s">
        <v>46568</v>
      </c>
      <c r="ABG60" s="1" t="s">
        <v>46569</v>
      </c>
      <c r="ABH60" s="1" t="s">
        <v>46570</v>
      </c>
      <c r="ABI60" s="1" t="s">
        <v>46571</v>
      </c>
      <c r="ABJ60" s="1" t="s">
        <v>46572</v>
      </c>
      <c r="ABK60" s="1" t="s">
        <v>46573</v>
      </c>
      <c r="ABL60" s="1" t="s">
        <v>46574</v>
      </c>
      <c r="ABM60" s="1" t="s">
        <v>46575</v>
      </c>
      <c r="ABN60" s="1" t="s">
        <v>46576</v>
      </c>
      <c r="ABO60" s="1" t="s">
        <v>46577</v>
      </c>
      <c r="ABP60" s="1" t="s">
        <v>46578</v>
      </c>
      <c r="ABQ60" s="1" t="s">
        <v>46579</v>
      </c>
      <c r="ABR60" s="1" t="s">
        <v>46580</v>
      </c>
      <c r="ABS60" s="1" t="s">
        <v>46581</v>
      </c>
      <c r="ABT60" s="1" t="s">
        <v>46582</v>
      </c>
      <c r="ABU60" s="1" t="s">
        <v>46583</v>
      </c>
      <c r="ABV60" s="1" t="s">
        <v>46584</v>
      </c>
      <c r="ABW60" s="1" t="s">
        <v>46585</v>
      </c>
      <c r="ABX60" s="1" t="s">
        <v>46586</v>
      </c>
      <c r="ABY60" s="1" t="s">
        <v>46587</v>
      </c>
      <c r="ABZ60" s="1" t="s">
        <v>46588</v>
      </c>
      <c r="ACA60" s="1" t="s">
        <v>46589</v>
      </c>
      <c r="ACB60" s="1" t="s">
        <v>46590</v>
      </c>
      <c r="ACC60" s="1" t="s">
        <v>46591</v>
      </c>
      <c r="ACD60" s="1" t="s">
        <v>46592</v>
      </c>
      <c r="ACE60" s="1" t="s">
        <v>46593</v>
      </c>
      <c r="ACF60" s="1" t="s">
        <v>46594</v>
      </c>
      <c r="ACG60" s="1" t="s">
        <v>46595</v>
      </c>
      <c r="ACH60" s="1" t="s">
        <v>46596</v>
      </c>
      <c r="ACI60" s="1" t="s">
        <v>46597</v>
      </c>
      <c r="ACJ60" s="1" t="s">
        <v>46598</v>
      </c>
      <c r="ACK60" s="1" t="s">
        <v>46599</v>
      </c>
      <c r="ACL60" s="1" t="s">
        <v>46600</v>
      </c>
      <c r="ACM60" s="1" t="s">
        <v>46601</v>
      </c>
      <c r="ACN60" s="1" t="s">
        <v>46602</v>
      </c>
      <c r="ACO60" s="1" t="s">
        <v>46603</v>
      </c>
      <c r="ACP60" s="1" t="s">
        <v>46604</v>
      </c>
      <c r="ACQ60" s="1" t="s">
        <v>46605</v>
      </c>
      <c r="ACR60" s="1" t="s">
        <v>46606</v>
      </c>
      <c r="ACS60" s="1" t="s">
        <v>46607</v>
      </c>
      <c r="ACT60" s="1" t="s">
        <v>46608</v>
      </c>
      <c r="ACU60" s="1" t="s">
        <v>46609</v>
      </c>
      <c r="ACV60" s="1" t="s">
        <v>46610</v>
      </c>
      <c r="ACW60" s="1" t="s">
        <v>12</v>
      </c>
      <c r="ACX60" s="1" t="s">
        <v>1500</v>
      </c>
    </row>
    <row r="61" spans="1:778" x14ac:dyDescent="0.2">
      <c r="A61" s="1" t="s">
        <v>80</v>
      </c>
      <c r="B61" s="1" t="s">
        <v>46611</v>
      </c>
      <c r="C61" s="1" t="s">
        <v>46612</v>
      </c>
      <c r="D61" s="1" t="s">
        <v>46613</v>
      </c>
      <c r="E61" s="1" t="s">
        <v>46614</v>
      </c>
      <c r="F61" s="1" t="s">
        <v>46615</v>
      </c>
      <c r="G61" s="1" t="s">
        <v>46616</v>
      </c>
      <c r="H61" s="1" t="s">
        <v>46617</v>
      </c>
      <c r="I61" s="1" t="s">
        <v>46618</v>
      </c>
      <c r="J61" s="1" t="s">
        <v>46619</v>
      </c>
      <c r="K61" s="1" t="s">
        <v>46620</v>
      </c>
      <c r="L61" s="1" t="s">
        <v>46621</v>
      </c>
      <c r="M61" s="1" t="s">
        <v>46622</v>
      </c>
      <c r="N61" s="1" t="s">
        <v>46623</v>
      </c>
      <c r="O61" s="1" t="s">
        <v>46624</v>
      </c>
      <c r="P61" s="1" t="s">
        <v>46625</v>
      </c>
      <c r="Q61" s="1" t="s">
        <v>46626</v>
      </c>
      <c r="R61" s="1" t="s">
        <v>46627</v>
      </c>
      <c r="S61" s="1" t="s">
        <v>46628</v>
      </c>
      <c r="T61" s="1" t="s">
        <v>46629</v>
      </c>
      <c r="U61" s="1" t="s">
        <v>46630</v>
      </c>
      <c r="V61" s="1" t="s">
        <v>46631</v>
      </c>
      <c r="W61" s="1" t="s">
        <v>46632</v>
      </c>
      <c r="X61" s="1" t="s">
        <v>46633</v>
      </c>
      <c r="Y61" s="1" t="s">
        <v>46634</v>
      </c>
      <c r="Z61" s="1" t="s">
        <v>46635</v>
      </c>
      <c r="AA61" s="1" t="s">
        <v>46636</v>
      </c>
      <c r="AB61" s="1" t="s">
        <v>46637</v>
      </c>
      <c r="AC61" s="1" t="s">
        <v>46638</v>
      </c>
      <c r="AD61" s="1" t="s">
        <v>46639</v>
      </c>
      <c r="AE61" s="1" t="s">
        <v>46640</v>
      </c>
      <c r="AF61" s="1" t="s">
        <v>46641</v>
      </c>
      <c r="AG61" s="1" t="s">
        <v>46642</v>
      </c>
      <c r="AH61" s="1" t="s">
        <v>46643</v>
      </c>
      <c r="AI61" s="1" t="s">
        <v>46644</v>
      </c>
      <c r="AJ61" s="1" t="s">
        <v>46645</v>
      </c>
      <c r="AK61" s="1" t="s">
        <v>46646</v>
      </c>
      <c r="AL61" s="1" t="s">
        <v>46647</v>
      </c>
      <c r="AM61" s="1" t="s">
        <v>46648</v>
      </c>
      <c r="AN61" s="1" t="s">
        <v>46649</v>
      </c>
      <c r="AO61" s="1" t="s">
        <v>46650</v>
      </c>
      <c r="AP61" s="1" t="s">
        <v>46651</v>
      </c>
      <c r="AQ61" s="1" t="s">
        <v>46652</v>
      </c>
      <c r="AR61" s="1" t="s">
        <v>46653</v>
      </c>
      <c r="AS61" s="1" t="s">
        <v>46654</v>
      </c>
      <c r="AT61" s="1" t="s">
        <v>46655</v>
      </c>
      <c r="AU61" s="1" t="s">
        <v>46656</v>
      </c>
      <c r="AV61" s="1" t="s">
        <v>46657</v>
      </c>
      <c r="AW61" s="1" t="s">
        <v>46658</v>
      </c>
      <c r="AX61" s="1" t="s">
        <v>46659</v>
      </c>
      <c r="AY61" s="1" t="s">
        <v>46660</v>
      </c>
      <c r="AZ61" s="1" t="s">
        <v>46661</v>
      </c>
      <c r="BA61" s="1" t="s">
        <v>46662</v>
      </c>
      <c r="BB61" s="1" t="s">
        <v>46663</v>
      </c>
      <c r="BC61" s="1" t="s">
        <v>46664</v>
      </c>
      <c r="BD61" s="1" t="s">
        <v>46665</v>
      </c>
      <c r="BE61" s="1" t="s">
        <v>46666</v>
      </c>
      <c r="BF61" s="1" t="s">
        <v>46667</v>
      </c>
      <c r="BG61" s="1" t="s">
        <v>46668</v>
      </c>
      <c r="BH61" s="1" t="s">
        <v>46669</v>
      </c>
      <c r="BI61" s="1" t="s">
        <v>46670</v>
      </c>
      <c r="BJ61" s="1" t="s">
        <v>46671</v>
      </c>
      <c r="BK61" s="1" t="s">
        <v>46672</v>
      </c>
      <c r="BL61" s="1" t="s">
        <v>46673</v>
      </c>
      <c r="BM61" s="1" t="s">
        <v>46674</v>
      </c>
      <c r="BN61" s="1" t="s">
        <v>46675</v>
      </c>
      <c r="BO61" s="1" t="s">
        <v>46676</v>
      </c>
      <c r="BP61" s="1" t="s">
        <v>46677</v>
      </c>
      <c r="BQ61" s="1" t="s">
        <v>46678</v>
      </c>
      <c r="BR61" s="1" t="s">
        <v>46679</v>
      </c>
      <c r="BS61" s="1" t="s">
        <v>46680</v>
      </c>
      <c r="BT61" s="1" t="s">
        <v>46681</v>
      </c>
      <c r="BU61" s="1" t="s">
        <v>46682</v>
      </c>
      <c r="BV61" s="1" t="s">
        <v>46683</v>
      </c>
      <c r="BW61" s="1" t="s">
        <v>46684</v>
      </c>
      <c r="BX61" s="1" t="s">
        <v>46685</v>
      </c>
      <c r="BY61" s="1" t="s">
        <v>46686</v>
      </c>
      <c r="BZ61" s="1" t="s">
        <v>46687</v>
      </c>
      <c r="CA61" s="1" t="s">
        <v>46688</v>
      </c>
      <c r="CB61" s="1" t="s">
        <v>46689</v>
      </c>
      <c r="CC61" s="1" t="s">
        <v>46690</v>
      </c>
      <c r="CD61" s="1" t="s">
        <v>46691</v>
      </c>
      <c r="CE61" s="1" t="s">
        <v>46692</v>
      </c>
      <c r="CF61" s="1" t="s">
        <v>46693</v>
      </c>
      <c r="CG61" s="1" t="s">
        <v>46694</v>
      </c>
      <c r="CH61" s="1" t="s">
        <v>46695</v>
      </c>
      <c r="CI61" s="1" t="s">
        <v>46696</v>
      </c>
      <c r="CJ61" s="1" t="s">
        <v>46697</v>
      </c>
      <c r="CK61" s="1" t="s">
        <v>46698</v>
      </c>
      <c r="CL61" s="1" t="s">
        <v>46699</v>
      </c>
      <c r="CM61" s="1" t="s">
        <v>46700</v>
      </c>
      <c r="CN61" s="1" t="s">
        <v>46701</v>
      </c>
      <c r="CO61" s="1" t="s">
        <v>46702</v>
      </c>
      <c r="CP61" s="1" t="s">
        <v>46703</v>
      </c>
      <c r="CQ61" s="1" t="s">
        <v>46704</v>
      </c>
      <c r="CR61" s="1" t="s">
        <v>46705</v>
      </c>
      <c r="CS61" s="1" t="s">
        <v>46706</v>
      </c>
      <c r="CT61" s="1" t="s">
        <v>46707</v>
      </c>
      <c r="CU61" s="1" t="s">
        <v>46708</v>
      </c>
      <c r="CV61" s="1" t="s">
        <v>46709</v>
      </c>
      <c r="CW61" s="1" t="s">
        <v>46710</v>
      </c>
      <c r="CX61" s="1" t="s">
        <v>46711</v>
      </c>
      <c r="CY61" s="1" t="s">
        <v>46712</v>
      </c>
      <c r="CZ61" s="1" t="s">
        <v>46713</v>
      </c>
      <c r="DA61" s="1" t="s">
        <v>46714</v>
      </c>
      <c r="DB61" s="1" t="s">
        <v>46715</v>
      </c>
      <c r="DC61" s="1" t="s">
        <v>46716</v>
      </c>
      <c r="DD61" s="1" t="s">
        <v>46717</v>
      </c>
      <c r="DE61" s="1" t="s">
        <v>46718</v>
      </c>
      <c r="DF61" s="1" t="s">
        <v>46719</v>
      </c>
      <c r="DG61" s="1" t="s">
        <v>46720</v>
      </c>
      <c r="DH61" s="1" t="s">
        <v>46721</v>
      </c>
      <c r="DI61" s="1" t="s">
        <v>46722</v>
      </c>
      <c r="DJ61" s="1" t="s">
        <v>46723</v>
      </c>
      <c r="DK61" s="1" t="s">
        <v>46724</v>
      </c>
      <c r="DL61" s="1" t="s">
        <v>46725</v>
      </c>
      <c r="DM61" s="1" t="s">
        <v>46726</v>
      </c>
      <c r="DN61" s="1" t="s">
        <v>46727</v>
      </c>
      <c r="DO61" s="1" t="s">
        <v>46728</v>
      </c>
      <c r="DP61" s="1" t="s">
        <v>46729</v>
      </c>
      <c r="DQ61" s="1" t="s">
        <v>46730</v>
      </c>
      <c r="DR61" s="1" t="s">
        <v>46731</v>
      </c>
      <c r="DS61" s="1" t="s">
        <v>46732</v>
      </c>
      <c r="DT61" s="1" t="s">
        <v>46733</v>
      </c>
      <c r="DU61" s="1" t="s">
        <v>46734</v>
      </c>
      <c r="DV61" s="1" t="s">
        <v>46735</v>
      </c>
      <c r="DW61" s="1" t="s">
        <v>46736</v>
      </c>
      <c r="DX61" s="1" t="s">
        <v>46737</v>
      </c>
      <c r="DY61" s="1" t="s">
        <v>46738</v>
      </c>
      <c r="DZ61" s="1" t="s">
        <v>46739</v>
      </c>
      <c r="EA61" s="1" t="s">
        <v>46740</v>
      </c>
      <c r="EB61" s="1" t="s">
        <v>46741</v>
      </c>
      <c r="EC61" s="1" t="s">
        <v>46742</v>
      </c>
      <c r="ED61" s="1" t="s">
        <v>46743</v>
      </c>
      <c r="EE61" s="1" t="s">
        <v>46744</v>
      </c>
      <c r="EF61" s="1" t="s">
        <v>46745</v>
      </c>
      <c r="EG61" s="1" t="s">
        <v>46746</v>
      </c>
      <c r="EH61" s="1" t="s">
        <v>46747</v>
      </c>
      <c r="EI61" s="1" t="s">
        <v>46748</v>
      </c>
      <c r="EJ61" s="1" t="s">
        <v>46749</v>
      </c>
      <c r="EK61" s="1" t="s">
        <v>46750</v>
      </c>
      <c r="EL61" s="1" t="s">
        <v>46751</v>
      </c>
      <c r="EM61" s="1" t="s">
        <v>46752</v>
      </c>
      <c r="EN61" s="1" t="s">
        <v>46753</v>
      </c>
      <c r="EO61" s="1" t="s">
        <v>46754</v>
      </c>
      <c r="EP61" s="1" t="s">
        <v>46755</v>
      </c>
      <c r="EQ61" s="1" t="s">
        <v>46756</v>
      </c>
      <c r="ER61" s="1" t="s">
        <v>46757</v>
      </c>
      <c r="ES61" s="1" t="s">
        <v>46758</v>
      </c>
      <c r="ET61" s="1" t="s">
        <v>46759</v>
      </c>
      <c r="EU61" s="1" t="s">
        <v>46760</v>
      </c>
      <c r="EV61" s="1" t="s">
        <v>46761</v>
      </c>
      <c r="EW61" s="1" t="s">
        <v>46762</v>
      </c>
      <c r="EX61" s="1" t="s">
        <v>46763</v>
      </c>
      <c r="EY61" s="1" t="s">
        <v>46764</v>
      </c>
      <c r="EZ61" s="1" t="s">
        <v>46765</v>
      </c>
      <c r="FA61" s="1" t="s">
        <v>46766</v>
      </c>
      <c r="FB61" s="1" t="s">
        <v>46767</v>
      </c>
      <c r="FC61" s="1" t="s">
        <v>46768</v>
      </c>
      <c r="FD61" s="1" t="s">
        <v>46769</v>
      </c>
      <c r="FE61" s="1" t="s">
        <v>46770</v>
      </c>
      <c r="FF61" s="1" t="s">
        <v>46771</v>
      </c>
      <c r="FG61" s="1" t="s">
        <v>46772</v>
      </c>
      <c r="FH61" s="1" t="s">
        <v>46773</v>
      </c>
      <c r="FI61" s="1" t="s">
        <v>46774</v>
      </c>
      <c r="FJ61" s="1" t="s">
        <v>46775</v>
      </c>
      <c r="FK61" s="1" t="s">
        <v>46776</v>
      </c>
      <c r="FL61" s="1" t="s">
        <v>46777</v>
      </c>
      <c r="FM61" s="1" t="s">
        <v>46778</v>
      </c>
      <c r="FN61" s="1" t="s">
        <v>46779</v>
      </c>
      <c r="FO61" s="1" t="s">
        <v>46780</v>
      </c>
      <c r="FP61" s="1" t="s">
        <v>46781</v>
      </c>
      <c r="FQ61" s="1" t="s">
        <v>46782</v>
      </c>
      <c r="FR61" s="1" t="s">
        <v>46783</v>
      </c>
      <c r="FS61" s="1" t="s">
        <v>46784</v>
      </c>
      <c r="FT61" s="1" t="s">
        <v>46785</v>
      </c>
      <c r="FU61" s="1" t="s">
        <v>46786</v>
      </c>
      <c r="FV61" s="1" t="s">
        <v>46787</v>
      </c>
      <c r="FW61" s="1" t="s">
        <v>46788</v>
      </c>
      <c r="FX61" s="1" t="s">
        <v>46789</v>
      </c>
      <c r="FY61" s="1" t="s">
        <v>46790</v>
      </c>
      <c r="FZ61" s="1" t="s">
        <v>46791</v>
      </c>
      <c r="GA61" s="1" t="s">
        <v>46792</v>
      </c>
      <c r="GB61" s="1" t="s">
        <v>46793</v>
      </c>
      <c r="GC61" s="1" t="s">
        <v>46794</v>
      </c>
      <c r="GD61" s="1" t="s">
        <v>46795</v>
      </c>
      <c r="GE61" s="1" t="s">
        <v>46796</v>
      </c>
      <c r="GF61" s="1" t="s">
        <v>46797</v>
      </c>
      <c r="GG61" s="1" t="s">
        <v>46798</v>
      </c>
      <c r="GH61" s="1" t="s">
        <v>46799</v>
      </c>
      <c r="GI61" s="1" t="s">
        <v>46800</v>
      </c>
      <c r="GJ61" s="1" t="s">
        <v>46801</v>
      </c>
      <c r="GK61" s="1" t="s">
        <v>46802</v>
      </c>
      <c r="GL61" s="1" t="s">
        <v>46803</v>
      </c>
      <c r="GM61" s="1" t="s">
        <v>46804</v>
      </c>
      <c r="GN61" s="1" t="s">
        <v>46805</v>
      </c>
      <c r="GO61" s="1" t="s">
        <v>46806</v>
      </c>
      <c r="GP61" s="1" t="s">
        <v>46807</v>
      </c>
      <c r="GQ61" s="1" t="s">
        <v>46808</v>
      </c>
      <c r="GR61" s="1" t="s">
        <v>46809</v>
      </c>
      <c r="GS61" s="1" t="s">
        <v>46810</v>
      </c>
      <c r="GT61" s="1" t="s">
        <v>46811</v>
      </c>
      <c r="GU61" s="1" t="s">
        <v>46812</v>
      </c>
      <c r="GV61" s="1" t="s">
        <v>46813</v>
      </c>
      <c r="GW61" s="1" t="s">
        <v>46814</v>
      </c>
      <c r="GX61" s="1" t="s">
        <v>46815</v>
      </c>
      <c r="GY61" s="1" t="s">
        <v>46816</v>
      </c>
      <c r="GZ61" s="1" t="s">
        <v>46817</v>
      </c>
      <c r="HA61" s="1" t="s">
        <v>46818</v>
      </c>
      <c r="HB61" s="1" t="s">
        <v>46819</v>
      </c>
      <c r="HC61" s="1" t="s">
        <v>46820</v>
      </c>
      <c r="HD61" s="1" t="s">
        <v>46821</v>
      </c>
      <c r="HE61" s="1" t="s">
        <v>46822</v>
      </c>
      <c r="HF61" s="1" t="s">
        <v>46823</v>
      </c>
      <c r="HG61" s="1" t="s">
        <v>46824</v>
      </c>
      <c r="HH61" s="1" t="s">
        <v>46825</v>
      </c>
      <c r="HI61" s="1" t="s">
        <v>46826</v>
      </c>
      <c r="HJ61" s="1" t="s">
        <v>46827</v>
      </c>
      <c r="HK61" s="1" t="s">
        <v>46828</v>
      </c>
      <c r="HL61" s="1" t="s">
        <v>46829</v>
      </c>
      <c r="HM61" s="1" t="s">
        <v>46830</v>
      </c>
      <c r="HN61" s="1" t="s">
        <v>46831</v>
      </c>
      <c r="HO61" s="1" t="s">
        <v>46832</v>
      </c>
      <c r="HP61" s="1" t="s">
        <v>46833</v>
      </c>
      <c r="HQ61" s="1" t="s">
        <v>46834</v>
      </c>
      <c r="HR61" s="1" t="s">
        <v>46835</v>
      </c>
      <c r="HS61" s="1" t="s">
        <v>46836</v>
      </c>
      <c r="HT61" s="1" t="s">
        <v>46837</v>
      </c>
      <c r="HU61" s="1" t="s">
        <v>46838</v>
      </c>
      <c r="HV61" s="1" t="s">
        <v>46839</v>
      </c>
      <c r="HW61" s="1" t="s">
        <v>46840</v>
      </c>
      <c r="HX61" s="1" t="s">
        <v>46841</v>
      </c>
      <c r="HY61" s="1" t="s">
        <v>46842</v>
      </c>
      <c r="HZ61" s="1" t="s">
        <v>46843</v>
      </c>
      <c r="IA61" s="1" t="s">
        <v>46844</v>
      </c>
      <c r="IB61" s="1" t="s">
        <v>46845</v>
      </c>
      <c r="IC61" s="1" t="s">
        <v>46846</v>
      </c>
      <c r="ID61" s="1" t="s">
        <v>46847</v>
      </c>
      <c r="IE61" s="1" t="s">
        <v>46848</v>
      </c>
      <c r="IF61" s="1" t="s">
        <v>46849</v>
      </c>
      <c r="IG61" s="1" t="s">
        <v>46850</v>
      </c>
      <c r="IH61" s="1" t="s">
        <v>46851</v>
      </c>
      <c r="II61" s="1" t="s">
        <v>46852</v>
      </c>
      <c r="IJ61" s="1" t="s">
        <v>46853</v>
      </c>
      <c r="IK61" s="1" t="s">
        <v>46854</v>
      </c>
      <c r="IL61" s="1" t="s">
        <v>46855</v>
      </c>
      <c r="IM61" s="1" t="s">
        <v>46856</v>
      </c>
      <c r="IN61" s="1" t="s">
        <v>46857</v>
      </c>
      <c r="IO61" s="1" t="s">
        <v>46858</v>
      </c>
      <c r="IP61" s="1" t="s">
        <v>46859</v>
      </c>
      <c r="IQ61" s="1" t="s">
        <v>46860</v>
      </c>
      <c r="IR61" s="1" t="s">
        <v>46861</v>
      </c>
      <c r="IS61" s="1" t="s">
        <v>46862</v>
      </c>
      <c r="IT61" s="1" t="s">
        <v>46863</v>
      </c>
      <c r="IU61" s="1" t="s">
        <v>46864</v>
      </c>
      <c r="IV61" s="1" t="s">
        <v>46865</v>
      </c>
      <c r="IW61" s="1" t="s">
        <v>46866</v>
      </c>
      <c r="IX61" s="1" t="s">
        <v>46867</v>
      </c>
      <c r="IY61" s="1" t="s">
        <v>46868</v>
      </c>
      <c r="IZ61" s="1" t="s">
        <v>46869</v>
      </c>
      <c r="JA61" s="1" t="s">
        <v>46870</v>
      </c>
      <c r="JB61" s="1" t="s">
        <v>46871</v>
      </c>
      <c r="JC61" s="1" t="s">
        <v>46872</v>
      </c>
      <c r="JD61" s="1" t="s">
        <v>46873</v>
      </c>
      <c r="JE61" s="1" t="s">
        <v>46874</v>
      </c>
      <c r="JF61" s="1" t="s">
        <v>46875</v>
      </c>
      <c r="JG61" s="1" t="s">
        <v>46876</v>
      </c>
      <c r="JH61" s="1" t="s">
        <v>46877</v>
      </c>
      <c r="JI61" s="1" t="s">
        <v>46878</v>
      </c>
      <c r="JJ61" s="1" t="s">
        <v>46879</v>
      </c>
      <c r="JK61" s="1" t="s">
        <v>46880</v>
      </c>
      <c r="JL61" s="1" t="s">
        <v>46881</v>
      </c>
      <c r="JM61" s="1" t="s">
        <v>46882</v>
      </c>
      <c r="JN61" s="1" t="s">
        <v>46883</v>
      </c>
      <c r="JO61" s="1" t="s">
        <v>46884</v>
      </c>
      <c r="JP61" s="1" t="s">
        <v>46885</v>
      </c>
      <c r="JQ61" s="1" t="s">
        <v>46886</v>
      </c>
      <c r="JR61" s="1" t="s">
        <v>46887</v>
      </c>
      <c r="JS61" s="1" t="s">
        <v>46888</v>
      </c>
      <c r="JT61" s="1" t="s">
        <v>46889</v>
      </c>
      <c r="JU61" s="1" t="s">
        <v>46890</v>
      </c>
      <c r="JV61" s="1" t="s">
        <v>46891</v>
      </c>
      <c r="JW61" s="1" t="s">
        <v>46892</v>
      </c>
      <c r="JX61" s="1" t="s">
        <v>46893</v>
      </c>
      <c r="JY61" s="1" t="s">
        <v>46894</v>
      </c>
      <c r="JZ61" s="1" t="s">
        <v>46895</v>
      </c>
      <c r="KA61" s="1" t="s">
        <v>46896</v>
      </c>
      <c r="KB61" s="1" t="s">
        <v>46897</v>
      </c>
      <c r="KC61" s="1" t="s">
        <v>46898</v>
      </c>
      <c r="KD61" s="1" t="s">
        <v>46899</v>
      </c>
      <c r="KE61" s="1" t="s">
        <v>46900</v>
      </c>
      <c r="KF61" s="1" t="s">
        <v>46901</v>
      </c>
      <c r="KG61" s="1" t="s">
        <v>46902</v>
      </c>
      <c r="KH61" s="1" t="s">
        <v>46903</v>
      </c>
      <c r="KI61" s="1" t="s">
        <v>46904</v>
      </c>
      <c r="KJ61" s="1" t="s">
        <v>46905</v>
      </c>
      <c r="KK61" s="1" t="s">
        <v>46906</v>
      </c>
      <c r="KL61" s="1" t="s">
        <v>46907</v>
      </c>
      <c r="KM61" s="1" t="s">
        <v>46908</v>
      </c>
      <c r="KN61" s="1" t="s">
        <v>46909</v>
      </c>
      <c r="KO61" s="1" t="s">
        <v>46910</v>
      </c>
      <c r="KP61" s="1" t="s">
        <v>46911</v>
      </c>
      <c r="KQ61" s="1" t="s">
        <v>46912</v>
      </c>
      <c r="KR61" s="1" t="s">
        <v>46913</v>
      </c>
      <c r="KS61" s="1" t="s">
        <v>46914</v>
      </c>
      <c r="KT61" s="1" t="s">
        <v>46915</v>
      </c>
      <c r="KU61" s="1" t="s">
        <v>46916</v>
      </c>
      <c r="KV61" s="1" t="s">
        <v>46917</v>
      </c>
      <c r="KW61" s="1" t="s">
        <v>46918</v>
      </c>
      <c r="KX61" s="1" t="s">
        <v>46919</v>
      </c>
      <c r="KY61" s="1" t="s">
        <v>46920</v>
      </c>
      <c r="KZ61" s="1" t="s">
        <v>46921</v>
      </c>
      <c r="LA61" s="1" t="s">
        <v>46922</v>
      </c>
      <c r="LB61" s="1" t="s">
        <v>46923</v>
      </c>
      <c r="LC61" s="1" t="s">
        <v>46924</v>
      </c>
      <c r="LD61" s="1" t="s">
        <v>46925</v>
      </c>
      <c r="LE61" s="1" t="s">
        <v>46926</v>
      </c>
      <c r="LF61" s="1" t="s">
        <v>46927</v>
      </c>
      <c r="LG61" s="1" t="s">
        <v>46928</v>
      </c>
      <c r="LH61" s="1" t="s">
        <v>46929</v>
      </c>
      <c r="LI61" s="1" t="s">
        <v>46930</v>
      </c>
      <c r="LJ61" s="1" t="s">
        <v>46931</v>
      </c>
      <c r="LK61" s="1" t="s">
        <v>46932</v>
      </c>
      <c r="LL61" s="1" t="s">
        <v>46933</v>
      </c>
      <c r="LM61" s="1" t="s">
        <v>46934</v>
      </c>
      <c r="LN61" s="1" t="s">
        <v>46935</v>
      </c>
      <c r="LO61" s="1" t="s">
        <v>46936</v>
      </c>
      <c r="LP61" s="1" t="s">
        <v>46937</v>
      </c>
      <c r="LQ61" s="1" t="s">
        <v>46938</v>
      </c>
      <c r="LR61" s="1" t="s">
        <v>46939</v>
      </c>
      <c r="LS61" s="1" t="s">
        <v>46940</v>
      </c>
      <c r="LT61" s="1" t="s">
        <v>46941</v>
      </c>
      <c r="LU61" s="1" t="s">
        <v>46942</v>
      </c>
      <c r="LV61" s="1" t="s">
        <v>46943</v>
      </c>
      <c r="LW61" s="1" t="s">
        <v>46944</v>
      </c>
      <c r="LX61" s="1" t="s">
        <v>46945</v>
      </c>
      <c r="LY61" s="1" t="s">
        <v>46946</v>
      </c>
      <c r="LZ61" s="1" t="s">
        <v>46947</v>
      </c>
      <c r="MA61" s="1" t="s">
        <v>46948</v>
      </c>
      <c r="MB61" s="1" t="s">
        <v>46949</v>
      </c>
      <c r="MC61" s="1" t="s">
        <v>46950</v>
      </c>
      <c r="MD61" s="1" t="s">
        <v>46951</v>
      </c>
      <c r="ME61" s="1" t="s">
        <v>46952</v>
      </c>
      <c r="MF61" s="1" t="s">
        <v>46953</v>
      </c>
      <c r="MG61" s="1" t="s">
        <v>46954</v>
      </c>
      <c r="MH61" s="1" t="s">
        <v>46955</v>
      </c>
      <c r="MI61" s="1" t="s">
        <v>46956</v>
      </c>
      <c r="MJ61" s="1" t="s">
        <v>46957</v>
      </c>
      <c r="MK61" s="1" t="s">
        <v>46958</v>
      </c>
      <c r="ML61" s="1" t="s">
        <v>46959</v>
      </c>
      <c r="MM61" s="1" t="s">
        <v>46960</v>
      </c>
      <c r="MN61" s="1" t="s">
        <v>46961</v>
      </c>
      <c r="MO61" s="1" t="s">
        <v>46962</v>
      </c>
      <c r="MP61" s="1" t="s">
        <v>46963</v>
      </c>
      <c r="MQ61" s="1" t="s">
        <v>46964</v>
      </c>
      <c r="MR61" s="1" t="s">
        <v>46965</v>
      </c>
      <c r="MS61" s="1" t="s">
        <v>46966</v>
      </c>
      <c r="MT61" s="1" t="s">
        <v>46967</v>
      </c>
      <c r="MU61" s="1" t="s">
        <v>46968</v>
      </c>
      <c r="MV61" s="1" t="s">
        <v>46969</v>
      </c>
      <c r="MW61" s="1" t="s">
        <v>46970</v>
      </c>
      <c r="MX61" s="1" t="s">
        <v>46971</v>
      </c>
      <c r="MY61" s="1" t="s">
        <v>46972</v>
      </c>
      <c r="MZ61" s="1" t="s">
        <v>46973</v>
      </c>
      <c r="NA61" s="1" t="s">
        <v>46974</v>
      </c>
      <c r="NB61" s="1" t="s">
        <v>46975</v>
      </c>
      <c r="NC61" s="1" t="s">
        <v>46976</v>
      </c>
      <c r="ND61" s="1" t="s">
        <v>46977</v>
      </c>
      <c r="NE61" s="1" t="s">
        <v>46978</v>
      </c>
      <c r="NF61" s="1" t="s">
        <v>46979</v>
      </c>
      <c r="NG61" s="1" t="s">
        <v>46980</v>
      </c>
      <c r="NH61" s="1" t="s">
        <v>46981</v>
      </c>
      <c r="NI61" s="1" t="s">
        <v>46982</v>
      </c>
      <c r="NJ61" s="1" t="s">
        <v>46983</v>
      </c>
      <c r="NK61" s="1" t="s">
        <v>46984</v>
      </c>
      <c r="NL61" s="1" t="s">
        <v>46985</v>
      </c>
      <c r="NM61" s="1" t="s">
        <v>46986</v>
      </c>
      <c r="NN61" s="1" t="s">
        <v>46987</v>
      </c>
      <c r="NO61" s="1" t="s">
        <v>46988</v>
      </c>
      <c r="NP61" s="1" t="s">
        <v>46989</v>
      </c>
      <c r="NQ61" s="1" t="s">
        <v>46990</v>
      </c>
      <c r="NR61" s="1" t="s">
        <v>46991</v>
      </c>
      <c r="NS61" s="1" t="s">
        <v>46992</v>
      </c>
      <c r="NT61" s="1" t="s">
        <v>46993</v>
      </c>
      <c r="NU61" s="1" t="s">
        <v>46994</v>
      </c>
      <c r="NV61" s="1" t="s">
        <v>46995</v>
      </c>
      <c r="NW61" s="1" t="s">
        <v>46996</v>
      </c>
      <c r="NX61" s="1" t="s">
        <v>46997</v>
      </c>
      <c r="NY61" s="1" t="s">
        <v>46998</v>
      </c>
      <c r="NZ61" s="1" t="s">
        <v>46999</v>
      </c>
      <c r="OA61" s="1" t="s">
        <v>47000</v>
      </c>
      <c r="OB61" s="1" t="s">
        <v>47001</v>
      </c>
      <c r="OC61" s="1" t="s">
        <v>47002</v>
      </c>
      <c r="OD61" s="1" t="s">
        <v>47003</v>
      </c>
      <c r="OE61" s="1" t="s">
        <v>47004</v>
      </c>
      <c r="OF61" s="1" t="s">
        <v>47005</v>
      </c>
      <c r="OG61" s="1" t="s">
        <v>47006</v>
      </c>
      <c r="OH61" s="1" t="s">
        <v>47007</v>
      </c>
      <c r="OI61" s="1" t="s">
        <v>47008</v>
      </c>
      <c r="OJ61" s="1" t="s">
        <v>47009</v>
      </c>
      <c r="OK61" s="1" t="s">
        <v>47010</v>
      </c>
      <c r="OL61" s="1" t="s">
        <v>47011</v>
      </c>
      <c r="OM61" s="1" t="s">
        <v>47012</v>
      </c>
      <c r="ON61" s="1" t="s">
        <v>47013</v>
      </c>
      <c r="OO61" s="1" t="s">
        <v>47014</v>
      </c>
      <c r="OP61" s="1" t="s">
        <v>47015</v>
      </c>
      <c r="OQ61" s="1" t="s">
        <v>47016</v>
      </c>
      <c r="OR61" s="1" t="s">
        <v>47017</v>
      </c>
      <c r="OS61" s="1" t="s">
        <v>47018</v>
      </c>
      <c r="OT61" s="1" t="s">
        <v>47019</v>
      </c>
      <c r="OU61" s="1" t="s">
        <v>47020</v>
      </c>
      <c r="OV61" s="1" t="s">
        <v>47021</v>
      </c>
      <c r="OW61" s="1" t="s">
        <v>47022</v>
      </c>
      <c r="OX61" s="1" t="s">
        <v>47023</v>
      </c>
      <c r="OY61" s="1" t="s">
        <v>47024</v>
      </c>
      <c r="OZ61" s="1" t="s">
        <v>47025</v>
      </c>
      <c r="PA61" s="1" t="s">
        <v>47026</v>
      </c>
      <c r="PB61" s="1" t="s">
        <v>47027</v>
      </c>
      <c r="PC61" s="1" t="s">
        <v>47028</v>
      </c>
      <c r="PD61" s="1" t="s">
        <v>47029</v>
      </c>
      <c r="PE61" s="1" t="s">
        <v>47030</v>
      </c>
      <c r="PF61" s="1" t="s">
        <v>47031</v>
      </c>
      <c r="PG61" s="1" t="s">
        <v>47032</v>
      </c>
      <c r="PH61" s="1" t="s">
        <v>47033</v>
      </c>
      <c r="PI61" s="1" t="s">
        <v>47034</v>
      </c>
      <c r="PJ61" s="1" t="s">
        <v>47035</v>
      </c>
      <c r="PK61" s="1" t="s">
        <v>47036</v>
      </c>
      <c r="PL61" s="1" t="s">
        <v>47037</v>
      </c>
      <c r="PM61" s="1" t="s">
        <v>47038</v>
      </c>
      <c r="PN61" s="1" t="s">
        <v>47039</v>
      </c>
      <c r="PO61" s="1" t="s">
        <v>47040</v>
      </c>
      <c r="PP61" s="1" t="s">
        <v>47041</v>
      </c>
      <c r="PQ61" s="1" t="s">
        <v>47042</v>
      </c>
      <c r="PR61" s="1" t="s">
        <v>47043</v>
      </c>
      <c r="PS61" s="1" t="s">
        <v>47044</v>
      </c>
      <c r="PT61" s="1" t="s">
        <v>47045</v>
      </c>
      <c r="PU61" s="1" t="s">
        <v>47046</v>
      </c>
      <c r="PV61" s="1" t="s">
        <v>47047</v>
      </c>
      <c r="PW61" s="1" t="s">
        <v>47048</v>
      </c>
      <c r="PX61" s="1" t="s">
        <v>47049</v>
      </c>
      <c r="PY61" s="1" t="s">
        <v>47050</v>
      </c>
      <c r="PZ61" s="1" t="s">
        <v>47051</v>
      </c>
      <c r="QA61" s="1" t="s">
        <v>47052</v>
      </c>
      <c r="QB61" s="1" t="s">
        <v>47053</v>
      </c>
      <c r="QC61" s="1" t="s">
        <v>47054</v>
      </c>
      <c r="QD61" s="1" t="s">
        <v>47055</v>
      </c>
      <c r="QE61" s="1" t="s">
        <v>47056</v>
      </c>
      <c r="QF61" s="1" t="s">
        <v>47057</v>
      </c>
      <c r="QG61" s="1" t="s">
        <v>47058</v>
      </c>
      <c r="QH61" s="1" t="s">
        <v>47059</v>
      </c>
      <c r="QI61" s="1" t="s">
        <v>47060</v>
      </c>
      <c r="QJ61" s="1" t="s">
        <v>47061</v>
      </c>
      <c r="QK61" s="1" t="s">
        <v>47062</v>
      </c>
      <c r="QL61" s="1" t="s">
        <v>47063</v>
      </c>
      <c r="QM61" s="1" t="s">
        <v>47064</v>
      </c>
      <c r="QN61" s="1" t="s">
        <v>47065</v>
      </c>
      <c r="QO61" s="1" t="s">
        <v>47066</v>
      </c>
      <c r="QP61" s="1" t="s">
        <v>47067</v>
      </c>
      <c r="QQ61" s="1" t="s">
        <v>47068</v>
      </c>
      <c r="QR61" s="1" t="s">
        <v>47069</v>
      </c>
      <c r="QS61" s="1" t="s">
        <v>47070</v>
      </c>
      <c r="QT61" s="1" t="s">
        <v>47071</v>
      </c>
      <c r="QU61" s="1" t="s">
        <v>47072</v>
      </c>
      <c r="QV61" s="1" t="s">
        <v>47073</v>
      </c>
      <c r="QW61" s="1" t="s">
        <v>47074</v>
      </c>
      <c r="QX61" s="1" t="s">
        <v>47075</v>
      </c>
      <c r="QY61" s="1" t="s">
        <v>47076</v>
      </c>
      <c r="QZ61" s="1" t="s">
        <v>47077</v>
      </c>
      <c r="RA61" s="1" t="s">
        <v>47078</v>
      </c>
      <c r="RB61" s="1" t="s">
        <v>47079</v>
      </c>
      <c r="RC61" s="1" t="s">
        <v>47080</v>
      </c>
      <c r="RD61" s="1" t="s">
        <v>47081</v>
      </c>
      <c r="RE61" s="1" t="s">
        <v>47082</v>
      </c>
      <c r="RF61" s="1" t="s">
        <v>47083</v>
      </c>
      <c r="RG61" s="1" t="s">
        <v>47084</v>
      </c>
      <c r="RH61" s="1" t="s">
        <v>47085</v>
      </c>
      <c r="RI61" s="1" t="s">
        <v>47086</v>
      </c>
      <c r="RJ61" s="1" t="s">
        <v>47087</v>
      </c>
      <c r="RK61" s="1" t="s">
        <v>47088</v>
      </c>
      <c r="RL61" s="1" t="s">
        <v>47089</v>
      </c>
      <c r="RM61" s="1" t="s">
        <v>47090</v>
      </c>
      <c r="RN61" s="1" t="s">
        <v>47091</v>
      </c>
      <c r="RO61" s="1" t="s">
        <v>47092</v>
      </c>
      <c r="RP61" s="1" t="s">
        <v>47093</v>
      </c>
      <c r="RQ61" s="1" t="s">
        <v>47094</v>
      </c>
      <c r="RR61" s="1" t="s">
        <v>47095</v>
      </c>
      <c r="RS61" s="1" t="s">
        <v>47096</v>
      </c>
      <c r="RT61" s="1" t="s">
        <v>47097</v>
      </c>
      <c r="RU61" s="1" t="s">
        <v>47098</v>
      </c>
      <c r="RV61" s="1" t="s">
        <v>47099</v>
      </c>
      <c r="RW61" s="1" t="s">
        <v>47100</v>
      </c>
      <c r="RX61" s="1" t="s">
        <v>47101</v>
      </c>
      <c r="RY61" s="1" t="s">
        <v>47102</v>
      </c>
      <c r="RZ61" s="1" t="s">
        <v>47103</v>
      </c>
      <c r="SA61" s="1" t="s">
        <v>47104</v>
      </c>
      <c r="SB61" s="1" t="s">
        <v>47105</v>
      </c>
      <c r="SC61" s="1" t="s">
        <v>47106</v>
      </c>
      <c r="SD61" s="1" t="s">
        <v>47107</v>
      </c>
      <c r="SE61" s="1" t="s">
        <v>47108</v>
      </c>
      <c r="SF61" s="1" t="s">
        <v>47109</v>
      </c>
      <c r="SG61" s="1" t="s">
        <v>47110</v>
      </c>
      <c r="SH61" s="1" t="s">
        <v>47111</v>
      </c>
      <c r="SI61" s="1" t="s">
        <v>47112</v>
      </c>
      <c r="SJ61" s="1" t="s">
        <v>47113</v>
      </c>
      <c r="SK61" s="1" t="s">
        <v>47114</v>
      </c>
      <c r="SL61" s="1" t="s">
        <v>47115</v>
      </c>
      <c r="SM61" s="1" t="s">
        <v>47116</v>
      </c>
      <c r="SN61" s="1" t="s">
        <v>47117</v>
      </c>
      <c r="SO61" s="1" t="s">
        <v>47118</v>
      </c>
      <c r="SP61" s="1" t="s">
        <v>47119</v>
      </c>
      <c r="SQ61" s="1" t="s">
        <v>47120</v>
      </c>
      <c r="SR61" s="1" t="s">
        <v>47121</v>
      </c>
      <c r="SS61" s="1" t="s">
        <v>47122</v>
      </c>
      <c r="ST61" s="1" t="s">
        <v>47123</v>
      </c>
      <c r="SU61" s="1" t="s">
        <v>47124</v>
      </c>
      <c r="SV61" s="1" t="s">
        <v>47125</v>
      </c>
      <c r="SW61" s="1" t="s">
        <v>47126</v>
      </c>
      <c r="SX61" s="1" t="s">
        <v>47127</v>
      </c>
      <c r="SY61" s="1" t="s">
        <v>47128</v>
      </c>
      <c r="SZ61" s="1" t="s">
        <v>47129</v>
      </c>
      <c r="TA61" s="1" t="s">
        <v>47130</v>
      </c>
      <c r="TB61" s="1" t="s">
        <v>47131</v>
      </c>
      <c r="TC61" s="1" t="s">
        <v>47132</v>
      </c>
      <c r="TD61" s="1" t="s">
        <v>47133</v>
      </c>
      <c r="TE61" s="1" t="s">
        <v>47134</v>
      </c>
      <c r="TF61" s="1" t="s">
        <v>47135</v>
      </c>
      <c r="TG61" s="1" t="s">
        <v>47136</v>
      </c>
      <c r="TH61" s="1" t="s">
        <v>47137</v>
      </c>
      <c r="TI61" s="1" t="s">
        <v>47138</v>
      </c>
      <c r="TJ61" s="1" t="s">
        <v>47139</v>
      </c>
      <c r="TK61" s="1" t="s">
        <v>47140</v>
      </c>
      <c r="TL61" s="1" t="s">
        <v>47141</v>
      </c>
      <c r="TM61" s="1" t="s">
        <v>47142</v>
      </c>
      <c r="TN61" s="1" t="s">
        <v>47143</v>
      </c>
      <c r="TO61" s="1" t="s">
        <v>47144</v>
      </c>
      <c r="TP61" s="1" t="s">
        <v>47145</v>
      </c>
      <c r="TQ61" s="1" t="s">
        <v>47146</v>
      </c>
      <c r="TR61" s="1" t="s">
        <v>47147</v>
      </c>
      <c r="TS61" s="1" t="s">
        <v>47148</v>
      </c>
      <c r="TT61" s="1" t="s">
        <v>47149</v>
      </c>
      <c r="TU61" s="1" t="s">
        <v>47150</v>
      </c>
      <c r="TV61" s="1" t="s">
        <v>47151</v>
      </c>
      <c r="TW61" s="1" t="s">
        <v>47152</v>
      </c>
      <c r="TX61" s="1" t="s">
        <v>47153</v>
      </c>
      <c r="TY61" s="1" t="s">
        <v>47154</v>
      </c>
      <c r="TZ61" s="1" t="s">
        <v>47155</v>
      </c>
      <c r="UA61" s="1" t="s">
        <v>47156</v>
      </c>
      <c r="UB61" s="1" t="s">
        <v>47157</v>
      </c>
      <c r="UC61" s="1" t="s">
        <v>47158</v>
      </c>
      <c r="UD61" s="1" t="s">
        <v>47159</v>
      </c>
      <c r="UE61" s="1" t="s">
        <v>47160</v>
      </c>
      <c r="UF61" s="1" t="s">
        <v>47161</v>
      </c>
      <c r="UG61" s="1" t="s">
        <v>47162</v>
      </c>
      <c r="UH61" s="1" t="s">
        <v>47163</v>
      </c>
      <c r="UI61" s="1" t="s">
        <v>47164</v>
      </c>
      <c r="UJ61" s="1" t="s">
        <v>47165</v>
      </c>
      <c r="UK61" s="1" t="s">
        <v>47166</v>
      </c>
      <c r="UL61" s="1" t="s">
        <v>47167</v>
      </c>
      <c r="UM61" s="1" t="s">
        <v>47168</v>
      </c>
      <c r="UN61" s="1" t="s">
        <v>47169</v>
      </c>
      <c r="UO61" s="1" t="s">
        <v>47170</v>
      </c>
      <c r="UP61" s="1" t="s">
        <v>47171</v>
      </c>
      <c r="UQ61" s="1" t="s">
        <v>47172</v>
      </c>
      <c r="UR61" s="1" t="s">
        <v>47173</v>
      </c>
      <c r="US61" s="1" t="s">
        <v>47174</v>
      </c>
      <c r="UT61" s="1" t="s">
        <v>47175</v>
      </c>
      <c r="UU61" s="1" t="s">
        <v>47176</v>
      </c>
      <c r="UV61" s="1" t="s">
        <v>47177</v>
      </c>
      <c r="UW61" s="1" t="s">
        <v>47178</v>
      </c>
      <c r="UX61" s="1" t="s">
        <v>47179</v>
      </c>
      <c r="UY61" s="1" t="s">
        <v>47180</v>
      </c>
      <c r="UZ61" s="1" t="s">
        <v>47181</v>
      </c>
      <c r="VA61" s="1" t="s">
        <v>47182</v>
      </c>
      <c r="VB61" s="1" t="s">
        <v>47183</v>
      </c>
      <c r="VC61" s="1" t="s">
        <v>47184</v>
      </c>
      <c r="VD61" s="1" t="s">
        <v>47185</v>
      </c>
      <c r="VE61" s="1" t="s">
        <v>47186</v>
      </c>
      <c r="VF61" s="1" t="s">
        <v>47187</v>
      </c>
      <c r="VG61" s="1" t="s">
        <v>47188</v>
      </c>
      <c r="VH61" s="1" t="s">
        <v>47189</v>
      </c>
      <c r="VI61" s="1" t="s">
        <v>47190</v>
      </c>
      <c r="VJ61" s="1" t="s">
        <v>47191</v>
      </c>
      <c r="VK61" s="1" t="s">
        <v>47192</v>
      </c>
      <c r="VL61" s="1" t="s">
        <v>47193</v>
      </c>
      <c r="VM61" s="1" t="s">
        <v>47194</v>
      </c>
      <c r="VN61" s="1" t="s">
        <v>47195</v>
      </c>
      <c r="VO61" s="1" t="s">
        <v>47196</v>
      </c>
      <c r="VP61" s="1" t="s">
        <v>47197</v>
      </c>
      <c r="VQ61" s="1" t="s">
        <v>47198</v>
      </c>
      <c r="VR61" s="1" t="s">
        <v>47199</v>
      </c>
      <c r="VS61" s="1" t="s">
        <v>47200</v>
      </c>
      <c r="VT61" s="1" t="s">
        <v>47201</v>
      </c>
      <c r="VU61" s="1" t="s">
        <v>47202</v>
      </c>
      <c r="VV61" s="1" t="s">
        <v>47203</v>
      </c>
      <c r="VW61" s="1" t="s">
        <v>47204</v>
      </c>
      <c r="VX61" s="1" t="s">
        <v>47205</v>
      </c>
      <c r="VY61" s="1" t="s">
        <v>47206</v>
      </c>
      <c r="VZ61" s="1" t="s">
        <v>47207</v>
      </c>
      <c r="WA61" s="1" t="s">
        <v>47208</v>
      </c>
      <c r="WB61" s="1" t="s">
        <v>47209</v>
      </c>
      <c r="WC61" s="1" t="s">
        <v>47210</v>
      </c>
      <c r="WD61" s="1" t="s">
        <v>47211</v>
      </c>
      <c r="WE61" s="1" t="s">
        <v>47212</v>
      </c>
      <c r="WF61" s="1" t="s">
        <v>47213</v>
      </c>
      <c r="WG61" s="1" t="s">
        <v>47214</v>
      </c>
      <c r="WH61" s="1" t="s">
        <v>47215</v>
      </c>
      <c r="WI61" s="1" t="s">
        <v>47216</v>
      </c>
      <c r="WJ61" s="1" t="s">
        <v>47217</v>
      </c>
      <c r="WK61" s="1" t="s">
        <v>47218</v>
      </c>
      <c r="WL61" s="1" t="s">
        <v>47219</v>
      </c>
      <c r="WM61" s="1" t="s">
        <v>47220</v>
      </c>
      <c r="WN61" s="1" t="s">
        <v>47221</v>
      </c>
      <c r="WO61" s="1" t="s">
        <v>47222</v>
      </c>
      <c r="WP61" s="1" t="s">
        <v>47223</v>
      </c>
      <c r="WQ61" s="1" t="s">
        <v>47224</v>
      </c>
      <c r="WR61" s="1" t="s">
        <v>47225</v>
      </c>
      <c r="WS61" s="1" t="s">
        <v>47226</v>
      </c>
      <c r="WT61" s="1" t="s">
        <v>47227</v>
      </c>
      <c r="WU61" s="1" t="s">
        <v>47228</v>
      </c>
      <c r="WV61" s="1" t="s">
        <v>47229</v>
      </c>
      <c r="WW61" s="1" t="s">
        <v>47230</v>
      </c>
      <c r="WX61" s="1" t="s">
        <v>47231</v>
      </c>
      <c r="WY61" s="1" t="s">
        <v>47232</v>
      </c>
      <c r="WZ61" s="1" t="s">
        <v>47233</v>
      </c>
      <c r="XA61" s="1" t="s">
        <v>47234</v>
      </c>
      <c r="XB61" s="1" t="s">
        <v>47235</v>
      </c>
      <c r="XC61" s="1" t="s">
        <v>47236</v>
      </c>
      <c r="XD61" s="1" t="s">
        <v>47237</v>
      </c>
      <c r="XE61" s="1" t="s">
        <v>47238</v>
      </c>
      <c r="XF61" s="1" t="s">
        <v>47239</v>
      </c>
      <c r="XG61" s="1" t="s">
        <v>47240</v>
      </c>
      <c r="XH61" s="1" t="s">
        <v>47241</v>
      </c>
      <c r="XI61" s="1" t="s">
        <v>47242</v>
      </c>
      <c r="XJ61" s="1" t="s">
        <v>47243</v>
      </c>
      <c r="XK61" s="1" t="s">
        <v>47244</v>
      </c>
      <c r="XL61" s="1" t="s">
        <v>47245</v>
      </c>
      <c r="XM61" s="1" t="s">
        <v>47246</v>
      </c>
      <c r="XN61" s="1" t="s">
        <v>47247</v>
      </c>
      <c r="XO61" s="1" t="s">
        <v>47248</v>
      </c>
      <c r="XP61" s="1" t="s">
        <v>47249</v>
      </c>
      <c r="XQ61" s="1" t="s">
        <v>47250</v>
      </c>
      <c r="XR61" s="1" t="s">
        <v>47251</v>
      </c>
      <c r="XS61" s="1" t="s">
        <v>47252</v>
      </c>
      <c r="XT61" s="1" t="s">
        <v>47253</v>
      </c>
      <c r="XU61" s="1" t="s">
        <v>47254</v>
      </c>
      <c r="XV61" s="1" t="s">
        <v>47255</v>
      </c>
      <c r="XW61" s="1" t="s">
        <v>47256</v>
      </c>
      <c r="XX61" s="1" t="s">
        <v>47257</v>
      </c>
      <c r="XY61" s="1" t="s">
        <v>47258</v>
      </c>
      <c r="XZ61" s="1" t="s">
        <v>47259</v>
      </c>
      <c r="YA61" s="1" t="s">
        <v>47260</v>
      </c>
      <c r="YB61" s="1" t="s">
        <v>47261</v>
      </c>
      <c r="YC61" s="1" t="s">
        <v>47262</v>
      </c>
      <c r="YD61" s="1" t="s">
        <v>47263</v>
      </c>
      <c r="YE61" s="1" t="s">
        <v>47264</v>
      </c>
      <c r="YF61" s="1" t="s">
        <v>47265</v>
      </c>
      <c r="YG61" s="1" t="s">
        <v>47266</v>
      </c>
      <c r="YH61" s="1" t="s">
        <v>47267</v>
      </c>
      <c r="YI61" s="1" t="s">
        <v>47268</v>
      </c>
      <c r="YJ61" s="1" t="s">
        <v>47269</v>
      </c>
      <c r="YK61" s="1" t="s">
        <v>47270</v>
      </c>
      <c r="YL61" s="1" t="s">
        <v>47271</v>
      </c>
      <c r="YM61" s="1" t="s">
        <v>47272</v>
      </c>
      <c r="YN61" s="1" t="s">
        <v>47273</v>
      </c>
      <c r="YO61" s="1" t="s">
        <v>47274</v>
      </c>
      <c r="YP61" s="1" t="s">
        <v>47275</v>
      </c>
      <c r="YQ61" s="1" t="s">
        <v>47276</v>
      </c>
      <c r="YR61" s="1" t="s">
        <v>47277</v>
      </c>
      <c r="YS61" s="1" t="s">
        <v>47278</v>
      </c>
      <c r="YT61" s="1" t="s">
        <v>47279</v>
      </c>
      <c r="YU61" s="1" t="s">
        <v>47280</v>
      </c>
      <c r="YV61" s="1" t="s">
        <v>47281</v>
      </c>
      <c r="YW61" s="1" t="s">
        <v>47282</v>
      </c>
      <c r="YX61" s="1" t="s">
        <v>47283</v>
      </c>
      <c r="YY61" s="1" t="s">
        <v>47284</v>
      </c>
      <c r="YZ61" s="1" t="s">
        <v>47285</v>
      </c>
      <c r="ZA61" s="1" t="s">
        <v>47286</v>
      </c>
      <c r="ZB61" s="1" t="s">
        <v>47287</v>
      </c>
      <c r="ZC61" s="1" t="s">
        <v>47288</v>
      </c>
      <c r="ZD61" s="1" t="s">
        <v>47289</v>
      </c>
      <c r="ZE61" s="1" t="s">
        <v>47290</v>
      </c>
      <c r="ZF61" s="1" t="s">
        <v>47291</v>
      </c>
      <c r="ZG61" s="1" t="s">
        <v>47292</v>
      </c>
      <c r="ZH61" s="1" t="s">
        <v>47293</v>
      </c>
      <c r="ZI61" s="1" t="s">
        <v>47294</v>
      </c>
      <c r="ZJ61" s="1" t="s">
        <v>47295</v>
      </c>
      <c r="ZK61" s="1" t="s">
        <v>47296</v>
      </c>
      <c r="ZL61" s="1" t="s">
        <v>47297</v>
      </c>
      <c r="ZM61" s="1" t="s">
        <v>47298</v>
      </c>
      <c r="ZN61" s="1" t="s">
        <v>47299</v>
      </c>
      <c r="ZO61" s="1" t="s">
        <v>47300</v>
      </c>
      <c r="ZP61" s="1" t="s">
        <v>47301</v>
      </c>
      <c r="ZQ61" s="1" t="s">
        <v>47302</v>
      </c>
      <c r="ZR61" s="1" t="s">
        <v>47303</v>
      </c>
      <c r="ZS61" s="1" t="s">
        <v>47304</v>
      </c>
      <c r="ZT61" s="1" t="s">
        <v>47305</v>
      </c>
      <c r="ZU61" s="1" t="s">
        <v>47306</v>
      </c>
      <c r="ZV61" s="1" t="s">
        <v>47307</v>
      </c>
      <c r="ZW61" s="1" t="s">
        <v>47308</v>
      </c>
      <c r="ZX61" s="1" t="s">
        <v>47309</v>
      </c>
      <c r="ZY61" s="1" t="s">
        <v>47310</v>
      </c>
      <c r="ZZ61" s="1" t="s">
        <v>47311</v>
      </c>
      <c r="AAA61" s="1" t="s">
        <v>47312</v>
      </c>
      <c r="AAB61" s="1" t="s">
        <v>47313</v>
      </c>
      <c r="AAC61" s="1" t="s">
        <v>47314</v>
      </c>
      <c r="AAD61" s="1" t="s">
        <v>47315</v>
      </c>
      <c r="AAE61" s="1" t="s">
        <v>47316</v>
      </c>
      <c r="AAF61" s="1" t="s">
        <v>47317</v>
      </c>
      <c r="AAG61" s="1" t="s">
        <v>47318</v>
      </c>
      <c r="AAH61" s="1" t="s">
        <v>47319</v>
      </c>
      <c r="AAI61" s="1" t="s">
        <v>47320</v>
      </c>
      <c r="AAJ61" s="1" t="s">
        <v>47321</v>
      </c>
      <c r="AAK61" s="1" t="s">
        <v>47322</v>
      </c>
      <c r="AAL61" s="1" t="s">
        <v>47323</v>
      </c>
      <c r="AAM61" s="1" t="s">
        <v>47324</v>
      </c>
      <c r="AAN61" s="1" t="s">
        <v>47325</v>
      </c>
      <c r="AAO61" s="1" t="s">
        <v>47326</v>
      </c>
      <c r="AAP61" s="1" t="s">
        <v>47327</v>
      </c>
      <c r="AAQ61" s="1" t="s">
        <v>47328</v>
      </c>
      <c r="AAR61" s="1" t="s">
        <v>47329</v>
      </c>
      <c r="AAS61" s="1" t="s">
        <v>47330</v>
      </c>
      <c r="AAT61" s="1" t="s">
        <v>47331</v>
      </c>
      <c r="AAU61" s="1" t="s">
        <v>47332</v>
      </c>
      <c r="AAV61" s="1" t="s">
        <v>47333</v>
      </c>
      <c r="AAW61" s="1" t="s">
        <v>47334</v>
      </c>
      <c r="AAX61" s="1" t="s">
        <v>47335</v>
      </c>
      <c r="AAY61" s="1" t="s">
        <v>47336</v>
      </c>
      <c r="AAZ61" s="1" t="s">
        <v>47337</v>
      </c>
      <c r="ABA61" s="1" t="s">
        <v>47338</v>
      </c>
      <c r="ABB61" s="1" t="s">
        <v>47339</v>
      </c>
      <c r="ABC61" s="1" t="s">
        <v>47340</v>
      </c>
      <c r="ABD61" s="1" t="s">
        <v>47341</v>
      </c>
      <c r="ABE61" s="1" t="s">
        <v>47342</v>
      </c>
      <c r="ABF61" s="1" t="s">
        <v>47343</v>
      </c>
      <c r="ABG61" s="1" t="s">
        <v>47344</v>
      </c>
      <c r="ABH61" s="1" t="s">
        <v>47345</v>
      </c>
      <c r="ABI61" s="1" t="s">
        <v>47346</v>
      </c>
      <c r="ABJ61" s="1" t="s">
        <v>47347</v>
      </c>
      <c r="ABK61" s="1" t="s">
        <v>47348</v>
      </c>
      <c r="ABL61" s="1" t="s">
        <v>47349</v>
      </c>
      <c r="ABM61" s="1" t="s">
        <v>47350</v>
      </c>
      <c r="ABN61" s="1" t="s">
        <v>47351</v>
      </c>
      <c r="ABO61" s="1" t="s">
        <v>47352</v>
      </c>
      <c r="ABP61" s="1" t="s">
        <v>47353</v>
      </c>
      <c r="ABQ61" s="1" t="s">
        <v>47354</v>
      </c>
      <c r="ABR61" s="1" t="s">
        <v>47355</v>
      </c>
      <c r="ABS61" s="1" t="s">
        <v>47356</v>
      </c>
      <c r="ABT61" s="1" t="s">
        <v>47357</v>
      </c>
      <c r="ABU61" s="1" t="s">
        <v>47358</v>
      </c>
      <c r="ABV61" s="1" t="s">
        <v>47359</v>
      </c>
      <c r="ABW61" s="1" t="s">
        <v>47360</v>
      </c>
      <c r="ABX61" s="1" t="s">
        <v>47361</v>
      </c>
      <c r="ABY61" s="1" t="s">
        <v>47362</v>
      </c>
      <c r="ABZ61" s="1" t="s">
        <v>47363</v>
      </c>
      <c r="ACA61" s="1" t="s">
        <v>47364</v>
      </c>
      <c r="ACB61" s="1" t="s">
        <v>47365</v>
      </c>
      <c r="ACC61" s="1" t="s">
        <v>47366</v>
      </c>
      <c r="ACD61" s="1" t="s">
        <v>47367</v>
      </c>
      <c r="ACE61" s="1" t="s">
        <v>47368</v>
      </c>
      <c r="ACF61" s="1" t="s">
        <v>47369</v>
      </c>
      <c r="ACG61" s="1" t="s">
        <v>47370</v>
      </c>
      <c r="ACH61" s="1" t="s">
        <v>47371</v>
      </c>
      <c r="ACI61" s="1" t="s">
        <v>47372</v>
      </c>
      <c r="ACJ61" s="1" t="s">
        <v>47373</v>
      </c>
      <c r="ACK61" s="1" t="s">
        <v>47374</v>
      </c>
      <c r="ACL61" s="1" t="s">
        <v>47375</v>
      </c>
      <c r="ACM61" s="1" t="s">
        <v>47376</v>
      </c>
      <c r="ACN61" s="1" t="s">
        <v>47377</v>
      </c>
      <c r="ACO61" s="1" t="s">
        <v>47378</v>
      </c>
      <c r="ACP61" s="1" t="s">
        <v>47379</v>
      </c>
      <c r="ACQ61" s="1" t="s">
        <v>47380</v>
      </c>
      <c r="ACR61" s="1" t="s">
        <v>47381</v>
      </c>
      <c r="ACS61" s="1" t="s">
        <v>47382</v>
      </c>
      <c r="ACT61" s="1" t="s">
        <v>47383</v>
      </c>
      <c r="ACU61" s="1" t="s">
        <v>47384</v>
      </c>
      <c r="ACV61" s="1" t="s">
        <v>47385</v>
      </c>
      <c r="ACW61" s="1" t="s">
        <v>23</v>
      </c>
      <c r="ACX61" s="1" t="s">
        <v>6310</v>
      </c>
    </row>
    <row r="62" spans="1:778" x14ac:dyDescent="0.2">
      <c r="A62" s="1" t="s">
        <v>88</v>
      </c>
      <c r="B62" s="1" t="s">
        <v>47386</v>
      </c>
      <c r="C62" s="1" t="s">
        <v>47387</v>
      </c>
      <c r="D62" s="1" t="s">
        <v>47388</v>
      </c>
      <c r="E62" s="1" t="s">
        <v>47389</v>
      </c>
      <c r="F62" s="1" t="s">
        <v>47390</v>
      </c>
      <c r="G62" s="1" t="s">
        <v>47391</v>
      </c>
      <c r="H62" s="1" t="s">
        <v>47392</v>
      </c>
      <c r="I62" s="1" t="s">
        <v>47393</v>
      </c>
      <c r="J62" s="1" t="s">
        <v>47394</v>
      </c>
      <c r="K62" s="1" t="s">
        <v>47395</v>
      </c>
      <c r="L62" s="1" t="s">
        <v>47396</v>
      </c>
      <c r="M62" s="1" t="s">
        <v>47397</v>
      </c>
      <c r="N62" s="1" t="s">
        <v>47398</v>
      </c>
      <c r="O62" s="1" t="s">
        <v>47399</v>
      </c>
      <c r="P62" s="1" t="s">
        <v>47400</v>
      </c>
      <c r="Q62" s="1" t="s">
        <v>47401</v>
      </c>
      <c r="R62" s="1" t="s">
        <v>47402</v>
      </c>
      <c r="S62" s="1" t="s">
        <v>47403</v>
      </c>
      <c r="T62" s="1" t="s">
        <v>47404</v>
      </c>
      <c r="U62" s="1" t="s">
        <v>47405</v>
      </c>
      <c r="V62" s="1" t="s">
        <v>47406</v>
      </c>
      <c r="W62" s="1" t="s">
        <v>47407</v>
      </c>
      <c r="X62" s="1" t="s">
        <v>47408</v>
      </c>
      <c r="Y62" s="1" t="s">
        <v>47409</v>
      </c>
      <c r="Z62" s="1" t="s">
        <v>47410</v>
      </c>
      <c r="AA62" s="1" t="s">
        <v>47411</v>
      </c>
      <c r="AB62" s="1" t="s">
        <v>47412</v>
      </c>
      <c r="AC62" s="1" t="s">
        <v>47413</v>
      </c>
      <c r="AD62" s="1" t="s">
        <v>47414</v>
      </c>
      <c r="AE62" s="1" t="s">
        <v>47415</v>
      </c>
      <c r="AF62" s="1" t="s">
        <v>47416</v>
      </c>
      <c r="AG62" s="1" t="s">
        <v>47417</v>
      </c>
      <c r="AH62" s="1" t="s">
        <v>47418</v>
      </c>
      <c r="AI62" s="1" t="s">
        <v>47419</v>
      </c>
      <c r="AJ62" s="1" t="s">
        <v>47420</v>
      </c>
      <c r="AK62" s="1" t="s">
        <v>47421</v>
      </c>
      <c r="AL62" s="1" t="s">
        <v>47422</v>
      </c>
      <c r="AM62" s="1" t="s">
        <v>47423</v>
      </c>
      <c r="AN62" s="1" t="s">
        <v>47424</v>
      </c>
      <c r="AO62" s="1" t="s">
        <v>47425</v>
      </c>
      <c r="AP62" s="1" t="s">
        <v>47426</v>
      </c>
      <c r="AQ62" s="1" t="s">
        <v>47427</v>
      </c>
      <c r="AR62" s="1" t="s">
        <v>47428</v>
      </c>
      <c r="AS62" s="1" t="s">
        <v>47429</v>
      </c>
      <c r="AT62" s="1" t="s">
        <v>47430</v>
      </c>
      <c r="AU62" s="1" t="s">
        <v>47431</v>
      </c>
      <c r="AV62" s="1" t="s">
        <v>47432</v>
      </c>
      <c r="AW62" s="1" t="s">
        <v>47433</v>
      </c>
      <c r="AX62" s="1" t="s">
        <v>47434</v>
      </c>
      <c r="AY62" s="1" t="s">
        <v>47435</v>
      </c>
      <c r="AZ62" s="1" t="s">
        <v>47436</v>
      </c>
      <c r="BA62" s="1" t="s">
        <v>47437</v>
      </c>
      <c r="BB62" s="1" t="s">
        <v>47438</v>
      </c>
      <c r="BC62" s="1" t="s">
        <v>47439</v>
      </c>
      <c r="BD62" s="1" t="s">
        <v>47440</v>
      </c>
      <c r="BE62" s="1" t="s">
        <v>47441</v>
      </c>
      <c r="BF62" s="1" t="s">
        <v>47442</v>
      </c>
      <c r="BG62" s="1" t="s">
        <v>47443</v>
      </c>
      <c r="BH62" s="1" t="s">
        <v>47444</v>
      </c>
      <c r="BI62" s="1" t="s">
        <v>47445</v>
      </c>
      <c r="BJ62" s="1" t="s">
        <v>47446</v>
      </c>
      <c r="BK62" s="1" t="s">
        <v>47447</v>
      </c>
      <c r="BL62" s="1" t="s">
        <v>47448</v>
      </c>
      <c r="BM62" s="1" t="s">
        <v>47449</v>
      </c>
      <c r="BN62" s="1" t="s">
        <v>47450</v>
      </c>
      <c r="BO62" s="1" t="s">
        <v>47451</v>
      </c>
      <c r="BP62" s="1" t="s">
        <v>47452</v>
      </c>
      <c r="BQ62" s="1" t="s">
        <v>47453</v>
      </c>
      <c r="BR62" s="1" t="s">
        <v>47454</v>
      </c>
      <c r="BS62" s="1" t="s">
        <v>47455</v>
      </c>
      <c r="BT62" s="1" t="s">
        <v>47456</v>
      </c>
      <c r="BU62" s="1" t="s">
        <v>47457</v>
      </c>
      <c r="BV62" s="1" t="s">
        <v>47458</v>
      </c>
      <c r="BW62" s="1" t="s">
        <v>47459</v>
      </c>
      <c r="BX62" s="1" t="s">
        <v>47460</v>
      </c>
      <c r="BY62" s="1" t="s">
        <v>47461</v>
      </c>
      <c r="BZ62" s="1" t="s">
        <v>47462</v>
      </c>
      <c r="CA62" s="1" t="s">
        <v>47463</v>
      </c>
      <c r="CB62" s="1" t="s">
        <v>47464</v>
      </c>
      <c r="CC62" s="1" t="s">
        <v>47465</v>
      </c>
      <c r="CD62" s="1" t="s">
        <v>47466</v>
      </c>
      <c r="CE62" s="1" t="s">
        <v>47467</v>
      </c>
      <c r="CF62" s="1" t="s">
        <v>47468</v>
      </c>
      <c r="CG62" s="1" t="s">
        <v>47469</v>
      </c>
      <c r="CH62" s="1" t="s">
        <v>47470</v>
      </c>
      <c r="CI62" s="1" t="s">
        <v>47471</v>
      </c>
      <c r="CJ62" s="1" t="s">
        <v>47472</v>
      </c>
      <c r="CK62" s="1" t="s">
        <v>47473</v>
      </c>
      <c r="CL62" s="1" t="s">
        <v>47474</v>
      </c>
      <c r="CM62" s="1" t="s">
        <v>47475</v>
      </c>
      <c r="CN62" s="1" t="s">
        <v>47476</v>
      </c>
      <c r="CO62" s="1" t="s">
        <v>47477</v>
      </c>
      <c r="CP62" s="1" t="s">
        <v>47478</v>
      </c>
      <c r="CQ62" s="1" t="s">
        <v>47479</v>
      </c>
      <c r="CR62" s="1" t="s">
        <v>47480</v>
      </c>
      <c r="CS62" s="1" t="s">
        <v>47481</v>
      </c>
      <c r="CT62" s="1" t="s">
        <v>47482</v>
      </c>
      <c r="CU62" s="1" t="s">
        <v>47483</v>
      </c>
      <c r="CV62" s="1" t="s">
        <v>47484</v>
      </c>
      <c r="CW62" s="1" t="s">
        <v>47485</v>
      </c>
      <c r="CX62" s="1" t="s">
        <v>47486</v>
      </c>
      <c r="CY62" s="1" t="s">
        <v>47487</v>
      </c>
      <c r="CZ62" s="1" t="s">
        <v>47488</v>
      </c>
      <c r="DA62" s="1" t="s">
        <v>47489</v>
      </c>
      <c r="DB62" s="1" t="s">
        <v>47490</v>
      </c>
      <c r="DC62" s="1" t="s">
        <v>47491</v>
      </c>
      <c r="DD62" s="1" t="s">
        <v>47492</v>
      </c>
      <c r="DE62" s="1" t="s">
        <v>47493</v>
      </c>
      <c r="DF62" s="1" t="s">
        <v>47494</v>
      </c>
      <c r="DG62" s="1" t="s">
        <v>47495</v>
      </c>
      <c r="DH62" s="1" t="s">
        <v>47496</v>
      </c>
      <c r="DI62" s="1" t="s">
        <v>47497</v>
      </c>
      <c r="DJ62" s="1" t="s">
        <v>47498</v>
      </c>
      <c r="DK62" s="1" t="s">
        <v>47499</v>
      </c>
      <c r="DL62" s="1" t="s">
        <v>47500</v>
      </c>
      <c r="DM62" s="1" t="s">
        <v>47501</v>
      </c>
      <c r="DN62" s="1" t="s">
        <v>47502</v>
      </c>
      <c r="DO62" s="1" t="s">
        <v>47503</v>
      </c>
      <c r="DP62" s="1" t="s">
        <v>47504</v>
      </c>
      <c r="DQ62" s="1" t="s">
        <v>47505</v>
      </c>
      <c r="DR62" s="1" t="s">
        <v>47506</v>
      </c>
      <c r="DS62" s="1" t="s">
        <v>47507</v>
      </c>
      <c r="DT62" s="1" t="s">
        <v>47508</v>
      </c>
      <c r="DU62" s="1" t="s">
        <v>47509</v>
      </c>
      <c r="DV62" s="1" t="s">
        <v>47510</v>
      </c>
      <c r="DW62" s="1" t="s">
        <v>47511</v>
      </c>
      <c r="DX62" s="1" t="s">
        <v>47512</v>
      </c>
      <c r="DY62" s="1" t="s">
        <v>47513</v>
      </c>
      <c r="DZ62" s="1" t="s">
        <v>47514</v>
      </c>
      <c r="EA62" s="1" t="s">
        <v>47515</v>
      </c>
      <c r="EB62" s="1" t="s">
        <v>47516</v>
      </c>
      <c r="EC62" s="1" t="s">
        <v>47517</v>
      </c>
      <c r="ED62" s="1" t="s">
        <v>47518</v>
      </c>
      <c r="EE62" s="1" t="s">
        <v>47519</v>
      </c>
      <c r="EF62" s="1" t="s">
        <v>47520</v>
      </c>
      <c r="EG62" s="1" t="s">
        <v>47521</v>
      </c>
      <c r="EH62" s="1" t="s">
        <v>47522</v>
      </c>
      <c r="EI62" s="1" t="s">
        <v>47523</v>
      </c>
      <c r="EJ62" s="1" t="s">
        <v>47524</v>
      </c>
      <c r="EK62" s="1" t="s">
        <v>47525</v>
      </c>
      <c r="EL62" s="1" t="s">
        <v>47526</v>
      </c>
      <c r="EM62" s="1" t="s">
        <v>47527</v>
      </c>
      <c r="EN62" s="1" t="s">
        <v>47528</v>
      </c>
      <c r="EO62" s="1" t="s">
        <v>47529</v>
      </c>
      <c r="EP62" s="1" t="s">
        <v>47530</v>
      </c>
      <c r="EQ62" s="1" t="s">
        <v>47531</v>
      </c>
      <c r="ER62" s="1" t="s">
        <v>47532</v>
      </c>
      <c r="ES62" s="1" t="s">
        <v>47533</v>
      </c>
      <c r="ET62" s="1" t="s">
        <v>47534</v>
      </c>
      <c r="EU62" s="1" t="s">
        <v>47535</v>
      </c>
      <c r="EV62" s="1" t="s">
        <v>47536</v>
      </c>
      <c r="EW62" s="1" t="s">
        <v>47537</v>
      </c>
      <c r="EX62" s="1" t="s">
        <v>47538</v>
      </c>
      <c r="EY62" s="1" t="s">
        <v>47539</v>
      </c>
      <c r="EZ62" s="1" t="s">
        <v>47540</v>
      </c>
      <c r="FA62" s="1" t="s">
        <v>47541</v>
      </c>
      <c r="FB62" s="1" t="s">
        <v>47542</v>
      </c>
      <c r="FC62" s="1" t="s">
        <v>47543</v>
      </c>
      <c r="FD62" s="1" t="s">
        <v>47544</v>
      </c>
      <c r="FE62" s="1" t="s">
        <v>47545</v>
      </c>
      <c r="FF62" s="1" t="s">
        <v>47546</v>
      </c>
      <c r="FG62" s="1" t="s">
        <v>47547</v>
      </c>
      <c r="FH62" s="1" t="s">
        <v>47548</v>
      </c>
      <c r="FI62" s="1" t="s">
        <v>47549</v>
      </c>
      <c r="FJ62" s="1" t="s">
        <v>47550</v>
      </c>
      <c r="FK62" s="1" t="s">
        <v>47551</v>
      </c>
      <c r="FL62" s="1" t="s">
        <v>47552</v>
      </c>
      <c r="FM62" s="1" t="s">
        <v>47553</v>
      </c>
      <c r="FN62" s="1" t="s">
        <v>47554</v>
      </c>
      <c r="FO62" s="1" t="s">
        <v>47555</v>
      </c>
      <c r="FP62" s="1" t="s">
        <v>47556</v>
      </c>
      <c r="FQ62" s="1" t="s">
        <v>47557</v>
      </c>
      <c r="FR62" s="1" t="s">
        <v>47558</v>
      </c>
      <c r="FS62" s="1" t="s">
        <v>47559</v>
      </c>
      <c r="FT62" s="1" t="s">
        <v>47560</v>
      </c>
      <c r="FU62" s="1" t="s">
        <v>47561</v>
      </c>
      <c r="FV62" s="1" t="s">
        <v>47562</v>
      </c>
      <c r="FW62" s="1" t="s">
        <v>47563</v>
      </c>
      <c r="FX62" s="1" t="s">
        <v>47564</v>
      </c>
      <c r="FY62" s="1" t="s">
        <v>47565</v>
      </c>
      <c r="FZ62" s="1" t="s">
        <v>47566</v>
      </c>
      <c r="GA62" s="1" t="s">
        <v>47567</v>
      </c>
      <c r="GB62" s="1" t="s">
        <v>47568</v>
      </c>
      <c r="GC62" s="1" t="s">
        <v>47569</v>
      </c>
      <c r="GD62" s="1" t="s">
        <v>47570</v>
      </c>
      <c r="GE62" s="1" t="s">
        <v>47571</v>
      </c>
      <c r="GF62" s="1" t="s">
        <v>47572</v>
      </c>
      <c r="GG62" s="1" t="s">
        <v>47573</v>
      </c>
      <c r="GH62" s="1" t="s">
        <v>47574</v>
      </c>
      <c r="GI62" s="1" t="s">
        <v>47575</v>
      </c>
      <c r="GJ62" s="1" t="s">
        <v>47576</v>
      </c>
      <c r="GK62" s="1" t="s">
        <v>47577</v>
      </c>
      <c r="GL62" s="1" t="s">
        <v>47578</v>
      </c>
      <c r="GM62" s="1" t="s">
        <v>47579</v>
      </c>
      <c r="GN62" s="1" t="s">
        <v>47580</v>
      </c>
      <c r="GO62" s="1" t="s">
        <v>47581</v>
      </c>
      <c r="GP62" s="1" t="s">
        <v>47582</v>
      </c>
      <c r="GQ62" s="1" t="s">
        <v>47583</v>
      </c>
      <c r="GR62" s="1" t="s">
        <v>47584</v>
      </c>
      <c r="GS62" s="1" t="s">
        <v>47585</v>
      </c>
      <c r="GT62" s="1" t="s">
        <v>47586</v>
      </c>
      <c r="GU62" s="1" t="s">
        <v>47587</v>
      </c>
      <c r="GV62" s="1" t="s">
        <v>47588</v>
      </c>
      <c r="GW62" s="1" t="s">
        <v>47589</v>
      </c>
      <c r="GX62" s="1" t="s">
        <v>47590</v>
      </c>
      <c r="GY62" s="1" t="s">
        <v>47591</v>
      </c>
      <c r="GZ62" s="1" t="s">
        <v>47592</v>
      </c>
      <c r="HA62" s="1" t="s">
        <v>47593</v>
      </c>
      <c r="HB62" s="1" t="s">
        <v>47594</v>
      </c>
      <c r="HC62" s="1" t="s">
        <v>47595</v>
      </c>
      <c r="HD62" s="1" t="s">
        <v>47596</v>
      </c>
      <c r="HE62" s="1" t="s">
        <v>47597</v>
      </c>
      <c r="HF62" s="1" t="s">
        <v>47598</v>
      </c>
      <c r="HG62" s="1" t="s">
        <v>47599</v>
      </c>
      <c r="HH62" s="1" t="s">
        <v>47600</v>
      </c>
      <c r="HI62" s="1" t="s">
        <v>47601</v>
      </c>
      <c r="HJ62" s="1" t="s">
        <v>47602</v>
      </c>
      <c r="HK62" s="1" t="s">
        <v>47603</v>
      </c>
      <c r="HL62" s="1" t="s">
        <v>47604</v>
      </c>
      <c r="HM62" s="1" t="s">
        <v>47605</v>
      </c>
      <c r="HN62" s="1" t="s">
        <v>47606</v>
      </c>
      <c r="HO62" s="1" t="s">
        <v>47607</v>
      </c>
      <c r="HP62" s="1" t="s">
        <v>47608</v>
      </c>
      <c r="HQ62" s="1" t="s">
        <v>47609</v>
      </c>
      <c r="HR62" s="1" t="s">
        <v>47610</v>
      </c>
      <c r="HS62" s="1" t="s">
        <v>47611</v>
      </c>
      <c r="HT62" s="1" t="s">
        <v>47612</v>
      </c>
      <c r="HU62" s="1" t="s">
        <v>47613</v>
      </c>
      <c r="HV62" s="1" t="s">
        <v>47614</v>
      </c>
      <c r="HW62" s="1" t="s">
        <v>47615</v>
      </c>
      <c r="HX62" s="1" t="s">
        <v>47616</v>
      </c>
      <c r="HY62" s="1" t="s">
        <v>47617</v>
      </c>
      <c r="HZ62" s="1" t="s">
        <v>47618</v>
      </c>
      <c r="IA62" s="1" t="s">
        <v>47619</v>
      </c>
      <c r="IB62" s="1" t="s">
        <v>47620</v>
      </c>
      <c r="IC62" s="1" t="s">
        <v>47621</v>
      </c>
      <c r="ID62" s="1" t="s">
        <v>47622</v>
      </c>
      <c r="IE62" s="1" t="s">
        <v>47623</v>
      </c>
      <c r="IF62" s="1" t="s">
        <v>47624</v>
      </c>
      <c r="IG62" s="1" t="s">
        <v>47625</v>
      </c>
      <c r="IH62" s="1" t="s">
        <v>47626</v>
      </c>
      <c r="II62" s="1" t="s">
        <v>47627</v>
      </c>
      <c r="IJ62" s="1" t="s">
        <v>47628</v>
      </c>
      <c r="IK62" s="1" t="s">
        <v>47629</v>
      </c>
      <c r="IL62" s="1" t="s">
        <v>47630</v>
      </c>
      <c r="IM62" s="1" t="s">
        <v>47631</v>
      </c>
      <c r="IN62" s="1" t="s">
        <v>47632</v>
      </c>
      <c r="IO62" s="1" t="s">
        <v>47633</v>
      </c>
      <c r="IP62" s="1" t="s">
        <v>47634</v>
      </c>
      <c r="IQ62" s="1" t="s">
        <v>47635</v>
      </c>
      <c r="IR62" s="1" t="s">
        <v>47636</v>
      </c>
      <c r="IS62" s="1" t="s">
        <v>47637</v>
      </c>
      <c r="IT62" s="1" t="s">
        <v>47638</v>
      </c>
      <c r="IU62" s="1" t="s">
        <v>47639</v>
      </c>
      <c r="IV62" s="1" t="s">
        <v>47640</v>
      </c>
      <c r="IW62" s="1" t="s">
        <v>47641</v>
      </c>
      <c r="IX62" s="1" t="s">
        <v>47642</v>
      </c>
      <c r="IY62" s="1" t="s">
        <v>47643</v>
      </c>
      <c r="IZ62" s="1" t="s">
        <v>47644</v>
      </c>
      <c r="JA62" s="1" t="s">
        <v>47645</v>
      </c>
      <c r="JB62" s="1" t="s">
        <v>47646</v>
      </c>
      <c r="JC62" s="1" t="s">
        <v>47647</v>
      </c>
      <c r="JD62" s="1" t="s">
        <v>47648</v>
      </c>
      <c r="JE62" s="1" t="s">
        <v>47649</v>
      </c>
      <c r="JF62" s="1" t="s">
        <v>47650</v>
      </c>
      <c r="JG62" s="1" t="s">
        <v>47651</v>
      </c>
      <c r="JH62" s="1" t="s">
        <v>47652</v>
      </c>
      <c r="JI62" s="1" t="s">
        <v>47653</v>
      </c>
      <c r="JJ62" s="1" t="s">
        <v>47654</v>
      </c>
      <c r="JK62" s="1" t="s">
        <v>47655</v>
      </c>
      <c r="JL62" s="1" t="s">
        <v>47656</v>
      </c>
      <c r="JM62" s="1" t="s">
        <v>47657</v>
      </c>
      <c r="JN62" s="1" t="s">
        <v>47658</v>
      </c>
      <c r="JO62" s="1" t="s">
        <v>47659</v>
      </c>
      <c r="JP62" s="1" t="s">
        <v>47660</v>
      </c>
      <c r="JQ62" s="1" t="s">
        <v>47661</v>
      </c>
      <c r="JR62" s="1" t="s">
        <v>47662</v>
      </c>
      <c r="JS62" s="1" t="s">
        <v>47663</v>
      </c>
      <c r="JT62" s="1" t="s">
        <v>47664</v>
      </c>
      <c r="JU62" s="1" t="s">
        <v>47665</v>
      </c>
      <c r="JV62" s="1" t="s">
        <v>47666</v>
      </c>
      <c r="JW62" s="1" t="s">
        <v>47667</v>
      </c>
      <c r="JX62" s="1" t="s">
        <v>47668</v>
      </c>
      <c r="JY62" s="1" t="s">
        <v>47669</v>
      </c>
      <c r="JZ62" s="1" t="s">
        <v>47670</v>
      </c>
      <c r="KA62" s="1" t="s">
        <v>47671</v>
      </c>
      <c r="KB62" s="1" t="s">
        <v>47672</v>
      </c>
      <c r="KC62" s="1" t="s">
        <v>47673</v>
      </c>
      <c r="KD62" s="1" t="s">
        <v>47674</v>
      </c>
      <c r="KE62" s="1" t="s">
        <v>47675</v>
      </c>
      <c r="KF62" s="1" t="s">
        <v>47676</v>
      </c>
      <c r="KG62" s="1" t="s">
        <v>47677</v>
      </c>
      <c r="KH62" s="1" t="s">
        <v>47678</v>
      </c>
      <c r="KI62" s="1" t="s">
        <v>47679</v>
      </c>
      <c r="KJ62" s="1" t="s">
        <v>47680</v>
      </c>
      <c r="KK62" s="1" t="s">
        <v>47681</v>
      </c>
      <c r="KL62" s="1" t="s">
        <v>47682</v>
      </c>
      <c r="KM62" s="1" t="s">
        <v>47683</v>
      </c>
      <c r="KN62" s="1" t="s">
        <v>47684</v>
      </c>
      <c r="KO62" s="1" t="s">
        <v>47685</v>
      </c>
      <c r="KP62" s="1" t="s">
        <v>47686</v>
      </c>
      <c r="KQ62" s="1" t="s">
        <v>47687</v>
      </c>
      <c r="KR62" s="1" t="s">
        <v>47688</v>
      </c>
      <c r="KS62" s="1" t="s">
        <v>47689</v>
      </c>
      <c r="KT62" s="1" t="s">
        <v>47690</v>
      </c>
      <c r="KU62" s="1" t="s">
        <v>47691</v>
      </c>
      <c r="KV62" s="1" t="s">
        <v>47692</v>
      </c>
      <c r="KW62" s="1" t="s">
        <v>47693</v>
      </c>
      <c r="KX62" s="1" t="s">
        <v>47694</v>
      </c>
      <c r="KY62" s="1" t="s">
        <v>47695</v>
      </c>
      <c r="KZ62" s="1" t="s">
        <v>47696</v>
      </c>
      <c r="LA62" s="1" t="s">
        <v>47697</v>
      </c>
      <c r="LB62" s="1" t="s">
        <v>47698</v>
      </c>
      <c r="LC62" s="1" t="s">
        <v>47699</v>
      </c>
      <c r="LD62" s="1" t="s">
        <v>47700</v>
      </c>
      <c r="LE62" s="1" t="s">
        <v>47701</v>
      </c>
      <c r="LF62" s="1" t="s">
        <v>47702</v>
      </c>
      <c r="LG62" s="1" t="s">
        <v>47703</v>
      </c>
      <c r="LH62" s="1" t="s">
        <v>47704</v>
      </c>
      <c r="LI62" s="1" t="s">
        <v>47705</v>
      </c>
      <c r="LJ62" s="1" t="s">
        <v>47706</v>
      </c>
      <c r="LK62" s="1" t="s">
        <v>47707</v>
      </c>
      <c r="LL62" s="1" t="s">
        <v>47708</v>
      </c>
      <c r="LM62" s="1" t="s">
        <v>47709</v>
      </c>
      <c r="LN62" s="1" t="s">
        <v>47710</v>
      </c>
      <c r="LO62" s="1" t="s">
        <v>47711</v>
      </c>
      <c r="LP62" s="1" t="s">
        <v>47712</v>
      </c>
      <c r="LQ62" s="1" t="s">
        <v>47713</v>
      </c>
      <c r="LR62" s="1" t="s">
        <v>47714</v>
      </c>
      <c r="LS62" s="1" t="s">
        <v>47715</v>
      </c>
      <c r="LT62" s="1" t="s">
        <v>47716</v>
      </c>
      <c r="LU62" s="1" t="s">
        <v>47717</v>
      </c>
      <c r="LV62" s="1" t="s">
        <v>47718</v>
      </c>
      <c r="LW62" s="1" t="s">
        <v>47719</v>
      </c>
      <c r="LX62" s="1" t="s">
        <v>47720</v>
      </c>
      <c r="LY62" s="1" t="s">
        <v>47721</v>
      </c>
      <c r="LZ62" s="1" t="s">
        <v>47722</v>
      </c>
      <c r="MA62" s="1" t="s">
        <v>47723</v>
      </c>
      <c r="MB62" s="1" t="s">
        <v>47724</v>
      </c>
      <c r="MC62" s="1" t="s">
        <v>47725</v>
      </c>
      <c r="MD62" s="1" t="s">
        <v>47726</v>
      </c>
      <c r="ME62" s="1" t="s">
        <v>47727</v>
      </c>
      <c r="MF62" s="1" t="s">
        <v>47728</v>
      </c>
      <c r="MG62" s="1" t="s">
        <v>47729</v>
      </c>
      <c r="MH62" s="1" t="s">
        <v>47730</v>
      </c>
      <c r="MI62" s="1" t="s">
        <v>47731</v>
      </c>
      <c r="MJ62" s="1" t="s">
        <v>47732</v>
      </c>
      <c r="MK62" s="1" t="s">
        <v>47733</v>
      </c>
      <c r="ML62" s="1" t="s">
        <v>47734</v>
      </c>
      <c r="MM62" s="1" t="s">
        <v>47735</v>
      </c>
      <c r="MN62" s="1" t="s">
        <v>47736</v>
      </c>
      <c r="MO62" s="1" t="s">
        <v>47737</v>
      </c>
      <c r="MP62" s="1" t="s">
        <v>47738</v>
      </c>
      <c r="MQ62" s="1" t="s">
        <v>47739</v>
      </c>
      <c r="MR62" s="1" t="s">
        <v>47740</v>
      </c>
      <c r="MS62" s="1" t="s">
        <v>47741</v>
      </c>
      <c r="MT62" s="1" t="s">
        <v>47742</v>
      </c>
      <c r="MU62" s="1" t="s">
        <v>47743</v>
      </c>
      <c r="MV62" s="1" t="s">
        <v>47744</v>
      </c>
      <c r="MW62" s="1" t="s">
        <v>47745</v>
      </c>
      <c r="MX62" s="1" t="s">
        <v>47746</v>
      </c>
      <c r="MY62" s="1" t="s">
        <v>47747</v>
      </c>
      <c r="MZ62" s="1" t="s">
        <v>47748</v>
      </c>
      <c r="NA62" s="1" t="s">
        <v>47749</v>
      </c>
      <c r="NB62" s="1" t="s">
        <v>47750</v>
      </c>
      <c r="NC62" s="1" t="s">
        <v>47751</v>
      </c>
      <c r="ND62" s="1" t="s">
        <v>47752</v>
      </c>
      <c r="NE62" s="1" t="s">
        <v>47753</v>
      </c>
      <c r="NF62" s="1" t="s">
        <v>47754</v>
      </c>
      <c r="NG62" s="1" t="s">
        <v>47755</v>
      </c>
      <c r="NH62" s="1" t="s">
        <v>47756</v>
      </c>
      <c r="NI62" s="1" t="s">
        <v>47757</v>
      </c>
      <c r="NJ62" s="1" t="s">
        <v>47758</v>
      </c>
      <c r="NK62" s="1" t="s">
        <v>47759</v>
      </c>
      <c r="NL62" s="1" t="s">
        <v>47760</v>
      </c>
      <c r="NM62" s="1" t="s">
        <v>47761</v>
      </c>
      <c r="NN62" s="1" t="s">
        <v>47762</v>
      </c>
      <c r="NO62" s="1" t="s">
        <v>47763</v>
      </c>
      <c r="NP62" s="1" t="s">
        <v>47764</v>
      </c>
      <c r="NQ62" s="1" t="s">
        <v>47765</v>
      </c>
      <c r="NR62" s="1" t="s">
        <v>47766</v>
      </c>
      <c r="NS62" s="1" t="s">
        <v>47767</v>
      </c>
      <c r="NT62" s="1" t="s">
        <v>47768</v>
      </c>
      <c r="NU62" s="1" t="s">
        <v>47769</v>
      </c>
      <c r="NV62" s="1" t="s">
        <v>47770</v>
      </c>
      <c r="NW62" s="1" t="s">
        <v>47771</v>
      </c>
      <c r="NX62" s="1" t="s">
        <v>47772</v>
      </c>
      <c r="NY62" s="1" t="s">
        <v>47773</v>
      </c>
      <c r="NZ62" s="1" t="s">
        <v>47774</v>
      </c>
      <c r="OA62" s="1" t="s">
        <v>47775</v>
      </c>
      <c r="OB62" s="1" t="s">
        <v>47776</v>
      </c>
      <c r="OC62" s="1" t="s">
        <v>47777</v>
      </c>
      <c r="OD62" s="1" t="s">
        <v>47778</v>
      </c>
      <c r="OE62" s="1" t="s">
        <v>47779</v>
      </c>
      <c r="OF62" s="1" t="s">
        <v>47780</v>
      </c>
      <c r="OG62" s="1" t="s">
        <v>47781</v>
      </c>
      <c r="OH62" s="1" t="s">
        <v>47782</v>
      </c>
      <c r="OI62" s="1" t="s">
        <v>47783</v>
      </c>
      <c r="OJ62" s="1" t="s">
        <v>47784</v>
      </c>
      <c r="OK62" s="1" t="s">
        <v>47785</v>
      </c>
      <c r="OL62" s="1" t="s">
        <v>47786</v>
      </c>
      <c r="OM62" s="1" t="s">
        <v>47787</v>
      </c>
      <c r="ON62" s="1" t="s">
        <v>47788</v>
      </c>
      <c r="OO62" s="1" t="s">
        <v>47789</v>
      </c>
      <c r="OP62" s="1" t="s">
        <v>47790</v>
      </c>
      <c r="OQ62" s="1" t="s">
        <v>47791</v>
      </c>
      <c r="OR62" s="1" t="s">
        <v>47792</v>
      </c>
      <c r="OS62" s="1" t="s">
        <v>47793</v>
      </c>
      <c r="OT62" s="1" t="s">
        <v>47794</v>
      </c>
      <c r="OU62" s="1" t="s">
        <v>47795</v>
      </c>
      <c r="OV62" s="1" t="s">
        <v>47796</v>
      </c>
      <c r="OW62" s="1" t="s">
        <v>47797</v>
      </c>
      <c r="OX62" s="1" t="s">
        <v>47798</v>
      </c>
      <c r="OY62" s="1" t="s">
        <v>47799</v>
      </c>
      <c r="OZ62" s="1" t="s">
        <v>47800</v>
      </c>
      <c r="PA62" s="1" t="s">
        <v>47801</v>
      </c>
      <c r="PB62" s="1" t="s">
        <v>47802</v>
      </c>
      <c r="PC62" s="1" t="s">
        <v>47803</v>
      </c>
      <c r="PD62" s="1" t="s">
        <v>47804</v>
      </c>
      <c r="PE62" s="1" t="s">
        <v>47805</v>
      </c>
      <c r="PF62" s="1" t="s">
        <v>47806</v>
      </c>
      <c r="PG62" s="1" t="s">
        <v>47807</v>
      </c>
      <c r="PH62" s="1" t="s">
        <v>47808</v>
      </c>
      <c r="PI62" s="1" t="s">
        <v>47809</v>
      </c>
      <c r="PJ62" s="1" t="s">
        <v>47810</v>
      </c>
      <c r="PK62" s="1" t="s">
        <v>47811</v>
      </c>
      <c r="PL62" s="1" t="s">
        <v>47812</v>
      </c>
      <c r="PM62" s="1" t="s">
        <v>47813</v>
      </c>
      <c r="PN62" s="1" t="s">
        <v>47814</v>
      </c>
      <c r="PO62" s="1" t="s">
        <v>47815</v>
      </c>
      <c r="PP62" s="1" t="s">
        <v>47816</v>
      </c>
      <c r="PQ62" s="1" t="s">
        <v>47817</v>
      </c>
      <c r="PR62" s="1" t="s">
        <v>47818</v>
      </c>
      <c r="PS62" s="1" t="s">
        <v>47819</v>
      </c>
      <c r="PT62" s="1" t="s">
        <v>47820</v>
      </c>
      <c r="PU62" s="1" t="s">
        <v>47821</v>
      </c>
      <c r="PV62" s="1" t="s">
        <v>47822</v>
      </c>
      <c r="PW62" s="1" t="s">
        <v>47823</v>
      </c>
      <c r="PX62" s="1" t="s">
        <v>47824</v>
      </c>
      <c r="PY62" s="1" t="s">
        <v>47825</v>
      </c>
      <c r="PZ62" s="1" t="s">
        <v>47826</v>
      </c>
      <c r="QA62" s="1" t="s">
        <v>47827</v>
      </c>
      <c r="QB62" s="1" t="s">
        <v>47828</v>
      </c>
      <c r="QC62" s="1" t="s">
        <v>47829</v>
      </c>
      <c r="QD62" s="1" t="s">
        <v>47830</v>
      </c>
      <c r="QE62" s="1" t="s">
        <v>47831</v>
      </c>
      <c r="QF62" s="1" t="s">
        <v>47832</v>
      </c>
      <c r="QG62" s="1" t="s">
        <v>47833</v>
      </c>
      <c r="QH62" s="1" t="s">
        <v>47834</v>
      </c>
      <c r="QI62" s="1" t="s">
        <v>47835</v>
      </c>
      <c r="QJ62" s="1" t="s">
        <v>47836</v>
      </c>
      <c r="QK62" s="1" t="s">
        <v>47837</v>
      </c>
      <c r="QL62" s="1" t="s">
        <v>47838</v>
      </c>
      <c r="QM62" s="1" t="s">
        <v>47839</v>
      </c>
      <c r="QN62" s="1" t="s">
        <v>47840</v>
      </c>
      <c r="QO62" s="1" t="s">
        <v>47841</v>
      </c>
      <c r="QP62" s="1" t="s">
        <v>47842</v>
      </c>
      <c r="QQ62" s="1" t="s">
        <v>47843</v>
      </c>
      <c r="QR62" s="1" t="s">
        <v>47844</v>
      </c>
      <c r="QS62" s="1" t="s">
        <v>47845</v>
      </c>
      <c r="QT62" s="1" t="s">
        <v>47846</v>
      </c>
      <c r="QU62" s="1" t="s">
        <v>47847</v>
      </c>
      <c r="QV62" s="1" t="s">
        <v>47848</v>
      </c>
      <c r="QW62" s="1" t="s">
        <v>47849</v>
      </c>
      <c r="QX62" s="1" t="s">
        <v>47850</v>
      </c>
      <c r="QY62" s="1" t="s">
        <v>47851</v>
      </c>
      <c r="QZ62" s="1" t="s">
        <v>47852</v>
      </c>
      <c r="RA62" s="1" t="s">
        <v>47853</v>
      </c>
      <c r="RB62" s="1" t="s">
        <v>47854</v>
      </c>
      <c r="RC62" s="1" t="s">
        <v>47855</v>
      </c>
      <c r="RD62" s="1" t="s">
        <v>47856</v>
      </c>
      <c r="RE62" s="1" t="s">
        <v>47857</v>
      </c>
      <c r="RF62" s="1" t="s">
        <v>47858</v>
      </c>
      <c r="RG62" s="1" t="s">
        <v>47859</v>
      </c>
      <c r="RH62" s="1" t="s">
        <v>47860</v>
      </c>
      <c r="RI62" s="1" t="s">
        <v>47861</v>
      </c>
      <c r="RJ62" s="1" t="s">
        <v>47862</v>
      </c>
      <c r="RK62" s="1" t="s">
        <v>47863</v>
      </c>
      <c r="RL62" s="1" t="s">
        <v>47864</v>
      </c>
      <c r="RM62" s="1" t="s">
        <v>47865</v>
      </c>
      <c r="RN62" s="1" t="s">
        <v>47866</v>
      </c>
      <c r="RO62" s="1" t="s">
        <v>47867</v>
      </c>
      <c r="RP62" s="1" t="s">
        <v>47868</v>
      </c>
      <c r="RQ62" s="1" t="s">
        <v>47869</v>
      </c>
      <c r="RR62" s="1" t="s">
        <v>47870</v>
      </c>
      <c r="RS62" s="1" t="s">
        <v>47871</v>
      </c>
      <c r="RT62" s="1" t="s">
        <v>47872</v>
      </c>
      <c r="RU62" s="1" t="s">
        <v>47873</v>
      </c>
      <c r="RV62" s="1" t="s">
        <v>47874</v>
      </c>
      <c r="RW62" s="1" t="s">
        <v>47875</v>
      </c>
      <c r="RX62" s="1" t="s">
        <v>47876</v>
      </c>
      <c r="RY62" s="1" t="s">
        <v>47877</v>
      </c>
      <c r="RZ62" s="1" t="s">
        <v>47878</v>
      </c>
      <c r="SA62" s="1" t="s">
        <v>47879</v>
      </c>
      <c r="SB62" s="1" t="s">
        <v>47880</v>
      </c>
      <c r="SC62" s="1" t="s">
        <v>47881</v>
      </c>
      <c r="SD62" s="1" t="s">
        <v>47882</v>
      </c>
      <c r="SE62" s="1" t="s">
        <v>47883</v>
      </c>
      <c r="SF62" s="1" t="s">
        <v>47884</v>
      </c>
      <c r="SG62" s="1" t="s">
        <v>47885</v>
      </c>
      <c r="SH62" s="1" t="s">
        <v>47886</v>
      </c>
      <c r="SI62" s="1" t="s">
        <v>47887</v>
      </c>
      <c r="SJ62" s="1" t="s">
        <v>47888</v>
      </c>
      <c r="SK62" s="1" t="s">
        <v>47889</v>
      </c>
      <c r="SL62" s="1" t="s">
        <v>47890</v>
      </c>
      <c r="SM62" s="1" t="s">
        <v>47891</v>
      </c>
      <c r="SN62" s="1" t="s">
        <v>47892</v>
      </c>
      <c r="SO62" s="1" t="s">
        <v>47893</v>
      </c>
      <c r="SP62" s="1" t="s">
        <v>47894</v>
      </c>
      <c r="SQ62" s="1" t="s">
        <v>47895</v>
      </c>
      <c r="SR62" s="1" t="s">
        <v>47896</v>
      </c>
      <c r="SS62" s="1" t="s">
        <v>47897</v>
      </c>
      <c r="ST62" s="1" t="s">
        <v>47898</v>
      </c>
      <c r="SU62" s="1" t="s">
        <v>47899</v>
      </c>
      <c r="SV62" s="1" t="s">
        <v>47900</v>
      </c>
      <c r="SW62" s="1" t="s">
        <v>47901</v>
      </c>
      <c r="SX62" s="1" t="s">
        <v>47902</v>
      </c>
      <c r="SY62" s="1" t="s">
        <v>47903</v>
      </c>
      <c r="SZ62" s="1" t="s">
        <v>47904</v>
      </c>
      <c r="TA62" s="1" t="s">
        <v>47905</v>
      </c>
      <c r="TB62" s="1" t="s">
        <v>47906</v>
      </c>
      <c r="TC62" s="1" t="s">
        <v>47907</v>
      </c>
      <c r="TD62" s="1" t="s">
        <v>47908</v>
      </c>
      <c r="TE62" s="1" t="s">
        <v>47909</v>
      </c>
      <c r="TF62" s="1" t="s">
        <v>47910</v>
      </c>
      <c r="TG62" s="1" t="s">
        <v>47911</v>
      </c>
      <c r="TH62" s="1" t="s">
        <v>47912</v>
      </c>
      <c r="TI62" s="1" t="s">
        <v>47913</v>
      </c>
      <c r="TJ62" s="1" t="s">
        <v>47914</v>
      </c>
      <c r="TK62" s="1" t="s">
        <v>47915</v>
      </c>
      <c r="TL62" s="1" t="s">
        <v>47916</v>
      </c>
      <c r="TM62" s="1" t="s">
        <v>47917</v>
      </c>
      <c r="TN62" s="1" t="s">
        <v>47918</v>
      </c>
      <c r="TO62" s="1" t="s">
        <v>47919</v>
      </c>
      <c r="TP62" s="1" t="s">
        <v>47920</v>
      </c>
      <c r="TQ62" s="1" t="s">
        <v>47921</v>
      </c>
      <c r="TR62" s="1" t="s">
        <v>47922</v>
      </c>
      <c r="TS62" s="1" t="s">
        <v>47923</v>
      </c>
      <c r="TT62" s="1" t="s">
        <v>47924</v>
      </c>
      <c r="TU62" s="1" t="s">
        <v>47925</v>
      </c>
      <c r="TV62" s="1" t="s">
        <v>47926</v>
      </c>
      <c r="TW62" s="1" t="s">
        <v>47927</v>
      </c>
      <c r="TX62" s="1" t="s">
        <v>47928</v>
      </c>
      <c r="TY62" s="1" t="s">
        <v>47929</v>
      </c>
      <c r="TZ62" s="1" t="s">
        <v>47930</v>
      </c>
      <c r="UA62" s="1" t="s">
        <v>47931</v>
      </c>
      <c r="UB62" s="1" t="s">
        <v>47932</v>
      </c>
      <c r="UC62" s="1" t="s">
        <v>47933</v>
      </c>
      <c r="UD62" s="1" t="s">
        <v>47934</v>
      </c>
      <c r="UE62" s="1" t="s">
        <v>47935</v>
      </c>
      <c r="UF62" s="1" t="s">
        <v>47936</v>
      </c>
      <c r="UG62" s="1" t="s">
        <v>47937</v>
      </c>
      <c r="UH62" s="1" t="s">
        <v>47938</v>
      </c>
      <c r="UI62" s="1" t="s">
        <v>47939</v>
      </c>
      <c r="UJ62" s="1" t="s">
        <v>47940</v>
      </c>
      <c r="UK62" s="1" t="s">
        <v>47941</v>
      </c>
      <c r="UL62" s="1" t="s">
        <v>47942</v>
      </c>
      <c r="UM62" s="1" t="s">
        <v>47943</v>
      </c>
      <c r="UN62" s="1" t="s">
        <v>47944</v>
      </c>
      <c r="UO62" s="1" t="s">
        <v>47945</v>
      </c>
      <c r="UP62" s="1" t="s">
        <v>47946</v>
      </c>
      <c r="UQ62" s="1" t="s">
        <v>47947</v>
      </c>
      <c r="UR62" s="1" t="s">
        <v>47948</v>
      </c>
      <c r="US62" s="1" t="s">
        <v>47949</v>
      </c>
      <c r="UT62" s="1" t="s">
        <v>47950</v>
      </c>
      <c r="UU62" s="1" t="s">
        <v>47951</v>
      </c>
      <c r="UV62" s="1" t="s">
        <v>47952</v>
      </c>
      <c r="UW62" s="1" t="s">
        <v>47953</v>
      </c>
      <c r="UX62" s="1" t="s">
        <v>47954</v>
      </c>
      <c r="UY62" s="1" t="s">
        <v>47955</v>
      </c>
      <c r="UZ62" s="1" t="s">
        <v>47956</v>
      </c>
      <c r="VA62" s="1" t="s">
        <v>47957</v>
      </c>
      <c r="VB62" s="1" t="s">
        <v>47958</v>
      </c>
      <c r="VC62" s="1" t="s">
        <v>47959</v>
      </c>
      <c r="VD62" s="1" t="s">
        <v>47960</v>
      </c>
      <c r="VE62" s="1" t="s">
        <v>47961</v>
      </c>
      <c r="VF62" s="1" t="s">
        <v>47962</v>
      </c>
      <c r="VG62" s="1" t="s">
        <v>47963</v>
      </c>
      <c r="VH62" s="1" t="s">
        <v>47964</v>
      </c>
      <c r="VI62" s="1" t="s">
        <v>47965</v>
      </c>
      <c r="VJ62" s="1" t="s">
        <v>47966</v>
      </c>
      <c r="VK62" s="1" t="s">
        <v>47967</v>
      </c>
      <c r="VL62" s="1" t="s">
        <v>47968</v>
      </c>
      <c r="VM62" s="1" t="s">
        <v>47969</v>
      </c>
      <c r="VN62" s="1" t="s">
        <v>47970</v>
      </c>
      <c r="VO62" s="1" t="s">
        <v>47971</v>
      </c>
      <c r="VP62" s="1" t="s">
        <v>47972</v>
      </c>
      <c r="VQ62" s="1" t="s">
        <v>47973</v>
      </c>
      <c r="VR62" s="1" t="s">
        <v>47974</v>
      </c>
      <c r="VS62" s="1" t="s">
        <v>47975</v>
      </c>
      <c r="VT62" s="1" t="s">
        <v>47976</v>
      </c>
      <c r="VU62" s="1" t="s">
        <v>47977</v>
      </c>
      <c r="VV62" s="1" t="s">
        <v>47978</v>
      </c>
      <c r="VW62" s="1" t="s">
        <v>47979</v>
      </c>
      <c r="VX62" s="1" t="s">
        <v>47980</v>
      </c>
      <c r="VY62" s="1" t="s">
        <v>47981</v>
      </c>
      <c r="VZ62" s="1" t="s">
        <v>47982</v>
      </c>
      <c r="WA62" s="1" t="s">
        <v>47983</v>
      </c>
      <c r="WB62" s="1" t="s">
        <v>47984</v>
      </c>
      <c r="WC62" s="1" t="s">
        <v>47985</v>
      </c>
      <c r="WD62" s="1" t="s">
        <v>47986</v>
      </c>
      <c r="WE62" s="1" t="s">
        <v>47987</v>
      </c>
      <c r="WF62" s="1" t="s">
        <v>47988</v>
      </c>
      <c r="WG62" s="1" t="s">
        <v>47989</v>
      </c>
      <c r="WH62" s="1" t="s">
        <v>47990</v>
      </c>
      <c r="WI62" s="1" t="s">
        <v>47991</v>
      </c>
      <c r="WJ62" s="1" t="s">
        <v>47992</v>
      </c>
      <c r="WK62" s="1" t="s">
        <v>47993</v>
      </c>
      <c r="WL62" s="1" t="s">
        <v>47994</v>
      </c>
      <c r="WM62" s="1" t="s">
        <v>47995</v>
      </c>
      <c r="WN62" s="1" t="s">
        <v>47996</v>
      </c>
      <c r="WO62" s="1" t="s">
        <v>47997</v>
      </c>
      <c r="WP62" s="1" t="s">
        <v>47998</v>
      </c>
      <c r="WQ62" s="1" t="s">
        <v>47999</v>
      </c>
      <c r="WR62" s="1" t="s">
        <v>48000</v>
      </c>
      <c r="WS62" s="1" t="s">
        <v>48001</v>
      </c>
      <c r="WT62" s="1" t="s">
        <v>48002</v>
      </c>
      <c r="WU62" s="1" t="s">
        <v>48003</v>
      </c>
      <c r="WV62" s="1" t="s">
        <v>48004</v>
      </c>
      <c r="WW62" s="1" t="s">
        <v>48005</v>
      </c>
      <c r="WX62" s="1" t="s">
        <v>48006</v>
      </c>
      <c r="WY62" s="1" t="s">
        <v>48007</v>
      </c>
      <c r="WZ62" s="1" t="s">
        <v>48008</v>
      </c>
      <c r="XA62" s="1" t="s">
        <v>48009</v>
      </c>
      <c r="XB62" s="1" t="s">
        <v>48010</v>
      </c>
      <c r="XC62" s="1" t="s">
        <v>48011</v>
      </c>
      <c r="XD62" s="1" t="s">
        <v>48012</v>
      </c>
      <c r="XE62" s="1" t="s">
        <v>48013</v>
      </c>
      <c r="XF62" s="1" t="s">
        <v>48014</v>
      </c>
      <c r="XG62" s="1" t="s">
        <v>48015</v>
      </c>
      <c r="XH62" s="1" t="s">
        <v>48016</v>
      </c>
      <c r="XI62" s="1" t="s">
        <v>48017</v>
      </c>
      <c r="XJ62" s="1" t="s">
        <v>48018</v>
      </c>
      <c r="XK62" s="1" t="s">
        <v>48019</v>
      </c>
      <c r="XL62" s="1" t="s">
        <v>48020</v>
      </c>
      <c r="XM62" s="1" t="s">
        <v>48021</v>
      </c>
      <c r="XN62" s="1" t="s">
        <v>48022</v>
      </c>
      <c r="XO62" s="1" t="s">
        <v>48023</v>
      </c>
      <c r="XP62" s="1" t="s">
        <v>48024</v>
      </c>
      <c r="XQ62" s="1" t="s">
        <v>48025</v>
      </c>
      <c r="XR62" s="1" t="s">
        <v>48026</v>
      </c>
      <c r="XS62" s="1" t="s">
        <v>48027</v>
      </c>
      <c r="XT62" s="1" t="s">
        <v>48028</v>
      </c>
      <c r="XU62" s="1" t="s">
        <v>48029</v>
      </c>
      <c r="XV62" s="1" t="s">
        <v>48030</v>
      </c>
      <c r="XW62" s="1" t="s">
        <v>48031</v>
      </c>
      <c r="XX62" s="1" t="s">
        <v>48032</v>
      </c>
      <c r="XY62" s="1" t="s">
        <v>48033</v>
      </c>
      <c r="XZ62" s="1" t="s">
        <v>48034</v>
      </c>
      <c r="YA62" s="1" t="s">
        <v>48035</v>
      </c>
      <c r="YB62" s="1" t="s">
        <v>48036</v>
      </c>
      <c r="YC62" s="1" t="s">
        <v>48037</v>
      </c>
      <c r="YD62" s="1" t="s">
        <v>48038</v>
      </c>
      <c r="YE62" s="1" t="s">
        <v>48039</v>
      </c>
      <c r="YF62" s="1" t="s">
        <v>48040</v>
      </c>
      <c r="YG62" s="1" t="s">
        <v>48041</v>
      </c>
      <c r="YH62" s="1" t="s">
        <v>48042</v>
      </c>
      <c r="YI62" s="1" t="s">
        <v>48043</v>
      </c>
      <c r="YJ62" s="1" t="s">
        <v>48044</v>
      </c>
      <c r="YK62" s="1" t="s">
        <v>48045</v>
      </c>
      <c r="YL62" s="1" t="s">
        <v>48046</v>
      </c>
      <c r="YM62" s="1" t="s">
        <v>48047</v>
      </c>
      <c r="YN62" s="1" t="s">
        <v>48048</v>
      </c>
      <c r="YO62" s="1" t="s">
        <v>48049</v>
      </c>
      <c r="YP62" s="1" t="s">
        <v>48050</v>
      </c>
      <c r="YQ62" s="1" t="s">
        <v>48051</v>
      </c>
      <c r="YR62" s="1" t="s">
        <v>48052</v>
      </c>
      <c r="YS62" s="1" t="s">
        <v>48053</v>
      </c>
      <c r="YT62" s="1" t="s">
        <v>48054</v>
      </c>
      <c r="YU62" s="1" t="s">
        <v>48055</v>
      </c>
      <c r="YV62" s="1" t="s">
        <v>48056</v>
      </c>
      <c r="YW62" s="1" t="s">
        <v>48057</v>
      </c>
      <c r="YX62" s="1" t="s">
        <v>48058</v>
      </c>
      <c r="YY62" s="1" t="s">
        <v>48059</v>
      </c>
      <c r="YZ62" s="1" t="s">
        <v>48060</v>
      </c>
      <c r="ZA62" s="1" t="s">
        <v>48061</v>
      </c>
      <c r="ZB62" s="1" t="s">
        <v>48062</v>
      </c>
      <c r="ZC62" s="1" t="s">
        <v>48063</v>
      </c>
      <c r="ZD62" s="1" t="s">
        <v>48064</v>
      </c>
      <c r="ZE62" s="1" t="s">
        <v>48065</v>
      </c>
      <c r="ZF62" s="1" t="s">
        <v>48066</v>
      </c>
      <c r="ZG62" s="1" t="s">
        <v>48067</v>
      </c>
      <c r="ZH62" s="1" t="s">
        <v>48068</v>
      </c>
      <c r="ZI62" s="1" t="s">
        <v>48069</v>
      </c>
      <c r="ZJ62" s="1" t="s">
        <v>48070</v>
      </c>
      <c r="ZK62" s="1" t="s">
        <v>48071</v>
      </c>
      <c r="ZL62" s="1" t="s">
        <v>48072</v>
      </c>
      <c r="ZM62" s="1" t="s">
        <v>48073</v>
      </c>
      <c r="ZN62" s="1" t="s">
        <v>48074</v>
      </c>
      <c r="ZO62" s="1" t="s">
        <v>48075</v>
      </c>
      <c r="ZP62" s="1" t="s">
        <v>48076</v>
      </c>
      <c r="ZQ62" s="1" t="s">
        <v>48077</v>
      </c>
      <c r="ZR62" s="1" t="s">
        <v>48078</v>
      </c>
      <c r="ZS62" s="1" t="s">
        <v>48079</v>
      </c>
      <c r="ZT62" s="1" t="s">
        <v>48080</v>
      </c>
      <c r="ZU62" s="1" t="s">
        <v>48081</v>
      </c>
      <c r="ZV62" s="1" t="s">
        <v>48082</v>
      </c>
      <c r="ZW62" s="1" t="s">
        <v>48083</v>
      </c>
      <c r="ZX62" s="1" t="s">
        <v>48084</v>
      </c>
      <c r="ZY62" s="1" t="s">
        <v>48085</v>
      </c>
      <c r="ZZ62" s="1" t="s">
        <v>48086</v>
      </c>
      <c r="AAA62" s="1" t="s">
        <v>48087</v>
      </c>
      <c r="AAB62" s="1" t="s">
        <v>48088</v>
      </c>
      <c r="AAC62" s="1" t="s">
        <v>48089</v>
      </c>
      <c r="AAD62" s="1" t="s">
        <v>48090</v>
      </c>
      <c r="AAE62" s="1" t="s">
        <v>48091</v>
      </c>
      <c r="AAF62" s="1" t="s">
        <v>48092</v>
      </c>
      <c r="AAG62" s="1" t="s">
        <v>48093</v>
      </c>
      <c r="AAH62" s="1" t="s">
        <v>48094</v>
      </c>
      <c r="AAI62" s="1" t="s">
        <v>48095</v>
      </c>
      <c r="AAJ62" s="1" t="s">
        <v>48096</v>
      </c>
      <c r="AAK62" s="1" t="s">
        <v>48097</v>
      </c>
      <c r="AAL62" s="1" t="s">
        <v>48098</v>
      </c>
      <c r="AAM62" s="1" t="s">
        <v>48099</v>
      </c>
      <c r="AAN62" s="1" t="s">
        <v>48100</v>
      </c>
      <c r="AAO62" s="1" t="s">
        <v>48101</v>
      </c>
      <c r="AAP62" s="1" t="s">
        <v>48102</v>
      </c>
      <c r="AAQ62" s="1" t="s">
        <v>48103</v>
      </c>
      <c r="AAR62" s="1" t="s">
        <v>48104</v>
      </c>
      <c r="AAS62" s="1" t="s">
        <v>48105</v>
      </c>
      <c r="AAT62" s="1" t="s">
        <v>48106</v>
      </c>
      <c r="AAU62" s="1" t="s">
        <v>48107</v>
      </c>
      <c r="AAV62" s="1" t="s">
        <v>48108</v>
      </c>
      <c r="AAW62" s="1" t="s">
        <v>48109</v>
      </c>
      <c r="AAX62" s="1" t="s">
        <v>48110</v>
      </c>
      <c r="AAY62" s="1" t="s">
        <v>48111</v>
      </c>
      <c r="AAZ62" s="1" t="s">
        <v>48112</v>
      </c>
      <c r="ABA62" s="1" t="s">
        <v>48113</v>
      </c>
      <c r="ABB62" s="1" t="s">
        <v>48114</v>
      </c>
      <c r="ABC62" s="1" t="s">
        <v>48115</v>
      </c>
      <c r="ABD62" s="1" t="s">
        <v>48116</v>
      </c>
      <c r="ABE62" s="1" t="s">
        <v>48117</v>
      </c>
      <c r="ABF62" s="1" t="s">
        <v>48118</v>
      </c>
      <c r="ABG62" s="1" t="s">
        <v>48119</v>
      </c>
      <c r="ABH62" s="1" t="s">
        <v>48120</v>
      </c>
      <c r="ABI62" s="1" t="s">
        <v>48121</v>
      </c>
      <c r="ABJ62" s="1" t="s">
        <v>48122</v>
      </c>
      <c r="ABK62" s="1" t="s">
        <v>48123</v>
      </c>
      <c r="ABL62" s="1" t="s">
        <v>48124</v>
      </c>
      <c r="ABM62" s="1" t="s">
        <v>48125</v>
      </c>
      <c r="ABN62" s="1" t="s">
        <v>48126</v>
      </c>
      <c r="ABO62" s="1" t="s">
        <v>48127</v>
      </c>
      <c r="ABP62" s="1" t="s">
        <v>48128</v>
      </c>
      <c r="ABQ62" s="1" t="s">
        <v>48129</v>
      </c>
      <c r="ABR62" s="1" t="s">
        <v>48130</v>
      </c>
      <c r="ABS62" s="1" t="s">
        <v>48131</v>
      </c>
      <c r="ABT62" s="1" t="s">
        <v>48132</v>
      </c>
      <c r="ABU62" s="1" t="s">
        <v>48133</v>
      </c>
      <c r="ABV62" s="1" t="s">
        <v>48134</v>
      </c>
      <c r="ABW62" s="1" t="s">
        <v>48135</v>
      </c>
      <c r="ABX62" s="1" t="s">
        <v>48136</v>
      </c>
      <c r="ABY62" s="1" t="s">
        <v>48137</v>
      </c>
      <c r="ABZ62" s="1" t="s">
        <v>48138</v>
      </c>
      <c r="ACA62" s="1" t="s">
        <v>48139</v>
      </c>
      <c r="ACB62" s="1" t="s">
        <v>48140</v>
      </c>
      <c r="ACC62" s="1" t="s">
        <v>48141</v>
      </c>
      <c r="ACD62" s="1" t="s">
        <v>48142</v>
      </c>
      <c r="ACE62" s="1" t="s">
        <v>48143</v>
      </c>
      <c r="ACF62" s="1" t="s">
        <v>48144</v>
      </c>
      <c r="ACG62" s="1" t="s">
        <v>48145</v>
      </c>
      <c r="ACH62" s="1" t="s">
        <v>48146</v>
      </c>
      <c r="ACI62" s="1" t="s">
        <v>48147</v>
      </c>
      <c r="ACJ62" s="1" t="s">
        <v>48148</v>
      </c>
      <c r="ACK62" s="1" t="s">
        <v>48149</v>
      </c>
      <c r="ACL62" s="1" t="s">
        <v>48150</v>
      </c>
      <c r="ACM62" s="1" t="s">
        <v>48151</v>
      </c>
      <c r="ACN62" s="1" t="s">
        <v>48152</v>
      </c>
      <c r="ACO62" s="1" t="s">
        <v>48153</v>
      </c>
      <c r="ACP62" s="1" t="s">
        <v>48154</v>
      </c>
      <c r="ACQ62" s="1" t="s">
        <v>48155</v>
      </c>
      <c r="ACR62" s="1" t="s">
        <v>48156</v>
      </c>
      <c r="ACS62" s="1" t="s">
        <v>48157</v>
      </c>
      <c r="ACT62" s="1" t="s">
        <v>48158</v>
      </c>
      <c r="ACU62" s="1" t="s">
        <v>48159</v>
      </c>
      <c r="ACV62" s="1" t="s">
        <v>48160</v>
      </c>
      <c r="ACW62" s="1" t="s">
        <v>23</v>
      </c>
      <c r="ACX62" s="1" t="s">
        <v>6310</v>
      </c>
    </row>
    <row r="63" spans="1:778" x14ac:dyDescent="0.2">
      <c r="A63" s="1" t="s">
        <v>42</v>
      </c>
      <c r="B63" s="1" t="s">
        <v>48161</v>
      </c>
      <c r="C63" s="1" t="s">
        <v>48162</v>
      </c>
      <c r="D63" s="1" t="s">
        <v>48163</v>
      </c>
      <c r="E63" s="1" t="s">
        <v>48164</v>
      </c>
      <c r="F63" s="1" t="s">
        <v>48165</v>
      </c>
      <c r="G63" s="1" t="s">
        <v>48166</v>
      </c>
      <c r="H63" s="1" t="s">
        <v>48167</v>
      </c>
      <c r="I63" s="1" t="s">
        <v>48168</v>
      </c>
      <c r="J63" s="1" t="s">
        <v>48169</v>
      </c>
      <c r="K63" s="1" t="s">
        <v>48170</v>
      </c>
      <c r="L63" s="1" t="s">
        <v>48171</v>
      </c>
      <c r="M63" s="1" t="s">
        <v>48172</v>
      </c>
      <c r="N63" s="1" t="s">
        <v>48173</v>
      </c>
      <c r="O63" s="1" t="s">
        <v>48174</v>
      </c>
      <c r="P63" s="1" t="s">
        <v>48175</v>
      </c>
      <c r="Q63" s="1" t="s">
        <v>48176</v>
      </c>
      <c r="R63" s="1" t="s">
        <v>48177</v>
      </c>
      <c r="S63" s="1" t="s">
        <v>48178</v>
      </c>
      <c r="T63" s="1" t="s">
        <v>48179</v>
      </c>
      <c r="U63" s="1" t="s">
        <v>48180</v>
      </c>
      <c r="V63" s="1" t="s">
        <v>48181</v>
      </c>
      <c r="W63" s="1" t="s">
        <v>48182</v>
      </c>
      <c r="X63" s="1" t="s">
        <v>48183</v>
      </c>
      <c r="Y63" s="1" t="s">
        <v>48184</v>
      </c>
      <c r="Z63" s="1" t="s">
        <v>48185</v>
      </c>
      <c r="AA63" s="1" t="s">
        <v>48186</v>
      </c>
      <c r="AB63" s="1" t="s">
        <v>48187</v>
      </c>
      <c r="AC63" s="1" t="s">
        <v>48188</v>
      </c>
      <c r="AD63" s="1" t="s">
        <v>48189</v>
      </c>
      <c r="AE63" s="1" t="s">
        <v>48190</v>
      </c>
      <c r="AF63" s="1" t="s">
        <v>48191</v>
      </c>
      <c r="AG63" s="1" t="s">
        <v>48192</v>
      </c>
      <c r="AH63" s="1" t="s">
        <v>48193</v>
      </c>
      <c r="AI63" s="1" t="s">
        <v>48194</v>
      </c>
      <c r="AJ63" s="1" t="s">
        <v>48195</v>
      </c>
      <c r="AK63" s="1" t="s">
        <v>48196</v>
      </c>
      <c r="AL63" s="1" t="s">
        <v>48197</v>
      </c>
      <c r="AM63" s="1" t="s">
        <v>48198</v>
      </c>
      <c r="AN63" s="1" t="s">
        <v>48199</v>
      </c>
      <c r="AO63" s="1" t="s">
        <v>48200</v>
      </c>
      <c r="AP63" s="1" t="s">
        <v>48201</v>
      </c>
      <c r="AQ63" s="1" t="s">
        <v>48202</v>
      </c>
      <c r="AR63" s="1" t="s">
        <v>48203</v>
      </c>
      <c r="AS63" s="1" t="s">
        <v>48204</v>
      </c>
      <c r="AT63" s="1" t="s">
        <v>48205</v>
      </c>
      <c r="AU63" s="1" t="s">
        <v>48206</v>
      </c>
      <c r="AV63" s="1" t="s">
        <v>48207</v>
      </c>
      <c r="AW63" s="1" t="s">
        <v>48208</v>
      </c>
      <c r="AX63" s="1" t="s">
        <v>48209</v>
      </c>
      <c r="AY63" s="1" t="s">
        <v>48210</v>
      </c>
      <c r="AZ63" s="1" t="s">
        <v>48211</v>
      </c>
      <c r="BA63" s="1" t="s">
        <v>48212</v>
      </c>
      <c r="BB63" s="1" t="s">
        <v>48213</v>
      </c>
      <c r="BC63" s="1" t="s">
        <v>48214</v>
      </c>
      <c r="BD63" s="1" t="s">
        <v>48215</v>
      </c>
      <c r="BE63" s="1" t="s">
        <v>48216</v>
      </c>
      <c r="BF63" s="1" t="s">
        <v>48217</v>
      </c>
      <c r="BG63" s="1" t="s">
        <v>48218</v>
      </c>
      <c r="BH63" s="1" t="s">
        <v>48219</v>
      </c>
      <c r="BI63" s="1" t="s">
        <v>48220</v>
      </c>
      <c r="BJ63" s="1" t="s">
        <v>48221</v>
      </c>
      <c r="BK63" s="1" t="s">
        <v>48222</v>
      </c>
      <c r="BL63" s="1" t="s">
        <v>48223</v>
      </c>
      <c r="BM63" s="1" t="s">
        <v>48224</v>
      </c>
      <c r="BN63" s="1" t="s">
        <v>48225</v>
      </c>
      <c r="BO63" s="1" t="s">
        <v>48226</v>
      </c>
      <c r="BP63" s="1" t="s">
        <v>48227</v>
      </c>
      <c r="BQ63" s="1" t="s">
        <v>48228</v>
      </c>
      <c r="BR63" s="1" t="s">
        <v>48229</v>
      </c>
      <c r="BS63" s="1" t="s">
        <v>48230</v>
      </c>
      <c r="BT63" s="1" t="s">
        <v>48231</v>
      </c>
      <c r="BU63" s="1" t="s">
        <v>48232</v>
      </c>
      <c r="BV63" s="1" t="s">
        <v>48233</v>
      </c>
      <c r="BW63" s="1" t="s">
        <v>48234</v>
      </c>
      <c r="BX63" s="1" t="s">
        <v>48235</v>
      </c>
      <c r="BY63" s="1" t="s">
        <v>48236</v>
      </c>
      <c r="BZ63" s="1" t="s">
        <v>48237</v>
      </c>
      <c r="CA63" s="1" t="s">
        <v>48238</v>
      </c>
      <c r="CB63" s="1" t="s">
        <v>48239</v>
      </c>
      <c r="CC63" s="1" t="s">
        <v>48240</v>
      </c>
      <c r="CD63" s="1" t="s">
        <v>48241</v>
      </c>
      <c r="CE63" s="1" t="s">
        <v>48242</v>
      </c>
      <c r="CF63" s="1" t="s">
        <v>48243</v>
      </c>
      <c r="CG63" s="1" t="s">
        <v>48244</v>
      </c>
      <c r="CH63" s="1" t="s">
        <v>48245</v>
      </c>
      <c r="CI63" s="1" t="s">
        <v>48246</v>
      </c>
      <c r="CJ63" s="1" t="s">
        <v>48247</v>
      </c>
      <c r="CK63" s="1" t="s">
        <v>48248</v>
      </c>
      <c r="CL63" s="1" t="s">
        <v>48249</v>
      </c>
      <c r="CM63" s="1" t="s">
        <v>48250</v>
      </c>
      <c r="CN63" s="1" t="s">
        <v>48251</v>
      </c>
      <c r="CO63" s="1" t="s">
        <v>48252</v>
      </c>
      <c r="CP63" s="1" t="s">
        <v>48253</v>
      </c>
      <c r="CQ63" s="1" t="s">
        <v>48254</v>
      </c>
      <c r="CR63" s="1" t="s">
        <v>48255</v>
      </c>
      <c r="CS63" s="1" t="s">
        <v>48256</v>
      </c>
      <c r="CT63" s="1" t="s">
        <v>48257</v>
      </c>
      <c r="CU63" s="1" t="s">
        <v>48258</v>
      </c>
      <c r="CV63" s="1" t="s">
        <v>48259</v>
      </c>
      <c r="CW63" s="1" t="s">
        <v>48260</v>
      </c>
      <c r="CX63" s="1" t="s">
        <v>48261</v>
      </c>
      <c r="CY63" s="1" t="s">
        <v>48262</v>
      </c>
      <c r="CZ63" s="1" t="s">
        <v>48263</v>
      </c>
      <c r="DA63" s="1" t="s">
        <v>48264</v>
      </c>
      <c r="DB63" s="1" t="s">
        <v>48265</v>
      </c>
      <c r="DC63" s="1" t="s">
        <v>48266</v>
      </c>
      <c r="DD63" s="1" t="s">
        <v>48267</v>
      </c>
      <c r="DE63" s="1" t="s">
        <v>48268</v>
      </c>
      <c r="DF63" s="1" t="s">
        <v>48269</v>
      </c>
      <c r="DG63" s="1" t="s">
        <v>48270</v>
      </c>
      <c r="DH63" s="1" t="s">
        <v>48271</v>
      </c>
      <c r="DI63" s="1" t="s">
        <v>48272</v>
      </c>
      <c r="DJ63" s="1" t="s">
        <v>48273</v>
      </c>
      <c r="DK63" s="1" t="s">
        <v>48274</v>
      </c>
      <c r="DL63" s="1" t="s">
        <v>48275</v>
      </c>
      <c r="DM63" s="1" t="s">
        <v>48276</v>
      </c>
      <c r="DN63" s="1" t="s">
        <v>48277</v>
      </c>
      <c r="DO63" s="1" t="s">
        <v>48278</v>
      </c>
      <c r="DP63" s="1" t="s">
        <v>48279</v>
      </c>
      <c r="DQ63" s="1" t="s">
        <v>48280</v>
      </c>
      <c r="DR63" s="1" t="s">
        <v>48281</v>
      </c>
      <c r="DS63" s="1" t="s">
        <v>48282</v>
      </c>
      <c r="DT63" s="1" t="s">
        <v>48283</v>
      </c>
      <c r="DU63" s="1" t="s">
        <v>48284</v>
      </c>
      <c r="DV63" s="1" t="s">
        <v>48285</v>
      </c>
      <c r="DW63" s="1" t="s">
        <v>48286</v>
      </c>
      <c r="DX63" s="1" t="s">
        <v>48287</v>
      </c>
      <c r="DY63" s="1" t="s">
        <v>48288</v>
      </c>
      <c r="DZ63" s="1" t="s">
        <v>48289</v>
      </c>
      <c r="EA63" s="1" t="s">
        <v>48290</v>
      </c>
      <c r="EB63" s="1" t="s">
        <v>48291</v>
      </c>
      <c r="EC63" s="1" t="s">
        <v>48292</v>
      </c>
      <c r="ED63" s="1" t="s">
        <v>48293</v>
      </c>
      <c r="EE63" s="1" t="s">
        <v>48294</v>
      </c>
      <c r="EF63" s="1" t="s">
        <v>48295</v>
      </c>
      <c r="EG63" s="1" t="s">
        <v>48296</v>
      </c>
      <c r="EH63" s="1" t="s">
        <v>48297</v>
      </c>
      <c r="EI63" s="1" t="s">
        <v>48298</v>
      </c>
      <c r="EJ63" s="1" t="s">
        <v>48299</v>
      </c>
      <c r="EK63" s="1" t="s">
        <v>48300</v>
      </c>
      <c r="EL63" s="1" t="s">
        <v>48301</v>
      </c>
      <c r="EM63" s="1" t="s">
        <v>48302</v>
      </c>
      <c r="EN63" s="1" t="s">
        <v>48303</v>
      </c>
      <c r="EO63" s="1" t="s">
        <v>48304</v>
      </c>
      <c r="EP63" s="1" t="s">
        <v>48305</v>
      </c>
      <c r="EQ63" s="1" t="s">
        <v>48306</v>
      </c>
      <c r="ER63" s="1" t="s">
        <v>48307</v>
      </c>
      <c r="ES63" s="1" t="s">
        <v>48308</v>
      </c>
      <c r="ET63" s="1" t="s">
        <v>48309</v>
      </c>
      <c r="EU63" s="1" t="s">
        <v>48310</v>
      </c>
      <c r="EV63" s="1" t="s">
        <v>48311</v>
      </c>
      <c r="EW63" s="1" t="s">
        <v>48312</v>
      </c>
      <c r="EX63" s="1" t="s">
        <v>48313</v>
      </c>
      <c r="EY63" s="1" t="s">
        <v>48314</v>
      </c>
      <c r="EZ63" s="1" t="s">
        <v>48315</v>
      </c>
      <c r="FA63" s="1" t="s">
        <v>48316</v>
      </c>
      <c r="FB63" s="1" t="s">
        <v>48317</v>
      </c>
      <c r="FC63" s="1" t="s">
        <v>48318</v>
      </c>
      <c r="FD63" s="1" t="s">
        <v>48319</v>
      </c>
      <c r="FE63" s="1" t="s">
        <v>48320</v>
      </c>
      <c r="FF63" s="1" t="s">
        <v>48321</v>
      </c>
      <c r="FG63" s="1" t="s">
        <v>48322</v>
      </c>
      <c r="FH63" s="1" t="s">
        <v>48323</v>
      </c>
      <c r="FI63" s="1" t="s">
        <v>48324</v>
      </c>
      <c r="FJ63" s="1" t="s">
        <v>48325</v>
      </c>
      <c r="FK63" s="1" t="s">
        <v>48326</v>
      </c>
      <c r="FL63" s="1" t="s">
        <v>48327</v>
      </c>
      <c r="FM63" s="1" t="s">
        <v>48328</v>
      </c>
      <c r="FN63" s="1" t="s">
        <v>48329</v>
      </c>
      <c r="FO63" s="1" t="s">
        <v>48330</v>
      </c>
      <c r="FP63" s="1" t="s">
        <v>48331</v>
      </c>
      <c r="FQ63" s="1" t="s">
        <v>48332</v>
      </c>
      <c r="FR63" s="1" t="s">
        <v>48333</v>
      </c>
      <c r="FS63" s="1" t="s">
        <v>48334</v>
      </c>
      <c r="FT63" s="1" t="s">
        <v>48335</v>
      </c>
      <c r="FU63" s="1" t="s">
        <v>48336</v>
      </c>
      <c r="FV63" s="1" t="s">
        <v>48337</v>
      </c>
      <c r="FW63" s="1" t="s">
        <v>48338</v>
      </c>
      <c r="FX63" s="1" t="s">
        <v>48339</v>
      </c>
      <c r="FY63" s="1" t="s">
        <v>48340</v>
      </c>
      <c r="FZ63" s="1" t="s">
        <v>48341</v>
      </c>
      <c r="GA63" s="1" t="s">
        <v>48342</v>
      </c>
      <c r="GB63" s="1" t="s">
        <v>48343</v>
      </c>
      <c r="GC63" s="1" t="s">
        <v>48344</v>
      </c>
      <c r="GD63" s="1" t="s">
        <v>48345</v>
      </c>
      <c r="GE63" s="1" t="s">
        <v>48346</v>
      </c>
      <c r="GF63" s="1" t="s">
        <v>48347</v>
      </c>
      <c r="GG63" s="1" t="s">
        <v>48348</v>
      </c>
      <c r="GH63" s="1" t="s">
        <v>48349</v>
      </c>
      <c r="GI63" s="1" t="s">
        <v>48350</v>
      </c>
      <c r="GJ63" s="1" t="s">
        <v>48351</v>
      </c>
      <c r="GK63" s="1" t="s">
        <v>48352</v>
      </c>
      <c r="GL63" s="1" t="s">
        <v>48353</v>
      </c>
      <c r="GM63" s="1" t="s">
        <v>48354</v>
      </c>
      <c r="GN63" s="1" t="s">
        <v>48355</v>
      </c>
      <c r="GO63" s="1" t="s">
        <v>48356</v>
      </c>
      <c r="GP63" s="1" t="s">
        <v>48357</v>
      </c>
      <c r="GQ63" s="1" t="s">
        <v>48358</v>
      </c>
      <c r="GR63" s="1" t="s">
        <v>48359</v>
      </c>
      <c r="GS63" s="1" t="s">
        <v>48360</v>
      </c>
      <c r="GT63" s="1" t="s">
        <v>48361</v>
      </c>
      <c r="GU63" s="1" t="s">
        <v>48362</v>
      </c>
      <c r="GV63" s="1" t="s">
        <v>48363</v>
      </c>
      <c r="GW63" s="1" t="s">
        <v>48364</v>
      </c>
      <c r="GX63" s="1" t="s">
        <v>48365</v>
      </c>
      <c r="GY63" s="1" t="s">
        <v>48366</v>
      </c>
      <c r="GZ63" s="1" t="s">
        <v>48367</v>
      </c>
      <c r="HA63" s="1" t="s">
        <v>48368</v>
      </c>
      <c r="HB63" s="1" t="s">
        <v>48369</v>
      </c>
      <c r="HC63" s="1" t="s">
        <v>48370</v>
      </c>
      <c r="HD63" s="1" t="s">
        <v>48371</v>
      </c>
      <c r="HE63" s="1" t="s">
        <v>48372</v>
      </c>
      <c r="HF63" s="1" t="s">
        <v>48373</v>
      </c>
      <c r="HG63" s="1" t="s">
        <v>48374</v>
      </c>
      <c r="HH63" s="1" t="s">
        <v>48375</v>
      </c>
      <c r="HI63" s="1" t="s">
        <v>48376</v>
      </c>
      <c r="HJ63" s="1" t="s">
        <v>48377</v>
      </c>
      <c r="HK63" s="1" t="s">
        <v>48378</v>
      </c>
      <c r="HL63" s="1" t="s">
        <v>48379</v>
      </c>
      <c r="HM63" s="1" t="s">
        <v>48380</v>
      </c>
      <c r="HN63" s="1" t="s">
        <v>48381</v>
      </c>
      <c r="HO63" s="1" t="s">
        <v>48382</v>
      </c>
      <c r="HP63" s="1" t="s">
        <v>48383</v>
      </c>
      <c r="HQ63" s="1" t="s">
        <v>48384</v>
      </c>
      <c r="HR63" s="1" t="s">
        <v>48385</v>
      </c>
      <c r="HS63" s="1" t="s">
        <v>48386</v>
      </c>
      <c r="HT63" s="1" t="s">
        <v>48387</v>
      </c>
      <c r="HU63" s="1" t="s">
        <v>48388</v>
      </c>
      <c r="HV63" s="1" t="s">
        <v>48389</v>
      </c>
      <c r="HW63" s="1" t="s">
        <v>48390</v>
      </c>
      <c r="HX63" s="1" t="s">
        <v>48391</v>
      </c>
      <c r="HY63" s="1" t="s">
        <v>48392</v>
      </c>
      <c r="HZ63" s="1" t="s">
        <v>48393</v>
      </c>
      <c r="IA63" s="1" t="s">
        <v>48394</v>
      </c>
      <c r="IB63" s="1" t="s">
        <v>48395</v>
      </c>
      <c r="IC63" s="1" t="s">
        <v>48396</v>
      </c>
      <c r="ID63" s="1" t="s">
        <v>48397</v>
      </c>
      <c r="IE63" s="1" t="s">
        <v>48398</v>
      </c>
      <c r="IF63" s="1" t="s">
        <v>48399</v>
      </c>
      <c r="IG63" s="1" t="s">
        <v>48400</v>
      </c>
      <c r="IH63" s="1" t="s">
        <v>48401</v>
      </c>
      <c r="II63" s="1" t="s">
        <v>48402</v>
      </c>
      <c r="IJ63" s="1" t="s">
        <v>48403</v>
      </c>
      <c r="IK63" s="1" t="s">
        <v>48404</v>
      </c>
      <c r="IL63" s="1" t="s">
        <v>48405</v>
      </c>
      <c r="IM63" s="1" t="s">
        <v>48406</v>
      </c>
      <c r="IN63" s="1" t="s">
        <v>48407</v>
      </c>
      <c r="IO63" s="1" t="s">
        <v>48408</v>
      </c>
      <c r="IP63" s="1" t="s">
        <v>48409</v>
      </c>
      <c r="IQ63" s="1" t="s">
        <v>48410</v>
      </c>
      <c r="IR63" s="1" t="s">
        <v>48411</v>
      </c>
      <c r="IS63" s="1" t="s">
        <v>48412</v>
      </c>
      <c r="IT63" s="1" t="s">
        <v>48413</v>
      </c>
      <c r="IU63" s="1" t="s">
        <v>48414</v>
      </c>
      <c r="IV63" s="1" t="s">
        <v>48415</v>
      </c>
      <c r="IW63" s="1" t="s">
        <v>48416</v>
      </c>
      <c r="IX63" s="1" t="s">
        <v>48417</v>
      </c>
      <c r="IY63" s="1" t="s">
        <v>48418</v>
      </c>
      <c r="IZ63" s="1" t="s">
        <v>48419</v>
      </c>
      <c r="JA63" s="1" t="s">
        <v>48420</v>
      </c>
      <c r="JB63" s="1" t="s">
        <v>48421</v>
      </c>
      <c r="JC63" s="1" t="s">
        <v>48422</v>
      </c>
      <c r="JD63" s="1" t="s">
        <v>48423</v>
      </c>
      <c r="JE63" s="1" t="s">
        <v>48424</v>
      </c>
      <c r="JF63" s="1" t="s">
        <v>48425</v>
      </c>
      <c r="JG63" s="1" t="s">
        <v>48426</v>
      </c>
      <c r="JH63" s="1" t="s">
        <v>48427</v>
      </c>
      <c r="JI63" s="1" t="s">
        <v>48428</v>
      </c>
      <c r="JJ63" s="1" t="s">
        <v>48429</v>
      </c>
      <c r="JK63" s="1" t="s">
        <v>48430</v>
      </c>
      <c r="JL63" s="1" t="s">
        <v>48431</v>
      </c>
      <c r="JM63" s="1" t="s">
        <v>48432</v>
      </c>
      <c r="JN63" s="1" t="s">
        <v>48433</v>
      </c>
      <c r="JO63" s="1" t="s">
        <v>48434</v>
      </c>
      <c r="JP63" s="1" t="s">
        <v>48435</v>
      </c>
      <c r="JQ63" s="1" t="s">
        <v>48436</v>
      </c>
      <c r="JR63" s="1" t="s">
        <v>48437</v>
      </c>
      <c r="JS63" s="1" t="s">
        <v>48438</v>
      </c>
      <c r="JT63" s="1" t="s">
        <v>48439</v>
      </c>
      <c r="JU63" s="1" t="s">
        <v>48440</v>
      </c>
      <c r="JV63" s="1" t="s">
        <v>48441</v>
      </c>
      <c r="JW63" s="1" t="s">
        <v>48442</v>
      </c>
      <c r="JX63" s="1" t="s">
        <v>48443</v>
      </c>
      <c r="JY63" s="1" t="s">
        <v>48444</v>
      </c>
      <c r="JZ63" s="1" t="s">
        <v>48445</v>
      </c>
      <c r="KA63" s="1" t="s">
        <v>48446</v>
      </c>
      <c r="KB63" s="1" t="s">
        <v>48447</v>
      </c>
      <c r="KC63" s="1" t="s">
        <v>48448</v>
      </c>
      <c r="KD63" s="1" t="s">
        <v>48449</v>
      </c>
      <c r="KE63" s="1" t="s">
        <v>48450</v>
      </c>
      <c r="KF63" s="1" t="s">
        <v>48451</v>
      </c>
      <c r="KG63" s="1" t="s">
        <v>48452</v>
      </c>
      <c r="KH63" s="1" t="s">
        <v>48453</v>
      </c>
      <c r="KI63" s="1" t="s">
        <v>48454</v>
      </c>
      <c r="KJ63" s="1" t="s">
        <v>48455</v>
      </c>
      <c r="KK63" s="1" t="s">
        <v>48456</v>
      </c>
      <c r="KL63" s="1" t="s">
        <v>48457</v>
      </c>
      <c r="KM63" s="1" t="s">
        <v>48458</v>
      </c>
      <c r="KN63" s="1" t="s">
        <v>48459</v>
      </c>
      <c r="KO63" s="1" t="s">
        <v>48460</v>
      </c>
      <c r="KP63" s="1" t="s">
        <v>48461</v>
      </c>
      <c r="KQ63" s="1" t="s">
        <v>48462</v>
      </c>
      <c r="KR63" s="1" t="s">
        <v>48463</v>
      </c>
      <c r="KS63" s="1" t="s">
        <v>48464</v>
      </c>
      <c r="KT63" s="1" t="s">
        <v>48465</v>
      </c>
      <c r="KU63" s="1" t="s">
        <v>48466</v>
      </c>
      <c r="KV63" s="1" t="s">
        <v>48467</v>
      </c>
      <c r="KW63" s="1" t="s">
        <v>48468</v>
      </c>
      <c r="KX63" s="1" t="s">
        <v>48469</v>
      </c>
      <c r="KY63" s="1" t="s">
        <v>48470</v>
      </c>
      <c r="KZ63" s="1" t="s">
        <v>48471</v>
      </c>
      <c r="LA63" s="1" t="s">
        <v>48472</v>
      </c>
      <c r="LB63" s="1" t="s">
        <v>48473</v>
      </c>
      <c r="LC63" s="1" t="s">
        <v>48474</v>
      </c>
      <c r="LD63" s="1" t="s">
        <v>48475</v>
      </c>
      <c r="LE63" s="1" t="s">
        <v>48476</v>
      </c>
      <c r="LF63" s="1" t="s">
        <v>48477</v>
      </c>
      <c r="LG63" s="1" t="s">
        <v>48478</v>
      </c>
      <c r="LH63" s="1" t="s">
        <v>48479</v>
      </c>
      <c r="LI63" s="1" t="s">
        <v>48480</v>
      </c>
      <c r="LJ63" s="1" t="s">
        <v>48481</v>
      </c>
      <c r="LK63" s="1" t="s">
        <v>48482</v>
      </c>
      <c r="LL63" s="1" t="s">
        <v>48483</v>
      </c>
      <c r="LM63" s="1" t="s">
        <v>48484</v>
      </c>
      <c r="LN63" s="1" t="s">
        <v>48485</v>
      </c>
      <c r="LO63" s="1" t="s">
        <v>48486</v>
      </c>
      <c r="LP63" s="1" t="s">
        <v>48487</v>
      </c>
      <c r="LQ63" s="1" t="s">
        <v>48488</v>
      </c>
      <c r="LR63" s="1" t="s">
        <v>48489</v>
      </c>
      <c r="LS63" s="1" t="s">
        <v>48490</v>
      </c>
      <c r="LT63" s="1" t="s">
        <v>48491</v>
      </c>
      <c r="LU63" s="1" t="s">
        <v>48492</v>
      </c>
      <c r="LV63" s="1" t="s">
        <v>48493</v>
      </c>
      <c r="LW63" s="1" t="s">
        <v>48494</v>
      </c>
      <c r="LX63" s="1" t="s">
        <v>48495</v>
      </c>
      <c r="LY63" s="1" t="s">
        <v>48496</v>
      </c>
      <c r="LZ63" s="1" t="s">
        <v>48497</v>
      </c>
      <c r="MA63" s="1" t="s">
        <v>48498</v>
      </c>
      <c r="MB63" s="1" t="s">
        <v>48499</v>
      </c>
      <c r="MC63" s="1" t="s">
        <v>48500</v>
      </c>
      <c r="MD63" s="1" t="s">
        <v>48501</v>
      </c>
      <c r="ME63" s="1" t="s">
        <v>48502</v>
      </c>
      <c r="MF63" s="1" t="s">
        <v>48503</v>
      </c>
      <c r="MG63" s="1" t="s">
        <v>48504</v>
      </c>
      <c r="MH63" s="1" t="s">
        <v>48505</v>
      </c>
      <c r="MI63" s="1" t="s">
        <v>48506</v>
      </c>
      <c r="MJ63" s="1" t="s">
        <v>48507</v>
      </c>
      <c r="MK63" s="1" t="s">
        <v>48508</v>
      </c>
      <c r="ML63" s="1" t="s">
        <v>48509</v>
      </c>
      <c r="MM63" s="1" t="s">
        <v>48510</v>
      </c>
      <c r="MN63" s="1" t="s">
        <v>48511</v>
      </c>
      <c r="MO63" s="1" t="s">
        <v>48512</v>
      </c>
      <c r="MP63" s="1" t="s">
        <v>48513</v>
      </c>
      <c r="MQ63" s="1" t="s">
        <v>48514</v>
      </c>
      <c r="MR63" s="1" t="s">
        <v>48515</v>
      </c>
      <c r="MS63" s="1" t="s">
        <v>48516</v>
      </c>
      <c r="MT63" s="1" t="s">
        <v>48517</v>
      </c>
      <c r="MU63" s="1" t="s">
        <v>48518</v>
      </c>
      <c r="MV63" s="1" t="s">
        <v>48519</v>
      </c>
      <c r="MW63" s="1" t="s">
        <v>48520</v>
      </c>
      <c r="MX63" s="1" t="s">
        <v>48521</v>
      </c>
      <c r="MY63" s="1" t="s">
        <v>48522</v>
      </c>
      <c r="MZ63" s="1" t="s">
        <v>48523</v>
      </c>
      <c r="NA63" s="1" t="s">
        <v>48524</v>
      </c>
      <c r="NB63" s="1" t="s">
        <v>48525</v>
      </c>
      <c r="NC63" s="1" t="s">
        <v>48526</v>
      </c>
      <c r="ND63" s="1" t="s">
        <v>48527</v>
      </c>
      <c r="NE63" s="1" t="s">
        <v>48528</v>
      </c>
      <c r="NF63" s="1" t="s">
        <v>48529</v>
      </c>
      <c r="NG63" s="1" t="s">
        <v>48530</v>
      </c>
      <c r="NH63" s="1" t="s">
        <v>48531</v>
      </c>
      <c r="NI63" s="1" t="s">
        <v>48532</v>
      </c>
      <c r="NJ63" s="1" t="s">
        <v>48533</v>
      </c>
      <c r="NK63" s="1" t="s">
        <v>48534</v>
      </c>
      <c r="NL63" s="1" t="s">
        <v>48535</v>
      </c>
      <c r="NM63" s="1" t="s">
        <v>48536</v>
      </c>
      <c r="NN63" s="1" t="s">
        <v>48537</v>
      </c>
      <c r="NO63" s="1" t="s">
        <v>48538</v>
      </c>
      <c r="NP63" s="1" t="s">
        <v>48539</v>
      </c>
      <c r="NQ63" s="1" t="s">
        <v>48540</v>
      </c>
      <c r="NR63" s="1" t="s">
        <v>48541</v>
      </c>
      <c r="NS63" s="1" t="s">
        <v>48542</v>
      </c>
      <c r="NT63" s="1" t="s">
        <v>48543</v>
      </c>
      <c r="NU63" s="1" t="s">
        <v>48544</v>
      </c>
      <c r="NV63" s="1" t="s">
        <v>48545</v>
      </c>
      <c r="NW63" s="1" t="s">
        <v>48546</v>
      </c>
      <c r="NX63" s="1" t="s">
        <v>48547</v>
      </c>
      <c r="NY63" s="1" t="s">
        <v>48548</v>
      </c>
      <c r="NZ63" s="1" t="s">
        <v>48549</v>
      </c>
      <c r="OA63" s="1" t="s">
        <v>48550</v>
      </c>
      <c r="OB63" s="1" t="s">
        <v>48551</v>
      </c>
      <c r="OC63" s="1" t="s">
        <v>48552</v>
      </c>
      <c r="OD63" s="1" t="s">
        <v>48553</v>
      </c>
      <c r="OE63" s="1" t="s">
        <v>48554</v>
      </c>
      <c r="OF63" s="1" t="s">
        <v>48555</v>
      </c>
      <c r="OG63" s="1" t="s">
        <v>48556</v>
      </c>
      <c r="OH63" s="1" t="s">
        <v>48557</v>
      </c>
      <c r="OI63" s="1" t="s">
        <v>48558</v>
      </c>
      <c r="OJ63" s="1" t="s">
        <v>48559</v>
      </c>
      <c r="OK63" s="1" t="s">
        <v>48560</v>
      </c>
      <c r="OL63" s="1" t="s">
        <v>48561</v>
      </c>
      <c r="OM63" s="1" t="s">
        <v>48562</v>
      </c>
      <c r="ON63" s="1" t="s">
        <v>48563</v>
      </c>
      <c r="OO63" s="1" t="s">
        <v>48564</v>
      </c>
      <c r="OP63" s="1" t="s">
        <v>48565</v>
      </c>
      <c r="OQ63" s="1" t="s">
        <v>48566</v>
      </c>
      <c r="OR63" s="1" t="s">
        <v>48567</v>
      </c>
      <c r="OS63" s="1" t="s">
        <v>48568</v>
      </c>
      <c r="OT63" s="1" t="s">
        <v>48569</v>
      </c>
      <c r="OU63" s="1" t="s">
        <v>48570</v>
      </c>
      <c r="OV63" s="1" t="s">
        <v>48571</v>
      </c>
      <c r="OW63" s="1" t="s">
        <v>48572</v>
      </c>
      <c r="OX63" s="1" t="s">
        <v>48573</v>
      </c>
      <c r="OY63" s="1" t="s">
        <v>48574</v>
      </c>
      <c r="OZ63" s="1" t="s">
        <v>48575</v>
      </c>
      <c r="PA63" s="1" t="s">
        <v>48576</v>
      </c>
      <c r="PB63" s="1" t="s">
        <v>48577</v>
      </c>
      <c r="PC63" s="1" t="s">
        <v>48578</v>
      </c>
      <c r="PD63" s="1" t="s">
        <v>48579</v>
      </c>
      <c r="PE63" s="1" t="s">
        <v>48580</v>
      </c>
      <c r="PF63" s="1" t="s">
        <v>48581</v>
      </c>
      <c r="PG63" s="1" t="s">
        <v>48582</v>
      </c>
      <c r="PH63" s="1" t="s">
        <v>48583</v>
      </c>
      <c r="PI63" s="1" t="s">
        <v>48584</v>
      </c>
      <c r="PJ63" s="1" t="s">
        <v>48585</v>
      </c>
      <c r="PK63" s="1" t="s">
        <v>48586</v>
      </c>
      <c r="PL63" s="1" t="s">
        <v>48587</v>
      </c>
      <c r="PM63" s="1" t="s">
        <v>48588</v>
      </c>
      <c r="PN63" s="1" t="s">
        <v>48589</v>
      </c>
      <c r="PO63" s="1" t="s">
        <v>48590</v>
      </c>
      <c r="PP63" s="1" t="s">
        <v>48591</v>
      </c>
      <c r="PQ63" s="1" t="s">
        <v>48592</v>
      </c>
      <c r="PR63" s="1" t="s">
        <v>48593</v>
      </c>
      <c r="PS63" s="1" t="s">
        <v>48594</v>
      </c>
      <c r="PT63" s="1" t="s">
        <v>48595</v>
      </c>
      <c r="PU63" s="1" t="s">
        <v>48596</v>
      </c>
      <c r="PV63" s="1" t="s">
        <v>48597</v>
      </c>
      <c r="PW63" s="1" t="s">
        <v>48598</v>
      </c>
      <c r="PX63" s="1" t="s">
        <v>48599</v>
      </c>
      <c r="PY63" s="1" t="s">
        <v>48600</v>
      </c>
      <c r="PZ63" s="1" t="s">
        <v>48601</v>
      </c>
      <c r="QA63" s="1" t="s">
        <v>48602</v>
      </c>
      <c r="QB63" s="1" t="s">
        <v>48603</v>
      </c>
      <c r="QC63" s="1" t="s">
        <v>48604</v>
      </c>
      <c r="QD63" s="1" t="s">
        <v>48605</v>
      </c>
      <c r="QE63" s="1" t="s">
        <v>48606</v>
      </c>
      <c r="QF63" s="1" t="s">
        <v>48607</v>
      </c>
      <c r="QG63" s="1" t="s">
        <v>48608</v>
      </c>
      <c r="QH63" s="1" t="s">
        <v>48609</v>
      </c>
      <c r="QI63" s="1" t="s">
        <v>48610</v>
      </c>
      <c r="QJ63" s="1" t="s">
        <v>48611</v>
      </c>
      <c r="QK63" s="1" t="s">
        <v>48612</v>
      </c>
      <c r="QL63" s="1" t="s">
        <v>48613</v>
      </c>
      <c r="QM63" s="1" t="s">
        <v>48614</v>
      </c>
      <c r="QN63" s="1" t="s">
        <v>48615</v>
      </c>
      <c r="QO63" s="1" t="s">
        <v>48616</v>
      </c>
      <c r="QP63" s="1" t="s">
        <v>48617</v>
      </c>
      <c r="QQ63" s="1" t="s">
        <v>48618</v>
      </c>
      <c r="QR63" s="1" t="s">
        <v>48619</v>
      </c>
      <c r="QS63" s="1" t="s">
        <v>48620</v>
      </c>
      <c r="QT63" s="1" t="s">
        <v>48621</v>
      </c>
      <c r="QU63" s="1" t="s">
        <v>48622</v>
      </c>
      <c r="QV63" s="1" t="s">
        <v>48623</v>
      </c>
      <c r="QW63" s="1" t="s">
        <v>48624</v>
      </c>
      <c r="QX63" s="1" t="s">
        <v>48625</v>
      </c>
      <c r="QY63" s="1" t="s">
        <v>48626</v>
      </c>
      <c r="QZ63" s="1" t="s">
        <v>48627</v>
      </c>
      <c r="RA63" s="1" t="s">
        <v>48628</v>
      </c>
      <c r="RB63" s="1" t="s">
        <v>48629</v>
      </c>
      <c r="RC63" s="1" t="s">
        <v>48630</v>
      </c>
      <c r="RD63" s="1" t="s">
        <v>48631</v>
      </c>
      <c r="RE63" s="1" t="s">
        <v>48632</v>
      </c>
      <c r="RF63" s="1" t="s">
        <v>48633</v>
      </c>
      <c r="RG63" s="1" t="s">
        <v>48634</v>
      </c>
      <c r="RH63" s="1" t="s">
        <v>48635</v>
      </c>
      <c r="RI63" s="1" t="s">
        <v>48636</v>
      </c>
      <c r="RJ63" s="1" t="s">
        <v>48637</v>
      </c>
      <c r="RK63" s="1" t="s">
        <v>48638</v>
      </c>
      <c r="RL63" s="1" t="s">
        <v>48639</v>
      </c>
      <c r="RM63" s="1" t="s">
        <v>48640</v>
      </c>
      <c r="RN63" s="1" t="s">
        <v>48641</v>
      </c>
      <c r="RO63" s="1" t="s">
        <v>48642</v>
      </c>
      <c r="RP63" s="1" t="s">
        <v>48643</v>
      </c>
      <c r="RQ63" s="1" t="s">
        <v>48644</v>
      </c>
      <c r="RR63" s="1" t="s">
        <v>48645</v>
      </c>
      <c r="RS63" s="1" t="s">
        <v>48646</v>
      </c>
      <c r="RT63" s="1" t="s">
        <v>48647</v>
      </c>
      <c r="RU63" s="1" t="s">
        <v>48648</v>
      </c>
      <c r="RV63" s="1" t="s">
        <v>48649</v>
      </c>
      <c r="RW63" s="1" t="s">
        <v>48650</v>
      </c>
      <c r="RX63" s="1" t="s">
        <v>48651</v>
      </c>
      <c r="RY63" s="1" t="s">
        <v>48652</v>
      </c>
      <c r="RZ63" s="1" t="s">
        <v>48653</v>
      </c>
      <c r="SA63" s="1" t="s">
        <v>48654</v>
      </c>
      <c r="SB63" s="1" t="s">
        <v>48655</v>
      </c>
      <c r="SC63" s="1" t="s">
        <v>48656</v>
      </c>
      <c r="SD63" s="1" t="s">
        <v>48657</v>
      </c>
      <c r="SE63" s="1" t="s">
        <v>48658</v>
      </c>
      <c r="SF63" s="1" t="s">
        <v>48659</v>
      </c>
      <c r="SG63" s="1" t="s">
        <v>48660</v>
      </c>
      <c r="SH63" s="1" t="s">
        <v>48661</v>
      </c>
      <c r="SI63" s="1" t="s">
        <v>48662</v>
      </c>
      <c r="SJ63" s="1" t="s">
        <v>48663</v>
      </c>
      <c r="SK63" s="1" t="s">
        <v>48664</v>
      </c>
      <c r="SL63" s="1" t="s">
        <v>48665</v>
      </c>
      <c r="SM63" s="1" t="s">
        <v>48666</v>
      </c>
      <c r="SN63" s="1" t="s">
        <v>48667</v>
      </c>
      <c r="SO63" s="1" t="s">
        <v>48668</v>
      </c>
      <c r="SP63" s="1" t="s">
        <v>48669</v>
      </c>
      <c r="SQ63" s="1" t="s">
        <v>48670</v>
      </c>
      <c r="SR63" s="1" t="s">
        <v>48671</v>
      </c>
      <c r="SS63" s="1" t="s">
        <v>48672</v>
      </c>
      <c r="ST63" s="1" t="s">
        <v>48673</v>
      </c>
      <c r="SU63" s="1" t="s">
        <v>48674</v>
      </c>
      <c r="SV63" s="1" t="s">
        <v>48675</v>
      </c>
      <c r="SW63" s="1" t="s">
        <v>48676</v>
      </c>
      <c r="SX63" s="1" t="s">
        <v>48677</v>
      </c>
      <c r="SY63" s="1" t="s">
        <v>48678</v>
      </c>
      <c r="SZ63" s="1" t="s">
        <v>48679</v>
      </c>
      <c r="TA63" s="1" t="s">
        <v>48680</v>
      </c>
      <c r="TB63" s="1" t="s">
        <v>48681</v>
      </c>
      <c r="TC63" s="1" t="s">
        <v>48682</v>
      </c>
      <c r="TD63" s="1" t="s">
        <v>48683</v>
      </c>
      <c r="TE63" s="1" t="s">
        <v>48684</v>
      </c>
      <c r="TF63" s="1" t="s">
        <v>48685</v>
      </c>
      <c r="TG63" s="1" t="s">
        <v>48686</v>
      </c>
      <c r="TH63" s="1" t="s">
        <v>48687</v>
      </c>
      <c r="TI63" s="1" t="s">
        <v>48688</v>
      </c>
      <c r="TJ63" s="1" t="s">
        <v>48689</v>
      </c>
      <c r="TK63" s="1" t="s">
        <v>48690</v>
      </c>
      <c r="TL63" s="1" t="s">
        <v>48691</v>
      </c>
      <c r="TM63" s="1" t="s">
        <v>48692</v>
      </c>
      <c r="TN63" s="1" t="s">
        <v>48693</v>
      </c>
      <c r="TO63" s="1" t="s">
        <v>48694</v>
      </c>
      <c r="TP63" s="1" t="s">
        <v>48695</v>
      </c>
      <c r="TQ63" s="1" t="s">
        <v>48696</v>
      </c>
      <c r="TR63" s="1" t="s">
        <v>48697</v>
      </c>
      <c r="TS63" s="1" t="s">
        <v>48698</v>
      </c>
      <c r="TT63" s="1" t="s">
        <v>48699</v>
      </c>
      <c r="TU63" s="1" t="s">
        <v>48700</v>
      </c>
      <c r="TV63" s="1" t="s">
        <v>48701</v>
      </c>
      <c r="TW63" s="1" t="s">
        <v>48702</v>
      </c>
      <c r="TX63" s="1" t="s">
        <v>48703</v>
      </c>
      <c r="TY63" s="1" t="s">
        <v>48704</v>
      </c>
      <c r="TZ63" s="1" t="s">
        <v>48705</v>
      </c>
      <c r="UA63" s="1" t="s">
        <v>48706</v>
      </c>
      <c r="UB63" s="1" t="s">
        <v>48707</v>
      </c>
      <c r="UC63" s="1" t="s">
        <v>48708</v>
      </c>
      <c r="UD63" s="1" t="s">
        <v>48709</v>
      </c>
      <c r="UE63" s="1" t="s">
        <v>48710</v>
      </c>
      <c r="UF63" s="1" t="s">
        <v>48711</v>
      </c>
      <c r="UG63" s="1" t="s">
        <v>48712</v>
      </c>
      <c r="UH63" s="1" t="s">
        <v>48713</v>
      </c>
      <c r="UI63" s="1" t="s">
        <v>48714</v>
      </c>
      <c r="UJ63" s="1" t="s">
        <v>48715</v>
      </c>
      <c r="UK63" s="1" t="s">
        <v>48716</v>
      </c>
      <c r="UL63" s="1" t="s">
        <v>48717</v>
      </c>
      <c r="UM63" s="1" t="s">
        <v>48718</v>
      </c>
      <c r="UN63" s="1" t="s">
        <v>48719</v>
      </c>
      <c r="UO63" s="1" t="s">
        <v>48720</v>
      </c>
      <c r="UP63" s="1" t="s">
        <v>48721</v>
      </c>
      <c r="UQ63" s="1" t="s">
        <v>48722</v>
      </c>
      <c r="UR63" s="1" t="s">
        <v>48723</v>
      </c>
      <c r="US63" s="1" t="s">
        <v>48724</v>
      </c>
      <c r="UT63" s="1" t="s">
        <v>48725</v>
      </c>
      <c r="UU63" s="1" t="s">
        <v>48726</v>
      </c>
      <c r="UV63" s="1" t="s">
        <v>48727</v>
      </c>
      <c r="UW63" s="1" t="s">
        <v>48728</v>
      </c>
      <c r="UX63" s="1" t="s">
        <v>48729</v>
      </c>
      <c r="UY63" s="1" t="s">
        <v>48730</v>
      </c>
      <c r="UZ63" s="1" t="s">
        <v>48731</v>
      </c>
      <c r="VA63" s="1" t="s">
        <v>48732</v>
      </c>
      <c r="VB63" s="1" t="s">
        <v>48733</v>
      </c>
      <c r="VC63" s="1" t="s">
        <v>48734</v>
      </c>
      <c r="VD63" s="1" t="s">
        <v>48735</v>
      </c>
      <c r="VE63" s="1" t="s">
        <v>48736</v>
      </c>
      <c r="VF63" s="1" t="s">
        <v>48737</v>
      </c>
      <c r="VG63" s="1" t="s">
        <v>48738</v>
      </c>
      <c r="VH63" s="1" t="s">
        <v>48739</v>
      </c>
      <c r="VI63" s="1" t="s">
        <v>48740</v>
      </c>
      <c r="VJ63" s="1" t="s">
        <v>48741</v>
      </c>
      <c r="VK63" s="1" t="s">
        <v>48742</v>
      </c>
      <c r="VL63" s="1" t="s">
        <v>48743</v>
      </c>
      <c r="VM63" s="1" t="s">
        <v>48744</v>
      </c>
      <c r="VN63" s="1" t="s">
        <v>48745</v>
      </c>
      <c r="VO63" s="1" t="s">
        <v>48746</v>
      </c>
      <c r="VP63" s="1" t="s">
        <v>48747</v>
      </c>
      <c r="VQ63" s="1" t="s">
        <v>48748</v>
      </c>
      <c r="VR63" s="1" t="s">
        <v>48749</v>
      </c>
      <c r="VS63" s="1" t="s">
        <v>48750</v>
      </c>
      <c r="VT63" s="1" t="s">
        <v>48751</v>
      </c>
      <c r="VU63" s="1" t="s">
        <v>48752</v>
      </c>
      <c r="VV63" s="1" t="s">
        <v>48753</v>
      </c>
      <c r="VW63" s="1" t="s">
        <v>48754</v>
      </c>
      <c r="VX63" s="1" t="s">
        <v>48755</v>
      </c>
      <c r="VY63" s="1" t="s">
        <v>48756</v>
      </c>
      <c r="VZ63" s="1" t="s">
        <v>48757</v>
      </c>
      <c r="WA63" s="1" t="s">
        <v>48758</v>
      </c>
      <c r="WB63" s="1" t="s">
        <v>48759</v>
      </c>
      <c r="WC63" s="1" t="s">
        <v>48760</v>
      </c>
      <c r="WD63" s="1" t="s">
        <v>48761</v>
      </c>
      <c r="WE63" s="1" t="s">
        <v>48762</v>
      </c>
      <c r="WF63" s="1" t="s">
        <v>48763</v>
      </c>
      <c r="WG63" s="1" t="s">
        <v>48764</v>
      </c>
      <c r="WH63" s="1" t="s">
        <v>48765</v>
      </c>
      <c r="WI63" s="1" t="s">
        <v>48766</v>
      </c>
      <c r="WJ63" s="1" t="s">
        <v>48767</v>
      </c>
      <c r="WK63" s="1" t="s">
        <v>48768</v>
      </c>
      <c r="WL63" s="1" t="s">
        <v>48769</v>
      </c>
      <c r="WM63" s="1" t="s">
        <v>48770</v>
      </c>
      <c r="WN63" s="1" t="s">
        <v>48771</v>
      </c>
      <c r="WO63" s="1" t="s">
        <v>48772</v>
      </c>
      <c r="WP63" s="1" t="s">
        <v>48773</v>
      </c>
      <c r="WQ63" s="1" t="s">
        <v>48774</v>
      </c>
      <c r="WR63" s="1" t="s">
        <v>48775</v>
      </c>
      <c r="WS63" s="1" t="s">
        <v>48776</v>
      </c>
      <c r="WT63" s="1" t="s">
        <v>48777</v>
      </c>
      <c r="WU63" s="1" t="s">
        <v>48778</v>
      </c>
      <c r="WV63" s="1" t="s">
        <v>48779</v>
      </c>
      <c r="WW63" s="1" t="s">
        <v>48780</v>
      </c>
      <c r="WX63" s="1" t="s">
        <v>48781</v>
      </c>
      <c r="WY63" s="1" t="s">
        <v>48782</v>
      </c>
      <c r="WZ63" s="1" t="s">
        <v>48783</v>
      </c>
      <c r="XA63" s="1" t="s">
        <v>48784</v>
      </c>
      <c r="XB63" s="1" t="s">
        <v>48785</v>
      </c>
      <c r="XC63" s="1" t="s">
        <v>48786</v>
      </c>
      <c r="XD63" s="1" t="s">
        <v>48787</v>
      </c>
      <c r="XE63" s="1" t="s">
        <v>48788</v>
      </c>
      <c r="XF63" s="1" t="s">
        <v>48789</v>
      </c>
      <c r="XG63" s="1" t="s">
        <v>48790</v>
      </c>
      <c r="XH63" s="1" t="s">
        <v>48791</v>
      </c>
      <c r="XI63" s="1" t="s">
        <v>48792</v>
      </c>
      <c r="XJ63" s="1" t="s">
        <v>48793</v>
      </c>
      <c r="XK63" s="1" t="s">
        <v>48794</v>
      </c>
      <c r="XL63" s="1" t="s">
        <v>48795</v>
      </c>
      <c r="XM63" s="1" t="s">
        <v>48796</v>
      </c>
      <c r="XN63" s="1" t="s">
        <v>48797</v>
      </c>
      <c r="XO63" s="1" t="s">
        <v>48798</v>
      </c>
      <c r="XP63" s="1" t="s">
        <v>48799</v>
      </c>
      <c r="XQ63" s="1" t="s">
        <v>48800</v>
      </c>
      <c r="XR63" s="1" t="s">
        <v>48801</v>
      </c>
      <c r="XS63" s="1" t="s">
        <v>48802</v>
      </c>
      <c r="XT63" s="1" t="s">
        <v>48803</v>
      </c>
      <c r="XU63" s="1" t="s">
        <v>48804</v>
      </c>
      <c r="XV63" s="1" t="s">
        <v>48805</v>
      </c>
      <c r="XW63" s="1" t="s">
        <v>48806</v>
      </c>
      <c r="XX63" s="1" t="s">
        <v>48807</v>
      </c>
      <c r="XY63" s="1" t="s">
        <v>48808</v>
      </c>
      <c r="XZ63" s="1" t="s">
        <v>48809</v>
      </c>
      <c r="YA63" s="1" t="s">
        <v>48810</v>
      </c>
      <c r="YB63" s="1" t="s">
        <v>48811</v>
      </c>
      <c r="YC63" s="1" t="s">
        <v>48812</v>
      </c>
      <c r="YD63" s="1" t="s">
        <v>48813</v>
      </c>
      <c r="YE63" s="1" t="s">
        <v>48814</v>
      </c>
      <c r="YF63" s="1" t="s">
        <v>48815</v>
      </c>
      <c r="YG63" s="1" t="s">
        <v>48816</v>
      </c>
      <c r="YH63" s="1" t="s">
        <v>48817</v>
      </c>
      <c r="YI63" s="1" t="s">
        <v>48818</v>
      </c>
      <c r="YJ63" s="1" t="s">
        <v>48819</v>
      </c>
      <c r="YK63" s="1" t="s">
        <v>48820</v>
      </c>
      <c r="YL63" s="1" t="s">
        <v>48821</v>
      </c>
      <c r="YM63" s="1" t="s">
        <v>48822</v>
      </c>
      <c r="YN63" s="1" t="s">
        <v>48823</v>
      </c>
      <c r="YO63" s="1" t="s">
        <v>48824</v>
      </c>
      <c r="YP63" s="1" t="s">
        <v>48825</v>
      </c>
      <c r="YQ63" s="1" t="s">
        <v>48826</v>
      </c>
      <c r="YR63" s="1" t="s">
        <v>48827</v>
      </c>
      <c r="YS63" s="1" t="s">
        <v>48828</v>
      </c>
      <c r="YT63" s="1" t="s">
        <v>48829</v>
      </c>
      <c r="YU63" s="1" t="s">
        <v>48830</v>
      </c>
      <c r="YV63" s="1" t="s">
        <v>48831</v>
      </c>
      <c r="YW63" s="1" t="s">
        <v>48832</v>
      </c>
      <c r="YX63" s="1" t="s">
        <v>48833</v>
      </c>
      <c r="YY63" s="1" t="s">
        <v>48834</v>
      </c>
      <c r="YZ63" s="1" t="s">
        <v>48835</v>
      </c>
      <c r="ZA63" s="1" t="s">
        <v>48836</v>
      </c>
      <c r="ZB63" s="1" t="s">
        <v>48837</v>
      </c>
      <c r="ZC63" s="1" t="s">
        <v>48838</v>
      </c>
      <c r="ZD63" s="1" t="s">
        <v>48839</v>
      </c>
      <c r="ZE63" s="1" t="s">
        <v>48840</v>
      </c>
      <c r="ZF63" s="1" t="s">
        <v>48841</v>
      </c>
      <c r="ZG63" s="1" t="s">
        <v>48842</v>
      </c>
      <c r="ZH63" s="1" t="s">
        <v>48843</v>
      </c>
      <c r="ZI63" s="1" t="s">
        <v>48844</v>
      </c>
      <c r="ZJ63" s="1" t="s">
        <v>48845</v>
      </c>
      <c r="ZK63" s="1" t="s">
        <v>48846</v>
      </c>
      <c r="ZL63" s="1" t="s">
        <v>48847</v>
      </c>
      <c r="ZM63" s="1" t="s">
        <v>48848</v>
      </c>
      <c r="ZN63" s="1" t="s">
        <v>48849</v>
      </c>
      <c r="ZO63" s="1" t="s">
        <v>48850</v>
      </c>
      <c r="ZP63" s="1" t="s">
        <v>48851</v>
      </c>
      <c r="ZQ63" s="1" t="s">
        <v>48852</v>
      </c>
      <c r="ZR63" s="1" t="s">
        <v>48853</v>
      </c>
      <c r="ZS63" s="1" t="s">
        <v>48854</v>
      </c>
      <c r="ZT63" s="1" t="s">
        <v>48855</v>
      </c>
      <c r="ZU63" s="1" t="s">
        <v>48856</v>
      </c>
      <c r="ZV63" s="1" t="s">
        <v>48857</v>
      </c>
      <c r="ZW63" s="1" t="s">
        <v>48858</v>
      </c>
      <c r="ZX63" s="1" t="s">
        <v>48859</v>
      </c>
      <c r="ZY63" s="1" t="s">
        <v>48860</v>
      </c>
      <c r="ZZ63" s="1" t="s">
        <v>48861</v>
      </c>
      <c r="AAA63" s="1" t="s">
        <v>48862</v>
      </c>
      <c r="AAB63" s="1" t="s">
        <v>48863</v>
      </c>
      <c r="AAC63" s="1" t="s">
        <v>48864</v>
      </c>
      <c r="AAD63" s="1" t="s">
        <v>48865</v>
      </c>
      <c r="AAE63" s="1" t="s">
        <v>48866</v>
      </c>
      <c r="AAF63" s="1" t="s">
        <v>48867</v>
      </c>
      <c r="AAG63" s="1" t="s">
        <v>48868</v>
      </c>
      <c r="AAH63" s="1" t="s">
        <v>48869</v>
      </c>
      <c r="AAI63" s="1" t="s">
        <v>48870</v>
      </c>
      <c r="AAJ63" s="1" t="s">
        <v>48871</v>
      </c>
      <c r="AAK63" s="1" t="s">
        <v>48872</v>
      </c>
      <c r="AAL63" s="1" t="s">
        <v>48873</v>
      </c>
      <c r="AAM63" s="1" t="s">
        <v>48874</v>
      </c>
      <c r="AAN63" s="1" t="s">
        <v>48875</v>
      </c>
      <c r="AAO63" s="1" t="s">
        <v>48876</v>
      </c>
      <c r="AAP63" s="1" t="s">
        <v>48877</v>
      </c>
      <c r="AAQ63" s="1" t="s">
        <v>48878</v>
      </c>
      <c r="AAR63" s="1" t="s">
        <v>48879</v>
      </c>
      <c r="AAS63" s="1" t="s">
        <v>48880</v>
      </c>
      <c r="AAT63" s="1" t="s">
        <v>48881</v>
      </c>
      <c r="AAU63" s="1" t="s">
        <v>48882</v>
      </c>
      <c r="AAV63" s="1" t="s">
        <v>48883</v>
      </c>
      <c r="AAW63" s="1" t="s">
        <v>48884</v>
      </c>
      <c r="AAX63" s="1" t="s">
        <v>48885</v>
      </c>
      <c r="AAY63" s="1" t="s">
        <v>48886</v>
      </c>
      <c r="AAZ63" s="1" t="s">
        <v>48887</v>
      </c>
      <c r="ABA63" s="1" t="s">
        <v>48888</v>
      </c>
      <c r="ABB63" s="1" t="s">
        <v>48889</v>
      </c>
      <c r="ABC63" s="1" t="s">
        <v>48890</v>
      </c>
      <c r="ABD63" s="1" t="s">
        <v>48891</v>
      </c>
      <c r="ABE63" s="1" t="s">
        <v>48892</v>
      </c>
      <c r="ABF63" s="1" t="s">
        <v>48893</v>
      </c>
      <c r="ABG63" s="1" t="s">
        <v>48894</v>
      </c>
      <c r="ABH63" s="1" t="s">
        <v>48895</v>
      </c>
      <c r="ABI63" s="1" t="s">
        <v>48896</v>
      </c>
      <c r="ABJ63" s="1" t="s">
        <v>48897</v>
      </c>
      <c r="ABK63" s="1" t="s">
        <v>48898</v>
      </c>
      <c r="ABL63" s="1" t="s">
        <v>48899</v>
      </c>
      <c r="ABM63" s="1" t="s">
        <v>48900</v>
      </c>
      <c r="ABN63" s="1" t="s">
        <v>48901</v>
      </c>
      <c r="ABO63" s="1" t="s">
        <v>48902</v>
      </c>
      <c r="ABP63" s="1" t="s">
        <v>48903</v>
      </c>
      <c r="ABQ63" s="1" t="s">
        <v>48904</v>
      </c>
      <c r="ABR63" s="1" t="s">
        <v>48905</v>
      </c>
      <c r="ABS63" s="1" t="s">
        <v>48906</v>
      </c>
      <c r="ABT63" s="1" t="s">
        <v>48907</v>
      </c>
      <c r="ABU63" s="1" t="s">
        <v>48908</v>
      </c>
      <c r="ABV63" s="1" t="s">
        <v>48909</v>
      </c>
      <c r="ABW63" s="1" t="s">
        <v>48910</v>
      </c>
      <c r="ABX63" s="1" t="s">
        <v>48911</v>
      </c>
      <c r="ABY63" s="1" t="s">
        <v>48912</v>
      </c>
      <c r="ABZ63" s="1" t="s">
        <v>48913</v>
      </c>
      <c r="ACA63" s="1" t="s">
        <v>48914</v>
      </c>
      <c r="ACB63" s="1" t="s">
        <v>48915</v>
      </c>
      <c r="ACC63" s="1" t="s">
        <v>48916</v>
      </c>
      <c r="ACD63" s="1" t="s">
        <v>48917</v>
      </c>
      <c r="ACE63" s="1" t="s">
        <v>48918</v>
      </c>
      <c r="ACF63" s="1" t="s">
        <v>48919</v>
      </c>
      <c r="ACG63" s="1" t="s">
        <v>48920</v>
      </c>
      <c r="ACH63" s="1" t="s">
        <v>48921</v>
      </c>
      <c r="ACI63" s="1" t="s">
        <v>48922</v>
      </c>
      <c r="ACJ63" s="1" t="s">
        <v>48923</v>
      </c>
      <c r="ACK63" s="1" t="s">
        <v>48924</v>
      </c>
      <c r="ACL63" s="1" t="s">
        <v>48925</v>
      </c>
      <c r="ACM63" s="1" t="s">
        <v>48926</v>
      </c>
      <c r="ACN63" s="1" t="s">
        <v>48927</v>
      </c>
      <c r="ACO63" s="1" t="s">
        <v>48928</v>
      </c>
      <c r="ACP63" s="1" t="s">
        <v>48929</v>
      </c>
      <c r="ACQ63" s="1" t="s">
        <v>48930</v>
      </c>
      <c r="ACR63" s="1" t="s">
        <v>48931</v>
      </c>
      <c r="ACS63" s="1" t="s">
        <v>48932</v>
      </c>
      <c r="ACT63" s="1" t="s">
        <v>48933</v>
      </c>
      <c r="ACU63" s="1" t="s">
        <v>48934</v>
      </c>
      <c r="ACV63" s="1" t="s">
        <v>48935</v>
      </c>
      <c r="ACW63" s="1" t="s">
        <v>12</v>
      </c>
      <c r="ACX63" s="1" t="s">
        <v>1500</v>
      </c>
    </row>
    <row r="64" spans="1:778" x14ac:dyDescent="0.2">
      <c r="A64" s="1" t="s">
        <v>59</v>
      </c>
      <c r="B64" s="1" t="s">
        <v>48936</v>
      </c>
      <c r="C64" s="1" t="s">
        <v>48937</v>
      </c>
      <c r="D64" s="1" t="s">
        <v>48938</v>
      </c>
      <c r="E64" s="1" t="s">
        <v>48939</v>
      </c>
      <c r="F64" s="1" t="s">
        <v>48940</v>
      </c>
      <c r="G64" s="1" t="s">
        <v>48941</v>
      </c>
      <c r="H64" s="1" t="s">
        <v>48942</v>
      </c>
      <c r="I64" s="1" t="s">
        <v>48943</v>
      </c>
      <c r="J64" s="1" t="s">
        <v>48944</v>
      </c>
      <c r="K64" s="1" t="s">
        <v>48945</v>
      </c>
      <c r="L64" s="1" t="s">
        <v>48946</v>
      </c>
      <c r="M64" s="1" t="s">
        <v>48947</v>
      </c>
      <c r="N64" s="1" t="s">
        <v>48948</v>
      </c>
      <c r="O64" s="1" t="s">
        <v>48949</v>
      </c>
      <c r="P64" s="1" t="s">
        <v>48950</v>
      </c>
      <c r="Q64" s="1" t="s">
        <v>48951</v>
      </c>
      <c r="R64" s="1" t="s">
        <v>48952</v>
      </c>
      <c r="S64" s="1" t="s">
        <v>48953</v>
      </c>
      <c r="T64" s="1" t="s">
        <v>48954</v>
      </c>
      <c r="U64" s="1" t="s">
        <v>48955</v>
      </c>
      <c r="V64" s="1" t="s">
        <v>48956</v>
      </c>
      <c r="W64" s="1" t="s">
        <v>48957</v>
      </c>
      <c r="X64" s="1" t="s">
        <v>48958</v>
      </c>
      <c r="Y64" s="1" t="s">
        <v>48959</v>
      </c>
      <c r="Z64" s="1" t="s">
        <v>48960</v>
      </c>
      <c r="AA64" s="1" t="s">
        <v>48961</v>
      </c>
      <c r="AB64" s="1" t="s">
        <v>48962</v>
      </c>
      <c r="AC64" s="1" t="s">
        <v>48963</v>
      </c>
      <c r="AD64" s="1" t="s">
        <v>48964</v>
      </c>
      <c r="AE64" s="1" t="s">
        <v>48965</v>
      </c>
      <c r="AF64" s="1" t="s">
        <v>48966</v>
      </c>
      <c r="AG64" s="1" t="s">
        <v>48967</v>
      </c>
      <c r="AH64" s="1" t="s">
        <v>48968</v>
      </c>
      <c r="AI64" s="1" t="s">
        <v>48969</v>
      </c>
      <c r="AJ64" s="1" t="s">
        <v>48970</v>
      </c>
      <c r="AK64" s="1" t="s">
        <v>48971</v>
      </c>
      <c r="AL64" s="1" t="s">
        <v>48972</v>
      </c>
      <c r="AM64" s="1" t="s">
        <v>48973</v>
      </c>
      <c r="AN64" s="1" t="s">
        <v>48974</v>
      </c>
      <c r="AO64" s="1" t="s">
        <v>48975</v>
      </c>
      <c r="AP64" s="1" t="s">
        <v>48976</v>
      </c>
      <c r="AQ64" s="1" t="s">
        <v>48977</v>
      </c>
      <c r="AR64" s="1" t="s">
        <v>48978</v>
      </c>
      <c r="AS64" s="1" t="s">
        <v>48979</v>
      </c>
      <c r="AT64" s="1" t="s">
        <v>48980</v>
      </c>
      <c r="AU64" s="1" t="s">
        <v>48981</v>
      </c>
      <c r="AV64" s="1" t="s">
        <v>48982</v>
      </c>
      <c r="AW64" s="1" t="s">
        <v>48983</v>
      </c>
      <c r="AX64" s="1" t="s">
        <v>48984</v>
      </c>
      <c r="AY64" s="1" t="s">
        <v>48985</v>
      </c>
      <c r="AZ64" s="1" t="s">
        <v>48986</v>
      </c>
      <c r="BA64" s="1" t="s">
        <v>48987</v>
      </c>
      <c r="BB64" s="1" t="s">
        <v>48988</v>
      </c>
      <c r="BC64" s="1" t="s">
        <v>48989</v>
      </c>
      <c r="BD64" s="1" t="s">
        <v>48990</v>
      </c>
      <c r="BE64" s="1" t="s">
        <v>48991</v>
      </c>
      <c r="BF64" s="1" t="s">
        <v>48992</v>
      </c>
      <c r="BG64" s="1" t="s">
        <v>48993</v>
      </c>
      <c r="BH64" s="1" t="s">
        <v>48994</v>
      </c>
      <c r="BI64" s="1" t="s">
        <v>48995</v>
      </c>
      <c r="BJ64" s="1" t="s">
        <v>48996</v>
      </c>
      <c r="BK64" s="1" t="s">
        <v>48997</v>
      </c>
      <c r="BL64" s="1" t="s">
        <v>48998</v>
      </c>
      <c r="BM64" s="1" t="s">
        <v>48999</v>
      </c>
      <c r="BN64" s="1" t="s">
        <v>49000</v>
      </c>
      <c r="BO64" s="1" t="s">
        <v>49001</v>
      </c>
      <c r="BP64" s="1" t="s">
        <v>49002</v>
      </c>
      <c r="BQ64" s="1" t="s">
        <v>49003</v>
      </c>
      <c r="BR64" s="1" t="s">
        <v>49004</v>
      </c>
      <c r="BS64" s="1" t="s">
        <v>49005</v>
      </c>
      <c r="BT64" s="1" t="s">
        <v>49006</v>
      </c>
      <c r="BU64" s="1" t="s">
        <v>49007</v>
      </c>
      <c r="BV64" s="1" t="s">
        <v>49008</v>
      </c>
      <c r="BW64" s="1" t="s">
        <v>49009</v>
      </c>
      <c r="BX64" s="1" t="s">
        <v>49010</v>
      </c>
      <c r="BY64" s="1" t="s">
        <v>49011</v>
      </c>
      <c r="BZ64" s="1" t="s">
        <v>49012</v>
      </c>
      <c r="CA64" s="1" t="s">
        <v>49013</v>
      </c>
      <c r="CB64" s="1" t="s">
        <v>49014</v>
      </c>
      <c r="CC64" s="1" t="s">
        <v>49015</v>
      </c>
      <c r="CD64" s="1" t="s">
        <v>49016</v>
      </c>
      <c r="CE64" s="1" t="s">
        <v>49017</v>
      </c>
      <c r="CF64" s="1" t="s">
        <v>49018</v>
      </c>
      <c r="CG64" s="1" t="s">
        <v>49019</v>
      </c>
      <c r="CH64" s="1" t="s">
        <v>49020</v>
      </c>
      <c r="CI64" s="1" t="s">
        <v>49021</v>
      </c>
      <c r="CJ64" s="1" t="s">
        <v>49022</v>
      </c>
      <c r="CK64" s="1" t="s">
        <v>49023</v>
      </c>
      <c r="CL64" s="1" t="s">
        <v>49024</v>
      </c>
      <c r="CM64" s="1" t="s">
        <v>49025</v>
      </c>
      <c r="CN64" s="1" t="s">
        <v>49026</v>
      </c>
      <c r="CO64" s="1" t="s">
        <v>49027</v>
      </c>
      <c r="CP64" s="1" t="s">
        <v>49028</v>
      </c>
      <c r="CQ64" s="1" t="s">
        <v>49029</v>
      </c>
      <c r="CR64" s="1" t="s">
        <v>49030</v>
      </c>
      <c r="CS64" s="1" t="s">
        <v>49031</v>
      </c>
      <c r="CT64" s="1" t="s">
        <v>49032</v>
      </c>
      <c r="CU64" s="1" t="s">
        <v>49033</v>
      </c>
      <c r="CV64" s="1" t="s">
        <v>49034</v>
      </c>
      <c r="CW64" s="1" t="s">
        <v>49035</v>
      </c>
      <c r="CX64" s="1" t="s">
        <v>49036</v>
      </c>
      <c r="CY64" s="1" t="s">
        <v>49037</v>
      </c>
      <c r="CZ64" s="1" t="s">
        <v>49038</v>
      </c>
      <c r="DA64" s="1" t="s">
        <v>49039</v>
      </c>
      <c r="DB64" s="1" t="s">
        <v>49040</v>
      </c>
      <c r="DC64" s="1" t="s">
        <v>49041</v>
      </c>
      <c r="DD64" s="1" t="s">
        <v>49042</v>
      </c>
      <c r="DE64" s="1" t="s">
        <v>49043</v>
      </c>
      <c r="DF64" s="1" t="s">
        <v>49044</v>
      </c>
      <c r="DG64" s="1" t="s">
        <v>49045</v>
      </c>
      <c r="DH64" s="1" t="s">
        <v>49046</v>
      </c>
      <c r="DI64" s="1" t="s">
        <v>49047</v>
      </c>
      <c r="DJ64" s="1" t="s">
        <v>49048</v>
      </c>
      <c r="DK64" s="1" t="s">
        <v>49049</v>
      </c>
      <c r="DL64" s="1" t="s">
        <v>49050</v>
      </c>
      <c r="DM64" s="1" t="s">
        <v>49051</v>
      </c>
      <c r="DN64" s="1" t="s">
        <v>49052</v>
      </c>
      <c r="DO64" s="1" t="s">
        <v>49053</v>
      </c>
      <c r="DP64" s="1" t="s">
        <v>49054</v>
      </c>
      <c r="DQ64" s="1" t="s">
        <v>49055</v>
      </c>
      <c r="DR64" s="1" t="s">
        <v>49056</v>
      </c>
      <c r="DS64" s="1" t="s">
        <v>49057</v>
      </c>
      <c r="DT64" s="1" t="s">
        <v>49058</v>
      </c>
      <c r="DU64" s="1" t="s">
        <v>49059</v>
      </c>
      <c r="DV64" s="1" t="s">
        <v>49060</v>
      </c>
      <c r="DW64" s="1" t="s">
        <v>49061</v>
      </c>
      <c r="DX64" s="1" t="s">
        <v>49062</v>
      </c>
      <c r="DY64" s="1" t="s">
        <v>49063</v>
      </c>
      <c r="DZ64" s="1" t="s">
        <v>49064</v>
      </c>
      <c r="EA64" s="1" t="s">
        <v>49065</v>
      </c>
      <c r="EB64" s="1" t="s">
        <v>49066</v>
      </c>
      <c r="EC64" s="1" t="s">
        <v>49067</v>
      </c>
      <c r="ED64" s="1" t="s">
        <v>49068</v>
      </c>
      <c r="EE64" s="1" t="s">
        <v>49069</v>
      </c>
      <c r="EF64" s="1" t="s">
        <v>49070</v>
      </c>
      <c r="EG64" s="1" t="s">
        <v>49071</v>
      </c>
      <c r="EH64" s="1" t="s">
        <v>49072</v>
      </c>
      <c r="EI64" s="1" t="s">
        <v>49073</v>
      </c>
      <c r="EJ64" s="1" t="s">
        <v>49074</v>
      </c>
      <c r="EK64" s="1" t="s">
        <v>49075</v>
      </c>
      <c r="EL64" s="1" t="s">
        <v>49076</v>
      </c>
      <c r="EM64" s="1" t="s">
        <v>49077</v>
      </c>
      <c r="EN64" s="1" t="s">
        <v>49078</v>
      </c>
      <c r="EO64" s="1" t="s">
        <v>49079</v>
      </c>
      <c r="EP64" s="1" t="s">
        <v>49080</v>
      </c>
      <c r="EQ64" s="1" t="s">
        <v>49081</v>
      </c>
      <c r="ER64" s="1" t="s">
        <v>49082</v>
      </c>
      <c r="ES64" s="1" t="s">
        <v>49083</v>
      </c>
      <c r="ET64" s="1" t="s">
        <v>49084</v>
      </c>
      <c r="EU64" s="1" t="s">
        <v>49085</v>
      </c>
      <c r="EV64" s="1" t="s">
        <v>49086</v>
      </c>
      <c r="EW64" s="1" t="s">
        <v>49087</v>
      </c>
      <c r="EX64" s="1" t="s">
        <v>49088</v>
      </c>
      <c r="EY64" s="1" t="s">
        <v>49089</v>
      </c>
      <c r="EZ64" s="1" t="s">
        <v>49090</v>
      </c>
      <c r="FA64" s="1" t="s">
        <v>49091</v>
      </c>
      <c r="FB64" s="1" t="s">
        <v>49092</v>
      </c>
      <c r="FC64" s="1" t="s">
        <v>49093</v>
      </c>
      <c r="FD64" s="1" t="s">
        <v>49094</v>
      </c>
      <c r="FE64" s="1" t="s">
        <v>49095</v>
      </c>
      <c r="FF64" s="1" t="s">
        <v>49096</v>
      </c>
      <c r="FG64" s="1" t="s">
        <v>49097</v>
      </c>
      <c r="FH64" s="1" t="s">
        <v>49098</v>
      </c>
      <c r="FI64" s="1" t="s">
        <v>49099</v>
      </c>
      <c r="FJ64" s="1" t="s">
        <v>49100</v>
      </c>
      <c r="FK64" s="1" t="s">
        <v>49101</v>
      </c>
      <c r="FL64" s="1" t="s">
        <v>49102</v>
      </c>
      <c r="FM64" s="1" t="s">
        <v>49103</v>
      </c>
      <c r="FN64" s="1" t="s">
        <v>49104</v>
      </c>
      <c r="FO64" s="1" t="s">
        <v>49105</v>
      </c>
      <c r="FP64" s="1" t="s">
        <v>49106</v>
      </c>
      <c r="FQ64" s="1" t="s">
        <v>49107</v>
      </c>
      <c r="FR64" s="1" t="s">
        <v>49108</v>
      </c>
      <c r="FS64" s="1" t="s">
        <v>49109</v>
      </c>
      <c r="FT64" s="1" t="s">
        <v>49110</v>
      </c>
      <c r="FU64" s="1" t="s">
        <v>49111</v>
      </c>
      <c r="FV64" s="1" t="s">
        <v>49112</v>
      </c>
      <c r="FW64" s="1" t="s">
        <v>49113</v>
      </c>
      <c r="FX64" s="1" t="s">
        <v>49114</v>
      </c>
      <c r="FY64" s="1" t="s">
        <v>49115</v>
      </c>
      <c r="FZ64" s="1" t="s">
        <v>49116</v>
      </c>
      <c r="GA64" s="1" t="s">
        <v>49117</v>
      </c>
      <c r="GB64" s="1" t="s">
        <v>49118</v>
      </c>
      <c r="GC64" s="1" t="s">
        <v>49119</v>
      </c>
      <c r="GD64" s="1" t="s">
        <v>49120</v>
      </c>
      <c r="GE64" s="1" t="s">
        <v>49121</v>
      </c>
      <c r="GF64" s="1" t="s">
        <v>49122</v>
      </c>
      <c r="GG64" s="1" t="s">
        <v>49123</v>
      </c>
      <c r="GH64" s="1" t="s">
        <v>49124</v>
      </c>
      <c r="GI64" s="1" t="s">
        <v>49125</v>
      </c>
      <c r="GJ64" s="1" t="s">
        <v>49126</v>
      </c>
      <c r="GK64" s="1" t="s">
        <v>49127</v>
      </c>
      <c r="GL64" s="1" t="s">
        <v>49128</v>
      </c>
      <c r="GM64" s="1" t="s">
        <v>49129</v>
      </c>
      <c r="GN64" s="1" t="s">
        <v>49130</v>
      </c>
      <c r="GO64" s="1" t="s">
        <v>49131</v>
      </c>
      <c r="GP64" s="1" t="s">
        <v>49132</v>
      </c>
      <c r="GQ64" s="1" t="s">
        <v>49133</v>
      </c>
      <c r="GR64" s="1" t="s">
        <v>49134</v>
      </c>
      <c r="GS64" s="1" t="s">
        <v>49135</v>
      </c>
      <c r="GT64" s="1" t="s">
        <v>49136</v>
      </c>
      <c r="GU64" s="1" t="s">
        <v>49137</v>
      </c>
      <c r="GV64" s="1" t="s">
        <v>49138</v>
      </c>
      <c r="GW64" s="1" t="s">
        <v>49139</v>
      </c>
      <c r="GX64" s="1" t="s">
        <v>49140</v>
      </c>
      <c r="GY64" s="1" t="s">
        <v>49141</v>
      </c>
      <c r="GZ64" s="1" t="s">
        <v>49142</v>
      </c>
      <c r="HA64" s="1" t="s">
        <v>49143</v>
      </c>
      <c r="HB64" s="1" t="s">
        <v>49144</v>
      </c>
      <c r="HC64" s="1" t="s">
        <v>49145</v>
      </c>
      <c r="HD64" s="1" t="s">
        <v>49146</v>
      </c>
      <c r="HE64" s="1" t="s">
        <v>49147</v>
      </c>
      <c r="HF64" s="1" t="s">
        <v>49148</v>
      </c>
      <c r="HG64" s="1" t="s">
        <v>49149</v>
      </c>
      <c r="HH64" s="1" t="s">
        <v>49150</v>
      </c>
      <c r="HI64" s="1" t="s">
        <v>49151</v>
      </c>
      <c r="HJ64" s="1" t="s">
        <v>49152</v>
      </c>
      <c r="HK64" s="1" t="s">
        <v>49153</v>
      </c>
      <c r="HL64" s="1" t="s">
        <v>49154</v>
      </c>
      <c r="HM64" s="1" t="s">
        <v>49155</v>
      </c>
      <c r="HN64" s="1" t="s">
        <v>49156</v>
      </c>
      <c r="HO64" s="1" t="s">
        <v>49157</v>
      </c>
      <c r="HP64" s="1" t="s">
        <v>49158</v>
      </c>
      <c r="HQ64" s="1" t="s">
        <v>49159</v>
      </c>
      <c r="HR64" s="1" t="s">
        <v>49160</v>
      </c>
      <c r="HS64" s="1" t="s">
        <v>49161</v>
      </c>
      <c r="HT64" s="1" t="s">
        <v>49162</v>
      </c>
      <c r="HU64" s="1" t="s">
        <v>49163</v>
      </c>
      <c r="HV64" s="1" t="s">
        <v>49164</v>
      </c>
      <c r="HW64" s="1" t="s">
        <v>49165</v>
      </c>
      <c r="HX64" s="1" t="s">
        <v>49166</v>
      </c>
      <c r="HY64" s="1" t="s">
        <v>49167</v>
      </c>
      <c r="HZ64" s="1" t="s">
        <v>49168</v>
      </c>
      <c r="IA64" s="1" t="s">
        <v>49169</v>
      </c>
      <c r="IB64" s="1" t="s">
        <v>49170</v>
      </c>
      <c r="IC64" s="1" t="s">
        <v>49171</v>
      </c>
      <c r="ID64" s="1" t="s">
        <v>49172</v>
      </c>
      <c r="IE64" s="1" t="s">
        <v>49173</v>
      </c>
      <c r="IF64" s="1" t="s">
        <v>49174</v>
      </c>
      <c r="IG64" s="1" t="s">
        <v>49175</v>
      </c>
      <c r="IH64" s="1" t="s">
        <v>49176</v>
      </c>
      <c r="II64" s="1" t="s">
        <v>49177</v>
      </c>
      <c r="IJ64" s="1" t="s">
        <v>49178</v>
      </c>
      <c r="IK64" s="1" t="s">
        <v>49179</v>
      </c>
      <c r="IL64" s="1" t="s">
        <v>49180</v>
      </c>
      <c r="IM64" s="1" t="s">
        <v>49181</v>
      </c>
      <c r="IN64" s="1" t="s">
        <v>49182</v>
      </c>
      <c r="IO64" s="1" t="s">
        <v>49183</v>
      </c>
      <c r="IP64" s="1" t="s">
        <v>49184</v>
      </c>
      <c r="IQ64" s="1" t="s">
        <v>49185</v>
      </c>
      <c r="IR64" s="1" t="s">
        <v>49186</v>
      </c>
      <c r="IS64" s="1" t="s">
        <v>49187</v>
      </c>
      <c r="IT64" s="1" t="s">
        <v>49188</v>
      </c>
      <c r="IU64" s="1" t="s">
        <v>49189</v>
      </c>
      <c r="IV64" s="1" t="s">
        <v>49190</v>
      </c>
      <c r="IW64" s="1" t="s">
        <v>49191</v>
      </c>
      <c r="IX64" s="1" t="s">
        <v>49192</v>
      </c>
      <c r="IY64" s="1" t="s">
        <v>49193</v>
      </c>
      <c r="IZ64" s="1" t="s">
        <v>49194</v>
      </c>
      <c r="JA64" s="1" t="s">
        <v>49195</v>
      </c>
      <c r="JB64" s="1" t="s">
        <v>49196</v>
      </c>
      <c r="JC64" s="1" t="s">
        <v>49197</v>
      </c>
      <c r="JD64" s="1" t="s">
        <v>49198</v>
      </c>
      <c r="JE64" s="1" t="s">
        <v>49199</v>
      </c>
      <c r="JF64" s="1" t="s">
        <v>49200</v>
      </c>
      <c r="JG64" s="1" t="s">
        <v>49201</v>
      </c>
      <c r="JH64" s="1" t="s">
        <v>49202</v>
      </c>
      <c r="JI64" s="1" t="s">
        <v>49203</v>
      </c>
      <c r="JJ64" s="1" t="s">
        <v>49204</v>
      </c>
      <c r="JK64" s="1" t="s">
        <v>49205</v>
      </c>
      <c r="JL64" s="1" t="s">
        <v>49206</v>
      </c>
      <c r="JM64" s="1" t="s">
        <v>49207</v>
      </c>
      <c r="JN64" s="1" t="s">
        <v>49208</v>
      </c>
      <c r="JO64" s="1" t="s">
        <v>49209</v>
      </c>
      <c r="JP64" s="1" t="s">
        <v>49210</v>
      </c>
      <c r="JQ64" s="1" t="s">
        <v>49211</v>
      </c>
      <c r="JR64" s="1" t="s">
        <v>49212</v>
      </c>
      <c r="JS64" s="1" t="s">
        <v>49213</v>
      </c>
      <c r="JT64" s="1" t="s">
        <v>49214</v>
      </c>
      <c r="JU64" s="1" t="s">
        <v>49215</v>
      </c>
      <c r="JV64" s="1" t="s">
        <v>49216</v>
      </c>
      <c r="JW64" s="1" t="s">
        <v>49217</v>
      </c>
      <c r="JX64" s="1" t="s">
        <v>49218</v>
      </c>
      <c r="JY64" s="1" t="s">
        <v>49219</v>
      </c>
      <c r="JZ64" s="1" t="s">
        <v>49220</v>
      </c>
      <c r="KA64" s="1" t="s">
        <v>49221</v>
      </c>
      <c r="KB64" s="1" t="s">
        <v>49222</v>
      </c>
      <c r="KC64" s="1" t="s">
        <v>49223</v>
      </c>
      <c r="KD64" s="1" t="s">
        <v>49224</v>
      </c>
      <c r="KE64" s="1" t="s">
        <v>49225</v>
      </c>
      <c r="KF64" s="1" t="s">
        <v>49226</v>
      </c>
      <c r="KG64" s="1" t="s">
        <v>49227</v>
      </c>
      <c r="KH64" s="1" t="s">
        <v>49228</v>
      </c>
      <c r="KI64" s="1" t="s">
        <v>49229</v>
      </c>
      <c r="KJ64" s="1" t="s">
        <v>49230</v>
      </c>
      <c r="KK64" s="1" t="s">
        <v>49231</v>
      </c>
      <c r="KL64" s="1" t="s">
        <v>49232</v>
      </c>
      <c r="KM64" s="1" t="s">
        <v>49233</v>
      </c>
      <c r="KN64" s="1" t="s">
        <v>49234</v>
      </c>
      <c r="KO64" s="1" t="s">
        <v>49235</v>
      </c>
      <c r="KP64" s="1" t="s">
        <v>49236</v>
      </c>
      <c r="KQ64" s="1" t="s">
        <v>49237</v>
      </c>
      <c r="KR64" s="1" t="s">
        <v>49238</v>
      </c>
      <c r="KS64" s="1" t="s">
        <v>49239</v>
      </c>
      <c r="KT64" s="1" t="s">
        <v>49240</v>
      </c>
      <c r="KU64" s="1" t="s">
        <v>49241</v>
      </c>
      <c r="KV64" s="1" t="s">
        <v>49242</v>
      </c>
      <c r="KW64" s="1" t="s">
        <v>49243</v>
      </c>
      <c r="KX64" s="1" t="s">
        <v>49244</v>
      </c>
      <c r="KY64" s="1" t="s">
        <v>49245</v>
      </c>
      <c r="KZ64" s="1" t="s">
        <v>49246</v>
      </c>
      <c r="LA64" s="1" t="s">
        <v>49247</v>
      </c>
      <c r="LB64" s="1" t="s">
        <v>49248</v>
      </c>
      <c r="LC64" s="1" t="s">
        <v>49249</v>
      </c>
      <c r="LD64" s="1" t="s">
        <v>49250</v>
      </c>
      <c r="LE64" s="1" t="s">
        <v>49251</v>
      </c>
      <c r="LF64" s="1" t="s">
        <v>49252</v>
      </c>
      <c r="LG64" s="1" t="s">
        <v>49253</v>
      </c>
      <c r="LH64" s="1" t="s">
        <v>49254</v>
      </c>
      <c r="LI64" s="1" t="s">
        <v>49255</v>
      </c>
      <c r="LJ64" s="1" t="s">
        <v>49256</v>
      </c>
      <c r="LK64" s="1" t="s">
        <v>49257</v>
      </c>
      <c r="LL64" s="1" t="s">
        <v>49258</v>
      </c>
      <c r="LM64" s="1" t="s">
        <v>49259</v>
      </c>
      <c r="LN64" s="1" t="s">
        <v>49260</v>
      </c>
      <c r="LO64" s="1" t="s">
        <v>49261</v>
      </c>
      <c r="LP64" s="1" t="s">
        <v>49262</v>
      </c>
      <c r="LQ64" s="1" t="s">
        <v>49263</v>
      </c>
      <c r="LR64" s="1" t="s">
        <v>49264</v>
      </c>
      <c r="LS64" s="1" t="s">
        <v>49265</v>
      </c>
      <c r="LT64" s="1" t="s">
        <v>49266</v>
      </c>
      <c r="LU64" s="1" t="s">
        <v>49267</v>
      </c>
      <c r="LV64" s="1" t="s">
        <v>49268</v>
      </c>
      <c r="LW64" s="1" t="s">
        <v>49269</v>
      </c>
      <c r="LX64" s="1" t="s">
        <v>49270</v>
      </c>
      <c r="LY64" s="1" t="s">
        <v>49271</v>
      </c>
      <c r="LZ64" s="1" t="s">
        <v>49272</v>
      </c>
      <c r="MA64" s="1" t="s">
        <v>49273</v>
      </c>
      <c r="MB64" s="1" t="s">
        <v>49274</v>
      </c>
      <c r="MC64" s="1" t="s">
        <v>49275</v>
      </c>
      <c r="MD64" s="1" t="s">
        <v>49276</v>
      </c>
      <c r="ME64" s="1" t="s">
        <v>49277</v>
      </c>
      <c r="MF64" s="1" t="s">
        <v>49278</v>
      </c>
      <c r="MG64" s="1" t="s">
        <v>49279</v>
      </c>
      <c r="MH64" s="1" t="s">
        <v>49280</v>
      </c>
      <c r="MI64" s="1" t="s">
        <v>49281</v>
      </c>
      <c r="MJ64" s="1" t="s">
        <v>49282</v>
      </c>
      <c r="MK64" s="1" t="s">
        <v>49283</v>
      </c>
      <c r="ML64" s="1" t="s">
        <v>49284</v>
      </c>
      <c r="MM64" s="1" t="s">
        <v>49285</v>
      </c>
      <c r="MN64" s="1" t="s">
        <v>49286</v>
      </c>
      <c r="MO64" s="1" t="s">
        <v>49287</v>
      </c>
      <c r="MP64" s="1" t="s">
        <v>49288</v>
      </c>
      <c r="MQ64" s="1" t="s">
        <v>49289</v>
      </c>
      <c r="MR64" s="1" t="s">
        <v>49290</v>
      </c>
      <c r="MS64" s="1" t="s">
        <v>49291</v>
      </c>
      <c r="MT64" s="1" t="s">
        <v>49292</v>
      </c>
      <c r="MU64" s="1" t="s">
        <v>49293</v>
      </c>
      <c r="MV64" s="1" t="s">
        <v>49294</v>
      </c>
      <c r="MW64" s="1" t="s">
        <v>49295</v>
      </c>
      <c r="MX64" s="1" t="s">
        <v>49296</v>
      </c>
      <c r="MY64" s="1" t="s">
        <v>49297</v>
      </c>
      <c r="MZ64" s="1" t="s">
        <v>49298</v>
      </c>
      <c r="NA64" s="1" t="s">
        <v>49299</v>
      </c>
      <c r="NB64" s="1" t="s">
        <v>49300</v>
      </c>
      <c r="NC64" s="1" t="s">
        <v>49301</v>
      </c>
      <c r="ND64" s="1" t="s">
        <v>49302</v>
      </c>
      <c r="NE64" s="1" t="s">
        <v>49303</v>
      </c>
      <c r="NF64" s="1" t="s">
        <v>49304</v>
      </c>
      <c r="NG64" s="1" t="s">
        <v>49305</v>
      </c>
      <c r="NH64" s="1" t="s">
        <v>49306</v>
      </c>
      <c r="NI64" s="1" t="s">
        <v>49307</v>
      </c>
      <c r="NJ64" s="1" t="s">
        <v>49308</v>
      </c>
      <c r="NK64" s="1" t="s">
        <v>49309</v>
      </c>
      <c r="NL64" s="1" t="s">
        <v>49310</v>
      </c>
      <c r="NM64" s="1" t="s">
        <v>49311</v>
      </c>
      <c r="NN64" s="1" t="s">
        <v>49312</v>
      </c>
      <c r="NO64" s="1" t="s">
        <v>49313</v>
      </c>
      <c r="NP64" s="1" t="s">
        <v>49314</v>
      </c>
      <c r="NQ64" s="1" t="s">
        <v>49315</v>
      </c>
      <c r="NR64" s="1" t="s">
        <v>49316</v>
      </c>
      <c r="NS64" s="1" t="s">
        <v>49317</v>
      </c>
      <c r="NT64" s="1" t="s">
        <v>49318</v>
      </c>
      <c r="NU64" s="1" t="s">
        <v>49319</v>
      </c>
      <c r="NV64" s="1" t="s">
        <v>49320</v>
      </c>
      <c r="NW64" s="1" t="s">
        <v>49321</v>
      </c>
      <c r="NX64" s="1" t="s">
        <v>49322</v>
      </c>
      <c r="NY64" s="1" t="s">
        <v>49323</v>
      </c>
      <c r="NZ64" s="1" t="s">
        <v>49324</v>
      </c>
      <c r="OA64" s="1" t="s">
        <v>49325</v>
      </c>
      <c r="OB64" s="1" t="s">
        <v>49326</v>
      </c>
      <c r="OC64" s="1" t="s">
        <v>49327</v>
      </c>
      <c r="OD64" s="1" t="s">
        <v>49328</v>
      </c>
      <c r="OE64" s="1" t="s">
        <v>49329</v>
      </c>
      <c r="OF64" s="1" t="s">
        <v>49330</v>
      </c>
      <c r="OG64" s="1" t="s">
        <v>49331</v>
      </c>
      <c r="OH64" s="1" t="s">
        <v>49332</v>
      </c>
      <c r="OI64" s="1" t="s">
        <v>49333</v>
      </c>
      <c r="OJ64" s="1" t="s">
        <v>49334</v>
      </c>
      <c r="OK64" s="1" t="s">
        <v>49335</v>
      </c>
      <c r="OL64" s="1" t="s">
        <v>49336</v>
      </c>
      <c r="OM64" s="1" t="s">
        <v>49337</v>
      </c>
      <c r="ON64" s="1" t="s">
        <v>49338</v>
      </c>
      <c r="OO64" s="1" t="s">
        <v>49339</v>
      </c>
      <c r="OP64" s="1" t="s">
        <v>49340</v>
      </c>
      <c r="OQ64" s="1" t="s">
        <v>49341</v>
      </c>
      <c r="OR64" s="1" t="s">
        <v>49342</v>
      </c>
      <c r="OS64" s="1" t="s">
        <v>49343</v>
      </c>
      <c r="OT64" s="1" t="s">
        <v>49344</v>
      </c>
      <c r="OU64" s="1" t="s">
        <v>49345</v>
      </c>
      <c r="OV64" s="1" t="s">
        <v>49346</v>
      </c>
      <c r="OW64" s="1" t="s">
        <v>49347</v>
      </c>
      <c r="OX64" s="1" t="s">
        <v>49348</v>
      </c>
      <c r="OY64" s="1" t="s">
        <v>49349</v>
      </c>
      <c r="OZ64" s="1" t="s">
        <v>49350</v>
      </c>
      <c r="PA64" s="1" t="s">
        <v>49351</v>
      </c>
      <c r="PB64" s="1" t="s">
        <v>49352</v>
      </c>
      <c r="PC64" s="1" t="s">
        <v>49353</v>
      </c>
      <c r="PD64" s="1" t="s">
        <v>49354</v>
      </c>
      <c r="PE64" s="1" t="s">
        <v>49355</v>
      </c>
      <c r="PF64" s="1" t="s">
        <v>49356</v>
      </c>
      <c r="PG64" s="1" t="s">
        <v>49357</v>
      </c>
      <c r="PH64" s="1" t="s">
        <v>49358</v>
      </c>
      <c r="PI64" s="1" t="s">
        <v>49359</v>
      </c>
      <c r="PJ64" s="1" t="s">
        <v>49360</v>
      </c>
      <c r="PK64" s="1" t="s">
        <v>49361</v>
      </c>
      <c r="PL64" s="1" t="s">
        <v>49362</v>
      </c>
      <c r="PM64" s="1" t="s">
        <v>49363</v>
      </c>
      <c r="PN64" s="1" t="s">
        <v>49364</v>
      </c>
      <c r="PO64" s="1" t="s">
        <v>49365</v>
      </c>
      <c r="PP64" s="1" t="s">
        <v>49366</v>
      </c>
      <c r="PQ64" s="1" t="s">
        <v>49367</v>
      </c>
      <c r="PR64" s="1" t="s">
        <v>49368</v>
      </c>
      <c r="PS64" s="1" t="s">
        <v>49369</v>
      </c>
      <c r="PT64" s="1" t="s">
        <v>49370</v>
      </c>
      <c r="PU64" s="1" t="s">
        <v>49371</v>
      </c>
      <c r="PV64" s="1" t="s">
        <v>49372</v>
      </c>
      <c r="PW64" s="1" t="s">
        <v>49373</v>
      </c>
      <c r="PX64" s="1" t="s">
        <v>49374</v>
      </c>
      <c r="PY64" s="1" t="s">
        <v>49375</v>
      </c>
      <c r="PZ64" s="1" t="s">
        <v>49376</v>
      </c>
      <c r="QA64" s="1" t="s">
        <v>49377</v>
      </c>
      <c r="QB64" s="1" t="s">
        <v>49378</v>
      </c>
      <c r="QC64" s="1" t="s">
        <v>49379</v>
      </c>
      <c r="QD64" s="1" t="s">
        <v>49380</v>
      </c>
      <c r="QE64" s="1" t="s">
        <v>49381</v>
      </c>
      <c r="QF64" s="1" t="s">
        <v>49382</v>
      </c>
      <c r="QG64" s="1" t="s">
        <v>49383</v>
      </c>
      <c r="QH64" s="1" t="s">
        <v>49384</v>
      </c>
      <c r="QI64" s="1" t="s">
        <v>49385</v>
      </c>
      <c r="QJ64" s="1" t="s">
        <v>49386</v>
      </c>
      <c r="QK64" s="1" t="s">
        <v>49387</v>
      </c>
      <c r="QL64" s="1" t="s">
        <v>49388</v>
      </c>
      <c r="QM64" s="1" t="s">
        <v>49389</v>
      </c>
      <c r="QN64" s="1" t="s">
        <v>49390</v>
      </c>
      <c r="QO64" s="1" t="s">
        <v>49391</v>
      </c>
      <c r="QP64" s="1" t="s">
        <v>49392</v>
      </c>
      <c r="QQ64" s="1" t="s">
        <v>49393</v>
      </c>
      <c r="QR64" s="1" t="s">
        <v>49394</v>
      </c>
      <c r="QS64" s="1" t="s">
        <v>49395</v>
      </c>
      <c r="QT64" s="1" t="s">
        <v>49396</v>
      </c>
      <c r="QU64" s="1" t="s">
        <v>49397</v>
      </c>
      <c r="QV64" s="1" t="s">
        <v>49398</v>
      </c>
      <c r="QW64" s="1" t="s">
        <v>49399</v>
      </c>
      <c r="QX64" s="1" t="s">
        <v>49400</v>
      </c>
      <c r="QY64" s="1" t="s">
        <v>49401</v>
      </c>
      <c r="QZ64" s="1" t="s">
        <v>49402</v>
      </c>
      <c r="RA64" s="1" t="s">
        <v>49403</v>
      </c>
      <c r="RB64" s="1" t="s">
        <v>49404</v>
      </c>
      <c r="RC64" s="1" t="s">
        <v>49405</v>
      </c>
      <c r="RD64" s="1" t="s">
        <v>49406</v>
      </c>
      <c r="RE64" s="1" t="s">
        <v>49407</v>
      </c>
      <c r="RF64" s="1" t="s">
        <v>49408</v>
      </c>
      <c r="RG64" s="1" t="s">
        <v>49409</v>
      </c>
      <c r="RH64" s="1" t="s">
        <v>49410</v>
      </c>
      <c r="RI64" s="1" t="s">
        <v>49411</v>
      </c>
      <c r="RJ64" s="1" t="s">
        <v>49412</v>
      </c>
      <c r="RK64" s="1" t="s">
        <v>49413</v>
      </c>
      <c r="RL64" s="1" t="s">
        <v>49414</v>
      </c>
      <c r="RM64" s="1" t="s">
        <v>49415</v>
      </c>
      <c r="RN64" s="1" t="s">
        <v>49416</v>
      </c>
      <c r="RO64" s="1" t="s">
        <v>49417</v>
      </c>
      <c r="RP64" s="1" t="s">
        <v>49418</v>
      </c>
      <c r="RQ64" s="1" t="s">
        <v>49419</v>
      </c>
      <c r="RR64" s="1" t="s">
        <v>49420</v>
      </c>
      <c r="RS64" s="1" t="s">
        <v>49421</v>
      </c>
      <c r="RT64" s="1" t="s">
        <v>49422</v>
      </c>
      <c r="RU64" s="1" t="s">
        <v>49423</v>
      </c>
      <c r="RV64" s="1" t="s">
        <v>49424</v>
      </c>
      <c r="RW64" s="1" t="s">
        <v>49425</v>
      </c>
      <c r="RX64" s="1" t="s">
        <v>49426</v>
      </c>
      <c r="RY64" s="1" t="s">
        <v>49427</v>
      </c>
      <c r="RZ64" s="1" t="s">
        <v>49428</v>
      </c>
      <c r="SA64" s="1" t="s">
        <v>49429</v>
      </c>
      <c r="SB64" s="1" t="s">
        <v>49430</v>
      </c>
      <c r="SC64" s="1" t="s">
        <v>49431</v>
      </c>
      <c r="SD64" s="1" t="s">
        <v>49432</v>
      </c>
      <c r="SE64" s="1" t="s">
        <v>49433</v>
      </c>
      <c r="SF64" s="1" t="s">
        <v>49434</v>
      </c>
      <c r="SG64" s="1" t="s">
        <v>49435</v>
      </c>
      <c r="SH64" s="1" t="s">
        <v>49436</v>
      </c>
      <c r="SI64" s="1" t="s">
        <v>49437</v>
      </c>
      <c r="SJ64" s="1" t="s">
        <v>49438</v>
      </c>
      <c r="SK64" s="1" t="s">
        <v>49439</v>
      </c>
      <c r="SL64" s="1" t="s">
        <v>49440</v>
      </c>
      <c r="SM64" s="1" t="s">
        <v>49441</v>
      </c>
      <c r="SN64" s="1" t="s">
        <v>49442</v>
      </c>
      <c r="SO64" s="1" t="s">
        <v>49443</v>
      </c>
      <c r="SP64" s="1" t="s">
        <v>49444</v>
      </c>
      <c r="SQ64" s="1" t="s">
        <v>49445</v>
      </c>
      <c r="SR64" s="1" t="s">
        <v>49446</v>
      </c>
      <c r="SS64" s="1" t="s">
        <v>49447</v>
      </c>
      <c r="ST64" s="1" t="s">
        <v>49448</v>
      </c>
      <c r="SU64" s="1" t="s">
        <v>49449</v>
      </c>
      <c r="SV64" s="1" t="s">
        <v>49450</v>
      </c>
      <c r="SW64" s="1" t="s">
        <v>49451</v>
      </c>
      <c r="SX64" s="1" t="s">
        <v>49452</v>
      </c>
      <c r="SY64" s="1" t="s">
        <v>49453</v>
      </c>
      <c r="SZ64" s="1" t="s">
        <v>49454</v>
      </c>
      <c r="TA64" s="1" t="s">
        <v>49455</v>
      </c>
      <c r="TB64" s="1" t="s">
        <v>49456</v>
      </c>
      <c r="TC64" s="1" t="s">
        <v>49457</v>
      </c>
      <c r="TD64" s="1" t="s">
        <v>49458</v>
      </c>
      <c r="TE64" s="1" t="s">
        <v>49459</v>
      </c>
      <c r="TF64" s="1" t="s">
        <v>49460</v>
      </c>
      <c r="TG64" s="1" t="s">
        <v>49461</v>
      </c>
      <c r="TH64" s="1" t="s">
        <v>49462</v>
      </c>
      <c r="TI64" s="1" t="s">
        <v>49463</v>
      </c>
      <c r="TJ64" s="1" t="s">
        <v>49464</v>
      </c>
      <c r="TK64" s="1" t="s">
        <v>49465</v>
      </c>
      <c r="TL64" s="1" t="s">
        <v>49466</v>
      </c>
      <c r="TM64" s="1" t="s">
        <v>49467</v>
      </c>
      <c r="TN64" s="1" t="s">
        <v>49468</v>
      </c>
      <c r="TO64" s="1" t="s">
        <v>49469</v>
      </c>
      <c r="TP64" s="1" t="s">
        <v>49470</v>
      </c>
      <c r="TQ64" s="1" t="s">
        <v>49471</v>
      </c>
      <c r="TR64" s="1" t="s">
        <v>49472</v>
      </c>
      <c r="TS64" s="1" t="s">
        <v>49473</v>
      </c>
      <c r="TT64" s="1" t="s">
        <v>49474</v>
      </c>
      <c r="TU64" s="1" t="s">
        <v>49475</v>
      </c>
      <c r="TV64" s="1" t="s">
        <v>49476</v>
      </c>
      <c r="TW64" s="1" t="s">
        <v>49477</v>
      </c>
      <c r="TX64" s="1" t="s">
        <v>49478</v>
      </c>
      <c r="TY64" s="1" t="s">
        <v>49479</v>
      </c>
      <c r="TZ64" s="1" t="s">
        <v>49480</v>
      </c>
      <c r="UA64" s="1" t="s">
        <v>49481</v>
      </c>
      <c r="UB64" s="1" t="s">
        <v>49482</v>
      </c>
      <c r="UC64" s="1" t="s">
        <v>49483</v>
      </c>
      <c r="UD64" s="1" t="s">
        <v>49484</v>
      </c>
      <c r="UE64" s="1" t="s">
        <v>49485</v>
      </c>
      <c r="UF64" s="1" t="s">
        <v>49486</v>
      </c>
      <c r="UG64" s="1" t="s">
        <v>49487</v>
      </c>
      <c r="UH64" s="1" t="s">
        <v>49488</v>
      </c>
      <c r="UI64" s="1" t="s">
        <v>49489</v>
      </c>
      <c r="UJ64" s="1" t="s">
        <v>49490</v>
      </c>
      <c r="UK64" s="1" t="s">
        <v>49491</v>
      </c>
      <c r="UL64" s="1" t="s">
        <v>49492</v>
      </c>
      <c r="UM64" s="1" t="s">
        <v>49493</v>
      </c>
      <c r="UN64" s="1" t="s">
        <v>49494</v>
      </c>
      <c r="UO64" s="1" t="s">
        <v>49495</v>
      </c>
      <c r="UP64" s="1" t="s">
        <v>49496</v>
      </c>
      <c r="UQ64" s="1" t="s">
        <v>49497</v>
      </c>
      <c r="UR64" s="1" t="s">
        <v>49498</v>
      </c>
      <c r="US64" s="1" t="s">
        <v>49499</v>
      </c>
      <c r="UT64" s="1" t="s">
        <v>49500</v>
      </c>
      <c r="UU64" s="1" t="s">
        <v>49501</v>
      </c>
      <c r="UV64" s="1" t="s">
        <v>49502</v>
      </c>
      <c r="UW64" s="1" t="s">
        <v>49503</v>
      </c>
      <c r="UX64" s="1" t="s">
        <v>49504</v>
      </c>
      <c r="UY64" s="1" t="s">
        <v>49505</v>
      </c>
      <c r="UZ64" s="1" t="s">
        <v>49506</v>
      </c>
      <c r="VA64" s="1" t="s">
        <v>49507</v>
      </c>
      <c r="VB64" s="1" t="s">
        <v>49508</v>
      </c>
      <c r="VC64" s="1" t="s">
        <v>49509</v>
      </c>
      <c r="VD64" s="1" t="s">
        <v>49510</v>
      </c>
      <c r="VE64" s="1" t="s">
        <v>49511</v>
      </c>
      <c r="VF64" s="1" t="s">
        <v>49512</v>
      </c>
      <c r="VG64" s="1" t="s">
        <v>49513</v>
      </c>
      <c r="VH64" s="1" t="s">
        <v>49514</v>
      </c>
      <c r="VI64" s="1" t="s">
        <v>49515</v>
      </c>
      <c r="VJ64" s="1" t="s">
        <v>49516</v>
      </c>
      <c r="VK64" s="1" t="s">
        <v>49517</v>
      </c>
      <c r="VL64" s="1" t="s">
        <v>49518</v>
      </c>
      <c r="VM64" s="1" t="s">
        <v>49519</v>
      </c>
      <c r="VN64" s="1" t="s">
        <v>49520</v>
      </c>
      <c r="VO64" s="1" t="s">
        <v>49521</v>
      </c>
      <c r="VP64" s="1" t="s">
        <v>49522</v>
      </c>
      <c r="VQ64" s="1" t="s">
        <v>49523</v>
      </c>
      <c r="VR64" s="1" t="s">
        <v>49524</v>
      </c>
      <c r="VS64" s="1" t="s">
        <v>49525</v>
      </c>
      <c r="VT64" s="1" t="s">
        <v>49526</v>
      </c>
      <c r="VU64" s="1" t="s">
        <v>49527</v>
      </c>
      <c r="VV64" s="1" t="s">
        <v>49528</v>
      </c>
      <c r="VW64" s="1" t="s">
        <v>49529</v>
      </c>
      <c r="VX64" s="1" t="s">
        <v>49530</v>
      </c>
      <c r="VY64" s="1" t="s">
        <v>49531</v>
      </c>
      <c r="VZ64" s="1" t="s">
        <v>49532</v>
      </c>
      <c r="WA64" s="1" t="s">
        <v>49533</v>
      </c>
      <c r="WB64" s="1" t="s">
        <v>49534</v>
      </c>
      <c r="WC64" s="1" t="s">
        <v>49535</v>
      </c>
      <c r="WD64" s="1" t="s">
        <v>49536</v>
      </c>
      <c r="WE64" s="1" t="s">
        <v>49537</v>
      </c>
      <c r="WF64" s="1" t="s">
        <v>49538</v>
      </c>
      <c r="WG64" s="1" t="s">
        <v>49539</v>
      </c>
      <c r="WH64" s="1" t="s">
        <v>49540</v>
      </c>
      <c r="WI64" s="1" t="s">
        <v>49541</v>
      </c>
      <c r="WJ64" s="1" t="s">
        <v>49542</v>
      </c>
      <c r="WK64" s="1" t="s">
        <v>49543</v>
      </c>
      <c r="WL64" s="1" t="s">
        <v>49544</v>
      </c>
      <c r="WM64" s="1" t="s">
        <v>49545</v>
      </c>
      <c r="WN64" s="1" t="s">
        <v>49546</v>
      </c>
      <c r="WO64" s="1" t="s">
        <v>49547</v>
      </c>
      <c r="WP64" s="1" t="s">
        <v>49548</v>
      </c>
      <c r="WQ64" s="1" t="s">
        <v>49549</v>
      </c>
      <c r="WR64" s="1" t="s">
        <v>49550</v>
      </c>
      <c r="WS64" s="1" t="s">
        <v>49551</v>
      </c>
      <c r="WT64" s="1" t="s">
        <v>49552</v>
      </c>
      <c r="WU64" s="1" t="s">
        <v>49553</v>
      </c>
      <c r="WV64" s="1" t="s">
        <v>49554</v>
      </c>
      <c r="WW64" s="1" t="s">
        <v>49555</v>
      </c>
      <c r="WX64" s="1" t="s">
        <v>49556</v>
      </c>
      <c r="WY64" s="1" t="s">
        <v>49557</v>
      </c>
      <c r="WZ64" s="1" t="s">
        <v>49558</v>
      </c>
      <c r="XA64" s="1" t="s">
        <v>49559</v>
      </c>
      <c r="XB64" s="1" t="s">
        <v>49560</v>
      </c>
      <c r="XC64" s="1" t="s">
        <v>49561</v>
      </c>
      <c r="XD64" s="1" t="s">
        <v>49562</v>
      </c>
      <c r="XE64" s="1" t="s">
        <v>49563</v>
      </c>
      <c r="XF64" s="1" t="s">
        <v>49564</v>
      </c>
      <c r="XG64" s="1" t="s">
        <v>49565</v>
      </c>
      <c r="XH64" s="1" t="s">
        <v>49566</v>
      </c>
      <c r="XI64" s="1" t="s">
        <v>49567</v>
      </c>
      <c r="XJ64" s="1" t="s">
        <v>49568</v>
      </c>
      <c r="XK64" s="1" t="s">
        <v>49569</v>
      </c>
      <c r="XL64" s="1" t="s">
        <v>49570</v>
      </c>
      <c r="XM64" s="1" t="s">
        <v>49571</v>
      </c>
      <c r="XN64" s="1" t="s">
        <v>49572</v>
      </c>
      <c r="XO64" s="1" t="s">
        <v>49573</v>
      </c>
      <c r="XP64" s="1" t="s">
        <v>49574</v>
      </c>
      <c r="XQ64" s="1" t="s">
        <v>49575</v>
      </c>
      <c r="XR64" s="1" t="s">
        <v>49576</v>
      </c>
      <c r="XS64" s="1" t="s">
        <v>49577</v>
      </c>
      <c r="XT64" s="1" t="s">
        <v>49578</v>
      </c>
      <c r="XU64" s="1" t="s">
        <v>49579</v>
      </c>
      <c r="XV64" s="1" t="s">
        <v>49580</v>
      </c>
      <c r="XW64" s="1" t="s">
        <v>49581</v>
      </c>
      <c r="XX64" s="1" t="s">
        <v>49582</v>
      </c>
      <c r="XY64" s="1" t="s">
        <v>49583</v>
      </c>
      <c r="XZ64" s="1" t="s">
        <v>49584</v>
      </c>
      <c r="YA64" s="1" t="s">
        <v>49585</v>
      </c>
      <c r="YB64" s="1" t="s">
        <v>49586</v>
      </c>
      <c r="YC64" s="1" t="s">
        <v>49587</v>
      </c>
      <c r="YD64" s="1" t="s">
        <v>49588</v>
      </c>
      <c r="YE64" s="1" t="s">
        <v>49589</v>
      </c>
      <c r="YF64" s="1" t="s">
        <v>49590</v>
      </c>
      <c r="YG64" s="1" t="s">
        <v>49591</v>
      </c>
      <c r="YH64" s="1" t="s">
        <v>49592</v>
      </c>
      <c r="YI64" s="1" t="s">
        <v>49593</v>
      </c>
      <c r="YJ64" s="1" t="s">
        <v>49594</v>
      </c>
      <c r="YK64" s="1" t="s">
        <v>49595</v>
      </c>
      <c r="YL64" s="1" t="s">
        <v>49596</v>
      </c>
      <c r="YM64" s="1" t="s">
        <v>49597</v>
      </c>
      <c r="YN64" s="1" t="s">
        <v>49598</v>
      </c>
      <c r="YO64" s="1" t="s">
        <v>49599</v>
      </c>
      <c r="YP64" s="1" t="s">
        <v>49600</v>
      </c>
      <c r="YQ64" s="1" t="s">
        <v>49601</v>
      </c>
      <c r="YR64" s="1" t="s">
        <v>49602</v>
      </c>
      <c r="YS64" s="1" t="s">
        <v>49603</v>
      </c>
      <c r="YT64" s="1" t="s">
        <v>49604</v>
      </c>
      <c r="YU64" s="1" t="s">
        <v>49605</v>
      </c>
      <c r="YV64" s="1" t="s">
        <v>49606</v>
      </c>
      <c r="YW64" s="1" t="s">
        <v>49607</v>
      </c>
      <c r="YX64" s="1" t="s">
        <v>49608</v>
      </c>
      <c r="YY64" s="1" t="s">
        <v>49609</v>
      </c>
      <c r="YZ64" s="1" t="s">
        <v>49610</v>
      </c>
      <c r="ZA64" s="1" t="s">
        <v>49611</v>
      </c>
      <c r="ZB64" s="1" t="s">
        <v>49612</v>
      </c>
      <c r="ZC64" s="1" t="s">
        <v>49613</v>
      </c>
      <c r="ZD64" s="1" t="s">
        <v>49614</v>
      </c>
      <c r="ZE64" s="1" t="s">
        <v>49615</v>
      </c>
      <c r="ZF64" s="1" t="s">
        <v>49616</v>
      </c>
      <c r="ZG64" s="1" t="s">
        <v>49617</v>
      </c>
      <c r="ZH64" s="1" t="s">
        <v>49618</v>
      </c>
      <c r="ZI64" s="1" t="s">
        <v>49619</v>
      </c>
      <c r="ZJ64" s="1" t="s">
        <v>49620</v>
      </c>
      <c r="ZK64" s="1" t="s">
        <v>49621</v>
      </c>
      <c r="ZL64" s="1" t="s">
        <v>49622</v>
      </c>
      <c r="ZM64" s="1" t="s">
        <v>49623</v>
      </c>
      <c r="ZN64" s="1" t="s">
        <v>49624</v>
      </c>
      <c r="ZO64" s="1" t="s">
        <v>49625</v>
      </c>
      <c r="ZP64" s="1" t="s">
        <v>49626</v>
      </c>
      <c r="ZQ64" s="1" t="s">
        <v>49627</v>
      </c>
      <c r="ZR64" s="1" t="s">
        <v>49628</v>
      </c>
      <c r="ZS64" s="1" t="s">
        <v>49629</v>
      </c>
      <c r="ZT64" s="1" t="s">
        <v>49630</v>
      </c>
      <c r="ZU64" s="1" t="s">
        <v>49631</v>
      </c>
      <c r="ZV64" s="1" t="s">
        <v>49632</v>
      </c>
      <c r="ZW64" s="1" t="s">
        <v>49633</v>
      </c>
      <c r="ZX64" s="1" t="s">
        <v>49634</v>
      </c>
      <c r="ZY64" s="1" t="s">
        <v>49635</v>
      </c>
      <c r="ZZ64" s="1" t="s">
        <v>49636</v>
      </c>
      <c r="AAA64" s="1" t="s">
        <v>49637</v>
      </c>
      <c r="AAB64" s="1" t="s">
        <v>49638</v>
      </c>
      <c r="AAC64" s="1" t="s">
        <v>49639</v>
      </c>
      <c r="AAD64" s="1" t="s">
        <v>49640</v>
      </c>
      <c r="AAE64" s="1" t="s">
        <v>49641</v>
      </c>
      <c r="AAF64" s="1" t="s">
        <v>49642</v>
      </c>
      <c r="AAG64" s="1" t="s">
        <v>49643</v>
      </c>
      <c r="AAH64" s="1" t="s">
        <v>49644</v>
      </c>
      <c r="AAI64" s="1" t="s">
        <v>49645</v>
      </c>
      <c r="AAJ64" s="1" t="s">
        <v>49646</v>
      </c>
      <c r="AAK64" s="1" t="s">
        <v>49647</v>
      </c>
      <c r="AAL64" s="1" t="s">
        <v>49648</v>
      </c>
      <c r="AAM64" s="1" t="s">
        <v>49649</v>
      </c>
      <c r="AAN64" s="1" t="s">
        <v>49650</v>
      </c>
      <c r="AAO64" s="1" t="s">
        <v>49651</v>
      </c>
      <c r="AAP64" s="1" t="s">
        <v>49652</v>
      </c>
      <c r="AAQ64" s="1" t="s">
        <v>49653</v>
      </c>
      <c r="AAR64" s="1" t="s">
        <v>49654</v>
      </c>
      <c r="AAS64" s="1" t="s">
        <v>49655</v>
      </c>
      <c r="AAT64" s="1" t="s">
        <v>49656</v>
      </c>
      <c r="AAU64" s="1" t="s">
        <v>49657</v>
      </c>
      <c r="AAV64" s="1" t="s">
        <v>49658</v>
      </c>
      <c r="AAW64" s="1" t="s">
        <v>49659</v>
      </c>
      <c r="AAX64" s="1" t="s">
        <v>49660</v>
      </c>
      <c r="AAY64" s="1" t="s">
        <v>49661</v>
      </c>
      <c r="AAZ64" s="1" t="s">
        <v>49662</v>
      </c>
      <c r="ABA64" s="1" t="s">
        <v>49663</v>
      </c>
      <c r="ABB64" s="1" t="s">
        <v>49664</v>
      </c>
      <c r="ABC64" s="1" t="s">
        <v>49665</v>
      </c>
      <c r="ABD64" s="1" t="s">
        <v>49666</v>
      </c>
      <c r="ABE64" s="1" t="s">
        <v>49667</v>
      </c>
      <c r="ABF64" s="1" t="s">
        <v>49668</v>
      </c>
      <c r="ABG64" s="1" t="s">
        <v>49669</v>
      </c>
      <c r="ABH64" s="1" t="s">
        <v>49670</v>
      </c>
      <c r="ABI64" s="1" t="s">
        <v>49671</v>
      </c>
      <c r="ABJ64" s="1" t="s">
        <v>49672</v>
      </c>
      <c r="ABK64" s="1" t="s">
        <v>49673</v>
      </c>
      <c r="ABL64" s="1" t="s">
        <v>49674</v>
      </c>
      <c r="ABM64" s="1" t="s">
        <v>49675</v>
      </c>
      <c r="ABN64" s="1" t="s">
        <v>49676</v>
      </c>
      <c r="ABO64" s="1" t="s">
        <v>49677</v>
      </c>
      <c r="ABP64" s="1" t="s">
        <v>49678</v>
      </c>
      <c r="ABQ64" s="1" t="s">
        <v>49679</v>
      </c>
      <c r="ABR64" s="1" t="s">
        <v>49680</v>
      </c>
      <c r="ABS64" s="1" t="s">
        <v>49681</v>
      </c>
      <c r="ABT64" s="1" t="s">
        <v>49682</v>
      </c>
      <c r="ABU64" s="1" t="s">
        <v>49683</v>
      </c>
      <c r="ABV64" s="1" t="s">
        <v>49684</v>
      </c>
      <c r="ABW64" s="1" t="s">
        <v>49685</v>
      </c>
      <c r="ABX64" s="1" t="s">
        <v>49686</v>
      </c>
      <c r="ABY64" s="1" t="s">
        <v>49687</v>
      </c>
      <c r="ABZ64" s="1" t="s">
        <v>49688</v>
      </c>
      <c r="ACA64" s="1" t="s">
        <v>49689</v>
      </c>
      <c r="ACB64" s="1" t="s">
        <v>49690</v>
      </c>
      <c r="ACC64" s="1" t="s">
        <v>49691</v>
      </c>
      <c r="ACD64" s="1" t="s">
        <v>49692</v>
      </c>
      <c r="ACE64" s="1" t="s">
        <v>49693</v>
      </c>
      <c r="ACF64" s="1" t="s">
        <v>49694</v>
      </c>
      <c r="ACG64" s="1" t="s">
        <v>49695</v>
      </c>
      <c r="ACH64" s="1" t="s">
        <v>49696</v>
      </c>
      <c r="ACI64" s="1" t="s">
        <v>49697</v>
      </c>
      <c r="ACJ64" s="1" t="s">
        <v>49698</v>
      </c>
      <c r="ACK64" s="1" t="s">
        <v>49699</v>
      </c>
      <c r="ACL64" s="1" t="s">
        <v>49700</v>
      </c>
      <c r="ACM64" s="1" t="s">
        <v>49701</v>
      </c>
      <c r="ACN64" s="1" t="s">
        <v>49702</v>
      </c>
      <c r="ACO64" s="1" t="s">
        <v>49703</v>
      </c>
      <c r="ACP64" s="1" t="s">
        <v>49704</v>
      </c>
      <c r="ACQ64" s="1" t="s">
        <v>49705</v>
      </c>
      <c r="ACR64" s="1" t="s">
        <v>49706</v>
      </c>
      <c r="ACS64" s="1" t="s">
        <v>49707</v>
      </c>
      <c r="ACT64" s="1" t="s">
        <v>49708</v>
      </c>
      <c r="ACU64" s="1" t="s">
        <v>49709</v>
      </c>
      <c r="ACV64" s="1" t="s">
        <v>49710</v>
      </c>
      <c r="ACW64" s="1" t="s">
        <v>12</v>
      </c>
      <c r="ACX64" s="1" t="s">
        <v>1500</v>
      </c>
    </row>
    <row r="65" spans="1:778" x14ac:dyDescent="0.2">
      <c r="A65" s="1" t="s">
        <v>84</v>
      </c>
      <c r="B65" s="1" t="s">
        <v>49711</v>
      </c>
      <c r="C65" s="1" t="s">
        <v>49712</v>
      </c>
      <c r="D65" s="1" t="s">
        <v>49713</v>
      </c>
      <c r="E65" s="1" t="s">
        <v>49714</v>
      </c>
      <c r="F65" s="1" t="s">
        <v>49715</v>
      </c>
      <c r="G65" s="1" t="s">
        <v>49716</v>
      </c>
      <c r="H65" s="1" t="s">
        <v>49717</v>
      </c>
      <c r="I65" s="1" t="s">
        <v>49718</v>
      </c>
      <c r="J65" s="1" t="s">
        <v>49719</v>
      </c>
      <c r="K65" s="1" t="s">
        <v>49720</v>
      </c>
      <c r="L65" s="1" t="s">
        <v>49721</v>
      </c>
      <c r="M65" s="1" t="s">
        <v>49722</v>
      </c>
      <c r="N65" s="1" t="s">
        <v>49723</v>
      </c>
      <c r="O65" s="1" t="s">
        <v>49724</v>
      </c>
      <c r="P65" s="1" t="s">
        <v>49725</v>
      </c>
      <c r="Q65" s="1" t="s">
        <v>49726</v>
      </c>
      <c r="R65" s="1" t="s">
        <v>49727</v>
      </c>
      <c r="S65" s="1" t="s">
        <v>49728</v>
      </c>
      <c r="T65" s="1" t="s">
        <v>49729</v>
      </c>
      <c r="U65" s="1" t="s">
        <v>49730</v>
      </c>
      <c r="V65" s="1" t="s">
        <v>49731</v>
      </c>
      <c r="W65" s="1" t="s">
        <v>49732</v>
      </c>
      <c r="X65" s="1" t="s">
        <v>49733</v>
      </c>
      <c r="Y65" s="1" t="s">
        <v>49734</v>
      </c>
      <c r="Z65" s="1" t="s">
        <v>49735</v>
      </c>
      <c r="AA65" s="1" t="s">
        <v>49736</v>
      </c>
      <c r="AB65" s="1" t="s">
        <v>49737</v>
      </c>
      <c r="AC65" s="1" t="s">
        <v>49738</v>
      </c>
      <c r="AD65" s="1" t="s">
        <v>49739</v>
      </c>
      <c r="AE65" s="1" t="s">
        <v>49740</v>
      </c>
      <c r="AF65" s="1" t="s">
        <v>49741</v>
      </c>
      <c r="AG65" s="1" t="s">
        <v>49742</v>
      </c>
      <c r="AH65" s="1" t="s">
        <v>49743</v>
      </c>
      <c r="AI65" s="1" t="s">
        <v>49744</v>
      </c>
      <c r="AJ65" s="1" t="s">
        <v>49745</v>
      </c>
      <c r="AK65" s="1" t="s">
        <v>49746</v>
      </c>
      <c r="AL65" s="1" t="s">
        <v>49747</v>
      </c>
      <c r="AM65" s="1" t="s">
        <v>49748</v>
      </c>
      <c r="AN65" s="1" t="s">
        <v>49749</v>
      </c>
      <c r="AO65" s="1" t="s">
        <v>49750</v>
      </c>
      <c r="AP65" s="1" t="s">
        <v>49751</v>
      </c>
      <c r="AQ65" s="1" t="s">
        <v>49752</v>
      </c>
      <c r="AR65" s="1" t="s">
        <v>49753</v>
      </c>
      <c r="AS65" s="1" t="s">
        <v>49754</v>
      </c>
      <c r="AT65" s="1" t="s">
        <v>49755</v>
      </c>
      <c r="AU65" s="1" t="s">
        <v>49756</v>
      </c>
      <c r="AV65" s="1" t="s">
        <v>49757</v>
      </c>
      <c r="AW65" s="1" t="s">
        <v>49758</v>
      </c>
      <c r="AX65" s="1" t="s">
        <v>49759</v>
      </c>
      <c r="AY65" s="1" t="s">
        <v>49760</v>
      </c>
      <c r="AZ65" s="1" t="s">
        <v>49761</v>
      </c>
      <c r="BA65" s="1" t="s">
        <v>49762</v>
      </c>
      <c r="BB65" s="1" t="s">
        <v>49763</v>
      </c>
      <c r="BC65" s="1" t="s">
        <v>49764</v>
      </c>
      <c r="BD65" s="1" t="s">
        <v>49765</v>
      </c>
      <c r="BE65" s="1" t="s">
        <v>49766</v>
      </c>
      <c r="BF65" s="1" t="s">
        <v>49767</v>
      </c>
      <c r="BG65" s="1" t="s">
        <v>49768</v>
      </c>
      <c r="BH65" s="1" t="s">
        <v>49769</v>
      </c>
      <c r="BI65" s="1" t="s">
        <v>49770</v>
      </c>
      <c r="BJ65" s="1" t="s">
        <v>49771</v>
      </c>
      <c r="BK65" s="1" t="s">
        <v>49772</v>
      </c>
      <c r="BL65" s="1" t="s">
        <v>49773</v>
      </c>
      <c r="BM65" s="1" t="s">
        <v>49774</v>
      </c>
      <c r="BN65" s="1" t="s">
        <v>49775</v>
      </c>
      <c r="BO65" s="1" t="s">
        <v>49776</v>
      </c>
      <c r="BP65" s="1" t="s">
        <v>49777</v>
      </c>
      <c r="BQ65" s="1" t="s">
        <v>49778</v>
      </c>
      <c r="BR65" s="1" t="s">
        <v>49779</v>
      </c>
      <c r="BS65" s="1" t="s">
        <v>49780</v>
      </c>
      <c r="BT65" s="1" t="s">
        <v>49781</v>
      </c>
      <c r="BU65" s="1" t="s">
        <v>49782</v>
      </c>
      <c r="BV65" s="1" t="s">
        <v>49783</v>
      </c>
      <c r="BW65" s="1" t="s">
        <v>49784</v>
      </c>
      <c r="BX65" s="1" t="s">
        <v>49785</v>
      </c>
      <c r="BY65" s="1" t="s">
        <v>49786</v>
      </c>
      <c r="BZ65" s="1" t="s">
        <v>49787</v>
      </c>
      <c r="CA65" s="1" t="s">
        <v>49788</v>
      </c>
      <c r="CB65" s="1" t="s">
        <v>49789</v>
      </c>
      <c r="CC65" s="1" t="s">
        <v>49790</v>
      </c>
      <c r="CD65" s="1" t="s">
        <v>49791</v>
      </c>
      <c r="CE65" s="1" t="s">
        <v>49792</v>
      </c>
      <c r="CF65" s="1" t="s">
        <v>49793</v>
      </c>
      <c r="CG65" s="1" t="s">
        <v>49794</v>
      </c>
      <c r="CH65" s="1" t="s">
        <v>49795</v>
      </c>
      <c r="CI65" s="1" t="s">
        <v>49796</v>
      </c>
      <c r="CJ65" s="1" t="s">
        <v>49797</v>
      </c>
      <c r="CK65" s="1" t="s">
        <v>49798</v>
      </c>
      <c r="CL65" s="1" t="s">
        <v>49799</v>
      </c>
      <c r="CM65" s="1" t="s">
        <v>49800</v>
      </c>
      <c r="CN65" s="1" t="s">
        <v>49801</v>
      </c>
      <c r="CO65" s="1" t="s">
        <v>49802</v>
      </c>
      <c r="CP65" s="1" t="s">
        <v>49803</v>
      </c>
      <c r="CQ65" s="1" t="s">
        <v>49804</v>
      </c>
      <c r="CR65" s="1" t="s">
        <v>49805</v>
      </c>
      <c r="CS65" s="1" t="s">
        <v>49806</v>
      </c>
      <c r="CT65" s="1" t="s">
        <v>49807</v>
      </c>
      <c r="CU65" s="1" t="s">
        <v>49808</v>
      </c>
      <c r="CV65" s="1" t="s">
        <v>49809</v>
      </c>
      <c r="CW65" s="1" t="s">
        <v>49810</v>
      </c>
      <c r="CX65" s="1" t="s">
        <v>49811</v>
      </c>
      <c r="CY65" s="1" t="s">
        <v>49812</v>
      </c>
      <c r="CZ65" s="1" t="s">
        <v>49813</v>
      </c>
      <c r="DA65" s="1" t="s">
        <v>49814</v>
      </c>
      <c r="DB65" s="1" t="s">
        <v>49815</v>
      </c>
      <c r="DC65" s="1" t="s">
        <v>49816</v>
      </c>
      <c r="DD65" s="1" t="s">
        <v>49817</v>
      </c>
      <c r="DE65" s="1" t="s">
        <v>49818</v>
      </c>
      <c r="DF65" s="1" t="s">
        <v>49819</v>
      </c>
      <c r="DG65" s="1" t="s">
        <v>49820</v>
      </c>
      <c r="DH65" s="1" t="s">
        <v>49821</v>
      </c>
      <c r="DI65" s="1" t="s">
        <v>49822</v>
      </c>
      <c r="DJ65" s="1" t="s">
        <v>49823</v>
      </c>
      <c r="DK65" s="1" t="s">
        <v>49824</v>
      </c>
      <c r="DL65" s="1" t="s">
        <v>49825</v>
      </c>
      <c r="DM65" s="1" t="s">
        <v>49826</v>
      </c>
      <c r="DN65" s="1" t="s">
        <v>49827</v>
      </c>
      <c r="DO65" s="1" t="s">
        <v>49828</v>
      </c>
      <c r="DP65" s="1" t="s">
        <v>49829</v>
      </c>
      <c r="DQ65" s="1" t="s">
        <v>49830</v>
      </c>
      <c r="DR65" s="1" t="s">
        <v>49831</v>
      </c>
      <c r="DS65" s="1" t="s">
        <v>49832</v>
      </c>
      <c r="DT65" s="1" t="s">
        <v>49833</v>
      </c>
      <c r="DU65" s="1" t="s">
        <v>49834</v>
      </c>
      <c r="DV65" s="1" t="s">
        <v>49835</v>
      </c>
      <c r="DW65" s="1" t="s">
        <v>49836</v>
      </c>
      <c r="DX65" s="1" t="s">
        <v>49837</v>
      </c>
      <c r="DY65" s="1" t="s">
        <v>49838</v>
      </c>
      <c r="DZ65" s="1" t="s">
        <v>49839</v>
      </c>
      <c r="EA65" s="1" t="s">
        <v>49840</v>
      </c>
      <c r="EB65" s="1" t="s">
        <v>49841</v>
      </c>
      <c r="EC65" s="1" t="s">
        <v>49842</v>
      </c>
      <c r="ED65" s="1" t="s">
        <v>49843</v>
      </c>
      <c r="EE65" s="1" t="s">
        <v>49844</v>
      </c>
      <c r="EF65" s="1" t="s">
        <v>49845</v>
      </c>
      <c r="EG65" s="1" t="s">
        <v>49846</v>
      </c>
      <c r="EH65" s="1" t="s">
        <v>49847</v>
      </c>
      <c r="EI65" s="1" t="s">
        <v>49848</v>
      </c>
      <c r="EJ65" s="1" t="s">
        <v>49849</v>
      </c>
      <c r="EK65" s="1" t="s">
        <v>49850</v>
      </c>
      <c r="EL65" s="1" t="s">
        <v>49851</v>
      </c>
      <c r="EM65" s="1" t="s">
        <v>49852</v>
      </c>
      <c r="EN65" s="1" t="s">
        <v>49853</v>
      </c>
      <c r="EO65" s="1" t="s">
        <v>49854</v>
      </c>
      <c r="EP65" s="1" t="s">
        <v>49855</v>
      </c>
      <c r="EQ65" s="1" t="s">
        <v>49856</v>
      </c>
      <c r="ER65" s="1" t="s">
        <v>49857</v>
      </c>
      <c r="ES65" s="1" t="s">
        <v>49858</v>
      </c>
      <c r="ET65" s="1" t="s">
        <v>49859</v>
      </c>
      <c r="EU65" s="1" t="s">
        <v>49860</v>
      </c>
      <c r="EV65" s="1" t="s">
        <v>49861</v>
      </c>
      <c r="EW65" s="1" t="s">
        <v>49862</v>
      </c>
      <c r="EX65" s="1" t="s">
        <v>49863</v>
      </c>
      <c r="EY65" s="1" t="s">
        <v>49864</v>
      </c>
      <c r="EZ65" s="1" t="s">
        <v>49865</v>
      </c>
      <c r="FA65" s="1" t="s">
        <v>49866</v>
      </c>
      <c r="FB65" s="1" t="s">
        <v>49867</v>
      </c>
      <c r="FC65" s="1" t="s">
        <v>49868</v>
      </c>
      <c r="FD65" s="1" t="s">
        <v>49869</v>
      </c>
      <c r="FE65" s="1" t="s">
        <v>49870</v>
      </c>
      <c r="FF65" s="1" t="s">
        <v>49871</v>
      </c>
      <c r="FG65" s="1" t="s">
        <v>49872</v>
      </c>
      <c r="FH65" s="1" t="s">
        <v>49873</v>
      </c>
      <c r="FI65" s="1" t="s">
        <v>49874</v>
      </c>
      <c r="FJ65" s="1" t="s">
        <v>49875</v>
      </c>
      <c r="FK65" s="1" t="s">
        <v>49876</v>
      </c>
      <c r="FL65" s="1" t="s">
        <v>49877</v>
      </c>
      <c r="FM65" s="1" t="s">
        <v>49878</v>
      </c>
      <c r="FN65" s="1" t="s">
        <v>49879</v>
      </c>
      <c r="FO65" s="1" t="s">
        <v>49880</v>
      </c>
      <c r="FP65" s="1" t="s">
        <v>49881</v>
      </c>
      <c r="FQ65" s="1" t="s">
        <v>49882</v>
      </c>
      <c r="FR65" s="1" t="s">
        <v>49883</v>
      </c>
      <c r="FS65" s="1" t="s">
        <v>49884</v>
      </c>
      <c r="FT65" s="1" t="s">
        <v>49885</v>
      </c>
      <c r="FU65" s="1" t="s">
        <v>49886</v>
      </c>
      <c r="FV65" s="1" t="s">
        <v>49887</v>
      </c>
      <c r="FW65" s="1" t="s">
        <v>49888</v>
      </c>
      <c r="FX65" s="1" t="s">
        <v>49889</v>
      </c>
      <c r="FY65" s="1" t="s">
        <v>49890</v>
      </c>
      <c r="FZ65" s="1" t="s">
        <v>49891</v>
      </c>
      <c r="GA65" s="1" t="s">
        <v>49892</v>
      </c>
      <c r="GB65" s="1" t="s">
        <v>49893</v>
      </c>
      <c r="GC65" s="1" t="s">
        <v>49894</v>
      </c>
      <c r="GD65" s="1" t="s">
        <v>49895</v>
      </c>
      <c r="GE65" s="1" t="s">
        <v>49896</v>
      </c>
      <c r="GF65" s="1" t="s">
        <v>49897</v>
      </c>
      <c r="GG65" s="1" t="s">
        <v>49898</v>
      </c>
      <c r="GH65" s="1" t="s">
        <v>49899</v>
      </c>
      <c r="GI65" s="1" t="s">
        <v>49900</v>
      </c>
      <c r="GJ65" s="1" t="s">
        <v>49901</v>
      </c>
      <c r="GK65" s="1" t="s">
        <v>49902</v>
      </c>
      <c r="GL65" s="1" t="s">
        <v>49903</v>
      </c>
      <c r="GM65" s="1" t="s">
        <v>49904</v>
      </c>
      <c r="GN65" s="1" t="s">
        <v>49905</v>
      </c>
      <c r="GO65" s="1" t="s">
        <v>49906</v>
      </c>
      <c r="GP65" s="1" t="s">
        <v>49907</v>
      </c>
      <c r="GQ65" s="1" t="s">
        <v>49908</v>
      </c>
      <c r="GR65" s="1" t="s">
        <v>49909</v>
      </c>
      <c r="GS65" s="1" t="s">
        <v>49910</v>
      </c>
      <c r="GT65" s="1" t="s">
        <v>49911</v>
      </c>
      <c r="GU65" s="1" t="s">
        <v>49912</v>
      </c>
      <c r="GV65" s="1" t="s">
        <v>49913</v>
      </c>
      <c r="GW65" s="1" t="s">
        <v>49914</v>
      </c>
      <c r="GX65" s="1" t="s">
        <v>49915</v>
      </c>
      <c r="GY65" s="1" t="s">
        <v>49916</v>
      </c>
      <c r="GZ65" s="1" t="s">
        <v>49917</v>
      </c>
      <c r="HA65" s="1" t="s">
        <v>49918</v>
      </c>
      <c r="HB65" s="1" t="s">
        <v>49919</v>
      </c>
      <c r="HC65" s="1" t="s">
        <v>49920</v>
      </c>
      <c r="HD65" s="1" t="s">
        <v>49921</v>
      </c>
      <c r="HE65" s="1" t="s">
        <v>49922</v>
      </c>
      <c r="HF65" s="1" t="s">
        <v>49923</v>
      </c>
      <c r="HG65" s="1" t="s">
        <v>49924</v>
      </c>
      <c r="HH65" s="1" t="s">
        <v>49925</v>
      </c>
      <c r="HI65" s="1" t="s">
        <v>49926</v>
      </c>
      <c r="HJ65" s="1" t="s">
        <v>49927</v>
      </c>
      <c r="HK65" s="1" t="s">
        <v>49928</v>
      </c>
      <c r="HL65" s="1" t="s">
        <v>49929</v>
      </c>
      <c r="HM65" s="1" t="s">
        <v>49930</v>
      </c>
      <c r="HN65" s="1" t="s">
        <v>49931</v>
      </c>
      <c r="HO65" s="1" t="s">
        <v>49932</v>
      </c>
      <c r="HP65" s="1" t="s">
        <v>49933</v>
      </c>
      <c r="HQ65" s="1" t="s">
        <v>49934</v>
      </c>
      <c r="HR65" s="1" t="s">
        <v>49935</v>
      </c>
      <c r="HS65" s="1" t="s">
        <v>49936</v>
      </c>
      <c r="HT65" s="1" t="s">
        <v>49937</v>
      </c>
      <c r="HU65" s="1" t="s">
        <v>49938</v>
      </c>
      <c r="HV65" s="1" t="s">
        <v>49939</v>
      </c>
      <c r="HW65" s="1" t="s">
        <v>49940</v>
      </c>
      <c r="HX65" s="1" t="s">
        <v>49941</v>
      </c>
      <c r="HY65" s="1" t="s">
        <v>49942</v>
      </c>
      <c r="HZ65" s="1" t="s">
        <v>49943</v>
      </c>
      <c r="IA65" s="1" t="s">
        <v>49944</v>
      </c>
      <c r="IB65" s="1" t="s">
        <v>49945</v>
      </c>
      <c r="IC65" s="1" t="s">
        <v>49946</v>
      </c>
      <c r="ID65" s="1" t="s">
        <v>49947</v>
      </c>
      <c r="IE65" s="1" t="s">
        <v>49948</v>
      </c>
      <c r="IF65" s="1" t="s">
        <v>49949</v>
      </c>
      <c r="IG65" s="1" t="s">
        <v>49950</v>
      </c>
      <c r="IH65" s="1" t="s">
        <v>49951</v>
      </c>
      <c r="II65" s="1" t="s">
        <v>49952</v>
      </c>
      <c r="IJ65" s="1" t="s">
        <v>49953</v>
      </c>
      <c r="IK65" s="1" t="s">
        <v>49954</v>
      </c>
      <c r="IL65" s="1" t="s">
        <v>49955</v>
      </c>
      <c r="IM65" s="1" t="s">
        <v>49956</v>
      </c>
      <c r="IN65" s="1" t="s">
        <v>49957</v>
      </c>
      <c r="IO65" s="1" t="s">
        <v>49958</v>
      </c>
      <c r="IP65" s="1" t="s">
        <v>49959</v>
      </c>
      <c r="IQ65" s="1" t="s">
        <v>49960</v>
      </c>
      <c r="IR65" s="1" t="s">
        <v>49961</v>
      </c>
      <c r="IS65" s="1" t="s">
        <v>49962</v>
      </c>
      <c r="IT65" s="1" t="s">
        <v>49963</v>
      </c>
      <c r="IU65" s="1" t="s">
        <v>49964</v>
      </c>
      <c r="IV65" s="1" t="s">
        <v>49965</v>
      </c>
      <c r="IW65" s="1" t="s">
        <v>49966</v>
      </c>
      <c r="IX65" s="1" t="s">
        <v>49967</v>
      </c>
      <c r="IY65" s="1" t="s">
        <v>49968</v>
      </c>
      <c r="IZ65" s="1" t="s">
        <v>49969</v>
      </c>
      <c r="JA65" s="1" t="s">
        <v>49970</v>
      </c>
      <c r="JB65" s="1" t="s">
        <v>49971</v>
      </c>
      <c r="JC65" s="1" t="s">
        <v>49972</v>
      </c>
      <c r="JD65" s="1" t="s">
        <v>49973</v>
      </c>
      <c r="JE65" s="1" t="s">
        <v>49974</v>
      </c>
      <c r="JF65" s="1" t="s">
        <v>49975</v>
      </c>
      <c r="JG65" s="1" t="s">
        <v>49976</v>
      </c>
      <c r="JH65" s="1" t="s">
        <v>49977</v>
      </c>
      <c r="JI65" s="1" t="s">
        <v>49978</v>
      </c>
      <c r="JJ65" s="1" t="s">
        <v>49979</v>
      </c>
      <c r="JK65" s="1" t="s">
        <v>49980</v>
      </c>
      <c r="JL65" s="1" t="s">
        <v>49981</v>
      </c>
      <c r="JM65" s="1" t="s">
        <v>49982</v>
      </c>
      <c r="JN65" s="1" t="s">
        <v>49983</v>
      </c>
      <c r="JO65" s="1" t="s">
        <v>49984</v>
      </c>
      <c r="JP65" s="1" t="s">
        <v>49985</v>
      </c>
      <c r="JQ65" s="1" t="s">
        <v>49986</v>
      </c>
      <c r="JR65" s="1" t="s">
        <v>49987</v>
      </c>
      <c r="JS65" s="1" t="s">
        <v>49988</v>
      </c>
      <c r="JT65" s="1" t="s">
        <v>49989</v>
      </c>
      <c r="JU65" s="1" t="s">
        <v>49990</v>
      </c>
      <c r="JV65" s="1" t="s">
        <v>49991</v>
      </c>
      <c r="JW65" s="1" t="s">
        <v>49992</v>
      </c>
      <c r="JX65" s="1" t="s">
        <v>49993</v>
      </c>
      <c r="JY65" s="1" t="s">
        <v>49994</v>
      </c>
      <c r="JZ65" s="1" t="s">
        <v>49995</v>
      </c>
      <c r="KA65" s="1" t="s">
        <v>49996</v>
      </c>
      <c r="KB65" s="1" t="s">
        <v>49997</v>
      </c>
      <c r="KC65" s="1" t="s">
        <v>49998</v>
      </c>
      <c r="KD65" s="1" t="s">
        <v>49999</v>
      </c>
      <c r="KE65" s="1" t="s">
        <v>50000</v>
      </c>
      <c r="KF65" s="1" t="s">
        <v>50001</v>
      </c>
      <c r="KG65" s="1" t="s">
        <v>50002</v>
      </c>
      <c r="KH65" s="1" t="s">
        <v>50003</v>
      </c>
      <c r="KI65" s="1" t="s">
        <v>50004</v>
      </c>
      <c r="KJ65" s="1" t="s">
        <v>50005</v>
      </c>
      <c r="KK65" s="1" t="s">
        <v>50006</v>
      </c>
      <c r="KL65" s="1" t="s">
        <v>50007</v>
      </c>
      <c r="KM65" s="1" t="s">
        <v>50008</v>
      </c>
      <c r="KN65" s="1" t="s">
        <v>50009</v>
      </c>
      <c r="KO65" s="1" t="s">
        <v>50010</v>
      </c>
      <c r="KP65" s="1" t="s">
        <v>50011</v>
      </c>
      <c r="KQ65" s="1" t="s">
        <v>50012</v>
      </c>
      <c r="KR65" s="1" t="s">
        <v>50013</v>
      </c>
      <c r="KS65" s="1" t="s">
        <v>50014</v>
      </c>
      <c r="KT65" s="1" t="s">
        <v>50015</v>
      </c>
      <c r="KU65" s="1" t="s">
        <v>50016</v>
      </c>
      <c r="KV65" s="1" t="s">
        <v>50017</v>
      </c>
      <c r="KW65" s="1" t="s">
        <v>50018</v>
      </c>
      <c r="KX65" s="1" t="s">
        <v>50019</v>
      </c>
      <c r="KY65" s="1" t="s">
        <v>50020</v>
      </c>
      <c r="KZ65" s="1" t="s">
        <v>50021</v>
      </c>
      <c r="LA65" s="1" t="s">
        <v>50022</v>
      </c>
      <c r="LB65" s="1" t="s">
        <v>50023</v>
      </c>
      <c r="LC65" s="1" t="s">
        <v>50024</v>
      </c>
      <c r="LD65" s="1" t="s">
        <v>50025</v>
      </c>
      <c r="LE65" s="1" t="s">
        <v>50026</v>
      </c>
      <c r="LF65" s="1" t="s">
        <v>50027</v>
      </c>
      <c r="LG65" s="1" t="s">
        <v>50028</v>
      </c>
      <c r="LH65" s="1" t="s">
        <v>50029</v>
      </c>
      <c r="LI65" s="1" t="s">
        <v>50030</v>
      </c>
      <c r="LJ65" s="1" t="s">
        <v>50031</v>
      </c>
      <c r="LK65" s="1" t="s">
        <v>50032</v>
      </c>
      <c r="LL65" s="1" t="s">
        <v>50033</v>
      </c>
      <c r="LM65" s="1" t="s">
        <v>50034</v>
      </c>
      <c r="LN65" s="1" t="s">
        <v>50035</v>
      </c>
      <c r="LO65" s="1" t="s">
        <v>50036</v>
      </c>
      <c r="LP65" s="1" t="s">
        <v>50037</v>
      </c>
      <c r="LQ65" s="1" t="s">
        <v>50038</v>
      </c>
      <c r="LR65" s="1" t="s">
        <v>50039</v>
      </c>
      <c r="LS65" s="1" t="s">
        <v>50040</v>
      </c>
      <c r="LT65" s="1" t="s">
        <v>50041</v>
      </c>
      <c r="LU65" s="1" t="s">
        <v>50042</v>
      </c>
      <c r="LV65" s="1" t="s">
        <v>50043</v>
      </c>
      <c r="LW65" s="1" t="s">
        <v>50044</v>
      </c>
      <c r="LX65" s="1" t="s">
        <v>50045</v>
      </c>
      <c r="LY65" s="1" t="s">
        <v>50046</v>
      </c>
      <c r="LZ65" s="1" t="s">
        <v>50047</v>
      </c>
      <c r="MA65" s="1" t="s">
        <v>50048</v>
      </c>
      <c r="MB65" s="1" t="s">
        <v>50049</v>
      </c>
      <c r="MC65" s="1" t="s">
        <v>50050</v>
      </c>
      <c r="MD65" s="1" t="s">
        <v>50051</v>
      </c>
      <c r="ME65" s="1" t="s">
        <v>50052</v>
      </c>
      <c r="MF65" s="1" t="s">
        <v>50053</v>
      </c>
      <c r="MG65" s="1" t="s">
        <v>50054</v>
      </c>
      <c r="MH65" s="1" t="s">
        <v>50055</v>
      </c>
      <c r="MI65" s="1" t="s">
        <v>50056</v>
      </c>
      <c r="MJ65" s="1" t="s">
        <v>50057</v>
      </c>
      <c r="MK65" s="1" t="s">
        <v>50058</v>
      </c>
      <c r="ML65" s="1" t="s">
        <v>50059</v>
      </c>
      <c r="MM65" s="1" t="s">
        <v>50060</v>
      </c>
      <c r="MN65" s="1" t="s">
        <v>50061</v>
      </c>
      <c r="MO65" s="1" t="s">
        <v>50062</v>
      </c>
      <c r="MP65" s="1" t="s">
        <v>50063</v>
      </c>
      <c r="MQ65" s="1" t="s">
        <v>50064</v>
      </c>
      <c r="MR65" s="1" t="s">
        <v>50065</v>
      </c>
      <c r="MS65" s="1" t="s">
        <v>50066</v>
      </c>
      <c r="MT65" s="1" t="s">
        <v>50067</v>
      </c>
      <c r="MU65" s="1" t="s">
        <v>50068</v>
      </c>
      <c r="MV65" s="1" t="s">
        <v>50069</v>
      </c>
      <c r="MW65" s="1" t="s">
        <v>50070</v>
      </c>
      <c r="MX65" s="1" t="s">
        <v>50071</v>
      </c>
      <c r="MY65" s="1" t="s">
        <v>50072</v>
      </c>
      <c r="MZ65" s="1" t="s">
        <v>50073</v>
      </c>
      <c r="NA65" s="1" t="s">
        <v>50074</v>
      </c>
      <c r="NB65" s="1" t="s">
        <v>50075</v>
      </c>
      <c r="NC65" s="1" t="s">
        <v>50076</v>
      </c>
      <c r="ND65" s="1" t="s">
        <v>50077</v>
      </c>
      <c r="NE65" s="1" t="s">
        <v>50078</v>
      </c>
      <c r="NF65" s="1" t="s">
        <v>50079</v>
      </c>
      <c r="NG65" s="1" t="s">
        <v>50080</v>
      </c>
      <c r="NH65" s="1" t="s">
        <v>50081</v>
      </c>
      <c r="NI65" s="1" t="s">
        <v>50082</v>
      </c>
      <c r="NJ65" s="1" t="s">
        <v>50083</v>
      </c>
      <c r="NK65" s="1" t="s">
        <v>50084</v>
      </c>
      <c r="NL65" s="1" t="s">
        <v>50085</v>
      </c>
      <c r="NM65" s="1" t="s">
        <v>50086</v>
      </c>
      <c r="NN65" s="1" t="s">
        <v>50087</v>
      </c>
      <c r="NO65" s="1" t="s">
        <v>50088</v>
      </c>
      <c r="NP65" s="1" t="s">
        <v>50089</v>
      </c>
      <c r="NQ65" s="1" t="s">
        <v>50090</v>
      </c>
      <c r="NR65" s="1" t="s">
        <v>50091</v>
      </c>
      <c r="NS65" s="1" t="s">
        <v>50092</v>
      </c>
      <c r="NT65" s="1" t="s">
        <v>50093</v>
      </c>
      <c r="NU65" s="1" t="s">
        <v>50094</v>
      </c>
      <c r="NV65" s="1" t="s">
        <v>50095</v>
      </c>
      <c r="NW65" s="1" t="s">
        <v>50096</v>
      </c>
      <c r="NX65" s="1" t="s">
        <v>50097</v>
      </c>
      <c r="NY65" s="1" t="s">
        <v>50098</v>
      </c>
      <c r="NZ65" s="1" t="s">
        <v>50099</v>
      </c>
      <c r="OA65" s="1" t="s">
        <v>50100</v>
      </c>
      <c r="OB65" s="1" t="s">
        <v>50101</v>
      </c>
      <c r="OC65" s="1" t="s">
        <v>50102</v>
      </c>
      <c r="OD65" s="1" t="s">
        <v>50103</v>
      </c>
      <c r="OE65" s="1" t="s">
        <v>50104</v>
      </c>
      <c r="OF65" s="1" t="s">
        <v>50105</v>
      </c>
      <c r="OG65" s="1" t="s">
        <v>50106</v>
      </c>
      <c r="OH65" s="1" t="s">
        <v>50107</v>
      </c>
      <c r="OI65" s="1" t="s">
        <v>50108</v>
      </c>
      <c r="OJ65" s="1" t="s">
        <v>50109</v>
      </c>
      <c r="OK65" s="1" t="s">
        <v>50110</v>
      </c>
      <c r="OL65" s="1" t="s">
        <v>50111</v>
      </c>
      <c r="OM65" s="1" t="s">
        <v>50112</v>
      </c>
      <c r="ON65" s="1" t="s">
        <v>50113</v>
      </c>
      <c r="OO65" s="1" t="s">
        <v>50114</v>
      </c>
      <c r="OP65" s="1" t="s">
        <v>50115</v>
      </c>
      <c r="OQ65" s="1" t="s">
        <v>50116</v>
      </c>
      <c r="OR65" s="1" t="s">
        <v>50117</v>
      </c>
      <c r="OS65" s="1" t="s">
        <v>50118</v>
      </c>
      <c r="OT65" s="1" t="s">
        <v>50119</v>
      </c>
      <c r="OU65" s="1" t="s">
        <v>50120</v>
      </c>
      <c r="OV65" s="1" t="s">
        <v>50121</v>
      </c>
      <c r="OW65" s="1" t="s">
        <v>50122</v>
      </c>
      <c r="OX65" s="1" t="s">
        <v>50123</v>
      </c>
      <c r="OY65" s="1" t="s">
        <v>50124</v>
      </c>
      <c r="OZ65" s="1" t="s">
        <v>50125</v>
      </c>
      <c r="PA65" s="1" t="s">
        <v>50126</v>
      </c>
      <c r="PB65" s="1" t="s">
        <v>50127</v>
      </c>
      <c r="PC65" s="1" t="s">
        <v>50128</v>
      </c>
      <c r="PD65" s="1" t="s">
        <v>50129</v>
      </c>
      <c r="PE65" s="1" t="s">
        <v>50130</v>
      </c>
      <c r="PF65" s="1" t="s">
        <v>50131</v>
      </c>
      <c r="PG65" s="1" t="s">
        <v>50132</v>
      </c>
      <c r="PH65" s="1" t="s">
        <v>50133</v>
      </c>
      <c r="PI65" s="1" t="s">
        <v>50134</v>
      </c>
      <c r="PJ65" s="1" t="s">
        <v>50135</v>
      </c>
      <c r="PK65" s="1" t="s">
        <v>50136</v>
      </c>
      <c r="PL65" s="1" t="s">
        <v>50137</v>
      </c>
      <c r="PM65" s="1" t="s">
        <v>50138</v>
      </c>
      <c r="PN65" s="1" t="s">
        <v>50139</v>
      </c>
      <c r="PO65" s="1" t="s">
        <v>50140</v>
      </c>
      <c r="PP65" s="1" t="s">
        <v>50141</v>
      </c>
      <c r="PQ65" s="1" t="s">
        <v>50142</v>
      </c>
      <c r="PR65" s="1" t="s">
        <v>50143</v>
      </c>
      <c r="PS65" s="1" t="s">
        <v>50144</v>
      </c>
      <c r="PT65" s="1" t="s">
        <v>50145</v>
      </c>
      <c r="PU65" s="1" t="s">
        <v>50146</v>
      </c>
      <c r="PV65" s="1" t="s">
        <v>50147</v>
      </c>
      <c r="PW65" s="1" t="s">
        <v>50148</v>
      </c>
      <c r="PX65" s="1" t="s">
        <v>50149</v>
      </c>
      <c r="PY65" s="1" t="s">
        <v>50150</v>
      </c>
      <c r="PZ65" s="1" t="s">
        <v>50151</v>
      </c>
      <c r="QA65" s="1" t="s">
        <v>50152</v>
      </c>
      <c r="QB65" s="1" t="s">
        <v>50153</v>
      </c>
      <c r="QC65" s="1" t="s">
        <v>50154</v>
      </c>
      <c r="QD65" s="1" t="s">
        <v>50155</v>
      </c>
      <c r="QE65" s="1" t="s">
        <v>50156</v>
      </c>
      <c r="QF65" s="1" t="s">
        <v>50157</v>
      </c>
      <c r="QG65" s="1" t="s">
        <v>50158</v>
      </c>
      <c r="QH65" s="1" t="s">
        <v>50159</v>
      </c>
      <c r="QI65" s="1" t="s">
        <v>50160</v>
      </c>
      <c r="QJ65" s="1" t="s">
        <v>50161</v>
      </c>
      <c r="QK65" s="1" t="s">
        <v>50162</v>
      </c>
      <c r="QL65" s="1" t="s">
        <v>50163</v>
      </c>
      <c r="QM65" s="1" t="s">
        <v>50164</v>
      </c>
      <c r="QN65" s="1" t="s">
        <v>50165</v>
      </c>
      <c r="QO65" s="1" t="s">
        <v>50166</v>
      </c>
      <c r="QP65" s="1" t="s">
        <v>50167</v>
      </c>
      <c r="QQ65" s="1" t="s">
        <v>50168</v>
      </c>
      <c r="QR65" s="1" t="s">
        <v>50169</v>
      </c>
      <c r="QS65" s="1" t="s">
        <v>50170</v>
      </c>
      <c r="QT65" s="1" t="s">
        <v>50171</v>
      </c>
      <c r="QU65" s="1" t="s">
        <v>50172</v>
      </c>
      <c r="QV65" s="1" t="s">
        <v>50173</v>
      </c>
      <c r="QW65" s="1" t="s">
        <v>50174</v>
      </c>
      <c r="QX65" s="1" t="s">
        <v>50175</v>
      </c>
      <c r="QY65" s="1" t="s">
        <v>50176</v>
      </c>
      <c r="QZ65" s="1" t="s">
        <v>50177</v>
      </c>
      <c r="RA65" s="1" t="s">
        <v>50178</v>
      </c>
      <c r="RB65" s="1" t="s">
        <v>50179</v>
      </c>
      <c r="RC65" s="1" t="s">
        <v>50180</v>
      </c>
      <c r="RD65" s="1" t="s">
        <v>50181</v>
      </c>
      <c r="RE65" s="1" t="s">
        <v>50182</v>
      </c>
      <c r="RF65" s="1" t="s">
        <v>50183</v>
      </c>
      <c r="RG65" s="1" t="s">
        <v>50184</v>
      </c>
      <c r="RH65" s="1" t="s">
        <v>50185</v>
      </c>
      <c r="RI65" s="1" t="s">
        <v>50186</v>
      </c>
      <c r="RJ65" s="1" t="s">
        <v>50187</v>
      </c>
      <c r="RK65" s="1" t="s">
        <v>50188</v>
      </c>
      <c r="RL65" s="1" t="s">
        <v>50189</v>
      </c>
      <c r="RM65" s="1" t="s">
        <v>50190</v>
      </c>
      <c r="RN65" s="1" t="s">
        <v>50191</v>
      </c>
      <c r="RO65" s="1" t="s">
        <v>50192</v>
      </c>
      <c r="RP65" s="1" t="s">
        <v>50193</v>
      </c>
      <c r="RQ65" s="1" t="s">
        <v>50194</v>
      </c>
      <c r="RR65" s="1" t="s">
        <v>50195</v>
      </c>
      <c r="RS65" s="1" t="s">
        <v>50196</v>
      </c>
      <c r="RT65" s="1" t="s">
        <v>50197</v>
      </c>
      <c r="RU65" s="1" t="s">
        <v>50198</v>
      </c>
      <c r="RV65" s="1" t="s">
        <v>50199</v>
      </c>
      <c r="RW65" s="1" t="s">
        <v>50200</v>
      </c>
      <c r="RX65" s="1" t="s">
        <v>50201</v>
      </c>
      <c r="RY65" s="1" t="s">
        <v>50202</v>
      </c>
      <c r="RZ65" s="1" t="s">
        <v>50203</v>
      </c>
      <c r="SA65" s="1" t="s">
        <v>50204</v>
      </c>
      <c r="SB65" s="1" t="s">
        <v>50205</v>
      </c>
      <c r="SC65" s="1" t="s">
        <v>50206</v>
      </c>
      <c r="SD65" s="1" t="s">
        <v>50207</v>
      </c>
      <c r="SE65" s="1" t="s">
        <v>50208</v>
      </c>
      <c r="SF65" s="1" t="s">
        <v>50209</v>
      </c>
      <c r="SG65" s="1" t="s">
        <v>50210</v>
      </c>
      <c r="SH65" s="1" t="s">
        <v>50211</v>
      </c>
      <c r="SI65" s="1" t="s">
        <v>50212</v>
      </c>
      <c r="SJ65" s="1" t="s">
        <v>50213</v>
      </c>
      <c r="SK65" s="1" t="s">
        <v>50214</v>
      </c>
      <c r="SL65" s="1" t="s">
        <v>50215</v>
      </c>
      <c r="SM65" s="1" t="s">
        <v>50216</v>
      </c>
      <c r="SN65" s="1" t="s">
        <v>50217</v>
      </c>
      <c r="SO65" s="1" t="s">
        <v>50218</v>
      </c>
      <c r="SP65" s="1" t="s">
        <v>50219</v>
      </c>
      <c r="SQ65" s="1" t="s">
        <v>50220</v>
      </c>
      <c r="SR65" s="1" t="s">
        <v>50221</v>
      </c>
      <c r="SS65" s="1" t="s">
        <v>50222</v>
      </c>
      <c r="ST65" s="1" t="s">
        <v>50223</v>
      </c>
      <c r="SU65" s="1" t="s">
        <v>50224</v>
      </c>
      <c r="SV65" s="1" t="s">
        <v>50225</v>
      </c>
      <c r="SW65" s="1" t="s">
        <v>50226</v>
      </c>
      <c r="SX65" s="1" t="s">
        <v>50227</v>
      </c>
      <c r="SY65" s="1" t="s">
        <v>50228</v>
      </c>
      <c r="SZ65" s="1" t="s">
        <v>50229</v>
      </c>
      <c r="TA65" s="1" t="s">
        <v>50230</v>
      </c>
      <c r="TB65" s="1" t="s">
        <v>50231</v>
      </c>
      <c r="TC65" s="1" t="s">
        <v>50232</v>
      </c>
      <c r="TD65" s="1" t="s">
        <v>50233</v>
      </c>
      <c r="TE65" s="1" t="s">
        <v>50234</v>
      </c>
      <c r="TF65" s="1" t="s">
        <v>50235</v>
      </c>
      <c r="TG65" s="1" t="s">
        <v>50236</v>
      </c>
      <c r="TH65" s="1" t="s">
        <v>50237</v>
      </c>
      <c r="TI65" s="1" t="s">
        <v>50238</v>
      </c>
      <c r="TJ65" s="1" t="s">
        <v>50239</v>
      </c>
      <c r="TK65" s="1" t="s">
        <v>50240</v>
      </c>
      <c r="TL65" s="1" t="s">
        <v>50241</v>
      </c>
      <c r="TM65" s="1" t="s">
        <v>50242</v>
      </c>
      <c r="TN65" s="1" t="s">
        <v>50243</v>
      </c>
      <c r="TO65" s="1" t="s">
        <v>50244</v>
      </c>
      <c r="TP65" s="1" t="s">
        <v>50245</v>
      </c>
      <c r="TQ65" s="1" t="s">
        <v>50246</v>
      </c>
      <c r="TR65" s="1" t="s">
        <v>50247</v>
      </c>
      <c r="TS65" s="1" t="s">
        <v>50248</v>
      </c>
      <c r="TT65" s="1" t="s">
        <v>50249</v>
      </c>
      <c r="TU65" s="1" t="s">
        <v>50250</v>
      </c>
      <c r="TV65" s="1" t="s">
        <v>50251</v>
      </c>
      <c r="TW65" s="1" t="s">
        <v>50252</v>
      </c>
      <c r="TX65" s="1" t="s">
        <v>50253</v>
      </c>
      <c r="TY65" s="1" t="s">
        <v>50254</v>
      </c>
      <c r="TZ65" s="1" t="s">
        <v>50255</v>
      </c>
      <c r="UA65" s="1" t="s">
        <v>50256</v>
      </c>
      <c r="UB65" s="1" t="s">
        <v>50257</v>
      </c>
      <c r="UC65" s="1" t="s">
        <v>50258</v>
      </c>
      <c r="UD65" s="1" t="s">
        <v>50259</v>
      </c>
      <c r="UE65" s="1" t="s">
        <v>50260</v>
      </c>
      <c r="UF65" s="1" t="s">
        <v>50261</v>
      </c>
      <c r="UG65" s="1" t="s">
        <v>50262</v>
      </c>
      <c r="UH65" s="1" t="s">
        <v>50263</v>
      </c>
      <c r="UI65" s="1" t="s">
        <v>50264</v>
      </c>
      <c r="UJ65" s="1" t="s">
        <v>50265</v>
      </c>
      <c r="UK65" s="1" t="s">
        <v>50266</v>
      </c>
      <c r="UL65" s="1" t="s">
        <v>50267</v>
      </c>
      <c r="UM65" s="1" t="s">
        <v>50268</v>
      </c>
      <c r="UN65" s="1" t="s">
        <v>50269</v>
      </c>
      <c r="UO65" s="1" t="s">
        <v>50270</v>
      </c>
      <c r="UP65" s="1" t="s">
        <v>50271</v>
      </c>
      <c r="UQ65" s="1" t="s">
        <v>50272</v>
      </c>
      <c r="UR65" s="1" t="s">
        <v>50273</v>
      </c>
      <c r="US65" s="1" t="s">
        <v>50274</v>
      </c>
      <c r="UT65" s="1" t="s">
        <v>50275</v>
      </c>
      <c r="UU65" s="1" t="s">
        <v>50276</v>
      </c>
      <c r="UV65" s="1" t="s">
        <v>50277</v>
      </c>
      <c r="UW65" s="1" t="s">
        <v>50278</v>
      </c>
      <c r="UX65" s="1" t="s">
        <v>50279</v>
      </c>
      <c r="UY65" s="1" t="s">
        <v>50280</v>
      </c>
      <c r="UZ65" s="1" t="s">
        <v>50281</v>
      </c>
      <c r="VA65" s="1" t="s">
        <v>50282</v>
      </c>
      <c r="VB65" s="1" t="s">
        <v>50283</v>
      </c>
      <c r="VC65" s="1" t="s">
        <v>50284</v>
      </c>
      <c r="VD65" s="1" t="s">
        <v>50285</v>
      </c>
      <c r="VE65" s="1" t="s">
        <v>50286</v>
      </c>
      <c r="VF65" s="1" t="s">
        <v>50287</v>
      </c>
      <c r="VG65" s="1" t="s">
        <v>50288</v>
      </c>
      <c r="VH65" s="1" t="s">
        <v>50289</v>
      </c>
      <c r="VI65" s="1" t="s">
        <v>50290</v>
      </c>
      <c r="VJ65" s="1" t="s">
        <v>50291</v>
      </c>
      <c r="VK65" s="1" t="s">
        <v>50292</v>
      </c>
      <c r="VL65" s="1" t="s">
        <v>50293</v>
      </c>
      <c r="VM65" s="1" t="s">
        <v>50294</v>
      </c>
      <c r="VN65" s="1" t="s">
        <v>50295</v>
      </c>
      <c r="VO65" s="1" t="s">
        <v>50296</v>
      </c>
      <c r="VP65" s="1" t="s">
        <v>50297</v>
      </c>
      <c r="VQ65" s="1" t="s">
        <v>50298</v>
      </c>
      <c r="VR65" s="1" t="s">
        <v>50299</v>
      </c>
      <c r="VS65" s="1" t="s">
        <v>50300</v>
      </c>
      <c r="VT65" s="1" t="s">
        <v>50301</v>
      </c>
      <c r="VU65" s="1" t="s">
        <v>50302</v>
      </c>
      <c r="VV65" s="1" t="s">
        <v>50303</v>
      </c>
      <c r="VW65" s="1" t="s">
        <v>50304</v>
      </c>
      <c r="VX65" s="1" t="s">
        <v>50305</v>
      </c>
      <c r="VY65" s="1" t="s">
        <v>50306</v>
      </c>
      <c r="VZ65" s="1" t="s">
        <v>50307</v>
      </c>
      <c r="WA65" s="1" t="s">
        <v>50308</v>
      </c>
      <c r="WB65" s="1" t="s">
        <v>50309</v>
      </c>
      <c r="WC65" s="1" t="s">
        <v>50310</v>
      </c>
      <c r="WD65" s="1" t="s">
        <v>50311</v>
      </c>
      <c r="WE65" s="1" t="s">
        <v>50312</v>
      </c>
      <c r="WF65" s="1" t="s">
        <v>50313</v>
      </c>
      <c r="WG65" s="1" t="s">
        <v>50314</v>
      </c>
      <c r="WH65" s="1" t="s">
        <v>50315</v>
      </c>
      <c r="WI65" s="1" t="s">
        <v>50316</v>
      </c>
      <c r="WJ65" s="1" t="s">
        <v>50317</v>
      </c>
      <c r="WK65" s="1" t="s">
        <v>50318</v>
      </c>
      <c r="WL65" s="1" t="s">
        <v>50319</v>
      </c>
      <c r="WM65" s="1" t="s">
        <v>50320</v>
      </c>
      <c r="WN65" s="1" t="s">
        <v>50321</v>
      </c>
      <c r="WO65" s="1" t="s">
        <v>50322</v>
      </c>
      <c r="WP65" s="1" t="s">
        <v>50323</v>
      </c>
      <c r="WQ65" s="1" t="s">
        <v>50324</v>
      </c>
      <c r="WR65" s="1" t="s">
        <v>50325</v>
      </c>
      <c r="WS65" s="1" t="s">
        <v>50326</v>
      </c>
      <c r="WT65" s="1" t="s">
        <v>50327</v>
      </c>
      <c r="WU65" s="1" t="s">
        <v>50328</v>
      </c>
      <c r="WV65" s="1" t="s">
        <v>50329</v>
      </c>
      <c r="WW65" s="1" t="s">
        <v>50330</v>
      </c>
      <c r="WX65" s="1" t="s">
        <v>50331</v>
      </c>
      <c r="WY65" s="1" t="s">
        <v>50332</v>
      </c>
      <c r="WZ65" s="1" t="s">
        <v>50333</v>
      </c>
      <c r="XA65" s="1" t="s">
        <v>50334</v>
      </c>
      <c r="XB65" s="1" t="s">
        <v>50335</v>
      </c>
      <c r="XC65" s="1" t="s">
        <v>50336</v>
      </c>
      <c r="XD65" s="1" t="s">
        <v>50337</v>
      </c>
      <c r="XE65" s="1" t="s">
        <v>50338</v>
      </c>
      <c r="XF65" s="1" t="s">
        <v>50339</v>
      </c>
      <c r="XG65" s="1" t="s">
        <v>50340</v>
      </c>
      <c r="XH65" s="1" t="s">
        <v>50341</v>
      </c>
      <c r="XI65" s="1" t="s">
        <v>50342</v>
      </c>
      <c r="XJ65" s="1" t="s">
        <v>50343</v>
      </c>
      <c r="XK65" s="1" t="s">
        <v>50344</v>
      </c>
      <c r="XL65" s="1" t="s">
        <v>50345</v>
      </c>
      <c r="XM65" s="1" t="s">
        <v>50346</v>
      </c>
      <c r="XN65" s="1" t="s">
        <v>50347</v>
      </c>
      <c r="XO65" s="1" t="s">
        <v>50348</v>
      </c>
      <c r="XP65" s="1" t="s">
        <v>50349</v>
      </c>
      <c r="XQ65" s="1" t="s">
        <v>50350</v>
      </c>
      <c r="XR65" s="1" t="s">
        <v>50351</v>
      </c>
      <c r="XS65" s="1" t="s">
        <v>50352</v>
      </c>
      <c r="XT65" s="1" t="s">
        <v>50353</v>
      </c>
      <c r="XU65" s="1" t="s">
        <v>50354</v>
      </c>
      <c r="XV65" s="1" t="s">
        <v>50355</v>
      </c>
      <c r="XW65" s="1" t="s">
        <v>50356</v>
      </c>
      <c r="XX65" s="1" t="s">
        <v>50357</v>
      </c>
      <c r="XY65" s="1" t="s">
        <v>50358</v>
      </c>
      <c r="XZ65" s="1" t="s">
        <v>50359</v>
      </c>
      <c r="YA65" s="1" t="s">
        <v>50360</v>
      </c>
      <c r="YB65" s="1" t="s">
        <v>50361</v>
      </c>
      <c r="YC65" s="1" t="s">
        <v>50362</v>
      </c>
      <c r="YD65" s="1" t="s">
        <v>50363</v>
      </c>
      <c r="YE65" s="1" t="s">
        <v>50364</v>
      </c>
      <c r="YF65" s="1" t="s">
        <v>50365</v>
      </c>
      <c r="YG65" s="1" t="s">
        <v>50366</v>
      </c>
      <c r="YH65" s="1" t="s">
        <v>50367</v>
      </c>
      <c r="YI65" s="1" t="s">
        <v>50368</v>
      </c>
      <c r="YJ65" s="1" t="s">
        <v>50369</v>
      </c>
      <c r="YK65" s="1" t="s">
        <v>50370</v>
      </c>
      <c r="YL65" s="1" t="s">
        <v>50371</v>
      </c>
      <c r="YM65" s="1" t="s">
        <v>50372</v>
      </c>
      <c r="YN65" s="1" t="s">
        <v>50373</v>
      </c>
      <c r="YO65" s="1" t="s">
        <v>50374</v>
      </c>
      <c r="YP65" s="1" t="s">
        <v>50375</v>
      </c>
      <c r="YQ65" s="1" t="s">
        <v>50376</v>
      </c>
      <c r="YR65" s="1" t="s">
        <v>50377</v>
      </c>
      <c r="YS65" s="1" t="s">
        <v>50378</v>
      </c>
      <c r="YT65" s="1" t="s">
        <v>50379</v>
      </c>
      <c r="YU65" s="1" t="s">
        <v>50380</v>
      </c>
      <c r="YV65" s="1" t="s">
        <v>50381</v>
      </c>
      <c r="YW65" s="1" t="s">
        <v>50382</v>
      </c>
      <c r="YX65" s="1" t="s">
        <v>50383</v>
      </c>
      <c r="YY65" s="1" t="s">
        <v>50384</v>
      </c>
      <c r="YZ65" s="1" t="s">
        <v>50385</v>
      </c>
      <c r="ZA65" s="1" t="s">
        <v>50386</v>
      </c>
      <c r="ZB65" s="1" t="s">
        <v>50387</v>
      </c>
      <c r="ZC65" s="1" t="s">
        <v>50388</v>
      </c>
      <c r="ZD65" s="1" t="s">
        <v>50389</v>
      </c>
      <c r="ZE65" s="1" t="s">
        <v>50390</v>
      </c>
      <c r="ZF65" s="1" t="s">
        <v>50391</v>
      </c>
      <c r="ZG65" s="1" t="s">
        <v>50392</v>
      </c>
      <c r="ZH65" s="1" t="s">
        <v>50393</v>
      </c>
      <c r="ZI65" s="1" t="s">
        <v>50394</v>
      </c>
      <c r="ZJ65" s="1" t="s">
        <v>50395</v>
      </c>
      <c r="ZK65" s="1" t="s">
        <v>50396</v>
      </c>
      <c r="ZL65" s="1" t="s">
        <v>50397</v>
      </c>
      <c r="ZM65" s="1" t="s">
        <v>50398</v>
      </c>
      <c r="ZN65" s="1" t="s">
        <v>50399</v>
      </c>
      <c r="ZO65" s="1" t="s">
        <v>50400</v>
      </c>
      <c r="ZP65" s="1" t="s">
        <v>50401</v>
      </c>
      <c r="ZQ65" s="1" t="s">
        <v>50402</v>
      </c>
      <c r="ZR65" s="1" t="s">
        <v>50403</v>
      </c>
      <c r="ZS65" s="1" t="s">
        <v>50404</v>
      </c>
      <c r="ZT65" s="1" t="s">
        <v>50405</v>
      </c>
      <c r="ZU65" s="1" t="s">
        <v>50406</v>
      </c>
      <c r="ZV65" s="1" t="s">
        <v>50407</v>
      </c>
      <c r="ZW65" s="1" t="s">
        <v>50408</v>
      </c>
      <c r="ZX65" s="1" t="s">
        <v>50409</v>
      </c>
      <c r="ZY65" s="1" t="s">
        <v>50410</v>
      </c>
      <c r="ZZ65" s="1" t="s">
        <v>50411</v>
      </c>
      <c r="AAA65" s="1" t="s">
        <v>50412</v>
      </c>
      <c r="AAB65" s="1" t="s">
        <v>50413</v>
      </c>
      <c r="AAC65" s="1" t="s">
        <v>50414</v>
      </c>
      <c r="AAD65" s="1" t="s">
        <v>50415</v>
      </c>
      <c r="AAE65" s="1" t="s">
        <v>50416</v>
      </c>
      <c r="AAF65" s="1" t="s">
        <v>50417</v>
      </c>
      <c r="AAG65" s="1" t="s">
        <v>50418</v>
      </c>
      <c r="AAH65" s="1" t="s">
        <v>50419</v>
      </c>
      <c r="AAI65" s="1" t="s">
        <v>50420</v>
      </c>
      <c r="AAJ65" s="1" t="s">
        <v>50421</v>
      </c>
      <c r="AAK65" s="1" t="s">
        <v>50422</v>
      </c>
      <c r="AAL65" s="1" t="s">
        <v>50423</v>
      </c>
      <c r="AAM65" s="1" t="s">
        <v>50424</v>
      </c>
      <c r="AAN65" s="1" t="s">
        <v>50425</v>
      </c>
      <c r="AAO65" s="1" t="s">
        <v>50426</v>
      </c>
      <c r="AAP65" s="1" t="s">
        <v>50427</v>
      </c>
      <c r="AAQ65" s="1" t="s">
        <v>50428</v>
      </c>
      <c r="AAR65" s="1" t="s">
        <v>50429</v>
      </c>
      <c r="AAS65" s="1" t="s">
        <v>50430</v>
      </c>
      <c r="AAT65" s="1" t="s">
        <v>50431</v>
      </c>
      <c r="AAU65" s="1" t="s">
        <v>50432</v>
      </c>
      <c r="AAV65" s="1" t="s">
        <v>50433</v>
      </c>
      <c r="AAW65" s="1" t="s">
        <v>50434</v>
      </c>
      <c r="AAX65" s="1" t="s">
        <v>50435</v>
      </c>
      <c r="AAY65" s="1" t="s">
        <v>50436</v>
      </c>
      <c r="AAZ65" s="1" t="s">
        <v>50437</v>
      </c>
      <c r="ABA65" s="1" t="s">
        <v>50438</v>
      </c>
      <c r="ABB65" s="1" t="s">
        <v>50439</v>
      </c>
      <c r="ABC65" s="1" t="s">
        <v>50440</v>
      </c>
      <c r="ABD65" s="1" t="s">
        <v>50441</v>
      </c>
      <c r="ABE65" s="1" t="s">
        <v>50442</v>
      </c>
      <c r="ABF65" s="1" t="s">
        <v>50443</v>
      </c>
      <c r="ABG65" s="1" t="s">
        <v>50444</v>
      </c>
      <c r="ABH65" s="1" t="s">
        <v>50445</v>
      </c>
      <c r="ABI65" s="1" t="s">
        <v>50446</v>
      </c>
      <c r="ABJ65" s="1" t="s">
        <v>50447</v>
      </c>
      <c r="ABK65" s="1" t="s">
        <v>50448</v>
      </c>
      <c r="ABL65" s="1" t="s">
        <v>50449</v>
      </c>
      <c r="ABM65" s="1" t="s">
        <v>50450</v>
      </c>
      <c r="ABN65" s="1" t="s">
        <v>50451</v>
      </c>
      <c r="ABO65" s="1" t="s">
        <v>50452</v>
      </c>
      <c r="ABP65" s="1" t="s">
        <v>50453</v>
      </c>
      <c r="ABQ65" s="1" t="s">
        <v>50454</v>
      </c>
      <c r="ABR65" s="1" t="s">
        <v>50455</v>
      </c>
      <c r="ABS65" s="1" t="s">
        <v>50456</v>
      </c>
      <c r="ABT65" s="1" t="s">
        <v>50457</v>
      </c>
      <c r="ABU65" s="1" t="s">
        <v>50458</v>
      </c>
      <c r="ABV65" s="1" t="s">
        <v>50459</v>
      </c>
      <c r="ABW65" s="1" t="s">
        <v>50460</v>
      </c>
      <c r="ABX65" s="1" t="s">
        <v>50461</v>
      </c>
      <c r="ABY65" s="1" t="s">
        <v>50462</v>
      </c>
      <c r="ABZ65" s="1" t="s">
        <v>50463</v>
      </c>
      <c r="ACA65" s="1" t="s">
        <v>50464</v>
      </c>
      <c r="ACB65" s="1" t="s">
        <v>50465</v>
      </c>
      <c r="ACC65" s="1" t="s">
        <v>50466</v>
      </c>
      <c r="ACD65" s="1" t="s">
        <v>50467</v>
      </c>
      <c r="ACE65" s="1" t="s">
        <v>50468</v>
      </c>
      <c r="ACF65" s="1" t="s">
        <v>50469</v>
      </c>
      <c r="ACG65" s="1" t="s">
        <v>50470</v>
      </c>
      <c r="ACH65" s="1" t="s">
        <v>50471</v>
      </c>
      <c r="ACI65" s="1" t="s">
        <v>50472</v>
      </c>
      <c r="ACJ65" s="1" t="s">
        <v>50473</v>
      </c>
      <c r="ACK65" s="1" t="s">
        <v>50474</v>
      </c>
      <c r="ACL65" s="1" t="s">
        <v>50475</v>
      </c>
      <c r="ACM65" s="1" t="s">
        <v>50476</v>
      </c>
      <c r="ACN65" s="1" t="s">
        <v>50477</v>
      </c>
      <c r="ACO65" s="1" t="s">
        <v>50478</v>
      </c>
      <c r="ACP65" s="1" t="s">
        <v>50479</v>
      </c>
      <c r="ACQ65" s="1" t="s">
        <v>50480</v>
      </c>
      <c r="ACR65" s="1" t="s">
        <v>50481</v>
      </c>
      <c r="ACS65" s="1" t="s">
        <v>50482</v>
      </c>
      <c r="ACT65" s="1" t="s">
        <v>50483</v>
      </c>
      <c r="ACU65" s="1" t="s">
        <v>50484</v>
      </c>
      <c r="ACV65" s="1" t="s">
        <v>50485</v>
      </c>
      <c r="ACW65" s="1" t="s">
        <v>23</v>
      </c>
      <c r="ACX65" s="1" t="s">
        <v>6310</v>
      </c>
    </row>
    <row r="66" spans="1:778" x14ac:dyDescent="0.2">
      <c r="A66" s="1" t="s">
        <v>65</v>
      </c>
      <c r="B66" s="1" t="s">
        <v>50486</v>
      </c>
      <c r="C66" s="1" t="s">
        <v>50487</v>
      </c>
      <c r="D66" s="1" t="s">
        <v>50488</v>
      </c>
      <c r="E66" s="1" t="s">
        <v>50489</v>
      </c>
      <c r="F66" s="1" t="s">
        <v>50490</v>
      </c>
      <c r="G66" s="1" t="s">
        <v>50491</v>
      </c>
      <c r="H66" s="1" t="s">
        <v>50492</v>
      </c>
      <c r="I66" s="1" t="s">
        <v>50493</v>
      </c>
      <c r="J66" s="1" t="s">
        <v>50494</v>
      </c>
      <c r="K66" s="1" t="s">
        <v>50495</v>
      </c>
      <c r="L66" s="1" t="s">
        <v>50496</v>
      </c>
      <c r="M66" s="1" t="s">
        <v>50497</v>
      </c>
      <c r="N66" s="1" t="s">
        <v>50498</v>
      </c>
      <c r="O66" s="1" t="s">
        <v>50499</v>
      </c>
      <c r="P66" s="1" t="s">
        <v>50500</v>
      </c>
      <c r="Q66" s="1" t="s">
        <v>50501</v>
      </c>
      <c r="R66" s="1" t="s">
        <v>50502</v>
      </c>
      <c r="S66" s="1" t="s">
        <v>50503</v>
      </c>
      <c r="T66" s="1" t="s">
        <v>50504</v>
      </c>
      <c r="U66" s="1" t="s">
        <v>50505</v>
      </c>
      <c r="V66" s="1" t="s">
        <v>50506</v>
      </c>
      <c r="W66" s="1" t="s">
        <v>50507</v>
      </c>
      <c r="X66" s="1" t="s">
        <v>50508</v>
      </c>
      <c r="Y66" s="1" t="s">
        <v>50509</v>
      </c>
      <c r="Z66" s="1" t="s">
        <v>50510</v>
      </c>
      <c r="AA66" s="1" t="s">
        <v>50511</v>
      </c>
      <c r="AB66" s="1" t="s">
        <v>50512</v>
      </c>
      <c r="AC66" s="1" t="s">
        <v>50513</v>
      </c>
      <c r="AD66" s="1" t="s">
        <v>50514</v>
      </c>
      <c r="AE66" s="1" t="s">
        <v>50515</v>
      </c>
      <c r="AF66" s="1" t="s">
        <v>50516</v>
      </c>
      <c r="AG66" s="1" t="s">
        <v>50517</v>
      </c>
      <c r="AH66" s="1" t="s">
        <v>50518</v>
      </c>
      <c r="AI66" s="1" t="s">
        <v>50519</v>
      </c>
      <c r="AJ66" s="1" t="s">
        <v>50520</v>
      </c>
      <c r="AK66" s="1" t="s">
        <v>50521</v>
      </c>
      <c r="AL66" s="1" t="s">
        <v>50522</v>
      </c>
      <c r="AM66" s="1" t="s">
        <v>50523</v>
      </c>
      <c r="AN66" s="1" t="s">
        <v>50524</v>
      </c>
      <c r="AO66" s="1" t="s">
        <v>50525</v>
      </c>
      <c r="AP66" s="1" t="s">
        <v>50526</v>
      </c>
      <c r="AQ66" s="1" t="s">
        <v>50527</v>
      </c>
      <c r="AR66" s="1" t="s">
        <v>50528</v>
      </c>
      <c r="AS66" s="1" t="s">
        <v>50529</v>
      </c>
      <c r="AT66" s="1" t="s">
        <v>50530</v>
      </c>
      <c r="AU66" s="1" t="s">
        <v>50531</v>
      </c>
      <c r="AV66" s="1" t="s">
        <v>50532</v>
      </c>
      <c r="AW66" s="1" t="s">
        <v>50533</v>
      </c>
      <c r="AX66" s="1" t="s">
        <v>50534</v>
      </c>
      <c r="AY66" s="1" t="s">
        <v>50535</v>
      </c>
      <c r="AZ66" s="1" t="s">
        <v>50536</v>
      </c>
      <c r="BA66" s="1" t="s">
        <v>50537</v>
      </c>
      <c r="BB66" s="1" t="s">
        <v>50538</v>
      </c>
      <c r="BC66" s="1" t="s">
        <v>50539</v>
      </c>
      <c r="BD66" s="1" t="s">
        <v>50540</v>
      </c>
      <c r="BE66" s="1" t="s">
        <v>50541</v>
      </c>
      <c r="BF66" s="1" t="s">
        <v>50542</v>
      </c>
      <c r="BG66" s="1" t="s">
        <v>50543</v>
      </c>
      <c r="BH66" s="1" t="s">
        <v>50544</v>
      </c>
      <c r="BI66" s="1" t="s">
        <v>50545</v>
      </c>
      <c r="BJ66" s="1" t="s">
        <v>50546</v>
      </c>
      <c r="BK66" s="1" t="s">
        <v>50547</v>
      </c>
      <c r="BL66" s="1" t="s">
        <v>50548</v>
      </c>
      <c r="BM66" s="1" t="s">
        <v>50549</v>
      </c>
      <c r="BN66" s="1" t="s">
        <v>50550</v>
      </c>
      <c r="BO66" s="1" t="s">
        <v>50551</v>
      </c>
      <c r="BP66" s="1" t="s">
        <v>50552</v>
      </c>
      <c r="BQ66" s="1" t="s">
        <v>50553</v>
      </c>
      <c r="BR66" s="1" t="s">
        <v>50554</v>
      </c>
      <c r="BS66" s="1" t="s">
        <v>50555</v>
      </c>
      <c r="BT66" s="1" t="s">
        <v>50556</v>
      </c>
      <c r="BU66" s="1" t="s">
        <v>50557</v>
      </c>
      <c r="BV66" s="1" t="s">
        <v>50558</v>
      </c>
      <c r="BW66" s="1" t="s">
        <v>50559</v>
      </c>
      <c r="BX66" s="1" t="s">
        <v>50560</v>
      </c>
      <c r="BY66" s="1" t="s">
        <v>50561</v>
      </c>
      <c r="BZ66" s="1" t="s">
        <v>50562</v>
      </c>
      <c r="CA66" s="1" t="s">
        <v>50563</v>
      </c>
      <c r="CB66" s="1" t="s">
        <v>50564</v>
      </c>
      <c r="CC66" s="1" t="s">
        <v>50565</v>
      </c>
      <c r="CD66" s="1" t="s">
        <v>50566</v>
      </c>
      <c r="CE66" s="1" t="s">
        <v>50567</v>
      </c>
      <c r="CF66" s="1" t="s">
        <v>50568</v>
      </c>
      <c r="CG66" s="1" t="s">
        <v>50569</v>
      </c>
      <c r="CH66" s="1" t="s">
        <v>50570</v>
      </c>
      <c r="CI66" s="1" t="s">
        <v>50571</v>
      </c>
      <c r="CJ66" s="1" t="s">
        <v>50572</v>
      </c>
      <c r="CK66" s="1" t="s">
        <v>50573</v>
      </c>
      <c r="CL66" s="1" t="s">
        <v>50574</v>
      </c>
      <c r="CM66" s="1" t="s">
        <v>50575</v>
      </c>
      <c r="CN66" s="1" t="s">
        <v>50576</v>
      </c>
      <c r="CO66" s="1" t="s">
        <v>50577</v>
      </c>
      <c r="CP66" s="1" t="s">
        <v>50578</v>
      </c>
      <c r="CQ66" s="1" t="s">
        <v>50579</v>
      </c>
      <c r="CR66" s="1" t="s">
        <v>50580</v>
      </c>
      <c r="CS66" s="1" t="s">
        <v>50581</v>
      </c>
      <c r="CT66" s="1" t="s">
        <v>50582</v>
      </c>
      <c r="CU66" s="1" t="s">
        <v>50583</v>
      </c>
      <c r="CV66" s="1" t="s">
        <v>50584</v>
      </c>
      <c r="CW66" s="1" t="s">
        <v>50585</v>
      </c>
      <c r="CX66" s="1" t="s">
        <v>50586</v>
      </c>
      <c r="CY66" s="1" t="s">
        <v>50587</v>
      </c>
      <c r="CZ66" s="1" t="s">
        <v>50588</v>
      </c>
      <c r="DA66" s="1" t="s">
        <v>50589</v>
      </c>
      <c r="DB66" s="1" t="s">
        <v>50590</v>
      </c>
      <c r="DC66" s="1" t="s">
        <v>50591</v>
      </c>
      <c r="DD66" s="1" t="s">
        <v>50592</v>
      </c>
      <c r="DE66" s="1" t="s">
        <v>50593</v>
      </c>
      <c r="DF66" s="1" t="s">
        <v>50594</v>
      </c>
      <c r="DG66" s="1" t="s">
        <v>50595</v>
      </c>
      <c r="DH66" s="1" t="s">
        <v>50596</v>
      </c>
      <c r="DI66" s="1" t="s">
        <v>50597</v>
      </c>
      <c r="DJ66" s="1" t="s">
        <v>50598</v>
      </c>
      <c r="DK66" s="1" t="s">
        <v>50599</v>
      </c>
      <c r="DL66" s="1" t="s">
        <v>50600</v>
      </c>
      <c r="DM66" s="1" t="s">
        <v>50601</v>
      </c>
      <c r="DN66" s="1" t="s">
        <v>50602</v>
      </c>
      <c r="DO66" s="1" t="s">
        <v>50603</v>
      </c>
      <c r="DP66" s="1" t="s">
        <v>50604</v>
      </c>
      <c r="DQ66" s="1" t="s">
        <v>50605</v>
      </c>
      <c r="DR66" s="1" t="s">
        <v>50606</v>
      </c>
      <c r="DS66" s="1" t="s">
        <v>50607</v>
      </c>
      <c r="DT66" s="1" t="s">
        <v>50608</v>
      </c>
      <c r="DU66" s="1" t="s">
        <v>50609</v>
      </c>
      <c r="DV66" s="1" t="s">
        <v>50610</v>
      </c>
      <c r="DW66" s="1" t="s">
        <v>50611</v>
      </c>
      <c r="DX66" s="1" t="s">
        <v>50612</v>
      </c>
      <c r="DY66" s="1" t="s">
        <v>50613</v>
      </c>
      <c r="DZ66" s="1" t="s">
        <v>50614</v>
      </c>
      <c r="EA66" s="1" t="s">
        <v>50615</v>
      </c>
      <c r="EB66" s="1" t="s">
        <v>50616</v>
      </c>
      <c r="EC66" s="1" t="s">
        <v>50617</v>
      </c>
      <c r="ED66" s="1" t="s">
        <v>50618</v>
      </c>
      <c r="EE66" s="1" t="s">
        <v>50619</v>
      </c>
      <c r="EF66" s="1" t="s">
        <v>50620</v>
      </c>
      <c r="EG66" s="1" t="s">
        <v>50621</v>
      </c>
      <c r="EH66" s="1" t="s">
        <v>50622</v>
      </c>
      <c r="EI66" s="1" t="s">
        <v>50623</v>
      </c>
      <c r="EJ66" s="1" t="s">
        <v>50624</v>
      </c>
      <c r="EK66" s="1" t="s">
        <v>50625</v>
      </c>
      <c r="EL66" s="1" t="s">
        <v>50626</v>
      </c>
      <c r="EM66" s="1" t="s">
        <v>50627</v>
      </c>
      <c r="EN66" s="1" t="s">
        <v>50628</v>
      </c>
      <c r="EO66" s="1" t="s">
        <v>50629</v>
      </c>
      <c r="EP66" s="1" t="s">
        <v>50630</v>
      </c>
      <c r="EQ66" s="1" t="s">
        <v>50631</v>
      </c>
      <c r="ER66" s="1" t="s">
        <v>50632</v>
      </c>
      <c r="ES66" s="1" t="s">
        <v>50633</v>
      </c>
      <c r="ET66" s="1" t="s">
        <v>50634</v>
      </c>
      <c r="EU66" s="1" t="s">
        <v>50635</v>
      </c>
      <c r="EV66" s="1" t="s">
        <v>50636</v>
      </c>
      <c r="EW66" s="1" t="s">
        <v>50637</v>
      </c>
      <c r="EX66" s="1" t="s">
        <v>50638</v>
      </c>
      <c r="EY66" s="1" t="s">
        <v>50639</v>
      </c>
      <c r="EZ66" s="1" t="s">
        <v>50640</v>
      </c>
      <c r="FA66" s="1" t="s">
        <v>50641</v>
      </c>
      <c r="FB66" s="1" t="s">
        <v>50642</v>
      </c>
      <c r="FC66" s="1" t="s">
        <v>50643</v>
      </c>
      <c r="FD66" s="1" t="s">
        <v>50644</v>
      </c>
      <c r="FE66" s="1" t="s">
        <v>50645</v>
      </c>
      <c r="FF66" s="1" t="s">
        <v>50646</v>
      </c>
      <c r="FG66" s="1" t="s">
        <v>50647</v>
      </c>
      <c r="FH66" s="1" t="s">
        <v>50648</v>
      </c>
      <c r="FI66" s="1" t="s">
        <v>50649</v>
      </c>
      <c r="FJ66" s="1" t="s">
        <v>50650</v>
      </c>
      <c r="FK66" s="1" t="s">
        <v>50651</v>
      </c>
      <c r="FL66" s="1" t="s">
        <v>50652</v>
      </c>
      <c r="FM66" s="1" t="s">
        <v>50653</v>
      </c>
      <c r="FN66" s="1" t="s">
        <v>50654</v>
      </c>
      <c r="FO66" s="1" t="s">
        <v>50655</v>
      </c>
      <c r="FP66" s="1" t="s">
        <v>50656</v>
      </c>
      <c r="FQ66" s="1" t="s">
        <v>50657</v>
      </c>
      <c r="FR66" s="1" t="s">
        <v>50658</v>
      </c>
      <c r="FS66" s="1" t="s">
        <v>50659</v>
      </c>
      <c r="FT66" s="1" t="s">
        <v>50660</v>
      </c>
      <c r="FU66" s="1" t="s">
        <v>50661</v>
      </c>
      <c r="FV66" s="1" t="s">
        <v>50662</v>
      </c>
      <c r="FW66" s="1" t="s">
        <v>50663</v>
      </c>
      <c r="FX66" s="1" t="s">
        <v>50664</v>
      </c>
      <c r="FY66" s="1" t="s">
        <v>50665</v>
      </c>
      <c r="FZ66" s="1" t="s">
        <v>50666</v>
      </c>
      <c r="GA66" s="1" t="s">
        <v>50667</v>
      </c>
      <c r="GB66" s="1" t="s">
        <v>50668</v>
      </c>
      <c r="GC66" s="1" t="s">
        <v>50669</v>
      </c>
      <c r="GD66" s="1" t="s">
        <v>50670</v>
      </c>
      <c r="GE66" s="1" t="s">
        <v>50671</v>
      </c>
      <c r="GF66" s="1" t="s">
        <v>50672</v>
      </c>
      <c r="GG66" s="1" t="s">
        <v>50673</v>
      </c>
      <c r="GH66" s="1" t="s">
        <v>50674</v>
      </c>
      <c r="GI66" s="1" t="s">
        <v>50675</v>
      </c>
      <c r="GJ66" s="1" t="s">
        <v>50676</v>
      </c>
      <c r="GK66" s="1" t="s">
        <v>50677</v>
      </c>
      <c r="GL66" s="1" t="s">
        <v>50678</v>
      </c>
      <c r="GM66" s="1" t="s">
        <v>50679</v>
      </c>
      <c r="GN66" s="1" t="s">
        <v>50680</v>
      </c>
      <c r="GO66" s="1" t="s">
        <v>50681</v>
      </c>
      <c r="GP66" s="1" t="s">
        <v>50682</v>
      </c>
      <c r="GQ66" s="1" t="s">
        <v>50683</v>
      </c>
      <c r="GR66" s="1" t="s">
        <v>50684</v>
      </c>
      <c r="GS66" s="1" t="s">
        <v>50685</v>
      </c>
      <c r="GT66" s="1" t="s">
        <v>50686</v>
      </c>
      <c r="GU66" s="1" t="s">
        <v>50687</v>
      </c>
      <c r="GV66" s="1" t="s">
        <v>50688</v>
      </c>
      <c r="GW66" s="1" t="s">
        <v>50689</v>
      </c>
      <c r="GX66" s="1" t="s">
        <v>50690</v>
      </c>
      <c r="GY66" s="1" t="s">
        <v>50691</v>
      </c>
      <c r="GZ66" s="1" t="s">
        <v>50692</v>
      </c>
      <c r="HA66" s="1" t="s">
        <v>50693</v>
      </c>
      <c r="HB66" s="1" t="s">
        <v>50694</v>
      </c>
      <c r="HC66" s="1" t="s">
        <v>50695</v>
      </c>
      <c r="HD66" s="1" t="s">
        <v>50696</v>
      </c>
      <c r="HE66" s="1" t="s">
        <v>50697</v>
      </c>
      <c r="HF66" s="1" t="s">
        <v>50698</v>
      </c>
      <c r="HG66" s="1" t="s">
        <v>50699</v>
      </c>
      <c r="HH66" s="1" t="s">
        <v>50700</v>
      </c>
      <c r="HI66" s="1" t="s">
        <v>50701</v>
      </c>
      <c r="HJ66" s="1" t="s">
        <v>50702</v>
      </c>
      <c r="HK66" s="1" t="s">
        <v>50703</v>
      </c>
      <c r="HL66" s="1" t="s">
        <v>50704</v>
      </c>
      <c r="HM66" s="1" t="s">
        <v>50705</v>
      </c>
      <c r="HN66" s="1" t="s">
        <v>50706</v>
      </c>
      <c r="HO66" s="1" t="s">
        <v>50707</v>
      </c>
      <c r="HP66" s="1" t="s">
        <v>50708</v>
      </c>
      <c r="HQ66" s="1" t="s">
        <v>50709</v>
      </c>
      <c r="HR66" s="1" t="s">
        <v>50710</v>
      </c>
      <c r="HS66" s="1" t="s">
        <v>50711</v>
      </c>
      <c r="HT66" s="1" t="s">
        <v>50712</v>
      </c>
      <c r="HU66" s="1" t="s">
        <v>50713</v>
      </c>
      <c r="HV66" s="1" t="s">
        <v>50714</v>
      </c>
      <c r="HW66" s="1" t="s">
        <v>50715</v>
      </c>
      <c r="HX66" s="1" t="s">
        <v>50716</v>
      </c>
      <c r="HY66" s="1" t="s">
        <v>50717</v>
      </c>
      <c r="HZ66" s="1" t="s">
        <v>50718</v>
      </c>
      <c r="IA66" s="1" t="s">
        <v>50719</v>
      </c>
      <c r="IB66" s="1" t="s">
        <v>50720</v>
      </c>
      <c r="IC66" s="1" t="s">
        <v>50721</v>
      </c>
      <c r="ID66" s="1" t="s">
        <v>50722</v>
      </c>
      <c r="IE66" s="1" t="s">
        <v>50723</v>
      </c>
      <c r="IF66" s="1" t="s">
        <v>50724</v>
      </c>
      <c r="IG66" s="1" t="s">
        <v>50725</v>
      </c>
      <c r="IH66" s="1" t="s">
        <v>50726</v>
      </c>
      <c r="II66" s="1" t="s">
        <v>50727</v>
      </c>
      <c r="IJ66" s="1" t="s">
        <v>50728</v>
      </c>
      <c r="IK66" s="1" t="s">
        <v>50729</v>
      </c>
      <c r="IL66" s="1" t="s">
        <v>50730</v>
      </c>
      <c r="IM66" s="1" t="s">
        <v>50731</v>
      </c>
      <c r="IN66" s="1" t="s">
        <v>50732</v>
      </c>
      <c r="IO66" s="1" t="s">
        <v>50733</v>
      </c>
      <c r="IP66" s="1" t="s">
        <v>50734</v>
      </c>
      <c r="IQ66" s="1" t="s">
        <v>50735</v>
      </c>
      <c r="IR66" s="1" t="s">
        <v>50736</v>
      </c>
      <c r="IS66" s="1" t="s">
        <v>50737</v>
      </c>
      <c r="IT66" s="1" t="s">
        <v>50738</v>
      </c>
      <c r="IU66" s="1" t="s">
        <v>50739</v>
      </c>
      <c r="IV66" s="1" t="s">
        <v>50740</v>
      </c>
      <c r="IW66" s="1" t="s">
        <v>50741</v>
      </c>
      <c r="IX66" s="1" t="s">
        <v>50742</v>
      </c>
      <c r="IY66" s="1" t="s">
        <v>50743</v>
      </c>
      <c r="IZ66" s="1" t="s">
        <v>50744</v>
      </c>
      <c r="JA66" s="1" t="s">
        <v>50745</v>
      </c>
      <c r="JB66" s="1" t="s">
        <v>50746</v>
      </c>
      <c r="JC66" s="1" t="s">
        <v>50747</v>
      </c>
      <c r="JD66" s="1" t="s">
        <v>50748</v>
      </c>
      <c r="JE66" s="1" t="s">
        <v>50749</v>
      </c>
      <c r="JF66" s="1" t="s">
        <v>50750</v>
      </c>
      <c r="JG66" s="1" t="s">
        <v>50751</v>
      </c>
      <c r="JH66" s="1" t="s">
        <v>50752</v>
      </c>
      <c r="JI66" s="1" t="s">
        <v>50753</v>
      </c>
      <c r="JJ66" s="1" t="s">
        <v>50754</v>
      </c>
      <c r="JK66" s="1" t="s">
        <v>50755</v>
      </c>
      <c r="JL66" s="1" t="s">
        <v>50756</v>
      </c>
      <c r="JM66" s="1" t="s">
        <v>50757</v>
      </c>
      <c r="JN66" s="1" t="s">
        <v>50758</v>
      </c>
      <c r="JO66" s="1" t="s">
        <v>50759</v>
      </c>
      <c r="JP66" s="1" t="s">
        <v>50760</v>
      </c>
      <c r="JQ66" s="1" t="s">
        <v>50761</v>
      </c>
      <c r="JR66" s="1" t="s">
        <v>50762</v>
      </c>
      <c r="JS66" s="1" t="s">
        <v>50763</v>
      </c>
      <c r="JT66" s="1" t="s">
        <v>50764</v>
      </c>
      <c r="JU66" s="1" t="s">
        <v>50765</v>
      </c>
      <c r="JV66" s="1" t="s">
        <v>50766</v>
      </c>
      <c r="JW66" s="1" t="s">
        <v>50767</v>
      </c>
      <c r="JX66" s="1" t="s">
        <v>50768</v>
      </c>
      <c r="JY66" s="1" t="s">
        <v>50769</v>
      </c>
      <c r="JZ66" s="1" t="s">
        <v>50770</v>
      </c>
      <c r="KA66" s="1" t="s">
        <v>50771</v>
      </c>
      <c r="KB66" s="1" t="s">
        <v>50772</v>
      </c>
      <c r="KC66" s="1" t="s">
        <v>50773</v>
      </c>
      <c r="KD66" s="1" t="s">
        <v>50774</v>
      </c>
      <c r="KE66" s="1" t="s">
        <v>50775</v>
      </c>
      <c r="KF66" s="1" t="s">
        <v>50776</v>
      </c>
      <c r="KG66" s="1" t="s">
        <v>50777</v>
      </c>
      <c r="KH66" s="1" t="s">
        <v>50778</v>
      </c>
      <c r="KI66" s="1" t="s">
        <v>50779</v>
      </c>
      <c r="KJ66" s="1" t="s">
        <v>50780</v>
      </c>
      <c r="KK66" s="1" t="s">
        <v>50781</v>
      </c>
      <c r="KL66" s="1" t="s">
        <v>50782</v>
      </c>
      <c r="KM66" s="1" t="s">
        <v>50783</v>
      </c>
      <c r="KN66" s="1" t="s">
        <v>50784</v>
      </c>
      <c r="KO66" s="1" t="s">
        <v>50785</v>
      </c>
      <c r="KP66" s="1" t="s">
        <v>50786</v>
      </c>
      <c r="KQ66" s="1" t="s">
        <v>50787</v>
      </c>
      <c r="KR66" s="1" t="s">
        <v>50788</v>
      </c>
      <c r="KS66" s="1" t="s">
        <v>50789</v>
      </c>
      <c r="KT66" s="1" t="s">
        <v>50790</v>
      </c>
      <c r="KU66" s="1" t="s">
        <v>50791</v>
      </c>
      <c r="KV66" s="1" t="s">
        <v>50792</v>
      </c>
      <c r="KW66" s="1" t="s">
        <v>50793</v>
      </c>
      <c r="KX66" s="1" t="s">
        <v>50794</v>
      </c>
      <c r="KY66" s="1" t="s">
        <v>50795</v>
      </c>
      <c r="KZ66" s="1" t="s">
        <v>50796</v>
      </c>
      <c r="LA66" s="1" t="s">
        <v>50797</v>
      </c>
      <c r="LB66" s="1" t="s">
        <v>50798</v>
      </c>
      <c r="LC66" s="1" t="s">
        <v>50799</v>
      </c>
      <c r="LD66" s="1" t="s">
        <v>50800</v>
      </c>
      <c r="LE66" s="1" t="s">
        <v>50801</v>
      </c>
      <c r="LF66" s="1" t="s">
        <v>50802</v>
      </c>
      <c r="LG66" s="1" t="s">
        <v>50803</v>
      </c>
      <c r="LH66" s="1" t="s">
        <v>50804</v>
      </c>
      <c r="LI66" s="1" t="s">
        <v>50805</v>
      </c>
      <c r="LJ66" s="1" t="s">
        <v>50806</v>
      </c>
      <c r="LK66" s="1" t="s">
        <v>50807</v>
      </c>
      <c r="LL66" s="1" t="s">
        <v>50808</v>
      </c>
      <c r="LM66" s="1" t="s">
        <v>50809</v>
      </c>
      <c r="LN66" s="1" t="s">
        <v>50810</v>
      </c>
      <c r="LO66" s="1" t="s">
        <v>50811</v>
      </c>
      <c r="LP66" s="1" t="s">
        <v>50812</v>
      </c>
      <c r="LQ66" s="1" t="s">
        <v>50813</v>
      </c>
      <c r="LR66" s="1" t="s">
        <v>50814</v>
      </c>
      <c r="LS66" s="1" t="s">
        <v>50815</v>
      </c>
      <c r="LT66" s="1" t="s">
        <v>50816</v>
      </c>
      <c r="LU66" s="1" t="s">
        <v>50817</v>
      </c>
      <c r="LV66" s="1" t="s">
        <v>50818</v>
      </c>
      <c r="LW66" s="1" t="s">
        <v>50819</v>
      </c>
      <c r="LX66" s="1" t="s">
        <v>50820</v>
      </c>
      <c r="LY66" s="1" t="s">
        <v>50821</v>
      </c>
      <c r="LZ66" s="1" t="s">
        <v>50822</v>
      </c>
      <c r="MA66" s="1" t="s">
        <v>50823</v>
      </c>
      <c r="MB66" s="1" t="s">
        <v>50824</v>
      </c>
      <c r="MC66" s="1" t="s">
        <v>50825</v>
      </c>
      <c r="MD66" s="1" t="s">
        <v>50826</v>
      </c>
      <c r="ME66" s="1" t="s">
        <v>50827</v>
      </c>
      <c r="MF66" s="1" t="s">
        <v>50828</v>
      </c>
      <c r="MG66" s="1" t="s">
        <v>50829</v>
      </c>
      <c r="MH66" s="1" t="s">
        <v>50830</v>
      </c>
      <c r="MI66" s="1" t="s">
        <v>50831</v>
      </c>
      <c r="MJ66" s="1" t="s">
        <v>50832</v>
      </c>
      <c r="MK66" s="1" t="s">
        <v>50833</v>
      </c>
      <c r="ML66" s="1" t="s">
        <v>50834</v>
      </c>
      <c r="MM66" s="1" t="s">
        <v>50835</v>
      </c>
      <c r="MN66" s="1" t="s">
        <v>50836</v>
      </c>
      <c r="MO66" s="1" t="s">
        <v>50837</v>
      </c>
      <c r="MP66" s="1" t="s">
        <v>50838</v>
      </c>
      <c r="MQ66" s="1" t="s">
        <v>50839</v>
      </c>
      <c r="MR66" s="1" t="s">
        <v>50840</v>
      </c>
      <c r="MS66" s="1" t="s">
        <v>50841</v>
      </c>
      <c r="MT66" s="1" t="s">
        <v>50842</v>
      </c>
      <c r="MU66" s="1" t="s">
        <v>50843</v>
      </c>
      <c r="MV66" s="1" t="s">
        <v>50844</v>
      </c>
      <c r="MW66" s="1" t="s">
        <v>50845</v>
      </c>
      <c r="MX66" s="1" t="s">
        <v>50846</v>
      </c>
      <c r="MY66" s="1" t="s">
        <v>50847</v>
      </c>
      <c r="MZ66" s="1" t="s">
        <v>50848</v>
      </c>
      <c r="NA66" s="1" t="s">
        <v>50849</v>
      </c>
      <c r="NB66" s="1" t="s">
        <v>50850</v>
      </c>
      <c r="NC66" s="1" t="s">
        <v>50851</v>
      </c>
      <c r="ND66" s="1" t="s">
        <v>50852</v>
      </c>
      <c r="NE66" s="1" t="s">
        <v>50853</v>
      </c>
      <c r="NF66" s="1" t="s">
        <v>50854</v>
      </c>
      <c r="NG66" s="1" t="s">
        <v>50855</v>
      </c>
      <c r="NH66" s="1" t="s">
        <v>50856</v>
      </c>
      <c r="NI66" s="1" t="s">
        <v>50857</v>
      </c>
      <c r="NJ66" s="1" t="s">
        <v>50858</v>
      </c>
      <c r="NK66" s="1" t="s">
        <v>50859</v>
      </c>
      <c r="NL66" s="1" t="s">
        <v>50860</v>
      </c>
      <c r="NM66" s="1" t="s">
        <v>50861</v>
      </c>
      <c r="NN66" s="1" t="s">
        <v>50862</v>
      </c>
      <c r="NO66" s="1" t="s">
        <v>50863</v>
      </c>
      <c r="NP66" s="1" t="s">
        <v>50864</v>
      </c>
      <c r="NQ66" s="1" t="s">
        <v>50865</v>
      </c>
      <c r="NR66" s="1" t="s">
        <v>50866</v>
      </c>
      <c r="NS66" s="1" t="s">
        <v>50867</v>
      </c>
      <c r="NT66" s="1" t="s">
        <v>50868</v>
      </c>
      <c r="NU66" s="1" t="s">
        <v>50869</v>
      </c>
      <c r="NV66" s="1" t="s">
        <v>50870</v>
      </c>
      <c r="NW66" s="1" t="s">
        <v>50871</v>
      </c>
      <c r="NX66" s="1" t="s">
        <v>50872</v>
      </c>
      <c r="NY66" s="1" t="s">
        <v>50873</v>
      </c>
      <c r="NZ66" s="1" t="s">
        <v>50874</v>
      </c>
      <c r="OA66" s="1" t="s">
        <v>50875</v>
      </c>
      <c r="OB66" s="1" t="s">
        <v>50876</v>
      </c>
      <c r="OC66" s="1" t="s">
        <v>50877</v>
      </c>
      <c r="OD66" s="1" t="s">
        <v>50878</v>
      </c>
      <c r="OE66" s="1" t="s">
        <v>50879</v>
      </c>
      <c r="OF66" s="1" t="s">
        <v>50880</v>
      </c>
      <c r="OG66" s="1" t="s">
        <v>50881</v>
      </c>
      <c r="OH66" s="1" t="s">
        <v>50882</v>
      </c>
      <c r="OI66" s="1" t="s">
        <v>50883</v>
      </c>
      <c r="OJ66" s="1" t="s">
        <v>50884</v>
      </c>
      <c r="OK66" s="1" t="s">
        <v>50885</v>
      </c>
      <c r="OL66" s="1" t="s">
        <v>50886</v>
      </c>
      <c r="OM66" s="1" t="s">
        <v>50887</v>
      </c>
      <c r="ON66" s="1" t="s">
        <v>50888</v>
      </c>
      <c r="OO66" s="1" t="s">
        <v>50889</v>
      </c>
      <c r="OP66" s="1" t="s">
        <v>50890</v>
      </c>
      <c r="OQ66" s="1" t="s">
        <v>50891</v>
      </c>
      <c r="OR66" s="1" t="s">
        <v>50892</v>
      </c>
      <c r="OS66" s="1" t="s">
        <v>50893</v>
      </c>
      <c r="OT66" s="1" t="s">
        <v>50894</v>
      </c>
      <c r="OU66" s="1" t="s">
        <v>50895</v>
      </c>
      <c r="OV66" s="1" t="s">
        <v>50896</v>
      </c>
      <c r="OW66" s="1" t="s">
        <v>50897</v>
      </c>
      <c r="OX66" s="1" t="s">
        <v>50898</v>
      </c>
      <c r="OY66" s="1" t="s">
        <v>50899</v>
      </c>
      <c r="OZ66" s="1" t="s">
        <v>50900</v>
      </c>
      <c r="PA66" s="1" t="s">
        <v>50901</v>
      </c>
      <c r="PB66" s="1" t="s">
        <v>50902</v>
      </c>
      <c r="PC66" s="1" t="s">
        <v>50903</v>
      </c>
      <c r="PD66" s="1" t="s">
        <v>50904</v>
      </c>
      <c r="PE66" s="1" t="s">
        <v>50905</v>
      </c>
      <c r="PF66" s="1" t="s">
        <v>50906</v>
      </c>
      <c r="PG66" s="1" t="s">
        <v>50907</v>
      </c>
      <c r="PH66" s="1" t="s">
        <v>50908</v>
      </c>
      <c r="PI66" s="1" t="s">
        <v>50909</v>
      </c>
      <c r="PJ66" s="1" t="s">
        <v>50910</v>
      </c>
      <c r="PK66" s="1" t="s">
        <v>50911</v>
      </c>
      <c r="PL66" s="1" t="s">
        <v>50912</v>
      </c>
      <c r="PM66" s="1" t="s">
        <v>50913</v>
      </c>
      <c r="PN66" s="1" t="s">
        <v>50914</v>
      </c>
      <c r="PO66" s="1" t="s">
        <v>50915</v>
      </c>
      <c r="PP66" s="1" t="s">
        <v>50916</v>
      </c>
      <c r="PQ66" s="1" t="s">
        <v>50917</v>
      </c>
      <c r="PR66" s="1" t="s">
        <v>50918</v>
      </c>
      <c r="PS66" s="1" t="s">
        <v>50919</v>
      </c>
      <c r="PT66" s="1" t="s">
        <v>50920</v>
      </c>
      <c r="PU66" s="1" t="s">
        <v>50921</v>
      </c>
      <c r="PV66" s="1" t="s">
        <v>50922</v>
      </c>
      <c r="PW66" s="1" t="s">
        <v>50923</v>
      </c>
      <c r="PX66" s="1" t="s">
        <v>50924</v>
      </c>
      <c r="PY66" s="1" t="s">
        <v>50925</v>
      </c>
      <c r="PZ66" s="1" t="s">
        <v>50926</v>
      </c>
      <c r="QA66" s="1" t="s">
        <v>50927</v>
      </c>
      <c r="QB66" s="1" t="s">
        <v>50928</v>
      </c>
      <c r="QC66" s="1" t="s">
        <v>50929</v>
      </c>
      <c r="QD66" s="1" t="s">
        <v>50930</v>
      </c>
      <c r="QE66" s="1" t="s">
        <v>50931</v>
      </c>
      <c r="QF66" s="1" t="s">
        <v>50932</v>
      </c>
      <c r="QG66" s="1" t="s">
        <v>50933</v>
      </c>
      <c r="QH66" s="1" t="s">
        <v>50934</v>
      </c>
      <c r="QI66" s="1" t="s">
        <v>50935</v>
      </c>
      <c r="QJ66" s="1" t="s">
        <v>50936</v>
      </c>
      <c r="QK66" s="1" t="s">
        <v>50937</v>
      </c>
      <c r="QL66" s="1" t="s">
        <v>50938</v>
      </c>
      <c r="QM66" s="1" t="s">
        <v>50939</v>
      </c>
      <c r="QN66" s="1" t="s">
        <v>50940</v>
      </c>
      <c r="QO66" s="1" t="s">
        <v>50941</v>
      </c>
      <c r="QP66" s="1" t="s">
        <v>50942</v>
      </c>
      <c r="QQ66" s="1" t="s">
        <v>50943</v>
      </c>
      <c r="QR66" s="1" t="s">
        <v>50944</v>
      </c>
      <c r="QS66" s="1" t="s">
        <v>50945</v>
      </c>
      <c r="QT66" s="1" t="s">
        <v>50946</v>
      </c>
      <c r="QU66" s="1" t="s">
        <v>50947</v>
      </c>
      <c r="QV66" s="1" t="s">
        <v>50948</v>
      </c>
      <c r="QW66" s="1" t="s">
        <v>50949</v>
      </c>
      <c r="QX66" s="1" t="s">
        <v>50950</v>
      </c>
      <c r="QY66" s="1" t="s">
        <v>50951</v>
      </c>
      <c r="QZ66" s="1" t="s">
        <v>50952</v>
      </c>
      <c r="RA66" s="1" t="s">
        <v>50953</v>
      </c>
      <c r="RB66" s="1" t="s">
        <v>50954</v>
      </c>
      <c r="RC66" s="1" t="s">
        <v>50955</v>
      </c>
      <c r="RD66" s="1" t="s">
        <v>50956</v>
      </c>
      <c r="RE66" s="1" t="s">
        <v>50957</v>
      </c>
      <c r="RF66" s="1" t="s">
        <v>50958</v>
      </c>
      <c r="RG66" s="1" t="s">
        <v>50959</v>
      </c>
      <c r="RH66" s="1" t="s">
        <v>50960</v>
      </c>
      <c r="RI66" s="1" t="s">
        <v>50961</v>
      </c>
      <c r="RJ66" s="1" t="s">
        <v>50962</v>
      </c>
      <c r="RK66" s="1" t="s">
        <v>50963</v>
      </c>
      <c r="RL66" s="1" t="s">
        <v>50964</v>
      </c>
      <c r="RM66" s="1" t="s">
        <v>50965</v>
      </c>
      <c r="RN66" s="1" t="s">
        <v>50966</v>
      </c>
      <c r="RO66" s="1" t="s">
        <v>50967</v>
      </c>
      <c r="RP66" s="1" t="s">
        <v>50968</v>
      </c>
      <c r="RQ66" s="1" t="s">
        <v>50969</v>
      </c>
      <c r="RR66" s="1" t="s">
        <v>50970</v>
      </c>
      <c r="RS66" s="1" t="s">
        <v>50971</v>
      </c>
      <c r="RT66" s="1" t="s">
        <v>50972</v>
      </c>
      <c r="RU66" s="1" t="s">
        <v>50973</v>
      </c>
      <c r="RV66" s="1" t="s">
        <v>50974</v>
      </c>
      <c r="RW66" s="1" t="s">
        <v>50975</v>
      </c>
      <c r="RX66" s="1" t="s">
        <v>50976</v>
      </c>
      <c r="RY66" s="1" t="s">
        <v>50977</v>
      </c>
      <c r="RZ66" s="1" t="s">
        <v>50978</v>
      </c>
      <c r="SA66" s="1" t="s">
        <v>50979</v>
      </c>
      <c r="SB66" s="1" t="s">
        <v>50980</v>
      </c>
      <c r="SC66" s="1" t="s">
        <v>50981</v>
      </c>
      <c r="SD66" s="1" t="s">
        <v>50982</v>
      </c>
      <c r="SE66" s="1" t="s">
        <v>50983</v>
      </c>
      <c r="SF66" s="1" t="s">
        <v>50984</v>
      </c>
      <c r="SG66" s="1" t="s">
        <v>50985</v>
      </c>
      <c r="SH66" s="1" t="s">
        <v>50986</v>
      </c>
      <c r="SI66" s="1" t="s">
        <v>50987</v>
      </c>
      <c r="SJ66" s="1" t="s">
        <v>50988</v>
      </c>
      <c r="SK66" s="1" t="s">
        <v>50989</v>
      </c>
      <c r="SL66" s="1" t="s">
        <v>50990</v>
      </c>
      <c r="SM66" s="1" t="s">
        <v>50991</v>
      </c>
      <c r="SN66" s="1" t="s">
        <v>50992</v>
      </c>
      <c r="SO66" s="1" t="s">
        <v>50993</v>
      </c>
      <c r="SP66" s="1" t="s">
        <v>50994</v>
      </c>
      <c r="SQ66" s="1" t="s">
        <v>50995</v>
      </c>
      <c r="SR66" s="1" t="s">
        <v>50996</v>
      </c>
      <c r="SS66" s="1" t="s">
        <v>50997</v>
      </c>
      <c r="ST66" s="1" t="s">
        <v>50998</v>
      </c>
      <c r="SU66" s="1" t="s">
        <v>50999</v>
      </c>
      <c r="SV66" s="1" t="s">
        <v>51000</v>
      </c>
      <c r="SW66" s="1" t="s">
        <v>51001</v>
      </c>
      <c r="SX66" s="1" t="s">
        <v>51002</v>
      </c>
      <c r="SY66" s="1" t="s">
        <v>51003</v>
      </c>
      <c r="SZ66" s="1" t="s">
        <v>51004</v>
      </c>
      <c r="TA66" s="1" t="s">
        <v>51005</v>
      </c>
      <c r="TB66" s="1" t="s">
        <v>51006</v>
      </c>
      <c r="TC66" s="1" t="s">
        <v>51007</v>
      </c>
      <c r="TD66" s="1" t="s">
        <v>51008</v>
      </c>
      <c r="TE66" s="1" t="s">
        <v>51009</v>
      </c>
      <c r="TF66" s="1" t="s">
        <v>51010</v>
      </c>
      <c r="TG66" s="1" t="s">
        <v>51011</v>
      </c>
      <c r="TH66" s="1" t="s">
        <v>51012</v>
      </c>
      <c r="TI66" s="1" t="s">
        <v>51013</v>
      </c>
      <c r="TJ66" s="1" t="s">
        <v>51014</v>
      </c>
      <c r="TK66" s="1" t="s">
        <v>51015</v>
      </c>
      <c r="TL66" s="1" t="s">
        <v>51016</v>
      </c>
      <c r="TM66" s="1" t="s">
        <v>51017</v>
      </c>
      <c r="TN66" s="1" t="s">
        <v>51018</v>
      </c>
      <c r="TO66" s="1" t="s">
        <v>51019</v>
      </c>
      <c r="TP66" s="1" t="s">
        <v>51020</v>
      </c>
      <c r="TQ66" s="1" t="s">
        <v>51021</v>
      </c>
      <c r="TR66" s="1" t="s">
        <v>51022</v>
      </c>
      <c r="TS66" s="1" t="s">
        <v>51023</v>
      </c>
      <c r="TT66" s="1" t="s">
        <v>51024</v>
      </c>
      <c r="TU66" s="1" t="s">
        <v>51025</v>
      </c>
      <c r="TV66" s="1" t="s">
        <v>51026</v>
      </c>
      <c r="TW66" s="1" t="s">
        <v>51027</v>
      </c>
      <c r="TX66" s="1" t="s">
        <v>51028</v>
      </c>
      <c r="TY66" s="1" t="s">
        <v>51029</v>
      </c>
      <c r="TZ66" s="1" t="s">
        <v>51030</v>
      </c>
      <c r="UA66" s="1" t="s">
        <v>51031</v>
      </c>
      <c r="UB66" s="1" t="s">
        <v>51032</v>
      </c>
      <c r="UC66" s="1" t="s">
        <v>51033</v>
      </c>
      <c r="UD66" s="1" t="s">
        <v>51034</v>
      </c>
      <c r="UE66" s="1" t="s">
        <v>51035</v>
      </c>
      <c r="UF66" s="1" t="s">
        <v>51036</v>
      </c>
      <c r="UG66" s="1" t="s">
        <v>51037</v>
      </c>
      <c r="UH66" s="1" t="s">
        <v>51038</v>
      </c>
      <c r="UI66" s="1" t="s">
        <v>51039</v>
      </c>
      <c r="UJ66" s="1" t="s">
        <v>51040</v>
      </c>
      <c r="UK66" s="1" t="s">
        <v>51041</v>
      </c>
      <c r="UL66" s="1" t="s">
        <v>51042</v>
      </c>
      <c r="UM66" s="1" t="s">
        <v>51043</v>
      </c>
      <c r="UN66" s="1" t="s">
        <v>51044</v>
      </c>
      <c r="UO66" s="1" t="s">
        <v>51045</v>
      </c>
      <c r="UP66" s="1" t="s">
        <v>51046</v>
      </c>
      <c r="UQ66" s="1" t="s">
        <v>51047</v>
      </c>
      <c r="UR66" s="1" t="s">
        <v>51048</v>
      </c>
      <c r="US66" s="1" t="s">
        <v>51049</v>
      </c>
      <c r="UT66" s="1" t="s">
        <v>51050</v>
      </c>
      <c r="UU66" s="1" t="s">
        <v>51051</v>
      </c>
      <c r="UV66" s="1" t="s">
        <v>51052</v>
      </c>
      <c r="UW66" s="1" t="s">
        <v>51053</v>
      </c>
      <c r="UX66" s="1" t="s">
        <v>51054</v>
      </c>
      <c r="UY66" s="1" t="s">
        <v>51055</v>
      </c>
      <c r="UZ66" s="1" t="s">
        <v>51056</v>
      </c>
      <c r="VA66" s="1" t="s">
        <v>51057</v>
      </c>
      <c r="VB66" s="1" t="s">
        <v>51058</v>
      </c>
      <c r="VC66" s="1" t="s">
        <v>51059</v>
      </c>
      <c r="VD66" s="1" t="s">
        <v>51060</v>
      </c>
      <c r="VE66" s="1" t="s">
        <v>51061</v>
      </c>
      <c r="VF66" s="1" t="s">
        <v>51062</v>
      </c>
      <c r="VG66" s="1" t="s">
        <v>51063</v>
      </c>
      <c r="VH66" s="1" t="s">
        <v>51064</v>
      </c>
      <c r="VI66" s="1" t="s">
        <v>51065</v>
      </c>
      <c r="VJ66" s="1" t="s">
        <v>51066</v>
      </c>
      <c r="VK66" s="1" t="s">
        <v>51067</v>
      </c>
      <c r="VL66" s="1" t="s">
        <v>51068</v>
      </c>
      <c r="VM66" s="1" t="s">
        <v>51069</v>
      </c>
      <c r="VN66" s="1" t="s">
        <v>51070</v>
      </c>
      <c r="VO66" s="1" t="s">
        <v>51071</v>
      </c>
      <c r="VP66" s="1" t="s">
        <v>51072</v>
      </c>
      <c r="VQ66" s="1" t="s">
        <v>51073</v>
      </c>
      <c r="VR66" s="1" t="s">
        <v>51074</v>
      </c>
      <c r="VS66" s="1" t="s">
        <v>51075</v>
      </c>
      <c r="VT66" s="1" t="s">
        <v>51076</v>
      </c>
      <c r="VU66" s="1" t="s">
        <v>51077</v>
      </c>
      <c r="VV66" s="1" t="s">
        <v>51078</v>
      </c>
      <c r="VW66" s="1" t="s">
        <v>51079</v>
      </c>
      <c r="VX66" s="1" t="s">
        <v>51080</v>
      </c>
      <c r="VY66" s="1" t="s">
        <v>51081</v>
      </c>
      <c r="VZ66" s="1" t="s">
        <v>51082</v>
      </c>
      <c r="WA66" s="1" t="s">
        <v>51083</v>
      </c>
      <c r="WB66" s="1" t="s">
        <v>51084</v>
      </c>
      <c r="WC66" s="1" t="s">
        <v>51085</v>
      </c>
      <c r="WD66" s="1" t="s">
        <v>51086</v>
      </c>
      <c r="WE66" s="1" t="s">
        <v>51087</v>
      </c>
      <c r="WF66" s="1" t="s">
        <v>51088</v>
      </c>
      <c r="WG66" s="1" t="s">
        <v>51089</v>
      </c>
      <c r="WH66" s="1" t="s">
        <v>51090</v>
      </c>
      <c r="WI66" s="1" t="s">
        <v>51091</v>
      </c>
      <c r="WJ66" s="1" t="s">
        <v>51092</v>
      </c>
      <c r="WK66" s="1" t="s">
        <v>51093</v>
      </c>
      <c r="WL66" s="1" t="s">
        <v>51094</v>
      </c>
      <c r="WM66" s="1" t="s">
        <v>51095</v>
      </c>
      <c r="WN66" s="1" t="s">
        <v>51096</v>
      </c>
      <c r="WO66" s="1" t="s">
        <v>51097</v>
      </c>
      <c r="WP66" s="1" t="s">
        <v>51098</v>
      </c>
      <c r="WQ66" s="1" t="s">
        <v>51099</v>
      </c>
      <c r="WR66" s="1" t="s">
        <v>51100</v>
      </c>
      <c r="WS66" s="1" t="s">
        <v>51101</v>
      </c>
      <c r="WT66" s="1" t="s">
        <v>51102</v>
      </c>
      <c r="WU66" s="1" t="s">
        <v>51103</v>
      </c>
      <c r="WV66" s="1" t="s">
        <v>51104</v>
      </c>
      <c r="WW66" s="1" t="s">
        <v>51105</v>
      </c>
      <c r="WX66" s="1" t="s">
        <v>51106</v>
      </c>
      <c r="WY66" s="1" t="s">
        <v>51107</v>
      </c>
      <c r="WZ66" s="1" t="s">
        <v>51108</v>
      </c>
      <c r="XA66" s="1" t="s">
        <v>51109</v>
      </c>
      <c r="XB66" s="1" t="s">
        <v>51110</v>
      </c>
      <c r="XC66" s="1" t="s">
        <v>51111</v>
      </c>
      <c r="XD66" s="1" t="s">
        <v>51112</v>
      </c>
      <c r="XE66" s="1" t="s">
        <v>51113</v>
      </c>
      <c r="XF66" s="1" t="s">
        <v>51114</v>
      </c>
      <c r="XG66" s="1" t="s">
        <v>51115</v>
      </c>
      <c r="XH66" s="1" t="s">
        <v>51116</v>
      </c>
      <c r="XI66" s="1" t="s">
        <v>51117</v>
      </c>
      <c r="XJ66" s="1" t="s">
        <v>51118</v>
      </c>
      <c r="XK66" s="1" t="s">
        <v>51119</v>
      </c>
      <c r="XL66" s="1" t="s">
        <v>51120</v>
      </c>
      <c r="XM66" s="1" t="s">
        <v>51121</v>
      </c>
      <c r="XN66" s="1" t="s">
        <v>51122</v>
      </c>
      <c r="XO66" s="1" t="s">
        <v>51123</v>
      </c>
      <c r="XP66" s="1" t="s">
        <v>51124</v>
      </c>
      <c r="XQ66" s="1" t="s">
        <v>51125</v>
      </c>
      <c r="XR66" s="1" t="s">
        <v>51126</v>
      </c>
      <c r="XS66" s="1" t="s">
        <v>51127</v>
      </c>
      <c r="XT66" s="1" t="s">
        <v>51128</v>
      </c>
      <c r="XU66" s="1" t="s">
        <v>51129</v>
      </c>
      <c r="XV66" s="1" t="s">
        <v>51130</v>
      </c>
      <c r="XW66" s="1" t="s">
        <v>51131</v>
      </c>
      <c r="XX66" s="1" t="s">
        <v>51132</v>
      </c>
      <c r="XY66" s="1" t="s">
        <v>51133</v>
      </c>
      <c r="XZ66" s="1" t="s">
        <v>51134</v>
      </c>
      <c r="YA66" s="1" t="s">
        <v>51135</v>
      </c>
      <c r="YB66" s="1" t="s">
        <v>51136</v>
      </c>
      <c r="YC66" s="1" t="s">
        <v>51137</v>
      </c>
      <c r="YD66" s="1" t="s">
        <v>51138</v>
      </c>
      <c r="YE66" s="1" t="s">
        <v>51139</v>
      </c>
      <c r="YF66" s="1" t="s">
        <v>51140</v>
      </c>
      <c r="YG66" s="1" t="s">
        <v>51141</v>
      </c>
      <c r="YH66" s="1" t="s">
        <v>51142</v>
      </c>
      <c r="YI66" s="1" t="s">
        <v>51143</v>
      </c>
      <c r="YJ66" s="1" t="s">
        <v>51144</v>
      </c>
      <c r="YK66" s="1" t="s">
        <v>51145</v>
      </c>
      <c r="YL66" s="1" t="s">
        <v>51146</v>
      </c>
      <c r="YM66" s="1" t="s">
        <v>51147</v>
      </c>
      <c r="YN66" s="1" t="s">
        <v>51148</v>
      </c>
      <c r="YO66" s="1" t="s">
        <v>51149</v>
      </c>
      <c r="YP66" s="1" t="s">
        <v>51150</v>
      </c>
      <c r="YQ66" s="1" t="s">
        <v>51151</v>
      </c>
      <c r="YR66" s="1" t="s">
        <v>51152</v>
      </c>
      <c r="YS66" s="1" t="s">
        <v>51153</v>
      </c>
      <c r="YT66" s="1" t="s">
        <v>51154</v>
      </c>
      <c r="YU66" s="1" t="s">
        <v>51155</v>
      </c>
      <c r="YV66" s="1" t="s">
        <v>51156</v>
      </c>
      <c r="YW66" s="1" t="s">
        <v>51157</v>
      </c>
      <c r="YX66" s="1" t="s">
        <v>51158</v>
      </c>
      <c r="YY66" s="1" t="s">
        <v>51159</v>
      </c>
      <c r="YZ66" s="1" t="s">
        <v>51160</v>
      </c>
      <c r="ZA66" s="1" t="s">
        <v>51161</v>
      </c>
      <c r="ZB66" s="1" t="s">
        <v>51162</v>
      </c>
      <c r="ZC66" s="1" t="s">
        <v>51163</v>
      </c>
      <c r="ZD66" s="1" t="s">
        <v>51164</v>
      </c>
      <c r="ZE66" s="1" t="s">
        <v>51165</v>
      </c>
      <c r="ZF66" s="1" t="s">
        <v>51166</v>
      </c>
      <c r="ZG66" s="1" t="s">
        <v>51167</v>
      </c>
      <c r="ZH66" s="1" t="s">
        <v>51168</v>
      </c>
      <c r="ZI66" s="1" t="s">
        <v>51169</v>
      </c>
      <c r="ZJ66" s="1" t="s">
        <v>51170</v>
      </c>
      <c r="ZK66" s="1" t="s">
        <v>51171</v>
      </c>
      <c r="ZL66" s="1" t="s">
        <v>51172</v>
      </c>
      <c r="ZM66" s="1" t="s">
        <v>51173</v>
      </c>
      <c r="ZN66" s="1" t="s">
        <v>51174</v>
      </c>
      <c r="ZO66" s="1" t="s">
        <v>51175</v>
      </c>
      <c r="ZP66" s="1" t="s">
        <v>51176</v>
      </c>
      <c r="ZQ66" s="1" t="s">
        <v>51177</v>
      </c>
      <c r="ZR66" s="1" t="s">
        <v>51178</v>
      </c>
      <c r="ZS66" s="1" t="s">
        <v>51179</v>
      </c>
      <c r="ZT66" s="1" t="s">
        <v>51180</v>
      </c>
      <c r="ZU66" s="1" t="s">
        <v>51181</v>
      </c>
      <c r="ZV66" s="1" t="s">
        <v>51182</v>
      </c>
      <c r="ZW66" s="1" t="s">
        <v>51183</v>
      </c>
      <c r="ZX66" s="1" t="s">
        <v>51184</v>
      </c>
      <c r="ZY66" s="1" t="s">
        <v>51185</v>
      </c>
      <c r="ZZ66" s="1" t="s">
        <v>51186</v>
      </c>
      <c r="AAA66" s="1" t="s">
        <v>51187</v>
      </c>
      <c r="AAB66" s="1" t="s">
        <v>51188</v>
      </c>
      <c r="AAC66" s="1" t="s">
        <v>51189</v>
      </c>
      <c r="AAD66" s="1" t="s">
        <v>51190</v>
      </c>
      <c r="AAE66" s="1" t="s">
        <v>51191</v>
      </c>
      <c r="AAF66" s="1" t="s">
        <v>51192</v>
      </c>
      <c r="AAG66" s="1" t="s">
        <v>51193</v>
      </c>
      <c r="AAH66" s="1" t="s">
        <v>51194</v>
      </c>
      <c r="AAI66" s="1" t="s">
        <v>51195</v>
      </c>
      <c r="AAJ66" s="1" t="s">
        <v>51196</v>
      </c>
      <c r="AAK66" s="1" t="s">
        <v>51197</v>
      </c>
      <c r="AAL66" s="1" t="s">
        <v>51198</v>
      </c>
      <c r="AAM66" s="1" t="s">
        <v>51199</v>
      </c>
      <c r="AAN66" s="1" t="s">
        <v>51200</v>
      </c>
      <c r="AAO66" s="1" t="s">
        <v>51201</v>
      </c>
      <c r="AAP66" s="1" t="s">
        <v>51202</v>
      </c>
      <c r="AAQ66" s="1" t="s">
        <v>51203</v>
      </c>
      <c r="AAR66" s="1" t="s">
        <v>51204</v>
      </c>
      <c r="AAS66" s="1" t="s">
        <v>51205</v>
      </c>
      <c r="AAT66" s="1" t="s">
        <v>51206</v>
      </c>
      <c r="AAU66" s="1" t="s">
        <v>51207</v>
      </c>
      <c r="AAV66" s="1" t="s">
        <v>51208</v>
      </c>
      <c r="AAW66" s="1" t="s">
        <v>51209</v>
      </c>
      <c r="AAX66" s="1" t="s">
        <v>51210</v>
      </c>
      <c r="AAY66" s="1" t="s">
        <v>51211</v>
      </c>
      <c r="AAZ66" s="1" t="s">
        <v>51212</v>
      </c>
      <c r="ABA66" s="1" t="s">
        <v>51213</v>
      </c>
      <c r="ABB66" s="1" t="s">
        <v>51214</v>
      </c>
      <c r="ABC66" s="1" t="s">
        <v>51215</v>
      </c>
      <c r="ABD66" s="1" t="s">
        <v>51216</v>
      </c>
      <c r="ABE66" s="1" t="s">
        <v>51217</v>
      </c>
      <c r="ABF66" s="1" t="s">
        <v>51218</v>
      </c>
      <c r="ABG66" s="1" t="s">
        <v>51219</v>
      </c>
      <c r="ABH66" s="1" t="s">
        <v>51220</v>
      </c>
      <c r="ABI66" s="1" t="s">
        <v>51221</v>
      </c>
      <c r="ABJ66" s="1" t="s">
        <v>51222</v>
      </c>
      <c r="ABK66" s="1" t="s">
        <v>51223</v>
      </c>
      <c r="ABL66" s="1" t="s">
        <v>51224</v>
      </c>
      <c r="ABM66" s="1" t="s">
        <v>51225</v>
      </c>
      <c r="ABN66" s="1" t="s">
        <v>51226</v>
      </c>
      <c r="ABO66" s="1" t="s">
        <v>51227</v>
      </c>
      <c r="ABP66" s="1" t="s">
        <v>51228</v>
      </c>
      <c r="ABQ66" s="1" t="s">
        <v>51229</v>
      </c>
      <c r="ABR66" s="1" t="s">
        <v>51230</v>
      </c>
      <c r="ABS66" s="1" t="s">
        <v>51231</v>
      </c>
      <c r="ABT66" s="1" t="s">
        <v>51232</v>
      </c>
      <c r="ABU66" s="1" t="s">
        <v>51233</v>
      </c>
      <c r="ABV66" s="1" t="s">
        <v>51234</v>
      </c>
      <c r="ABW66" s="1" t="s">
        <v>51235</v>
      </c>
      <c r="ABX66" s="1" t="s">
        <v>51236</v>
      </c>
      <c r="ABY66" s="1" t="s">
        <v>51237</v>
      </c>
      <c r="ABZ66" s="1" t="s">
        <v>51238</v>
      </c>
      <c r="ACA66" s="1" t="s">
        <v>51239</v>
      </c>
      <c r="ACB66" s="1" t="s">
        <v>51240</v>
      </c>
      <c r="ACC66" s="1" t="s">
        <v>51241</v>
      </c>
      <c r="ACD66" s="1" t="s">
        <v>51242</v>
      </c>
      <c r="ACE66" s="1" t="s">
        <v>51243</v>
      </c>
      <c r="ACF66" s="1" t="s">
        <v>51244</v>
      </c>
      <c r="ACG66" s="1" t="s">
        <v>51245</v>
      </c>
      <c r="ACH66" s="1" t="s">
        <v>51246</v>
      </c>
      <c r="ACI66" s="1" t="s">
        <v>51247</v>
      </c>
      <c r="ACJ66" s="1" t="s">
        <v>51248</v>
      </c>
      <c r="ACK66" s="1" t="s">
        <v>51249</v>
      </c>
      <c r="ACL66" s="1" t="s">
        <v>51250</v>
      </c>
      <c r="ACM66" s="1" t="s">
        <v>51251</v>
      </c>
      <c r="ACN66" s="1" t="s">
        <v>51252</v>
      </c>
      <c r="ACO66" s="1" t="s">
        <v>51253</v>
      </c>
      <c r="ACP66" s="1" t="s">
        <v>51254</v>
      </c>
      <c r="ACQ66" s="1" t="s">
        <v>51255</v>
      </c>
      <c r="ACR66" s="1" t="s">
        <v>51256</v>
      </c>
      <c r="ACS66" s="1" t="s">
        <v>51257</v>
      </c>
      <c r="ACT66" s="1" t="s">
        <v>51258</v>
      </c>
      <c r="ACU66" s="1" t="s">
        <v>51259</v>
      </c>
      <c r="ACV66" s="1" t="s">
        <v>51260</v>
      </c>
      <c r="ACW66" s="1" t="s">
        <v>12</v>
      </c>
      <c r="ACX66" s="1" t="s">
        <v>1500</v>
      </c>
    </row>
    <row r="67" spans="1:778" x14ac:dyDescent="0.2">
      <c r="A67" s="1" t="s">
        <v>20</v>
      </c>
      <c r="B67" s="1" t="s">
        <v>51261</v>
      </c>
      <c r="C67" s="1" t="s">
        <v>51262</v>
      </c>
      <c r="D67" s="1" t="s">
        <v>51263</v>
      </c>
      <c r="E67" s="1" t="s">
        <v>51264</v>
      </c>
      <c r="F67" s="1" t="s">
        <v>51265</v>
      </c>
      <c r="G67" s="1" t="s">
        <v>51266</v>
      </c>
      <c r="H67" s="1" t="s">
        <v>51267</v>
      </c>
      <c r="I67" s="1" t="s">
        <v>51268</v>
      </c>
      <c r="J67" s="1" t="s">
        <v>51269</v>
      </c>
      <c r="K67" s="1" t="s">
        <v>51270</v>
      </c>
      <c r="L67" s="1" t="s">
        <v>51271</v>
      </c>
      <c r="M67" s="1" t="s">
        <v>51272</v>
      </c>
      <c r="N67" s="1" t="s">
        <v>51273</v>
      </c>
      <c r="O67" s="1" t="s">
        <v>51274</v>
      </c>
      <c r="P67" s="1" t="s">
        <v>51275</v>
      </c>
      <c r="Q67" s="1" t="s">
        <v>51276</v>
      </c>
      <c r="R67" s="1" t="s">
        <v>51277</v>
      </c>
      <c r="S67" s="1" t="s">
        <v>51278</v>
      </c>
      <c r="T67" s="1" t="s">
        <v>51279</v>
      </c>
      <c r="U67" s="1" t="s">
        <v>51280</v>
      </c>
      <c r="V67" s="1" t="s">
        <v>51281</v>
      </c>
      <c r="W67" s="1" t="s">
        <v>51282</v>
      </c>
      <c r="X67" s="1" t="s">
        <v>51283</v>
      </c>
      <c r="Y67" s="1" t="s">
        <v>51284</v>
      </c>
      <c r="Z67" s="1" t="s">
        <v>51285</v>
      </c>
      <c r="AA67" s="1" t="s">
        <v>51286</v>
      </c>
      <c r="AB67" s="1" t="s">
        <v>51287</v>
      </c>
      <c r="AC67" s="1" t="s">
        <v>51288</v>
      </c>
      <c r="AD67" s="1" t="s">
        <v>51289</v>
      </c>
      <c r="AE67" s="1" t="s">
        <v>51290</v>
      </c>
      <c r="AF67" s="1" t="s">
        <v>51291</v>
      </c>
      <c r="AG67" s="1" t="s">
        <v>51292</v>
      </c>
      <c r="AH67" s="1" t="s">
        <v>51293</v>
      </c>
      <c r="AI67" s="1" t="s">
        <v>51294</v>
      </c>
      <c r="AJ67" s="1" t="s">
        <v>51295</v>
      </c>
      <c r="AK67" s="1" t="s">
        <v>51296</v>
      </c>
      <c r="AL67" s="1" t="s">
        <v>51297</v>
      </c>
      <c r="AM67" s="1" t="s">
        <v>51298</v>
      </c>
      <c r="AN67" s="1" t="s">
        <v>51299</v>
      </c>
      <c r="AO67" s="1" t="s">
        <v>51300</v>
      </c>
      <c r="AP67" s="1" t="s">
        <v>51301</v>
      </c>
      <c r="AQ67" s="1" t="s">
        <v>51302</v>
      </c>
      <c r="AR67" s="1" t="s">
        <v>51303</v>
      </c>
      <c r="AS67" s="1" t="s">
        <v>51304</v>
      </c>
      <c r="AT67" s="1" t="s">
        <v>51305</v>
      </c>
      <c r="AU67" s="1" t="s">
        <v>51306</v>
      </c>
      <c r="AV67" s="1" t="s">
        <v>51307</v>
      </c>
      <c r="AW67" s="1" t="s">
        <v>51308</v>
      </c>
      <c r="AX67" s="1" t="s">
        <v>51309</v>
      </c>
      <c r="AY67" s="1" t="s">
        <v>51310</v>
      </c>
      <c r="AZ67" s="1" t="s">
        <v>51311</v>
      </c>
      <c r="BA67" s="1" t="s">
        <v>51312</v>
      </c>
      <c r="BB67" s="1" t="s">
        <v>51313</v>
      </c>
      <c r="BC67" s="1" t="s">
        <v>51314</v>
      </c>
      <c r="BD67" s="1" t="s">
        <v>51315</v>
      </c>
      <c r="BE67" s="1" t="s">
        <v>51316</v>
      </c>
      <c r="BF67" s="1" t="s">
        <v>51317</v>
      </c>
      <c r="BG67" s="1" t="s">
        <v>51318</v>
      </c>
      <c r="BH67" s="1" t="s">
        <v>51319</v>
      </c>
      <c r="BI67" s="1" t="s">
        <v>51320</v>
      </c>
      <c r="BJ67" s="1" t="s">
        <v>51321</v>
      </c>
      <c r="BK67" s="1" t="s">
        <v>51322</v>
      </c>
      <c r="BL67" s="1" t="s">
        <v>51323</v>
      </c>
      <c r="BM67" s="1" t="s">
        <v>51324</v>
      </c>
      <c r="BN67" s="1" t="s">
        <v>51325</v>
      </c>
      <c r="BO67" s="1" t="s">
        <v>51326</v>
      </c>
      <c r="BP67" s="1" t="s">
        <v>51327</v>
      </c>
      <c r="BQ67" s="1" t="s">
        <v>51328</v>
      </c>
      <c r="BR67" s="1" t="s">
        <v>51329</v>
      </c>
      <c r="BS67" s="1" t="s">
        <v>51330</v>
      </c>
      <c r="BT67" s="1" t="s">
        <v>51331</v>
      </c>
      <c r="BU67" s="1" t="s">
        <v>51332</v>
      </c>
      <c r="BV67" s="1" t="s">
        <v>51333</v>
      </c>
      <c r="BW67" s="1" t="s">
        <v>51334</v>
      </c>
      <c r="BX67" s="1" t="s">
        <v>51335</v>
      </c>
      <c r="BY67" s="1" t="s">
        <v>51336</v>
      </c>
      <c r="BZ67" s="1" t="s">
        <v>51337</v>
      </c>
      <c r="CA67" s="1" t="s">
        <v>51338</v>
      </c>
      <c r="CB67" s="1" t="s">
        <v>51339</v>
      </c>
      <c r="CC67" s="1" t="s">
        <v>51340</v>
      </c>
      <c r="CD67" s="1" t="s">
        <v>51341</v>
      </c>
      <c r="CE67" s="1" t="s">
        <v>51342</v>
      </c>
      <c r="CF67" s="1" t="s">
        <v>51343</v>
      </c>
      <c r="CG67" s="1" t="s">
        <v>51344</v>
      </c>
      <c r="CH67" s="1" t="s">
        <v>51345</v>
      </c>
      <c r="CI67" s="1" t="s">
        <v>51346</v>
      </c>
      <c r="CJ67" s="1" t="s">
        <v>51347</v>
      </c>
      <c r="CK67" s="1" t="s">
        <v>51348</v>
      </c>
      <c r="CL67" s="1" t="s">
        <v>51349</v>
      </c>
      <c r="CM67" s="1" t="s">
        <v>51350</v>
      </c>
      <c r="CN67" s="1" t="s">
        <v>51351</v>
      </c>
      <c r="CO67" s="1" t="s">
        <v>51352</v>
      </c>
      <c r="CP67" s="1" t="s">
        <v>51353</v>
      </c>
      <c r="CQ67" s="1" t="s">
        <v>51354</v>
      </c>
      <c r="CR67" s="1" t="s">
        <v>51355</v>
      </c>
      <c r="CS67" s="1" t="s">
        <v>51356</v>
      </c>
      <c r="CT67" s="1" t="s">
        <v>51357</v>
      </c>
      <c r="CU67" s="1" t="s">
        <v>51358</v>
      </c>
      <c r="CV67" s="1" t="s">
        <v>51359</v>
      </c>
      <c r="CW67" s="1" t="s">
        <v>51360</v>
      </c>
      <c r="CX67" s="1" t="s">
        <v>51361</v>
      </c>
      <c r="CY67" s="1" t="s">
        <v>51362</v>
      </c>
      <c r="CZ67" s="1" t="s">
        <v>51363</v>
      </c>
      <c r="DA67" s="1" t="s">
        <v>51364</v>
      </c>
      <c r="DB67" s="1" t="s">
        <v>51365</v>
      </c>
      <c r="DC67" s="1" t="s">
        <v>51366</v>
      </c>
      <c r="DD67" s="1" t="s">
        <v>51367</v>
      </c>
      <c r="DE67" s="1" t="s">
        <v>51368</v>
      </c>
      <c r="DF67" s="1" t="s">
        <v>51369</v>
      </c>
      <c r="DG67" s="1" t="s">
        <v>51370</v>
      </c>
      <c r="DH67" s="1" t="s">
        <v>51371</v>
      </c>
      <c r="DI67" s="1" t="s">
        <v>51372</v>
      </c>
      <c r="DJ67" s="1" t="s">
        <v>51373</v>
      </c>
      <c r="DK67" s="1" t="s">
        <v>51374</v>
      </c>
      <c r="DL67" s="1" t="s">
        <v>51375</v>
      </c>
      <c r="DM67" s="1" t="s">
        <v>51376</v>
      </c>
      <c r="DN67" s="1" t="s">
        <v>51377</v>
      </c>
      <c r="DO67" s="1" t="s">
        <v>51378</v>
      </c>
      <c r="DP67" s="1" t="s">
        <v>51379</v>
      </c>
      <c r="DQ67" s="1" t="s">
        <v>51380</v>
      </c>
      <c r="DR67" s="1" t="s">
        <v>51381</v>
      </c>
      <c r="DS67" s="1" t="s">
        <v>51382</v>
      </c>
      <c r="DT67" s="1" t="s">
        <v>51383</v>
      </c>
      <c r="DU67" s="1" t="s">
        <v>51384</v>
      </c>
      <c r="DV67" s="1" t="s">
        <v>51385</v>
      </c>
      <c r="DW67" s="1" t="s">
        <v>51386</v>
      </c>
      <c r="DX67" s="1" t="s">
        <v>51387</v>
      </c>
      <c r="DY67" s="1" t="s">
        <v>51388</v>
      </c>
      <c r="DZ67" s="1" t="s">
        <v>51389</v>
      </c>
      <c r="EA67" s="1" t="s">
        <v>51390</v>
      </c>
      <c r="EB67" s="1" t="s">
        <v>51391</v>
      </c>
      <c r="EC67" s="1" t="s">
        <v>51392</v>
      </c>
      <c r="ED67" s="1" t="s">
        <v>51393</v>
      </c>
      <c r="EE67" s="1" t="s">
        <v>51394</v>
      </c>
      <c r="EF67" s="1" t="s">
        <v>51395</v>
      </c>
      <c r="EG67" s="1" t="s">
        <v>51396</v>
      </c>
      <c r="EH67" s="1" t="s">
        <v>51397</v>
      </c>
      <c r="EI67" s="1" t="s">
        <v>51398</v>
      </c>
      <c r="EJ67" s="1" t="s">
        <v>51399</v>
      </c>
      <c r="EK67" s="1" t="s">
        <v>51400</v>
      </c>
      <c r="EL67" s="1" t="s">
        <v>51401</v>
      </c>
      <c r="EM67" s="1" t="s">
        <v>51402</v>
      </c>
      <c r="EN67" s="1" t="s">
        <v>51403</v>
      </c>
      <c r="EO67" s="1" t="s">
        <v>51404</v>
      </c>
      <c r="EP67" s="1" t="s">
        <v>51405</v>
      </c>
      <c r="EQ67" s="1" t="s">
        <v>51406</v>
      </c>
      <c r="ER67" s="1" t="s">
        <v>51407</v>
      </c>
      <c r="ES67" s="1" t="s">
        <v>51408</v>
      </c>
      <c r="ET67" s="1" t="s">
        <v>51409</v>
      </c>
      <c r="EU67" s="1" t="s">
        <v>51410</v>
      </c>
      <c r="EV67" s="1" t="s">
        <v>51411</v>
      </c>
      <c r="EW67" s="1" t="s">
        <v>51412</v>
      </c>
      <c r="EX67" s="1" t="s">
        <v>51413</v>
      </c>
      <c r="EY67" s="1" t="s">
        <v>51414</v>
      </c>
      <c r="EZ67" s="1" t="s">
        <v>51415</v>
      </c>
      <c r="FA67" s="1" t="s">
        <v>51416</v>
      </c>
      <c r="FB67" s="1" t="s">
        <v>51417</v>
      </c>
      <c r="FC67" s="1" t="s">
        <v>51418</v>
      </c>
      <c r="FD67" s="1" t="s">
        <v>51419</v>
      </c>
      <c r="FE67" s="1" t="s">
        <v>51420</v>
      </c>
      <c r="FF67" s="1" t="s">
        <v>51421</v>
      </c>
      <c r="FG67" s="1" t="s">
        <v>51422</v>
      </c>
      <c r="FH67" s="1" t="s">
        <v>51423</v>
      </c>
      <c r="FI67" s="1" t="s">
        <v>51424</v>
      </c>
      <c r="FJ67" s="1" t="s">
        <v>51425</v>
      </c>
      <c r="FK67" s="1" t="s">
        <v>51426</v>
      </c>
      <c r="FL67" s="1" t="s">
        <v>51427</v>
      </c>
      <c r="FM67" s="1" t="s">
        <v>51428</v>
      </c>
      <c r="FN67" s="1" t="s">
        <v>51429</v>
      </c>
      <c r="FO67" s="1" t="s">
        <v>51430</v>
      </c>
      <c r="FP67" s="1" t="s">
        <v>51431</v>
      </c>
      <c r="FQ67" s="1" t="s">
        <v>51432</v>
      </c>
      <c r="FR67" s="1" t="s">
        <v>51433</v>
      </c>
      <c r="FS67" s="1" t="s">
        <v>51434</v>
      </c>
      <c r="FT67" s="1" t="s">
        <v>51435</v>
      </c>
      <c r="FU67" s="1" t="s">
        <v>51436</v>
      </c>
      <c r="FV67" s="1" t="s">
        <v>51437</v>
      </c>
      <c r="FW67" s="1" t="s">
        <v>51438</v>
      </c>
      <c r="FX67" s="1" t="s">
        <v>51439</v>
      </c>
      <c r="FY67" s="1" t="s">
        <v>51440</v>
      </c>
      <c r="FZ67" s="1" t="s">
        <v>51441</v>
      </c>
      <c r="GA67" s="1" t="s">
        <v>51442</v>
      </c>
      <c r="GB67" s="1" t="s">
        <v>51443</v>
      </c>
      <c r="GC67" s="1" t="s">
        <v>51444</v>
      </c>
      <c r="GD67" s="1" t="s">
        <v>51445</v>
      </c>
      <c r="GE67" s="1" t="s">
        <v>51446</v>
      </c>
      <c r="GF67" s="1" t="s">
        <v>51447</v>
      </c>
      <c r="GG67" s="1" t="s">
        <v>51448</v>
      </c>
      <c r="GH67" s="1" t="s">
        <v>51449</v>
      </c>
      <c r="GI67" s="1" t="s">
        <v>51450</v>
      </c>
      <c r="GJ67" s="1" t="s">
        <v>51451</v>
      </c>
      <c r="GK67" s="1" t="s">
        <v>51452</v>
      </c>
      <c r="GL67" s="1" t="s">
        <v>51453</v>
      </c>
      <c r="GM67" s="1" t="s">
        <v>51454</v>
      </c>
      <c r="GN67" s="1" t="s">
        <v>51455</v>
      </c>
      <c r="GO67" s="1" t="s">
        <v>51456</v>
      </c>
      <c r="GP67" s="1" t="s">
        <v>51457</v>
      </c>
      <c r="GQ67" s="1" t="s">
        <v>51458</v>
      </c>
      <c r="GR67" s="1" t="s">
        <v>51459</v>
      </c>
      <c r="GS67" s="1" t="s">
        <v>51460</v>
      </c>
      <c r="GT67" s="1" t="s">
        <v>51461</v>
      </c>
      <c r="GU67" s="1" t="s">
        <v>51462</v>
      </c>
      <c r="GV67" s="1" t="s">
        <v>51463</v>
      </c>
      <c r="GW67" s="1" t="s">
        <v>51464</v>
      </c>
      <c r="GX67" s="1" t="s">
        <v>51465</v>
      </c>
      <c r="GY67" s="1" t="s">
        <v>51466</v>
      </c>
      <c r="GZ67" s="1" t="s">
        <v>51467</v>
      </c>
      <c r="HA67" s="1" t="s">
        <v>51468</v>
      </c>
      <c r="HB67" s="1" t="s">
        <v>51469</v>
      </c>
      <c r="HC67" s="1" t="s">
        <v>51470</v>
      </c>
      <c r="HD67" s="1" t="s">
        <v>51471</v>
      </c>
      <c r="HE67" s="1" t="s">
        <v>51472</v>
      </c>
      <c r="HF67" s="1" t="s">
        <v>51473</v>
      </c>
      <c r="HG67" s="1" t="s">
        <v>51474</v>
      </c>
      <c r="HH67" s="1" t="s">
        <v>51475</v>
      </c>
      <c r="HI67" s="1" t="s">
        <v>51476</v>
      </c>
      <c r="HJ67" s="1" t="s">
        <v>51477</v>
      </c>
      <c r="HK67" s="1" t="s">
        <v>51478</v>
      </c>
      <c r="HL67" s="1" t="s">
        <v>51479</v>
      </c>
      <c r="HM67" s="1" t="s">
        <v>51480</v>
      </c>
      <c r="HN67" s="1" t="s">
        <v>51481</v>
      </c>
      <c r="HO67" s="1" t="s">
        <v>51482</v>
      </c>
      <c r="HP67" s="1" t="s">
        <v>51483</v>
      </c>
      <c r="HQ67" s="1" t="s">
        <v>51484</v>
      </c>
      <c r="HR67" s="1" t="s">
        <v>51485</v>
      </c>
      <c r="HS67" s="1" t="s">
        <v>51486</v>
      </c>
      <c r="HT67" s="1" t="s">
        <v>51487</v>
      </c>
      <c r="HU67" s="1" t="s">
        <v>51488</v>
      </c>
      <c r="HV67" s="1" t="s">
        <v>51489</v>
      </c>
      <c r="HW67" s="1" t="s">
        <v>51490</v>
      </c>
      <c r="HX67" s="1" t="s">
        <v>51491</v>
      </c>
      <c r="HY67" s="1" t="s">
        <v>51492</v>
      </c>
      <c r="HZ67" s="1" t="s">
        <v>51493</v>
      </c>
      <c r="IA67" s="1" t="s">
        <v>51494</v>
      </c>
      <c r="IB67" s="1" t="s">
        <v>51495</v>
      </c>
      <c r="IC67" s="1" t="s">
        <v>51496</v>
      </c>
      <c r="ID67" s="1" t="s">
        <v>51497</v>
      </c>
      <c r="IE67" s="1" t="s">
        <v>51498</v>
      </c>
      <c r="IF67" s="1" t="s">
        <v>51499</v>
      </c>
      <c r="IG67" s="1" t="s">
        <v>51500</v>
      </c>
      <c r="IH67" s="1" t="s">
        <v>51501</v>
      </c>
      <c r="II67" s="1" t="s">
        <v>51502</v>
      </c>
      <c r="IJ67" s="1" t="s">
        <v>51503</v>
      </c>
      <c r="IK67" s="1" t="s">
        <v>51504</v>
      </c>
      <c r="IL67" s="1" t="s">
        <v>51505</v>
      </c>
      <c r="IM67" s="1" t="s">
        <v>51506</v>
      </c>
      <c r="IN67" s="1" t="s">
        <v>51507</v>
      </c>
      <c r="IO67" s="1" t="s">
        <v>51508</v>
      </c>
      <c r="IP67" s="1" t="s">
        <v>51509</v>
      </c>
      <c r="IQ67" s="1" t="s">
        <v>51510</v>
      </c>
      <c r="IR67" s="1" t="s">
        <v>51511</v>
      </c>
      <c r="IS67" s="1" t="s">
        <v>51512</v>
      </c>
      <c r="IT67" s="1" t="s">
        <v>51513</v>
      </c>
      <c r="IU67" s="1" t="s">
        <v>51514</v>
      </c>
      <c r="IV67" s="1" t="s">
        <v>51515</v>
      </c>
      <c r="IW67" s="1" t="s">
        <v>51516</v>
      </c>
      <c r="IX67" s="1" t="s">
        <v>51517</v>
      </c>
      <c r="IY67" s="1" t="s">
        <v>51518</v>
      </c>
      <c r="IZ67" s="1" t="s">
        <v>51519</v>
      </c>
      <c r="JA67" s="1" t="s">
        <v>51520</v>
      </c>
      <c r="JB67" s="1" t="s">
        <v>51521</v>
      </c>
      <c r="JC67" s="1" t="s">
        <v>51522</v>
      </c>
      <c r="JD67" s="1" t="s">
        <v>51523</v>
      </c>
      <c r="JE67" s="1" t="s">
        <v>51524</v>
      </c>
      <c r="JF67" s="1" t="s">
        <v>51525</v>
      </c>
      <c r="JG67" s="1" t="s">
        <v>51526</v>
      </c>
      <c r="JH67" s="1" t="s">
        <v>51527</v>
      </c>
      <c r="JI67" s="1" t="s">
        <v>51528</v>
      </c>
      <c r="JJ67" s="1" t="s">
        <v>51529</v>
      </c>
      <c r="JK67" s="1" t="s">
        <v>51530</v>
      </c>
      <c r="JL67" s="1" t="s">
        <v>51531</v>
      </c>
      <c r="JM67" s="1" t="s">
        <v>51532</v>
      </c>
      <c r="JN67" s="1" t="s">
        <v>51533</v>
      </c>
      <c r="JO67" s="1" t="s">
        <v>51534</v>
      </c>
      <c r="JP67" s="1" t="s">
        <v>51535</v>
      </c>
      <c r="JQ67" s="1" t="s">
        <v>51536</v>
      </c>
      <c r="JR67" s="1" t="s">
        <v>51537</v>
      </c>
      <c r="JS67" s="1" t="s">
        <v>51538</v>
      </c>
      <c r="JT67" s="1" t="s">
        <v>51539</v>
      </c>
      <c r="JU67" s="1" t="s">
        <v>51540</v>
      </c>
      <c r="JV67" s="1" t="s">
        <v>51541</v>
      </c>
      <c r="JW67" s="1" t="s">
        <v>51542</v>
      </c>
      <c r="JX67" s="1" t="s">
        <v>51543</v>
      </c>
      <c r="JY67" s="1" t="s">
        <v>51544</v>
      </c>
      <c r="JZ67" s="1" t="s">
        <v>51545</v>
      </c>
      <c r="KA67" s="1" t="s">
        <v>51546</v>
      </c>
      <c r="KB67" s="1" t="s">
        <v>51547</v>
      </c>
      <c r="KC67" s="1" t="s">
        <v>51548</v>
      </c>
      <c r="KD67" s="1" t="s">
        <v>51549</v>
      </c>
      <c r="KE67" s="1" t="s">
        <v>51550</v>
      </c>
      <c r="KF67" s="1" t="s">
        <v>51551</v>
      </c>
      <c r="KG67" s="1" t="s">
        <v>51552</v>
      </c>
      <c r="KH67" s="1" t="s">
        <v>51553</v>
      </c>
      <c r="KI67" s="1" t="s">
        <v>51554</v>
      </c>
      <c r="KJ67" s="1" t="s">
        <v>51555</v>
      </c>
      <c r="KK67" s="1" t="s">
        <v>51556</v>
      </c>
      <c r="KL67" s="1" t="s">
        <v>51557</v>
      </c>
      <c r="KM67" s="1" t="s">
        <v>51558</v>
      </c>
      <c r="KN67" s="1" t="s">
        <v>51559</v>
      </c>
      <c r="KO67" s="1" t="s">
        <v>51560</v>
      </c>
      <c r="KP67" s="1" t="s">
        <v>51561</v>
      </c>
      <c r="KQ67" s="1" t="s">
        <v>51562</v>
      </c>
      <c r="KR67" s="1" t="s">
        <v>51563</v>
      </c>
      <c r="KS67" s="1" t="s">
        <v>51564</v>
      </c>
      <c r="KT67" s="1" t="s">
        <v>51565</v>
      </c>
      <c r="KU67" s="1" t="s">
        <v>51566</v>
      </c>
      <c r="KV67" s="1" t="s">
        <v>51567</v>
      </c>
      <c r="KW67" s="1" t="s">
        <v>51568</v>
      </c>
      <c r="KX67" s="1" t="s">
        <v>51569</v>
      </c>
      <c r="KY67" s="1" t="s">
        <v>51570</v>
      </c>
      <c r="KZ67" s="1" t="s">
        <v>51571</v>
      </c>
      <c r="LA67" s="1" t="s">
        <v>51572</v>
      </c>
      <c r="LB67" s="1" t="s">
        <v>51573</v>
      </c>
      <c r="LC67" s="1" t="s">
        <v>51574</v>
      </c>
      <c r="LD67" s="1" t="s">
        <v>51575</v>
      </c>
      <c r="LE67" s="1" t="s">
        <v>51576</v>
      </c>
      <c r="LF67" s="1" t="s">
        <v>51577</v>
      </c>
      <c r="LG67" s="1" t="s">
        <v>51578</v>
      </c>
      <c r="LH67" s="1" t="s">
        <v>51579</v>
      </c>
      <c r="LI67" s="1" t="s">
        <v>51580</v>
      </c>
      <c r="LJ67" s="1" t="s">
        <v>51581</v>
      </c>
      <c r="LK67" s="1" t="s">
        <v>51582</v>
      </c>
      <c r="LL67" s="1" t="s">
        <v>51583</v>
      </c>
      <c r="LM67" s="1" t="s">
        <v>51584</v>
      </c>
      <c r="LN67" s="1" t="s">
        <v>51585</v>
      </c>
      <c r="LO67" s="1" t="s">
        <v>51586</v>
      </c>
      <c r="LP67" s="1" t="s">
        <v>51587</v>
      </c>
      <c r="LQ67" s="1" t="s">
        <v>51588</v>
      </c>
      <c r="LR67" s="1" t="s">
        <v>51589</v>
      </c>
      <c r="LS67" s="1" t="s">
        <v>51590</v>
      </c>
      <c r="LT67" s="1" t="s">
        <v>51591</v>
      </c>
      <c r="LU67" s="1" t="s">
        <v>51592</v>
      </c>
      <c r="LV67" s="1" t="s">
        <v>51593</v>
      </c>
      <c r="LW67" s="1" t="s">
        <v>51594</v>
      </c>
      <c r="LX67" s="1" t="s">
        <v>51595</v>
      </c>
      <c r="LY67" s="1" t="s">
        <v>51596</v>
      </c>
      <c r="LZ67" s="1" t="s">
        <v>51597</v>
      </c>
      <c r="MA67" s="1" t="s">
        <v>51598</v>
      </c>
      <c r="MB67" s="1" t="s">
        <v>51599</v>
      </c>
      <c r="MC67" s="1" t="s">
        <v>51600</v>
      </c>
      <c r="MD67" s="1" t="s">
        <v>51601</v>
      </c>
      <c r="ME67" s="1" t="s">
        <v>51602</v>
      </c>
      <c r="MF67" s="1" t="s">
        <v>51603</v>
      </c>
      <c r="MG67" s="1" t="s">
        <v>51604</v>
      </c>
      <c r="MH67" s="1" t="s">
        <v>51605</v>
      </c>
      <c r="MI67" s="1" t="s">
        <v>51606</v>
      </c>
      <c r="MJ67" s="1" t="s">
        <v>51607</v>
      </c>
      <c r="MK67" s="1" t="s">
        <v>51608</v>
      </c>
      <c r="ML67" s="1" t="s">
        <v>51609</v>
      </c>
      <c r="MM67" s="1" t="s">
        <v>51610</v>
      </c>
      <c r="MN67" s="1" t="s">
        <v>51611</v>
      </c>
      <c r="MO67" s="1" t="s">
        <v>51612</v>
      </c>
      <c r="MP67" s="1" t="s">
        <v>51613</v>
      </c>
      <c r="MQ67" s="1" t="s">
        <v>51614</v>
      </c>
      <c r="MR67" s="1" t="s">
        <v>51615</v>
      </c>
      <c r="MS67" s="1" t="s">
        <v>51616</v>
      </c>
      <c r="MT67" s="1" t="s">
        <v>51617</v>
      </c>
      <c r="MU67" s="1" t="s">
        <v>51618</v>
      </c>
      <c r="MV67" s="1" t="s">
        <v>51619</v>
      </c>
      <c r="MW67" s="1" t="s">
        <v>51620</v>
      </c>
      <c r="MX67" s="1" t="s">
        <v>51621</v>
      </c>
      <c r="MY67" s="1" t="s">
        <v>51622</v>
      </c>
      <c r="MZ67" s="1" t="s">
        <v>51623</v>
      </c>
      <c r="NA67" s="1" t="s">
        <v>51624</v>
      </c>
      <c r="NB67" s="1" t="s">
        <v>51625</v>
      </c>
      <c r="NC67" s="1" t="s">
        <v>51626</v>
      </c>
      <c r="ND67" s="1" t="s">
        <v>51627</v>
      </c>
      <c r="NE67" s="1" t="s">
        <v>51628</v>
      </c>
      <c r="NF67" s="1" t="s">
        <v>51629</v>
      </c>
      <c r="NG67" s="1" t="s">
        <v>51630</v>
      </c>
      <c r="NH67" s="1" t="s">
        <v>51631</v>
      </c>
      <c r="NI67" s="1" t="s">
        <v>51632</v>
      </c>
      <c r="NJ67" s="1" t="s">
        <v>51633</v>
      </c>
      <c r="NK67" s="1" t="s">
        <v>51634</v>
      </c>
      <c r="NL67" s="1" t="s">
        <v>51635</v>
      </c>
      <c r="NM67" s="1" t="s">
        <v>51636</v>
      </c>
      <c r="NN67" s="1" t="s">
        <v>51637</v>
      </c>
      <c r="NO67" s="1" t="s">
        <v>51638</v>
      </c>
      <c r="NP67" s="1" t="s">
        <v>51639</v>
      </c>
      <c r="NQ67" s="1" t="s">
        <v>51640</v>
      </c>
      <c r="NR67" s="1" t="s">
        <v>51641</v>
      </c>
      <c r="NS67" s="1" t="s">
        <v>51642</v>
      </c>
      <c r="NT67" s="1" t="s">
        <v>51643</v>
      </c>
      <c r="NU67" s="1" t="s">
        <v>51644</v>
      </c>
      <c r="NV67" s="1" t="s">
        <v>51645</v>
      </c>
      <c r="NW67" s="1" t="s">
        <v>51646</v>
      </c>
      <c r="NX67" s="1" t="s">
        <v>51647</v>
      </c>
      <c r="NY67" s="1" t="s">
        <v>51648</v>
      </c>
      <c r="NZ67" s="1" t="s">
        <v>51649</v>
      </c>
      <c r="OA67" s="1" t="s">
        <v>51650</v>
      </c>
      <c r="OB67" s="1" t="s">
        <v>51651</v>
      </c>
      <c r="OC67" s="1" t="s">
        <v>51652</v>
      </c>
      <c r="OD67" s="1" t="s">
        <v>51653</v>
      </c>
      <c r="OE67" s="1" t="s">
        <v>51654</v>
      </c>
      <c r="OF67" s="1" t="s">
        <v>51655</v>
      </c>
      <c r="OG67" s="1" t="s">
        <v>51656</v>
      </c>
      <c r="OH67" s="1" t="s">
        <v>51657</v>
      </c>
      <c r="OI67" s="1" t="s">
        <v>51658</v>
      </c>
      <c r="OJ67" s="1" t="s">
        <v>51659</v>
      </c>
      <c r="OK67" s="1" t="s">
        <v>51660</v>
      </c>
      <c r="OL67" s="1" t="s">
        <v>51661</v>
      </c>
      <c r="OM67" s="1" t="s">
        <v>51662</v>
      </c>
      <c r="ON67" s="1" t="s">
        <v>51663</v>
      </c>
      <c r="OO67" s="1" t="s">
        <v>51664</v>
      </c>
      <c r="OP67" s="1" t="s">
        <v>51665</v>
      </c>
      <c r="OQ67" s="1" t="s">
        <v>51666</v>
      </c>
      <c r="OR67" s="1" t="s">
        <v>51667</v>
      </c>
      <c r="OS67" s="1" t="s">
        <v>51668</v>
      </c>
      <c r="OT67" s="1" t="s">
        <v>51669</v>
      </c>
      <c r="OU67" s="1" t="s">
        <v>51670</v>
      </c>
      <c r="OV67" s="1" t="s">
        <v>51671</v>
      </c>
      <c r="OW67" s="1" t="s">
        <v>51672</v>
      </c>
      <c r="OX67" s="1" t="s">
        <v>51673</v>
      </c>
      <c r="OY67" s="1" t="s">
        <v>51674</v>
      </c>
      <c r="OZ67" s="1" t="s">
        <v>51675</v>
      </c>
      <c r="PA67" s="1" t="s">
        <v>51676</v>
      </c>
      <c r="PB67" s="1" t="s">
        <v>51677</v>
      </c>
      <c r="PC67" s="1" t="s">
        <v>51678</v>
      </c>
      <c r="PD67" s="1" t="s">
        <v>51679</v>
      </c>
      <c r="PE67" s="1" t="s">
        <v>51680</v>
      </c>
      <c r="PF67" s="1" t="s">
        <v>51681</v>
      </c>
      <c r="PG67" s="1" t="s">
        <v>51682</v>
      </c>
      <c r="PH67" s="1" t="s">
        <v>51683</v>
      </c>
      <c r="PI67" s="1" t="s">
        <v>51684</v>
      </c>
      <c r="PJ67" s="1" t="s">
        <v>51685</v>
      </c>
      <c r="PK67" s="1" t="s">
        <v>51686</v>
      </c>
      <c r="PL67" s="1" t="s">
        <v>51687</v>
      </c>
      <c r="PM67" s="1" t="s">
        <v>51688</v>
      </c>
      <c r="PN67" s="1" t="s">
        <v>51689</v>
      </c>
      <c r="PO67" s="1" t="s">
        <v>51690</v>
      </c>
      <c r="PP67" s="1" t="s">
        <v>51691</v>
      </c>
      <c r="PQ67" s="1" t="s">
        <v>51692</v>
      </c>
      <c r="PR67" s="1" t="s">
        <v>51693</v>
      </c>
      <c r="PS67" s="1" t="s">
        <v>51694</v>
      </c>
      <c r="PT67" s="1" t="s">
        <v>51695</v>
      </c>
      <c r="PU67" s="1" t="s">
        <v>51696</v>
      </c>
      <c r="PV67" s="1" t="s">
        <v>51697</v>
      </c>
      <c r="PW67" s="1" t="s">
        <v>51698</v>
      </c>
      <c r="PX67" s="1" t="s">
        <v>51699</v>
      </c>
      <c r="PY67" s="1" t="s">
        <v>51700</v>
      </c>
      <c r="PZ67" s="1" t="s">
        <v>51701</v>
      </c>
      <c r="QA67" s="1" t="s">
        <v>51702</v>
      </c>
      <c r="QB67" s="1" t="s">
        <v>51703</v>
      </c>
      <c r="QC67" s="1" t="s">
        <v>51704</v>
      </c>
      <c r="QD67" s="1" t="s">
        <v>51705</v>
      </c>
      <c r="QE67" s="1" t="s">
        <v>51706</v>
      </c>
      <c r="QF67" s="1" t="s">
        <v>51707</v>
      </c>
      <c r="QG67" s="1" t="s">
        <v>51708</v>
      </c>
      <c r="QH67" s="1" t="s">
        <v>51709</v>
      </c>
      <c r="QI67" s="1" t="s">
        <v>51710</v>
      </c>
      <c r="QJ67" s="1" t="s">
        <v>51711</v>
      </c>
      <c r="QK67" s="1" t="s">
        <v>51712</v>
      </c>
      <c r="QL67" s="1" t="s">
        <v>51713</v>
      </c>
      <c r="QM67" s="1" t="s">
        <v>51714</v>
      </c>
      <c r="QN67" s="1" t="s">
        <v>51715</v>
      </c>
      <c r="QO67" s="1" t="s">
        <v>51716</v>
      </c>
      <c r="QP67" s="1" t="s">
        <v>51717</v>
      </c>
      <c r="QQ67" s="1" t="s">
        <v>51718</v>
      </c>
      <c r="QR67" s="1" t="s">
        <v>51719</v>
      </c>
      <c r="QS67" s="1" t="s">
        <v>51720</v>
      </c>
      <c r="QT67" s="1" t="s">
        <v>51721</v>
      </c>
      <c r="QU67" s="1" t="s">
        <v>51722</v>
      </c>
      <c r="QV67" s="1" t="s">
        <v>51723</v>
      </c>
      <c r="QW67" s="1" t="s">
        <v>51724</v>
      </c>
      <c r="QX67" s="1" t="s">
        <v>51725</v>
      </c>
      <c r="QY67" s="1" t="s">
        <v>51726</v>
      </c>
      <c r="QZ67" s="1" t="s">
        <v>51727</v>
      </c>
      <c r="RA67" s="1" t="s">
        <v>51728</v>
      </c>
      <c r="RB67" s="1" t="s">
        <v>51729</v>
      </c>
      <c r="RC67" s="1" t="s">
        <v>51730</v>
      </c>
      <c r="RD67" s="1" t="s">
        <v>51731</v>
      </c>
      <c r="RE67" s="1" t="s">
        <v>51732</v>
      </c>
      <c r="RF67" s="1" t="s">
        <v>51733</v>
      </c>
      <c r="RG67" s="1" t="s">
        <v>51734</v>
      </c>
      <c r="RH67" s="1" t="s">
        <v>51735</v>
      </c>
      <c r="RI67" s="1" t="s">
        <v>51736</v>
      </c>
      <c r="RJ67" s="1" t="s">
        <v>51737</v>
      </c>
      <c r="RK67" s="1" t="s">
        <v>51738</v>
      </c>
      <c r="RL67" s="1" t="s">
        <v>51739</v>
      </c>
      <c r="RM67" s="1" t="s">
        <v>51740</v>
      </c>
      <c r="RN67" s="1" t="s">
        <v>51741</v>
      </c>
      <c r="RO67" s="1" t="s">
        <v>51742</v>
      </c>
      <c r="RP67" s="1" t="s">
        <v>51743</v>
      </c>
      <c r="RQ67" s="1" t="s">
        <v>51744</v>
      </c>
      <c r="RR67" s="1" t="s">
        <v>51745</v>
      </c>
      <c r="RS67" s="1" t="s">
        <v>51746</v>
      </c>
      <c r="RT67" s="1" t="s">
        <v>51747</v>
      </c>
      <c r="RU67" s="1" t="s">
        <v>51748</v>
      </c>
      <c r="RV67" s="1" t="s">
        <v>51749</v>
      </c>
      <c r="RW67" s="1" t="s">
        <v>51750</v>
      </c>
      <c r="RX67" s="1" t="s">
        <v>51751</v>
      </c>
      <c r="RY67" s="1" t="s">
        <v>51752</v>
      </c>
      <c r="RZ67" s="1" t="s">
        <v>51753</v>
      </c>
      <c r="SA67" s="1" t="s">
        <v>51754</v>
      </c>
      <c r="SB67" s="1" t="s">
        <v>51755</v>
      </c>
      <c r="SC67" s="1" t="s">
        <v>51756</v>
      </c>
      <c r="SD67" s="1" t="s">
        <v>51757</v>
      </c>
      <c r="SE67" s="1" t="s">
        <v>51758</v>
      </c>
      <c r="SF67" s="1" t="s">
        <v>51759</v>
      </c>
      <c r="SG67" s="1" t="s">
        <v>51760</v>
      </c>
      <c r="SH67" s="1" t="s">
        <v>51761</v>
      </c>
      <c r="SI67" s="1" t="s">
        <v>51762</v>
      </c>
      <c r="SJ67" s="1" t="s">
        <v>51763</v>
      </c>
      <c r="SK67" s="1" t="s">
        <v>51764</v>
      </c>
      <c r="SL67" s="1" t="s">
        <v>51765</v>
      </c>
      <c r="SM67" s="1" t="s">
        <v>51766</v>
      </c>
      <c r="SN67" s="1" t="s">
        <v>51767</v>
      </c>
      <c r="SO67" s="1" t="s">
        <v>51768</v>
      </c>
      <c r="SP67" s="1" t="s">
        <v>51769</v>
      </c>
      <c r="SQ67" s="1" t="s">
        <v>51770</v>
      </c>
      <c r="SR67" s="1" t="s">
        <v>51771</v>
      </c>
      <c r="SS67" s="1" t="s">
        <v>51772</v>
      </c>
      <c r="ST67" s="1" t="s">
        <v>51773</v>
      </c>
      <c r="SU67" s="1" t="s">
        <v>51774</v>
      </c>
      <c r="SV67" s="1" t="s">
        <v>51775</v>
      </c>
      <c r="SW67" s="1" t="s">
        <v>51776</v>
      </c>
      <c r="SX67" s="1" t="s">
        <v>51777</v>
      </c>
      <c r="SY67" s="1" t="s">
        <v>51778</v>
      </c>
      <c r="SZ67" s="1" t="s">
        <v>51779</v>
      </c>
      <c r="TA67" s="1" t="s">
        <v>51780</v>
      </c>
      <c r="TB67" s="1" t="s">
        <v>51781</v>
      </c>
      <c r="TC67" s="1" t="s">
        <v>51782</v>
      </c>
      <c r="TD67" s="1" t="s">
        <v>51783</v>
      </c>
      <c r="TE67" s="1" t="s">
        <v>51784</v>
      </c>
      <c r="TF67" s="1" t="s">
        <v>51785</v>
      </c>
      <c r="TG67" s="1" t="s">
        <v>51786</v>
      </c>
      <c r="TH67" s="1" t="s">
        <v>51787</v>
      </c>
      <c r="TI67" s="1" t="s">
        <v>51788</v>
      </c>
      <c r="TJ67" s="1" t="s">
        <v>51789</v>
      </c>
      <c r="TK67" s="1" t="s">
        <v>51790</v>
      </c>
      <c r="TL67" s="1" t="s">
        <v>51791</v>
      </c>
      <c r="TM67" s="1" t="s">
        <v>51792</v>
      </c>
      <c r="TN67" s="1" t="s">
        <v>51793</v>
      </c>
      <c r="TO67" s="1" t="s">
        <v>51794</v>
      </c>
      <c r="TP67" s="1" t="s">
        <v>51795</v>
      </c>
      <c r="TQ67" s="1" t="s">
        <v>51796</v>
      </c>
      <c r="TR67" s="1" t="s">
        <v>51797</v>
      </c>
      <c r="TS67" s="1" t="s">
        <v>51798</v>
      </c>
      <c r="TT67" s="1" t="s">
        <v>51799</v>
      </c>
      <c r="TU67" s="1" t="s">
        <v>51800</v>
      </c>
      <c r="TV67" s="1" t="s">
        <v>51801</v>
      </c>
      <c r="TW67" s="1" t="s">
        <v>51802</v>
      </c>
      <c r="TX67" s="1" t="s">
        <v>51803</v>
      </c>
      <c r="TY67" s="1" t="s">
        <v>51804</v>
      </c>
      <c r="TZ67" s="1" t="s">
        <v>51805</v>
      </c>
      <c r="UA67" s="1" t="s">
        <v>51806</v>
      </c>
      <c r="UB67" s="1" t="s">
        <v>51807</v>
      </c>
      <c r="UC67" s="1" t="s">
        <v>51808</v>
      </c>
      <c r="UD67" s="1" t="s">
        <v>51809</v>
      </c>
      <c r="UE67" s="1" t="s">
        <v>51810</v>
      </c>
      <c r="UF67" s="1" t="s">
        <v>51811</v>
      </c>
      <c r="UG67" s="1" t="s">
        <v>51812</v>
      </c>
      <c r="UH67" s="1" t="s">
        <v>51813</v>
      </c>
      <c r="UI67" s="1" t="s">
        <v>51814</v>
      </c>
      <c r="UJ67" s="1" t="s">
        <v>51815</v>
      </c>
      <c r="UK67" s="1" t="s">
        <v>51816</v>
      </c>
      <c r="UL67" s="1" t="s">
        <v>51817</v>
      </c>
      <c r="UM67" s="1" t="s">
        <v>51818</v>
      </c>
      <c r="UN67" s="1" t="s">
        <v>51819</v>
      </c>
      <c r="UO67" s="1" t="s">
        <v>51820</v>
      </c>
      <c r="UP67" s="1" t="s">
        <v>51821</v>
      </c>
      <c r="UQ67" s="1" t="s">
        <v>51822</v>
      </c>
      <c r="UR67" s="1" t="s">
        <v>51823</v>
      </c>
      <c r="US67" s="1" t="s">
        <v>51824</v>
      </c>
      <c r="UT67" s="1" t="s">
        <v>51825</v>
      </c>
      <c r="UU67" s="1" t="s">
        <v>51826</v>
      </c>
      <c r="UV67" s="1" t="s">
        <v>51827</v>
      </c>
      <c r="UW67" s="1" t="s">
        <v>51828</v>
      </c>
      <c r="UX67" s="1" t="s">
        <v>51829</v>
      </c>
      <c r="UY67" s="1" t="s">
        <v>51830</v>
      </c>
      <c r="UZ67" s="1" t="s">
        <v>51831</v>
      </c>
      <c r="VA67" s="1" t="s">
        <v>51832</v>
      </c>
      <c r="VB67" s="1" t="s">
        <v>51833</v>
      </c>
      <c r="VC67" s="1" t="s">
        <v>51834</v>
      </c>
      <c r="VD67" s="1" t="s">
        <v>51835</v>
      </c>
      <c r="VE67" s="1" t="s">
        <v>51836</v>
      </c>
      <c r="VF67" s="1" t="s">
        <v>51837</v>
      </c>
      <c r="VG67" s="1" t="s">
        <v>51838</v>
      </c>
      <c r="VH67" s="1" t="s">
        <v>51839</v>
      </c>
      <c r="VI67" s="1" t="s">
        <v>51840</v>
      </c>
      <c r="VJ67" s="1" t="s">
        <v>51841</v>
      </c>
      <c r="VK67" s="1" t="s">
        <v>51842</v>
      </c>
      <c r="VL67" s="1" t="s">
        <v>51843</v>
      </c>
      <c r="VM67" s="1" t="s">
        <v>51844</v>
      </c>
      <c r="VN67" s="1" t="s">
        <v>51845</v>
      </c>
      <c r="VO67" s="1" t="s">
        <v>51846</v>
      </c>
      <c r="VP67" s="1" t="s">
        <v>51847</v>
      </c>
      <c r="VQ67" s="1" t="s">
        <v>51848</v>
      </c>
      <c r="VR67" s="1" t="s">
        <v>51849</v>
      </c>
      <c r="VS67" s="1" t="s">
        <v>51850</v>
      </c>
      <c r="VT67" s="1" t="s">
        <v>51851</v>
      </c>
      <c r="VU67" s="1" t="s">
        <v>51852</v>
      </c>
      <c r="VV67" s="1" t="s">
        <v>51853</v>
      </c>
      <c r="VW67" s="1" t="s">
        <v>51854</v>
      </c>
      <c r="VX67" s="1" t="s">
        <v>51855</v>
      </c>
      <c r="VY67" s="1" t="s">
        <v>51856</v>
      </c>
      <c r="VZ67" s="1" t="s">
        <v>51857</v>
      </c>
      <c r="WA67" s="1" t="s">
        <v>51858</v>
      </c>
      <c r="WB67" s="1" t="s">
        <v>51859</v>
      </c>
      <c r="WC67" s="1" t="s">
        <v>51860</v>
      </c>
      <c r="WD67" s="1" t="s">
        <v>51861</v>
      </c>
      <c r="WE67" s="1" t="s">
        <v>51862</v>
      </c>
      <c r="WF67" s="1" t="s">
        <v>51863</v>
      </c>
      <c r="WG67" s="1" t="s">
        <v>51864</v>
      </c>
      <c r="WH67" s="1" t="s">
        <v>51865</v>
      </c>
      <c r="WI67" s="1" t="s">
        <v>51866</v>
      </c>
      <c r="WJ67" s="1" t="s">
        <v>51867</v>
      </c>
      <c r="WK67" s="1" t="s">
        <v>51868</v>
      </c>
      <c r="WL67" s="1" t="s">
        <v>51869</v>
      </c>
      <c r="WM67" s="1" t="s">
        <v>51870</v>
      </c>
      <c r="WN67" s="1" t="s">
        <v>51871</v>
      </c>
      <c r="WO67" s="1" t="s">
        <v>51872</v>
      </c>
      <c r="WP67" s="1" t="s">
        <v>51873</v>
      </c>
      <c r="WQ67" s="1" t="s">
        <v>51874</v>
      </c>
      <c r="WR67" s="1" t="s">
        <v>51875</v>
      </c>
      <c r="WS67" s="1" t="s">
        <v>51876</v>
      </c>
      <c r="WT67" s="1" t="s">
        <v>51877</v>
      </c>
      <c r="WU67" s="1" t="s">
        <v>51878</v>
      </c>
      <c r="WV67" s="1" t="s">
        <v>51879</v>
      </c>
      <c r="WW67" s="1" t="s">
        <v>51880</v>
      </c>
      <c r="WX67" s="1" t="s">
        <v>51881</v>
      </c>
      <c r="WY67" s="1" t="s">
        <v>51882</v>
      </c>
      <c r="WZ67" s="1" t="s">
        <v>51883</v>
      </c>
      <c r="XA67" s="1" t="s">
        <v>51884</v>
      </c>
      <c r="XB67" s="1" t="s">
        <v>51885</v>
      </c>
      <c r="XC67" s="1" t="s">
        <v>51886</v>
      </c>
      <c r="XD67" s="1" t="s">
        <v>51887</v>
      </c>
      <c r="XE67" s="1" t="s">
        <v>51888</v>
      </c>
      <c r="XF67" s="1" t="s">
        <v>51889</v>
      </c>
      <c r="XG67" s="1" t="s">
        <v>51890</v>
      </c>
      <c r="XH67" s="1" t="s">
        <v>51891</v>
      </c>
      <c r="XI67" s="1" t="s">
        <v>51892</v>
      </c>
      <c r="XJ67" s="1" t="s">
        <v>51893</v>
      </c>
      <c r="XK67" s="1" t="s">
        <v>51894</v>
      </c>
      <c r="XL67" s="1" t="s">
        <v>51895</v>
      </c>
      <c r="XM67" s="1" t="s">
        <v>51896</v>
      </c>
      <c r="XN67" s="1" t="s">
        <v>51897</v>
      </c>
      <c r="XO67" s="1" t="s">
        <v>51898</v>
      </c>
      <c r="XP67" s="1" t="s">
        <v>51899</v>
      </c>
      <c r="XQ67" s="1" t="s">
        <v>51900</v>
      </c>
      <c r="XR67" s="1" t="s">
        <v>51901</v>
      </c>
      <c r="XS67" s="1" t="s">
        <v>51902</v>
      </c>
      <c r="XT67" s="1" t="s">
        <v>51903</v>
      </c>
      <c r="XU67" s="1" t="s">
        <v>51904</v>
      </c>
      <c r="XV67" s="1" t="s">
        <v>51905</v>
      </c>
      <c r="XW67" s="1" t="s">
        <v>51906</v>
      </c>
      <c r="XX67" s="1" t="s">
        <v>51907</v>
      </c>
      <c r="XY67" s="1" t="s">
        <v>51908</v>
      </c>
      <c r="XZ67" s="1" t="s">
        <v>51909</v>
      </c>
      <c r="YA67" s="1" t="s">
        <v>51910</v>
      </c>
      <c r="YB67" s="1" t="s">
        <v>51911</v>
      </c>
      <c r="YC67" s="1" t="s">
        <v>51912</v>
      </c>
      <c r="YD67" s="1" t="s">
        <v>51913</v>
      </c>
      <c r="YE67" s="1" t="s">
        <v>51914</v>
      </c>
      <c r="YF67" s="1" t="s">
        <v>51915</v>
      </c>
      <c r="YG67" s="1" t="s">
        <v>51916</v>
      </c>
      <c r="YH67" s="1" t="s">
        <v>51917</v>
      </c>
      <c r="YI67" s="1" t="s">
        <v>51918</v>
      </c>
      <c r="YJ67" s="1" t="s">
        <v>51919</v>
      </c>
      <c r="YK67" s="1" t="s">
        <v>51920</v>
      </c>
      <c r="YL67" s="1" t="s">
        <v>51921</v>
      </c>
      <c r="YM67" s="1" t="s">
        <v>51922</v>
      </c>
      <c r="YN67" s="1" t="s">
        <v>51923</v>
      </c>
      <c r="YO67" s="1" t="s">
        <v>51924</v>
      </c>
      <c r="YP67" s="1" t="s">
        <v>51925</v>
      </c>
      <c r="YQ67" s="1" t="s">
        <v>51926</v>
      </c>
      <c r="YR67" s="1" t="s">
        <v>51927</v>
      </c>
      <c r="YS67" s="1" t="s">
        <v>51928</v>
      </c>
      <c r="YT67" s="1" t="s">
        <v>51929</v>
      </c>
      <c r="YU67" s="1" t="s">
        <v>51930</v>
      </c>
      <c r="YV67" s="1" t="s">
        <v>51931</v>
      </c>
      <c r="YW67" s="1" t="s">
        <v>51932</v>
      </c>
      <c r="YX67" s="1" t="s">
        <v>51933</v>
      </c>
      <c r="YY67" s="1" t="s">
        <v>51934</v>
      </c>
      <c r="YZ67" s="1" t="s">
        <v>51935</v>
      </c>
      <c r="ZA67" s="1" t="s">
        <v>51936</v>
      </c>
      <c r="ZB67" s="1" t="s">
        <v>51937</v>
      </c>
      <c r="ZC67" s="1" t="s">
        <v>51938</v>
      </c>
      <c r="ZD67" s="1" t="s">
        <v>51939</v>
      </c>
      <c r="ZE67" s="1" t="s">
        <v>51940</v>
      </c>
      <c r="ZF67" s="1" t="s">
        <v>51941</v>
      </c>
      <c r="ZG67" s="1" t="s">
        <v>51942</v>
      </c>
      <c r="ZH67" s="1" t="s">
        <v>51943</v>
      </c>
      <c r="ZI67" s="1" t="s">
        <v>51944</v>
      </c>
      <c r="ZJ67" s="1" t="s">
        <v>51945</v>
      </c>
      <c r="ZK67" s="1" t="s">
        <v>51946</v>
      </c>
      <c r="ZL67" s="1" t="s">
        <v>51947</v>
      </c>
      <c r="ZM67" s="1" t="s">
        <v>51948</v>
      </c>
      <c r="ZN67" s="1" t="s">
        <v>51949</v>
      </c>
      <c r="ZO67" s="1" t="s">
        <v>51950</v>
      </c>
      <c r="ZP67" s="1" t="s">
        <v>51951</v>
      </c>
      <c r="ZQ67" s="1" t="s">
        <v>51952</v>
      </c>
      <c r="ZR67" s="1" t="s">
        <v>51953</v>
      </c>
      <c r="ZS67" s="1" t="s">
        <v>51954</v>
      </c>
      <c r="ZT67" s="1" t="s">
        <v>51955</v>
      </c>
      <c r="ZU67" s="1" t="s">
        <v>51956</v>
      </c>
      <c r="ZV67" s="1" t="s">
        <v>51957</v>
      </c>
      <c r="ZW67" s="1" t="s">
        <v>51958</v>
      </c>
      <c r="ZX67" s="1" t="s">
        <v>51959</v>
      </c>
      <c r="ZY67" s="1" t="s">
        <v>51960</v>
      </c>
      <c r="ZZ67" s="1" t="s">
        <v>51961</v>
      </c>
      <c r="AAA67" s="1" t="s">
        <v>51962</v>
      </c>
      <c r="AAB67" s="1" t="s">
        <v>51963</v>
      </c>
      <c r="AAC67" s="1" t="s">
        <v>51964</v>
      </c>
      <c r="AAD67" s="1" t="s">
        <v>51965</v>
      </c>
      <c r="AAE67" s="1" t="s">
        <v>51966</v>
      </c>
      <c r="AAF67" s="1" t="s">
        <v>51967</v>
      </c>
      <c r="AAG67" s="1" t="s">
        <v>51968</v>
      </c>
      <c r="AAH67" s="1" t="s">
        <v>51969</v>
      </c>
      <c r="AAI67" s="1" t="s">
        <v>51970</v>
      </c>
      <c r="AAJ67" s="1" t="s">
        <v>51971</v>
      </c>
      <c r="AAK67" s="1" t="s">
        <v>51972</v>
      </c>
      <c r="AAL67" s="1" t="s">
        <v>51973</v>
      </c>
      <c r="AAM67" s="1" t="s">
        <v>51974</v>
      </c>
      <c r="AAN67" s="1" t="s">
        <v>51975</v>
      </c>
      <c r="AAO67" s="1" t="s">
        <v>51976</v>
      </c>
      <c r="AAP67" s="1" t="s">
        <v>51977</v>
      </c>
      <c r="AAQ67" s="1" t="s">
        <v>51978</v>
      </c>
      <c r="AAR67" s="1" t="s">
        <v>51979</v>
      </c>
      <c r="AAS67" s="1" t="s">
        <v>51980</v>
      </c>
      <c r="AAT67" s="1" t="s">
        <v>51981</v>
      </c>
      <c r="AAU67" s="1" t="s">
        <v>51982</v>
      </c>
      <c r="AAV67" s="1" t="s">
        <v>51983</v>
      </c>
      <c r="AAW67" s="1" t="s">
        <v>51984</v>
      </c>
      <c r="AAX67" s="1" t="s">
        <v>51985</v>
      </c>
      <c r="AAY67" s="1" t="s">
        <v>51986</v>
      </c>
      <c r="AAZ67" s="1" t="s">
        <v>51987</v>
      </c>
      <c r="ABA67" s="1" t="s">
        <v>51988</v>
      </c>
      <c r="ABB67" s="1" t="s">
        <v>51989</v>
      </c>
      <c r="ABC67" s="1" t="s">
        <v>51990</v>
      </c>
      <c r="ABD67" s="1" t="s">
        <v>51991</v>
      </c>
      <c r="ABE67" s="1" t="s">
        <v>51992</v>
      </c>
      <c r="ABF67" s="1" t="s">
        <v>51993</v>
      </c>
      <c r="ABG67" s="1" t="s">
        <v>51994</v>
      </c>
      <c r="ABH67" s="1" t="s">
        <v>51995</v>
      </c>
      <c r="ABI67" s="1" t="s">
        <v>51996</v>
      </c>
      <c r="ABJ67" s="1" t="s">
        <v>51997</v>
      </c>
      <c r="ABK67" s="1" t="s">
        <v>51998</v>
      </c>
      <c r="ABL67" s="1" t="s">
        <v>51999</v>
      </c>
      <c r="ABM67" s="1" t="s">
        <v>52000</v>
      </c>
      <c r="ABN67" s="1" t="s">
        <v>52001</v>
      </c>
      <c r="ABO67" s="1" t="s">
        <v>52002</v>
      </c>
      <c r="ABP67" s="1" t="s">
        <v>52003</v>
      </c>
      <c r="ABQ67" s="1" t="s">
        <v>52004</v>
      </c>
      <c r="ABR67" s="1" t="s">
        <v>52005</v>
      </c>
      <c r="ABS67" s="1" t="s">
        <v>52006</v>
      </c>
      <c r="ABT67" s="1" t="s">
        <v>52007</v>
      </c>
      <c r="ABU67" s="1" t="s">
        <v>52008</v>
      </c>
      <c r="ABV67" s="1" t="s">
        <v>52009</v>
      </c>
      <c r="ABW67" s="1" t="s">
        <v>52010</v>
      </c>
      <c r="ABX67" s="1" t="s">
        <v>52011</v>
      </c>
      <c r="ABY67" s="1" t="s">
        <v>52012</v>
      </c>
      <c r="ABZ67" s="1" t="s">
        <v>52013</v>
      </c>
      <c r="ACA67" s="1" t="s">
        <v>52014</v>
      </c>
      <c r="ACB67" s="1" t="s">
        <v>52015</v>
      </c>
      <c r="ACC67" s="1" t="s">
        <v>52016</v>
      </c>
      <c r="ACD67" s="1" t="s">
        <v>52017</v>
      </c>
      <c r="ACE67" s="1" t="s">
        <v>52018</v>
      </c>
      <c r="ACF67" s="1" t="s">
        <v>52019</v>
      </c>
      <c r="ACG67" s="1" t="s">
        <v>52020</v>
      </c>
      <c r="ACH67" s="1" t="s">
        <v>52021</v>
      </c>
      <c r="ACI67" s="1" t="s">
        <v>52022</v>
      </c>
      <c r="ACJ67" s="1" t="s">
        <v>52023</v>
      </c>
      <c r="ACK67" s="1" t="s">
        <v>52024</v>
      </c>
      <c r="ACL67" s="1" t="s">
        <v>52025</v>
      </c>
      <c r="ACM67" s="1" t="s">
        <v>52026</v>
      </c>
      <c r="ACN67" s="1" t="s">
        <v>52027</v>
      </c>
      <c r="ACO67" s="1" t="s">
        <v>52028</v>
      </c>
      <c r="ACP67" s="1" t="s">
        <v>52029</v>
      </c>
      <c r="ACQ67" s="1" t="s">
        <v>52030</v>
      </c>
      <c r="ACR67" s="1" t="s">
        <v>52031</v>
      </c>
      <c r="ACS67" s="1" t="s">
        <v>52032</v>
      </c>
      <c r="ACT67" s="1" t="s">
        <v>52033</v>
      </c>
      <c r="ACU67" s="1" t="s">
        <v>52034</v>
      </c>
      <c r="ACV67" s="1" t="s">
        <v>52035</v>
      </c>
      <c r="ACW67" s="1" t="s">
        <v>17</v>
      </c>
      <c r="ACX67" s="1" t="s">
        <v>1502</v>
      </c>
    </row>
    <row r="68" spans="1:778" x14ac:dyDescent="0.2">
      <c r="A68" s="1" t="s">
        <v>47</v>
      </c>
      <c r="B68" s="1" t="s">
        <v>52036</v>
      </c>
      <c r="C68" s="1" t="s">
        <v>52037</v>
      </c>
      <c r="D68" s="1" t="s">
        <v>52038</v>
      </c>
      <c r="E68" s="1" t="s">
        <v>52039</v>
      </c>
      <c r="F68" s="1" t="s">
        <v>52040</v>
      </c>
      <c r="G68" s="1" t="s">
        <v>52041</v>
      </c>
      <c r="H68" s="1" t="s">
        <v>52042</v>
      </c>
      <c r="I68" s="1" t="s">
        <v>52043</v>
      </c>
      <c r="J68" s="1" t="s">
        <v>52044</v>
      </c>
      <c r="K68" s="1" t="s">
        <v>52045</v>
      </c>
      <c r="L68" s="1" t="s">
        <v>52046</v>
      </c>
      <c r="M68" s="1" t="s">
        <v>52047</v>
      </c>
      <c r="N68" s="1" t="s">
        <v>52048</v>
      </c>
      <c r="O68" s="1" t="s">
        <v>52049</v>
      </c>
      <c r="P68" s="1" t="s">
        <v>52050</v>
      </c>
      <c r="Q68" s="1" t="s">
        <v>52051</v>
      </c>
      <c r="R68" s="1" t="s">
        <v>52052</v>
      </c>
      <c r="S68" s="1" t="s">
        <v>52053</v>
      </c>
      <c r="T68" s="1" t="s">
        <v>52054</v>
      </c>
      <c r="U68" s="1" t="s">
        <v>52055</v>
      </c>
      <c r="V68" s="1" t="s">
        <v>52056</v>
      </c>
      <c r="W68" s="1" t="s">
        <v>52057</v>
      </c>
      <c r="X68" s="1" t="s">
        <v>52058</v>
      </c>
      <c r="Y68" s="1" t="s">
        <v>52059</v>
      </c>
      <c r="Z68" s="1" t="s">
        <v>52060</v>
      </c>
      <c r="AA68" s="1" t="s">
        <v>52061</v>
      </c>
      <c r="AB68" s="1" t="s">
        <v>52062</v>
      </c>
      <c r="AC68" s="1" t="s">
        <v>52063</v>
      </c>
      <c r="AD68" s="1" t="s">
        <v>52064</v>
      </c>
      <c r="AE68" s="1" t="s">
        <v>52065</v>
      </c>
      <c r="AF68" s="1" t="s">
        <v>52066</v>
      </c>
      <c r="AG68" s="1" t="s">
        <v>52067</v>
      </c>
      <c r="AH68" s="1" t="s">
        <v>52068</v>
      </c>
      <c r="AI68" s="1" t="s">
        <v>52069</v>
      </c>
      <c r="AJ68" s="1" t="s">
        <v>52070</v>
      </c>
      <c r="AK68" s="1" t="s">
        <v>52071</v>
      </c>
      <c r="AL68" s="1" t="s">
        <v>52072</v>
      </c>
      <c r="AM68" s="1" t="s">
        <v>52073</v>
      </c>
      <c r="AN68" s="1" t="s">
        <v>52074</v>
      </c>
      <c r="AO68" s="1" t="s">
        <v>52075</v>
      </c>
      <c r="AP68" s="1" t="s">
        <v>52076</v>
      </c>
      <c r="AQ68" s="1" t="s">
        <v>52077</v>
      </c>
      <c r="AR68" s="1" t="s">
        <v>52078</v>
      </c>
      <c r="AS68" s="1" t="s">
        <v>52079</v>
      </c>
      <c r="AT68" s="1" t="s">
        <v>52080</v>
      </c>
      <c r="AU68" s="1" t="s">
        <v>52081</v>
      </c>
      <c r="AV68" s="1" t="s">
        <v>52082</v>
      </c>
      <c r="AW68" s="1" t="s">
        <v>52083</v>
      </c>
      <c r="AX68" s="1" t="s">
        <v>52084</v>
      </c>
      <c r="AY68" s="1" t="s">
        <v>52085</v>
      </c>
      <c r="AZ68" s="1" t="s">
        <v>52086</v>
      </c>
      <c r="BA68" s="1" t="s">
        <v>52087</v>
      </c>
      <c r="BB68" s="1" t="s">
        <v>52088</v>
      </c>
      <c r="BC68" s="1" t="s">
        <v>52089</v>
      </c>
      <c r="BD68" s="1" t="s">
        <v>52090</v>
      </c>
      <c r="BE68" s="1" t="s">
        <v>52091</v>
      </c>
      <c r="BF68" s="1" t="s">
        <v>52092</v>
      </c>
      <c r="BG68" s="1" t="s">
        <v>52093</v>
      </c>
      <c r="BH68" s="1" t="s">
        <v>52094</v>
      </c>
      <c r="BI68" s="1" t="s">
        <v>52095</v>
      </c>
      <c r="BJ68" s="1" t="s">
        <v>52096</v>
      </c>
      <c r="BK68" s="1" t="s">
        <v>52097</v>
      </c>
      <c r="BL68" s="1" t="s">
        <v>52098</v>
      </c>
      <c r="BM68" s="1" t="s">
        <v>52099</v>
      </c>
      <c r="BN68" s="1" t="s">
        <v>52100</v>
      </c>
      <c r="BO68" s="1" t="s">
        <v>52101</v>
      </c>
      <c r="BP68" s="1" t="s">
        <v>52102</v>
      </c>
      <c r="BQ68" s="1" t="s">
        <v>52103</v>
      </c>
      <c r="BR68" s="1" t="s">
        <v>52104</v>
      </c>
      <c r="BS68" s="1" t="s">
        <v>52105</v>
      </c>
      <c r="BT68" s="1" t="s">
        <v>52106</v>
      </c>
      <c r="BU68" s="1" t="s">
        <v>52107</v>
      </c>
      <c r="BV68" s="1" t="s">
        <v>52108</v>
      </c>
      <c r="BW68" s="1" t="s">
        <v>52109</v>
      </c>
      <c r="BX68" s="1" t="s">
        <v>52110</v>
      </c>
      <c r="BY68" s="1" t="s">
        <v>52111</v>
      </c>
      <c r="BZ68" s="1" t="s">
        <v>52112</v>
      </c>
      <c r="CA68" s="1" t="s">
        <v>52113</v>
      </c>
      <c r="CB68" s="1" t="s">
        <v>52114</v>
      </c>
      <c r="CC68" s="1" t="s">
        <v>52115</v>
      </c>
      <c r="CD68" s="1" t="s">
        <v>52116</v>
      </c>
      <c r="CE68" s="1" t="s">
        <v>52117</v>
      </c>
      <c r="CF68" s="1" t="s">
        <v>52118</v>
      </c>
      <c r="CG68" s="1" t="s">
        <v>52119</v>
      </c>
      <c r="CH68" s="1" t="s">
        <v>52120</v>
      </c>
      <c r="CI68" s="1" t="s">
        <v>52121</v>
      </c>
      <c r="CJ68" s="1" t="s">
        <v>52122</v>
      </c>
      <c r="CK68" s="1" t="s">
        <v>52123</v>
      </c>
      <c r="CL68" s="1" t="s">
        <v>52124</v>
      </c>
      <c r="CM68" s="1" t="s">
        <v>52125</v>
      </c>
      <c r="CN68" s="1" t="s">
        <v>52126</v>
      </c>
      <c r="CO68" s="1" t="s">
        <v>52127</v>
      </c>
      <c r="CP68" s="1" t="s">
        <v>52128</v>
      </c>
      <c r="CQ68" s="1" t="s">
        <v>52129</v>
      </c>
      <c r="CR68" s="1" t="s">
        <v>52130</v>
      </c>
      <c r="CS68" s="1" t="s">
        <v>52131</v>
      </c>
      <c r="CT68" s="1" t="s">
        <v>52132</v>
      </c>
      <c r="CU68" s="1" t="s">
        <v>52133</v>
      </c>
      <c r="CV68" s="1" t="s">
        <v>52134</v>
      </c>
      <c r="CW68" s="1" t="s">
        <v>52135</v>
      </c>
      <c r="CX68" s="1" t="s">
        <v>52136</v>
      </c>
      <c r="CY68" s="1" t="s">
        <v>52137</v>
      </c>
      <c r="CZ68" s="1" t="s">
        <v>52138</v>
      </c>
      <c r="DA68" s="1" t="s">
        <v>52139</v>
      </c>
      <c r="DB68" s="1" t="s">
        <v>52140</v>
      </c>
      <c r="DC68" s="1" t="s">
        <v>52141</v>
      </c>
      <c r="DD68" s="1" t="s">
        <v>52142</v>
      </c>
      <c r="DE68" s="1" t="s">
        <v>52143</v>
      </c>
      <c r="DF68" s="1" t="s">
        <v>52144</v>
      </c>
      <c r="DG68" s="1" t="s">
        <v>52145</v>
      </c>
      <c r="DH68" s="1" t="s">
        <v>52146</v>
      </c>
      <c r="DI68" s="1" t="s">
        <v>52147</v>
      </c>
      <c r="DJ68" s="1" t="s">
        <v>52148</v>
      </c>
      <c r="DK68" s="1" t="s">
        <v>52149</v>
      </c>
      <c r="DL68" s="1" t="s">
        <v>52150</v>
      </c>
      <c r="DM68" s="1" t="s">
        <v>52151</v>
      </c>
      <c r="DN68" s="1" t="s">
        <v>52152</v>
      </c>
      <c r="DO68" s="1" t="s">
        <v>52153</v>
      </c>
      <c r="DP68" s="1" t="s">
        <v>52154</v>
      </c>
      <c r="DQ68" s="1" t="s">
        <v>52155</v>
      </c>
      <c r="DR68" s="1" t="s">
        <v>52156</v>
      </c>
      <c r="DS68" s="1" t="s">
        <v>52157</v>
      </c>
      <c r="DT68" s="1" t="s">
        <v>52158</v>
      </c>
      <c r="DU68" s="1" t="s">
        <v>52159</v>
      </c>
      <c r="DV68" s="1" t="s">
        <v>52160</v>
      </c>
      <c r="DW68" s="1" t="s">
        <v>52161</v>
      </c>
      <c r="DX68" s="1" t="s">
        <v>52162</v>
      </c>
      <c r="DY68" s="1" t="s">
        <v>52163</v>
      </c>
      <c r="DZ68" s="1" t="s">
        <v>52164</v>
      </c>
      <c r="EA68" s="1" t="s">
        <v>52165</v>
      </c>
      <c r="EB68" s="1" t="s">
        <v>52166</v>
      </c>
      <c r="EC68" s="1" t="s">
        <v>52167</v>
      </c>
      <c r="ED68" s="1" t="s">
        <v>52168</v>
      </c>
      <c r="EE68" s="1" t="s">
        <v>52169</v>
      </c>
      <c r="EF68" s="1" t="s">
        <v>52170</v>
      </c>
      <c r="EG68" s="1" t="s">
        <v>52171</v>
      </c>
      <c r="EH68" s="1" t="s">
        <v>52172</v>
      </c>
      <c r="EI68" s="1" t="s">
        <v>52173</v>
      </c>
      <c r="EJ68" s="1" t="s">
        <v>52174</v>
      </c>
      <c r="EK68" s="1" t="s">
        <v>52175</v>
      </c>
      <c r="EL68" s="1" t="s">
        <v>52176</v>
      </c>
      <c r="EM68" s="1" t="s">
        <v>52177</v>
      </c>
      <c r="EN68" s="1" t="s">
        <v>52178</v>
      </c>
      <c r="EO68" s="1" t="s">
        <v>52179</v>
      </c>
      <c r="EP68" s="1" t="s">
        <v>52180</v>
      </c>
      <c r="EQ68" s="1" t="s">
        <v>52181</v>
      </c>
      <c r="ER68" s="1" t="s">
        <v>52182</v>
      </c>
      <c r="ES68" s="1" t="s">
        <v>52183</v>
      </c>
      <c r="ET68" s="1" t="s">
        <v>52184</v>
      </c>
      <c r="EU68" s="1" t="s">
        <v>52185</v>
      </c>
      <c r="EV68" s="1" t="s">
        <v>52186</v>
      </c>
      <c r="EW68" s="1" t="s">
        <v>52187</v>
      </c>
      <c r="EX68" s="1" t="s">
        <v>52188</v>
      </c>
      <c r="EY68" s="1" t="s">
        <v>52189</v>
      </c>
      <c r="EZ68" s="1" t="s">
        <v>52190</v>
      </c>
      <c r="FA68" s="1" t="s">
        <v>52191</v>
      </c>
      <c r="FB68" s="1" t="s">
        <v>52192</v>
      </c>
      <c r="FC68" s="1" t="s">
        <v>52193</v>
      </c>
      <c r="FD68" s="1" t="s">
        <v>52194</v>
      </c>
      <c r="FE68" s="1" t="s">
        <v>52195</v>
      </c>
      <c r="FF68" s="1" t="s">
        <v>52196</v>
      </c>
      <c r="FG68" s="1" t="s">
        <v>52197</v>
      </c>
      <c r="FH68" s="1" t="s">
        <v>52198</v>
      </c>
      <c r="FI68" s="1" t="s">
        <v>52199</v>
      </c>
      <c r="FJ68" s="1" t="s">
        <v>52200</v>
      </c>
      <c r="FK68" s="1" t="s">
        <v>52201</v>
      </c>
      <c r="FL68" s="1" t="s">
        <v>52202</v>
      </c>
      <c r="FM68" s="1" t="s">
        <v>52203</v>
      </c>
      <c r="FN68" s="1" t="s">
        <v>52204</v>
      </c>
      <c r="FO68" s="1" t="s">
        <v>52205</v>
      </c>
      <c r="FP68" s="1" t="s">
        <v>52206</v>
      </c>
      <c r="FQ68" s="1" t="s">
        <v>52207</v>
      </c>
      <c r="FR68" s="1" t="s">
        <v>52208</v>
      </c>
      <c r="FS68" s="1" t="s">
        <v>52209</v>
      </c>
      <c r="FT68" s="1" t="s">
        <v>52210</v>
      </c>
      <c r="FU68" s="1" t="s">
        <v>52211</v>
      </c>
      <c r="FV68" s="1" t="s">
        <v>52212</v>
      </c>
      <c r="FW68" s="1" t="s">
        <v>52213</v>
      </c>
      <c r="FX68" s="1" t="s">
        <v>52214</v>
      </c>
      <c r="FY68" s="1" t="s">
        <v>52215</v>
      </c>
      <c r="FZ68" s="1" t="s">
        <v>52216</v>
      </c>
      <c r="GA68" s="1" t="s">
        <v>52217</v>
      </c>
      <c r="GB68" s="1" t="s">
        <v>52218</v>
      </c>
      <c r="GC68" s="1" t="s">
        <v>52219</v>
      </c>
      <c r="GD68" s="1" t="s">
        <v>52220</v>
      </c>
      <c r="GE68" s="1" t="s">
        <v>52221</v>
      </c>
      <c r="GF68" s="1" t="s">
        <v>52222</v>
      </c>
      <c r="GG68" s="1" t="s">
        <v>52223</v>
      </c>
      <c r="GH68" s="1" t="s">
        <v>52224</v>
      </c>
      <c r="GI68" s="1" t="s">
        <v>52225</v>
      </c>
      <c r="GJ68" s="1" t="s">
        <v>52226</v>
      </c>
      <c r="GK68" s="1" t="s">
        <v>52227</v>
      </c>
      <c r="GL68" s="1" t="s">
        <v>52228</v>
      </c>
      <c r="GM68" s="1" t="s">
        <v>52229</v>
      </c>
      <c r="GN68" s="1" t="s">
        <v>52230</v>
      </c>
      <c r="GO68" s="1" t="s">
        <v>52231</v>
      </c>
      <c r="GP68" s="1" t="s">
        <v>52232</v>
      </c>
      <c r="GQ68" s="1" t="s">
        <v>52233</v>
      </c>
      <c r="GR68" s="1" t="s">
        <v>52234</v>
      </c>
      <c r="GS68" s="1" t="s">
        <v>52235</v>
      </c>
      <c r="GT68" s="1" t="s">
        <v>52236</v>
      </c>
      <c r="GU68" s="1" t="s">
        <v>52237</v>
      </c>
      <c r="GV68" s="1" t="s">
        <v>52238</v>
      </c>
      <c r="GW68" s="1" t="s">
        <v>52239</v>
      </c>
      <c r="GX68" s="1" t="s">
        <v>52240</v>
      </c>
      <c r="GY68" s="1" t="s">
        <v>52241</v>
      </c>
      <c r="GZ68" s="1" t="s">
        <v>52242</v>
      </c>
      <c r="HA68" s="1" t="s">
        <v>52243</v>
      </c>
      <c r="HB68" s="1" t="s">
        <v>52244</v>
      </c>
      <c r="HC68" s="1" t="s">
        <v>52245</v>
      </c>
      <c r="HD68" s="1" t="s">
        <v>52246</v>
      </c>
      <c r="HE68" s="1" t="s">
        <v>52247</v>
      </c>
      <c r="HF68" s="1" t="s">
        <v>52248</v>
      </c>
      <c r="HG68" s="1" t="s">
        <v>52249</v>
      </c>
      <c r="HH68" s="1" t="s">
        <v>52250</v>
      </c>
      <c r="HI68" s="1" t="s">
        <v>52251</v>
      </c>
      <c r="HJ68" s="1" t="s">
        <v>52252</v>
      </c>
      <c r="HK68" s="1" t="s">
        <v>52253</v>
      </c>
      <c r="HL68" s="1" t="s">
        <v>52254</v>
      </c>
      <c r="HM68" s="1" t="s">
        <v>52255</v>
      </c>
      <c r="HN68" s="1" t="s">
        <v>52256</v>
      </c>
      <c r="HO68" s="1" t="s">
        <v>52257</v>
      </c>
      <c r="HP68" s="1" t="s">
        <v>52258</v>
      </c>
      <c r="HQ68" s="1" t="s">
        <v>52259</v>
      </c>
      <c r="HR68" s="1" t="s">
        <v>52260</v>
      </c>
      <c r="HS68" s="1" t="s">
        <v>52261</v>
      </c>
      <c r="HT68" s="1" t="s">
        <v>52262</v>
      </c>
      <c r="HU68" s="1" t="s">
        <v>52263</v>
      </c>
      <c r="HV68" s="1" t="s">
        <v>52264</v>
      </c>
      <c r="HW68" s="1" t="s">
        <v>52265</v>
      </c>
      <c r="HX68" s="1" t="s">
        <v>52266</v>
      </c>
      <c r="HY68" s="1" t="s">
        <v>52267</v>
      </c>
      <c r="HZ68" s="1" t="s">
        <v>52268</v>
      </c>
      <c r="IA68" s="1" t="s">
        <v>52269</v>
      </c>
      <c r="IB68" s="1" t="s">
        <v>52270</v>
      </c>
      <c r="IC68" s="1" t="s">
        <v>52271</v>
      </c>
      <c r="ID68" s="1" t="s">
        <v>52272</v>
      </c>
      <c r="IE68" s="1" t="s">
        <v>52273</v>
      </c>
      <c r="IF68" s="1" t="s">
        <v>52274</v>
      </c>
      <c r="IG68" s="1" t="s">
        <v>52275</v>
      </c>
      <c r="IH68" s="1" t="s">
        <v>52276</v>
      </c>
      <c r="II68" s="1" t="s">
        <v>52277</v>
      </c>
      <c r="IJ68" s="1" t="s">
        <v>52278</v>
      </c>
      <c r="IK68" s="1" t="s">
        <v>52279</v>
      </c>
      <c r="IL68" s="1" t="s">
        <v>52280</v>
      </c>
      <c r="IM68" s="1" t="s">
        <v>52281</v>
      </c>
      <c r="IN68" s="1" t="s">
        <v>52282</v>
      </c>
      <c r="IO68" s="1" t="s">
        <v>52283</v>
      </c>
      <c r="IP68" s="1" t="s">
        <v>52284</v>
      </c>
      <c r="IQ68" s="1" t="s">
        <v>52285</v>
      </c>
      <c r="IR68" s="1" t="s">
        <v>52286</v>
      </c>
      <c r="IS68" s="1" t="s">
        <v>52287</v>
      </c>
      <c r="IT68" s="1" t="s">
        <v>52288</v>
      </c>
      <c r="IU68" s="1" t="s">
        <v>52289</v>
      </c>
      <c r="IV68" s="1" t="s">
        <v>52290</v>
      </c>
      <c r="IW68" s="1" t="s">
        <v>52291</v>
      </c>
      <c r="IX68" s="1" t="s">
        <v>52292</v>
      </c>
      <c r="IY68" s="1" t="s">
        <v>52293</v>
      </c>
      <c r="IZ68" s="1" t="s">
        <v>52294</v>
      </c>
      <c r="JA68" s="1" t="s">
        <v>52295</v>
      </c>
      <c r="JB68" s="1" t="s">
        <v>52296</v>
      </c>
      <c r="JC68" s="1" t="s">
        <v>52297</v>
      </c>
      <c r="JD68" s="1" t="s">
        <v>52298</v>
      </c>
      <c r="JE68" s="1" t="s">
        <v>52299</v>
      </c>
      <c r="JF68" s="1" t="s">
        <v>52300</v>
      </c>
      <c r="JG68" s="1" t="s">
        <v>52301</v>
      </c>
      <c r="JH68" s="1" t="s">
        <v>52302</v>
      </c>
      <c r="JI68" s="1" t="s">
        <v>52303</v>
      </c>
      <c r="JJ68" s="1" t="s">
        <v>52304</v>
      </c>
      <c r="JK68" s="1" t="s">
        <v>52305</v>
      </c>
      <c r="JL68" s="1" t="s">
        <v>52306</v>
      </c>
      <c r="JM68" s="1" t="s">
        <v>52307</v>
      </c>
      <c r="JN68" s="1" t="s">
        <v>52308</v>
      </c>
      <c r="JO68" s="1" t="s">
        <v>52309</v>
      </c>
      <c r="JP68" s="1" t="s">
        <v>52310</v>
      </c>
      <c r="JQ68" s="1" t="s">
        <v>52311</v>
      </c>
      <c r="JR68" s="1" t="s">
        <v>52312</v>
      </c>
      <c r="JS68" s="1" t="s">
        <v>52313</v>
      </c>
      <c r="JT68" s="1" t="s">
        <v>52314</v>
      </c>
      <c r="JU68" s="1" t="s">
        <v>52315</v>
      </c>
      <c r="JV68" s="1" t="s">
        <v>52316</v>
      </c>
      <c r="JW68" s="1" t="s">
        <v>52317</v>
      </c>
      <c r="JX68" s="1" t="s">
        <v>52318</v>
      </c>
      <c r="JY68" s="1" t="s">
        <v>52319</v>
      </c>
      <c r="JZ68" s="1" t="s">
        <v>52320</v>
      </c>
      <c r="KA68" s="1" t="s">
        <v>52321</v>
      </c>
      <c r="KB68" s="1" t="s">
        <v>52322</v>
      </c>
      <c r="KC68" s="1" t="s">
        <v>52323</v>
      </c>
      <c r="KD68" s="1" t="s">
        <v>52324</v>
      </c>
      <c r="KE68" s="1" t="s">
        <v>52325</v>
      </c>
      <c r="KF68" s="1" t="s">
        <v>52326</v>
      </c>
      <c r="KG68" s="1" t="s">
        <v>52327</v>
      </c>
      <c r="KH68" s="1" t="s">
        <v>52328</v>
      </c>
      <c r="KI68" s="1" t="s">
        <v>52329</v>
      </c>
      <c r="KJ68" s="1" t="s">
        <v>52330</v>
      </c>
      <c r="KK68" s="1" t="s">
        <v>52331</v>
      </c>
      <c r="KL68" s="1" t="s">
        <v>52332</v>
      </c>
      <c r="KM68" s="1" t="s">
        <v>52333</v>
      </c>
      <c r="KN68" s="1" t="s">
        <v>52334</v>
      </c>
      <c r="KO68" s="1" t="s">
        <v>52335</v>
      </c>
      <c r="KP68" s="1" t="s">
        <v>52336</v>
      </c>
      <c r="KQ68" s="1" t="s">
        <v>52337</v>
      </c>
      <c r="KR68" s="1" t="s">
        <v>52338</v>
      </c>
      <c r="KS68" s="1" t="s">
        <v>52339</v>
      </c>
      <c r="KT68" s="1" t="s">
        <v>52340</v>
      </c>
      <c r="KU68" s="1" t="s">
        <v>52341</v>
      </c>
      <c r="KV68" s="1" t="s">
        <v>52342</v>
      </c>
      <c r="KW68" s="1" t="s">
        <v>52343</v>
      </c>
      <c r="KX68" s="1" t="s">
        <v>52344</v>
      </c>
      <c r="KY68" s="1" t="s">
        <v>52345</v>
      </c>
      <c r="KZ68" s="1" t="s">
        <v>52346</v>
      </c>
      <c r="LA68" s="1" t="s">
        <v>52347</v>
      </c>
      <c r="LB68" s="1" t="s">
        <v>52348</v>
      </c>
      <c r="LC68" s="1" t="s">
        <v>52349</v>
      </c>
      <c r="LD68" s="1" t="s">
        <v>52350</v>
      </c>
      <c r="LE68" s="1" t="s">
        <v>52351</v>
      </c>
      <c r="LF68" s="1" t="s">
        <v>52352</v>
      </c>
      <c r="LG68" s="1" t="s">
        <v>52353</v>
      </c>
      <c r="LH68" s="1" t="s">
        <v>52354</v>
      </c>
      <c r="LI68" s="1" t="s">
        <v>52355</v>
      </c>
      <c r="LJ68" s="1" t="s">
        <v>52356</v>
      </c>
      <c r="LK68" s="1" t="s">
        <v>52357</v>
      </c>
      <c r="LL68" s="1" t="s">
        <v>52358</v>
      </c>
      <c r="LM68" s="1" t="s">
        <v>52359</v>
      </c>
      <c r="LN68" s="1" t="s">
        <v>52360</v>
      </c>
      <c r="LO68" s="1" t="s">
        <v>52361</v>
      </c>
      <c r="LP68" s="1" t="s">
        <v>52362</v>
      </c>
      <c r="LQ68" s="1" t="s">
        <v>52363</v>
      </c>
      <c r="LR68" s="1" t="s">
        <v>52364</v>
      </c>
      <c r="LS68" s="1" t="s">
        <v>52365</v>
      </c>
      <c r="LT68" s="1" t="s">
        <v>52366</v>
      </c>
      <c r="LU68" s="1" t="s">
        <v>52367</v>
      </c>
      <c r="LV68" s="1" t="s">
        <v>52368</v>
      </c>
      <c r="LW68" s="1" t="s">
        <v>52369</v>
      </c>
      <c r="LX68" s="1" t="s">
        <v>52370</v>
      </c>
      <c r="LY68" s="1" t="s">
        <v>52371</v>
      </c>
      <c r="LZ68" s="1" t="s">
        <v>52372</v>
      </c>
      <c r="MA68" s="1" t="s">
        <v>52373</v>
      </c>
      <c r="MB68" s="1" t="s">
        <v>52374</v>
      </c>
      <c r="MC68" s="1" t="s">
        <v>52375</v>
      </c>
      <c r="MD68" s="1" t="s">
        <v>52376</v>
      </c>
      <c r="ME68" s="1" t="s">
        <v>52377</v>
      </c>
      <c r="MF68" s="1" t="s">
        <v>52378</v>
      </c>
      <c r="MG68" s="1" t="s">
        <v>52379</v>
      </c>
      <c r="MH68" s="1" t="s">
        <v>52380</v>
      </c>
      <c r="MI68" s="1" t="s">
        <v>52381</v>
      </c>
      <c r="MJ68" s="1" t="s">
        <v>52382</v>
      </c>
      <c r="MK68" s="1" t="s">
        <v>52383</v>
      </c>
      <c r="ML68" s="1" t="s">
        <v>52384</v>
      </c>
      <c r="MM68" s="1" t="s">
        <v>52385</v>
      </c>
      <c r="MN68" s="1" t="s">
        <v>52386</v>
      </c>
      <c r="MO68" s="1" t="s">
        <v>52387</v>
      </c>
      <c r="MP68" s="1" t="s">
        <v>52388</v>
      </c>
      <c r="MQ68" s="1" t="s">
        <v>52389</v>
      </c>
      <c r="MR68" s="1" t="s">
        <v>52390</v>
      </c>
      <c r="MS68" s="1" t="s">
        <v>52391</v>
      </c>
      <c r="MT68" s="1" t="s">
        <v>52392</v>
      </c>
      <c r="MU68" s="1" t="s">
        <v>52393</v>
      </c>
      <c r="MV68" s="1" t="s">
        <v>52394</v>
      </c>
      <c r="MW68" s="1" t="s">
        <v>52395</v>
      </c>
      <c r="MX68" s="1" t="s">
        <v>52396</v>
      </c>
      <c r="MY68" s="1" t="s">
        <v>52397</v>
      </c>
      <c r="MZ68" s="1" t="s">
        <v>52398</v>
      </c>
      <c r="NA68" s="1" t="s">
        <v>52399</v>
      </c>
      <c r="NB68" s="1" t="s">
        <v>52400</v>
      </c>
      <c r="NC68" s="1" t="s">
        <v>52401</v>
      </c>
      <c r="ND68" s="1" t="s">
        <v>52402</v>
      </c>
      <c r="NE68" s="1" t="s">
        <v>52403</v>
      </c>
      <c r="NF68" s="1" t="s">
        <v>52404</v>
      </c>
      <c r="NG68" s="1" t="s">
        <v>52405</v>
      </c>
      <c r="NH68" s="1" t="s">
        <v>52406</v>
      </c>
      <c r="NI68" s="1" t="s">
        <v>52407</v>
      </c>
      <c r="NJ68" s="1" t="s">
        <v>52408</v>
      </c>
      <c r="NK68" s="1" t="s">
        <v>52409</v>
      </c>
      <c r="NL68" s="1" t="s">
        <v>52410</v>
      </c>
      <c r="NM68" s="1" t="s">
        <v>52411</v>
      </c>
      <c r="NN68" s="1" t="s">
        <v>52412</v>
      </c>
      <c r="NO68" s="1" t="s">
        <v>52413</v>
      </c>
      <c r="NP68" s="1" t="s">
        <v>52414</v>
      </c>
      <c r="NQ68" s="1" t="s">
        <v>52415</v>
      </c>
      <c r="NR68" s="1" t="s">
        <v>52416</v>
      </c>
      <c r="NS68" s="1" t="s">
        <v>52417</v>
      </c>
      <c r="NT68" s="1" t="s">
        <v>52418</v>
      </c>
      <c r="NU68" s="1" t="s">
        <v>52419</v>
      </c>
      <c r="NV68" s="1" t="s">
        <v>52420</v>
      </c>
      <c r="NW68" s="1" t="s">
        <v>52421</v>
      </c>
      <c r="NX68" s="1" t="s">
        <v>52422</v>
      </c>
      <c r="NY68" s="1" t="s">
        <v>52423</v>
      </c>
      <c r="NZ68" s="1" t="s">
        <v>52424</v>
      </c>
      <c r="OA68" s="1" t="s">
        <v>52425</v>
      </c>
      <c r="OB68" s="1" t="s">
        <v>52426</v>
      </c>
      <c r="OC68" s="1" t="s">
        <v>52427</v>
      </c>
      <c r="OD68" s="1" t="s">
        <v>52428</v>
      </c>
      <c r="OE68" s="1" t="s">
        <v>52429</v>
      </c>
      <c r="OF68" s="1" t="s">
        <v>52430</v>
      </c>
      <c r="OG68" s="1" t="s">
        <v>52431</v>
      </c>
      <c r="OH68" s="1" t="s">
        <v>52432</v>
      </c>
      <c r="OI68" s="1" t="s">
        <v>52433</v>
      </c>
      <c r="OJ68" s="1" t="s">
        <v>52434</v>
      </c>
      <c r="OK68" s="1" t="s">
        <v>52435</v>
      </c>
      <c r="OL68" s="1" t="s">
        <v>52436</v>
      </c>
      <c r="OM68" s="1" t="s">
        <v>52437</v>
      </c>
      <c r="ON68" s="1" t="s">
        <v>52438</v>
      </c>
      <c r="OO68" s="1" t="s">
        <v>52439</v>
      </c>
      <c r="OP68" s="1" t="s">
        <v>52440</v>
      </c>
      <c r="OQ68" s="1" t="s">
        <v>52441</v>
      </c>
      <c r="OR68" s="1" t="s">
        <v>52442</v>
      </c>
      <c r="OS68" s="1" t="s">
        <v>52443</v>
      </c>
      <c r="OT68" s="1" t="s">
        <v>52444</v>
      </c>
      <c r="OU68" s="1" t="s">
        <v>52445</v>
      </c>
      <c r="OV68" s="1" t="s">
        <v>52446</v>
      </c>
      <c r="OW68" s="1" t="s">
        <v>52447</v>
      </c>
      <c r="OX68" s="1" t="s">
        <v>52448</v>
      </c>
      <c r="OY68" s="1" t="s">
        <v>52449</v>
      </c>
      <c r="OZ68" s="1" t="s">
        <v>52450</v>
      </c>
      <c r="PA68" s="1" t="s">
        <v>52451</v>
      </c>
      <c r="PB68" s="1" t="s">
        <v>52452</v>
      </c>
      <c r="PC68" s="1" t="s">
        <v>52453</v>
      </c>
      <c r="PD68" s="1" t="s">
        <v>52454</v>
      </c>
      <c r="PE68" s="1" t="s">
        <v>52455</v>
      </c>
      <c r="PF68" s="1" t="s">
        <v>52456</v>
      </c>
      <c r="PG68" s="1" t="s">
        <v>52457</v>
      </c>
      <c r="PH68" s="1" t="s">
        <v>52458</v>
      </c>
      <c r="PI68" s="1" t="s">
        <v>52459</v>
      </c>
      <c r="PJ68" s="1" t="s">
        <v>52460</v>
      </c>
      <c r="PK68" s="1" t="s">
        <v>52461</v>
      </c>
      <c r="PL68" s="1" t="s">
        <v>52462</v>
      </c>
      <c r="PM68" s="1" t="s">
        <v>52463</v>
      </c>
      <c r="PN68" s="1" t="s">
        <v>52464</v>
      </c>
      <c r="PO68" s="1" t="s">
        <v>52465</v>
      </c>
      <c r="PP68" s="1" t="s">
        <v>52466</v>
      </c>
      <c r="PQ68" s="1" t="s">
        <v>52467</v>
      </c>
      <c r="PR68" s="1" t="s">
        <v>52468</v>
      </c>
      <c r="PS68" s="1" t="s">
        <v>52469</v>
      </c>
      <c r="PT68" s="1" t="s">
        <v>52470</v>
      </c>
      <c r="PU68" s="1" t="s">
        <v>52471</v>
      </c>
      <c r="PV68" s="1" t="s">
        <v>52472</v>
      </c>
      <c r="PW68" s="1" t="s">
        <v>52473</v>
      </c>
      <c r="PX68" s="1" t="s">
        <v>52474</v>
      </c>
      <c r="PY68" s="1" t="s">
        <v>52475</v>
      </c>
      <c r="PZ68" s="1" t="s">
        <v>52476</v>
      </c>
      <c r="QA68" s="1" t="s">
        <v>52477</v>
      </c>
      <c r="QB68" s="1" t="s">
        <v>52478</v>
      </c>
      <c r="QC68" s="1" t="s">
        <v>52479</v>
      </c>
      <c r="QD68" s="1" t="s">
        <v>52480</v>
      </c>
      <c r="QE68" s="1" t="s">
        <v>52481</v>
      </c>
      <c r="QF68" s="1" t="s">
        <v>52482</v>
      </c>
      <c r="QG68" s="1" t="s">
        <v>52483</v>
      </c>
      <c r="QH68" s="1" t="s">
        <v>52484</v>
      </c>
      <c r="QI68" s="1" t="s">
        <v>52485</v>
      </c>
      <c r="QJ68" s="1" t="s">
        <v>52486</v>
      </c>
      <c r="QK68" s="1" t="s">
        <v>52487</v>
      </c>
      <c r="QL68" s="1" t="s">
        <v>52488</v>
      </c>
      <c r="QM68" s="1" t="s">
        <v>52489</v>
      </c>
      <c r="QN68" s="1" t="s">
        <v>52490</v>
      </c>
      <c r="QO68" s="1" t="s">
        <v>52491</v>
      </c>
      <c r="QP68" s="1" t="s">
        <v>52492</v>
      </c>
      <c r="QQ68" s="1" t="s">
        <v>52493</v>
      </c>
      <c r="QR68" s="1" t="s">
        <v>52494</v>
      </c>
      <c r="QS68" s="1" t="s">
        <v>52495</v>
      </c>
      <c r="QT68" s="1" t="s">
        <v>52496</v>
      </c>
      <c r="QU68" s="1" t="s">
        <v>52497</v>
      </c>
      <c r="QV68" s="1" t="s">
        <v>52498</v>
      </c>
      <c r="QW68" s="1" t="s">
        <v>52499</v>
      </c>
      <c r="QX68" s="1" t="s">
        <v>52500</v>
      </c>
      <c r="QY68" s="1" t="s">
        <v>52501</v>
      </c>
      <c r="QZ68" s="1" t="s">
        <v>52502</v>
      </c>
      <c r="RA68" s="1" t="s">
        <v>52503</v>
      </c>
      <c r="RB68" s="1" t="s">
        <v>52504</v>
      </c>
      <c r="RC68" s="1" t="s">
        <v>52505</v>
      </c>
      <c r="RD68" s="1" t="s">
        <v>52506</v>
      </c>
      <c r="RE68" s="1" t="s">
        <v>52507</v>
      </c>
      <c r="RF68" s="1" t="s">
        <v>52508</v>
      </c>
      <c r="RG68" s="1" t="s">
        <v>52509</v>
      </c>
      <c r="RH68" s="1" t="s">
        <v>52510</v>
      </c>
      <c r="RI68" s="1" t="s">
        <v>52511</v>
      </c>
      <c r="RJ68" s="1" t="s">
        <v>52512</v>
      </c>
      <c r="RK68" s="1" t="s">
        <v>52513</v>
      </c>
      <c r="RL68" s="1" t="s">
        <v>52514</v>
      </c>
      <c r="RM68" s="1" t="s">
        <v>52515</v>
      </c>
      <c r="RN68" s="1" t="s">
        <v>52516</v>
      </c>
      <c r="RO68" s="1" t="s">
        <v>52517</v>
      </c>
      <c r="RP68" s="1" t="s">
        <v>52518</v>
      </c>
      <c r="RQ68" s="1" t="s">
        <v>52519</v>
      </c>
      <c r="RR68" s="1" t="s">
        <v>52520</v>
      </c>
      <c r="RS68" s="1" t="s">
        <v>52521</v>
      </c>
      <c r="RT68" s="1" t="s">
        <v>52522</v>
      </c>
      <c r="RU68" s="1" t="s">
        <v>52523</v>
      </c>
      <c r="RV68" s="1" t="s">
        <v>52524</v>
      </c>
      <c r="RW68" s="1" t="s">
        <v>52525</v>
      </c>
      <c r="RX68" s="1" t="s">
        <v>52526</v>
      </c>
      <c r="RY68" s="1" t="s">
        <v>52527</v>
      </c>
      <c r="RZ68" s="1" t="s">
        <v>52528</v>
      </c>
      <c r="SA68" s="1" t="s">
        <v>52529</v>
      </c>
      <c r="SB68" s="1" t="s">
        <v>52530</v>
      </c>
      <c r="SC68" s="1" t="s">
        <v>52531</v>
      </c>
      <c r="SD68" s="1" t="s">
        <v>52532</v>
      </c>
      <c r="SE68" s="1" t="s">
        <v>52533</v>
      </c>
      <c r="SF68" s="1" t="s">
        <v>52534</v>
      </c>
      <c r="SG68" s="1" t="s">
        <v>52535</v>
      </c>
      <c r="SH68" s="1" t="s">
        <v>52536</v>
      </c>
      <c r="SI68" s="1" t="s">
        <v>52537</v>
      </c>
      <c r="SJ68" s="1" t="s">
        <v>52538</v>
      </c>
      <c r="SK68" s="1" t="s">
        <v>52539</v>
      </c>
      <c r="SL68" s="1" t="s">
        <v>52540</v>
      </c>
      <c r="SM68" s="1" t="s">
        <v>52541</v>
      </c>
      <c r="SN68" s="1" t="s">
        <v>52542</v>
      </c>
      <c r="SO68" s="1" t="s">
        <v>52543</v>
      </c>
      <c r="SP68" s="1" t="s">
        <v>52544</v>
      </c>
      <c r="SQ68" s="1" t="s">
        <v>52545</v>
      </c>
      <c r="SR68" s="1" t="s">
        <v>52546</v>
      </c>
      <c r="SS68" s="1" t="s">
        <v>52547</v>
      </c>
      <c r="ST68" s="1" t="s">
        <v>52548</v>
      </c>
      <c r="SU68" s="1" t="s">
        <v>52549</v>
      </c>
      <c r="SV68" s="1" t="s">
        <v>52550</v>
      </c>
      <c r="SW68" s="1" t="s">
        <v>52551</v>
      </c>
      <c r="SX68" s="1" t="s">
        <v>52552</v>
      </c>
      <c r="SY68" s="1" t="s">
        <v>52553</v>
      </c>
      <c r="SZ68" s="1" t="s">
        <v>52554</v>
      </c>
      <c r="TA68" s="1" t="s">
        <v>52555</v>
      </c>
      <c r="TB68" s="1" t="s">
        <v>52556</v>
      </c>
      <c r="TC68" s="1" t="s">
        <v>52557</v>
      </c>
      <c r="TD68" s="1" t="s">
        <v>52558</v>
      </c>
      <c r="TE68" s="1" t="s">
        <v>52559</v>
      </c>
      <c r="TF68" s="1" t="s">
        <v>52560</v>
      </c>
      <c r="TG68" s="1" t="s">
        <v>52561</v>
      </c>
      <c r="TH68" s="1" t="s">
        <v>52562</v>
      </c>
      <c r="TI68" s="1" t="s">
        <v>52563</v>
      </c>
      <c r="TJ68" s="1" t="s">
        <v>52564</v>
      </c>
      <c r="TK68" s="1" t="s">
        <v>52565</v>
      </c>
      <c r="TL68" s="1" t="s">
        <v>52566</v>
      </c>
      <c r="TM68" s="1" t="s">
        <v>52567</v>
      </c>
      <c r="TN68" s="1" t="s">
        <v>52568</v>
      </c>
      <c r="TO68" s="1" t="s">
        <v>52569</v>
      </c>
      <c r="TP68" s="1" t="s">
        <v>52570</v>
      </c>
      <c r="TQ68" s="1" t="s">
        <v>52571</v>
      </c>
      <c r="TR68" s="1" t="s">
        <v>52572</v>
      </c>
      <c r="TS68" s="1" t="s">
        <v>52573</v>
      </c>
      <c r="TT68" s="1" t="s">
        <v>52574</v>
      </c>
      <c r="TU68" s="1" t="s">
        <v>52575</v>
      </c>
      <c r="TV68" s="1" t="s">
        <v>52576</v>
      </c>
      <c r="TW68" s="1" t="s">
        <v>52577</v>
      </c>
      <c r="TX68" s="1" t="s">
        <v>52578</v>
      </c>
      <c r="TY68" s="1" t="s">
        <v>52579</v>
      </c>
      <c r="TZ68" s="1" t="s">
        <v>52580</v>
      </c>
      <c r="UA68" s="1" t="s">
        <v>52581</v>
      </c>
      <c r="UB68" s="1" t="s">
        <v>52582</v>
      </c>
      <c r="UC68" s="1" t="s">
        <v>52583</v>
      </c>
      <c r="UD68" s="1" t="s">
        <v>52584</v>
      </c>
      <c r="UE68" s="1" t="s">
        <v>52585</v>
      </c>
      <c r="UF68" s="1" t="s">
        <v>52586</v>
      </c>
      <c r="UG68" s="1" t="s">
        <v>52587</v>
      </c>
      <c r="UH68" s="1" t="s">
        <v>52588</v>
      </c>
      <c r="UI68" s="1" t="s">
        <v>52589</v>
      </c>
      <c r="UJ68" s="1" t="s">
        <v>52590</v>
      </c>
      <c r="UK68" s="1" t="s">
        <v>52591</v>
      </c>
      <c r="UL68" s="1" t="s">
        <v>52592</v>
      </c>
      <c r="UM68" s="1" t="s">
        <v>52593</v>
      </c>
      <c r="UN68" s="1" t="s">
        <v>52594</v>
      </c>
      <c r="UO68" s="1" t="s">
        <v>52595</v>
      </c>
      <c r="UP68" s="1" t="s">
        <v>52596</v>
      </c>
      <c r="UQ68" s="1" t="s">
        <v>52597</v>
      </c>
      <c r="UR68" s="1" t="s">
        <v>52598</v>
      </c>
      <c r="US68" s="1" t="s">
        <v>52599</v>
      </c>
      <c r="UT68" s="1" t="s">
        <v>52600</v>
      </c>
      <c r="UU68" s="1" t="s">
        <v>52601</v>
      </c>
      <c r="UV68" s="1" t="s">
        <v>52602</v>
      </c>
      <c r="UW68" s="1" t="s">
        <v>52603</v>
      </c>
      <c r="UX68" s="1" t="s">
        <v>52604</v>
      </c>
      <c r="UY68" s="1" t="s">
        <v>52605</v>
      </c>
      <c r="UZ68" s="1" t="s">
        <v>52606</v>
      </c>
      <c r="VA68" s="1" t="s">
        <v>52607</v>
      </c>
      <c r="VB68" s="1" t="s">
        <v>52608</v>
      </c>
      <c r="VC68" s="1" t="s">
        <v>52609</v>
      </c>
      <c r="VD68" s="1" t="s">
        <v>52610</v>
      </c>
      <c r="VE68" s="1" t="s">
        <v>52611</v>
      </c>
      <c r="VF68" s="1" t="s">
        <v>52612</v>
      </c>
      <c r="VG68" s="1" t="s">
        <v>52613</v>
      </c>
      <c r="VH68" s="1" t="s">
        <v>52614</v>
      </c>
      <c r="VI68" s="1" t="s">
        <v>52615</v>
      </c>
      <c r="VJ68" s="1" t="s">
        <v>52616</v>
      </c>
      <c r="VK68" s="1" t="s">
        <v>52617</v>
      </c>
      <c r="VL68" s="1" t="s">
        <v>52618</v>
      </c>
      <c r="VM68" s="1" t="s">
        <v>52619</v>
      </c>
      <c r="VN68" s="1" t="s">
        <v>52620</v>
      </c>
      <c r="VO68" s="1" t="s">
        <v>52621</v>
      </c>
      <c r="VP68" s="1" t="s">
        <v>52622</v>
      </c>
      <c r="VQ68" s="1" t="s">
        <v>52623</v>
      </c>
      <c r="VR68" s="1" t="s">
        <v>52624</v>
      </c>
      <c r="VS68" s="1" t="s">
        <v>52625</v>
      </c>
      <c r="VT68" s="1" t="s">
        <v>52626</v>
      </c>
      <c r="VU68" s="1" t="s">
        <v>52627</v>
      </c>
      <c r="VV68" s="1" t="s">
        <v>52628</v>
      </c>
      <c r="VW68" s="1" t="s">
        <v>52629</v>
      </c>
      <c r="VX68" s="1" t="s">
        <v>52630</v>
      </c>
      <c r="VY68" s="1" t="s">
        <v>52631</v>
      </c>
      <c r="VZ68" s="1" t="s">
        <v>52632</v>
      </c>
      <c r="WA68" s="1" t="s">
        <v>52633</v>
      </c>
      <c r="WB68" s="1" t="s">
        <v>52634</v>
      </c>
      <c r="WC68" s="1" t="s">
        <v>52635</v>
      </c>
      <c r="WD68" s="1" t="s">
        <v>52636</v>
      </c>
      <c r="WE68" s="1" t="s">
        <v>52637</v>
      </c>
      <c r="WF68" s="1" t="s">
        <v>52638</v>
      </c>
      <c r="WG68" s="1" t="s">
        <v>52639</v>
      </c>
      <c r="WH68" s="1" t="s">
        <v>52640</v>
      </c>
      <c r="WI68" s="1" t="s">
        <v>52641</v>
      </c>
      <c r="WJ68" s="1" t="s">
        <v>52642</v>
      </c>
      <c r="WK68" s="1" t="s">
        <v>52643</v>
      </c>
      <c r="WL68" s="1" t="s">
        <v>52644</v>
      </c>
      <c r="WM68" s="1" t="s">
        <v>52645</v>
      </c>
      <c r="WN68" s="1" t="s">
        <v>52646</v>
      </c>
      <c r="WO68" s="1" t="s">
        <v>52647</v>
      </c>
      <c r="WP68" s="1" t="s">
        <v>52648</v>
      </c>
      <c r="WQ68" s="1" t="s">
        <v>52649</v>
      </c>
      <c r="WR68" s="1" t="s">
        <v>52650</v>
      </c>
      <c r="WS68" s="1" t="s">
        <v>52651</v>
      </c>
      <c r="WT68" s="1" t="s">
        <v>52652</v>
      </c>
      <c r="WU68" s="1" t="s">
        <v>52653</v>
      </c>
      <c r="WV68" s="1" t="s">
        <v>52654</v>
      </c>
      <c r="WW68" s="1" t="s">
        <v>52655</v>
      </c>
      <c r="WX68" s="1" t="s">
        <v>52656</v>
      </c>
      <c r="WY68" s="1" t="s">
        <v>52657</v>
      </c>
      <c r="WZ68" s="1" t="s">
        <v>52658</v>
      </c>
      <c r="XA68" s="1" t="s">
        <v>52659</v>
      </c>
      <c r="XB68" s="1" t="s">
        <v>52660</v>
      </c>
      <c r="XC68" s="1" t="s">
        <v>52661</v>
      </c>
      <c r="XD68" s="1" t="s">
        <v>52662</v>
      </c>
      <c r="XE68" s="1" t="s">
        <v>52663</v>
      </c>
      <c r="XF68" s="1" t="s">
        <v>52664</v>
      </c>
      <c r="XG68" s="1" t="s">
        <v>52665</v>
      </c>
      <c r="XH68" s="1" t="s">
        <v>52666</v>
      </c>
      <c r="XI68" s="1" t="s">
        <v>52667</v>
      </c>
      <c r="XJ68" s="1" t="s">
        <v>52668</v>
      </c>
      <c r="XK68" s="1" t="s">
        <v>52669</v>
      </c>
      <c r="XL68" s="1" t="s">
        <v>52670</v>
      </c>
      <c r="XM68" s="1" t="s">
        <v>52671</v>
      </c>
      <c r="XN68" s="1" t="s">
        <v>52672</v>
      </c>
      <c r="XO68" s="1" t="s">
        <v>52673</v>
      </c>
      <c r="XP68" s="1" t="s">
        <v>52674</v>
      </c>
      <c r="XQ68" s="1" t="s">
        <v>52675</v>
      </c>
      <c r="XR68" s="1" t="s">
        <v>52676</v>
      </c>
      <c r="XS68" s="1" t="s">
        <v>52677</v>
      </c>
      <c r="XT68" s="1" t="s">
        <v>52678</v>
      </c>
      <c r="XU68" s="1" t="s">
        <v>52679</v>
      </c>
      <c r="XV68" s="1" t="s">
        <v>52680</v>
      </c>
      <c r="XW68" s="1" t="s">
        <v>52681</v>
      </c>
      <c r="XX68" s="1" t="s">
        <v>52682</v>
      </c>
      <c r="XY68" s="1" t="s">
        <v>52683</v>
      </c>
      <c r="XZ68" s="1" t="s">
        <v>52684</v>
      </c>
      <c r="YA68" s="1" t="s">
        <v>52685</v>
      </c>
      <c r="YB68" s="1" t="s">
        <v>52686</v>
      </c>
      <c r="YC68" s="1" t="s">
        <v>52687</v>
      </c>
      <c r="YD68" s="1" t="s">
        <v>52688</v>
      </c>
      <c r="YE68" s="1" t="s">
        <v>52689</v>
      </c>
      <c r="YF68" s="1" t="s">
        <v>52690</v>
      </c>
      <c r="YG68" s="1" t="s">
        <v>52691</v>
      </c>
      <c r="YH68" s="1" t="s">
        <v>52692</v>
      </c>
      <c r="YI68" s="1" t="s">
        <v>52693</v>
      </c>
      <c r="YJ68" s="1" t="s">
        <v>52694</v>
      </c>
      <c r="YK68" s="1" t="s">
        <v>52695</v>
      </c>
      <c r="YL68" s="1" t="s">
        <v>52696</v>
      </c>
      <c r="YM68" s="1" t="s">
        <v>52697</v>
      </c>
      <c r="YN68" s="1" t="s">
        <v>52698</v>
      </c>
      <c r="YO68" s="1" t="s">
        <v>52699</v>
      </c>
      <c r="YP68" s="1" t="s">
        <v>52700</v>
      </c>
      <c r="YQ68" s="1" t="s">
        <v>52701</v>
      </c>
      <c r="YR68" s="1" t="s">
        <v>52702</v>
      </c>
      <c r="YS68" s="1" t="s">
        <v>52703</v>
      </c>
      <c r="YT68" s="1" t="s">
        <v>52704</v>
      </c>
      <c r="YU68" s="1" t="s">
        <v>52705</v>
      </c>
      <c r="YV68" s="1" t="s">
        <v>52706</v>
      </c>
      <c r="YW68" s="1" t="s">
        <v>52707</v>
      </c>
      <c r="YX68" s="1" t="s">
        <v>52708</v>
      </c>
      <c r="YY68" s="1" t="s">
        <v>52709</v>
      </c>
      <c r="YZ68" s="1" t="s">
        <v>52710</v>
      </c>
      <c r="ZA68" s="1" t="s">
        <v>52711</v>
      </c>
      <c r="ZB68" s="1" t="s">
        <v>52712</v>
      </c>
      <c r="ZC68" s="1" t="s">
        <v>52713</v>
      </c>
      <c r="ZD68" s="1" t="s">
        <v>52714</v>
      </c>
      <c r="ZE68" s="1" t="s">
        <v>52715</v>
      </c>
      <c r="ZF68" s="1" t="s">
        <v>52716</v>
      </c>
      <c r="ZG68" s="1" t="s">
        <v>52717</v>
      </c>
      <c r="ZH68" s="1" t="s">
        <v>52718</v>
      </c>
      <c r="ZI68" s="1" t="s">
        <v>52719</v>
      </c>
      <c r="ZJ68" s="1" t="s">
        <v>52720</v>
      </c>
      <c r="ZK68" s="1" t="s">
        <v>52721</v>
      </c>
      <c r="ZL68" s="1" t="s">
        <v>52722</v>
      </c>
      <c r="ZM68" s="1" t="s">
        <v>52723</v>
      </c>
      <c r="ZN68" s="1" t="s">
        <v>52724</v>
      </c>
      <c r="ZO68" s="1" t="s">
        <v>52725</v>
      </c>
      <c r="ZP68" s="1" t="s">
        <v>52726</v>
      </c>
      <c r="ZQ68" s="1" t="s">
        <v>52727</v>
      </c>
      <c r="ZR68" s="1" t="s">
        <v>52728</v>
      </c>
      <c r="ZS68" s="1" t="s">
        <v>52729</v>
      </c>
      <c r="ZT68" s="1" t="s">
        <v>52730</v>
      </c>
      <c r="ZU68" s="1" t="s">
        <v>52731</v>
      </c>
      <c r="ZV68" s="1" t="s">
        <v>52732</v>
      </c>
      <c r="ZW68" s="1" t="s">
        <v>52733</v>
      </c>
      <c r="ZX68" s="1" t="s">
        <v>52734</v>
      </c>
      <c r="ZY68" s="1" t="s">
        <v>52735</v>
      </c>
      <c r="ZZ68" s="1" t="s">
        <v>52736</v>
      </c>
      <c r="AAA68" s="1" t="s">
        <v>52737</v>
      </c>
      <c r="AAB68" s="1" t="s">
        <v>52738</v>
      </c>
      <c r="AAC68" s="1" t="s">
        <v>52739</v>
      </c>
      <c r="AAD68" s="1" t="s">
        <v>52740</v>
      </c>
      <c r="AAE68" s="1" t="s">
        <v>52741</v>
      </c>
      <c r="AAF68" s="1" t="s">
        <v>52742</v>
      </c>
      <c r="AAG68" s="1" t="s">
        <v>52743</v>
      </c>
      <c r="AAH68" s="1" t="s">
        <v>52744</v>
      </c>
      <c r="AAI68" s="1" t="s">
        <v>52745</v>
      </c>
      <c r="AAJ68" s="1" t="s">
        <v>52746</v>
      </c>
      <c r="AAK68" s="1" t="s">
        <v>52747</v>
      </c>
      <c r="AAL68" s="1" t="s">
        <v>52748</v>
      </c>
      <c r="AAM68" s="1" t="s">
        <v>52749</v>
      </c>
      <c r="AAN68" s="1" t="s">
        <v>52750</v>
      </c>
      <c r="AAO68" s="1" t="s">
        <v>52751</v>
      </c>
      <c r="AAP68" s="1" t="s">
        <v>52752</v>
      </c>
      <c r="AAQ68" s="1" t="s">
        <v>52753</v>
      </c>
      <c r="AAR68" s="1" t="s">
        <v>52754</v>
      </c>
      <c r="AAS68" s="1" t="s">
        <v>52755</v>
      </c>
      <c r="AAT68" s="1" t="s">
        <v>52756</v>
      </c>
      <c r="AAU68" s="1" t="s">
        <v>52757</v>
      </c>
      <c r="AAV68" s="1" t="s">
        <v>52758</v>
      </c>
      <c r="AAW68" s="1" t="s">
        <v>52759</v>
      </c>
      <c r="AAX68" s="1" t="s">
        <v>52760</v>
      </c>
      <c r="AAY68" s="1" t="s">
        <v>52761</v>
      </c>
      <c r="AAZ68" s="1" t="s">
        <v>52762</v>
      </c>
      <c r="ABA68" s="1" t="s">
        <v>52763</v>
      </c>
      <c r="ABB68" s="1" t="s">
        <v>52764</v>
      </c>
      <c r="ABC68" s="1" t="s">
        <v>52765</v>
      </c>
      <c r="ABD68" s="1" t="s">
        <v>52766</v>
      </c>
      <c r="ABE68" s="1" t="s">
        <v>52767</v>
      </c>
      <c r="ABF68" s="1" t="s">
        <v>52768</v>
      </c>
      <c r="ABG68" s="1" t="s">
        <v>52769</v>
      </c>
      <c r="ABH68" s="1" t="s">
        <v>52770</v>
      </c>
      <c r="ABI68" s="1" t="s">
        <v>52771</v>
      </c>
      <c r="ABJ68" s="1" t="s">
        <v>52772</v>
      </c>
      <c r="ABK68" s="1" t="s">
        <v>52773</v>
      </c>
      <c r="ABL68" s="1" t="s">
        <v>52774</v>
      </c>
      <c r="ABM68" s="1" t="s">
        <v>52775</v>
      </c>
      <c r="ABN68" s="1" t="s">
        <v>52776</v>
      </c>
      <c r="ABO68" s="1" t="s">
        <v>52777</v>
      </c>
      <c r="ABP68" s="1" t="s">
        <v>52778</v>
      </c>
      <c r="ABQ68" s="1" t="s">
        <v>52779</v>
      </c>
      <c r="ABR68" s="1" t="s">
        <v>52780</v>
      </c>
      <c r="ABS68" s="1" t="s">
        <v>52781</v>
      </c>
      <c r="ABT68" s="1" t="s">
        <v>52782</v>
      </c>
      <c r="ABU68" s="1" t="s">
        <v>52783</v>
      </c>
      <c r="ABV68" s="1" t="s">
        <v>52784</v>
      </c>
      <c r="ABW68" s="1" t="s">
        <v>52785</v>
      </c>
      <c r="ABX68" s="1" t="s">
        <v>52786</v>
      </c>
      <c r="ABY68" s="1" t="s">
        <v>52787</v>
      </c>
      <c r="ABZ68" s="1" t="s">
        <v>52788</v>
      </c>
      <c r="ACA68" s="1" t="s">
        <v>52789</v>
      </c>
      <c r="ACB68" s="1" t="s">
        <v>52790</v>
      </c>
      <c r="ACC68" s="1" t="s">
        <v>52791</v>
      </c>
      <c r="ACD68" s="1" t="s">
        <v>52792</v>
      </c>
      <c r="ACE68" s="1" t="s">
        <v>52793</v>
      </c>
      <c r="ACF68" s="1" t="s">
        <v>52794</v>
      </c>
      <c r="ACG68" s="1" t="s">
        <v>52795</v>
      </c>
      <c r="ACH68" s="1" t="s">
        <v>52796</v>
      </c>
      <c r="ACI68" s="1" t="s">
        <v>52797</v>
      </c>
      <c r="ACJ68" s="1" t="s">
        <v>52798</v>
      </c>
      <c r="ACK68" s="1" t="s">
        <v>52799</v>
      </c>
      <c r="ACL68" s="1" t="s">
        <v>52800</v>
      </c>
      <c r="ACM68" s="1" t="s">
        <v>52801</v>
      </c>
      <c r="ACN68" s="1" t="s">
        <v>52802</v>
      </c>
      <c r="ACO68" s="1" t="s">
        <v>52803</v>
      </c>
      <c r="ACP68" s="1" t="s">
        <v>52804</v>
      </c>
      <c r="ACQ68" s="1" t="s">
        <v>52805</v>
      </c>
      <c r="ACR68" s="1" t="s">
        <v>52806</v>
      </c>
      <c r="ACS68" s="1" t="s">
        <v>52807</v>
      </c>
      <c r="ACT68" s="1" t="s">
        <v>52808</v>
      </c>
      <c r="ACU68" s="1" t="s">
        <v>52809</v>
      </c>
      <c r="ACV68" s="1" t="s">
        <v>52810</v>
      </c>
      <c r="ACW68" s="1" t="s">
        <v>12</v>
      </c>
      <c r="ACX68" s="1" t="s">
        <v>1500</v>
      </c>
    </row>
    <row r="69" spans="1:778" x14ac:dyDescent="0.2">
      <c r="A69" s="1" t="s">
        <v>1507</v>
      </c>
      <c r="B69" s="1" t="s">
        <v>52811</v>
      </c>
      <c r="C69" s="1" t="s">
        <v>52812</v>
      </c>
      <c r="D69" s="1" t="s">
        <v>52813</v>
      </c>
      <c r="E69" s="1" t="s">
        <v>52814</v>
      </c>
      <c r="F69" s="1" t="s">
        <v>52815</v>
      </c>
      <c r="G69" s="1" t="s">
        <v>52816</v>
      </c>
      <c r="H69" s="1" t="s">
        <v>52817</v>
      </c>
      <c r="I69" s="1" t="s">
        <v>52818</v>
      </c>
      <c r="J69" s="1" t="s">
        <v>52819</v>
      </c>
      <c r="K69" s="1" t="s">
        <v>52820</v>
      </c>
      <c r="L69" s="1" t="s">
        <v>52821</v>
      </c>
      <c r="M69" s="1" t="s">
        <v>52822</v>
      </c>
      <c r="N69" s="1" t="s">
        <v>52823</v>
      </c>
      <c r="O69" s="1" t="s">
        <v>52824</v>
      </c>
      <c r="P69" s="1" t="s">
        <v>52825</v>
      </c>
      <c r="Q69" s="1" t="s">
        <v>52826</v>
      </c>
      <c r="R69" s="1" t="s">
        <v>52827</v>
      </c>
      <c r="S69" s="1" t="s">
        <v>52828</v>
      </c>
      <c r="T69" s="1" t="s">
        <v>52829</v>
      </c>
      <c r="U69" s="1" t="s">
        <v>52830</v>
      </c>
      <c r="V69" s="1" t="s">
        <v>52831</v>
      </c>
      <c r="W69" s="1" t="s">
        <v>52832</v>
      </c>
      <c r="X69" s="1" t="s">
        <v>52833</v>
      </c>
      <c r="Y69" s="1" t="s">
        <v>52834</v>
      </c>
      <c r="Z69" s="1" t="s">
        <v>52835</v>
      </c>
      <c r="AA69" s="1" t="s">
        <v>52836</v>
      </c>
      <c r="AB69" s="1" t="s">
        <v>52837</v>
      </c>
      <c r="AC69" s="1" t="s">
        <v>52838</v>
      </c>
      <c r="AD69" s="1" t="s">
        <v>52839</v>
      </c>
      <c r="AE69" s="1" t="s">
        <v>52840</v>
      </c>
      <c r="AF69" s="1" t="s">
        <v>52841</v>
      </c>
      <c r="AG69" s="1" t="s">
        <v>52842</v>
      </c>
      <c r="AH69" s="1" t="s">
        <v>52843</v>
      </c>
      <c r="AI69" s="1" t="s">
        <v>52844</v>
      </c>
      <c r="AJ69" s="1" t="s">
        <v>52845</v>
      </c>
      <c r="AK69" s="1" t="s">
        <v>52846</v>
      </c>
      <c r="AL69" s="1" t="s">
        <v>52847</v>
      </c>
      <c r="AM69" s="1" t="s">
        <v>52848</v>
      </c>
      <c r="AN69" s="1" t="s">
        <v>52849</v>
      </c>
      <c r="AO69" s="1" t="s">
        <v>52850</v>
      </c>
      <c r="AP69" s="1" t="s">
        <v>52851</v>
      </c>
      <c r="AQ69" s="1" t="s">
        <v>52852</v>
      </c>
      <c r="AR69" s="1" t="s">
        <v>52853</v>
      </c>
      <c r="AS69" s="1" t="s">
        <v>52854</v>
      </c>
      <c r="AT69" s="1" t="s">
        <v>52855</v>
      </c>
      <c r="AU69" s="1" t="s">
        <v>52856</v>
      </c>
      <c r="AV69" s="1" t="s">
        <v>52857</v>
      </c>
      <c r="AW69" s="1" t="s">
        <v>52858</v>
      </c>
      <c r="AX69" s="1" t="s">
        <v>52859</v>
      </c>
      <c r="AY69" s="1" t="s">
        <v>52860</v>
      </c>
      <c r="AZ69" s="1" t="s">
        <v>52861</v>
      </c>
      <c r="BA69" s="1" t="s">
        <v>52862</v>
      </c>
      <c r="BB69" s="1" t="s">
        <v>52863</v>
      </c>
      <c r="BC69" s="1" t="s">
        <v>52864</v>
      </c>
      <c r="BD69" s="1" t="s">
        <v>52865</v>
      </c>
      <c r="BE69" s="1" t="s">
        <v>52866</v>
      </c>
      <c r="BF69" s="1" t="s">
        <v>52867</v>
      </c>
      <c r="BG69" s="1" t="s">
        <v>52868</v>
      </c>
      <c r="BH69" s="1" t="s">
        <v>52869</v>
      </c>
      <c r="BI69" s="1" t="s">
        <v>52870</v>
      </c>
      <c r="BJ69" s="1" t="s">
        <v>52871</v>
      </c>
      <c r="BK69" s="1" t="s">
        <v>52872</v>
      </c>
      <c r="BL69" s="1" t="s">
        <v>52873</v>
      </c>
      <c r="BM69" s="1" t="s">
        <v>52874</v>
      </c>
      <c r="BN69" s="1" t="s">
        <v>52875</v>
      </c>
      <c r="BO69" s="1" t="s">
        <v>52876</v>
      </c>
      <c r="BP69" s="1" t="s">
        <v>52877</v>
      </c>
      <c r="BQ69" s="1" t="s">
        <v>52878</v>
      </c>
      <c r="BR69" s="1" t="s">
        <v>52879</v>
      </c>
      <c r="BS69" s="1" t="s">
        <v>52880</v>
      </c>
      <c r="BT69" s="1" t="s">
        <v>52881</v>
      </c>
      <c r="BU69" s="1" t="s">
        <v>52882</v>
      </c>
      <c r="BV69" s="1" t="s">
        <v>52883</v>
      </c>
      <c r="BW69" s="1" t="s">
        <v>52884</v>
      </c>
      <c r="BX69" s="1" t="s">
        <v>52885</v>
      </c>
      <c r="BY69" s="1" t="s">
        <v>52886</v>
      </c>
      <c r="BZ69" s="1" t="s">
        <v>52887</v>
      </c>
      <c r="CA69" s="1" t="s">
        <v>52888</v>
      </c>
      <c r="CB69" s="1" t="s">
        <v>52889</v>
      </c>
      <c r="CC69" s="1" t="s">
        <v>52890</v>
      </c>
      <c r="CD69" s="1" t="s">
        <v>52891</v>
      </c>
      <c r="CE69" s="1" t="s">
        <v>52892</v>
      </c>
      <c r="CF69" s="1" t="s">
        <v>52893</v>
      </c>
      <c r="CG69" s="1" t="s">
        <v>52894</v>
      </c>
      <c r="CH69" s="1" t="s">
        <v>52895</v>
      </c>
      <c r="CI69" s="1" t="s">
        <v>52896</v>
      </c>
      <c r="CJ69" s="1" t="s">
        <v>52897</v>
      </c>
      <c r="CK69" s="1" t="s">
        <v>52898</v>
      </c>
      <c r="CL69" s="1" t="s">
        <v>52899</v>
      </c>
      <c r="CM69" s="1" t="s">
        <v>52900</v>
      </c>
      <c r="CN69" s="1" t="s">
        <v>52901</v>
      </c>
      <c r="CO69" s="1" t="s">
        <v>52902</v>
      </c>
      <c r="CP69" s="1" t="s">
        <v>52903</v>
      </c>
      <c r="CQ69" s="1" t="s">
        <v>52904</v>
      </c>
      <c r="CR69" s="1" t="s">
        <v>52905</v>
      </c>
      <c r="CS69" s="1" t="s">
        <v>52906</v>
      </c>
      <c r="CT69" s="1" t="s">
        <v>52907</v>
      </c>
      <c r="CU69" s="1" t="s">
        <v>52908</v>
      </c>
      <c r="CV69" s="1" t="s">
        <v>52909</v>
      </c>
      <c r="CW69" s="1" t="s">
        <v>52910</v>
      </c>
      <c r="CX69" s="1" t="s">
        <v>52911</v>
      </c>
      <c r="CY69" s="1" t="s">
        <v>52912</v>
      </c>
      <c r="CZ69" s="1" t="s">
        <v>52913</v>
      </c>
      <c r="DA69" s="1" t="s">
        <v>52914</v>
      </c>
      <c r="DB69" s="1" t="s">
        <v>52915</v>
      </c>
      <c r="DC69" s="1" t="s">
        <v>52916</v>
      </c>
      <c r="DD69" s="1" t="s">
        <v>52917</v>
      </c>
      <c r="DE69" s="1" t="s">
        <v>52918</v>
      </c>
      <c r="DF69" s="1" t="s">
        <v>52919</v>
      </c>
      <c r="DG69" s="1" t="s">
        <v>52920</v>
      </c>
      <c r="DH69" s="1" t="s">
        <v>52921</v>
      </c>
      <c r="DI69" s="1" t="s">
        <v>52922</v>
      </c>
      <c r="DJ69" s="1" t="s">
        <v>52923</v>
      </c>
      <c r="DK69" s="1" t="s">
        <v>52924</v>
      </c>
      <c r="DL69" s="1" t="s">
        <v>52925</v>
      </c>
      <c r="DM69" s="1" t="s">
        <v>52926</v>
      </c>
      <c r="DN69" s="1" t="s">
        <v>52927</v>
      </c>
      <c r="DO69" s="1" t="s">
        <v>52928</v>
      </c>
      <c r="DP69" s="1" t="s">
        <v>52929</v>
      </c>
      <c r="DQ69" s="1" t="s">
        <v>52930</v>
      </c>
      <c r="DR69" s="1" t="s">
        <v>52931</v>
      </c>
      <c r="DS69" s="1" t="s">
        <v>52932</v>
      </c>
      <c r="DT69" s="1" t="s">
        <v>52933</v>
      </c>
      <c r="DU69" s="1" t="s">
        <v>52934</v>
      </c>
      <c r="DV69" s="1" t="s">
        <v>52935</v>
      </c>
      <c r="DW69" s="1" t="s">
        <v>52936</v>
      </c>
      <c r="DX69" s="1" t="s">
        <v>52937</v>
      </c>
      <c r="DY69" s="1" t="s">
        <v>52938</v>
      </c>
      <c r="DZ69" s="1" t="s">
        <v>52939</v>
      </c>
      <c r="EA69" s="1" t="s">
        <v>52940</v>
      </c>
      <c r="EB69" s="1" t="s">
        <v>52941</v>
      </c>
      <c r="EC69" s="1" t="s">
        <v>52942</v>
      </c>
      <c r="ED69" s="1" t="s">
        <v>52943</v>
      </c>
      <c r="EE69" s="1" t="s">
        <v>52944</v>
      </c>
      <c r="EF69" s="1" t="s">
        <v>52945</v>
      </c>
      <c r="EG69" s="1" t="s">
        <v>52946</v>
      </c>
      <c r="EH69" s="1" t="s">
        <v>52947</v>
      </c>
      <c r="EI69" s="1" t="s">
        <v>52948</v>
      </c>
      <c r="EJ69" s="1" t="s">
        <v>52949</v>
      </c>
      <c r="EK69" s="1" t="s">
        <v>52950</v>
      </c>
      <c r="EL69" s="1" t="s">
        <v>52951</v>
      </c>
      <c r="EM69" s="1" t="s">
        <v>52952</v>
      </c>
      <c r="EN69" s="1" t="s">
        <v>52953</v>
      </c>
      <c r="EO69" s="1" t="s">
        <v>52954</v>
      </c>
      <c r="EP69" s="1" t="s">
        <v>52955</v>
      </c>
      <c r="EQ69" s="1" t="s">
        <v>52956</v>
      </c>
      <c r="ER69" s="1" t="s">
        <v>52957</v>
      </c>
      <c r="ES69" s="1" t="s">
        <v>52958</v>
      </c>
      <c r="ET69" s="1" t="s">
        <v>52959</v>
      </c>
      <c r="EU69" s="1" t="s">
        <v>52960</v>
      </c>
      <c r="EV69" s="1" t="s">
        <v>52961</v>
      </c>
      <c r="EW69" s="1" t="s">
        <v>52962</v>
      </c>
      <c r="EX69" s="1" t="s">
        <v>52963</v>
      </c>
      <c r="EY69" s="1" t="s">
        <v>52964</v>
      </c>
      <c r="EZ69" s="1" t="s">
        <v>52965</v>
      </c>
      <c r="FA69" s="1" t="s">
        <v>52966</v>
      </c>
      <c r="FB69" s="1" t="s">
        <v>52967</v>
      </c>
      <c r="FC69" s="1" t="s">
        <v>52968</v>
      </c>
      <c r="FD69" s="1" t="s">
        <v>52969</v>
      </c>
      <c r="FE69" s="1" t="s">
        <v>52970</v>
      </c>
      <c r="FF69" s="1" t="s">
        <v>52971</v>
      </c>
      <c r="FG69" s="1" t="s">
        <v>52972</v>
      </c>
      <c r="FH69" s="1" t="s">
        <v>52973</v>
      </c>
      <c r="FI69" s="1" t="s">
        <v>52974</v>
      </c>
      <c r="FJ69" s="1" t="s">
        <v>52975</v>
      </c>
      <c r="FK69" s="1" t="s">
        <v>52976</v>
      </c>
      <c r="FL69" s="1" t="s">
        <v>52977</v>
      </c>
      <c r="FM69" s="1" t="s">
        <v>52978</v>
      </c>
      <c r="FN69" s="1" t="s">
        <v>52979</v>
      </c>
      <c r="FO69" s="1" t="s">
        <v>52980</v>
      </c>
      <c r="FP69" s="1" t="s">
        <v>52981</v>
      </c>
      <c r="FQ69" s="1" t="s">
        <v>52982</v>
      </c>
      <c r="FR69" s="1" t="s">
        <v>52983</v>
      </c>
      <c r="FS69" s="1" t="s">
        <v>52984</v>
      </c>
      <c r="FT69" s="1" t="s">
        <v>52985</v>
      </c>
      <c r="FU69" s="1" t="s">
        <v>52986</v>
      </c>
      <c r="FV69" s="1" t="s">
        <v>52987</v>
      </c>
      <c r="FW69" s="1" t="s">
        <v>52988</v>
      </c>
      <c r="FX69" s="1" t="s">
        <v>52989</v>
      </c>
      <c r="FY69" s="1" t="s">
        <v>52990</v>
      </c>
      <c r="FZ69" s="1" t="s">
        <v>52991</v>
      </c>
      <c r="GA69" s="1" t="s">
        <v>52992</v>
      </c>
      <c r="GB69" s="1" t="s">
        <v>52993</v>
      </c>
      <c r="GC69" s="1" t="s">
        <v>52994</v>
      </c>
      <c r="GD69" s="1" t="s">
        <v>52995</v>
      </c>
      <c r="GE69" s="1" t="s">
        <v>52996</v>
      </c>
      <c r="GF69" s="1" t="s">
        <v>52997</v>
      </c>
      <c r="GG69" s="1" t="s">
        <v>52998</v>
      </c>
      <c r="GH69" s="1" t="s">
        <v>52999</v>
      </c>
      <c r="GI69" s="1" t="s">
        <v>53000</v>
      </c>
      <c r="GJ69" s="1" t="s">
        <v>53001</v>
      </c>
      <c r="GK69" s="1" t="s">
        <v>53002</v>
      </c>
      <c r="GL69" s="1" t="s">
        <v>53003</v>
      </c>
      <c r="GM69" s="1" t="s">
        <v>53004</v>
      </c>
      <c r="GN69" s="1" t="s">
        <v>53005</v>
      </c>
      <c r="GO69" s="1" t="s">
        <v>53006</v>
      </c>
      <c r="GP69" s="1" t="s">
        <v>53007</v>
      </c>
      <c r="GQ69" s="1" t="s">
        <v>53008</v>
      </c>
      <c r="GR69" s="1" t="s">
        <v>53009</v>
      </c>
      <c r="GS69" s="1" t="s">
        <v>53010</v>
      </c>
      <c r="GT69" s="1" t="s">
        <v>53011</v>
      </c>
      <c r="GU69" s="1" t="s">
        <v>53012</v>
      </c>
      <c r="GV69" s="1" t="s">
        <v>53013</v>
      </c>
      <c r="GW69" s="1" t="s">
        <v>53014</v>
      </c>
      <c r="GX69" s="1" t="s">
        <v>53015</v>
      </c>
      <c r="GY69" s="1" t="s">
        <v>53016</v>
      </c>
      <c r="GZ69" s="1" t="s">
        <v>53017</v>
      </c>
      <c r="HA69" s="1" t="s">
        <v>53018</v>
      </c>
      <c r="HB69" s="1" t="s">
        <v>53019</v>
      </c>
      <c r="HC69" s="1" t="s">
        <v>53020</v>
      </c>
      <c r="HD69" s="1" t="s">
        <v>53021</v>
      </c>
      <c r="HE69" s="1" t="s">
        <v>53022</v>
      </c>
      <c r="HF69" s="1" t="s">
        <v>53023</v>
      </c>
      <c r="HG69" s="1" t="s">
        <v>53024</v>
      </c>
      <c r="HH69" s="1" t="s">
        <v>53025</v>
      </c>
      <c r="HI69" s="1" t="s">
        <v>53026</v>
      </c>
      <c r="HJ69" s="1" t="s">
        <v>53027</v>
      </c>
      <c r="HK69" s="1" t="s">
        <v>53028</v>
      </c>
      <c r="HL69" s="1" t="s">
        <v>53029</v>
      </c>
      <c r="HM69" s="1" t="s">
        <v>53030</v>
      </c>
      <c r="HN69" s="1" t="s">
        <v>53031</v>
      </c>
      <c r="HO69" s="1" t="s">
        <v>53032</v>
      </c>
      <c r="HP69" s="1" t="s">
        <v>53033</v>
      </c>
      <c r="HQ69" s="1" t="s">
        <v>53034</v>
      </c>
      <c r="HR69" s="1" t="s">
        <v>53035</v>
      </c>
      <c r="HS69" s="1" t="s">
        <v>53036</v>
      </c>
      <c r="HT69" s="1" t="s">
        <v>53037</v>
      </c>
      <c r="HU69" s="1" t="s">
        <v>53038</v>
      </c>
      <c r="HV69" s="1" t="s">
        <v>53039</v>
      </c>
      <c r="HW69" s="1" t="s">
        <v>53040</v>
      </c>
      <c r="HX69" s="1" t="s">
        <v>53041</v>
      </c>
      <c r="HY69" s="1" t="s">
        <v>53042</v>
      </c>
      <c r="HZ69" s="1" t="s">
        <v>53043</v>
      </c>
      <c r="IA69" s="1" t="s">
        <v>53044</v>
      </c>
      <c r="IB69" s="1" t="s">
        <v>53045</v>
      </c>
      <c r="IC69" s="1" t="s">
        <v>53046</v>
      </c>
      <c r="ID69" s="1" t="s">
        <v>53047</v>
      </c>
      <c r="IE69" s="1" t="s">
        <v>53048</v>
      </c>
      <c r="IF69" s="1" t="s">
        <v>53049</v>
      </c>
      <c r="IG69" s="1" t="s">
        <v>53050</v>
      </c>
      <c r="IH69" s="1" t="s">
        <v>53051</v>
      </c>
      <c r="II69" s="1" t="s">
        <v>53052</v>
      </c>
      <c r="IJ69" s="1" t="s">
        <v>53053</v>
      </c>
      <c r="IK69" s="1" t="s">
        <v>53054</v>
      </c>
      <c r="IL69" s="1" t="s">
        <v>53055</v>
      </c>
      <c r="IM69" s="1" t="s">
        <v>53056</v>
      </c>
      <c r="IN69" s="1" t="s">
        <v>53057</v>
      </c>
      <c r="IO69" s="1" t="s">
        <v>53058</v>
      </c>
      <c r="IP69" s="1" t="s">
        <v>53059</v>
      </c>
      <c r="IQ69" s="1" t="s">
        <v>53060</v>
      </c>
      <c r="IR69" s="1" t="s">
        <v>53061</v>
      </c>
      <c r="IS69" s="1" t="s">
        <v>53062</v>
      </c>
      <c r="IT69" s="1" t="s">
        <v>53063</v>
      </c>
      <c r="IU69" s="1" t="s">
        <v>53064</v>
      </c>
      <c r="IV69" s="1" t="s">
        <v>53065</v>
      </c>
      <c r="IW69" s="1" t="s">
        <v>53066</v>
      </c>
      <c r="IX69" s="1" t="s">
        <v>53067</v>
      </c>
      <c r="IY69" s="1" t="s">
        <v>53068</v>
      </c>
      <c r="IZ69" s="1" t="s">
        <v>53069</v>
      </c>
      <c r="JA69" s="1" t="s">
        <v>53070</v>
      </c>
      <c r="JB69" s="1" t="s">
        <v>53071</v>
      </c>
      <c r="JC69" s="1" t="s">
        <v>53072</v>
      </c>
      <c r="JD69" s="1" t="s">
        <v>53073</v>
      </c>
      <c r="JE69" s="1" t="s">
        <v>53074</v>
      </c>
      <c r="JF69" s="1" t="s">
        <v>53075</v>
      </c>
      <c r="JG69" s="1" t="s">
        <v>53076</v>
      </c>
      <c r="JH69" s="1" t="s">
        <v>53077</v>
      </c>
      <c r="JI69" s="1" t="s">
        <v>53078</v>
      </c>
      <c r="JJ69" s="1" t="s">
        <v>53079</v>
      </c>
      <c r="JK69" s="1" t="s">
        <v>53080</v>
      </c>
      <c r="JL69" s="1" t="s">
        <v>53081</v>
      </c>
      <c r="JM69" s="1" t="s">
        <v>53082</v>
      </c>
      <c r="JN69" s="1" t="s">
        <v>53083</v>
      </c>
      <c r="JO69" s="1" t="s">
        <v>53084</v>
      </c>
      <c r="JP69" s="1" t="s">
        <v>53085</v>
      </c>
      <c r="JQ69" s="1" t="s">
        <v>53086</v>
      </c>
      <c r="JR69" s="1" t="s">
        <v>53087</v>
      </c>
      <c r="JS69" s="1" t="s">
        <v>53088</v>
      </c>
      <c r="JT69" s="1" t="s">
        <v>53089</v>
      </c>
      <c r="JU69" s="1" t="s">
        <v>53090</v>
      </c>
      <c r="JV69" s="1" t="s">
        <v>53091</v>
      </c>
      <c r="JW69" s="1" t="s">
        <v>53092</v>
      </c>
      <c r="JX69" s="1" t="s">
        <v>53093</v>
      </c>
      <c r="JY69" s="1" t="s">
        <v>53094</v>
      </c>
      <c r="JZ69" s="1" t="s">
        <v>53095</v>
      </c>
      <c r="KA69" s="1" t="s">
        <v>53096</v>
      </c>
      <c r="KB69" s="1" t="s">
        <v>53097</v>
      </c>
      <c r="KC69" s="1" t="s">
        <v>53098</v>
      </c>
      <c r="KD69" s="1" t="s">
        <v>53099</v>
      </c>
      <c r="KE69" s="1" t="s">
        <v>53100</v>
      </c>
      <c r="KF69" s="1" t="s">
        <v>53101</v>
      </c>
      <c r="KG69" s="1" t="s">
        <v>53102</v>
      </c>
      <c r="KH69" s="1" t="s">
        <v>53103</v>
      </c>
      <c r="KI69" s="1" t="s">
        <v>53104</v>
      </c>
      <c r="KJ69" s="1" t="s">
        <v>53105</v>
      </c>
      <c r="KK69" s="1" t="s">
        <v>53106</v>
      </c>
      <c r="KL69" s="1" t="s">
        <v>53107</v>
      </c>
      <c r="KM69" s="1" t="s">
        <v>53108</v>
      </c>
      <c r="KN69" s="1" t="s">
        <v>53109</v>
      </c>
      <c r="KO69" s="1" t="s">
        <v>53110</v>
      </c>
      <c r="KP69" s="1" t="s">
        <v>53111</v>
      </c>
      <c r="KQ69" s="1" t="s">
        <v>53112</v>
      </c>
      <c r="KR69" s="1" t="s">
        <v>53113</v>
      </c>
      <c r="KS69" s="1" t="s">
        <v>53114</v>
      </c>
      <c r="KT69" s="1" t="s">
        <v>53115</v>
      </c>
      <c r="KU69" s="1" t="s">
        <v>53116</v>
      </c>
      <c r="KV69" s="1" t="s">
        <v>53117</v>
      </c>
      <c r="KW69" s="1" t="s">
        <v>53118</v>
      </c>
      <c r="KX69" s="1" t="s">
        <v>53119</v>
      </c>
      <c r="KY69" s="1" t="s">
        <v>53120</v>
      </c>
      <c r="KZ69" s="1" t="s">
        <v>53121</v>
      </c>
      <c r="LA69" s="1" t="s">
        <v>53122</v>
      </c>
      <c r="LB69" s="1" t="s">
        <v>53123</v>
      </c>
      <c r="LC69" s="1" t="s">
        <v>53124</v>
      </c>
      <c r="LD69" s="1" t="s">
        <v>53125</v>
      </c>
      <c r="LE69" s="1" t="s">
        <v>53126</v>
      </c>
      <c r="LF69" s="1" t="s">
        <v>53127</v>
      </c>
      <c r="LG69" s="1" t="s">
        <v>53128</v>
      </c>
      <c r="LH69" s="1" t="s">
        <v>53129</v>
      </c>
      <c r="LI69" s="1" t="s">
        <v>53130</v>
      </c>
      <c r="LJ69" s="1" t="s">
        <v>53131</v>
      </c>
      <c r="LK69" s="1" t="s">
        <v>53132</v>
      </c>
      <c r="LL69" s="1" t="s">
        <v>53133</v>
      </c>
      <c r="LM69" s="1" t="s">
        <v>53134</v>
      </c>
      <c r="LN69" s="1" t="s">
        <v>53135</v>
      </c>
      <c r="LO69" s="1" t="s">
        <v>53136</v>
      </c>
      <c r="LP69" s="1" t="s">
        <v>53137</v>
      </c>
      <c r="LQ69" s="1" t="s">
        <v>53138</v>
      </c>
      <c r="LR69" s="1" t="s">
        <v>53139</v>
      </c>
      <c r="LS69" s="1" t="s">
        <v>53140</v>
      </c>
      <c r="LT69" s="1" t="s">
        <v>53141</v>
      </c>
      <c r="LU69" s="1" t="s">
        <v>53142</v>
      </c>
      <c r="LV69" s="1" t="s">
        <v>53143</v>
      </c>
      <c r="LW69" s="1" t="s">
        <v>53144</v>
      </c>
      <c r="LX69" s="1" t="s">
        <v>53145</v>
      </c>
      <c r="LY69" s="1" t="s">
        <v>53146</v>
      </c>
      <c r="LZ69" s="1" t="s">
        <v>53147</v>
      </c>
      <c r="MA69" s="1" t="s">
        <v>53148</v>
      </c>
      <c r="MB69" s="1" t="s">
        <v>53149</v>
      </c>
      <c r="MC69" s="1" t="s">
        <v>53150</v>
      </c>
      <c r="MD69" s="1" t="s">
        <v>53151</v>
      </c>
      <c r="ME69" s="1" t="s">
        <v>53152</v>
      </c>
      <c r="MF69" s="1" t="s">
        <v>53153</v>
      </c>
      <c r="MG69" s="1" t="s">
        <v>53154</v>
      </c>
      <c r="MH69" s="1" t="s">
        <v>53155</v>
      </c>
      <c r="MI69" s="1" t="s">
        <v>53156</v>
      </c>
      <c r="MJ69" s="1" t="s">
        <v>53157</v>
      </c>
      <c r="MK69" s="1" t="s">
        <v>53158</v>
      </c>
      <c r="ML69" s="1" t="s">
        <v>53159</v>
      </c>
      <c r="MM69" s="1" t="s">
        <v>53160</v>
      </c>
      <c r="MN69" s="1" t="s">
        <v>53161</v>
      </c>
      <c r="MO69" s="1" t="s">
        <v>53162</v>
      </c>
      <c r="MP69" s="1" t="s">
        <v>53163</v>
      </c>
      <c r="MQ69" s="1" t="s">
        <v>53164</v>
      </c>
      <c r="MR69" s="1" t="s">
        <v>53165</v>
      </c>
      <c r="MS69" s="1" t="s">
        <v>53166</v>
      </c>
      <c r="MT69" s="1" t="s">
        <v>53167</v>
      </c>
      <c r="MU69" s="1" t="s">
        <v>53168</v>
      </c>
      <c r="MV69" s="1" t="s">
        <v>53169</v>
      </c>
      <c r="MW69" s="1" t="s">
        <v>53170</v>
      </c>
      <c r="MX69" s="1" t="s">
        <v>53171</v>
      </c>
      <c r="MY69" s="1" t="s">
        <v>53172</v>
      </c>
      <c r="MZ69" s="1" t="s">
        <v>53173</v>
      </c>
      <c r="NA69" s="1" t="s">
        <v>53174</v>
      </c>
      <c r="NB69" s="1" t="s">
        <v>53175</v>
      </c>
      <c r="NC69" s="1" t="s">
        <v>53176</v>
      </c>
      <c r="ND69" s="1" t="s">
        <v>53177</v>
      </c>
      <c r="NE69" s="1" t="s">
        <v>53178</v>
      </c>
      <c r="NF69" s="1" t="s">
        <v>53179</v>
      </c>
      <c r="NG69" s="1" t="s">
        <v>53180</v>
      </c>
      <c r="NH69" s="1" t="s">
        <v>53181</v>
      </c>
      <c r="NI69" s="1" t="s">
        <v>53182</v>
      </c>
      <c r="NJ69" s="1" t="s">
        <v>53183</v>
      </c>
      <c r="NK69" s="1" t="s">
        <v>53184</v>
      </c>
      <c r="NL69" s="1" t="s">
        <v>53185</v>
      </c>
      <c r="NM69" s="1" t="s">
        <v>53186</v>
      </c>
      <c r="NN69" s="1" t="s">
        <v>53187</v>
      </c>
      <c r="NO69" s="1" t="s">
        <v>53188</v>
      </c>
      <c r="NP69" s="1" t="s">
        <v>53189</v>
      </c>
      <c r="NQ69" s="1" t="s">
        <v>53190</v>
      </c>
      <c r="NR69" s="1" t="s">
        <v>53191</v>
      </c>
      <c r="NS69" s="1" t="s">
        <v>53192</v>
      </c>
      <c r="NT69" s="1" t="s">
        <v>53193</v>
      </c>
      <c r="NU69" s="1" t="s">
        <v>53194</v>
      </c>
      <c r="NV69" s="1" t="s">
        <v>53195</v>
      </c>
      <c r="NW69" s="1" t="s">
        <v>53196</v>
      </c>
      <c r="NX69" s="1" t="s">
        <v>53197</v>
      </c>
      <c r="NY69" s="1" t="s">
        <v>53198</v>
      </c>
      <c r="NZ69" s="1" t="s">
        <v>53199</v>
      </c>
      <c r="OA69" s="1" t="s">
        <v>53200</v>
      </c>
      <c r="OB69" s="1" t="s">
        <v>53201</v>
      </c>
      <c r="OC69" s="1" t="s">
        <v>53202</v>
      </c>
      <c r="OD69" s="1" t="s">
        <v>53203</v>
      </c>
      <c r="OE69" s="1" t="s">
        <v>53204</v>
      </c>
      <c r="OF69" s="1" t="s">
        <v>53205</v>
      </c>
      <c r="OG69" s="1" t="s">
        <v>53206</v>
      </c>
      <c r="OH69" s="1" t="s">
        <v>53207</v>
      </c>
      <c r="OI69" s="1" t="s">
        <v>53208</v>
      </c>
      <c r="OJ69" s="1" t="s">
        <v>53209</v>
      </c>
      <c r="OK69" s="1" t="s">
        <v>53210</v>
      </c>
      <c r="OL69" s="1" t="s">
        <v>53211</v>
      </c>
      <c r="OM69" s="1" t="s">
        <v>53212</v>
      </c>
      <c r="ON69" s="1" t="s">
        <v>53213</v>
      </c>
      <c r="OO69" s="1" t="s">
        <v>53214</v>
      </c>
      <c r="OP69" s="1" t="s">
        <v>53215</v>
      </c>
      <c r="OQ69" s="1" t="s">
        <v>53216</v>
      </c>
      <c r="OR69" s="1" t="s">
        <v>53217</v>
      </c>
      <c r="OS69" s="1" t="s">
        <v>53218</v>
      </c>
      <c r="OT69" s="1" t="s">
        <v>53219</v>
      </c>
      <c r="OU69" s="1" t="s">
        <v>53220</v>
      </c>
      <c r="OV69" s="1" t="s">
        <v>53221</v>
      </c>
      <c r="OW69" s="1" t="s">
        <v>53222</v>
      </c>
      <c r="OX69" s="1" t="s">
        <v>53223</v>
      </c>
      <c r="OY69" s="1" t="s">
        <v>53224</v>
      </c>
      <c r="OZ69" s="1" t="s">
        <v>53225</v>
      </c>
      <c r="PA69" s="1" t="s">
        <v>53226</v>
      </c>
      <c r="PB69" s="1" t="s">
        <v>53227</v>
      </c>
      <c r="PC69" s="1" t="s">
        <v>53228</v>
      </c>
      <c r="PD69" s="1" t="s">
        <v>53229</v>
      </c>
      <c r="PE69" s="1" t="s">
        <v>53230</v>
      </c>
      <c r="PF69" s="1" t="s">
        <v>53231</v>
      </c>
      <c r="PG69" s="1" t="s">
        <v>53232</v>
      </c>
      <c r="PH69" s="1" t="s">
        <v>53233</v>
      </c>
      <c r="PI69" s="1" t="s">
        <v>53234</v>
      </c>
      <c r="PJ69" s="1" t="s">
        <v>53235</v>
      </c>
      <c r="PK69" s="1" t="s">
        <v>53236</v>
      </c>
      <c r="PL69" s="1" t="s">
        <v>53237</v>
      </c>
      <c r="PM69" s="1" t="s">
        <v>53238</v>
      </c>
      <c r="PN69" s="1" t="s">
        <v>53239</v>
      </c>
      <c r="PO69" s="1" t="s">
        <v>53240</v>
      </c>
      <c r="PP69" s="1" t="s">
        <v>53241</v>
      </c>
      <c r="PQ69" s="1" t="s">
        <v>53242</v>
      </c>
      <c r="PR69" s="1" t="s">
        <v>53243</v>
      </c>
      <c r="PS69" s="1" t="s">
        <v>53244</v>
      </c>
      <c r="PT69" s="1" t="s">
        <v>53245</v>
      </c>
      <c r="PU69" s="1" t="s">
        <v>53246</v>
      </c>
      <c r="PV69" s="1" t="s">
        <v>53247</v>
      </c>
      <c r="PW69" s="1" t="s">
        <v>53248</v>
      </c>
      <c r="PX69" s="1" t="s">
        <v>53249</v>
      </c>
      <c r="PY69" s="1" t="s">
        <v>53250</v>
      </c>
      <c r="PZ69" s="1" t="s">
        <v>53251</v>
      </c>
      <c r="QA69" s="1" t="s">
        <v>53252</v>
      </c>
      <c r="QB69" s="1" t="s">
        <v>53253</v>
      </c>
      <c r="QC69" s="1" t="s">
        <v>53254</v>
      </c>
      <c r="QD69" s="1" t="s">
        <v>53255</v>
      </c>
      <c r="QE69" s="1" t="s">
        <v>53256</v>
      </c>
      <c r="QF69" s="1" t="s">
        <v>53257</v>
      </c>
      <c r="QG69" s="1" t="s">
        <v>53258</v>
      </c>
      <c r="QH69" s="1" t="s">
        <v>53259</v>
      </c>
      <c r="QI69" s="1" t="s">
        <v>53260</v>
      </c>
      <c r="QJ69" s="1" t="s">
        <v>53261</v>
      </c>
      <c r="QK69" s="1" t="s">
        <v>53262</v>
      </c>
      <c r="QL69" s="1" t="s">
        <v>53263</v>
      </c>
      <c r="QM69" s="1" t="s">
        <v>53264</v>
      </c>
      <c r="QN69" s="1" t="s">
        <v>53265</v>
      </c>
      <c r="QO69" s="1" t="s">
        <v>53266</v>
      </c>
      <c r="QP69" s="1" t="s">
        <v>53267</v>
      </c>
      <c r="QQ69" s="1" t="s">
        <v>53268</v>
      </c>
      <c r="QR69" s="1" t="s">
        <v>53269</v>
      </c>
      <c r="QS69" s="1" t="s">
        <v>53270</v>
      </c>
      <c r="QT69" s="1" t="s">
        <v>53271</v>
      </c>
      <c r="QU69" s="1" t="s">
        <v>53272</v>
      </c>
      <c r="QV69" s="1" t="s">
        <v>53273</v>
      </c>
      <c r="QW69" s="1" t="s">
        <v>53274</v>
      </c>
      <c r="QX69" s="1" t="s">
        <v>53275</v>
      </c>
      <c r="QY69" s="1" t="s">
        <v>53276</v>
      </c>
      <c r="QZ69" s="1" t="s">
        <v>53277</v>
      </c>
      <c r="RA69" s="1" t="s">
        <v>53278</v>
      </c>
      <c r="RB69" s="1" t="s">
        <v>53279</v>
      </c>
      <c r="RC69" s="1" t="s">
        <v>53280</v>
      </c>
      <c r="RD69" s="1" t="s">
        <v>53281</v>
      </c>
      <c r="RE69" s="1" t="s">
        <v>53282</v>
      </c>
      <c r="RF69" s="1" t="s">
        <v>53283</v>
      </c>
      <c r="RG69" s="1" t="s">
        <v>53284</v>
      </c>
      <c r="RH69" s="1" t="s">
        <v>53285</v>
      </c>
      <c r="RI69" s="1" t="s">
        <v>53286</v>
      </c>
      <c r="RJ69" s="1" t="s">
        <v>53287</v>
      </c>
      <c r="RK69" s="1" t="s">
        <v>53288</v>
      </c>
      <c r="RL69" s="1" t="s">
        <v>53289</v>
      </c>
      <c r="RM69" s="1" t="s">
        <v>53290</v>
      </c>
      <c r="RN69" s="1" t="s">
        <v>53291</v>
      </c>
      <c r="RO69" s="1" t="s">
        <v>53292</v>
      </c>
      <c r="RP69" s="1" t="s">
        <v>53293</v>
      </c>
      <c r="RQ69" s="1" t="s">
        <v>53294</v>
      </c>
      <c r="RR69" s="1" t="s">
        <v>53295</v>
      </c>
      <c r="RS69" s="1" t="s">
        <v>53296</v>
      </c>
      <c r="RT69" s="1" t="s">
        <v>53297</v>
      </c>
      <c r="RU69" s="1" t="s">
        <v>53298</v>
      </c>
      <c r="RV69" s="1" t="s">
        <v>53299</v>
      </c>
      <c r="RW69" s="1" t="s">
        <v>53300</v>
      </c>
      <c r="RX69" s="1" t="s">
        <v>53301</v>
      </c>
      <c r="RY69" s="1" t="s">
        <v>53302</v>
      </c>
      <c r="RZ69" s="1" t="s">
        <v>53303</v>
      </c>
      <c r="SA69" s="1" t="s">
        <v>53304</v>
      </c>
      <c r="SB69" s="1" t="s">
        <v>53305</v>
      </c>
      <c r="SC69" s="1" t="s">
        <v>53306</v>
      </c>
      <c r="SD69" s="1" t="s">
        <v>53307</v>
      </c>
      <c r="SE69" s="1" t="s">
        <v>53308</v>
      </c>
      <c r="SF69" s="1" t="s">
        <v>53309</v>
      </c>
      <c r="SG69" s="1" t="s">
        <v>53310</v>
      </c>
      <c r="SH69" s="1" t="s">
        <v>53311</v>
      </c>
      <c r="SI69" s="1" t="s">
        <v>53312</v>
      </c>
      <c r="SJ69" s="1" t="s">
        <v>53313</v>
      </c>
      <c r="SK69" s="1" t="s">
        <v>53314</v>
      </c>
      <c r="SL69" s="1" t="s">
        <v>53315</v>
      </c>
      <c r="SM69" s="1" t="s">
        <v>53316</v>
      </c>
      <c r="SN69" s="1" t="s">
        <v>53317</v>
      </c>
      <c r="SO69" s="1" t="s">
        <v>53318</v>
      </c>
      <c r="SP69" s="1" t="s">
        <v>53319</v>
      </c>
      <c r="SQ69" s="1" t="s">
        <v>53320</v>
      </c>
      <c r="SR69" s="1" t="s">
        <v>53321</v>
      </c>
      <c r="SS69" s="1" t="s">
        <v>53322</v>
      </c>
      <c r="ST69" s="1" t="s">
        <v>53323</v>
      </c>
      <c r="SU69" s="1" t="s">
        <v>53324</v>
      </c>
      <c r="SV69" s="1" t="s">
        <v>53325</v>
      </c>
      <c r="SW69" s="1" t="s">
        <v>53326</v>
      </c>
      <c r="SX69" s="1" t="s">
        <v>53327</v>
      </c>
      <c r="SY69" s="1" t="s">
        <v>53328</v>
      </c>
      <c r="SZ69" s="1" t="s">
        <v>53329</v>
      </c>
      <c r="TA69" s="1" t="s">
        <v>53330</v>
      </c>
      <c r="TB69" s="1" t="s">
        <v>53331</v>
      </c>
      <c r="TC69" s="1" t="s">
        <v>53332</v>
      </c>
      <c r="TD69" s="1" t="s">
        <v>53333</v>
      </c>
      <c r="TE69" s="1" t="s">
        <v>53334</v>
      </c>
      <c r="TF69" s="1" t="s">
        <v>53335</v>
      </c>
      <c r="TG69" s="1" t="s">
        <v>53336</v>
      </c>
      <c r="TH69" s="1" t="s">
        <v>53337</v>
      </c>
      <c r="TI69" s="1" t="s">
        <v>53338</v>
      </c>
      <c r="TJ69" s="1" t="s">
        <v>53339</v>
      </c>
      <c r="TK69" s="1" t="s">
        <v>53340</v>
      </c>
      <c r="TL69" s="1" t="s">
        <v>53341</v>
      </c>
      <c r="TM69" s="1" t="s">
        <v>53342</v>
      </c>
      <c r="TN69" s="1" t="s">
        <v>53343</v>
      </c>
      <c r="TO69" s="1" t="s">
        <v>53344</v>
      </c>
      <c r="TP69" s="1" t="s">
        <v>53345</v>
      </c>
      <c r="TQ69" s="1" t="s">
        <v>53346</v>
      </c>
      <c r="TR69" s="1" t="s">
        <v>53347</v>
      </c>
      <c r="TS69" s="1" t="s">
        <v>53348</v>
      </c>
      <c r="TT69" s="1" t="s">
        <v>53349</v>
      </c>
      <c r="TU69" s="1" t="s">
        <v>53350</v>
      </c>
      <c r="TV69" s="1" t="s">
        <v>53351</v>
      </c>
      <c r="TW69" s="1" t="s">
        <v>53352</v>
      </c>
      <c r="TX69" s="1" t="s">
        <v>53353</v>
      </c>
      <c r="TY69" s="1" t="s">
        <v>53354</v>
      </c>
      <c r="TZ69" s="1" t="s">
        <v>53355</v>
      </c>
      <c r="UA69" s="1" t="s">
        <v>53356</v>
      </c>
      <c r="UB69" s="1" t="s">
        <v>53357</v>
      </c>
      <c r="UC69" s="1" t="s">
        <v>53358</v>
      </c>
      <c r="UD69" s="1" t="s">
        <v>53359</v>
      </c>
      <c r="UE69" s="1" t="s">
        <v>53360</v>
      </c>
      <c r="UF69" s="1" t="s">
        <v>53361</v>
      </c>
      <c r="UG69" s="1" t="s">
        <v>53362</v>
      </c>
      <c r="UH69" s="1" t="s">
        <v>53363</v>
      </c>
      <c r="UI69" s="1" t="s">
        <v>53364</v>
      </c>
      <c r="UJ69" s="1" t="s">
        <v>53365</v>
      </c>
      <c r="UK69" s="1" t="s">
        <v>53366</v>
      </c>
      <c r="UL69" s="1" t="s">
        <v>53367</v>
      </c>
      <c r="UM69" s="1" t="s">
        <v>53368</v>
      </c>
      <c r="UN69" s="1" t="s">
        <v>53369</v>
      </c>
      <c r="UO69" s="1" t="s">
        <v>53370</v>
      </c>
      <c r="UP69" s="1" t="s">
        <v>53371</v>
      </c>
      <c r="UQ69" s="1" t="s">
        <v>53372</v>
      </c>
      <c r="UR69" s="1" t="s">
        <v>53373</v>
      </c>
      <c r="US69" s="1" t="s">
        <v>53374</v>
      </c>
      <c r="UT69" s="1" t="s">
        <v>53375</v>
      </c>
      <c r="UU69" s="1" t="s">
        <v>53376</v>
      </c>
      <c r="UV69" s="1" t="s">
        <v>53377</v>
      </c>
      <c r="UW69" s="1" t="s">
        <v>53378</v>
      </c>
      <c r="UX69" s="1" t="s">
        <v>53379</v>
      </c>
      <c r="UY69" s="1" t="s">
        <v>53380</v>
      </c>
      <c r="UZ69" s="1" t="s">
        <v>53381</v>
      </c>
      <c r="VA69" s="1" t="s">
        <v>53382</v>
      </c>
      <c r="VB69" s="1" t="s">
        <v>53383</v>
      </c>
      <c r="VC69" s="1" t="s">
        <v>53384</v>
      </c>
      <c r="VD69" s="1" t="s">
        <v>53385</v>
      </c>
      <c r="VE69" s="1" t="s">
        <v>53386</v>
      </c>
      <c r="VF69" s="1" t="s">
        <v>53387</v>
      </c>
      <c r="VG69" s="1" t="s">
        <v>53388</v>
      </c>
      <c r="VH69" s="1" t="s">
        <v>53389</v>
      </c>
      <c r="VI69" s="1" t="s">
        <v>53390</v>
      </c>
      <c r="VJ69" s="1" t="s">
        <v>53391</v>
      </c>
      <c r="VK69" s="1" t="s">
        <v>53392</v>
      </c>
      <c r="VL69" s="1" t="s">
        <v>53393</v>
      </c>
      <c r="VM69" s="1" t="s">
        <v>53394</v>
      </c>
      <c r="VN69" s="1" t="s">
        <v>53395</v>
      </c>
      <c r="VO69" s="1" t="s">
        <v>53396</v>
      </c>
      <c r="VP69" s="1" t="s">
        <v>53397</v>
      </c>
      <c r="VQ69" s="1" t="s">
        <v>53398</v>
      </c>
      <c r="VR69" s="1" t="s">
        <v>53399</v>
      </c>
      <c r="VS69" s="1" t="s">
        <v>53400</v>
      </c>
      <c r="VT69" s="1" t="s">
        <v>53401</v>
      </c>
      <c r="VU69" s="1" t="s">
        <v>53402</v>
      </c>
      <c r="VV69" s="1" t="s">
        <v>53403</v>
      </c>
      <c r="VW69" s="1" t="s">
        <v>53404</v>
      </c>
      <c r="VX69" s="1" t="s">
        <v>53405</v>
      </c>
      <c r="VY69" s="1" t="s">
        <v>53406</v>
      </c>
      <c r="VZ69" s="1" t="s">
        <v>53407</v>
      </c>
      <c r="WA69" s="1" t="s">
        <v>53408</v>
      </c>
      <c r="WB69" s="1" t="s">
        <v>53409</v>
      </c>
      <c r="WC69" s="1" t="s">
        <v>53410</v>
      </c>
      <c r="WD69" s="1" t="s">
        <v>53411</v>
      </c>
      <c r="WE69" s="1" t="s">
        <v>53412</v>
      </c>
      <c r="WF69" s="1" t="s">
        <v>53413</v>
      </c>
      <c r="WG69" s="1" t="s">
        <v>53414</v>
      </c>
      <c r="WH69" s="1" t="s">
        <v>53415</v>
      </c>
      <c r="WI69" s="1" t="s">
        <v>53416</v>
      </c>
      <c r="WJ69" s="1" t="s">
        <v>53417</v>
      </c>
      <c r="WK69" s="1" t="s">
        <v>53418</v>
      </c>
      <c r="WL69" s="1" t="s">
        <v>53419</v>
      </c>
      <c r="WM69" s="1" t="s">
        <v>53420</v>
      </c>
      <c r="WN69" s="1" t="s">
        <v>53421</v>
      </c>
      <c r="WO69" s="1" t="s">
        <v>53422</v>
      </c>
      <c r="WP69" s="1" t="s">
        <v>53423</v>
      </c>
      <c r="WQ69" s="1" t="s">
        <v>53424</v>
      </c>
      <c r="WR69" s="1" t="s">
        <v>53425</v>
      </c>
      <c r="WS69" s="1" t="s">
        <v>53426</v>
      </c>
      <c r="WT69" s="1" t="s">
        <v>53427</v>
      </c>
      <c r="WU69" s="1" t="s">
        <v>53428</v>
      </c>
      <c r="WV69" s="1" t="s">
        <v>53429</v>
      </c>
      <c r="WW69" s="1" t="s">
        <v>53430</v>
      </c>
      <c r="WX69" s="1" t="s">
        <v>53431</v>
      </c>
      <c r="WY69" s="1" t="s">
        <v>53432</v>
      </c>
      <c r="WZ69" s="1" t="s">
        <v>53433</v>
      </c>
      <c r="XA69" s="1" t="s">
        <v>53434</v>
      </c>
      <c r="XB69" s="1" t="s">
        <v>53435</v>
      </c>
      <c r="XC69" s="1" t="s">
        <v>53436</v>
      </c>
      <c r="XD69" s="1" t="s">
        <v>53437</v>
      </c>
      <c r="XE69" s="1" t="s">
        <v>53438</v>
      </c>
      <c r="XF69" s="1" t="s">
        <v>53439</v>
      </c>
      <c r="XG69" s="1" t="s">
        <v>53440</v>
      </c>
      <c r="XH69" s="1" t="s">
        <v>53441</v>
      </c>
      <c r="XI69" s="1" t="s">
        <v>53442</v>
      </c>
      <c r="XJ69" s="1" t="s">
        <v>53443</v>
      </c>
      <c r="XK69" s="1" t="s">
        <v>53444</v>
      </c>
      <c r="XL69" s="1" t="s">
        <v>53445</v>
      </c>
      <c r="XM69" s="1" t="s">
        <v>53446</v>
      </c>
      <c r="XN69" s="1" t="s">
        <v>53447</v>
      </c>
      <c r="XO69" s="1" t="s">
        <v>53448</v>
      </c>
      <c r="XP69" s="1" t="s">
        <v>53449</v>
      </c>
      <c r="XQ69" s="1" t="s">
        <v>53450</v>
      </c>
      <c r="XR69" s="1" t="s">
        <v>53451</v>
      </c>
      <c r="XS69" s="1" t="s">
        <v>53452</v>
      </c>
      <c r="XT69" s="1" t="s">
        <v>53453</v>
      </c>
      <c r="XU69" s="1" t="s">
        <v>53454</v>
      </c>
      <c r="XV69" s="1" t="s">
        <v>53455</v>
      </c>
      <c r="XW69" s="1" t="s">
        <v>53456</v>
      </c>
      <c r="XX69" s="1" t="s">
        <v>53457</v>
      </c>
      <c r="XY69" s="1" t="s">
        <v>53458</v>
      </c>
      <c r="XZ69" s="1" t="s">
        <v>53459</v>
      </c>
      <c r="YA69" s="1" t="s">
        <v>53460</v>
      </c>
      <c r="YB69" s="1" t="s">
        <v>53461</v>
      </c>
      <c r="YC69" s="1" t="s">
        <v>53462</v>
      </c>
      <c r="YD69" s="1" t="s">
        <v>53463</v>
      </c>
      <c r="YE69" s="1" t="s">
        <v>53464</v>
      </c>
      <c r="YF69" s="1" t="s">
        <v>53465</v>
      </c>
      <c r="YG69" s="1" t="s">
        <v>53466</v>
      </c>
      <c r="YH69" s="1" t="s">
        <v>53467</v>
      </c>
      <c r="YI69" s="1" t="s">
        <v>53468</v>
      </c>
      <c r="YJ69" s="1" t="s">
        <v>53469</v>
      </c>
      <c r="YK69" s="1" t="s">
        <v>53470</v>
      </c>
      <c r="YL69" s="1" t="s">
        <v>53471</v>
      </c>
      <c r="YM69" s="1" t="s">
        <v>53472</v>
      </c>
      <c r="YN69" s="1" t="s">
        <v>53473</v>
      </c>
      <c r="YO69" s="1" t="s">
        <v>53474</v>
      </c>
      <c r="YP69" s="1" t="s">
        <v>53475</v>
      </c>
      <c r="YQ69" s="1" t="s">
        <v>53476</v>
      </c>
      <c r="YR69" s="1" t="s">
        <v>53477</v>
      </c>
      <c r="YS69" s="1" t="s">
        <v>53478</v>
      </c>
      <c r="YT69" s="1" t="s">
        <v>53479</v>
      </c>
      <c r="YU69" s="1" t="s">
        <v>53480</v>
      </c>
      <c r="YV69" s="1" t="s">
        <v>53481</v>
      </c>
      <c r="YW69" s="1" t="s">
        <v>53482</v>
      </c>
      <c r="YX69" s="1" t="s">
        <v>53483</v>
      </c>
      <c r="YY69" s="1" t="s">
        <v>53484</v>
      </c>
      <c r="YZ69" s="1" t="s">
        <v>53485</v>
      </c>
      <c r="ZA69" s="1" t="s">
        <v>53486</v>
      </c>
      <c r="ZB69" s="1" t="s">
        <v>53487</v>
      </c>
      <c r="ZC69" s="1" t="s">
        <v>53488</v>
      </c>
      <c r="ZD69" s="1" t="s">
        <v>53489</v>
      </c>
      <c r="ZE69" s="1" t="s">
        <v>53490</v>
      </c>
      <c r="ZF69" s="1" t="s">
        <v>53491</v>
      </c>
      <c r="ZG69" s="1" t="s">
        <v>53492</v>
      </c>
      <c r="ZH69" s="1" t="s">
        <v>53493</v>
      </c>
      <c r="ZI69" s="1" t="s">
        <v>53494</v>
      </c>
      <c r="ZJ69" s="1" t="s">
        <v>53495</v>
      </c>
      <c r="ZK69" s="1" t="s">
        <v>53496</v>
      </c>
      <c r="ZL69" s="1" t="s">
        <v>53497</v>
      </c>
      <c r="ZM69" s="1" t="s">
        <v>53498</v>
      </c>
      <c r="ZN69" s="1" t="s">
        <v>53499</v>
      </c>
      <c r="ZO69" s="1" t="s">
        <v>53500</v>
      </c>
      <c r="ZP69" s="1" t="s">
        <v>53501</v>
      </c>
      <c r="ZQ69" s="1" t="s">
        <v>53502</v>
      </c>
      <c r="ZR69" s="1" t="s">
        <v>53503</v>
      </c>
      <c r="ZS69" s="1" t="s">
        <v>53504</v>
      </c>
      <c r="ZT69" s="1" t="s">
        <v>53505</v>
      </c>
      <c r="ZU69" s="1" t="s">
        <v>53506</v>
      </c>
      <c r="ZV69" s="1" t="s">
        <v>53507</v>
      </c>
      <c r="ZW69" s="1" t="s">
        <v>53508</v>
      </c>
      <c r="ZX69" s="1" t="s">
        <v>53509</v>
      </c>
      <c r="ZY69" s="1" t="s">
        <v>53510</v>
      </c>
      <c r="ZZ69" s="1" t="s">
        <v>53511</v>
      </c>
      <c r="AAA69" s="1" t="s">
        <v>53512</v>
      </c>
      <c r="AAB69" s="1" t="s">
        <v>53513</v>
      </c>
      <c r="AAC69" s="1" t="s">
        <v>53514</v>
      </c>
      <c r="AAD69" s="1" t="s">
        <v>53515</v>
      </c>
      <c r="AAE69" s="1" t="s">
        <v>53516</v>
      </c>
      <c r="AAF69" s="1" t="s">
        <v>53517</v>
      </c>
      <c r="AAG69" s="1" t="s">
        <v>53518</v>
      </c>
      <c r="AAH69" s="1" t="s">
        <v>53519</v>
      </c>
      <c r="AAI69" s="1" t="s">
        <v>53520</v>
      </c>
      <c r="AAJ69" s="1" t="s">
        <v>53521</v>
      </c>
      <c r="AAK69" s="1" t="s">
        <v>53522</v>
      </c>
      <c r="AAL69" s="1" t="s">
        <v>53523</v>
      </c>
      <c r="AAM69" s="1" t="s">
        <v>53524</v>
      </c>
      <c r="AAN69" s="1" t="s">
        <v>53525</v>
      </c>
      <c r="AAO69" s="1" t="s">
        <v>53526</v>
      </c>
      <c r="AAP69" s="1" t="s">
        <v>53527</v>
      </c>
      <c r="AAQ69" s="1" t="s">
        <v>53528</v>
      </c>
      <c r="AAR69" s="1" t="s">
        <v>53529</v>
      </c>
      <c r="AAS69" s="1" t="s">
        <v>53530</v>
      </c>
      <c r="AAT69" s="1" t="s">
        <v>53531</v>
      </c>
      <c r="AAU69" s="1" t="s">
        <v>53532</v>
      </c>
      <c r="AAV69" s="1" t="s">
        <v>53533</v>
      </c>
      <c r="AAW69" s="1" t="s">
        <v>53534</v>
      </c>
      <c r="AAX69" s="1" t="s">
        <v>53535</v>
      </c>
      <c r="AAY69" s="1" t="s">
        <v>53536</v>
      </c>
      <c r="AAZ69" s="1" t="s">
        <v>53537</v>
      </c>
      <c r="ABA69" s="1" t="s">
        <v>53538</v>
      </c>
      <c r="ABB69" s="1" t="s">
        <v>53539</v>
      </c>
      <c r="ABC69" s="1" t="s">
        <v>53540</v>
      </c>
      <c r="ABD69" s="1" t="s">
        <v>53541</v>
      </c>
      <c r="ABE69" s="1" t="s">
        <v>53542</v>
      </c>
      <c r="ABF69" s="1" t="s">
        <v>53543</v>
      </c>
      <c r="ABG69" s="1" t="s">
        <v>53544</v>
      </c>
      <c r="ABH69" s="1" t="s">
        <v>53545</v>
      </c>
      <c r="ABI69" s="1" t="s">
        <v>53546</v>
      </c>
      <c r="ABJ69" s="1" t="s">
        <v>53547</v>
      </c>
      <c r="ABK69" s="1" t="s">
        <v>53548</v>
      </c>
      <c r="ABL69" s="1" t="s">
        <v>53549</v>
      </c>
      <c r="ABM69" s="1" t="s">
        <v>53550</v>
      </c>
      <c r="ABN69" s="1" t="s">
        <v>53551</v>
      </c>
      <c r="ABO69" s="1" t="s">
        <v>53552</v>
      </c>
      <c r="ABP69" s="1" t="s">
        <v>53553</v>
      </c>
      <c r="ABQ69" s="1" t="s">
        <v>53554</v>
      </c>
      <c r="ABR69" s="1" t="s">
        <v>53555</v>
      </c>
      <c r="ABS69" s="1" t="s">
        <v>53556</v>
      </c>
      <c r="ABT69" s="1" t="s">
        <v>53557</v>
      </c>
      <c r="ABU69" s="1" t="s">
        <v>53558</v>
      </c>
      <c r="ABV69" s="1" t="s">
        <v>53559</v>
      </c>
      <c r="ABW69" s="1" t="s">
        <v>53560</v>
      </c>
      <c r="ABX69" s="1" t="s">
        <v>53561</v>
      </c>
      <c r="ABY69" s="1" t="s">
        <v>53562</v>
      </c>
      <c r="ABZ69" s="1" t="s">
        <v>53563</v>
      </c>
      <c r="ACA69" s="1" t="s">
        <v>53564</v>
      </c>
      <c r="ACB69" s="1" t="s">
        <v>53565</v>
      </c>
      <c r="ACC69" s="1" t="s">
        <v>53566</v>
      </c>
      <c r="ACD69" s="1" t="s">
        <v>53567</v>
      </c>
      <c r="ACE69" s="1" t="s">
        <v>53568</v>
      </c>
      <c r="ACF69" s="1" t="s">
        <v>53569</v>
      </c>
      <c r="ACG69" s="1" t="s">
        <v>53570</v>
      </c>
      <c r="ACH69" s="1" t="s">
        <v>53571</v>
      </c>
      <c r="ACI69" s="1" t="s">
        <v>53572</v>
      </c>
      <c r="ACJ69" s="1" t="s">
        <v>53573</v>
      </c>
      <c r="ACK69" s="1" t="s">
        <v>53574</v>
      </c>
      <c r="ACL69" s="1" t="s">
        <v>53575</v>
      </c>
      <c r="ACM69" s="1" t="s">
        <v>53576</v>
      </c>
      <c r="ACN69" s="1" t="s">
        <v>53577</v>
      </c>
      <c r="ACO69" s="1" t="s">
        <v>53578</v>
      </c>
      <c r="ACP69" s="1" t="s">
        <v>53579</v>
      </c>
      <c r="ACQ69" s="1" t="s">
        <v>53580</v>
      </c>
      <c r="ACR69" s="1" t="s">
        <v>53581</v>
      </c>
      <c r="ACS69" s="1" t="s">
        <v>53582</v>
      </c>
      <c r="ACT69" s="1" t="s">
        <v>53583</v>
      </c>
      <c r="ACU69" s="1" t="s">
        <v>53584</v>
      </c>
      <c r="ACV69" s="1" t="s">
        <v>53585</v>
      </c>
      <c r="ACW69" s="1" t="s">
        <v>23</v>
      </c>
      <c r="ACX69" s="1" t="s">
        <v>6310</v>
      </c>
    </row>
    <row r="70" spans="1:778" x14ac:dyDescent="0.2">
      <c r="A70" s="1" t="s">
        <v>75</v>
      </c>
      <c r="B70" s="1" t="s">
        <v>53586</v>
      </c>
      <c r="C70" s="1" t="s">
        <v>53587</v>
      </c>
      <c r="D70" s="1" t="s">
        <v>53588</v>
      </c>
      <c r="E70" s="1" t="s">
        <v>53589</v>
      </c>
      <c r="F70" s="1" t="s">
        <v>53590</v>
      </c>
      <c r="G70" s="1" t="s">
        <v>53591</v>
      </c>
      <c r="H70" s="1" t="s">
        <v>53592</v>
      </c>
      <c r="I70" s="1" t="s">
        <v>53593</v>
      </c>
      <c r="J70" s="1" t="s">
        <v>53594</v>
      </c>
      <c r="K70" s="1" t="s">
        <v>53595</v>
      </c>
      <c r="L70" s="1" t="s">
        <v>53596</v>
      </c>
      <c r="M70" s="1" t="s">
        <v>53597</v>
      </c>
      <c r="N70" s="1" t="s">
        <v>53598</v>
      </c>
      <c r="O70" s="1" t="s">
        <v>53599</v>
      </c>
      <c r="P70" s="1" t="s">
        <v>53600</v>
      </c>
      <c r="Q70" s="1" t="s">
        <v>53601</v>
      </c>
      <c r="R70" s="1" t="s">
        <v>53602</v>
      </c>
      <c r="S70" s="1" t="s">
        <v>53603</v>
      </c>
      <c r="T70" s="1" t="s">
        <v>53604</v>
      </c>
      <c r="U70" s="1" t="s">
        <v>53605</v>
      </c>
      <c r="V70" s="1" t="s">
        <v>53606</v>
      </c>
      <c r="W70" s="1" t="s">
        <v>53607</v>
      </c>
      <c r="X70" s="1" t="s">
        <v>53608</v>
      </c>
      <c r="Y70" s="1" t="s">
        <v>53609</v>
      </c>
      <c r="Z70" s="1" t="s">
        <v>53610</v>
      </c>
      <c r="AA70" s="1" t="s">
        <v>53611</v>
      </c>
      <c r="AB70" s="1" t="s">
        <v>53612</v>
      </c>
      <c r="AC70" s="1" t="s">
        <v>53613</v>
      </c>
      <c r="AD70" s="1" t="s">
        <v>53614</v>
      </c>
      <c r="AE70" s="1" t="s">
        <v>53615</v>
      </c>
      <c r="AF70" s="1" t="s">
        <v>53616</v>
      </c>
      <c r="AG70" s="1" t="s">
        <v>53617</v>
      </c>
      <c r="AH70" s="1" t="s">
        <v>53618</v>
      </c>
      <c r="AI70" s="1" t="s">
        <v>53619</v>
      </c>
      <c r="AJ70" s="1" t="s">
        <v>53620</v>
      </c>
      <c r="AK70" s="1" t="s">
        <v>53621</v>
      </c>
      <c r="AL70" s="1" t="s">
        <v>53622</v>
      </c>
      <c r="AM70" s="1" t="s">
        <v>53623</v>
      </c>
      <c r="AN70" s="1" t="s">
        <v>53624</v>
      </c>
      <c r="AO70" s="1" t="s">
        <v>53625</v>
      </c>
      <c r="AP70" s="1" t="s">
        <v>53626</v>
      </c>
      <c r="AQ70" s="1" t="s">
        <v>53627</v>
      </c>
      <c r="AR70" s="1" t="s">
        <v>53628</v>
      </c>
      <c r="AS70" s="1" t="s">
        <v>53629</v>
      </c>
      <c r="AT70" s="1" t="s">
        <v>53630</v>
      </c>
      <c r="AU70" s="1" t="s">
        <v>53631</v>
      </c>
      <c r="AV70" s="1" t="s">
        <v>53632</v>
      </c>
      <c r="AW70" s="1" t="s">
        <v>53633</v>
      </c>
      <c r="AX70" s="1" t="s">
        <v>53634</v>
      </c>
      <c r="AY70" s="1" t="s">
        <v>53635</v>
      </c>
      <c r="AZ70" s="1" t="s">
        <v>53636</v>
      </c>
      <c r="BA70" s="1" t="s">
        <v>53637</v>
      </c>
      <c r="BB70" s="1" t="s">
        <v>53638</v>
      </c>
      <c r="BC70" s="1" t="s">
        <v>53639</v>
      </c>
      <c r="BD70" s="1" t="s">
        <v>53640</v>
      </c>
      <c r="BE70" s="1" t="s">
        <v>53641</v>
      </c>
      <c r="BF70" s="1" t="s">
        <v>53642</v>
      </c>
      <c r="BG70" s="1" t="s">
        <v>53643</v>
      </c>
      <c r="BH70" s="1" t="s">
        <v>53644</v>
      </c>
      <c r="BI70" s="1" t="s">
        <v>53645</v>
      </c>
      <c r="BJ70" s="1" t="s">
        <v>53646</v>
      </c>
      <c r="BK70" s="1" t="s">
        <v>53647</v>
      </c>
      <c r="BL70" s="1" t="s">
        <v>53648</v>
      </c>
      <c r="BM70" s="1" t="s">
        <v>53649</v>
      </c>
      <c r="BN70" s="1" t="s">
        <v>53650</v>
      </c>
      <c r="BO70" s="1" t="s">
        <v>53651</v>
      </c>
      <c r="BP70" s="1" t="s">
        <v>53652</v>
      </c>
      <c r="BQ70" s="1" t="s">
        <v>53653</v>
      </c>
      <c r="BR70" s="1" t="s">
        <v>53654</v>
      </c>
      <c r="BS70" s="1" t="s">
        <v>53655</v>
      </c>
      <c r="BT70" s="1" t="s">
        <v>53656</v>
      </c>
      <c r="BU70" s="1" t="s">
        <v>53657</v>
      </c>
      <c r="BV70" s="1" t="s">
        <v>53658</v>
      </c>
      <c r="BW70" s="1" t="s">
        <v>53659</v>
      </c>
      <c r="BX70" s="1" t="s">
        <v>53660</v>
      </c>
      <c r="BY70" s="1" t="s">
        <v>53661</v>
      </c>
      <c r="BZ70" s="1" t="s">
        <v>53662</v>
      </c>
      <c r="CA70" s="1" t="s">
        <v>53663</v>
      </c>
      <c r="CB70" s="1" t="s">
        <v>53664</v>
      </c>
      <c r="CC70" s="1" t="s">
        <v>53665</v>
      </c>
      <c r="CD70" s="1" t="s">
        <v>53666</v>
      </c>
      <c r="CE70" s="1" t="s">
        <v>53667</v>
      </c>
      <c r="CF70" s="1" t="s">
        <v>53668</v>
      </c>
      <c r="CG70" s="1" t="s">
        <v>53669</v>
      </c>
      <c r="CH70" s="1" t="s">
        <v>53670</v>
      </c>
      <c r="CI70" s="1" t="s">
        <v>53671</v>
      </c>
      <c r="CJ70" s="1" t="s">
        <v>53672</v>
      </c>
      <c r="CK70" s="1" t="s">
        <v>53673</v>
      </c>
      <c r="CL70" s="1" t="s">
        <v>53674</v>
      </c>
      <c r="CM70" s="1" t="s">
        <v>53675</v>
      </c>
      <c r="CN70" s="1" t="s">
        <v>53676</v>
      </c>
      <c r="CO70" s="1" t="s">
        <v>53677</v>
      </c>
      <c r="CP70" s="1" t="s">
        <v>53678</v>
      </c>
      <c r="CQ70" s="1" t="s">
        <v>53679</v>
      </c>
      <c r="CR70" s="1" t="s">
        <v>53680</v>
      </c>
      <c r="CS70" s="1" t="s">
        <v>53681</v>
      </c>
      <c r="CT70" s="1" t="s">
        <v>53682</v>
      </c>
      <c r="CU70" s="1" t="s">
        <v>53683</v>
      </c>
      <c r="CV70" s="1" t="s">
        <v>53684</v>
      </c>
      <c r="CW70" s="1" t="s">
        <v>53685</v>
      </c>
      <c r="CX70" s="1" t="s">
        <v>53686</v>
      </c>
      <c r="CY70" s="1" t="s">
        <v>53687</v>
      </c>
      <c r="CZ70" s="1" t="s">
        <v>53688</v>
      </c>
      <c r="DA70" s="1" t="s">
        <v>53689</v>
      </c>
      <c r="DB70" s="1" t="s">
        <v>53690</v>
      </c>
      <c r="DC70" s="1" t="s">
        <v>53691</v>
      </c>
      <c r="DD70" s="1" t="s">
        <v>53692</v>
      </c>
      <c r="DE70" s="1" t="s">
        <v>53693</v>
      </c>
      <c r="DF70" s="1" t="s">
        <v>53694</v>
      </c>
      <c r="DG70" s="1" t="s">
        <v>53695</v>
      </c>
      <c r="DH70" s="1" t="s">
        <v>53696</v>
      </c>
      <c r="DI70" s="1" t="s">
        <v>53697</v>
      </c>
      <c r="DJ70" s="1" t="s">
        <v>53698</v>
      </c>
      <c r="DK70" s="1" t="s">
        <v>53699</v>
      </c>
      <c r="DL70" s="1" t="s">
        <v>53700</v>
      </c>
      <c r="DM70" s="1" t="s">
        <v>53701</v>
      </c>
      <c r="DN70" s="1" t="s">
        <v>53702</v>
      </c>
      <c r="DO70" s="1" t="s">
        <v>53703</v>
      </c>
      <c r="DP70" s="1" t="s">
        <v>53704</v>
      </c>
      <c r="DQ70" s="1" t="s">
        <v>53705</v>
      </c>
      <c r="DR70" s="1" t="s">
        <v>53706</v>
      </c>
      <c r="DS70" s="1" t="s">
        <v>53707</v>
      </c>
      <c r="DT70" s="1" t="s">
        <v>53708</v>
      </c>
      <c r="DU70" s="1" t="s">
        <v>53709</v>
      </c>
      <c r="DV70" s="1" t="s">
        <v>53710</v>
      </c>
      <c r="DW70" s="1" t="s">
        <v>53711</v>
      </c>
      <c r="DX70" s="1" t="s">
        <v>53712</v>
      </c>
      <c r="DY70" s="1" t="s">
        <v>53713</v>
      </c>
      <c r="DZ70" s="1" t="s">
        <v>53714</v>
      </c>
      <c r="EA70" s="1" t="s">
        <v>53715</v>
      </c>
      <c r="EB70" s="1" t="s">
        <v>53716</v>
      </c>
      <c r="EC70" s="1" t="s">
        <v>53717</v>
      </c>
      <c r="ED70" s="1" t="s">
        <v>53718</v>
      </c>
      <c r="EE70" s="1" t="s">
        <v>53719</v>
      </c>
      <c r="EF70" s="1" t="s">
        <v>53720</v>
      </c>
      <c r="EG70" s="1" t="s">
        <v>53721</v>
      </c>
      <c r="EH70" s="1" t="s">
        <v>53722</v>
      </c>
      <c r="EI70" s="1" t="s">
        <v>53723</v>
      </c>
      <c r="EJ70" s="1" t="s">
        <v>53724</v>
      </c>
      <c r="EK70" s="1" t="s">
        <v>53725</v>
      </c>
      <c r="EL70" s="1" t="s">
        <v>53726</v>
      </c>
      <c r="EM70" s="1" t="s">
        <v>53727</v>
      </c>
      <c r="EN70" s="1" t="s">
        <v>53728</v>
      </c>
      <c r="EO70" s="1" t="s">
        <v>53729</v>
      </c>
      <c r="EP70" s="1" t="s">
        <v>53730</v>
      </c>
      <c r="EQ70" s="1" t="s">
        <v>53731</v>
      </c>
      <c r="ER70" s="1" t="s">
        <v>53732</v>
      </c>
      <c r="ES70" s="1" t="s">
        <v>53733</v>
      </c>
      <c r="ET70" s="1" t="s">
        <v>53734</v>
      </c>
      <c r="EU70" s="1" t="s">
        <v>53735</v>
      </c>
      <c r="EV70" s="1" t="s">
        <v>53736</v>
      </c>
      <c r="EW70" s="1" t="s">
        <v>53737</v>
      </c>
      <c r="EX70" s="1" t="s">
        <v>53738</v>
      </c>
      <c r="EY70" s="1" t="s">
        <v>53739</v>
      </c>
      <c r="EZ70" s="1" t="s">
        <v>53740</v>
      </c>
      <c r="FA70" s="1" t="s">
        <v>53741</v>
      </c>
      <c r="FB70" s="1" t="s">
        <v>53742</v>
      </c>
      <c r="FC70" s="1" t="s">
        <v>53743</v>
      </c>
      <c r="FD70" s="1" t="s">
        <v>53744</v>
      </c>
      <c r="FE70" s="1" t="s">
        <v>53745</v>
      </c>
      <c r="FF70" s="1" t="s">
        <v>53746</v>
      </c>
      <c r="FG70" s="1" t="s">
        <v>53747</v>
      </c>
      <c r="FH70" s="1" t="s">
        <v>53748</v>
      </c>
      <c r="FI70" s="1" t="s">
        <v>53749</v>
      </c>
      <c r="FJ70" s="1" t="s">
        <v>53750</v>
      </c>
      <c r="FK70" s="1" t="s">
        <v>53751</v>
      </c>
      <c r="FL70" s="1" t="s">
        <v>53752</v>
      </c>
      <c r="FM70" s="1" t="s">
        <v>53753</v>
      </c>
      <c r="FN70" s="1" t="s">
        <v>53754</v>
      </c>
      <c r="FO70" s="1" t="s">
        <v>53755</v>
      </c>
      <c r="FP70" s="1" t="s">
        <v>53756</v>
      </c>
      <c r="FQ70" s="1" t="s">
        <v>53757</v>
      </c>
      <c r="FR70" s="1" t="s">
        <v>53758</v>
      </c>
      <c r="FS70" s="1" t="s">
        <v>53759</v>
      </c>
      <c r="FT70" s="1" t="s">
        <v>53760</v>
      </c>
      <c r="FU70" s="1" t="s">
        <v>53761</v>
      </c>
      <c r="FV70" s="1" t="s">
        <v>53762</v>
      </c>
      <c r="FW70" s="1" t="s">
        <v>53763</v>
      </c>
      <c r="FX70" s="1" t="s">
        <v>53764</v>
      </c>
      <c r="FY70" s="1" t="s">
        <v>53765</v>
      </c>
      <c r="FZ70" s="1" t="s">
        <v>53766</v>
      </c>
      <c r="GA70" s="1" t="s">
        <v>53767</v>
      </c>
      <c r="GB70" s="1" t="s">
        <v>53768</v>
      </c>
      <c r="GC70" s="1" t="s">
        <v>53769</v>
      </c>
      <c r="GD70" s="1" t="s">
        <v>53770</v>
      </c>
      <c r="GE70" s="1" t="s">
        <v>53771</v>
      </c>
      <c r="GF70" s="1" t="s">
        <v>53772</v>
      </c>
      <c r="GG70" s="1" t="s">
        <v>53773</v>
      </c>
      <c r="GH70" s="1" t="s">
        <v>53774</v>
      </c>
      <c r="GI70" s="1" t="s">
        <v>53775</v>
      </c>
      <c r="GJ70" s="1" t="s">
        <v>53776</v>
      </c>
      <c r="GK70" s="1" t="s">
        <v>53777</v>
      </c>
      <c r="GL70" s="1" t="s">
        <v>53778</v>
      </c>
      <c r="GM70" s="1" t="s">
        <v>53779</v>
      </c>
      <c r="GN70" s="1" t="s">
        <v>53780</v>
      </c>
      <c r="GO70" s="1" t="s">
        <v>53781</v>
      </c>
      <c r="GP70" s="1" t="s">
        <v>53782</v>
      </c>
      <c r="GQ70" s="1" t="s">
        <v>53783</v>
      </c>
      <c r="GR70" s="1" t="s">
        <v>53784</v>
      </c>
      <c r="GS70" s="1" t="s">
        <v>53785</v>
      </c>
      <c r="GT70" s="1" t="s">
        <v>53786</v>
      </c>
      <c r="GU70" s="1" t="s">
        <v>53787</v>
      </c>
      <c r="GV70" s="1" t="s">
        <v>53788</v>
      </c>
      <c r="GW70" s="1" t="s">
        <v>53789</v>
      </c>
      <c r="GX70" s="1" t="s">
        <v>53790</v>
      </c>
      <c r="GY70" s="1" t="s">
        <v>53791</v>
      </c>
      <c r="GZ70" s="1" t="s">
        <v>53792</v>
      </c>
      <c r="HA70" s="1" t="s">
        <v>53793</v>
      </c>
      <c r="HB70" s="1" t="s">
        <v>53794</v>
      </c>
      <c r="HC70" s="1" t="s">
        <v>53795</v>
      </c>
      <c r="HD70" s="1" t="s">
        <v>53796</v>
      </c>
      <c r="HE70" s="1" t="s">
        <v>53797</v>
      </c>
      <c r="HF70" s="1" t="s">
        <v>53798</v>
      </c>
      <c r="HG70" s="1" t="s">
        <v>53799</v>
      </c>
      <c r="HH70" s="1" t="s">
        <v>53800</v>
      </c>
      <c r="HI70" s="1" t="s">
        <v>53801</v>
      </c>
      <c r="HJ70" s="1" t="s">
        <v>53802</v>
      </c>
      <c r="HK70" s="1" t="s">
        <v>53803</v>
      </c>
      <c r="HL70" s="1" t="s">
        <v>53804</v>
      </c>
      <c r="HM70" s="1" t="s">
        <v>53805</v>
      </c>
      <c r="HN70" s="1" t="s">
        <v>53806</v>
      </c>
      <c r="HO70" s="1" t="s">
        <v>53807</v>
      </c>
      <c r="HP70" s="1" t="s">
        <v>53808</v>
      </c>
      <c r="HQ70" s="1" t="s">
        <v>53809</v>
      </c>
      <c r="HR70" s="1" t="s">
        <v>53810</v>
      </c>
      <c r="HS70" s="1" t="s">
        <v>53811</v>
      </c>
      <c r="HT70" s="1" t="s">
        <v>53812</v>
      </c>
      <c r="HU70" s="1" t="s">
        <v>53813</v>
      </c>
      <c r="HV70" s="1" t="s">
        <v>53814</v>
      </c>
      <c r="HW70" s="1" t="s">
        <v>53815</v>
      </c>
      <c r="HX70" s="1" t="s">
        <v>53816</v>
      </c>
      <c r="HY70" s="1" t="s">
        <v>53817</v>
      </c>
      <c r="HZ70" s="1" t="s">
        <v>53818</v>
      </c>
      <c r="IA70" s="1" t="s">
        <v>53819</v>
      </c>
      <c r="IB70" s="1" t="s">
        <v>53820</v>
      </c>
      <c r="IC70" s="1" t="s">
        <v>53821</v>
      </c>
      <c r="ID70" s="1" t="s">
        <v>53822</v>
      </c>
      <c r="IE70" s="1" t="s">
        <v>53823</v>
      </c>
      <c r="IF70" s="1" t="s">
        <v>53824</v>
      </c>
      <c r="IG70" s="1" t="s">
        <v>53825</v>
      </c>
      <c r="IH70" s="1" t="s">
        <v>53826</v>
      </c>
      <c r="II70" s="1" t="s">
        <v>53827</v>
      </c>
      <c r="IJ70" s="1" t="s">
        <v>53828</v>
      </c>
      <c r="IK70" s="1" t="s">
        <v>53829</v>
      </c>
      <c r="IL70" s="1" t="s">
        <v>53830</v>
      </c>
      <c r="IM70" s="1" t="s">
        <v>53831</v>
      </c>
      <c r="IN70" s="1" t="s">
        <v>53832</v>
      </c>
      <c r="IO70" s="1" t="s">
        <v>53833</v>
      </c>
      <c r="IP70" s="1" t="s">
        <v>53834</v>
      </c>
      <c r="IQ70" s="1" t="s">
        <v>53835</v>
      </c>
      <c r="IR70" s="1" t="s">
        <v>53836</v>
      </c>
      <c r="IS70" s="1" t="s">
        <v>53837</v>
      </c>
      <c r="IT70" s="1" t="s">
        <v>53838</v>
      </c>
      <c r="IU70" s="1" t="s">
        <v>53839</v>
      </c>
      <c r="IV70" s="1" t="s">
        <v>53840</v>
      </c>
      <c r="IW70" s="1" t="s">
        <v>53841</v>
      </c>
      <c r="IX70" s="1" t="s">
        <v>53842</v>
      </c>
      <c r="IY70" s="1" t="s">
        <v>53843</v>
      </c>
      <c r="IZ70" s="1" t="s">
        <v>53844</v>
      </c>
      <c r="JA70" s="1" t="s">
        <v>53845</v>
      </c>
      <c r="JB70" s="1" t="s">
        <v>53846</v>
      </c>
      <c r="JC70" s="1" t="s">
        <v>53847</v>
      </c>
      <c r="JD70" s="1" t="s">
        <v>53848</v>
      </c>
      <c r="JE70" s="1" t="s">
        <v>53849</v>
      </c>
      <c r="JF70" s="1" t="s">
        <v>53850</v>
      </c>
      <c r="JG70" s="1" t="s">
        <v>53851</v>
      </c>
      <c r="JH70" s="1" t="s">
        <v>53852</v>
      </c>
      <c r="JI70" s="1" t="s">
        <v>53853</v>
      </c>
      <c r="JJ70" s="1" t="s">
        <v>53854</v>
      </c>
      <c r="JK70" s="1" t="s">
        <v>53855</v>
      </c>
      <c r="JL70" s="1" t="s">
        <v>53856</v>
      </c>
      <c r="JM70" s="1" t="s">
        <v>53857</v>
      </c>
      <c r="JN70" s="1" t="s">
        <v>53858</v>
      </c>
      <c r="JO70" s="1" t="s">
        <v>53859</v>
      </c>
      <c r="JP70" s="1" t="s">
        <v>53860</v>
      </c>
      <c r="JQ70" s="1" t="s">
        <v>53861</v>
      </c>
      <c r="JR70" s="1" t="s">
        <v>53862</v>
      </c>
      <c r="JS70" s="1" t="s">
        <v>53863</v>
      </c>
      <c r="JT70" s="1" t="s">
        <v>53864</v>
      </c>
      <c r="JU70" s="1" t="s">
        <v>53865</v>
      </c>
      <c r="JV70" s="1" t="s">
        <v>53866</v>
      </c>
      <c r="JW70" s="1" t="s">
        <v>53867</v>
      </c>
      <c r="JX70" s="1" t="s">
        <v>53868</v>
      </c>
      <c r="JY70" s="1" t="s">
        <v>53869</v>
      </c>
      <c r="JZ70" s="1" t="s">
        <v>53870</v>
      </c>
      <c r="KA70" s="1" t="s">
        <v>53871</v>
      </c>
      <c r="KB70" s="1" t="s">
        <v>53872</v>
      </c>
      <c r="KC70" s="1" t="s">
        <v>53873</v>
      </c>
      <c r="KD70" s="1" t="s">
        <v>53874</v>
      </c>
      <c r="KE70" s="1" t="s">
        <v>53875</v>
      </c>
      <c r="KF70" s="1" t="s">
        <v>53876</v>
      </c>
      <c r="KG70" s="1" t="s">
        <v>53877</v>
      </c>
      <c r="KH70" s="1" t="s">
        <v>53878</v>
      </c>
      <c r="KI70" s="1" t="s">
        <v>53879</v>
      </c>
      <c r="KJ70" s="1" t="s">
        <v>53880</v>
      </c>
      <c r="KK70" s="1" t="s">
        <v>53881</v>
      </c>
      <c r="KL70" s="1" t="s">
        <v>53882</v>
      </c>
      <c r="KM70" s="1" t="s">
        <v>53883</v>
      </c>
      <c r="KN70" s="1" t="s">
        <v>53884</v>
      </c>
      <c r="KO70" s="1" t="s">
        <v>53885</v>
      </c>
      <c r="KP70" s="1" t="s">
        <v>53886</v>
      </c>
      <c r="KQ70" s="1" t="s">
        <v>53887</v>
      </c>
      <c r="KR70" s="1" t="s">
        <v>53888</v>
      </c>
      <c r="KS70" s="1" t="s">
        <v>53889</v>
      </c>
      <c r="KT70" s="1" t="s">
        <v>53890</v>
      </c>
      <c r="KU70" s="1" t="s">
        <v>53891</v>
      </c>
      <c r="KV70" s="1" t="s">
        <v>53892</v>
      </c>
      <c r="KW70" s="1" t="s">
        <v>53893</v>
      </c>
      <c r="KX70" s="1" t="s">
        <v>53894</v>
      </c>
      <c r="KY70" s="1" t="s">
        <v>53895</v>
      </c>
      <c r="KZ70" s="1" t="s">
        <v>53896</v>
      </c>
      <c r="LA70" s="1" t="s">
        <v>53897</v>
      </c>
      <c r="LB70" s="1" t="s">
        <v>53898</v>
      </c>
      <c r="LC70" s="1" t="s">
        <v>53899</v>
      </c>
      <c r="LD70" s="1" t="s">
        <v>53900</v>
      </c>
      <c r="LE70" s="1" t="s">
        <v>53901</v>
      </c>
      <c r="LF70" s="1" t="s">
        <v>53902</v>
      </c>
      <c r="LG70" s="1" t="s">
        <v>53903</v>
      </c>
      <c r="LH70" s="1" t="s">
        <v>53904</v>
      </c>
      <c r="LI70" s="1" t="s">
        <v>53905</v>
      </c>
      <c r="LJ70" s="1" t="s">
        <v>53906</v>
      </c>
      <c r="LK70" s="1" t="s">
        <v>53907</v>
      </c>
      <c r="LL70" s="1" t="s">
        <v>53908</v>
      </c>
      <c r="LM70" s="1" t="s">
        <v>53909</v>
      </c>
      <c r="LN70" s="1" t="s">
        <v>53910</v>
      </c>
      <c r="LO70" s="1" t="s">
        <v>53911</v>
      </c>
      <c r="LP70" s="1" t="s">
        <v>53912</v>
      </c>
      <c r="LQ70" s="1" t="s">
        <v>53913</v>
      </c>
      <c r="LR70" s="1" t="s">
        <v>53914</v>
      </c>
      <c r="LS70" s="1" t="s">
        <v>53915</v>
      </c>
      <c r="LT70" s="1" t="s">
        <v>53916</v>
      </c>
      <c r="LU70" s="1" t="s">
        <v>53917</v>
      </c>
      <c r="LV70" s="1" t="s">
        <v>53918</v>
      </c>
      <c r="LW70" s="1" t="s">
        <v>53919</v>
      </c>
      <c r="LX70" s="1" t="s">
        <v>53920</v>
      </c>
      <c r="LY70" s="1" t="s">
        <v>53921</v>
      </c>
      <c r="LZ70" s="1" t="s">
        <v>53922</v>
      </c>
      <c r="MA70" s="1" t="s">
        <v>53923</v>
      </c>
      <c r="MB70" s="1" t="s">
        <v>53924</v>
      </c>
      <c r="MC70" s="1" t="s">
        <v>53925</v>
      </c>
      <c r="MD70" s="1" t="s">
        <v>53926</v>
      </c>
      <c r="ME70" s="1" t="s">
        <v>53927</v>
      </c>
      <c r="MF70" s="1" t="s">
        <v>53928</v>
      </c>
      <c r="MG70" s="1" t="s">
        <v>53929</v>
      </c>
      <c r="MH70" s="1" t="s">
        <v>53930</v>
      </c>
      <c r="MI70" s="1" t="s">
        <v>53931</v>
      </c>
      <c r="MJ70" s="1" t="s">
        <v>53932</v>
      </c>
      <c r="MK70" s="1" t="s">
        <v>53933</v>
      </c>
      <c r="ML70" s="1" t="s">
        <v>53934</v>
      </c>
      <c r="MM70" s="1" t="s">
        <v>53935</v>
      </c>
      <c r="MN70" s="1" t="s">
        <v>53936</v>
      </c>
      <c r="MO70" s="1" t="s">
        <v>53937</v>
      </c>
      <c r="MP70" s="1" t="s">
        <v>53938</v>
      </c>
      <c r="MQ70" s="1" t="s">
        <v>53939</v>
      </c>
      <c r="MR70" s="1" t="s">
        <v>53940</v>
      </c>
      <c r="MS70" s="1" t="s">
        <v>53941</v>
      </c>
      <c r="MT70" s="1" t="s">
        <v>53942</v>
      </c>
      <c r="MU70" s="1" t="s">
        <v>53943</v>
      </c>
      <c r="MV70" s="1" t="s">
        <v>53944</v>
      </c>
      <c r="MW70" s="1" t="s">
        <v>53945</v>
      </c>
      <c r="MX70" s="1" t="s">
        <v>53946</v>
      </c>
      <c r="MY70" s="1" t="s">
        <v>53947</v>
      </c>
      <c r="MZ70" s="1" t="s">
        <v>53948</v>
      </c>
      <c r="NA70" s="1" t="s">
        <v>53949</v>
      </c>
      <c r="NB70" s="1" t="s">
        <v>53950</v>
      </c>
      <c r="NC70" s="1" t="s">
        <v>53951</v>
      </c>
      <c r="ND70" s="1" t="s">
        <v>53952</v>
      </c>
      <c r="NE70" s="1" t="s">
        <v>53953</v>
      </c>
      <c r="NF70" s="1" t="s">
        <v>53954</v>
      </c>
      <c r="NG70" s="1" t="s">
        <v>53955</v>
      </c>
      <c r="NH70" s="1" t="s">
        <v>53956</v>
      </c>
      <c r="NI70" s="1" t="s">
        <v>53957</v>
      </c>
      <c r="NJ70" s="1" t="s">
        <v>53958</v>
      </c>
      <c r="NK70" s="1" t="s">
        <v>53959</v>
      </c>
      <c r="NL70" s="1" t="s">
        <v>53960</v>
      </c>
      <c r="NM70" s="1" t="s">
        <v>53961</v>
      </c>
      <c r="NN70" s="1" t="s">
        <v>53962</v>
      </c>
      <c r="NO70" s="1" t="s">
        <v>53963</v>
      </c>
      <c r="NP70" s="1" t="s">
        <v>53964</v>
      </c>
      <c r="NQ70" s="1" t="s">
        <v>53965</v>
      </c>
      <c r="NR70" s="1" t="s">
        <v>53966</v>
      </c>
      <c r="NS70" s="1" t="s">
        <v>53967</v>
      </c>
      <c r="NT70" s="1" t="s">
        <v>53968</v>
      </c>
      <c r="NU70" s="1" t="s">
        <v>53969</v>
      </c>
      <c r="NV70" s="1" t="s">
        <v>53970</v>
      </c>
      <c r="NW70" s="1" t="s">
        <v>53971</v>
      </c>
      <c r="NX70" s="1" t="s">
        <v>53972</v>
      </c>
      <c r="NY70" s="1" t="s">
        <v>53973</v>
      </c>
      <c r="NZ70" s="1" t="s">
        <v>53974</v>
      </c>
      <c r="OA70" s="1" t="s">
        <v>53975</v>
      </c>
      <c r="OB70" s="1" t="s">
        <v>53976</v>
      </c>
      <c r="OC70" s="1" t="s">
        <v>53977</v>
      </c>
      <c r="OD70" s="1" t="s">
        <v>53978</v>
      </c>
      <c r="OE70" s="1" t="s">
        <v>53979</v>
      </c>
      <c r="OF70" s="1" t="s">
        <v>53980</v>
      </c>
      <c r="OG70" s="1" t="s">
        <v>53981</v>
      </c>
      <c r="OH70" s="1" t="s">
        <v>53982</v>
      </c>
      <c r="OI70" s="1" t="s">
        <v>53983</v>
      </c>
      <c r="OJ70" s="1" t="s">
        <v>53984</v>
      </c>
      <c r="OK70" s="1" t="s">
        <v>53985</v>
      </c>
      <c r="OL70" s="1" t="s">
        <v>53986</v>
      </c>
      <c r="OM70" s="1" t="s">
        <v>53987</v>
      </c>
      <c r="ON70" s="1" t="s">
        <v>53988</v>
      </c>
      <c r="OO70" s="1" t="s">
        <v>53989</v>
      </c>
      <c r="OP70" s="1" t="s">
        <v>53990</v>
      </c>
      <c r="OQ70" s="1" t="s">
        <v>53991</v>
      </c>
      <c r="OR70" s="1" t="s">
        <v>53992</v>
      </c>
      <c r="OS70" s="1" t="s">
        <v>53993</v>
      </c>
      <c r="OT70" s="1" t="s">
        <v>53994</v>
      </c>
      <c r="OU70" s="1" t="s">
        <v>53995</v>
      </c>
      <c r="OV70" s="1" t="s">
        <v>53996</v>
      </c>
      <c r="OW70" s="1" t="s">
        <v>53997</v>
      </c>
      <c r="OX70" s="1" t="s">
        <v>53998</v>
      </c>
      <c r="OY70" s="1" t="s">
        <v>53999</v>
      </c>
      <c r="OZ70" s="1" t="s">
        <v>54000</v>
      </c>
      <c r="PA70" s="1" t="s">
        <v>54001</v>
      </c>
      <c r="PB70" s="1" t="s">
        <v>54002</v>
      </c>
      <c r="PC70" s="1" t="s">
        <v>54003</v>
      </c>
      <c r="PD70" s="1" t="s">
        <v>54004</v>
      </c>
      <c r="PE70" s="1" t="s">
        <v>54005</v>
      </c>
      <c r="PF70" s="1" t="s">
        <v>54006</v>
      </c>
      <c r="PG70" s="1" t="s">
        <v>54007</v>
      </c>
      <c r="PH70" s="1" t="s">
        <v>54008</v>
      </c>
      <c r="PI70" s="1" t="s">
        <v>54009</v>
      </c>
      <c r="PJ70" s="1" t="s">
        <v>54010</v>
      </c>
      <c r="PK70" s="1" t="s">
        <v>54011</v>
      </c>
      <c r="PL70" s="1" t="s">
        <v>54012</v>
      </c>
      <c r="PM70" s="1" t="s">
        <v>54013</v>
      </c>
      <c r="PN70" s="1" t="s">
        <v>54014</v>
      </c>
      <c r="PO70" s="1" t="s">
        <v>54015</v>
      </c>
      <c r="PP70" s="1" t="s">
        <v>54016</v>
      </c>
      <c r="PQ70" s="1" t="s">
        <v>54017</v>
      </c>
      <c r="PR70" s="1" t="s">
        <v>54018</v>
      </c>
      <c r="PS70" s="1" t="s">
        <v>54019</v>
      </c>
      <c r="PT70" s="1" t="s">
        <v>54020</v>
      </c>
      <c r="PU70" s="1" t="s">
        <v>54021</v>
      </c>
      <c r="PV70" s="1" t="s">
        <v>54022</v>
      </c>
      <c r="PW70" s="1" t="s">
        <v>54023</v>
      </c>
      <c r="PX70" s="1" t="s">
        <v>54024</v>
      </c>
      <c r="PY70" s="1" t="s">
        <v>54025</v>
      </c>
      <c r="PZ70" s="1" t="s">
        <v>54026</v>
      </c>
      <c r="QA70" s="1" t="s">
        <v>54027</v>
      </c>
      <c r="QB70" s="1" t="s">
        <v>54028</v>
      </c>
      <c r="QC70" s="1" t="s">
        <v>54029</v>
      </c>
      <c r="QD70" s="1" t="s">
        <v>54030</v>
      </c>
      <c r="QE70" s="1" t="s">
        <v>54031</v>
      </c>
      <c r="QF70" s="1" t="s">
        <v>54032</v>
      </c>
      <c r="QG70" s="1" t="s">
        <v>54033</v>
      </c>
      <c r="QH70" s="1" t="s">
        <v>54034</v>
      </c>
      <c r="QI70" s="1" t="s">
        <v>54035</v>
      </c>
      <c r="QJ70" s="1" t="s">
        <v>54036</v>
      </c>
      <c r="QK70" s="1" t="s">
        <v>54037</v>
      </c>
      <c r="QL70" s="1" t="s">
        <v>54038</v>
      </c>
      <c r="QM70" s="1" t="s">
        <v>54039</v>
      </c>
      <c r="QN70" s="1" t="s">
        <v>54040</v>
      </c>
      <c r="QO70" s="1" t="s">
        <v>54041</v>
      </c>
      <c r="QP70" s="1" t="s">
        <v>54042</v>
      </c>
      <c r="QQ70" s="1" t="s">
        <v>54043</v>
      </c>
      <c r="QR70" s="1" t="s">
        <v>54044</v>
      </c>
      <c r="QS70" s="1" t="s">
        <v>54045</v>
      </c>
      <c r="QT70" s="1" t="s">
        <v>54046</v>
      </c>
      <c r="QU70" s="1" t="s">
        <v>54047</v>
      </c>
      <c r="QV70" s="1" t="s">
        <v>54048</v>
      </c>
      <c r="QW70" s="1" t="s">
        <v>54049</v>
      </c>
      <c r="QX70" s="1" t="s">
        <v>54050</v>
      </c>
      <c r="QY70" s="1" t="s">
        <v>54051</v>
      </c>
      <c r="QZ70" s="1" t="s">
        <v>54052</v>
      </c>
      <c r="RA70" s="1" t="s">
        <v>54053</v>
      </c>
      <c r="RB70" s="1" t="s">
        <v>54054</v>
      </c>
      <c r="RC70" s="1" t="s">
        <v>54055</v>
      </c>
      <c r="RD70" s="1" t="s">
        <v>54056</v>
      </c>
      <c r="RE70" s="1" t="s">
        <v>54057</v>
      </c>
      <c r="RF70" s="1" t="s">
        <v>54058</v>
      </c>
      <c r="RG70" s="1" t="s">
        <v>54059</v>
      </c>
      <c r="RH70" s="1" t="s">
        <v>54060</v>
      </c>
      <c r="RI70" s="1" t="s">
        <v>54061</v>
      </c>
      <c r="RJ70" s="1" t="s">
        <v>54062</v>
      </c>
      <c r="RK70" s="1" t="s">
        <v>54063</v>
      </c>
      <c r="RL70" s="1" t="s">
        <v>54064</v>
      </c>
      <c r="RM70" s="1" t="s">
        <v>54065</v>
      </c>
      <c r="RN70" s="1" t="s">
        <v>54066</v>
      </c>
      <c r="RO70" s="1" t="s">
        <v>54067</v>
      </c>
      <c r="RP70" s="1" t="s">
        <v>54068</v>
      </c>
      <c r="RQ70" s="1" t="s">
        <v>54069</v>
      </c>
      <c r="RR70" s="1" t="s">
        <v>54070</v>
      </c>
      <c r="RS70" s="1" t="s">
        <v>54071</v>
      </c>
      <c r="RT70" s="1" t="s">
        <v>54072</v>
      </c>
      <c r="RU70" s="1" t="s">
        <v>54073</v>
      </c>
      <c r="RV70" s="1" t="s">
        <v>54074</v>
      </c>
      <c r="RW70" s="1" t="s">
        <v>54075</v>
      </c>
      <c r="RX70" s="1" t="s">
        <v>54076</v>
      </c>
      <c r="RY70" s="1" t="s">
        <v>54077</v>
      </c>
      <c r="RZ70" s="1" t="s">
        <v>54078</v>
      </c>
      <c r="SA70" s="1" t="s">
        <v>54079</v>
      </c>
      <c r="SB70" s="1" t="s">
        <v>54080</v>
      </c>
      <c r="SC70" s="1" t="s">
        <v>54081</v>
      </c>
      <c r="SD70" s="1" t="s">
        <v>54082</v>
      </c>
      <c r="SE70" s="1" t="s">
        <v>54083</v>
      </c>
      <c r="SF70" s="1" t="s">
        <v>54084</v>
      </c>
      <c r="SG70" s="1" t="s">
        <v>54085</v>
      </c>
      <c r="SH70" s="1" t="s">
        <v>54086</v>
      </c>
      <c r="SI70" s="1" t="s">
        <v>54087</v>
      </c>
      <c r="SJ70" s="1" t="s">
        <v>54088</v>
      </c>
      <c r="SK70" s="1" t="s">
        <v>54089</v>
      </c>
      <c r="SL70" s="1" t="s">
        <v>54090</v>
      </c>
      <c r="SM70" s="1" t="s">
        <v>54091</v>
      </c>
      <c r="SN70" s="1" t="s">
        <v>54092</v>
      </c>
      <c r="SO70" s="1" t="s">
        <v>54093</v>
      </c>
      <c r="SP70" s="1" t="s">
        <v>54094</v>
      </c>
      <c r="SQ70" s="1" t="s">
        <v>54095</v>
      </c>
      <c r="SR70" s="1" t="s">
        <v>54096</v>
      </c>
      <c r="SS70" s="1" t="s">
        <v>54097</v>
      </c>
      <c r="ST70" s="1" t="s">
        <v>54098</v>
      </c>
      <c r="SU70" s="1" t="s">
        <v>54099</v>
      </c>
      <c r="SV70" s="1" t="s">
        <v>54100</v>
      </c>
      <c r="SW70" s="1" t="s">
        <v>54101</v>
      </c>
      <c r="SX70" s="1" t="s">
        <v>54102</v>
      </c>
      <c r="SY70" s="1" t="s">
        <v>54103</v>
      </c>
      <c r="SZ70" s="1" t="s">
        <v>54104</v>
      </c>
      <c r="TA70" s="1" t="s">
        <v>54105</v>
      </c>
      <c r="TB70" s="1" t="s">
        <v>54106</v>
      </c>
      <c r="TC70" s="1" t="s">
        <v>54107</v>
      </c>
      <c r="TD70" s="1" t="s">
        <v>54108</v>
      </c>
      <c r="TE70" s="1" t="s">
        <v>54109</v>
      </c>
      <c r="TF70" s="1" t="s">
        <v>54110</v>
      </c>
      <c r="TG70" s="1" t="s">
        <v>54111</v>
      </c>
      <c r="TH70" s="1" t="s">
        <v>54112</v>
      </c>
      <c r="TI70" s="1" t="s">
        <v>54113</v>
      </c>
      <c r="TJ70" s="1" t="s">
        <v>54114</v>
      </c>
      <c r="TK70" s="1" t="s">
        <v>54115</v>
      </c>
      <c r="TL70" s="1" t="s">
        <v>54116</v>
      </c>
      <c r="TM70" s="1" t="s">
        <v>54117</v>
      </c>
      <c r="TN70" s="1" t="s">
        <v>54118</v>
      </c>
      <c r="TO70" s="1" t="s">
        <v>54119</v>
      </c>
      <c r="TP70" s="1" t="s">
        <v>54120</v>
      </c>
      <c r="TQ70" s="1" t="s">
        <v>54121</v>
      </c>
      <c r="TR70" s="1" t="s">
        <v>54122</v>
      </c>
      <c r="TS70" s="1" t="s">
        <v>54123</v>
      </c>
      <c r="TT70" s="1" t="s">
        <v>54124</v>
      </c>
      <c r="TU70" s="1" t="s">
        <v>54125</v>
      </c>
      <c r="TV70" s="1" t="s">
        <v>54126</v>
      </c>
      <c r="TW70" s="1" t="s">
        <v>54127</v>
      </c>
      <c r="TX70" s="1" t="s">
        <v>54128</v>
      </c>
      <c r="TY70" s="1" t="s">
        <v>54129</v>
      </c>
      <c r="TZ70" s="1" t="s">
        <v>54130</v>
      </c>
      <c r="UA70" s="1" t="s">
        <v>54131</v>
      </c>
      <c r="UB70" s="1" t="s">
        <v>54132</v>
      </c>
      <c r="UC70" s="1" t="s">
        <v>54133</v>
      </c>
      <c r="UD70" s="1" t="s">
        <v>54134</v>
      </c>
      <c r="UE70" s="1" t="s">
        <v>54135</v>
      </c>
      <c r="UF70" s="1" t="s">
        <v>54136</v>
      </c>
      <c r="UG70" s="1" t="s">
        <v>54137</v>
      </c>
      <c r="UH70" s="1" t="s">
        <v>54138</v>
      </c>
      <c r="UI70" s="1" t="s">
        <v>54139</v>
      </c>
      <c r="UJ70" s="1" t="s">
        <v>54140</v>
      </c>
      <c r="UK70" s="1" t="s">
        <v>54141</v>
      </c>
      <c r="UL70" s="1" t="s">
        <v>54142</v>
      </c>
      <c r="UM70" s="1" t="s">
        <v>54143</v>
      </c>
      <c r="UN70" s="1" t="s">
        <v>54144</v>
      </c>
      <c r="UO70" s="1" t="s">
        <v>54145</v>
      </c>
      <c r="UP70" s="1" t="s">
        <v>54146</v>
      </c>
      <c r="UQ70" s="1" t="s">
        <v>54147</v>
      </c>
      <c r="UR70" s="1" t="s">
        <v>54148</v>
      </c>
      <c r="US70" s="1" t="s">
        <v>54149</v>
      </c>
      <c r="UT70" s="1" t="s">
        <v>54150</v>
      </c>
      <c r="UU70" s="1" t="s">
        <v>54151</v>
      </c>
      <c r="UV70" s="1" t="s">
        <v>54152</v>
      </c>
      <c r="UW70" s="1" t="s">
        <v>54153</v>
      </c>
      <c r="UX70" s="1" t="s">
        <v>54154</v>
      </c>
      <c r="UY70" s="1" t="s">
        <v>54155</v>
      </c>
      <c r="UZ70" s="1" t="s">
        <v>54156</v>
      </c>
      <c r="VA70" s="1" t="s">
        <v>54157</v>
      </c>
      <c r="VB70" s="1" t="s">
        <v>54158</v>
      </c>
      <c r="VC70" s="1" t="s">
        <v>54159</v>
      </c>
      <c r="VD70" s="1" t="s">
        <v>54160</v>
      </c>
      <c r="VE70" s="1" t="s">
        <v>54161</v>
      </c>
      <c r="VF70" s="1" t="s">
        <v>54162</v>
      </c>
      <c r="VG70" s="1" t="s">
        <v>54163</v>
      </c>
      <c r="VH70" s="1" t="s">
        <v>54164</v>
      </c>
      <c r="VI70" s="1" t="s">
        <v>54165</v>
      </c>
      <c r="VJ70" s="1" t="s">
        <v>54166</v>
      </c>
      <c r="VK70" s="1" t="s">
        <v>54167</v>
      </c>
      <c r="VL70" s="1" t="s">
        <v>54168</v>
      </c>
      <c r="VM70" s="1" t="s">
        <v>54169</v>
      </c>
      <c r="VN70" s="1" t="s">
        <v>54170</v>
      </c>
      <c r="VO70" s="1" t="s">
        <v>54171</v>
      </c>
      <c r="VP70" s="1" t="s">
        <v>54172</v>
      </c>
      <c r="VQ70" s="1" t="s">
        <v>54173</v>
      </c>
      <c r="VR70" s="1" t="s">
        <v>54174</v>
      </c>
      <c r="VS70" s="1" t="s">
        <v>54175</v>
      </c>
      <c r="VT70" s="1" t="s">
        <v>54176</v>
      </c>
      <c r="VU70" s="1" t="s">
        <v>54177</v>
      </c>
      <c r="VV70" s="1" t="s">
        <v>54178</v>
      </c>
      <c r="VW70" s="1" t="s">
        <v>54179</v>
      </c>
      <c r="VX70" s="1" t="s">
        <v>54180</v>
      </c>
      <c r="VY70" s="1" t="s">
        <v>54181</v>
      </c>
      <c r="VZ70" s="1" t="s">
        <v>54182</v>
      </c>
      <c r="WA70" s="1" t="s">
        <v>54183</v>
      </c>
      <c r="WB70" s="1" t="s">
        <v>54184</v>
      </c>
      <c r="WC70" s="1" t="s">
        <v>54185</v>
      </c>
      <c r="WD70" s="1" t="s">
        <v>54186</v>
      </c>
      <c r="WE70" s="1" t="s">
        <v>54187</v>
      </c>
      <c r="WF70" s="1" t="s">
        <v>54188</v>
      </c>
      <c r="WG70" s="1" t="s">
        <v>54189</v>
      </c>
      <c r="WH70" s="1" t="s">
        <v>54190</v>
      </c>
      <c r="WI70" s="1" t="s">
        <v>54191</v>
      </c>
      <c r="WJ70" s="1" t="s">
        <v>54192</v>
      </c>
      <c r="WK70" s="1" t="s">
        <v>54193</v>
      </c>
      <c r="WL70" s="1" t="s">
        <v>54194</v>
      </c>
      <c r="WM70" s="1" t="s">
        <v>54195</v>
      </c>
      <c r="WN70" s="1" t="s">
        <v>54196</v>
      </c>
      <c r="WO70" s="1" t="s">
        <v>54197</v>
      </c>
      <c r="WP70" s="1" t="s">
        <v>54198</v>
      </c>
      <c r="WQ70" s="1" t="s">
        <v>54199</v>
      </c>
      <c r="WR70" s="1" t="s">
        <v>54200</v>
      </c>
      <c r="WS70" s="1" t="s">
        <v>54201</v>
      </c>
      <c r="WT70" s="1" t="s">
        <v>54202</v>
      </c>
      <c r="WU70" s="1" t="s">
        <v>54203</v>
      </c>
      <c r="WV70" s="1" t="s">
        <v>54204</v>
      </c>
      <c r="WW70" s="1" t="s">
        <v>54205</v>
      </c>
      <c r="WX70" s="1" t="s">
        <v>54206</v>
      </c>
      <c r="WY70" s="1" t="s">
        <v>54207</v>
      </c>
      <c r="WZ70" s="1" t="s">
        <v>54208</v>
      </c>
      <c r="XA70" s="1" t="s">
        <v>54209</v>
      </c>
      <c r="XB70" s="1" t="s">
        <v>54210</v>
      </c>
      <c r="XC70" s="1" t="s">
        <v>54211</v>
      </c>
      <c r="XD70" s="1" t="s">
        <v>54212</v>
      </c>
      <c r="XE70" s="1" t="s">
        <v>54213</v>
      </c>
      <c r="XF70" s="1" t="s">
        <v>54214</v>
      </c>
      <c r="XG70" s="1" t="s">
        <v>54215</v>
      </c>
      <c r="XH70" s="1" t="s">
        <v>54216</v>
      </c>
      <c r="XI70" s="1" t="s">
        <v>54217</v>
      </c>
      <c r="XJ70" s="1" t="s">
        <v>54218</v>
      </c>
      <c r="XK70" s="1" t="s">
        <v>54219</v>
      </c>
      <c r="XL70" s="1" t="s">
        <v>54220</v>
      </c>
      <c r="XM70" s="1" t="s">
        <v>54221</v>
      </c>
      <c r="XN70" s="1" t="s">
        <v>54222</v>
      </c>
      <c r="XO70" s="1" t="s">
        <v>54223</v>
      </c>
      <c r="XP70" s="1" t="s">
        <v>54224</v>
      </c>
      <c r="XQ70" s="1" t="s">
        <v>54225</v>
      </c>
      <c r="XR70" s="1" t="s">
        <v>54226</v>
      </c>
      <c r="XS70" s="1" t="s">
        <v>54227</v>
      </c>
      <c r="XT70" s="1" t="s">
        <v>54228</v>
      </c>
      <c r="XU70" s="1" t="s">
        <v>54229</v>
      </c>
      <c r="XV70" s="1" t="s">
        <v>54230</v>
      </c>
      <c r="XW70" s="1" t="s">
        <v>54231</v>
      </c>
      <c r="XX70" s="1" t="s">
        <v>54232</v>
      </c>
      <c r="XY70" s="1" t="s">
        <v>54233</v>
      </c>
      <c r="XZ70" s="1" t="s">
        <v>54234</v>
      </c>
      <c r="YA70" s="1" t="s">
        <v>54235</v>
      </c>
      <c r="YB70" s="1" t="s">
        <v>54236</v>
      </c>
      <c r="YC70" s="1" t="s">
        <v>54237</v>
      </c>
      <c r="YD70" s="1" t="s">
        <v>54238</v>
      </c>
      <c r="YE70" s="1" t="s">
        <v>54239</v>
      </c>
      <c r="YF70" s="1" t="s">
        <v>54240</v>
      </c>
      <c r="YG70" s="1" t="s">
        <v>54241</v>
      </c>
      <c r="YH70" s="1" t="s">
        <v>54242</v>
      </c>
      <c r="YI70" s="1" t="s">
        <v>54243</v>
      </c>
      <c r="YJ70" s="1" t="s">
        <v>54244</v>
      </c>
      <c r="YK70" s="1" t="s">
        <v>54245</v>
      </c>
      <c r="YL70" s="1" t="s">
        <v>54246</v>
      </c>
      <c r="YM70" s="1" t="s">
        <v>54247</v>
      </c>
      <c r="YN70" s="1" t="s">
        <v>54248</v>
      </c>
      <c r="YO70" s="1" t="s">
        <v>54249</v>
      </c>
      <c r="YP70" s="1" t="s">
        <v>54250</v>
      </c>
      <c r="YQ70" s="1" t="s">
        <v>54251</v>
      </c>
      <c r="YR70" s="1" t="s">
        <v>54252</v>
      </c>
      <c r="YS70" s="1" t="s">
        <v>54253</v>
      </c>
      <c r="YT70" s="1" t="s">
        <v>54254</v>
      </c>
      <c r="YU70" s="1" t="s">
        <v>54255</v>
      </c>
      <c r="YV70" s="1" t="s">
        <v>54256</v>
      </c>
      <c r="YW70" s="1" t="s">
        <v>54257</v>
      </c>
      <c r="YX70" s="1" t="s">
        <v>54258</v>
      </c>
      <c r="YY70" s="1" t="s">
        <v>54259</v>
      </c>
      <c r="YZ70" s="1" t="s">
        <v>54260</v>
      </c>
      <c r="ZA70" s="1" t="s">
        <v>54261</v>
      </c>
      <c r="ZB70" s="1" t="s">
        <v>54262</v>
      </c>
      <c r="ZC70" s="1" t="s">
        <v>54263</v>
      </c>
      <c r="ZD70" s="1" t="s">
        <v>54264</v>
      </c>
      <c r="ZE70" s="1" t="s">
        <v>54265</v>
      </c>
      <c r="ZF70" s="1" t="s">
        <v>54266</v>
      </c>
      <c r="ZG70" s="1" t="s">
        <v>54267</v>
      </c>
      <c r="ZH70" s="1" t="s">
        <v>54268</v>
      </c>
      <c r="ZI70" s="1" t="s">
        <v>54269</v>
      </c>
      <c r="ZJ70" s="1" t="s">
        <v>54270</v>
      </c>
      <c r="ZK70" s="1" t="s">
        <v>54271</v>
      </c>
      <c r="ZL70" s="1" t="s">
        <v>54272</v>
      </c>
      <c r="ZM70" s="1" t="s">
        <v>54273</v>
      </c>
      <c r="ZN70" s="1" t="s">
        <v>54274</v>
      </c>
      <c r="ZO70" s="1" t="s">
        <v>54275</v>
      </c>
      <c r="ZP70" s="1" t="s">
        <v>54276</v>
      </c>
      <c r="ZQ70" s="1" t="s">
        <v>54277</v>
      </c>
      <c r="ZR70" s="1" t="s">
        <v>54278</v>
      </c>
      <c r="ZS70" s="1" t="s">
        <v>54279</v>
      </c>
      <c r="ZT70" s="1" t="s">
        <v>54280</v>
      </c>
      <c r="ZU70" s="1" t="s">
        <v>54281</v>
      </c>
      <c r="ZV70" s="1" t="s">
        <v>54282</v>
      </c>
      <c r="ZW70" s="1" t="s">
        <v>54283</v>
      </c>
      <c r="ZX70" s="1" t="s">
        <v>54284</v>
      </c>
      <c r="ZY70" s="1" t="s">
        <v>54285</v>
      </c>
      <c r="ZZ70" s="1" t="s">
        <v>54286</v>
      </c>
      <c r="AAA70" s="1" t="s">
        <v>54287</v>
      </c>
      <c r="AAB70" s="1" t="s">
        <v>54288</v>
      </c>
      <c r="AAC70" s="1" t="s">
        <v>54289</v>
      </c>
      <c r="AAD70" s="1" t="s">
        <v>54290</v>
      </c>
      <c r="AAE70" s="1" t="s">
        <v>54291</v>
      </c>
      <c r="AAF70" s="1" t="s">
        <v>54292</v>
      </c>
      <c r="AAG70" s="1" t="s">
        <v>54293</v>
      </c>
      <c r="AAH70" s="1" t="s">
        <v>54294</v>
      </c>
      <c r="AAI70" s="1" t="s">
        <v>54295</v>
      </c>
      <c r="AAJ70" s="1" t="s">
        <v>54296</v>
      </c>
      <c r="AAK70" s="1" t="s">
        <v>54297</v>
      </c>
      <c r="AAL70" s="1" t="s">
        <v>54298</v>
      </c>
      <c r="AAM70" s="1" t="s">
        <v>54299</v>
      </c>
      <c r="AAN70" s="1" t="s">
        <v>54300</v>
      </c>
      <c r="AAO70" s="1" t="s">
        <v>54301</v>
      </c>
      <c r="AAP70" s="1" t="s">
        <v>54302</v>
      </c>
      <c r="AAQ70" s="1" t="s">
        <v>54303</v>
      </c>
      <c r="AAR70" s="1" t="s">
        <v>54304</v>
      </c>
      <c r="AAS70" s="1" t="s">
        <v>54305</v>
      </c>
      <c r="AAT70" s="1" t="s">
        <v>54306</v>
      </c>
      <c r="AAU70" s="1" t="s">
        <v>54307</v>
      </c>
      <c r="AAV70" s="1" t="s">
        <v>54308</v>
      </c>
      <c r="AAW70" s="1" t="s">
        <v>54309</v>
      </c>
      <c r="AAX70" s="1" t="s">
        <v>54310</v>
      </c>
      <c r="AAY70" s="1" t="s">
        <v>54311</v>
      </c>
      <c r="AAZ70" s="1" t="s">
        <v>54312</v>
      </c>
      <c r="ABA70" s="1" t="s">
        <v>54313</v>
      </c>
      <c r="ABB70" s="1" t="s">
        <v>54314</v>
      </c>
      <c r="ABC70" s="1" t="s">
        <v>54315</v>
      </c>
      <c r="ABD70" s="1" t="s">
        <v>54316</v>
      </c>
      <c r="ABE70" s="1" t="s">
        <v>54317</v>
      </c>
      <c r="ABF70" s="1" t="s">
        <v>54318</v>
      </c>
      <c r="ABG70" s="1" t="s">
        <v>54319</v>
      </c>
      <c r="ABH70" s="1" t="s">
        <v>54320</v>
      </c>
      <c r="ABI70" s="1" t="s">
        <v>54321</v>
      </c>
      <c r="ABJ70" s="1" t="s">
        <v>54322</v>
      </c>
      <c r="ABK70" s="1" t="s">
        <v>54323</v>
      </c>
      <c r="ABL70" s="1" t="s">
        <v>54324</v>
      </c>
      <c r="ABM70" s="1" t="s">
        <v>54325</v>
      </c>
      <c r="ABN70" s="1" t="s">
        <v>54326</v>
      </c>
      <c r="ABO70" s="1" t="s">
        <v>54327</v>
      </c>
      <c r="ABP70" s="1" t="s">
        <v>54328</v>
      </c>
      <c r="ABQ70" s="1" t="s">
        <v>54329</v>
      </c>
      <c r="ABR70" s="1" t="s">
        <v>54330</v>
      </c>
      <c r="ABS70" s="1" t="s">
        <v>54331</v>
      </c>
      <c r="ABT70" s="1" t="s">
        <v>54332</v>
      </c>
      <c r="ABU70" s="1" t="s">
        <v>54333</v>
      </c>
      <c r="ABV70" s="1" t="s">
        <v>54334</v>
      </c>
      <c r="ABW70" s="1" t="s">
        <v>54335</v>
      </c>
      <c r="ABX70" s="1" t="s">
        <v>54336</v>
      </c>
      <c r="ABY70" s="1" t="s">
        <v>54337</v>
      </c>
      <c r="ABZ70" s="1" t="s">
        <v>54338</v>
      </c>
      <c r="ACA70" s="1" t="s">
        <v>54339</v>
      </c>
      <c r="ACB70" s="1" t="s">
        <v>54340</v>
      </c>
      <c r="ACC70" s="1" t="s">
        <v>54341</v>
      </c>
      <c r="ACD70" s="1" t="s">
        <v>54342</v>
      </c>
      <c r="ACE70" s="1" t="s">
        <v>54343</v>
      </c>
      <c r="ACF70" s="1" t="s">
        <v>54344</v>
      </c>
      <c r="ACG70" s="1" t="s">
        <v>54345</v>
      </c>
      <c r="ACH70" s="1" t="s">
        <v>54346</v>
      </c>
      <c r="ACI70" s="1" t="s">
        <v>54347</v>
      </c>
      <c r="ACJ70" s="1" t="s">
        <v>54348</v>
      </c>
      <c r="ACK70" s="1" t="s">
        <v>54349</v>
      </c>
      <c r="ACL70" s="1" t="s">
        <v>54350</v>
      </c>
      <c r="ACM70" s="1" t="s">
        <v>54351</v>
      </c>
      <c r="ACN70" s="1" t="s">
        <v>54352</v>
      </c>
      <c r="ACO70" s="1" t="s">
        <v>54353</v>
      </c>
      <c r="ACP70" s="1" t="s">
        <v>54354</v>
      </c>
      <c r="ACQ70" s="1" t="s">
        <v>54355</v>
      </c>
      <c r="ACR70" s="1" t="s">
        <v>54356</v>
      </c>
      <c r="ACS70" s="1" t="s">
        <v>54357</v>
      </c>
      <c r="ACT70" s="1" t="s">
        <v>54358</v>
      </c>
      <c r="ACU70" s="1" t="s">
        <v>54359</v>
      </c>
      <c r="ACV70" s="1" t="s">
        <v>54360</v>
      </c>
      <c r="ACW70" s="1" t="s">
        <v>6</v>
      </c>
      <c r="ACX70" s="1" t="s">
        <v>1501</v>
      </c>
    </row>
    <row r="71" spans="1:778" x14ac:dyDescent="0.2">
      <c r="A71" s="1" t="s">
        <v>43</v>
      </c>
      <c r="B71" s="1" t="s">
        <v>54361</v>
      </c>
      <c r="C71" s="1" t="s">
        <v>54362</v>
      </c>
      <c r="D71" s="1" t="s">
        <v>54363</v>
      </c>
      <c r="E71" s="1" t="s">
        <v>54364</v>
      </c>
      <c r="F71" s="1" t="s">
        <v>54365</v>
      </c>
      <c r="G71" s="1" t="s">
        <v>54366</v>
      </c>
      <c r="H71" s="1" t="s">
        <v>54367</v>
      </c>
      <c r="I71" s="1" t="s">
        <v>54368</v>
      </c>
      <c r="J71" s="1" t="s">
        <v>54369</v>
      </c>
      <c r="K71" s="1" t="s">
        <v>54370</v>
      </c>
      <c r="L71" s="1" t="s">
        <v>54371</v>
      </c>
      <c r="M71" s="1" t="s">
        <v>54372</v>
      </c>
      <c r="N71" s="1" t="s">
        <v>54373</v>
      </c>
      <c r="O71" s="1" t="s">
        <v>54374</v>
      </c>
      <c r="P71" s="1" t="s">
        <v>54375</v>
      </c>
      <c r="Q71" s="1" t="s">
        <v>54376</v>
      </c>
      <c r="R71" s="1" t="s">
        <v>54377</v>
      </c>
      <c r="S71" s="1" t="s">
        <v>54378</v>
      </c>
      <c r="T71" s="1" t="s">
        <v>54379</v>
      </c>
      <c r="U71" s="1" t="s">
        <v>54380</v>
      </c>
      <c r="V71" s="1" t="s">
        <v>54381</v>
      </c>
      <c r="W71" s="1" t="s">
        <v>54382</v>
      </c>
      <c r="X71" s="1" t="s">
        <v>54383</v>
      </c>
      <c r="Y71" s="1" t="s">
        <v>54384</v>
      </c>
      <c r="Z71" s="1" t="s">
        <v>54385</v>
      </c>
      <c r="AA71" s="1" t="s">
        <v>54386</v>
      </c>
      <c r="AB71" s="1" t="s">
        <v>54387</v>
      </c>
      <c r="AC71" s="1" t="s">
        <v>54388</v>
      </c>
      <c r="AD71" s="1" t="s">
        <v>54389</v>
      </c>
      <c r="AE71" s="1" t="s">
        <v>54390</v>
      </c>
      <c r="AF71" s="1" t="s">
        <v>54391</v>
      </c>
      <c r="AG71" s="1" t="s">
        <v>54392</v>
      </c>
      <c r="AH71" s="1" t="s">
        <v>54393</v>
      </c>
      <c r="AI71" s="1" t="s">
        <v>54394</v>
      </c>
      <c r="AJ71" s="1" t="s">
        <v>54395</v>
      </c>
      <c r="AK71" s="1" t="s">
        <v>54396</v>
      </c>
      <c r="AL71" s="1" t="s">
        <v>54397</v>
      </c>
      <c r="AM71" s="1" t="s">
        <v>54398</v>
      </c>
      <c r="AN71" s="1" t="s">
        <v>54399</v>
      </c>
      <c r="AO71" s="1" t="s">
        <v>54400</v>
      </c>
      <c r="AP71" s="1" t="s">
        <v>54401</v>
      </c>
      <c r="AQ71" s="1" t="s">
        <v>54402</v>
      </c>
      <c r="AR71" s="1" t="s">
        <v>54403</v>
      </c>
      <c r="AS71" s="1" t="s">
        <v>54404</v>
      </c>
      <c r="AT71" s="1" t="s">
        <v>54405</v>
      </c>
      <c r="AU71" s="1" t="s">
        <v>54406</v>
      </c>
      <c r="AV71" s="1" t="s">
        <v>54407</v>
      </c>
      <c r="AW71" s="1" t="s">
        <v>54408</v>
      </c>
      <c r="AX71" s="1" t="s">
        <v>54409</v>
      </c>
      <c r="AY71" s="1" t="s">
        <v>54410</v>
      </c>
      <c r="AZ71" s="1" t="s">
        <v>54411</v>
      </c>
      <c r="BA71" s="1" t="s">
        <v>54412</v>
      </c>
      <c r="BB71" s="1" t="s">
        <v>54413</v>
      </c>
      <c r="BC71" s="1" t="s">
        <v>54414</v>
      </c>
      <c r="BD71" s="1" t="s">
        <v>54415</v>
      </c>
      <c r="BE71" s="1" t="s">
        <v>54416</v>
      </c>
      <c r="BF71" s="1" t="s">
        <v>54417</v>
      </c>
      <c r="BG71" s="1" t="s">
        <v>54418</v>
      </c>
      <c r="BH71" s="1" t="s">
        <v>54419</v>
      </c>
      <c r="BI71" s="1" t="s">
        <v>54420</v>
      </c>
      <c r="BJ71" s="1" t="s">
        <v>54421</v>
      </c>
      <c r="BK71" s="1" t="s">
        <v>54422</v>
      </c>
      <c r="BL71" s="1" t="s">
        <v>54423</v>
      </c>
      <c r="BM71" s="1" t="s">
        <v>54424</v>
      </c>
      <c r="BN71" s="1" t="s">
        <v>54425</v>
      </c>
      <c r="BO71" s="1" t="s">
        <v>54426</v>
      </c>
      <c r="BP71" s="1" t="s">
        <v>54427</v>
      </c>
      <c r="BQ71" s="1" t="s">
        <v>54428</v>
      </c>
      <c r="BR71" s="1" t="s">
        <v>54429</v>
      </c>
      <c r="BS71" s="1" t="s">
        <v>54430</v>
      </c>
      <c r="BT71" s="1" t="s">
        <v>54431</v>
      </c>
      <c r="BU71" s="1" t="s">
        <v>54432</v>
      </c>
      <c r="BV71" s="1" t="s">
        <v>54433</v>
      </c>
      <c r="BW71" s="1" t="s">
        <v>54434</v>
      </c>
      <c r="BX71" s="1" t="s">
        <v>54435</v>
      </c>
      <c r="BY71" s="1" t="s">
        <v>54436</v>
      </c>
      <c r="BZ71" s="1" t="s">
        <v>54437</v>
      </c>
      <c r="CA71" s="1" t="s">
        <v>54438</v>
      </c>
      <c r="CB71" s="1" t="s">
        <v>54439</v>
      </c>
      <c r="CC71" s="1" t="s">
        <v>54440</v>
      </c>
      <c r="CD71" s="1" t="s">
        <v>54441</v>
      </c>
      <c r="CE71" s="1" t="s">
        <v>54442</v>
      </c>
      <c r="CF71" s="1" t="s">
        <v>54443</v>
      </c>
      <c r="CG71" s="1" t="s">
        <v>54444</v>
      </c>
      <c r="CH71" s="1" t="s">
        <v>54445</v>
      </c>
      <c r="CI71" s="1" t="s">
        <v>54446</v>
      </c>
      <c r="CJ71" s="1" t="s">
        <v>54447</v>
      </c>
      <c r="CK71" s="1" t="s">
        <v>54448</v>
      </c>
      <c r="CL71" s="1" t="s">
        <v>54449</v>
      </c>
      <c r="CM71" s="1" t="s">
        <v>54450</v>
      </c>
      <c r="CN71" s="1" t="s">
        <v>54451</v>
      </c>
      <c r="CO71" s="1" t="s">
        <v>54452</v>
      </c>
      <c r="CP71" s="1" t="s">
        <v>54453</v>
      </c>
      <c r="CQ71" s="1" t="s">
        <v>54454</v>
      </c>
      <c r="CR71" s="1" t="s">
        <v>54455</v>
      </c>
      <c r="CS71" s="1" t="s">
        <v>54456</v>
      </c>
      <c r="CT71" s="1" t="s">
        <v>54457</v>
      </c>
      <c r="CU71" s="1" t="s">
        <v>54458</v>
      </c>
      <c r="CV71" s="1" t="s">
        <v>54459</v>
      </c>
      <c r="CW71" s="1" t="s">
        <v>54460</v>
      </c>
      <c r="CX71" s="1" t="s">
        <v>54461</v>
      </c>
      <c r="CY71" s="1" t="s">
        <v>54462</v>
      </c>
      <c r="CZ71" s="1" t="s">
        <v>54463</v>
      </c>
      <c r="DA71" s="1" t="s">
        <v>54464</v>
      </c>
      <c r="DB71" s="1" t="s">
        <v>54465</v>
      </c>
      <c r="DC71" s="1" t="s">
        <v>54466</v>
      </c>
      <c r="DD71" s="1" t="s">
        <v>54467</v>
      </c>
      <c r="DE71" s="1" t="s">
        <v>54468</v>
      </c>
      <c r="DF71" s="1" t="s">
        <v>54469</v>
      </c>
      <c r="DG71" s="1" t="s">
        <v>54470</v>
      </c>
      <c r="DH71" s="1" t="s">
        <v>54471</v>
      </c>
      <c r="DI71" s="1" t="s">
        <v>54472</v>
      </c>
      <c r="DJ71" s="1" t="s">
        <v>54473</v>
      </c>
      <c r="DK71" s="1" t="s">
        <v>54474</v>
      </c>
      <c r="DL71" s="1" t="s">
        <v>54475</v>
      </c>
      <c r="DM71" s="1" t="s">
        <v>54476</v>
      </c>
      <c r="DN71" s="1" t="s">
        <v>54477</v>
      </c>
      <c r="DO71" s="1" t="s">
        <v>54478</v>
      </c>
      <c r="DP71" s="1" t="s">
        <v>54479</v>
      </c>
      <c r="DQ71" s="1" t="s">
        <v>54480</v>
      </c>
      <c r="DR71" s="1" t="s">
        <v>54481</v>
      </c>
      <c r="DS71" s="1" t="s">
        <v>54482</v>
      </c>
      <c r="DT71" s="1" t="s">
        <v>54483</v>
      </c>
      <c r="DU71" s="1" t="s">
        <v>54484</v>
      </c>
      <c r="DV71" s="1" t="s">
        <v>54485</v>
      </c>
      <c r="DW71" s="1" t="s">
        <v>54486</v>
      </c>
      <c r="DX71" s="1" t="s">
        <v>54487</v>
      </c>
      <c r="DY71" s="1" t="s">
        <v>54488</v>
      </c>
      <c r="DZ71" s="1" t="s">
        <v>54489</v>
      </c>
      <c r="EA71" s="1" t="s">
        <v>54490</v>
      </c>
      <c r="EB71" s="1" t="s">
        <v>54491</v>
      </c>
      <c r="EC71" s="1" t="s">
        <v>54492</v>
      </c>
      <c r="ED71" s="1" t="s">
        <v>54493</v>
      </c>
      <c r="EE71" s="1" t="s">
        <v>54494</v>
      </c>
      <c r="EF71" s="1" t="s">
        <v>54495</v>
      </c>
      <c r="EG71" s="1" t="s">
        <v>54496</v>
      </c>
      <c r="EH71" s="1" t="s">
        <v>54497</v>
      </c>
      <c r="EI71" s="1" t="s">
        <v>54498</v>
      </c>
      <c r="EJ71" s="1" t="s">
        <v>54499</v>
      </c>
      <c r="EK71" s="1" t="s">
        <v>54500</v>
      </c>
      <c r="EL71" s="1" t="s">
        <v>54501</v>
      </c>
      <c r="EM71" s="1" t="s">
        <v>54502</v>
      </c>
      <c r="EN71" s="1" t="s">
        <v>54503</v>
      </c>
      <c r="EO71" s="1" t="s">
        <v>54504</v>
      </c>
      <c r="EP71" s="1" t="s">
        <v>54505</v>
      </c>
      <c r="EQ71" s="1" t="s">
        <v>54506</v>
      </c>
      <c r="ER71" s="1" t="s">
        <v>54507</v>
      </c>
      <c r="ES71" s="1" t="s">
        <v>54508</v>
      </c>
      <c r="ET71" s="1" t="s">
        <v>54509</v>
      </c>
      <c r="EU71" s="1" t="s">
        <v>54510</v>
      </c>
      <c r="EV71" s="1" t="s">
        <v>54511</v>
      </c>
      <c r="EW71" s="1" t="s">
        <v>54512</v>
      </c>
      <c r="EX71" s="1" t="s">
        <v>54513</v>
      </c>
      <c r="EY71" s="1" t="s">
        <v>54514</v>
      </c>
      <c r="EZ71" s="1" t="s">
        <v>54515</v>
      </c>
      <c r="FA71" s="1" t="s">
        <v>54516</v>
      </c>
      <c r="FB71" s="1" t="s">
        <v>54517</v>
      </c>
      <c r="FC71" s="1" t="s">
        <v>54518</v>
      </c>
      <c r="FD71" s="1" t="s">
        <v>54519</v>
      </c>
      <c r="FE71" s="1" t="s">
        <v>54520</v>
      </c>
      <c r="FF71" s="1" t="s">
        <v>54521</v>
      </c>
      <c r="FG71" s="1" t="s">
        <v>54522</v>
      </c>
      <c r="FH71" s="1" t="s">
        <v>54523</v>
      </c>
      <c r="FI71" s="1" t="s">
        <v>54524</v>
      </c>
      <c r="FJ71" s="1" t="s">
        <v>54525</v>
      </c>
      <c r="FK71" s="1" t="s">
        <v>54526</v>
      </c>
      <c r="FL71" s="1" t="s">
        <v>54527</v>
      </c>
      <c r="FM71" s="1" t="s">
        <v>54528</v>
      </c>
      <c r="FN71" s="1" t="s">
        <v>54529</v>
      </c>
      <c r="FO71" s="1" t="s">
        <v>54530</v>
      </c>
      <c r="FP71" s="1" t="s">
        <v>54531</v>
      </c>
      <c r="FQ71" s="1" t="s">
        <v>54532</v>
      </c>
      <c r="FR71" s="1" t="s">
        <v>54533</v>
      </c>
      <c r="FS71" s="1" t="s">
        <v>54534</v>
      </c>
      <c r="FT71" s="1" t="s">
        <v>54535</v>
      </c>
      <c r="FU71" s="1" t="s">
        <v>54536</v>
      </c>
      <c r="FV71" s="1" t="s">
        <v>54537</v>
      </c>
      <c r="FW71" s="1" t="s">
        <v>54538</v>
      </c>
      <c r="FX71" s="1" t="s">
        <v>54539</v>
      </c>
      <c r="FY71" s="1" t="s">
        <v>54540</v>
      </c>
      <c r="FZ71" s="1" t="s">
        <v>54541</v>
      </c>
      <c r="GA71" s="1" t="s">
        <v>54542</v>
      </c>
      <c r="GB71" s="1" t="s">
        <v>54543</v>
      </c>
      <c r="GC71" s="1" t="s">
        <v>54544</v>
      </c>
      <c r="GD71" s="1" t="s">
        <v>54545</v>
      </c>
      <c r="GE71" s="1" t="s">
        <v>54546</v>
      </c>
      <c r="GF71" s="1" t="s">
        <v>54547</v>
      </c>
      <c r="GG71" s="1" t="s">
        <v>54548</v>
      </c>
      <c r="GH71" s="1" t="s">
        <v>54549</v>
      </c>
      <c r="GI71" s="1" t="s">
        <v>54550</v>
      </c>
      <c r="GJ71" s="1" t="s">
        <v>54551</v>
      </c>
      <c r="GK71" s="1" t="s">
        <v>54552</v>
      </c>
      <c r="GL71" s="1" t="s">
        <v>54553</v>
      </c>
      <c r="GM71" s="1" t="s">
        <v>54554</v>
      </c>
      <c r="GN71" s="1" t="s">
        <v>54555</v>
      </c>
      <c r="GO71" s="1" t="s">
        <v>54556</v>
      </c>
      <c r="GP71" s="1" t="s">
        <v>54557</v>
      </c>
      <c r="GQ71" s="1" t="s">
        <v>54558</v>
      </c>
      <c r="GR71" s="1" t="s">
        <v>54559</v>
      </c>
      <c r="GS71" s="1" t="s">
        <v>54560</v>
      </c>
      <c r="GT71" s="1" t="s">
        <v>54561</v>
      </c>
      <c r="GU71" s="1" t="s">
        <v>54562</v>
      </c>
      <c r="GV71" s="1" t="s">
        <v>54563</v>
      </c>
      <c r="GW71" s="1" t="s">
        <v>54564</v>
      </c>
      <c r="GX71" s="1" t="s">
        <v>54565</v>
      </c>
      <c r="GY71" s="1" t="s">
        <v>54566</v>
      </c>
      <c r="GZ71" s="1" t="s">
        <v>54567</v>
      </c>
      <c r="HA71" s="1" t="s">
        <v>54568</v>
      </c>
      <c r="HB71" s="1" t="s">
        <v>54569</v>
      </c>
      <c r="HC71" s="1" t="s">
        <v>54570</v>
      </c>
      <c r="HD71" s="1" t="s">
        <v>54571</v>
      </c>
      <c r="HE71" s="1" t="s">
        <v>54572</v>
      </c>
      <c r="HF71" s="1" t="s">
        <v>54573</v>
      </c>
      <c r="HG71" s="1" t="s">
        <v>54574</v>
      </c>
      <c r="HH71" s="1" t="s">
        <v>54575</v>
      </c>
      <c r="HI71" s="1" t="s">
        <v>54576</v>
      </c>
      <c r="HJ71" s="1" t="s">
        <v>54577</v>
      </c>
      <c r="HK71" s="1" t="s">
        <v>54578</v>
      </c>
      <c r="HL71" s="1" t="s">
        <v>54579</v>
      </c>
      <c r="HM71" s="1" t="s">
        <v>54580</v>
      </c>
      <c r="HN71" s="1" t="s">
        <v>54581</v>
      </c>
      <c r="HO71" s="1" t="s">
        <v>54582</v>
      </c>
      <c r="HP71" s="1" t="s">
        <v>54583</v>
      </c>
      <c r="HQ71" s="1" t="s">
        <v>54584</v>
      </c>
      <c r="HR71" s="1" t="s">
        <v>54585</v>
      </c>
      <c r="HS71" s="1" t="s">
        <v>54586</v>
      </c>
      <c r="HT71" s="1" t="s">
        <v>54587</v>
      </c>
      <c r="HU71" s="1" t="s">
        <v>54588</v>
      </c>
      <c r="HV71" s="1" t="s">
        <v>54589</v>
      </c>
      <c r="HW71" s="1" t="s">
        <v>54590</v>
      </c>
      <c r="HX71" s="1" t="s">
        <v>54591</v>
      </c>
      <c r="HY71" s="1" t="s">
        <v>54592</v>
      </c>
      <c r="HZ71" s="1" t="s">
        <v>54593</v>
      </c>
      <c r="IA71" s="1" t="s">
        <v>54594</v>
      </c>
      <c r="IB71" s="1" t="s">
        <v>54595</v>
      </c>
      <c r="IC71" s="1" t="s">
        <v>54596</v>
      </c>
      <c r="ID71" s="1" t="s">
        <v>54597</v>
      </c>
      <c r="IE71" s="1" t="s">
        <v>54598</v>
      </c>
      <c r="IF71" s="1" t="s">
        <v>54599</v>
      </c>
      <c r="IG71" s="1" t="s">
        <v>54600</v>
      </c>
      <c r="IH71" s="1" t="s">
        <v>54601</v>
      </c>
      <c r="II71" s="1" t="s">
        <v>54602</v>
      </c>
      <c r="IJ71" s="1" t="s">
        <v>54603</v>
      </c>
      <c r="IK71" s="1" t="s">
        <v>54604</v>
      </c>
      <c r="IL71" s="1" t="s">
        <v>54605</v>
      </c>
      <c r="IM71" s="1" t="s">
        <v>54606</v>
      </c>
      <c r="IN71" s="1" t="s">
        <v>54607</v>
      </c>
      <c r="IO71" s="1" t="s">
        <v>54608</v>
      </c>
      <c r="IP71" s="1" t="s">
        <v>54609</v>
      </c>
      <c r="IQ71" s="1" t="s">
        <v>54610</v>
      </c>
      <c r="IR71" s="1" t="s">
        <v>54611</v>
      </c>
      <c r="IS71" s="1" t="s">
        <v>54612</v>
      </c>
      <c r="IT71" s="1" t="s">
        <v>54613</v>
      </c>
      <c r="IU71" s="1" t="s">
        <v>54614</v>
      </c>
      <c r="IV71" s="1" t="s">
        <v>54615</v>
      </c>
      <c r="IW71" s="1" t="s">
        <v>54616</v>
      </c>
      <c r="IX71" s="1" t="s">
        <v>54617</v>
      </c>
      <c r="IY71" s="1" t="s">
        <v>54618</v>
      </c>
      <c r="IZ71" s="1" t="s">
        <v>54619</v>
      </c>
      <c r="JA71" s="1" t="s">
        <v>54620</v>
      </c>
      <c r="JB71" s="1" t="s">
        <v>54621</v>
      </c>
      <c r="JC71" s="1" t="s">
        <v>54622</v>
      </c>
      <c r="JD71" s="1" t="s">
        <v>54623</v>
      </c>
      <c r="JE71" s="1" t="s">
        <v>54624</v>
      </c>
      <c r="JF71" s="1" t="s">
        <v>54625</v>
      </c>
      <c r="JG71" s="1" t="s">
        <v>54626</v>
      </c>
      <c r="JH71" s="1" t="s">
        <v>54627</v>
      </c>
      <c r="JI71" s="1" t="s">
        <v>54628</v>
      </c>
      <c r="JJ71" s="1" t="s">
        <v>54629</v>
      </c>
      <c r="JK71" s="1" t="s">
        <v>54630</v>
      </c>
      <c r="JL71" s="1" t="s">
        <v>54631</v>
      </c>
      <c r="JM71" s="1" t="s">
        <v>54632</v>
      </c>
      <c r="JN71" s="1" t="s">
        <v>54633</v>
      </c>
      <c r="JO71" s="1" t="s">
        <v>54634</v>
      </c>
      <c r="JP71" s="1" t="s">
        <v>54635</v>
      </c>
      <c r="JQ71" s="1" t="s">
        <v>54636</v>
      </c>
      <c r="JR71" s="1" t="s">
        <v>54637</v>
      </c>
      <c r="JS71" s="1" t="s">
        <v>54638</v>
      </c>
      <c r="JT71" s="1" t="s">
        <v>54639</v>
      </c>
      <c r="JU71" s="1" t="s">
        <v>54640</v>
      </c>
      <c r="JV71" s="1" t="s">
        <v>54641</v>
      </c>
      <c r="JW71" s="1" t="s">
        <v>54642</v>
      </c>
      <c r="JX71" s="1" t="s">
        <v>54643</v>
      </c>
      <c r="JY71" s="1" t="s">
        <v>54644</v>
      </c>
      <c r="JZ71" s="1" t="s">
        <v>54645</v>
      </c>
      <c r="KA71" s="1" t="s">
        <v>54646</v>
      </c>
      <c r="KB71" s="1" t="s">
        <v>54647</v>
      </c>
      <c r="KC71" s="1" t="s">
        <v>54648</v>
      </c>
      <c r="KD71" s="1" t="s">
        <v>54649</v>
      </c>
      <c r="KE71" s="1" t="s">
        <v>54650</v>
      </c>
      <c r="KF71" s="1" t="s">
        <v>54651</v>
      </c>
      <c r="KG71" s="1" t="s">
        <v>54652</v>
      </c>
      <c r="KH71" s="1" t="s">
        <v>54653</v>
      </c>
      <c r="KI71" s="1" t="s">
        <v>54654</v>
      </c>
      <c r="KJ71" s="1" t="s">
        <v>54655</v>
      </c>
      <c r="KK71" s="1" t="s">
        <v>54656</v>
      </c>
      <c r="KL71" s="1" t="s">
        <v>54657</v>
      </c>
      <c r="KM71" s="1" t="s">
        <v>54658</v>
      </c>
      <c r="KN71" s="1" t="s">
        <v>54659</v>
      </c>
      <c r="KO71" s="1" t="s">
        <v>54660</v>
      </c>
      <c r="KP71" s="1" t="s">
        <v>54661</v>
      </c>
      <c r="KQ71" s="1" t="s">
        <v>54662</v>
      </c>
      <c r="KR71" s="1" t="s">
        <v>54663</v>
      </c>
      <c r="KS71" s="1" t="s">
        <v>54664</v>
      </c>
      <c r="KT71" s="1" t="s">
        <v>54665</v>
      </c>
      <c r="KU71" s="1" t="s">
        <v>54666</v>
      </c>
      <c r="KV71" s="1" t="s">
        <v>54667</v>
      </c>
      <c r="KW71" s="1" t="s">
        <v>54668</v>
      </c>
      <c r="KX71" s="1" t="s">
        <v>54669</v>
      </c>
      <c r="KY71" s="1" t="s">
        <v>54670</v>
      </c>
      <c r="KZ71" s="1" t="s">
        <v>54671</v>
      </c>
      <c r="LA71" s="1" t="s">
        <v>54672</v>
      </c>
      <c r="LB71" s="1" t="s">
        <v>54673</v>
      </c>
      <c r="LC71" s="1" t="s">
        <v>54674</v>
      </c>
      <c r="LD71" s="1" t="s">
        <v>54675</v>
      </c>
      <c r="LE71" s="1" t="s">
        <v>54676</v>
      </c>
      <c r="LF71" s="1" t="s">
        <v>54677</v>
      </c>
      <c r="LG71" s="1" t="s">
        <v>54678</v>
      </c>
      <c r="LH71" s="1" t="s">
        <v>54679</v>
      </c>
      <c r="LI71" s="1" t="s">
        <v>54680</v>
      </c>
      <c r="LJ71" s="1" t="s">
        <v>54681</v>
      </c>
      <c r="LK71" s="1" t="s">
        <v>54682</v>
      </c>
      <c r="LL71" s="1" t="s">
        <v>54683</v>
      </c>
      <c r="LM71" s="1" t="s">
        <v>54684</v>
      </c>
      <c r="LN71" s="1" t="s">
        <v>54685</v>
      </c>
      <c r="LO71" s="1" t="s">
        <v>54686</v>
      </c>
      <c r="LP71" s="1" t="s">
        <v>54687</v>
      </c>
      <c r="LQ71" s="1" t="s">
        <v>54688</v>
      </c>
      <c r="LR71" s="1" t="s">
        <v>54689</v>
      </c>
      <c r="LS71" s="1" t="s">
        <v>54690</v>
      </c>
      <c r="LT71" s="1" t="s">
        <v>54691</v>
      </c>
      <c r="LU71" s="1" t="s">
        <v>54692</v>
      </c>
      <c r="LV71" s="1" t="s">
        <v>54693</v>
      </c>
      <c r="LW71" s="1" t="s">
        <v>54694</v>
      </c>
      <c r="LX71" s="1" t="s">
        <v>54695</v>
      </c>
      <c r="LY71" s="1" t="s">
        <v>54696</v>
      </c>
      <c r="LZ71" s="1" t="s">
        <v>54697</v>
      </c>
      <c r="MA71" s="1" t="s">
        <v>54698</v>
      </c>
      <c r="MB71" s="1" t="s">
        <v>54699</v>
      </c>
      <c r="MC71" s="1" t="s">
        <v>54700</v>
      </c>
      <c r="MD71" s="1" t="s">
        <v>54701</v>
      </c>
      <c r="ME71" s="1" t="s">
        <v>54702</v>
      </c>
      <c r="MF71" s="1" t="s">
        <v>54703</v>
      </c>
      <c r="MG71" s="1" t="s">
        <v>54704</v>
      </c>
      <c r="MH71" s="1" t="s">
        <v>54705</v>
      </c>
      <c r="MI71" s="1" t="s">
        <v>54706</v>
      </c>
      <c r="MJ71" s="1" t="s">
        <v>54707</v>
      </c>
      <c r="MK71" s="1" t="s">
        <v>54708</v>
      </c>
      <c r="ML71" s="1" t="s">
        <v>54709</v>
      </c>
      <c r="MM71" s="1" t="s">
        <v>54710</v>
      </c>
      <c r="MN71" s="1" t="s">
        <v>54711</v>
      </c>
      <c r="MO71" s="1" t="s">
        <v>54712</v>
      </c>
      <c r="MP71" s="1" t="s">
        <v>54713</v>
      </c>
      <c r="MQ71" s="1" t="s">
        <v>54714</v>
      </c>
      <c r="MR71" s="1" t="s">
        <v>54715</v>
      </c>
      <c r="MS71" s="1" t="s">
        <v>54716</v>
      </c>
      <c r="MT71" s="1" t="s">
        <v>54717</v>
      </c>
      <c r="MU71" s="1" t="s">
        <v>54718</v>
      </c>
      <c r="MV71" s="1" t="s">
        <v>54719</v>
      </c>
      <c r="MW71" s="1" t="s">
        <v>54720</v>
      </c>
      <c r="MX71" s="1" t="s">
        <v>54721</v>
      </c>
      <c r="MY71" s="1" t="s">
        <v>54722</v>
      </c>
      <c r="MZ71" s="1" t="s">
        <v>54723</v>
      </c>
      <c r="NA71" s="1" t="s">
        <v>54724</v>
      </c>
      <c r="NB71" s="1" t="s">
        <v>54725</v>
      </c>
      <c r="NC71" s="1" t="s">
        <v>54726</v>
      </c>
      <c r="ND71" s="1" t="s">
        <v>54727</v>
      </c>
      <c r="NE71" s="1" t="s">
        <v>54728</v>
      </c>
      <c r="NF71" s="1" t="s">
        <v>54729</v>
      </c>
      <c r="NG71" s="1" t="s">
        <v>54730</v>
      </c>
      <c r="NH71" s="1" t="s">
        <v>54731</v>
      </c>
      <c r="NI71" s="1" t="s">
        <v>54732</v>
      </c>
      <c r="NJ71" s="1" t="s">
        <v>54733</v>
      </c>
      <c r="NK71" s="1" t="s">
        <v>54734</v>
      </c>
      <c r="NL71" s="1" t="s">
        <v>54735</v>
      </c>
      <c r="NM71" s="1" t="s">
        <v>54736</v>
      </c>
      <c r="NN71" s="1" t="s">
        <v>54737</v>
      </c>
      <c r="NO71" s="1" t="s">
        <v>54738</v>
      </c>
      <c r="NP71" s="1" t="s">
        <v>54739</v>
      </c>
      <c r="NQ71" s="1" t="s">
        <v>54740</v>
      </c>
      <c r="NR71" s="1" t="s">
        <v>54741</v>
      </c>
      <c r="NS71" s="1" t="s">
        <v>54742</v>
      </c>
      <c r="NT71" s="1" t="s">
        <v>54743</v>
      </c>
      <c r="NU71" s="1" t="s">
        <v>54744</v>
      </c>
      <c r="NV71" s="1" t="s">
        <v>54745</v>
      </c>
      <c r="NW71" s="1" t="s">
        <v>54746</v>
      </c>
      <c r="NX71" s="1" t="s">
        <v>54747</v>
      </c>
      <c r="NY71" s="1" t="s">
        <v>54748</v>
      </c>
      <c r="NZ71" s="1" t="s">
        <v>54749</v>
      </c>
      <c r="OA71" s="1" t="s">
        <v>54750</v>
      </c>
      <c r="OB71" s="1" t="s">
        <v>54751</v>
      </c>
      <c r="OC71" s="1" t="s">
        <v>54752</v>
      </c>
      <c r="OD71" s="1" t="s">
        <v>54753</v>
      </c>
      <c r="OE71" s="1" t="s">
        <v>54754</v>
      </c>
      <c r="OF71" s="1" t="s">
        <v>54755</v>
      </c>
      <c r="OG71" s="1" t="s">
        <v>54756</v>
      </c>
      <c r="OH71" s="1" t="s">
        <v>54757</v>
      </c>
      <c r="OI71" s="1" t="s">
        <v>54758</v>
      </c>
      <c r="OJ71" s="1" t="s">
        <v>54759</v>
      </c>
      <c r="OK71" s="1" t="s">
        <v>54760</v>
      </c>
      <c r="OL71" s="1" t="s">
        <v>54761</v>
      </c>
      <c r="OM71" s="1" t="s">
        <v>54762</v>
      </c>
      <c r="ON71" s="1" t="s">
        <v>54763</v>
      </c>
      <c r="OO71" s="1" t="s">
        <v>54764</v>
      </c>
      <c r="OP71" s="1" t="s">
        <v>54765</v>
      </c>
      <c r="OQ71" s="1" t="s">
        <v>54766</v>
      </c>
      <c r="OR71" s="1" t="s">
        <v>54767</v>
      </c>
      <c r="OS71" s="1" t="s">
        <v>54768</v>
      </c>
      <c r="OT71" s="1" t="s">
        <v>54769</v>
      </c>
      <c r="OU71" s="1" t="s">
        <v>54770</v>
      </c>
      <c r="OV71" s="1" t="s">
        <v>54771</v>
      </c>
      <c r="OW71" s="1" t="s">
        <v>54772</v>
      </c>
      <c r="OX71" s="1" t="s">
        <v>54773</v>
      </c>
      <c r="OY71" s="1" t="s">
        <v>54774</v>
      </c>
      <c r="OZ71" s="1" t="s">
        <v>54775</v>
      </c>
      <c r="PA71" s="1" t="s">
        <v>54776</v>
      </c>
      <c r="PB71" s="1" t="s">
        <v>54777</v>
      </c>
      <c r="PC71" s="1" t="s">
        <v>54778</v>
      </c>
      <c r="PD71" s="1" t="s">
        <v>54779</v>
      </c>
      <c r="PE71" s="1" t="s">
        <v>54780</v>
      </c>
      <c r="PF71" s="1" t="s">
        <v>54781</v>
      </c>
      <c r="PG71" s="1" t="s">
        <v>54782</v>
      </c>
      <c r="PH71" s="1" t="s">
        <v>54783</v>
      </c>
      <c r="PI71" s="1" t="s">
        <v>54784</v>
      </c>
      <c r="PJ71" s="1" t="s">
        <v>54785</v>
      </c>
      <c r="PK71" s="1" t="s">
        <v>54786</v>
      </c>
      <c r="PL71" s="1" t="s">
        <v>54787</v>
      </c>
      <c r="PM71" s="1" t="s">
        <v>54788</v>
      </c>
      <c r="PN71" s="1" t="s">
        <v>54789</v>
      </c>
      <c r="PO71" s="1" t="s">
        <v>54790</v>
      </c>
      <c r="PP71" s="1" t="s">
        <v>54791</v>
      </c>
      <c r="PQ71" s="1" t="s">
        <v>54792</v>
      </c>
      <c r="PR71" s="1" t="s">
        <v>54793</v>
      </c>
      <c r="PS71" s="1" t="s">
        <v>54794</v>
      </c>
      <c r="PT71" s="1" t="s">
        <v>54795</v>
      </c>
      <c r="PU71" s="1" t="s">
        <v>54796</v>
      </c>
      <c r="PV71" s="1" t="s">
        <v>54797</v>
      </c>
      <c r="PW71" s="1" t="s">
        <v>54798</v>
      </c>
      <c r="PX71" s="1" t="s">
        <v>54799</v>
      </c>
      <c r="PY71" s="1" t="s">
        <v>54800</v>
      </c>
      <c r="PZ71" s="1" t="s">
        <v>54801</v>
      </c>
      <c r="QA71" s="1" t="s">
        <v>54802</v>
      </c>
      <c r="QB71" s="1" t="s">
        <v>54803</v>
      </c>
      <c r="QC71" s="1" t="s">
        <v>54804</v>
      </c>
      <c r="QD71" s="1" t="s">
        <v>54805</v>
      </c>
      <c r="QE71" s="1" t="s">
        <v>54806</v>
      </c>
      <c r="QF71" s="1" t="s">
        <v>54807</v>
      </c>
      <c r="QG71" s="1" t="s">
        <v>54808</v>
      </c>
      <c r="QH71" s="1" t="s">
        <v>54809</v>
      </c>
      <c r="QI71" s="1" t="s">
        <v>54810</v>
      </c>
      <c r="QJ71" s="1" t="s">
        <v>54811</v>
      </c>
      <c r="QK71" s="1" t="s">
        <v>54812</v>
      </c>
      <c r="QL71" s="1" t="s">
        <v>54813</v>
      </c>
      <c r="QM71" s="1" t="s">
        <v>54814</v>
      </c>
      <c r="QN71" s="1" t="s">
        <v>54815</v>
      </c>
      <c r="QO71" s="1" t="s">
        <v>54816</v>
      </c>
      <c r="QP71" s="1" t="s">
        <v>54817</v>
      </c>
      <c r="QQ71" s="1" t="s">
        <v>54818</v>
      </c>
      <c r="QR71" s="1" t="s">
        <v>54819</v>
      </c>
      <c r="QS71" s="1" t="s">
        <v>54820</v>
      </c>
      <c r="QT71" s="1" t="s">
        <v>54821</v>
      </c>
      <c r="QU71" s="1" t="s">
        <v>54822</v>
      </c>
      <c r="QV71" s="1" t="s">
        <v>54823</v>
      </c>
      <c r="QW71" s="1" t="s">
        <v>54824</v>
      </c>
      <c r="QX71" s="1" t="s">
        <v>54825</v>
      </c>
      <c r="QY71" s="1" t="s">
        <v>54826</v>
      </c>
      <c r="QZ71" s="1" t="s">
        <v>54827</v>
      </c>
      <c r="RA71" s="1" t="s">
        <v>54828</v>
      </c>
      <c r="RB71" s="1" t="s">
        <v>54829</v>
      </c>
      <c r="RC71" s="1" t="s">
        <v>54830</v>
      </c>
      <c r="RD71" s="1" t="s">
        <v>54831</v>
      </c>
      <c r="RE71" s="1" t="s">
        <v>54832</v>
      </c>
      <c r="RF71" s="1" t="s">
        <v>54833</v>
      </c>
      <c r="RG71" s="1" t="s">
        <v>54834</v>
      </c>
      <c r="RH71" s="1" t="s">
        <v>54835</v>
      </c>
      <c r="RI71" s="1" t="s">
        <v>54836</v>
      </c>
      <c r="RJ71" s="1" t="s">
        <v>54837</v>
      </c>
      <c r="RK71" s="1" t="s">
        <v>54838</v>
      </c>
      <c r="RL71" s="1" t="s">
        <v>54839</v>
      </c>
      <c r="RM71" s="1" t="s">
        <v>54840</v>
      </c>
      <c r="RN71" s="1" t="s">
        <v>54841</v>
      </c>
      <c r="RO71" s="1" t="s">
        <v>54842</v>
      </c>
      <c r="RP71" s="1" t="s">
        <v>54843</v>
      </c>
      <c r="RQ71" s="1" t="s">
        <v>54844</v>
      </c>
      <c r="RR71" s="1" t="s">
        <v>54845</v>
      </c>
      <c r="RS71" s="1" t="s">
        <v>54846</v>
      </c>
      <c r="RT71" s="1" t="s">
        <v>54847</v>
      </c>
      <c r="RU71" s="1" t="s">
        <v>54848</v>
      </c>
      <c r="RV71" s="1" t="s">
        <v>54849</v>
      </c>
      <c r="RW71" s="1" t="s">
        <v>54850</v>
      </c>
      <c r="RX71" s="1" t="s">
        <v>54851</v>
      </c>
      <c r="RY71" s="1" t="s">
        <v>54852</v>
      </c>
      <c r="RZ71" s="1" t="s">
        <v>54853</v>
      </c>
      <c r="SA71" s="1" t="s">
        <v>54854</v>
      </c>
      <c r="SB71" s="1" t="s">
        <v>54855</v>
      </c>
      <c r="SC71" s="1" t="s">
        <v>54856</v>
      </c>
      <c r="SD71" s="1" t="s">
        <v>54857</v>
      </c>
      <c r="SE71" s="1" t="s">
        <v>54858</v>
      </c>
      <c r="SF71" s="1" t="s">
        <v>54859</v>
      </c>
      <c r="SG71" s="1" t="s">
        <v>54860</v>
      </c>
      <c r="SH71" s="1" t="s">
        <v>54861</v>
      </c>
      <c r="SI71" s="1" t="s">
        <v>54862</v>
      </c>
      <c r="SJ71" s="1" t="s">
        <v>54863</v>
      </c>
      <c r="SK71" s="1" t="s">
        <v>54864</v>
      </c>
      <c r="SL71" s="1" t="s">
        <v>54865</v>
      </c>
      <c r="SM71" s="1" t="s">
        <v>54866</v>
      </c>
      <c r="SN71" s="1" t="s">
        <v>54867</v>
      </c>
      <c r="SO71" s="1" t="s">
        <v>54868</v>
      </c>
      <c r="SP71" s="1" t="s">
        <v>54869</v>
      </c>
      <c r="SQ71" s="1" t="s">
        <v>54870</v>
      </c>
      <c r="SR71" s="1" t="s">
        <v>54871</v>
      </c>
      <c r="SS71" s="1" t="s">
        <v>54872</v>
      </c>
      <c r="ST71" s="1" t="s">
        <v>54873</v>
      </c>
      <c r="SU71" s="1" t="s">
        <v>54874</v>
      </c>
      <c r="SV71" s="1" t="s">
        <v>54875</v>
      </c>
      <c r="SW71" s="1" t="s">
        <v>54876</v>
      </c>
      <c r="SX71" s="1" t="s">
        <v>54877</v>
      </c>
      <c r="SY71" s="1" t="s">
        <v>54878</v>
      </c>
      <c r="SZ71" s="1" t="s">
        <v>54879</v>
      </c>
      <c r="TA71" s="1" t="s">
        <v>54880</v>
      </c>
      <c r="TB71" s="1" t="s">
        <v>54881</v>
      </c>
      <c r="TC71" s="1" t="s">
        <v>54882</v>
      </c>
      <c r="TD71" s="1" t="s">
        <v>54883</v>
      </c>
      <c r="TE71" s="1" t="s">
        <v>54884</v>
      </c>
      <c r="TF71" s="1" t="s">
        <v>54885</v>
      </c>
      <c r="TG71" s="1" t="s">
        <v>54886</v>
      </c>
      <c r="TH71" s="1" t="s">
        <v>54887</v>
      </c>
      <c r="TI71" s="1" t="s">
        <v>54888</v>
      </c>
      <c r="TJ71" s="1" t="s">
        <v>54889</v>
      </c>
      <c r="TK71" s="1" t="s">
        <v>54890</v>
      </c>
      <c r="TL71" s="1" t="s">
        <v>54891</v>
      </c>
      <c r="TM71" s="1" t="s">
        <v>54892</v>
      </c>
      <c r="TN71" s="1" t="s">
        <v>54893</v>
      </c>
      <c r="TO71" s="1" t="s">
        <v>54894</v>
      </c>
      <c r="TP71" s="1" t="s">
        <v>54895</v>
      </c>
      <c r="TQ71" s="1" t="s">
        <v>54896</v>
      </c>
      <c r="TR71" s="1" t="s">
        <v>54897</v>
      </c>
      <c r="TS71" s="1" t="s">
        <v>54898</v>
      </c>
      <c r="TT71" s="1" t="s">
        <v>54899</v>
      </c>
      <c r="TU71" s="1" t="s">
        <v>54900</v>
      </c>
      <c r="TV71" s="1" t="s">
        <v>54901</v>
      </c>
      <c r="TW71" s="1" t="s">
        <v>54902</v>
      </c>
      <c r="TX71" s="1" t="s">
        <v>54903</v>
      </c>
      <c r="TY71" s="1" t="s">
        <v>54904</v>
      </c>
      <c r="TZ71" s="1" t="s">
        <v>54905</v>
      </c>
      <c r="UA71" s="1" t="s">
        <v>54906</v>
      </c>
      <c r="UB71" s="1" t="s">
        <v>54907</v>
      </c>
      <c r="UC71" s="1" t="s">
        <v>54908</v>
      </c>
      <c r="UD71" s="1" t="s">
        <v>54909</v>
      </c>
      <c r="UE71" s="1" t="s">
        <v>54910</v>
      </c>
      <c r="UF71" s="1" t="s">
        <v>54911</v>
      </c>
      <c r="UG71" s="1" t="s">
        <v>54912</v>
      </c>
      <c r="UH71" s="1" t="s">
        <v>54913</v>
      </c>
      <c r="UI71" s="1" t="s">
        <v>54914</v>
      </c>
      <c r="UJ71" s="1" t="s">
        <v>54915</v>
      </c>
      <c r="UK71" s="1" t="s">
        <v>54916</v>
      </c>
      <c r="UL71" s="1" t="s">
        <v>54917</v>
      </c>
      <c r="UM71" s="1" t="s">
        <v>54918</v>
      </c>
      <c r="UN71" s="1" t="s">
        <v>54919</v>
      </c>
      <c r="UO71" s="1" t="s">
        <v>54920</v>
      </c>
      <c r="UP71" s="1" t="s">
        <v>54921</v>
      </c>
      <c r="UQ71" s="1" t="s">
        <v>54922</v>
      </c>
      <c r="UR71" s="1" t="s">
        <v>54923</v>
      </c>
      <c r="US71" s="1" t="s">
        <v>54924</v>
      </c>
      <c r="UT71" s="1" t="s">
        <v>54925</v>
      </c>
      <c r="UU71" s="1" t="s">
        <v>54926</v>
      </c>
      <c r="UV71" s="1" t="s">
        <v>54927</v>
      </c>
      <c r="UW71" s="1" t="s">
        <v>54928</v>
      </c>
      <c r="UX71" s="1" t="s">
        <v>54929</v>
      </c>
      <c r="UY71" s="1" t="s">
        <v>54930</v>
      </c>
      <c r="UZ71" s="1" t="s">
        <v>54931</v>
      </c>
      <c r="VA71" s="1" t="s">
        <v>54932</v>
      </c>
      <c r="VB71" s="1" t="s">
        <v>54933</v>
      </c>
      <c r="VC71" s="1" t="s">
        <v>54934</v>
      </c>
      <c r="VD71" s="1" t="s">
        <v>54935</v>
      </c>
      <c r="VE71" s="1" t="s">
        <v>54936</v>
      </c>
      <c r="VF71" s="1" t="s">
        <v>54937</v>
      </c>
      <c r="VG71" s="1" t="s">
        <v>54938</v>
      </c>
      <c r="VH71" s="1" t="s">
        <v>54939</v>
      </c>
      <c r="VI71" s="1" t="s">
        <v>54940</v>
      </c>
      <c r="VJ71" s="1" t="s">
        <v>54941</v>
      </c>
      <c r="VK71" s="1" t="s">
        <v>54942</v>
      </c>
      <c r="VL71" s="1" t="s">
        <v>54943</v>
      </c>
      <c r="VM71" s="1" t="s">
        <v>54944</v>
      </c>
      <c r="VN71" s="1" t="s">
        <v>54945</v>
      </c>
      <c r="VO71" s="1" t="s">
        <v>54946</v>
      </c>
      <c r="VP71" s="1" t="s">
        <v>54947</v>
      </c>
      <c r="VQ71" s="1" t="s">
        <v>54948</v>
      </c>
      <c r="VR71" s="1" t="s">
        <v>54949</v>
      </c>
      <c r="VS71" s="1" t="s">
        <v>54950</v>
      </c>
      <c r="VT71" s="1" t="s">
        <v>54951</v>
      </c>
      <c r="VU71" s="1" t="s">
        <v>54952</v>
      </c>
      <c r="VV71" s="1" t="s">
        <v>54953</v>
      </c>
      <c r="VW71" s="1" t="s">
        <v>54954</v>
      </c>
      <c r="VX71" s="1" t="s">
        <v>54955</v>
      </c>
      <c r="VY71" s="1" t="s">
        <v>54956</v>
      </c>
      <c r="VZ71" s="1" t="s">
        <v>54957</v>
      </c>
      <c r="WA71" s="1" t="s">
        <v>54958</v>
      </c>
      <c r="WB71" s="1" t="s">
        <v>54959</v>
      </c>
      <c r="WC71" s="1" t="s">
        <v>54960</v>
      </c>
      <c r="WD71" s="1" t="s">
        <v>54961</v>
      </c>
      <c r="WE71" s="1" t="s">
        <v>54962</v>
      </c>
      <c r="WF71" s="1" t="s">
        <v>54963</v>
      </c>
      <c r="WG71" s="1" t="s">
        <v>54964</v>
      </c>
      <c r="WH71" s="1" t="s">
        <v>54965</v>
      </c>
      <c r="WI71" s="1" t="s">
        <v>54966</v>
      </c>
      <c r="WJ71" s="1" t="s">
        <v>54967</v>
      </c>
      <c r="WK71" s="1" t="s">
        <v>54968</v>
      </c>
      <c r="WL71" s="1" t="s">
        <v>54969</v>
      </c>
      <c r="WM71" s="1" t="s">
        <v>54970</v>
      </c>
      <c r="WN71" s="1" t="s">
        <v>54971</v>
      </c>
      <c r="WO71" s="1" t="s">
        <v>54972</v>
      </c>
      <c r="WP71" s="1" t="s">
        <v>54973</v>
      </c>
      <c r="WQ71" s="1" t="s">
        <v>54974</v>
      </c>
      <c r="WR71" s="1" t="s">
        <v>54975</v>
      </c>
      <c r="WS71" s="1" t="s">
        <v>54976</v>
      </c>
      <c r="WT71" s="1" t="s">
        <v>54977</v>
      </c>
      <c r="WU71" s="1" t="s">
        <v>54978</v>
      </c>
      <c r="WV71" s="1" t="s">
        <v>54979</v>
      </c>
      <c r="WW71" s="1" t="s">
        <v>54980</v>
      </c>
      <c r="WX71" s="1" t="s">
        <v>54981</v>
      </c>
      <c r="WY71" s="1" t="s">
        <v>54982</v>
      </c>
      <c r="WZ71" s="1" t="s">
        <v>54983</v>
      </c>
      <c r="XA71" s="1" t="s">
        <v>54984</v>
      </c>
      <c r="XB71" s="1" t="s">
        <v>54985</v>
      </c>
      <c r="XC71" s="1" t="s">
        <v>54986</v>
      </c>
      <c r="XD71" s="1" t="s">
        <v>54987</v>
      </c>
      <c r="XE71" s="1" t="s">
        <v>54988</v>
      </c>
      <c r="XF71" s="1" t="s">
        <v>54989</v>
      </c>
      <c r="XG71" s="1" t="s">
        <v>54990</v>
      </c>
      <c r="XH71" s="1" t="s">
        <v>54991</v>
      </c>
      <c r="XI71" s="1" t="s">
        <v>54992</v>
      </c>
      <c r="XJ71" s="1" t="s">
        <v>54993</v>
      </c>
      <c r="XK71" s="1" t="s">
        <v>54994</v>
      </c>
      <c r="XL71" s="1" t="s">
        <v>54995</v>
      </c>
      <c r="XM71" s="1" t="s">
        <v>54996</v>
      </c>
      <c r="XN71" s="1" t="s">
        <v>54997</v>
      </c>
      <c r="XO71" s="1" t="s">
        <v>54998</v>
      </c>
      <c r="XP71" s="1" t="s">
        <v>54999</v>
      </c>
      <c r="XQ71" s="1" t="s">
        <v>55000</v>
      </c>
      <c r="XR71" s="1" t="s">
        <v>55001</v>
      </c>
      <c r="XS71" s="1" t="s">
        <v>55002</v>
      </c>
      <c r="XT71" s="1" t="s">
        <v>55003</v>
      </c>
      <c r="XU71" s="1" t="s">
        <v>55004</v>
      </c>
      <c r="XV71" s="1" t="s">
        <v>55005</v>
      </c>
      <c r="XW71" s="1" t="s">
        <v>55006</v>
      </c>
      <c r="XX71" s="1" t="s">
        <v>55007</v>
      </c>
      <c r="XY71" s="1" t="s">
        <v>55008</v>
      </c>
      <c r="XZ71" s="1" t="s">
        <v>55009</v>
      </c>
      <c r="YA71" s="1" t="s">
        <v>55010</v>
      </c>
      <c r="YB71" s="1" t="s">
        <v>55011</v>
      </c>
      <c r="YC71" s="1" t="s">
        <v>55012</v>
      </c>
      <c r="YD71" s="1" t="s">
        <v>55013</v>
      </c>
      <c r="YE71" s="1" t="s">
        <v>55014</v>
      </c>
      <c r="YF71" s="1" t="s">
        <v>55015</v>
      </c>
      <c r="YG71" s="1" t="s">
        <v>55016</v>
      </c>
      <c r="YH71" s="1" t="s">
        <v>55017</v>
      </c>
      <c r="YI71" s="1" t="s">
        <v>55018</v>
      </c>
      <c r="YJ71" s="1" t="s">
        <v>55019</v>
      </c>
      <c r="YK71" s="1" t="s">
        <v>55020</v>
      </c>
      <c r="YL71" s="1" t="s">
        <v>55021</v>
      </c>
      <c r="YM71" s="1" t="s">
        <v>55022</v>
      </c>
      <c r="YN71" s="1" t="s">
        <v>55023</v>
      </c>
      <c r="YO71" s="1" t="s">
        <v>55024</v>
      </c>
      <c r="YP71" s="1" t="s">
        <v>55025</v>
      </c>
      <c r="YQ71" s="1" t="s">
        <v>55026</v>
      </c>
      <c r="YR71" s="1" t="s">
        <v>55027</v>
      </c>
      <c r="YS71" s="1" t="s">
        <v>55028</v>
      </c>
      <c r="YT71" s="1" t="s">
        <v>55029</v>
      </c>
      <c r="YU71" s="1" t="s">
        <v>55030</v>
      </c>
      <c r="YV71" s="1" t="s">
        <v>55031</v>
      </c>
      <c r="YW71" s="1" t="s">
        <v>55032</v>
      </c>
      <c r="YX71" s="1" t="s">
        <v>55033</v>
      </c>
      <c r="YY71" s="1" t="s">
        <v>55034</v>
      </c>
      <c r="YZ71" s="1" t="s">
        <v>55035</v>
      </c>
      <c r="ZA71" s="1" t="s">
        <v>55036</v>
      </c>
      <c r="ZB71" s="1" t="s">
        <v>55037</v>
      </c>
      <c r="ZC71" s="1" t="s">
        <v>55038</v>
      </c>
      <c r="ZD71" s="1" t="s">
        <v>55039</v>
      </c>
      <c r="ZE71" s="1" t="s">
        <v>55040</v>
      </c>
      <c r="ZF71" s="1" t="s">
        <v>55041</v>
      </c>
      <c r="ZG71" s="1" t="s">
        <v>55042</v>
      </c>
      <c r="ZH71" s="1" t="s">
        <v>55043</v>
      </c>
      <c r="ZI71" s="1" t="s">
        <v>55044</v>
      </c>
      <c r="ZJ71" s="1" t="s">
        <v>55045</v>
      </c>
      <c r="ZK71" s="1" t="s">
        <v>55046</v>
      </c>
      <c r="ZL71" s="1" t="s">
        <v>55047</v>
      </c>
      <c r="ZM71" s="1" t="s">
        <v>55048</v>
      </c>
      <c r="ZN71" s="1" t="s">
        <v>55049</v>
      </c>
      <c r="ZO71" s="1" t="s">
        <v>55050</v>
      </c>
      <c r="ZP71" s="1" t="s">
        <v>55051</v>
      </c>
      <c r="ZQ71" s="1" t="s">
        <v>55052</v>
      </c>
      <c r="ZR71" s="1" t="s">
        <v>55053</v>
      </c>
      <c r="ZS71" s="1" t="s">
        <v>55054</v>
      </c>
      <c r="ZT71" s="1" t="s">
        <v>55055</v>
      </c>
      <c r="ZU71" s="1" t="s">
        <v>55056</v>
      </c>
      <c r="ZV71" s="1" t="s">
        <v>55057</v>
      </c>
      <c r="ZW71" s="1" t="s">
        <v>55058</v>
      </c>
      <c r="ZX71" s="1" t="s">
        <v>55059</v>
      </c>
      <c r="ZY71" s="1" t="s">
        <v>55060</v>
      </c>
      <c r="ZZ71" s="1" t="s">
        <v>55061</v>
      </c>
      <c r="AAA71" s="1" t="s">
        <v>55062</v>
      </c>
      <c r="AAB71" s="1" t="s">
        <v>55063</v>
      </c>
      <c r="AAC71" s="1" t="s">
        <v>55064</v>
      </c>
      <c r="AAD71" s="1" t="s">
        <v>55065</v>
      </c>
      <c r="AAE71" s="1" t="s">
        <v>55066</v>
      </c>
      <c r="AAF71" s="1" t="s">
        <v>55067</v>
      </c>
      <c r="AAG71" s="1" t="s">
        <v>55068</v>
      </c>
      <c r="AAH71" s="1" t="s">
        <v>55069</v>
      </c>
      <c r="AAI71" s="1" t="s">
        <v>55070</v>
      </c>
      <c r="AAJ71" s="1" t="s">
        <v>55071</v>
      </c>
      <c r="AAK71" s="1" t="s">
        <v>55072</v>
      </c>
      <c r="AAL71" s="1" t="s">
        <v>55073</v>
      </c>
      <c r="AAM71" s="1" t="s">
        <v>55074</v>
      </c>
      <c r="AAN71" s="1" t="s">
        <v>55075</v>
      </c>
      <c r="AAO71" s="1" t="s">
        <v>55076</v>
      </c>
      <c r="AAP71" s="1" t="s">
        <v>55077</v>
      </c>
      <c r="AAQ71" s="1" t="s">
        <v>55078</v>
      </c>
      <c r="AAR71" s="1" t="s">
        <v>55079</v>
      </c>
      <c r="AAS71" s="1" t="s">
        <v>55080</v>
      </c>
      <c r="AAT71" s="1" t="s">
        <v>55081</v>
      </c>
      <c r="AAU71" s="1" t="s">
        <v>55082</v>
      </c>
      <c r="AAV71" s="1" t="s">
        <v>55083</v>
      </c>
      <c r="AAW71" s="1" t="s">
        <v>55084</v>
      </c>
      <c r="AAX71" s="1" t="s">
        <v>55085</v>
      </c>
      <c r="AAY71" s="1" t="s">
        <v>55086</v>
      </c>
      <c r="AAZ71" s="1" t="s">
        <v>55087</v>
      </c>
      <c r="ABA71" s="1" t="s">
        <v>55088</v>
      </c>
      <c r="ABB71" s="1" t="s">
        <v>55089</v>
      </c>
      <c r="ABC71" s="1" t="s">
        <v>55090</v>
      </c>
      <c r="ABD71" s="1" t="s">
        <v>55091</v>
      </c>
      <c r="ABE71" s="1" t="s">
        <v>55092</v>
      </c>
      <c r="ABF71" s="1" t="s">
        <v>55093</v>
      </c>
      <c r="ABG71" s="1" t="s">
        <v>55094</v>
      </c>
      <c r="ABH71" s="1" t="s">
        <v>55095</v>
      </c>
      <c r="ABI71" s="1" t="s">
        <v>55096</v>
      </c>
      <c r="ABJ71" s="1" t="s">
        <v>55097</v>
      </c>
      <c r="ABK71" s="1" t="s">
        <v>55098</v>
      </c>
      <c r="ABL71" s="1" t="s">
        <v>55099</v>
      </c>
      <c r="ABM71" s="1" t="s">
        <v>55100</v>
      </c>
      <c r="ABN71" s="1" t="s">
        <v>55101</v>
      </c>
      <c r="ABO71" s="1" t="s">
        <v>55102</v>
      </c>
      <c r="ABP71" s="1" t="s">
        <v>55103</v>
      </c>
      <c r="ABQ71" s="1" t="s">
        <v>55104</v>
      </c>
      <c r="ABR71" s="1" t="s">
        <v>55105</v>
      </c>
      <c r="ABS71" s="1" t="s">
        <v>55106</v>
      </c>
      <c r="ABT71" s="1" t="s">
        <v>55107</v>
      </c>
      <c r="ABU71" s="1" t="s">
        <v>55108</v>
      </c>
      <c r="ABV71" s="1" t="s">
        <v>55109</v>
      </c>
      <c r="ABW71" s="1" t="s">
        <v>55110</v>
      </c>
      <c r="ABX71" s="1" t="s">
        <v>55111</v>
      </c>
      <c r="ABY71" s="1" t="s">
        <v>55112</v>
      </c>
      <c r="ABZ71" s="1" t="s">
        <v>55113</v>
      </c>
      <c r="ACA71" s="1" t="s">
        <v>55114</v>
      </c>
      <c r="ACB71" s="1" t="s">
        <v>55115</v>
      </c>
      <c r="ACC71" s="1" t="s">
        <v>55116</v>
      </c>
      <c r="ACD71" s="1" t="s">
        <v>55117</v>
      </c>
      <c r="ACE71" s="1" t="s">
        <v>55118</v>
      </c>
      <c r="ACF71" s="1" t="s">
        <v>55119</v>
      </c>
      <c r="ACG71" s="1" t="s">
        <v>55120</v>
      </c>
      <c r="ACH71" s="1" t="s">
        <v>55121</v>
      </c>
      <c r="ACI71" s="1" t="s">
        <v>55122</v>
      </c>
      <c r="ACJ71" s="1" t="s">
        <v>55123</v>
      </c>
      <c r="ACK71" s="1" t="s">
        <v>55124</v>
      </c>
      <c r="ACL71" s="1" t="s">
        <v>55125</v>
      </c>
      <c r="ACM71" s="1" t="s">
        <v>55126</v>
      </c>
      <c r="ACN71" s="1" t="s">
        <v>55127</v>
      </c>
      <c r="ACO71" s="1" t="s">
        <v>55128</v>
      </c>
      <c r="ACP71" s="1" t="s">
        <v>55129</v>
      </c>
      <c r="ACQ71" s="1" t="s">
        <v>55130</v>
      </c>
      <c r="ACR71" s="1" t="s">
        <v>55131</v>
      </c>
      <c r="ACS71" s="1" t="s">
        <v>55132</v>
      </c>
      <c r="ACT71" s="1" t="s">
        <v>55133</v>
      </c>
      <c r="ACU71" s="1" t="s">
        <v>55134</v>
      </c>
      <c r="ACV71" s="1" t="s">
        <v>55135</v>
      </c>
      <c r="ACW71" s="1" t="s">
        <v>12</v>
      </c>
      <c r="ACX71" s="1" t="s">
        <v>1500</v>
      </c>
    </row>
    <row r="72" spans="1:778" x14ac:dyDescent="0.2">
      <c r="A72" s="1" t="s">
        <v>56</v>
      </c>
      <c r="B72" s="1" t="s">
        <v>55136</v>
      </c>
      <c r="C72" s="1" t="s">
        <v>55137</v>
      </c>
      <c r="D72" s="1" t="s">
        <v>55138</v>
      </c>
      <c r="E72" s="1" t="s">
        <v>55139</v>
      </c>
      <c r="F72" s="1" t="s">
        <v>55140</v>
      </c>
      <c r="G72" s="1" t="s">
        <v>55141</v>
      </c>
      <c r="H72" s="1" t="s">
        <v>55142</v>
      </c>
      <c r="I72" s="1" t="s">
        <v>55143</v>
      </c>
      <c r="J72" s="1" t="s">
        <v>55144</v>
      </c>
      <c r="K72" s="1" t="s">
        <v>55145</v>
      </c>
      <c r="L72" s="1" t="s">
        <v>55146</v>
      </c>
      <c r="M72" s="1" t="s">
        <v>55147</v>
      </c>
      <c r="N72" s="1" t="s">
        <v>55148</v>
      </c>
      <c r="O72" s="1" t="s">
        <v>55149</v>
      </c>
      <c r="P72" s="1" t="s">
        <v>55150</v>
      </c>
      <c r="Q72" s="1" t="s">
        <v>55151</v>
      </c>
      <c r="R72" s="1" t="s">
        <v>55152</v>
      </c>
      <c r="S72" s="1" t="s">
        <v>55153</v>
      </c>
      <c r="T72" s="1" t="s">
        <v>55154</v>
      </c>
      <c r="U72" s="1" t="s">
        <v>55155</v>
      </c>
      <c r="V72" s="1" t="s">
        <v>55156</v>
      </c>
      <c r="W72" s="1" t="s">
        <v>55157</v>
      </c>
      <c r="X72" s="1" t="s">
        <v>55158</v>
      </c>
      <c r="Y72" s="1" t="s">
        <v>55159</v>
      </c>
      <c r="Z72" s="1" t="s">
        <v>55160</v>
      </c>
      <c r="AA72" s="1" t="s">
        <v>55161</v>
      </c>
      <c r="AB72" s="1" t="s">
        <v>55162</v>
      </c>
      <c r="AC72" s="1" t="s">
        <v>55163</v>
      </c>
      <c r="AD72" s="1" t="s">
        <v>55164</v>
      </c>
      <c r="AE72" s="1" t="s">
        <v>55165</v>
      </c>
      <c r="AF72" s="1" t="s">
        <v>55166</v>
      </c>
      <c r="AG72" s="1" t="s">
        <v>55167</v>
      </c>
      <c r="AH72" s="1" t="s">
        <v>55168</v>
      </c>
      <c r="AI72" s="1" t="s">
        <v>55169</v>
      </c>
      <c r="AJ72" s="1" t="s">
        <v>55170</v>
      </c>
      <c r="AK72" s="1" t="s">
        <v>55171</v>
      </c>
      <c r="AL72" s="1" t="s">
        <v>55172</v>
      </c>
      <c r="AM72" s="1" t="s">
        <v>55173</v>
      </c>
      <c r="AN72" s="1" t="s">
        <v>55174</v>
      </c>
      <c r="AO72" s="1" t="s">
        <v>55175</v>
      </c>
      <c r="AP72" s="1" t="s">
        <v>55176</v>
      </c>
      <c r="AQ72" s="1" t="s">
        <v>55177</v>
      </c>
      <c r="AR72" s="1" t="s">
        <v>55178</v>
      </c>
      <c r="AS72" s="1" t="s">
        <v>55179</v>
      </c>
      <c r="AT72" s="1" t="s">
        <v>55180</v>
      </c>
      <c r="AU72" s="1" t="s">
        <v>55181</v>
      </c>
      <c r="AV72" s="1" t="s">
        <v>55182</v>
      </c>
      <c r="AW72" s="1" t="s">
        <v>55183</v>
      </c>
      <c r="AX72" s="1" t="s">
        <v>55184</v>
      </c>
      <c r="AY72" s="1" t="s">
        <v>55185</v>
      </c>
      <c r="AZ72" s="1" t="s">
        <v>55186</v>
      </c>
      <c r="BA72" s="1" t="s">
        <v>55187</v>
      </c>
      <c r="BB72" s="1" t="s">
        <v>55188</v>
      </c>
      <c r="BC72" s="1" t="s">
        <v>55189</v>
      </c>
      <c r="BD72" s="1" t="s">
        <v>55190</v>
      </c>
      <c r="BE72" s="1" t="s">
        <v>55191</v>
      </c>
      <c r="BF72" s="1" t="s">
        <v>55192</v>
      </c>
      <c r="BG72" s="1" t="s">
        <v>55193</v>
      </c>
      <c r="BH72" s="1" t="s">
        <v>55194</v>
      </c>
      <c r="BI72" s="1" t="s">
        <v>55195</v>
      </c>
      <c r="BJ72" s="1" t="s">
        <v>55196</v>
      </c>
      <c r="BK72" s="1" t="s">
        <v>55197</v>
      </c>
      <c r="BL72" s="1" t="s">
        <v>55198</v>
      </c>
      <c r="BM72" s="1" t="s">
        <v>55199</v>
      </c>
      <c r="BN72" s="1" t="s">
        <v>55200</v>
      </c>
      <c r="BO72" s="1" t="s">
        <v>55201</v>
      </c>
      <c r="BP72" s="1" t="s">
        <v>55202</v>
      </c>
      <c r="BQ72" s="1" t="s">
        <v>55203</v>
      </c>
      <c r="BR72" s="1" t="s">
        <v>55204</v>
      </c>
      <c r="BS72" s="1" t="s">
        <v>55205</v>
      </c>
      <c r="BT72" s="1" t="s">
        <v>55206</v>
      </c>
      <c r="BU72" s="1" t="s">
        <v>55207</v>
      </c>
      <c r="BV72" s="1" t="s">
        <v>55208</v>
      </c>
      <c r="BW72" s="1" t="s">
        <v>55209</v>
      </c>
      <c r="BX72" s="1" t="s">
        <v>55210</v>
      </c>
      <c r="BY72" s="1" t="s">
        <v>55211</v>
      </c>
      <c r="BZ72" s="1" t="s">
        <v>55212</v>
      </c>
      <c r="CA72" s="1" t="s">
        <v>55213</v>
      </c>
      <c r="CB72" s="1" t="s">
        <v>55214</v>
      </c>
      <c r="CC72" s="1" t="s">
        <v>55215</v>
      </c>
      <c r="CD72" s="1" t="s">
        <v>55216</v>
      </c>
      <c r="CE72" s="1" t="s">
        <v>55217</v>
      </c>
      <c r="CF72" s="1" t="s">
        <v>55218</v>
      </c>
      <c r="CG72" s="1" t="s">
        <v>55219</v>
      </c>
      <c r="CH72" s="1" t="s">
        <v>55220</v>
      </c>
      <c r="CI72" s="1" t="s">
        <v>55221</v>
      </c>
      <c r="CJ72" s="1" t="s">
        <v>55222</v>
      </c>
      <c r="CK72" s="1" t="s">
        <v>55223</v>
      </c>
      <c r="CL72" s="1" t="s">
        <v>55224</v>
      </c>
      <c r="CM72" s="1" t="s">
        <v>55225</v>
      </c>
      <c r="CN72" s="1" t="s">
        <v>55226</v>
      </c>
      <c r="CO72" s="1" t="s">
        <v>55227</v>
      </c>
      <c r="CP72" s="1" t="s">
        <v>55228</v>
      </c>
      <c r="CQ72" s="1" t="s">
        <v>55229</v>
      </c>
      <c r="CR72" s="1" t="s">
        <v>55230</v>
      </c>
      <c r="CS72" s="1" t="s">
        <v>55231</v>
      </c>
      <c r="CT72" s="1" t="s">
        <v>55232</v>
      </c>
      <c r="CU72" s="1" t="s">
        <v>55233</v>
      </c>
      <c r="CV72" s="1" t="s">
        <v>55234</v>
      </c>
      <c r="CW72" s="1" t="s">
        <v>55235</v>
      </c>
      <c r="CX72" s="1" t="s">
        <v>55236</v>
      </c>
      <c r="CY72" s="1" t="s">
        <v>55237</v>
      </c>
      <c r="CZ72" s="1" t="s">
        <v>55238</v>
      </c>
      <c r="DA72" s="1" t="s">
        <v>55239</v>
      </c>
      <c r="DB72" s="1" t="s">
        <v>55240</v>
      </c>
      <c r="DC72" s="1" t="s">
        <v>55241</v>
      </c>
      <c r="DD72" s="1" t="s">
        <v>55242</v>
      </c>
      <c r="DE72" s="1" t="s">
        <v>55243</v>
      </c>
      <c r="DF72" s="1" t="s">
        <v>55244</v>
      </c>
      <c r="DG72" s="1" t="s">
        <v>55245</v>
      </c>
      <c r="DH72" s="1" t="s">
        <v>55246</v>
      </c>
      <c r="DI72" s="1" t="s">
        <v>55247</v>
      </c>
      <c r="DJ72" s="1" t="s">
        <v>55248</v>
      </c>
      <c r="DK72" s="1" t="s">
        <v>55249</v>
      </c>
      <c r="DL72" s="1" t="s">
        <v>55250</v>
      </c>
      <c r="DM72" s="1" t="s">
        <v>55251</v>
      </c>
      <c r="DN72" s="1" t="s">
        <v>55252</v>
      </c>
      <c r="DO72" s="1" t="s">
        <v>55253</v>
      </c>
      <c r="DP72" s="1" t="s">
        <v>55254</v>
      </c>
      <c r="DQ72" s="1" t="s">
        <v>55255</v>
      </c>
      <c r="DR72" s="1" t="s">
        <v>55256</v>
      </c>
      <c r="DS72" s="1" t="s">
        <v>55257</v>
      </c>
      <c r="DT72" s="1" t="s">
        <v>55258</v>
      </c>
      <c r="DU72" s="1" t="s">
        <v>55259</v>
      </c>
      <c r="DV72" s="1" t="s">
        <v>55260</v>
      </c>
      <c r="DW72" s="1" t="s">
        <v>55261</v>
      </c>
      <c r="DX72" s="1" t="s">
        <v>55262</v>
      </c>
      <c r="DY72" s="1" t="s">
        <v>55263</v>
      </c>
      <c r="DZ72" s="1" t="s">
        <v>55264</v>
      </c>
      <c r="EA72" s="1" t="s">
        <v>55265</v>
      </c>
      <c r="EB72" s="1" t="s">
        <v>55266</v>
      </c>
      <c r="EC72" s="1" t="s">
        <v>55267</v>
      </c>
      <c r="ED72" s="1" t="s">
        <v>55268</v>
      </c>
      <c r="EE72" s="1" t="s">
        <v>55269</v>
      </c>
      <c r="EF72" s="1" t="s">
        <v>55270</v>
      </c>
      <c r="EG72" s="1" t="s">
        <v>55271</v>
      </c>
      <c r="EH72" s="1" t="s">
        <v>55272</v>
      </c>
      <c r="EI72" s="1" t="s">
        <v>55273</v>
      </c>
      <c r="EJ72" s="1" t="s">
        <v>55274</v>
      </c>
      <c r="EK72" s="1" t="s">
        <v>55275</v>
      </c>
      <c r="EL72" s="1" t="s">
        <v>55276</v>
      </c>
      <c r="EM72" s="1" t="s">
        <v>55277</v>
      </c>
      <c r="EN72" s="1" t="s">
        <v>55278</v>
      </c>
      <c r="EO72" s="1" t="s">
        <v>55279</v>
      </c>
      <c r="EP72" s="1" t="s">
        <v>55280</v>
      </c>
      <c r="EQ72" s="1" t="s">
        <v>55281</v>
      </c>
      <c r="ER72" s="1" t="s">
        <v>55282</v>
      </c>
      <c r="ES72" s="1" t="s">
        <v>55283</v>
      </c>
      <c r="ET72" s="1" t="s">
        <v>55284</v>
      </c>
      <c r="EU72" s="1" t="s">
        <v>55285</v>
      </c>
      <c r="EV72" s="1" t="s">
        <v>55286</v>
      </c>
      <c r="EW72" s="1" t="s">
        <v>55287</v>
      </c>
      <c r="EX72" s="1" t="s">
        <v>55288</v>
      </c>
      <c r="EY72" s="1" t="s">
        <v>55289</v>
      </c>
      <c r="EZ72" s="1" t="s">
        <v>55290</v>
      </c>
      <c r="FA72" s="1" t="s">
        <v>55291</v>
      </c>
      <c r="FB72" s="1" t="s">
        <v>55292</v>
      </c>
      <c r="FC72" s="1" t="s">
        <v>55293</v>
      </c>
      <c r="FD72" s="1" t="s">
        <v>55294</v>
      </c>
      <c r="FE72" s="1" t="s">
        <v>55295</v>
      </c>
      <c r="FF72" s="1" t="s">
        <v>55296</v>
      </c>
      <c r="FG72" s="1" t="s">
        <v>55297</v>
      </c>
      <c r="FH72" s="1" t="s">
        <v>55298</v>
      </c>
      <c r="FI72" s="1" t="s">
        <v>55299</v>
      </c>
      <c r="FJ72" s="1" t="s">
        <v>55300</v>
      </c>
      <c r="FK72" s="1" t="s">
        <v>55301</v>
      </c>
      <c r="FL72" s="1" t="s">
        <v>55302</v>
      </c>
      <c r="FM72" s="1" t="s">
        <v>55303</v>
      </c>
      <c r="FN72" s="1" t="s">
        <v>55304</v>
      </c>
      <c r="FO72" s="1" t="s">
        <v>55305</v>
      </c>
      <c r="FP72" s="1" t="s">
        <v>55306</v>
      </c>
      <c r="FQ72" s="1" t="s">
        <v>55307</v>
      </c>
      <c r="FR72" s="1" t="s">
        <v>55308</v>
      </c>
      <c r="FS72" s="1" t="s">
        <v>55309</v>
      </c>
      <c r="FT72" s="1" t="s">
        <v>55310</v>
      </c>
      <c r="FU72" s="1" t="s">
        <v>55311</v>
      </c>
      <c r="FV72" s="1" t="s">
        <v>55312</v>
      </c>
      <c r="FW72" s="1" t="s">
        <v>55313</v>
      </c>
      <c r="FX72" s="1" t="s">
        <v>55314</v>
      </c>
      <c r="FY72" s="1" t="s">
        <v>55315</v>
      </c>
      <c r="FZ72" s="1" t="s">
        <v>55316</v>
      </c>
      <c r="GA72" s="1" t="s">
        <v>55317</v>
      </c>
      <c r="GB72" s="1" t="s">
        <v>55318</v>
      </c>
      <c r="GC72" s="1" t="s">
        <v>55319</v>
      </c>
      <c r="GD72" s="1" t="s">
        <v>55320</v>
      </c>
      <c r="GE72" s="1" t="s">
        <v>55321</v>
      </c>
      <c r="GF72" s="1" t="s">
        <v>55322</v>
      </c>
      <c r="GG72" s="1" t="s">
        <v>55323</v>
      </c>
      <c r="GH72" s="1" t="s">
        <v>55324</v>
      </c>
      <c r="GI72" s="1" t="s">
        <v>55325</v>
      </c>
      <c r="GJ72" s="1" t="s">
        <v>55326</v>
      </c>
      <c r="GK72" s="1" t="s">
        <v>55327</v>
      </c>
      <c r="GL72" s="1" t="s">
        <v>55328</v>
      </c>
      <c r="GM72" s="1" t="s">
        <v>55329</v>
      </c>
      <c r="GN72" s="1" t="s">
        <v>55330</v>
      </c>
      <c r="GO72" s="1" t="s">
        <v>55331</v>
      </c>
      <c r="GP72" s="1" t="s">
        <v>55332</v>
      </c>
      <c r="GQ72" s="1" t="s">
        <v>55333</v>
      </c>
      <c r="GR72" s="1" t="s">
        <v>55334</v>
      </c>
      <c r="GS72" s="1" t="s">
        <v>55335</v>
      </c>
      <c r="GT72" s="1" t="s">
        <v>55336</v>
      </c>
      <c r="GU72" s="1" t="s">
        <v>55337</v>
      </c>
      <c r="GV72" s="1" t="s">
        <v>55338</v>
      </c>
      <c r="GW72" s="1" t="s">
        <v>55339</v>
      </c>
      <c r="GX72" s="1" t="s">
        <v>55340</v>
      </c>
      <c r="GY72" s="1" t="s">
        <v>55341</v>
      </c>
      <c r="GZ72" s="1" t="s">
        <v>55342</v>
      </c>
      <c r="HA72" s="1" t="s">
        <v>55343</v>
      </c>
      <c r="HB72" s="1" t="s">
        <v>55344</v>
      </c>
      <c r="HC72" s="1" t="s">
        <v>55345</v>
      </c>
      <c r="HD72" s="1" t="s">
        <v>55346</v>
      </c>
      <c r="HE72" s="1" t="s">
        <v>55347</v>
      </c>
      <c r="HF72" s="1" t="s">
        <v>55348</v>
      </c>
      <c r="HG72" s="1" t="s">
        <v>55349</v>
      </c>
      <c r="HH72" s="1" t="s">
        <v>55350</v>
      </c>
      <c r="HI72" s="1" t="s">
        <v>55351</v>
      </c>
      <c r="HJ72" s="1" t="s">
        <v>55352</v>
      </c>
      <c r="HK72" s="1" t="s">
        <v>55353</v>
      </c>
      <c r="HL72" s="1" t="s">
        <v>55354</v>
      </c>
      <c r="HM72" s="1" t="s">
        <v>55355</v>
      </c>
      <c r="HN72" s="1" t="s">
        <v>55356</v>
      </c>
      <c r="HO72" s="1" t="s">
        <v>55357</v>
      </c>
      <c r="HP72" s="1" t="s">
        <v>55358</v>
      </c>
      <c r="HQ72" s="1" t="s">
        <v>55359</v>
      </c>
      <c r="HR72" s="1" t="s">
        <v>55360</v>
      </c>
      <c r="HS72" s="1" t="s">
        <v>55361</v>
      </c>
      <c r="HT72" s="1" t="s">
        <v>55362</v>
      </c>
      <c r="HU72" s="1" t="s">
        <v>55363</v>
      </c>
      <c r="HV72" s="1" t="s">
        <v>55364</v>
      </c>
      <c r="HW72" s="1" t="s">
        <v>55365</v>
      </c>
      <c r="HX72" s="1" t="s">
        <v>55366</v>
      </c>
      <c r="HY72" s="1" t="s">
        <v>55367</v>
      </c>
      <c r="HZ72" s="1" t="s">
        <v>55368</v>
      </c>
      <c r="IA72" s="1" t="s">
        <v>55369</v>
      </c>
      <c r="IB72" s="1" t="s">
        <v>55370</v>
      </c>
      <c r="IC72" s="1" t="s">
        <v>55371</v>
      </c>
      <c r="ID72" s="1" t="s">
        <v>55372</v>
      </c>
      <c r="IE72" s="1" t="s">
        <v>55373</v>
      </c>
      <c r="IF72" s="1" t="s">
        <v>55374</v>
      </c>
      <c r="IG72" s="1" t="s">
        <v>55375</v>
      </c>
      <c r="IH72" s="1" t="s">
        <v>55376</v>
      </c>
      <c r="II72" s="1" t="s">
        <v>55377</v>
      </c>
      <c r="IJ72" s="1" t="s">
        <v>55378</v>
      </c>
      <c r="IK72" s="1" t="s">
        <v>55379</v>
      </c>
      <c r="IL72" s="1" t="s">
        <v>55380</v>
      </c>
      <c r="IM72" s="1" t="s">
        <v>55381</v>
      </c>
      <c r="IN72" s="1" t="s">
        <v>55382</v>
      </c>
      <c r="IO72" s="1" t="s">
        <v>55383</v>
      </c>
      <c r="IP72" s="1" t="s">
        <v>55384</v>
      </c>
      <c r="IQ72" s="1" t="s">
        <v>55385</v>
      </c>
      <c r="IR72" s="1" t="s">
        <v>55386</v>
      </c>
      <c r="IS72" s="1" t="s">
        <v>55387</v>
      </c>
      <c r="IT72" s="1" t="s">
        <v>55388</v>
      </c>
      <c r="IU72" s="1" t="s">
        <v>55389</v>
      </c>
      <c r="IV72" s="1" t="s">
        <v>55390</v>
      </c>
      <c r="IW72" s="1" t="s">
        <v>55391</v>
      </c>
      <c r="IX72" s="1" t="s">
        <v>55392</v>
      </c>
      <c r="IY72" s="1" t="s">
        <v>55393</v>
      </c>
      <c r="IZ72" s="1" t="s">
        <v>55394</v>
      </c>
      <c r="JA72" s="1" t="s">
        <v>55395</v>
      </c>
      <c r="JB72" s="1" t="s">
        <v>55396</v>
      </c>
      <c r="JC72" s="1" t="s">
        <v>55397</v>
      </c>
      <c r="JD72" s="1" t="s">
        <v>55398</v>
      </c>
      <c r="JE72" s="1" t="s">
        <v>55399</v>
      </c>
      <c r="JF72" s="1" t="s">
        <v>55400</v>
      </c>
      <c r="JG72" s="1" t="s">
        <v>55401</v>
      </c>
      <c r="JH72" s="1" t="s">
        <v>55402</v>
      </c>
      <c r="JI72" s="1" t="s">
        <v>55403</v>
      </c>
      <c r="JJ72" s="1" t="s">
        <v>55404</v>
      </c>
      <c r="JK72" s="1" t="s">
        <v>55405</v>
      </c>
      <c r="JL72" s="1" t="s">
        <v>55406</v>
      </c>
      <c r="JM72" s="1" t="s">
        <v>55407</v>
      </c>
      <c r="JN72" s="1" t="s">
        <v>55408</v>
      </c>
      <c r="JO72" s="1" t="s">
        <v>55409</v>
      </c>
      <c r="JP72" s="1" t="s">
        <v>55410</v>
      </c>
      <c r="JQ72" s="1" t="s">
        <v>55411</v>
      </c>
      <c r="JR72" s="1" t="s">
        <v>55412</v>
      </c>
      <c r="JS72" s="1" t="s">
        <v>55413</v>
      </c>
      <c r="JT72" s="1" t="s">
        <v>55414</v>
      </c>
      <c r="JU72" s="1" t="s">
        <v>55415</v>
      </c>
      <c r="JV72" s="1" t="s">
        <v>55416</v>
      </c>
      <c r="JW72" s="1" t="s">
        <v>55417</v>
      </c>
      <c r="JX72" s="1" t="s">
        <v>55418</v>
      </c>
      <c r="JY72" s="1" t="s">
        <v>55419</v>
      </c>
      <c r="JZ72" s="1" t="s">
        <v>55420</v>
      </c>
      <c r="KA72" s="1" t="s">
        <v>55421</v>
      </c>
      <c r="KB72" s="1" t="s">
        <v>55422</v>
      </c>
      <c r="KC72" s="1" t="s">
        <v>55423</v>
      </c>
      <c r="KD72" s="1" t="s">
        <v>55424</v>
      </c>
      <c r="KE72" s="1" t="s">
        <v>55425</v>
      </c>
      <c r="KF72" s="1" t="s">
        <v>55426</v>
      </c>
      <c r="KG72" s="1" t="s">
        <v>55427</v>
      </c>
      <c r="KH72" s="1" t="s">
        <v>55428</v>
      </c>
      <c r="KI72" s="1" t="s">
        <v>55429</v>
      </c>
      <c r="KJ72" s="1" t="s">
        <v>55430</v>
      </c>
      <c r="KK72" s="1" t="s">
        <v>55431</v>
      </c>
      <c r="KL72" s="1" t="s">
        <v>55432</v>
      </c>
      <c r="KM72" s="1" t="s">
        <v>55433</v>
      </c>
      <c r="KN72" s="1" t="s">
        <v>55434</v>
      </c>
      <c r="KO72" s="1" t="s">
        <v>55435</v>
      </c>
      <c r="KP72" s="1" t="s">
        <v>55436</v>
      </c>
      <c r="KQ72" s="1" t="s">
        <v>55437</v>
      </c>
      <c r="KR72" s="1" t="s">
        <v>55438</v>
      </c>
      <c r="KS72" s="1" t="s">
        <v>55439</v>
      </c>
      <c r="KT72" s="1" t="s">
        <v>55440</v>
      </c>
      <c r="KU72" s="1" t="s">
        <v>55441</v>
      </c>
      <c r="KV72" s="1" t="s">
        <v>55442</v>
      </c>
      <c r="KW72" s="1" t="s">
        <v>55443</v>
      </c>
      <c r="KX72" s="1" t="s">
        <v>55444</v>
      </c>
      <c r="KY72" s="1" t="s">
        <v>55445</v>
      </c>
      <c r="KZ72" s="1" t="s">
        <v>55446</v>
      </c>
      <c r="LA72" s="1" t="s">
        <v>55447</v>
      </c>
      <c r="LB72" s="1" t="s">
        <v>55448</v>
      </c>
      <c r="LC72" s="1" t="s">
        <v>55449</v>
      </c>
      <c r="LD72" s="1" t="s">
        <v>55450</v>
      </c>
      <c r="LE72" s="1" t="s">
        <v>55451</v>
      </c>
      <c r="LF72" s="1" t="s">
        <v>55452</v>
      </c>
      <c r="LG72" s="1" t="s">
        <v>55453</v>
      </c>
      <c r="LH72" s="1" t="s">
        <v>55454</v>
      </c>
      <c r="LI72" s="1" t="s">
        <v>55455</v>
      </c>
      <c r="LJ72" s="1" t="s">
        <v>55456</v>
      </c>
      <c r="LK72" s="1" t="s">
        <v>55457</v>
      </c>
      <c r="LL72" s="1" t="s">
        <v>55458</v>
      </c>
      <c r="LM72" s="1" t="s">
        <v>55459</v>
      </c>
      <c r="LN72" s="1" t="s">
        <v>55460</v>
      </c>
      <c r="LO72" s="1" t="s">
        <v>55461</v>
      </c>
      <c r="LP72" s="1" t="s">
        <v>55462</v>
      </c>
      <c r="LQ72" s="1" t="s">
        <v>55463</v>
      </c>
      <c r="LR72" s="1" t="s">
        <v>55464</v>
      </c>
      <c r="LS72" s="1" t="s">
        <v>55465</v>
      </c>
      <c r="LT72" s="1" t="s">
        <v>55466</v>
      </c>
      <c r="LU72" s="1" t="s">
        <v>55467</v>
      </c>
      <c r="LV72" s="1" t="s">
        <v>55468</v>
      </c>
      <c r="LW72" s="1" t="s">
        <v>55469</v>
      </c>
      <c r="LX72" s="1" t="s">
        <v>55470</v>
      </c>
      <c r="LY72" s="1" t="s">
        <v>55471</v>
      </c>
      <c r="LZ72" s="1" t="s">
        <v>55472</v>
      </c>
      <c r="MA72" s="1" t="s">
        <v>55473</v>
      </c>
      <c r="MB72" s="1" t="s">
        <v>55474</v>
      </c>
      <c r="MC72" s="1" t="s">
        <v>55475</v>
      </c>
      <c r="MD72" s="1" t="s">
        <v>55476</v>
      </c>
      <c r="ME72" s="1" t="s">
        <v>55477</v>
      </c>
      <c r="MF72" s="1" t="s">
        <v>55478</v>
      </c>
      <c r="MG72" s="1" t="s">
        <v>55479</v>
      </c>
      <c r="MH72" s="1" t="s">
        <v>55480</v>
      </c>
      <c r="MI72" s="1" t="s">
        <v>55481</v>
      </c>
      <c r="MJ72" s="1" t="s">
        <v>55482</v>
      </c>
      <c r="MK72" s="1" t="s">
        <v>55483</v>
      </c>
      <c r="ML72" s="1" t="s">
        <v>55484</v>
      </c>
      <c r="MM72" s="1" t="s">
        <v>55485</v>
      </c>
      <c r="MN72" s="1" t="s">
        <v>55486</v>
      </c>
      <c r="MO72" s="1" t="s">
        <v>55487</v>
      </c>
      <c r="MP72" s="1" t="s">
        <v>55488</v>
      </c>
      <c r="MQ72" s="1" t="s">
        <v>55489</v>
      </c>
      <c r="MR72" s="1" t="s">
        <v>55490</v>
      </c>
      <c r="MS72" s="1" t="s">
        <v>55491</v>
      </c>
      <c r="MT72" s="1" t="s">
        <v>55492</v>
      </c>
      <c r="MU72" s="1" t="s">
        <v>55493</v>
      </c>
      <c r="MV72" s="1" t="s">
        <v>55494</v>
      </c>
      <c r="MW72" s="1" t="s">
        <v>55495</v>
      </c>
      <c r="MX72" s="1" t="s">
        <v>55496</v>
      </c>
      <c r="MY72" s="1" t="s">
        <v>55497</v>
      </c>
      <c r="MZ72" s="1" t="s">
        <v>55498</v>
      </c>
      <c r="NA72" s="1" t="s">
        <v>55499</v>
      </c>
      <c r="NB72" s="1" t="s">
        <v>55500</v>
      </c>
      <c r="NC72" s="1" t="s">
        <v>55501</v>
      </c>
      <c r="ND72" s="1" t="s">
        <v>55502</v>
      </c>
      <c r="NE72" s="1" t="s">
        <v>55503</v>
      </c>
      <c r="NF72" s="1" t="s">
        <v>55504</v>
      </c>
      <c r="NG72" s="1" t="s">
        <v>55505</v>
      </c>
      <c r="NH72" s="1" t="s">
        <v>55506</v>
      </c>
      <c r="NI72" s="1" t="s">
        <v>55507</v>
      </c>
      <c r="NJ72" s="1" t="s">
        <v>55508</v>
      </c>
      <c r="NK72" s="1" t="s">
        <v>55509</v>
      </c>
      <c r="NL72" s="1" t="s">
        <v>55510</v>
      </c>
      <c r="NM72" s="1" t="s">
        <v>55511</v>
      </c>
      <c r="NN72" s="1" t="s">
        <v>55512</v>
      </c>
      <c r="NO72" s="1" t="s">
        <v>55513</v>
      </c>
      <c r="NP72" s="1" t="s">
        <v>55514</v>
      </c>
      <c r="NQ72" s="1" t="s">
        <v>55515</v>
      </c>
      <c r="NR72" s="1" t="s">
        <v>55516</v>
      </c>
      <c r="NS72" s="1" t="s">
        <v>55517</v>
      </c>
      <c r="NT72" s="1" t="s">
        <v>55518</v>
      </c>
      <c r="NU72" s="1" t="s">
        <v>55519</v>
      </c>
      <c r="NV72" s="1" t="s">
        <v>55520</v>
      </c>
      <c r="NW72" s="1" t="s">
        <v>55521</v>
      </c>
      <c r="NX72" s="1" t="s">
        <v>55522</v>
      </c>
      <c r="NY72" s="1" t="s">
        <v>55523</v>
      </c>
      <c r="NZ72" s="1" t="s">
        <v>55524</v>
      </c>
      <c r="OA72" s="1" t="s">
        <v>55525</v>
      </c>
      <c r="OB72" s="1" t="s">
        <v>55526</v>
      </c>
      <c r="OC72" s="1" t="s">
        <v>55527</v>
      </c>
      <c r="OD72" s="1" t="s">
        <v>55528</v>
      </c>
      <c r="OE72" s="1" t="s">
        <v>55529</v>
      </c>
      <c r="OF72" s="1" t="s">
        <v>55530</v>
      </c>
      <c r="OG72" s="1" t="s">
        <v>55531</v>
      </c>
      <c r="OH72" s="1" t="s">
        <v>55532</v>
      </c>
      <c r="OI72" s="1" t="s">
        <v>55533</v>
      </c>
      <c r="OJ72" s="1" t="s">
        <v>55534</v>
      </c>
      <c r="OK72" s="1" t="s">
        <v>55535</v>
      </c>
      <c r="OL72" s="1" t="s">
        <v>55536</v>
      </c>
      <c r="OM72" s="1" t="s">
        <v>55537</v>
      </c>
      <c r="ON72" s="1" t="s">
        <v>55538</v>
      </c>
      <c r="OO72" s="1" t="s">
        <v>55539</v>
      </c>
      <c r="OP72" s="1" t="s">
        <v>55540</v>
      </c>
      <c r="OQ72" s="1" t="s">
        <v>55541</v>
      </c>
      <c r="OR72" s="1" t="s">
        <v>55542</v>
      </c>
      <c r="OS72" s="1" t="s">
        <v>55543</v>
      </c>
      <c r="OT72" s="1" t="s">
        <v>55544</v>
      </c>
      <c r="OU72" s="1" t="s">
        <v>55545</v>
      </c>
      <c r="OV72" s="1" t="s">
        <v>55546</v>
      </c>
      <c r="OW72" s="1" t="s">
        <v>55547</v>
      </c>
      <c r="OX72" s="1" t="s">
        <v>55548</v>
      </c>
      <c r="OY72" s="1" t="s">
        <v>55549</v>
      </c>
      <c r="OZ72" s="1" t="s">
        <v>55550</v>
      </c>
      <c r="PA72" s="1" t="s">
        <v>55551</v>
      </c>
      <c r="PB72" s="1" t="s">
        <v>55552</v>
      </c>
      <c r="PC72" s="1" t="s">
        <v>55553</v>
      </c>
      <c r="PD72" s="1" t="s">
        <v>55554</v>
      </c>
      <c r="PE72" s="1" t="s">
        <v>55555</v>
      </c>
      <c r="PF72" s="1" t="s">
        <v>55556</v>
      </c>
      <c r="PG72" s="1" t="s">
        <v>55557</v>
      </c>
      <c r="PH72" s="1" t="s">
        <v>55558</v>
      </c>
      <c r="PI72" s="1" t="s">
        <v>55559</v>
      </c>
      <c r="PJ72" s="1" t="s">
        <v>55560</v>
      </c>
      <c r="PK72" s="1" t="s">
        <v>55561</v>
      </c>
      <c r="PL72" s="1" t="s">
        <v>55562</v>
      </c>
      <c r="PM72" s="1" t="s">
        <v>55563</v>
      </c>
      <c r="PN72" s="1" t="s">
        <v>55564</v>
      </c>
      <c r="PO72" s="1" t="s">
        <v>55565</v>
      </c>
      <c r="PP72" s="1" t="s">
        <v>55566</v>
      </c>
      <c r="PQ72" s="1" t="s">
        <v>55567</v>
      </c>
      <c r="PR72" s="1" t="s">
        <v>55568</v>
      </c>
      <c r="PS72" s="1" t="s">
        <v>55569</v>
      </c>
      <c r="PT72" s="1" t="s">
        <v>55570</v>
      </c>
      <c r="PU72" s="1" t="s">
        <v>55571</v>
      </c>
      <c r="PV72" s="1" t="s">
        <v>55572</v>
      </c>
      <c r="PW72" s="1" t="s">
        <v>55573</v>
      </c>
      <c r="PX72" s="1" t="s">
        <v>55574</v>
      </c>
      <c r="PY72" s="1" t="s">
        <v>55575</v>
      </c>
      <c r="PZ72" s="1" t="s">
        <v>55576</v>
      </c>
      <c r="QA72" s="1" t="s">
        <v>55577</v>
      </c>
      <c r="QB72" s="1" t="s">
        <v>55578</v>
      </c>
      <c r="QC72" s="1" t="s">
        <v>55579</v>
      </c>
      <c r="QD72" s="1" t="s">
        <v>55580</v>
      </c>
      <c r="QE72" s="1" t="s">
        <v>55581</v>
      </c>
      <c r="QF72" s="1" t="s">
        <v>55582</v>
      </c>
      <c r="QG72" s="1" t="s">
        <v>55583</v>
      </c>
      <c r="QH72" s="1" t="s">
        <v>55584</v>
      </c>
      <c r="QI72" s="1" t="s">
        <v>55585</v>
      </c>
      <c r="QJ72" s="1" t="s">
        <v>55586</v>
      </c>
      <c r="QK72" s="1" t="s">
        <v>55587</v>
      </c>
      <c r="QL72" s="1" t="s">
        <v>55588</v>
      </c>
      <c r="QM72" s="1" t="s">
        <v>55589</v>
      </c>
      <c r="QN72" s="1" t="s">
        <v>55590</v>
      </c>
      <c r="QO72" s="1" t="s">
        <v>55591</v>
      </c>
      <c r="QP72" s="1" t="s">
        <v>55592</v>
      </c>
      <c r="QQ72" s="1" t="s">
        <v>55593</v>
      </c>
      <c r="QR72" s="1" t="s">
        <v>55594</v>
      </c>
      <c r="QS72" s="1" t="s">
        <v>55595</v>
      </c>
      <c r="QT72" s="1" t="s">
        <v>55596</v>
      </c>
      <c r="QU72" s="1" t="s">
        <v>55597</v>
      </c>
      <c r="QV72" s="1" t="s">
        <v>55598</v>
      </c>
      <c r="QW72" s="1" t="s">
        <v>55599</v>
      </c>
      <c r="QX72" s="1" t="s">
        <v>55600</v>
      </c>
      <c r="QY72" s="1" t="s">
        <v>55601</v>
      </c>
      <c r="QZ72" s="1" t="s">
        <v>55602</v>
      </c>
      <c r="RA72" s="1" t="s">
        <v>55603</v>
      </c>
      <c r="RB72" s="1" t="s">
        <v>55604</v>
      </c>
      <c r="RC72" s="1" t="s">
        <v>55605</v>
      </c>
      <c r="RD72" s="1" t="s">
        <v>55606</v>
      </c>
      <c r="RE72" s="1" t="s">
        <v>55607</v>
      </c>
      <c r="RF72" s="1" t="s">
        <v>55608</v>
      </c>
      <c r="RG72" s="1" t="s">
        <v>55609</v>
      </c>
      <c r="RH72" s="1" t="s">
        <v>55610</v>
      </c>
      <c r="RI72" s="1" t="s">
        <v>55611</v>
      </c>
      <c r="RJ72" s="1" t="s">
        <v>55612</v>
      </c>
      <c r="RK72" s="1" t="s">
        <v>55613</v>
      </c>
      <c r="RL72" s="1" t="s">
        <v>55614</v>
      </c>
      <c r="RM72" s="1" t="s">
        <v>55615</v>
      </c>
      <c r="RN72" s="1" t="s">
        <v>55616</v>
      </c>
      <c r="RO72" s="1" t="s">
        <v>55617</v>
      </c>
      <c r="RP72" s="1" t="s">
        <v>55618</v>
      </c>
      <c r="RQ72" s="1" t="s">
        <v>55619</v>
      </c>
      <c r="RR72" s="1" t="s">
        <v>55620</v>
      </c>
      <c r="RS72" s="1" t="s">
        <v>55621</v>
      </c>
      <c r="RT72" s="1" t="s">
        <v>55622</v>
      </c>
      <c r="RU72" s="1" t="s">
        <v>55623</v>
      </c>
      <c r="RV72" s="1" t="s">
        <v>55624</v>
      </c>
      <c r="RW72" s="1" t="s">
        <v>55625</v>
      </c>
      <c r="RX72" s="1" t="s">
        <v>55626</v>
      </c>
      <c r="RY72" s="1" t="s">
        <v>55627</v>
      </c>
      <c r="RZ72" s="1" t="s">
        <v>55628</v>
      </c>
      <c r="SA72" s="1" t="s">
        <v>55629</v>
      </c>
      <c r="SB72" s="1" t="s">
        <v>55630</v>
      </c>
      <c r="SC72" s="1" t="s">
        <v>55631</v>
      </c>
      <c r="SD72" s="1" t="s">
        <v>55632</v>
      </c>
      <c r="SE72" s="1" t="s">
        <v>55633</v>
      </c>
      <c r="SF72" s="1" t="s">
        <v>55634</v>
      </c>
      <c r="SG72" s="1" t="s">
        <v>55635</v>
      </c>
      <c r="SH72" s="1" t="s">
        <v>55636</v>
      </c>
      <c r="SI72" s="1" t="s">
        <v>55637</v>
      </c>
      <c r="SJ72" s="1" t="s">
        <v>55638</v>
      </c>
      <c r="SK72" s="1" t="s">
        <v>55639</v>
      </c>
      <c r="SL72" s="1" t="s">
        <v>55640</v>
      </c>
      <c r="SM72" s="1" t="s">
        <v>55641</v>
      </c>
      <c r="SN72" s="1" t="s">
        <v>55642</v>
      </c>
      <c r="SO72" s="1" t="s">
        <v>55643</v>
      </c>
      <c r="SP72" s="1" t="s">
        <v>55644</v>
      </c>
      <c r="SQ72" s="1" t="s">
        <v>55645</v>
      </c>
      <c r="SR72" s="1" t="s">
        <v>55646</v>
      </c>
      <c r="SS72" s="1" t="s">
        <v>55647</v>
      </c>
      <c r="ST72" s="1" t="s">
        <v>55648</v>
      </c>
      <c r="SU72" s="1" t="s">
        <v>55649</v>
      </c>
      <c r="SV72" s="1" t="s">
        <v>55650</v>
      </c>
      <c r="SW72" s="1" t="s">
        <v>55651</v>
      </c>
      <c r="SX72" s="1" t="s">
        <v>55652</v>
      </c>
      <c r="SY72" s="1" t="s">
        <v>55653</v>
      </c>
      <c r="SZ72" s="1" t="s">
        <v>55654</v>
      </c>
      <c r="TA72" s="1" t="s">
        <v>55655</v>
      </c>
      <c r="TB72" s="1" t="s">
        <v>55656</v>
      </c>
      <c r="TC72" s="1" t="s">
        <v>55657</v>
      </c>
      <c r="TD72" s="1" t="s">
        <v>55658</v>
      </c>
      <c r="TE72" s="1" t="s">
        <v>55659</v>
      </c>
      <c r="TF72" s="1" t="s">
        <v>55660</v>
      </c>
      <c r="TG72" s="1" t="s">
        <v>55661</v>
      </c>
      <c r="TH72" s="1" t="s">
        <v>55662</v>
      </c>
      <c r="TI72" s="1" t="s">
        <v>55663</v>
      </c>
      <c r="TJ72" s="1" t="s">
        <v>55664</v>
      </c>
      <c r="TK72" s="1" t="s">
        <v>55665</v>
      </c>
      <c r="TL72" s="1" t="s">
        <v>55666</v>
      </c>
      <c r="TM72" s="1" t="s">
        <v>55667</v>
      </c>
      <c r="TN72" s="1" t="s">
        <v>55668</v>
      </c>
      <c r="TO72" s="1" t="s">
        <v>55669</v>
      </c>
      <c r="TP72" s="1" t="s">
        <v>55670</v>
      </c>
      <c r="TQ72" s="1" t="s">
        <v>55671</v>
      </c>
      <c r="TR72" s="1" t="s">
        <v>55672</v>
      </c>
      <c r="TS72" s="1" t="s">
        <v>55673</v>
      </c>
      <c r="TT72" s="1" t="s">
        <v>55674</v>
      </c>
      <c r="TU72" s="1" t="s">
        <v>55675</v>
      </c>
      <c r="TV72" s="1" t="s">
        <v>55676</v>
      </c>
      <c r="TW72" s="1" t="s">
        <v>55677</v>
      </c>
      <c r="TX72" s="1" t="s">
        <v>55678</v>
      </c>
      <c r="TY72" s="1" t="s">
        <v>55679</v>
      </c>
      <c r="TZ72" s="1" t="s">
        <v>55680</v>
      </c>
      <c r="UA72" s="1" t="s">
        <v>55681</v>
      </c>
      <c r="UB72" s="1" t="s">
        <v>55682</v>
      </c>
      <c r="UC72" s="1" t="s">
        <v>55683</v>
      </c>
      <c r="UD72" s="1" t="s">
        <v>55684</v>
      </c>
      <c r="UE72" s="1" t="s">
        <v>55685</v>
      </c>
      <c r="UF72" s="1" t="s">
        <v>55686</v>
      </c>
      <c r="UG72" s="1" t="s">
        <v>55687</v>
      </c>
      <c r="UH72" s="1" t="s">
        <v>55688</v>
      </c>
      <c r="UI72" s="1" t="s">
        <v>55689</v>
      </c>
      <c r="UJ72" s="1" t="s">
        <v>55690</v>
      </c>
      <c r="UK72" s="1" t="s">
        <v>55691</v>
      </c>
      <c r="UL72" s="1" t="s">
        <v>55692</v>
      </c>
      <c r="UM72" s="1" t="s">
        <v>55693</v>
      </c>
      <c r="UN72" s="1" t="s">
        <v>55694</v>
      </c>
      <c r="UO72" s="1" t="s">
        <v>55695</v>
      </c>
      <c r="UP72" s="1" t="s">
        <v>55696</v>
      </c>
      <c r="UQ72" s="1" t="s">
        <v>55697</v>
      </c>
      <c r="UR72" s="1" t="s">
        <v>55698</v>
      </c>
      <c r="US72" s="1" t="s">
        <v>55699</v>
      </c>
      <c r="UT72" s="1" t="s">
        <v>55700</v>
      </c>
      <c r="UU72" s="1" t="s">
        <v>55701</v>
      </c>
      <c r="UV72" s="1" t="s">
        <v>55702</v>
      </c>
      <c r="UW72" s="1" t="s">
        <v>55703</v>
      </c>
      <c r="UX72" s="1" t="s">
        <v>55704</v>
      </c>
      <c r="UY72" s="1" t="s">
        <v>55705</v>
      </c>
      <c r="UZ72" s="1" t="s">
        <v>55706</v>
      </c>
      <c r="VA72" s="1" t="s">
        <v>55707</v>
      </c>
      <c r="VB72" s="1" t="s">
        <v>55708</v>
      </c>
      <c r="VC72" s="1" t="s">
        <v>55709</v>
      </c>
      <c r="VD72" s="1" t="s">
        <v>55710</v>
      </c>
      <c r="VE72" s="1" t="s">
        <v>55711</v>
      </c>
      <c r="VF72" s="1" t="s">
        <v>55712</v>
      </c>
      <c r="VG72" s="1" t="s">
        <v>55713</v>
      </c>
      <c r="VH72" s="1" t="s">
        <v>55714</v>
      </c>
      <c r="VI72" s="1" t="s">
        <v>55715</v>
      </c>
      <c r="VJ72" s="1" t="s">
        <v>55716</v>
      </c>
      <c r="VK72" s="1" t="s">
        <v>55717</v>
      </c>
      <c r="VL72" s="1" t="s">
        <v>55718</v>
      </c>
      <c r="VM72" s="1" t="s">
        <v>55719</v>
      </c>
      <c r="VN72" s="1" t="s">
        <v>55720</v>
      </c>
      <c r="VO72" s="1" t="s">
        <v>55721</v>
      </c>
      <c r="VP72" s="1" t="s">
        <v>55722</v>
      </c>
      <c r="VQ72" s="1" t="s">
        <v>55723</v>
      </c>
      <c r="VR72" s="1" t="s">
        <v>55724</v>
      </c>
      <c r="VS72" s="1" t="s">
        <v>55725</v>
      </c>
      <c r="VT72" s="1" t="s">
        <v>55726</v>
      </c>
      <c r="VU72" s="1" t="s">
        <v>55727</v>
      </c>
      <c r="VV72" s="1" t="s">
        <v>55728</v>
      </c>
      <c r="VW72" s="1" t="s">
        <v>55729</v>
      </c>
      <c r="VX72" s="1" t="s">
        <v>55730</v>
      </c>
      <c r="VY72" s="1" t="s">
        <v>55731</v>
      </c>
      <c r="VZ72" s="1" t="s">
        <v>55732</v>
      </c>
      <c r="WA72" s="1" t="s">
        <v>55733</v>
      </c>
      <c r="WB72" s="1" t="s">
        <v>55734</v>
      </c>
      <c r="WC72" s="1" t="s">
        <v>55735</v>
      </c>
      <c r="WD72" s="1" t="s">
        <v>55736</v>
      </c>
      <c r="WE72" s="1" t="s">
        <v>55737</v>
      </c>
      <c r="WF72" s="1" t="s">
        <v>55738</v>
      </c>
      <c r="WG72" s="1" t="s">
        <v>55739</v>
      </c>
      <c r="WH72" s="1" t="s">
        <v>55740</v>
      </c>
      <c r="WI72" s="1" t="s">
        <v>55741</v>
      </c>
      <c r="WJ72" s="1" t="s">
        <v>55742</v>
      </c>
      <c r="WK72" s="1" t="s">
        <v>55743</v>
      </c>
      <c r="WL72" s="1" t="s">
        <v>55744</v>
      </c>
      <c r="WM72" s="1" t="s">
        <v>55745</v>
      </c>
      <c r="WN72" s="1" t="s">
        <v>55746</v>
      </c>
      <c r="WO72" s="1" t="s">
        <v>55747</v>
      </c>
      <c r="WP72" s="1" t="s">
        <v>55748</v>
      </c>
      <c r="WQ72" s="1" t="s">
        <v>55749</v>
      </c>
      <c r="WR72" s="1" t="s">
        <v>55750</v>
      </c>
      <c r="WS72" s="1" t="s">
        <v>55751</v>
      </c>
      <c r="WT72" s="1" t="s">
        <v>55752</v>
      </c>
      <c r="WU72" s="1" t="s">
        <v>55753</v>
      </c>
      <c r="WV72" s="1" t="s">
        <v>55754</v>
      </c>
      <c r="WW72" s="1" t="s">
        <v>55755</v>
      </c>
      <c r="WX72" s="1" t="s">
        <v>55756</v>
      </c>
      <c r="WY72" s="1" t="s">
        <v>55757</v>
      </c>
      <c r="WZ72" s="1" t="s">
        <v>55758</v>
      </c>
      <c r="XA72" s="1" t="s">
        <v>55759</v>
      </c>
      <c r="XB72" s="1" t="s">
        <v>55760</v>
      </c>
      <c r="XC72" s="1" t="s">
        <v>55761</v>
      </c>
      <c r="XD72" s="1" t="s">
        <v>55762</v>
      </c>
      <c r="XE72" s="1" t="s">
        <v>55763</v>
      </c>
      <c r="XF72" s="1" t="s">
        <v>55764</v>
      </c>
      <c r="XG72" s="1" t="s">
        <v>55765</v>
      </c>
      <c r="XH72" s="1" t="s">
        <v>55766</v>
      </c>
      <c r="XI72" s="1" t="s">
        <v>55767</v>
      </c>
      <c r="XJ72" s="1" t="s">
        <v>55768</v>
      </c>
      <c r="XK72" s="1" t="s">
        <v>55769</v>
      </c>
      <c r="XL72" s="1" t="s">
        <v>55770</v>
      </c>
      <c r="XM72" s="1" t="s">
        <v>55771</v>
      </c>
      <c r="XN72" s="1" t="s">
        <v>55772</v>
      </c>
      <c r="XO72" s="1" t="s">
        <v>55773</v>
      </c>
      <c r="XP72" s="1" t="s">
        <v>55774</v>
      </c>
      <c r="XQ72" s="1" t="s">
        <v>55775</v>
      </c>
      <c r="XR72" s="1" t="s">
        <v>55776</v>
      </c>
      <c r="XS72" s="1" t="s">
        <v>55777</v>
      </c>
      <c r="XT72" s="1" t="s">
        <v>55778</v>
      </c>
      <c r="XU72" s="1" t="s">
        <v>55779</v>
      </c>
      <c r="XV72" s="1" t="s">
        <v>55780</v>
      </c>
      <c r="XW72" s="1" t="s">
        <v>55781</v>
      </c>
      <c r="XX72" s="1" t="s">
        <v>55782</v>
      </c>
      <c r="XY72" s="1" t="s">
        <v>55783</v>
      </c>
      <c r="XZ72" s="1" t="s">
        <v>55784</v>
      </c>
      <c r="YA72" s="1" t="s">
        <v>55785</v>
      </c>
      <c r="YB72" s="1" t="s">
        <v>55786</v>
      </c>
      <c r="YC72" s="1" t="s">
        <v>55787</v>
      </c>
      <c r="YD72" s="1" t="s">
        <v>55788</v>
      </c>
      <c r="YE72" s="1" t="s">
        <v>55789</v>
      </c>
      <c r="YF72" s="1" t="s">
        <v>55790</v>
      </c>
      <c r="YG72" s="1" t="s">
        <v>55791</v>
      </c>
      <c r="YH72" s="1" t="s">
        <v>55792</v>
      </c>
      <c r="YI72" s="1" t="s">
        <v>55793</v>
      </c>
      <c r="YJ72" s="1" t="s">
        <v>55794</v>
      </c>
      <c r="YK72" s="1" t="s">
        <v>55795</v>
      </c>
      <c r="YL72" s="1" t="s">
        <v>55796</v>
      </c>
      <c r="YM72" s="1" t="s">
        <v>55797</v>
      </c>
      <c r="YN72" s="1" t="s">
        <v>55798</v>
      </c>
      <c r="YO72" s="1" t="s">
        <v>55799</v>
      </c>
      <c r="YP72" s="1" t="s">
        <v>55800</v>
      </c>
      <c r="YQ72" s="1" t="s">
        <v>55801</v>
      </c>
      <c r="YR72" s="1" t="s">
        <v>55802</v>
      </c>
      <c r="YS72" s="1" t="s">
        <v>55803</v>
      </c>
      <c r="YT72" s="1" t="s">
        <v>55804</v>
      </c>
      <c r="YU72" s="1" t="s">
        <v>55805</v>
      </c>
      <c r="YV72" s="1" t="s">
        <v>55806</v>
      </c>
      <c r="YW72" s="1" t="s">
        <v>55807</v>
      </c>
      <c r="YX72" s="1" t="s">
        <v>55808</v>
      </c>
      <c r="YY72" s="1" t="s">
        <v>55809</v>
      </c>
      <c r="YZ72" s="1" t="s">
        <v>55810</v>
      </c>
      <c r="ZA72" s="1" t="s">
        <v>55811</v>
      </c>
      <c r="ZB72" s="1" t="s">
        <v>55812</v>
      </c>
      <c r="ZC72" s="1" t="s">
        <v>55813</v>
      </c>
      <c r="ZD72" s="1" t="s">
        <v>55814</v>
      </c>
      <c r="ZE72" s="1" t="s">
        <v>55815</v>
      </c>
      <c r="ZF72" s="1" t="s">
        <v>55816</v>
      </c>
      <c r="ZG72" s="1" t="s">
        <v>55817</v>
      </c>
      <c r="ZH72" s="1" t="s">
        <v>55818</v>
      </c>
      <c r="ZI72" s="1" t="s">
        <v>55819</v>
      </c>
      <c r="ZJ72" s="1" t="s">
        <v>55820</v>
      </c>
      <c r="ZK72" s="1" t="s">
        <v>55821</v>
      </c>
      <c r="ZL72" s="1" t="s">
        <v>55822</v>
      </c>
      <c r="ZM72" s="1" t="s">
        <v>55823</v>
      </c>
      <c r="ZN72" s="1" t="s">
        <v>55824</v>
      </c>
      <c r="ZO72" s="1" t="s">
        <v>55825</v>
      </c>
      <c r="ZP72" s="1" t="s">
        <v>55826</v>
      </c>
      <c r="ZQ72" s="1" t="s">
        <v>55827</v>
      </c>
      <c r="ZR72" s="1" t="s">
        <v>55828</v>
      </c>
      <c r="ZS72" s="1" t="s">
        <v>55829</v>
      </c>
      <c r="ZT72" s="1" t="s">
        <v>55830</v>
      </c>
      <c r="ZU72" s="1" t="s">
        <v>55831</v>
      </c>
      <c r="ZV72" s="1" t="s">
        <v>55832</v>
      </c>
      <c r="ZW72" s="1" t="s">
        <v>55833</v>
      </c>
      <c r="ZX72" s="1" t="s">
        <v>55834</v>
      </c>
      <c r="ZY72" s="1" t="s">
        <v>55835</v>
      </c>
      <c r="ZZ72" s="1" t="s">
        <v>55836</v>
      </c>
      <c r="AAA72" s="1" t="s">
        <v>55837</v>
      </c>
      <c r="AAB72" s="1" t="s">
        <v>55838</v>
      </c>
      <c r="AAC72" s="1" t="s">
        <v>55839</v>
      </c>
      <c r="AAD72" s="1" t="s">
        <v>55840</v>
      </c>
      <c r="AAE72" s="1" t="s">
        <v>55841</v>
      </c>
      <c r="AAF72" s="1" t="s">
        <v>55842</v>
      </c>
      <c r="AAG72" s="1" t="s">
        <v>55843</v>
      </c>
      <c r="AAH72" s="1" t="s">
        <v>55844</v>
      </c>
      <c r="AAI72" s="1" t="s">
        <v>55845</v>
      </c>
      <c r="AAJ72" s="1" t="s">
        <v>55846</v>
      </c>
      <c r="AAK72" s="1" t="s">
        <v>55847</v>
      </c>
      <c r="AAL72" s="1" t="s">
        <v>55848</v>
      </c>
      <c r="AAM72" s="1" t="s">
        <v>55849</v>
      </c>
      <c r="AAN72" s="1" t="s">
        <v>55850</v>
      </c>
      <c r="AAO72" s="1" t="s">
        <v>55851</v>
      </c>
      <c r="AAP72" s="1" t="s">
        <v>55852</v>
      </c>
      <c r="AAQ72" s="1" t="s">
        <v>55853</v>
      </c>
      <c r="AAR72" s="1" t="s">
        <v>55854</v>
      </c>
      <c r="AAS72" s="1" t="s">
        <v>55855</v>
      </c>
      <c r="AAT72" s="1" t="s">
        <v>55856</v>
      </c>
      <c r="AAU72" s="1" t="s">
        <v>55857</v>
      </c>
      <c r="AAV72" s="1" t="s">
        <v>55858</v>
      </c>
      <c r="AAW72" s="1" t="s">
        <v>55859</v>
      </c>
      <c r="AAX72" s="1" t="s">
        <v>55860</v>
      </c>
      <c r="AAY72" s="1" t="s">
        <v>55861</v>
      </c>
      <c r="AAZ72" s="1" t="s">
        <v>55862</v>
      </c>
      <c r="ABA72" s="1" t="s">
        <v>55863</v>
      </c>
      <c r="ABB72" s="1" t="s">
        <v>55864</v>
      </c>
      <c r="ABC72" s="1" t="s">
        <v>55865</v>
      </c>
      <c r="ABD72" s="1" t="s">
        <v>55866</v>
      </c>
      <c r="ABE72" s="1" t="s">
        <v>55867</v>
      </c>
      <c r="ABF72" s="1" t="s">
        <v>55868</v>
      </c>
      <c r="ABG72" s="1" t="s">
        <v>55869</v>
      </c>
      <c r="ABH72" s="1" t="s">
        <v>55870</v>
      </c>
      <c r="ABI72" s="1" t="s">
        <v>55871</v>
      </c>
      <c r="ABJ72" s="1" t="s">
        <v>55872</v>
      </c>
      <c r="ABK72" s="1" t="s">
        <v>55873</v>
      </c>
      <c r="ABL72" s="1" t="s">
        <v>55874</v>
      </c>
      <c r="ABM72" s="1" t="s">
        <v>55875</v>
      </c>
      <c r="ABN72" s="1" t="s">
        <v>55876</v>
      </c>
      <c r="ABO72" s="1" t="s">
        <v>55877</v>
      </c>
      <c r="ABP72" s="1" t="s">
        <v>55878</v>
      </c>
      <c r="ABQ72" s="1" t="s">
        <v>55879</v>
      </c>
      <c r="ABR72" s="1" t="s">
        <v>55880</v>
      </c>
      <c r="ABS72" s="1" t="s">
        <v>55881</v>
      </c>
      <c r="ABT72" s="1" t="s">
        <v>55882</v>
      </c>
      <c r="ABU72" s="1" t="s">
        <v>55883</v>
      </c>
      <c r="ABV72" s="1" t="s">
        <v>55884</v>
      </c>
      <c r="ABW72" s="1" t="s">
        <v>55885</v>
      </c>
      <c r="ABX72" s="1" t="s">
        <v>55886</v>
      </c>
      <c r="ABY72" s="1" t="s">
        <v>55887</v>
      </c>
      <c r="ABZ72" s="1" t="s">
        <v>55888</v>
      </c>
      <c r="ACA72" s="1" t="s">
        <v>55889</v>
      </c>
      <c r="ACB72" s="1" t="s">
        <v>55890</v>
      </c>
      <c r="ACC72" s="1" t="s">
        <v>55891</v>
      </c>
      <c r="ACD72" s="1" t="s">
        <v>55892</v>
      </c>
      <c r="ACE72" s="1" t="s">
        <v>55893</v>
      </c>
      <c r="ACF72" s="1" t="s">
        <v>55894</v>
      </c>
      <c r="ACG72" s="1" t="s">
        <v>55895</v>
      </c>
      <c r="ACH72" s="1" t="s">
        <v>55896</v>
      </c>
      <c r="ACI72" s="1" t="s">
        <v>55897</v>
      </c>
      <c r="ACJ72" s="1" t="s">
        <v>55898</v>
      </c>
      <c r="ACK72" s="1" t="s">
        <v>55899</v>
      </c>
      <c r="ACL72" s="1" t="s">
        <v>55900</v>
      </c>
      <c r="ACM72" s="1" t="s">
        <v>55901</v>
      </c>
      <c r="ACN72" s="1" t="s">
        <v>55902</v>
      </c>
      <c r="ACO72" s="1" t="s">
        <v>55903</v>
      </c>
      <c r="ACP72" s="1" t="s">
        <v>55904</v>
      </c>
      <c r="ACQ72" s="1" t="s">
        <v>55905</v>
      </c>
      <c r="ACR72" s="1" t="s">
        <v>55906</v>
      </c>
      <c r="ACS72" s="1" t="s">
        <v>55907</v>
      </c>
      <c r="ACT72" s="1" t="s">
        <v>55908</v>
      </c>
      <c r="ACU72" s="1" t="s">
        <v>55909</v>
      </c>
      <c r="ACV72" s="1" t="s">
        <v>55910</v>
      </c>
      <c r="ACW72" s="1" t="s">
        <v>12</v>
      </c>
      <c r="ACX72" s="1" t="s">
        <v>1500</v>
      </c>
    </row>
    <row r="73" spans="1:778" x14ac:dyDescent="0.2">
      <c r="A73" s="1" t="s">
        <v>68</v>
      </c>
      <c r="B73" s="1" t="s">
        <v>55911</v>
      </c>
      <c r="C73" s="1" t="s">
        <v>55912</v>
      </c>
      <c r="D73" s="1" t="s">
        <v>55913</v>
      </c>
      <c r="E73" s="1" t="s">
        <v>55914</v>
      </c>
      <c r="F73" s="1" t="s">
        <v>55915</v>
      </c>
      <c r="G73" s="1" t="s">
        <v>55916</v>
      </c>
      <c r="H73" s="1" t="s">
        <v>55917</v>
      </c>
      <c r="I73" s="1" t="s">
        <v>55918</v>
      </c>
      <c r="J73" s="1" t="s">
        <v>55919</v>
      </c>
      <c r="K73" s="1" t="s">
        <v>55920</v>
      </c>
      <c r="L73" s="1" t="s">
        <v>55921</v>
      </c>
      <c r="M73" s="1" t="s">
        <v>55922</v>
      </c>
      <c r="N73" s="1" t="s">
        <v>55923</v>
      </c>
      <c r="O73" s="1" t="s">
        <v>55924</v>
      </c>
      <c r="P73" s="1" t="s">
        <v>55925</v>
      </c>
      <c r="Q73" s="1" t="s">
        <v>55926</v>
      </c>
      <c r="R73" s="1" t="s">
        <v>55927</v>
      </c>
      <c r="S73" s="1" t="s">
        <v>55928</v>
      </c>
      <c r="T73" s="1" t="s">
        <v>55929</v>
      </c>
      <c r="U73" s="1" t="s">
        <v>55930</v>
      </c>
      <c r="V73" s="1" t="s">
        <v>55931</v>
      </c>
      <c r="W73" s="1" t="s">
        <v>55932</v>
      </c>
      <c r="X73" s="1" t="s">
        <v>55933</v>
      </c>
      <c r="Y73" s="1" t="s">
        <v>55934</v>
      </c>
      <c r="Z73" s="1" t="s">
        <v>55935</v>
      </c>
      <c r="AA73" s="1" t="s">
        <v>55936</v>
      </c>
      <c r="AB73" s="1" t="s">
        <v>55937</v>
      </c>
      <c r="AC73" s="1" t="s">
        <v>55938</v>
      </c>
      <c r="AD73" s="1" t="s">
        <v>55939</v>
      </c>
      <c r="AE73" s="1" t="s">
        <v>55940</v>
      </c>
      <c r="AF73" s="1" t="s">
        <v>55941</v>
      </c>
      <c r="AG73" s="1" t="s">
        <v>55942</v>
      </c>
      <c r="AH73" s="1" t="s">
        <v>55943</v>
      </c>
      <c r="AI73" s="1" t="s">
        <v>55944</v>
      </c>
      <c r="AJ73" s="1" t="s">
        <v>55945</v>
      </c>
      <c r="AK73" s="1" t="s">
        <v>55946</v>
      </c>
      <c r="AL73" s="1" t="s">
        <v>55947</v>
      </c>
      <c r="AM73" s="1" t="s">
        <v>55948</v>
      </c>
      <c r="AN73" s="1" t="s">
        <v>55949</v>
      </c>
      <c r="AO73" s="1" t="s">
        <v>55950</v>
      </c>
      <c r="AP73" s="1" t="s">
        <v>55951</v>
      </c>
      <c r="AQ73" s="1" t="s">
        <v>55952</v>
      </c>
      <c r="AR73" s="1" t="s">
        <v>55953</v>
      </c>
      <c r="AS73" s="1" t="s">
        <v>55954</v>
      </c>
      <c r="AT73" s="1" t="s">
        <v>55955</v>
      </c>
      <c r="AU73" s="1" t="s">
        <v>55956</v>
      </c>
      <c r="AV73" s="1" t="s">
        <v>55957</v>
      </c>
      <c r="AW73" s="1" t="s">
        <v>55958</v>
      </c>
      <c r="AX73" s="1" t="s">
        <v>55959</v>
      </c>
      <c r="AY73" s="1" t="s">
        <v>55960</v>
      </c>
      <c r="AZ73" s="1" t="s">
        <v>55961</v>
      </c>
      <c r="BA73" s="1" t="s">
        <v>55962</v>
      </c>
      <c r="BB73" s="1" t="s">
        <v>55963</v>
      </c>
      <c r="BC73" s="1" t="s">
        <v>55964</v>
      </c>
      <c r="BD73" s="1" t="s">
        <v>55965</v>
      </c>
      <c r="BE73" s="1" t="s">
        <v>55966</v>
      </c>
      <c r="BF73" s="1" t="s">
        <v>55967</v>
      </c>
      <c r="BG73" s="1" t="s">
        <v>55968</v>
      </c>
      <c r="BH73" s="1" t="s">
        <v>55969</v>
      </c>
      <c r="BI73" s="1" t="s">
        <v>55970</v>
      </c>
      <c r="BJ73" s="1" t="s">
        <v>55971</v>
      </c>
      <c r="BK73" s="1" t="s">
        <v>55972</v>
      </c>
      <c r="BL73" s="1" t="s">
        <v>55973</v>
      </c>
      <c r="BM73" s="1" t="s">
        <v>55974</v>
      </c>
      <c r="BN73" s="1" t="s">
        <v>55975</v>
      </c>
      <c r="BO73" s="1" t="s">
        <v>55976</v>
      </c>
      <c r="BP73" s="1" t="s">
        <v>55977</v>
      </c>
      <c r="BQ73" s="1" t="s">
        <v>55978</v>
      </c>
      <c r="BR73" s="1" t="s">
        <v>55979</v>
      </c>
      <c r="BS73" s="1" t="s">
        <v>55980</v>
      </c>
      <c r="BT73" s="1" t="s">
        <v>55981</v>
      </c>
      <c r="BU73" s="1" t="s">
        <v>55982</v>
      </c>
      <c r="BV73" s="1" t="s">
        <v>55983</v>
      </c>
      <c r="BW73" s="1" t="s">
        <v>55984</v>
      </c>
      <c r="BX73" s="1" t="s">
        <v>55985</v>
      </c>
      <c r="BY73" s="1" t="s">
        <v>55986</v>
      </c>
      <c r="BZ73" s="1" t="s">
        <v>55987</v>
      </c>
      <c r="CA73" s="1" t="s">
        <v>55988</v>
      </c>
      <c r="CB73" s="1" t="s">
        <v>55989</v>
      </c>
      <c r="CC73" s="1" t="s">
        <v>55990</v>
      </c>
      <c r="CD73" s="1" t="s">
        <v>55991</v>
      </c>
      <c r="CE73" s="1" t="s">
        <v>55992</v>
      </c>
      <c r="CF73" s="1" t="s">
        <v>55993</v>
      </c>
      <c r="CG73" s="1" t="s">
        <v>55994</v>
      </c>
      <c r="CH73" s="1" t="s">
        <v>55995</v>
      </c>
      <c r="CI73" s="1" t="s">
        <v>55996</v>
      </c>
      <c r="CJ73" s="1" t="s">
        <v>55997</v>
      </c>
      <c r="CK73" s="1" t="s">
        <v>55998</v>
      </c>
      <c r="CL73" s="1" t="s">
        <v>55999</v>
      </c>
      <c r="CM73" s="1" t="s">
        <v>56000</v>
      </c>
      <c r="CN73" s="1" t="s">
        <v>56001</v>
      </c>
      <c r="CO73" s="1" t="s">
        <v>56002</v>
      </c>
      <c r="CP73" s="1" t="s">
        <v>56003</v>
      </c>
      <c r="CQ73" s="1" t="s">
        <v>56004</v>
      </c>
      <c r="CR73" s="1" t="s">
        <v>56005</v>
      </c>
      <c r="CS73" s="1" t="s">
        <v>56006</v>
      </c>
      <c r="CT73" s="1" t="s">
        <v>56007</v>
      </c>
      <c r="CU73" s="1" t="s">
        <v>56008</v>
      </c>
      <c r="CV73" s="1" t="s">
        <v>56009</v>
      </c>
      <c r="CW73" s="1" t="s">
        <v>56010</v>
      </c>
      <c r="CX73" s="1" t="s">
        <v>56011</v>
      </c>
      <c r="CY73" s="1" t="s">
        <v>56012</v>
      </c>
      <c r="CZ73" s="1" t="s">
        <v>56013</v>
      </c>
      <c r="DA73" s="1" t="s">
        <v>56014</v>
      </c>
      <c r="DB73" s="1" t="s">
        <v>56015</v>
      </c>
      <c r="DC73" s="1" t="s">
        <v>56016</v>
      </c>
      <c r="DD73" s="1" t="s">
        <v>56017</v>
      </c>
      <c r="DE73" s="1" t="s">
        <v>56018</v>
      </c>
      <c r="DF73" s="1" t="s">
        <v>56019</v>
      </c>
      <c r="DG73" s="1" t="s">
        <v>56020</v>
      </c>
      <c r="DH73" s="1" t="s">
        <v>56021</v>
      </c>
      <c r="DI73" s="1" t="s">
        <v>56022</v>
      </c>
      <c r="DJ73" s="1" t="s">
        <v>56023</v>
      </c>
      <c r="DK73" s="1" t="s">
        <v>56024</v>
      </c>
      <c r="DL73" s="1" t="s">
        <v>56025</v>
      </c>
      <c r="DM73" s="1" t="s">
        <v>56026</v>
      </c>
      <c r="DN73" s="1" t="s">
        <v>56027</v>
      </c>
      <c r="DO73" s="1" t="s">
        <v>56028</v>
      </c>
      <c r="DP73" s="1" t="s">
        <v>56029</v>
      </c>
      <c r="DQ73" s="1" t="s">
        <v>56030</v>
      </c>
      <c r="DR73" s="1" t="s">
        <v>56031</v>
      </c>
      <c r="DS73" s="1" t="s">
        <v>56032</v>
      </c>
      <c r="DT73" s="1" t="s">
        <v>56033</v>
      </c>
      <c r="DU73" s="1" t="s">
        <v>56034</v>
      </c>
      <c r="DV73" s="1" t="s">
        <v>56035</v>
      </c>
      <c r="DW73" s="1" t="s">
        <v>56036</v>
      </c>
      <c r="DX73" s="1" t="s">
        <v>56037</v>
      </c>
      <c r="DY73" s="1" t="s">
        <v>56038</v>
      </c>
      <c r="DZ73" s="1" t="s">
        <v>56039</v>
      </c>
      <c r="EA73" s="1" t="s">
        <v>56040</v>
      </c>
      <c r="EB73" s="1" t="s">
        <v>56041</v>
      </c>
      <c r="EC73" s="1" t="s">
        <v>56042</v>
      </c>
      <c r="ED73" s="1" t="s">
        <v>56043</v>
      </c>
      <c r="EE73" s="1" t="s">
        <v>56044</v>
      </c>
      <c r="EF73" s="1" t="s">
        <v>56045</v>
      </c>
      <c r="EG73" s="1" t="s">
        <v>56046</v>
      </c>
      <c r="EH73" s="1" t="s">
        <v>56047</v>
      </c>
      <c r="EI73" s="1" t="s">
        <v>56048</v>
      </c>
      <c r="EJ73" s="1" t="s">
        <v>56049</v>
      </c>
      <c r="EK73" s="1" t="s">
        <v>56050</v>
      </c>
      <c r="EL73" s="1" t="s">
        <v>56051</v>
      </c>
      <c r="EM73" s="1" t="s">
        <v>56052</v>
      </c>
      <c r="EN73" s="1" t="s">
        <v>56053</v>
      </c>
      <c r="EO73" s="1" t="s">
        <v>56054</v>
      </c>
      <c r="EP73" s="1" t="s">
        <v>56055</v>
      </c>
      <c r="EQ73" s="1" t="s">
        <v>56056</v>
      </c>
      <c r="ER73" s="1" t="s">
        <v>56057</v>
      </c>
      <c r="ES73" s="1" t="s">
        <v>56058</v>
      </c>
      <c r="ET73" s="1" t="s">
        <v>56059</v>
      </c>
      <c r="EU73" s="1" t="s">
        <v>56060</v>
      </c>
      <c r="EV73" s="1" t="s">
        <v>56061</v>
      </c>
      <c r="EW73" s="1" t="s">
        <v>56062</v>
      </c>
      <c r="EX73" s="1" t="s">
        <v>56063</v>
      </c>
      <c r="EY73" s="1" t="s">
        <v>56064</v>
      </c>
      <c r="EZ73" s="1" t="s">
        <v>56065</v>
      </c>
      <c r="FA73" s="1" t="s">
        <v>56066</v>
      </c>
      <c r="FB73" s="1" t="s">
        <v>56067</v>
      </c>
      <c r="FC73" s="1" t="s">
        <v>56068</v>
      </c>
      <c r="FD73" s="1" t="s">
        <v>56069</v>
      </c>
      <c r="FE73" s="1" t="s">
        <v>56070</v>
      </c>
      <c r="FF73" s="1" t="s">
        <v>56071</v>
      </c>
      <c r="FG73" s="1" t="s">
        <v>56072</v>
      </c>
      <c r="FH73" s="1" t="s">
        <v>56073</v>
      </c>
      <c r="FI73" s="1" t="s">
        <v>56074</v>
      </c>
      <c r="FJ73" s="1" t="s">
        <v>56075</v>
      </c>
      <c r="FK73" s="1" t="s">
        <v>56076</v>
      </c>
      <c r="FL73" s="1" t="s">
        <v>56077</v>
      </c>
      <c r="FM73" s="1" t="s">
        <v>56078</v>
      </c>
      <c r="FN73" s="1" t="s">
        <v>56079</v>
      </c>
      <c r="FO73" s="1" t="s">
        <v>56080</v>
      </c>
      <c r="FP73" s="1" t="s">
        <v>56081</v>
      </c>
      <c r="FQ73" s="1" t="s">
        <v>56082</v>
      </c>
      <c r="FR73" s="1" t="s">
        <v>56083</v>
      </c>
      <c r="FS73" s="1" t="s">
        <v>56084</v>
      </c>
      <c r="FT73" s="1" t="s">
        <v>56085</v>
      </c>
      <c r="FU73" s="1" t="s">
        <v>56086</v>
      </c>
      <c r="FV73" s="1" t="s">
        <v>56087</v>
      </c>
      <c r="FW73" s="1" t="s">
        <v>56088</v>
      </c>
      <c r="FX73" s="1" t="s">
        <v>56089</v>
      </c>
      <c r="FY73" s="1" t="s">
        <v>56090</v>
      </c>
      <c r="FZ73" s="1" t="s">
        <v>56091</v>
      </c>
      <c r="GA73" s="1" t="s">
        <v>56092</v>
      </c>
      <c r="GB73" s="1" t="s">
        <v>56093</v>
      </c>
      <c r="GC73" s="1" t="s">
        <v>56094</v>
      </c>
      <c r="GD73" s="1" t="s">
        <v>56095</v>
      </c>
      <c r="GE73" s="1" t="s">
        <v>56096</v>
      </c>
      <c r="GF73" s="1" t="s">
        <v>56097</v>
      </c>
      <c r="GG73" s="1" t="s">
        <v>56098</v>
      </c>
      <c r="GH73" s="1" t="s">
        <v>56099</v>
      </c>
      <c r="GI73" s="1" t="s">
        <v>56100</v>
      </c>
      <c r="GJ73" s="1" t="s">
        <v>56101</v>
      </c>
      <c r="GK73" s="1" t="s">
        <v>56102</v>
      </c>
      <c r="GL73" s="1" t="s">
        <v>56103</v>
      </c>
      <c r="GM73" s="1" t="s">
        <v>56104</v>
      </c>
      <c r="GN73" s="1" t="s">
        <v>56105</v>
      </c>
      <c r="GO73" s="1" t="s">
        <v>56106</v>
      </c>
      <c r="GP73" s="1" t="s">
        <v>56107</v>
      </c>
      <c r="GQ73" s="1" t="s">
        <v>56108</v>
      </c>
      <c r="GR73" s="1" t="s">
        <v>56109</v>
      </c>
      <c r="GS73" s="1" t="s">
        <v>56110</v>
      </c>
      <c r="GT73" s="1" t="s">
        <v>56111</v>
      </c>
      <c r="GU73" s="1" t="s">
        <v>56112</v>
      </c>
      <c r="GV73" s="1" t="s">
        <v>56113</v>
      </c>
      <c r="GW73" s="1" t="s">
        <v>56114</v>
      </c>
      <c r="GX73" s="1" t="s">
        <v>56115</v>
      </c>
      <c r="GY73" s="1" t="s">
        <v>56116</v>
      </c>
      <c r="GZ73" s="1" t="s">
        <v>56117</v>
      </c>
      <c r="HA73" s="1" t="s">
        <v>56118</v>
      </c>
      <c r="HB73" s="1" t="s">
        <v>56119</v>
      </c>
      <c r="HC73" s="1" t="s">
        <v>56120</v>
      </c>
      <c r="HD73" s="1" t="s">
        <v>56121</v>
      </c>
      <c r="HE73" s="1" t="s">
        <v>56122</v>
      </c>
      <c r="HF73" s="1" t="s">
        <v>56123</v>
      </c>
      <c r="HG73" s="1" t="s">
        <v>56124</v>
      </c>
      <c r="HH73" s="1" t="s">
        <v>56125</v>
      </c>
      <c r="HI73" s="1" t="s">
        <v>56126</v>
      </c>
      <c r="HJ73" s="1" t="s">
        <v>56127</v>
      </c>
      <c r="HK73" s="1" t="s">
        <v>56128</v>
      </c>
      <c r="HL73" s="1" t="s">
        <v>56129</v>
      </c>
      <c r="HM73" s="1" t="s">
        <v>56130</v>
      </c>
      <c r="HN73" s="1" t="s">
        <v>56131</v>
      </c>
      <c r="HO73" s="1" t="s">
        <v>56132</v>
      </c>
      <c r="HP73" s="1" t="s">
        <v>56133</v>
      </c>
      <c r="HQ73" s="1" t="s">
        <v>56134</v>
      </c>
      <c r="HR73" s="1" t="s">
        <v>56135</v>
      </c>
      <c r="HS73" s="1" t="s">
        <v>56136</v>
      </c>
      <c r="HT73" s="1" t="s">
        <v>56137</v>
      </c>
      <c r="HU73" s="1" t="s">
        <v>56138</v>
      </c>
      <c r="HV73" s="1" t="s">
        <v>56139</v>
      </c>
      <c r="HW73" s="1" t="s">
        <v>56140</v>
      </c>
      <c r="HX73" s="1" t="s">
        <v>56141</v>
      </c>
      <c r="HY73" s="1" t="s">
        <v>56142</v>
      </c>
      <c r="HZ73" s="1" t="s">
        <v>56143</v>
      </c>
      <c r="IA73" s="1" t="s">
        <v>56144</v>
      </c>
      <c r="IB73" s="1" t="s">
        <v>56145</v>
      </c>
      <c r="IC73" s="1" t="s">
        <v>56146</v>
      </c>
      <c r="ID73" s="1" t="s">
        <v>56147</v>
      </c>
      <c r="IE73" s="1" t="s">
        <v>56148</v>
      </c>
      <c r="IF73" s="1" t="s">
        <v>56149</v>
      </c>
      <c r="IG73" s="1" t="s">
        <v>56150</v>
      </c>
      <c r="IH73" s="1" t="s">
        <v>56151</v>
      </c>
      <c r="II73" s="1" t="s">
        <v>56152</v>
      </c>
      <c r="IJ73" s="1" t="s">
        <v>56153</v>
      </c>
      <c r="IK73" s="1" t="s">
        <v>56154</v>
      </c>
      <c r="IL73" s="1" t="s">
        <v>56155</v>
      </c>
      <c r="IM73" s="1" t="s">
        <v>56156</v>
      </c>
      <c r="IN73" s="1" t="s">
        <v>56157</v>
      </c>
      <c r="IO73" s="1" t="s">
        <v>56158</v>
      </c>
      <c r="IP73" s="1" t="s">
        <v>56159</v>
      </c>
      <c r="IQ73" s="1" t="s">
        <v>56160</v>
      </c>
      <c r="IR73" s="1" t="s">
        <v>56161</v>
      </c>
      <c r="IS73" s="1" t="s">
        <v>56162</v>
      </c>
      <c r="IT73" s="1" t="s">
        <v>56163</v>
      </c>
      <c r="IU73" s="1" t="s">
        <v>56164</v>
      </c>
      <c r="IV73" s="1" t="s">
        <v>56165</v>
      </c>
      <c r="IW73" s="1" t="s">
        <v>56166</v>
      </c>
      <c r="IX73" s="1" t="s">
        <v>56167</v>
      </c>
      <c r="IY73" s="1" t="s">
        <v>56168</v>
      </c>
      <c r="IZ73" s="1" t="s">
        <v>56169</v>
      </c>
      <c r="JA73" s="1" t="s">
        <v>56170</v>
      </c>
      <c r="JB73" s="1" t="s">
        <v>56171</v>
      </c>
      <c r="JC73" s="1" t="s">
        <v>56172</v>
      </c>
      <c r="JD73" s="1" t="s">
        <v>56173</v>
      </c>
      <c r="JE73" s="1" t="s">
        <v>56174</v>
      </c>
      <c r="JF73" s="1" t="s">
        <v>56175</v>
      </c>
      <c r="JG73" s="1" t="s">
        <v>56176</v>
      </c>
      <c r="JH73" s="1" t="s">
        <v>56177</v>
      </c>
      <c r="JI73" s="1" t="s">
        <v>56178</v>
      </c>
      <c r="JJ73" s="1" t="s">
        <v>56179</v>
      </c>
      <c r="JK73" s="1" t="s">
        <v>56180</v>
      </c>
      <c r="JL73" s="1" t="s">
        <v>56181</v>
      </c>
      <c r="JM73" s="1" t="s">
        <v>56182</v>
      </c>
      <c r="JN73" s="1" t="s">
        <v>56183</v>
      </c>
      <c r="JO73" s="1" t="s">
        <v>56184</v>
      </c>
      <c r="JP73" s="1" t="s">
        <v>56185</v>
      </c>
      <c r="JQ73" s="1" t="s">
        <v>56186</v>
      </c>
      <c r="JR73" s="1" t="s">
        <v>56187</v>
      </c>
      <c r="JS73" s="1" t="s">
        <v>56188</v>
      </c>
      <c r="JT73" s="1" t="s">
        <v>56189</v>
      </c>
      <c r="JU73" s="1" t="s">
        <v>56190</v>
      </c>
      <c r="JV73" s="1" t="s">
        <v>56191</v>
      </c>
      <c r="JW73" s="1" t="s">
        <v>56192</v>
      </c>
      <c r="JX73" s="1" t="s">
        <v>56193</v>
      </c>
      <c r="JY73" s="1" t="s">
        <v>56194</v>
      </c>
      <c r="JZ73" s="1" t="s">
        <v>56195</v>
      </c>
      <c r="KA73" s="1" t="s">
        <v>56196</v>
      </c>
      <c r="KB73" s="1" t="s">
        <v>56197</v>
      </c>
      <c r="KC73" s="1" t="s">
        <v>56198</v>
      </c>
      <c r="KD73" s="1" t="s">
        <v>56199</v>
      </c>
      <c r="KE73" s="1" t="s">
        <v>56200</v>
      </c>
      <c r="KF73" s="1" t="s">
        <v>56201</v>
      </c>
      <c r="KG73" s="1" t="s">
        <v>56202</v>
      </c>
      <c r="KH73" s="1" t="s">
        <v>56203</v>
      </c>
      <c r="KI73" s="1" t="s">
        <v>56204</v>
      </c>
      <c r="KJ73" s="1" t="s">
        <v>56205</v>
      </c>
      <c r="KK73" s="1" t="s">
        <v>56206</v>
      </c>
      <c r="KL73" s="1" t="s">
        <v>56207</v>
      </c>
      <c r="KM73" s="1" t="s">
        <v>56208</v>
      </c>
      <c r="KN73" s="1" t="s">
        <v>56209</v>
      </c>
      <c r="KO73" s="1" t="s">
        <v>56210</v>
      </c>
      <c r="KP73" s="1" t="s">
        <v>56211</v>
      </c>
      <c r="KQ73" s="1" t="s">
        <v>56212</v>
      </c>
      <c r="KR73" s="1" t="s">
        <v>56213</v>
      </c>
      <c r="KS73" s="1" t="s">
        <v>56214</v>
      </c>
      <c r="KT73" s="1" t="s">
        <v>56215</v>
      </c>
      <c r="KU73" s="1" t="s">
        <v>56216</v>
      </c>
      <c r="KV73" s="1" t="s">
        <v>56217</v>
      </c>
      <c r="KW73" s="1" t="s">
        <v>56218</v>
      </c>
      <c r="KX73" s="1" t="s">
        <v>56219</v>
      </c>
      <c r="KY73" s="1" t="s">
        <v>56220</v>
      </c>
      <c r="KZ73" s="1" t="s">
        <v>56221</v>
      </c>
      <c r="LA73" s="1" t="s">
        <v>56222</v>
      </c>
      <c r="LB73" s="1" t="s">
        <v>56223</v>
      </c>
      <c r="LC73" s="1" t="s">
        <v>56224</v>
      </c>
      <c r="LD73" s="1" t="s">
        <v>56225</v>
      </c>
      <c r="LE73" s="1" t="s">
        <v>56226</v>
      </c>
      <c r="LF73" s="1" t="s">
        <v>56227</v>
      </c>
      <c r="LG73" s="1" t="s">
        <v>56228</v>
      </c>
      <c r="LH73" s="1" t="s">
        <v>56229</v>
      </c>
      <c r="LI73" s="1" t="s">
        <v>56230</v>
      </c>
      <c r="LJ73" s="1" t="s">
        <v>56231</v>
      </c>
      <c r="LK73" s="1" t="s">
        <v>56232</v>
      </c>
      <c r="LL73" s="1" t="s">
        <v>56233</v>
      </c>
      <c r="LM73" s="1" t="s">
        <v>56234</v>
      </c>
      <c r="LN73" s="1" t="s">
        <v>56235</v>
      </c>
      <c r="LO73" s="1" t="s">
        <v>56236</v>
      </c>
      <c r="LP73" s="1" t="s">
        <v>56237</v>
      </c>
      <c r="LQ73" s="1" t="s">
        <v>56238</v>
      </c>
      <c r="LR73" s="1" t="s">
        <v>56239</v>
      </c>
      <c r="LS73" s="1" t="s">
        <v>56240</v>
      </c>
      <c r="LT73" s="1" t="s">
        <v>56241</v>
      </c>
      <c r="LU73" s="1" t="s">
        <v>56242</v>
      </c>
      <c r="LV73" s="1" t="s">
        <v>56243</v>
      </c>
      <c r="LW73" s="1" t="s">
        <v>56244</v>
      </c>
      <c r="LX73" s="1" t="s">
        <v>56245</v>
      </c>
      <c r="LY73" s="1" t="s">
        <v>56246</v>
      </c>
      <c r="LZ73" s="1" t="s">
        <v>56247</v>
      </c>
      <c r="MA73" s="1" t="s">
        <v>56248</v>
      </c>
      <c r="MB73" s="1" t="s">
        <v>56249</v>
      </c>
      <c r="MC73" s="1" t="s">
        <v>56250</v>
      </c>
      <c r="MD73" s="1" t="s">
        <v>56251</v>
      </c>
      <c r="ME73" s="1" t="s">
        <v>56252</v>
      </c>
      <c r="MF73" s="1" t="s">
        <v>56253</v>
      </c>
      <c r="MG73" s="1" t="s">
        <v>56254</v>
      </c>
      <c r="MH73" s="1" t="s">
        <v>56255</v>
      </c>
      <c r="MI73" s="1" t="s">
        <v>56256</v>
      </c>
      <c r="MJ73" s="1" t="s">
        <v>56257</v>
      </c>
      <c r="MK73" s="1" t="s">
        <v>56258</v>
      </c>
      <c r="ML73" s="1" t="s">
        <v>56259</v>
      </c>
      <c r="MM73" s="1" t="s">
        <v>56260</v>
      </c>
      <c r="MN73" s="1" t="s">
        <v>56261</v>
      </c>
      <c r="MO73" s="1" t="s">
        <v>56262</v>
      </c>
      <c r="MP73" s="1" t="s">
        <v>56263</v>
      </c>
      <c r="MQ73" s="1" t="s">
        <v>56264</v>
      </c>
      <c r="MR73" s="1" t="s">
        <v>56265</v>
      </c>
      <c r="MS73" s="1" t="s">
        <v>56266</v>
      </c>
      <c r="MT73" s="1" t="s">
        <v>56267</v>
      </c>
      <c r="MU73" s="1" t="s">
        <v>56268</v>
      </c>
      <c r="MV73" s="1" t="s">
        <v>56269</v>
      </c>
      <c r="MW73" s="1" t="s">
        <v>56270</v>
      </c>
      <c r="MX73" s="1" t="s">
        <v>56271</v>
      </c>
      <c r="MY73" s="1" t="s">
        <v>56272</v>
      </c>
      <c r="MZ73" s="1" t="s">
        <v>56273</v>
      </c>
      <c r="NA73" s="1" t="s">
        <v>56274</v>
      </c>
      <c r="NB73" s="1" t="s">
        <v>56275</v>
      </c>
      <c r="NC73" s="1" t="s">
        <v>56276</v>
      </c>
      <c r="ND73" s="1" t="s">
        <v>56277</v>
      </c>
      <c r="NE73" s="1" t="s">
        <v>56278</v>
      </c>
      <c r="NF73" s="1" t="s">
        <v>56279</v>
      </c>
      <c r="NG73" s="1" t="s">
        <v>56280</v>
      </c>
      <c r="NH73" s="1" t="s">
        <v>56281</v>
      </c>
      <c r="NI73" s="1" t="s">
        <v>56282</v>
      </c>
      <c r="NJ73" s="1" t="s">
        <v>56283</v>
      </c>
      <c r="NK73" s="1" t="s">
        <v>56284</v>
      </c>
      <c r="NL73" s="1" t="s">
        <v>56285</v>
      </c>
      <c r="NM73" s="1" t="s">
        <v>56286</v>
      </c>
      <c r="NN73" s="1" t="s">
        <v>56287</v>
      </c>
      <c r="NO73" s="1" t="s">
        <v>56288</v>
      </c>
      <c r="NP73" s="1" t="s">
        <v>56289</v>
      </c>
      <c r="NQ73" s="1" t="s">
        <v>56290</v>
      </c>
      <c r="NR73" s="1" t="s">
        <v>56291</v>
      </c>
      <c r="NS73" s="1" t="s">
        <v>56292</v>
      </c>
      <c r="NT73" s="1" t="s">
        <v>56293</v>
      </c>
      <c r="NU73" s="1" t="s">
        <v>56294</v>
      </c>
      <c r="NV73" s="1" t="s">
        <v>56295</v>
      </c>
      <c r="NW73" s="1" t="s">
        <v>56296</v>
      </c>
      <c r="NX73" s="1" t="s">
        <v>56297</v>
      </c>
      <c r="NY73" s="1" t="s">
        <v>56298</v>
      </c>
      <c r="NZ73" s="1" t="s">
        <v>56299</v>
      </c>
      <c r="OA73" s="1" t="s">
        <v>56300</v>
      </c>
      <c r="OB73" s="1" t="s">
        <v>56301</v>
      </c>
      <c r="OC73" s="1" t="s">
        <v>56302</v>
      </c>
      <c r="OD73" s="1" t="s">
        <v>56303</v>
      </c>
      <c r="OE73" s="1" t="s">
        <v>56304</v>
      </c>
      <c r="OF73" s="1" t="s">
        <v>56305</v>
      </c>
      <c r="OG73" s="1" t="s">
        <v>56306</v>
      </c>
      <c r="OH73" s="1" t="s">
        <v>56307</v>
      </c>
      <c r="OI73" s="1" t="s">
        <v>56308</v>
      </c>
      <c r="OJ73" s="1" t="s">
        <v>56309</v>
      </c>
      <c r="OK73" s="1" t="s">
        <v>56310</v>
      </c>
      <c r="OL73" s="1" t="s">
        <v>56311</v>
      </c>
      <c r="OM73" s="1" t="s">
        <v>56312</v>
      </c>
      <c r="ON73" s="1" t="s">
        <v>56313</v>
      </c>
      <c r="OO73" s="1" t="s">
        <v>56314</v>
      </c>
      <c r="OP73" s="1" t="s">
        <v>56315</v>
      </c>
      <c r="OQ73" s="1" t="s">
        <v>56316</v>
      </c>
      <c r="OR73" s="1" t="s">
        <v>56317</v>
      </c>
      <c r="OS73" s="1" t="s">
        <v>56318</v>
      </c>
      <c r="OT73" s="1" t="s">
        <v>56319</v>
      </c>
      <c r="OU73" s="1" t="s">
        <v>56320</v>
      </c>
      <c r="OV73" s="1" t="s">
        <v>56321</v>
      </c>
      <c r="OW73" s="1" t="s">
        <v>56322</v>
      </c>
      <c r="OX73" s="1" t="s">
        <v>56323</v>
      </c>
      <c r="OY73" s="1" t="s">
        <v>56324</v>
      </c>
      <c r="OZ73" s="1" t="s">
        <v>56325</v>
      </c>
      <c r="PA73" s="1" t="s">
        <v>56326</v>
      </c>
      <c r="PB73" s="1" t="s">
        <v>56327</v>
      </c>
      <c r="PC73" s="1" t="s">
        <v>56328</v>
      </c>
      <c r="PD73" s="1" t="s">
        <v>56329</v>
      </c>
      <c r="PE73" s="1" t="s">
        <v>56330</v>
      </c>
      <c r="PF73" s="1" t="s">
        <v>56331</v>
      </c>
      <c r="PG73" s="1" t="s">
        <v>56332</v>
      </c>
      <c r="PH73" s="1" t="s">
        <v>56333</v>
      </c>
      <c r="PI73" s="1" t="s">
        <v>56334</v>
      </c>
      <c r="PJ73" s="1" t="s">
        <v>56335</v>
      </c>
      <c r="PK73" s="1" t="s">
        <v>56336</v>
      </c>
      <c r="PL73" s="1" t="s">
        <v>56337</v>
      </c>
      <c r="PM73" s="1" t="s">
        <v>56338</v>
      </c>
      <c r="PN73" s="1" t="s">
        <v>56339</v>
      </c>
      <c r="PO73" s="1" t="s">
        <v>56340</v>
      </c>
      <c r="PP73" s="1" t="s">
        <v>56341</v>
      </c>
      <c r="PQ73" s="1" t="s">
        <v>56342</v>
      </c>
      <c r="PR73" s="1" t="s">
        <v>56343</v>
      </c>
      <c r="PS73" s="1" t="s">
        <v>56344</v>
      </c>
      <c r="PT73" s="1" t="s">
        <v>56345</v>
      </c>
      <c r="PU73" s="1" t="s">
        <v>56346</v>
      </c>
      <c r="PV73" s="1" t="s">
        <v>56347</v>
      </c>
      <c r="PW73" s="1" t="s">
        <v>56348</v>
      </c>
      <c r="PX73" s="1" t="s">
        <v>56349</v>
      </c>
      <c r="PY73" s="1" t="s">
        <v>56350</v>
      </c>
      <c r="PZ73" s="1" t="s">
        <v>56351</v>
      </c>
      <c r="QA73" s="1" t="s">
        <v>56352</v>
      </c>
      <c r="QB73" s="1" t="s">
        <v>56353</v>
      </c>
      <c r="QC73" s="1" t="s">
        <v>56354</v>
      </c>
      <c r="QD73" s="1" t="s">
        <v>56355</v>
      </c>
      <c r="QE73" s="1" t="s">
        <v>56356</v>
      </c>
      <c r="QF73" s="1" t="s">
        <v>56357</v>
      </c>
      <c r="QG73" s="1" t="s">
        <v>56358</v>
      </c>
      <c r="QH73" s="1" t="s">
        <v>56359</v>
      </c>
      <c r="QI73" s="1" t="s">
        <v>56360</v>
      </c>
      <c r="QJ73" s="1" t="s">
        <v>56361</v>
      </c>
      <c r="QK73" s="1" t="s">
        <v>56362</v>
      </c>
      <c r="QL73" s="1" t="s">
        <v>56363</v>
      </c>
      <c r="QM73" s="1" t="s">
        <v>56364</v>
      </c>
      <c r="QN73" s="1" t="s">
        <v>56365</v>
      </c>
      <c r="QO73" s="1" t="s">
        <v>56366</v>
      </c>
      <c r="QP73" s="1" t="s">
        <v>56367</v>
      </c>
      <c r="QQ73" s="1" t="s">
        <v>56368</v>
      </c>
      <c r="QR73" s="1" t="s">
        <v>56369</v>
      </c>
      <c r="QS73" s="1" t="s">
        <v>56370</v>
      </c>
      <c r="QT73" s="1" t="s">
        <v>56371</v>
      </c>
      <c r="QU73" s="1" t="s">
        <v>56372</v>
      </c>
      <c r="QV73" s="1" t="s">
        <v>56373</v>
      </c>
      <c r="QW73" s="1" t="s">
        <v>56374</v>
      </c>
      <c r="QX73" s="1" t="s">
        <v>56375</v>
      </c>
      <c r="QY73" s="1" t="s">
        <v>56376</v>
      </c>
      <c r="QZ73" s="1" t="s">
        <v>56377</v>
      </c>
      <c r="RA73" s="1" t="s">
        <v>56378</v>
      </c>
      <c r="RB73" s="1" t="s">
        <v>56379</v>
      </c>
      <c r="RC73" s="1" t="s">
        <v>56380</v>
      </c>
      <c r="RD73" s="1" t="s">
        <v>56381</v>
      </c>
      <c r="RE73" s="1" t="s">
        <v>56382</v>
      </c>
      <c r="RF73" s="1" t="s">
        <v>56383</v>
      </c>
      <c r="RG73" s="1" t="s">
        <v>56384</v>
      </c>
      <c r="RH73" s="1" t="s">
        <v>56385</v>
      </c>
      <c r="RI73" s="1" t="s">
        <v>56386</v>
      </c>
      <c r="RJ73" s="1" t="s">
        <v>56387</v>
      </c>
      <c r="RK73" s="1" t="s">
        <v>56388</v>
      </c>
      <c r="RL73" s="1" t="s">
        <v>56389</v>
      </c>
      <c r="RM73" s="1" t="s">
        <v>56390</v>
      </c>
      <c r="RN73" s="1" t="s">
        <v>56391</v>
      </c>
      <c r="RO73" s="1" t="s">
        <v>56392</v>
      </c>
      <c r="RP73" s="1" t="s">
        <v>56393</v>
      </c>
      <c r="RQ73" s="1" t="s">
        <v>56394</v>
      </c>
      <c r="RR73" s="1" t="s">
        <v>56395</v>
      </c>
      <c r="RS73" s="1" t="s">
        <v>56396</v>
      </c>
      <c r="RT73" s="1" t="s">
        <v>56397</v>
      </c>
      <c r="RU73" s="1" t="s">
        <v>56398</v>
      </c>
      <c r="RV73" s="1" t="s">
        <v>56399</v>
      </c>
      <c r="RW73" s="1" t="s">
        <v>56400</v>
      </c>
      <c r="RX73" s="1" t="s">
        <v>56401</v>
      </c>
      <c r="RY73" s="1" t="s">
        <v>56402</v>
      </c>
      <c r="RZ73" s="1" t="s">
        <v>56403</v>
      </c>
      <c r="SA73" s="1" t="s">
        <v>56404</v>
      </c>
      <c r="SB73" s="1" t="s">
        <v>56405</v>
      </c>
      <c r="SC73" s="1" t="s">
        <v>56406</v>
      </c>
      <c r="SD73" s="1" t="s">
        <v>56407</v>
      </c>
      <c r="SE73" s="1" t="s">
        <v>56408</v>
      </c>
      <c r="SF73" s="1" t="s">
        <v>56409</v>
      </c>
      <c r="SG73" s="1" t="s">
        <v>56410</v>
      </c>
      <c r="SH73" s="1" t="s">
        <v>56411</v>
      </c>
      <c r="SI73" s="1" t="s">
        <v>56412</v>
      </c>
      <c r="SJ73" s="1" t="s">
        <v>56413</v>
      </c>
      <c r="SK73" s="1" t="s">
        <v>56414</v>
      </c>
      <c r="SL73" s="1" t="s">
        <v>56415</v>
      </c>
      <c r="SM73" s="1" t="s">
        <v>56416</v>
      </c>
      <c r="SN73" s="1" t="s">
        <v>56417</v>
      </c>
      <c r="SO73" s="1" t="s">
        <v>56418</v>
      </c>
      <c r="SP73" s="1" t="s">
        <v>56419</v>
      </c>
      <c r="SQ73" s="1" t="s">
        <v>56420</v>
      </c>
      <c r="SR73" s="1" t="s">
        <v>56421</v>
      </c>
      <c r="SS73" s="1" t="s">
        <v>56422</v>
      </c>
      <c r="ST73" s="1" t="s">
        <v>56423</v>
      </c>
      <c r="SU73" s="1" t="s">
        <v>56424</v>
      </c>
      <c r="SV73" s="1" t="s">
        <v>56425</v>
      </c>
      <c r="SW73" s="1" t="s">
        <v>56426</v>
      </c>
      <c r="SX73" s="1" t="s">
        <v>56427</v>
      </c>
      <c r="SY73" s="1" t="s">
        <v>56428</v>
      </c>
      <c r="SZ73" s="1" t="s">
        <v>56429</v>
      </c>
      <c r="TA73" s="1" t="s">
        <v>56430</v>
      </c>
      <c r="TB73" s="1" t="s">
        <v>56431</v>
      </c>
      <c r="TC73" s="1" t="s">
        <v>56432</v>
      </c>
      <c r="TD73" s="1" t="s">
        <v>56433</v>
      </c>
      <c r="TE73" s="1" t="s">
        <v>56434</v>
      </c>
      <c r="TF73" s="1" t="s">
        <v>56435</v>
      </c>
      <c r="TG73" s="1" t="s">
        <v>56436</v>
      </c>
      <c r="TH73" s="1" t="s">
        <v>56437</v>
      </c>
      <c r="TI73" s="1" t="s">
        <v>56438</v>
      </c>
      <c r="TJ73" s="1" t="s">
        <v>56439</v>
      </c>
      <c r="TK73" s="1" t="s">
        <v>56440</v>
      </c>
      <c r="TL73" s="1" t="s">
        <v>56441</v>
      </c>
      <c r="TM73" s="1" t="s">
        <v>56442</v>
      </c>
      <c r="TN73" s="1" t="s">
        <v>56443</v>
      </c>
      <c r="TO73" s="1" t="s">
        <v>56444</v>
      </c>
      <c r="TP73" s="1" t="s">
        <v>56445</v>
      </c>
      <c r="TQ73" s="1" t="s">
        <v>56446</v>
      </c>
      <c r="TR73" s="1" t="s">
        <v>56447</v>
      </c>
      <c r="TS73" s="1" t="s">
        <v>56448</v>
      </c>
      <c r="TT73" s="1" t="s">
        <v>56449</v>
      </c>
      <c r="TU73" s="1" t="s">
        <v>56450</v>
      </c>
      <c r="TV73" s="1" t="s">
        <v>56451</v>
      </c>
      <c r="TW73" s="1" t="s">
        <v>56452</v>
      </c>
      <c r="TX73" s="1" t="s">
        <v>56453</v>
      </c>
      <c r="TY73" s="1" t="s">
        <v>56454</v>
      </c>
      <c r="TZ73" s="1" t="s">
        <v>56455</v>
      </c>
      <c r="UA73" s="1" t="s">
        <v>56456</v>
      </c>
      <c r="UB73" s="1" t="s">
        <v>56457</v>
      </c>
      <c r="UC73" s="1" t="s">
        <v>56458</v>
      </c>
      <c r="UD73" s="1" t="s">
        <v>56459</v>
      </c>
      <c r="UE73" s="1" t="s">
        <v>56460</v>
      </c>
      <c r="UF73" s="1" t="s">
        <v>56461</v>
      </c>
      <c r="UG73" s="1" t="s">
        <v>56462</v>
      </c>
      <c r="UH73" s="1" t="s">
        <v>56463</v>
      </c>
      <c r="UI73" s="1" t="s">
        <v>56464</v>
      </c>
      <c r="UJ73" s="1" t="s">
        <v>56465</v>
      </c>
      <c r="UK73" s="1" t="s">
        <v>56466</v>
      </c>
      <c r="UL73" s="1" t="s">
        <v>56467</v>
      </c>
      <c r="UM73" s="1" t="s">
        <v>56468</v>
      </c>
      <c r="UN73" s="1" t="s">
        <v>56469</v>
      </c>
      <c r="UO73" s="1" t="s">
        <v>56470</v>
      </c>
      <c r="UP73" s="1" t="s">
        <v>56471</v>
      </c>
      <c r="UQ73" s="1" t="s">
        <v>56472</v>
      </c>
      <c r="UR73" s="1" t="s">
        <v>56473</v>
      </c>
      <c r="US73" s="1" t="s">
        <v>56474</v>
      </c>
      <c r="UT73" s="1" t="s">
        <v>56475</v>
      </c>
      <c r="UU73" s="1" t="s">
        <v>56476</v>
      </c>
      <c r="UV73" s="1" t="s">
        <v>56477</v>
      </c>
      <c r="UW73" s="1" t="s">
        <v>56478</v>
      </c>
      <c r="UX73" s="1" t="s">
        <v>56479</v>
      </c>
      <c r="UY73" s="1" t="s">
        <v>56480</v>
      </c>
      <c r="UZ73" s="1" t="s">
        <v>56481</v>
      </c>
      <c r="VA73" s="1" t="s">
        <v>56482</v>
      </c>
      <c r="VB73" s="1" t="s">
        <v>56483</v>
      </c>
      <c r="VC73" s="1" t="s">
        <v>56484</v>
      </c>
      <c r="VD73" s="1" t="s">
        <v>56485</v>
      </c>
      <c r="VE73" s="1" t="s">
        <v>56486</v>
      </c>
      <c r="VF73" s="1" t="s">
        <v>56487</v>
      </c>
      <c r="VG73" s="1" t="s">
        <v>56488</v>
      </c>
      <c r="VH73" s="1" t="s">
        <v>56489</v>
      </c>
      <c r="VI73" s="1" t="s">
        <v>56490</v>
      </c>
      <c r="VJ73" s="1" t="s">
        <v>56491</v>
      </c>
      <c r="VK73" s="1" t="s">
        <v>56492</v>
      </c>
      <c r="VL73" s="1" t="s">
        <v>56493</v>
      </c>
      <c r="VM73" s="1" t="s">
        <v>56494</v>
      </c>
      <c r="VN73" s="1" t="s">
        <v>56495</v>
      </c>
      <c r="VO73" s="1" t="s">
        <v>56496</v>
      </c>
      <c r="VP73" s="1" t="s">
        <v>56497</v>
      </c>
      <c r="VQ73" s="1" t="s">
        <v>56498</v>
      </c>
      <c r="VR73" s="1" t="s">
        <v>56499</v>
      </c>
      <c r="VS73" s="1" t="s">
        <v>56500</v>
      </c>
      <c r="VT73" s="1" t="s">
        <v>56501</v>
      </c>
      <c r="VU73" s="1" t="s">
        <v>56502</v>
      </c>
      <c r="VV73" s="1" t="s">
        <v>56503</v>
      </c>
      <c r="VW73" s="1" t="s">
        <v>56504</v>
      </c>
      <c r="VX73" s="1" t="s">
        <v>56505</v>
      </c>
      <c r="VY73" s="1" t="s">
        <v>56506</v>
      </c>
      <c r="VZ73" s="1" t="s">
        <v>56507</v>
      </c>
      <c r="WA73" s="1" t="s">
        <v>56508</v>
      </c>
      <c r="WB73" s="1" t="s">
        <v>56509</v>
      </c>
      <c r="WC73" s="1" t="s">
        <v>56510</v>
      </c>
      <c r="WD73" s="1" t="s">
        <v>56511</v>
      </c>
      <c r="WE73" s="1" t="s">
        <v>56512</v>
      </c>
      <c r="WF73" s="1" t="s">
        <v>56513</v>
      </c>
      <c r="WG73" s="1" t="s">
        <v>56514</v>
      </c>
      <c r="WH73" s="1" t="s">
        <v>56515</v>
      </c>
      <c r="WI73" s="1" t="s">
        <v>56516</v>
      </c>
      <c r="WJ73" s="1" t="s">
        <v>56517</v>
      </c>
      <c r="WK73" s="1" t="s">
        <v>56518</v>
      </c>
      <c r="WL73" s="1" t="s">
        <v>56519</v>
      </c>
      <c r="WM73" s="1" t="s">
        <v>56520</v>
      </c>
      <c r="WN73" s="1" t="s">
        <v>56521</v>
      </c>
      <c r="WO73" s="1" t="s">
        <v>56522</v>
      </c>
      <c r="WP73" s="1" t="s">
        <v>56523</v>
      </c>
      <c r="WQ73" s="1" t="s">
        <v>56524</v>
      </c>
      <c r="WR73" s="1" t="s">
        <v>56525</v>
      </c>
      <c r="WS73" s="1" t="s">
        <v>56526</v>
      </c>
      <c r="WT73" s="1" t="s">
        <v>56527</v>
      </c>
      <c r="WU73" s="1" t="s">
        <v>56528</v>
      </c>
      <c r="WV73" s="1" t="s">
        <v>56529</v>
      </c>
      <c r="WW73" s="1" t="s">
        <v>56530</v>
      </c>
      <c r="WX73" s="1" t="s">
        <v>56531</v>
      </c>
      <c r="WY73" s="1" t="s">
        <v>56532</v>
      </c>
      <c r="WZ73" s="1" t="s">
        <v>56533</v>
      </c>
      <c r="XA73" s="1" t="s">
        <v>56534</v>
      </c>
      <c r="XB73" s="1" t="s">
        <v>56535</v>
      </c>
      <c r="XC73" s="1" t="s">
        <v>56536</v>
      </c>
      <c r="XD73" s="1" t="s">
        <v>56537</v>
      </c>
      <c r="XE73" s="1" t="s">
        <v>56538</v>
      </c>
      <c r="XF73" s="1" t="s">
        <v>56539</v>
      </c>
      <c r="XG73" s="1" t="s">
        <v>56540</v>
      </c>
      <c r="XH73" s="1" t="s">
        <v>56541</v>
      </c>
      <c r="XI73" s="1" t="s">
        <v>56542</v>
      </c>
      <c r="XJ73" s="1" t="s">
        <v>56543</v>
      </c>
      <c r="XK73" s="1" t="s">
        <v>56544</v>
      </c>
      <c r="XL73" s="1" t="s">
        <v>56545</v>
      </c>
      <c r="XM73" s="1" t="s">
        <v>56546</v>
      </c>
      <c r="XN73" s="1" t="s">
        <v>56547</v>
      </c>
      <c r="XO73" s="1" t="s">
        <v>56548</v>
      </c>
      <c r="XP73" s="1" t="s">
        <v>56549</v>
      </c>
      <c r="XQ73" s="1" t="s">
        <v>56550</v>
      </c>
      <c r="XR73" s="1" t="s">
        <v>56551</v>
      </c>
      <c r="XS73" s="1" t="s">
        <v>56552</v>
      </c>
      <c r="XT73" s="1" t="s">
        <v>56553</v>
      </c>
      <c r="XU73" s="1" t="s">
        <v>56554</v>
      </c>
      <c r="XV73" s="1" t="s">
        <v>56555</v>
      </c>
      <c r="XW73" s="1" t="s">
        <v>56556</v>
      </c>
      <c r="XX73" s="1" t="s">
        <v>56557</v>
      </c>
      <c r="XY73" s="1" t="s">
        <v>56558</v>
      </c>
      <c r="XZ73" s="1" t="s">
        <v>56559</v>
      </c>
      <c r="YA73" s="1" t="s">
        <v>56560</v>
      </c>
      <c r="YB73" s="1" t="s">
        <v>56561</v>
      </c>
      <c r="YC73" s="1" t="s">
        <v>56562</v>
      </c>
      <c r="YD73" s="1" t="s">
        <v>56563</v>
      </c>
      <c r="YE73" s="1" t="s">
        <v>56564</v>
      </c>
      <c r="YF73" s="1" t="s">
        <v>56565</v>
      </c>
      <c r="YG73" s="1" t="s">
        <v>56566</v>
      </c>
      <c r="YH73" s="1" t="s">
        <v>56567</v>
      </c>
      <c r="YI73" s="1" t="s">
        <v>56568</v>
      </c>
      <c r="YJ73" s="1" t="s">
        <v>56569</v>
      </c>
      <c r="YK73" s="1" t="s">
        <v>56570</v>
      </c>
      <c r="YL73" s="1" t="s">
        <v>56571</v>
      </c>
      <c r="YM73" s="1" t="s">
        <v>56572</v>
      </c>
      <c r="YN73" s="1" t="s">
        <v>56573</v>
      </c>
      <c r="YO73" s="1" t="s">
        <v>56574</v>
      </c>
      <c r="YP73" s="1" t="s">
        <v>56575</v>
      </c>
      <c r="YQ73" s="1" t="s">
        <v>56576</v>
      </c>
      <c r="YR73" s="1" t="s">
        <v>56577</v>
      </c>
      <c r="YS73" s="1" t="s">
        <v>56578</v>
      </c>
      <c r="YT73" s="1" t="s">
        <v>56579</v>
      </c>
      <c r="YU73" s="1" t="s">
        <v>56580</v>
      </c>
      <c r="YV73" s="1" t="s">
        <v>56581</v>
      </c>
      <c r="YW73" s="1" t="s">
        <v>56582</v>
      </c>
      <c r="YX73" s="1" t="s">
        <v>56583</v>
      </c>
      <c r="YY73" s="1" t="s">
        <v>56584</v>
      </c>
      <c r="YZ73" s="1" t="s">
        <v>56585</v>
      </c>
      <c r="ZA73" s="1" t="s">
        <v>56586</v>
      </c>
      <c r="ZB73" s="1" t="s">
        <v>56587</v>
      </c>
      <c r="ZC73" s="1" t="s">
        <v>56588</v>
      </c>
      <c r="ZD73" s="1" t="s">
        <v>56589</v>
      </c>
      <c r="ZE73" s="1" t="s">
        <v>56590</v>
      </c>
      <c r="ZF73" s="1" t="s">
        <v>56591</v>
      </c>
      <c r="ZG73" s="1" t="s">
        <v>56592</v>
      </c>
      <c r="ZH73" s="1" t="s">
        <v>56593</v>
      </c>
      <c r="ZI73" s="1" t="s">
        <v>56594</v>
      </c>
      <c r="ZJ73" s="1" t="s">
        <v>56595</v>
      </c>
      <c r="ZK73" s="1" t="s">
        <v>56596</v>
      </c>
      <c r="ZL73" s="1" t="s">
        <v>56597</v>
      </c>
      <c r="ZM73" s="1" t="s">
        <v>56598</v>
      </c>
      <c r="ZN73" s="1" t="s">
        <v>56599</v>
      </c>
      <c r="ZO73" s="1" t="s">
        <v>56600</v>
      </c>
      <c r="ZP73" s="1" t="s">
        <v>56601</v>
      </c>
      <c r="ZQ73" s="1" t="s">
        <v>56602</v>
      </c>
      <c r="ZR73" s="1" t="s">
        <v>56603</v>
      </c>
      <c r="ZS73" s="1" t="s">
        <v>56604</v>
      </c>
      <c r="ZT73" s="1" t="s">
        <v>56605</v>
      </c>
      <c r="ZU73" s="1" t="s">
        <v>56606</v>
      </c>
      <c r="ZV73" s="1" t="s">
        <v>56607</v>
      </c>
      <c r="ZW73" s="1" t="s">
        <v>56608</v>
      </c>
      <c r="ZX73" s="1" t="s">
        <v>56609</v>
      </c>
      <c r="ZY73" s="1" t="s">
        <v>56610</v>
      </c>
      <c r="ZZ73" s="1" t="s">
        <v>56611</v>
      </c>
      <c r="AAA73" s="1" t="s">
        <v>56612</v>
      </c>
      <c r="AAB73" s="1" t="s">
        <v>56613</v>
      </c>
      <c r="AAC73" s="1" t="s">
        <v>56614</v>
      </c>
      <c r="AAD73" s="1" t="s">
        <v>56615</v>
      </c>
      <c r="AAE73" s="1" t="s">
        <v>56616</v>
      </c>
      <c r="AAF73" s="1" t="s">
        <v>56617</v>
      </c>
      <c r="AAG73" s="1" t="s">
        <v>56618</v>
      </c>
      <c r="AAH73" s="1" t="s">
        <v>56619</v>
      </c>
      <c r="AAI73" s="1" t="s">
        <v>56620</v>
      </c>
      <c r="AAJ73" s="1" t="s">
        <v>56621</v>
      </c>
      <c r="AAK73" s="1" t="s">
        <v>56622</v>
      </c>
      <c r="AAL73" s="1" t="s">
        <v>56623</v>
      </c>
      <c r="AAM73" s="1" t="s">
        <v>56624</v>
      </c>
      <c r="AAN73" s="1" t="s">
        <v>56625</v>
      </c>
      <c r="AAO73" s="1" t="s">
        <v>56626</v>
      </c>
      <c r="AAP73" s="1" t="s">
        <v>56627</v>
      </c>
      <c r="AAQ73" s="1" t="s">
        <v>56628</v>
      </c>
      <c r="AAR73" s="1" t="s">
        <v>56629</v>
      </c>
      <c r="AAS73" s="1" t="s">
        <v>56630</v>
      </c>
      <c r="AAT73" s="1" t="s">
        <v>56631</v>
      </c>
      <c r="AAU73" s="1" t="s">
        <v>56632</v>
      </c>
      <c r="AAV73" s="1" t="s">
        <v>56633</v>
      </c>
      <c r="AAW73" s="1" t="s">
        <v>56634</v>
      </c>
      <c r="AAX73" s="1" t="s">
        <v>56635</v>
      </c>
      <c r="AAY73" s="1" t="s">
        <v>56636</v>
      </c>
      <c r="AAZ73" s="1" t="s">
        <v>56637</v>
      </c>
      <c r="ABA73" s="1" t="s">
        <v>56638</v>
      </c>
      <c r="ABB73" s="1" t="s">
        <v>56639</v>
      </c>
      <c r="ABC73" s="1" t="s">
        <v>56640</v>
      </c>
      <c r="ABD73" s="1" t="s">
        <v>56641</v>
      </c>
      <c r="ABE73" s="1" t="s">
        <v>56642</v>
      </c>
      <c r="ABF73" s="1" t="s">
        <v>56643</v>
      </c>
      <c r="ABG73" s="1" t="s">
        <v>56644</v>
      </c>
      <c r="ABH73" s="1" t="s">
        <v>56645</v>
      </c>
      <c r="ABI73" s="1" t="s">
        <v>56646</v>
      </c>
      <c r="ABJ73" s="1" t="s">
        <v>56647</v>
      </c>
      <c r="ABK73" s="1" t="s">
        <v>56648</v>
      </c>
      <c r="ABL73" s="1" t="s">
        <v>56649</v>
      </c>
      <c r="ABM73" s="1" t="s">
        <v>56650</v>
      </c>
      <c r="ABN73" s="1" t="s">
        <v>56651</v>
      </c>
      <c r="ABO73" s="1" t="s">
        <v>56652</v>
      </c>
      <c r="ABP73" s="1" t="s">
        <v>56653</v>
      </c>
      <c r="ABQ73" s="1" t="s">
        <v>56654</v>
      </c>
      <c r="ABR73" s="1" t="s">
        <v>56655</v>
      </c>
      <c r="ABS73" s="1" t="s">
        <v>56656</v>
      </c>
      <c r="ABT73" s="1" t="s">
        <v>56657</v>
      </c>
      <c r="ABU73" s="1" t="s">
        <v>56658</v>
      </c>
      <c r="ABV73" s="1" t="s">
        <v>56659</v>
      </c>
      <c r="ABW73" s="1" t="s">
        <v>56660</v>
      </c>
      <c r="ABX73" s="1" t="s">
        <v>56661</v>
      </c>
      <c r="ABY73" s="1" t="s">
        <v>56662</v>
      </c>
      <c r="ABZ73" s="1" t="s">
        <v>56663</v>
      </c>
      <c r="ACA73" s="1" t="s">
        <v>56664</v>
      </c>
      <c r="ACB73" s="1" t="s">
        <v>56665</v>
      </c>
      <c r="ACC73" s="1" t="s">
        <v>56666</v>
      </c>
      <c r="ACD73" s="1" t="s">
        <v>56667</v>
      </c>
      <c r="ACE73" s="1" t="s">
        <v>56668</v>
      </c>
      <c r="ACF73" s="1" t="s">
        <v>56669</v>
      </c>
      <c r="ACG73" s="1" t="s">
        <v>56670</v>
      </c>
      <c r="ACH73" s="1" t="s">
        <v>56671</v>
      </c>
      <c r="ACI73" s="1" t="s">
        <v>56672</v>
      </c>
      <c r="ACJ73" s="1" t="s">
        <v>56673</v>
      </c>
      <c r="ACK73" s="1" t="s">
        <v>56674</v>
      </c>
      <c r="ACL73" s="1" t="s">
        <v>56675</v>
      </c>
      <c r="ACM73" s="1" t="s">
        <v>56676</v>
      </c>
      <c r="ACN73" s="1" t="s">
        <v>56677</v>
      </c>
      <c r="ACO73" s="1" t="s">
        <v>56678</v>
      </c>
      <c r="ACP73" s="1" t="s">
        <v>56679</v>
      </c>
      <c r="ACQ73" s="1" t="s">
        <v>56680</v>
      </c>
      <c r="ACR73" s="1" t="s">
        <v>56681</v>
      </c>
      <c r="ACS73" s="1" t="s">
        <v>56682</v>
      </c>
      <c r="ACT73" s="1" t="s">
        <v>56683</v>
      </c>
      <c r="ACU73" s="1" t="s">
        <v>56684</v>
      </c>
      <c r="ACV73" s="1" t="s">
        <v>56685</v>
      </c>
      <c r="ACW73" s="1" t="s">
        <v>6</v>
      </c>
      <c r="ACX73" s="1" t="s">
        <v>1501</v>
      </c>
    </row>
    <row r="74" spans="1:778" x14ac:dyDescent="0.2">
      <c r="A74" s="1" t="s">
        <v>34</v>
      </c>
      <c r="B74" s="1" t="s">
        <v>56686</v>
      </c>
      <c r="C74" s="1" t="s">
        <v>56687</v>
      </c>
      <c r="D74" s="1" t="s">
        <v>56688</v>
      </c>
      <c r="E74" s="1" t="s">
        <v>56689</v>
      </c>
      <c r="F74" s="1" t="s">
        <v>56690</v>
      </c>
      <c r="G74" s="1" t="s">
        <v>56691</v>
      </c>
      <c r="H74" s="1" t="s">
        <v>56692</v>
      </c>
      <c r="I74" s="1" t="s">
        <v>56693</v>
      </c>
      <c r="J74" s="1" t="s">
        <v>56694</v>
      </c>
      <c r="K74" s="1" t="s">
        <v>56695</v>
      </c>
      <c r="L74" s="1" t="s">
        <v>56696</v>
      </c>
      <c r="M74" s="1" t="s">
        <v>56697</v>
      </c>
      <c r="N74" s="1" t="s">
        <v>56698</v>
      </c>
      <c r="O74" s="1" t="s">
        <v>56699</v>
      </c>
      <c r="P74" s="1" t="s">
        <v>56700</v>
      </c>
      <c r="Q74" s="1" t="s">
        <v>56701</v>
      </c>
      <c r="R74" s="1" t="s">
        <v>56702</v>
      </c>
      <c r="S74" s="1" t="s">
        <v>56703</v>
      </c>
      <c r="T74" s="1" t="s">
        <v>56704</v>
      </c>
      <c r="U74" s="1" t="s">
        <v>56705</v>
      </c>
      <c r="V74" s="1" t="s">
        <v>56706</v>
      </c>
      <c r="W74" s="1" t="s">
        <v>56707</v>
      </c>
      <c r="X74" s="1" t="s">
        <v>56708</v>
      </c>
      <c r="Y74" s="1" t="s">
        <v>56709</v>
      </c>
      <c r="Z74" s="1" t="s">
        <v>56710</v>
      </c>
      <c r="AA74" s="1" t="s">
        <v>56711</v>
      </c>
      <c r="AB74" s="1" t="s">
        <v>56712</v>
      </c>
      <c r="AC74" s="1" t="s">
        <v>56713</v>
      </c>
      <c r="AD74" s="1" t="s">
        <v>56714</v>
      </c>
      <c r="AE74" s="1" t="s">
        <v>56715</v>
      </c>
      <c r="AF74" s="1" t="s">
        <v>56716</v>
      </c>
      <c r="AG74" s="1" t="s">
        <v>56717</v>
      </c>
      <c r="AH74" s="1" t="s">
        <v>56718</v>
      </c>
      <c r="AI74" s="1" t="s">
        <v>56719</v>
      </c>
      <c r="AJ74" s="1" t="s">
        <v>56720</v>
      </c>
      <c r="AK74" s="1" t="s">
        <v>56721</v>
      </c>
      <c r="AL74" s="1" t="s">
        <v>56722</v>
      </c>
      <c r="AM74" s="1" t="s">
        <v>56723</v>
      </c>
      <c r="AN74" s="1" t="s">
        <v>56724</v>
      </c>
      <c r="AO74" s="1" t="s">
        <v>56725</v>
      </c>
      <c r="AP74" s="1" t="s">
        <v>56726</v>
      </c>
      <c r="AQ74" s="1" t="s">
        <v>56727</v>
      </c>
      <c r="AR74" s="1" t="s">
        <v>56728</v>
      </c>
      <c r="AS74" s="1" t="s">
        <v>56729</v>
      </c>
      <c r="AT74" s="1" t="s">
        <v>56730</v>
      </c>
      <c r="AU74" s="1" t="s">
        <v>56731</v>
      </c>
      <c r="AV74" s="1" t="s">
        <v>56732</v>
      </c>
      <c r="AW74" s="1" t="s">
        <v>56733</v>
      </c>
      <c r="AX74" s="1" t="s">
        <v>56734</v>
      </c>
      <c r="AY74" s="1" t="s">
        <v>56735</v>
      </c>
      <c r="AZ74" s="1" t="s">
        <v>56736</v>
      </c>
      <c r="BA74" s="1" t="s">
        <v>56737</v>
      </c>
      <c r="BB74" s="1" t="s">
        <v>56738</v>
      </c>
      <c r="BC74" s="1" t="s">
        <v>56739</v>
      </c>
      <c r="BD74" s="1" t="s">
        <v>56740</v>
      </c>
      <c r="BE74" s="1" t="s">
        <v>56741</v>
      </c>
      <c r="BF74" s="1" t="s">
        <v>56742</v>
      </c>
      <c r="BG74" s="1" t="s">
        <v>56743</v>
      </c>
      <c r="BH74" s="1" t="s">
        <v>56744</v>
      </c>
      <c r="BI74" s="1" t="s">
        <v>56745</v>
      </c>
      <c r="BJ74" s="1" t="s">
        <v>56746</v>
      </c>
      <c r="BK74" s="1" t="s">
        <v>56747</v>
      </c>
      <c r="BL74" s="1" t="s">
        <v>56748</v>
      </c>
      <c r="BM74" s="1" t="s">
        <v>56749</v>
      </c>
      <c r="BN74" s="1" t="s">
        <v>56750</v>
      </c>
      <c r="BO74" s="1" t="s">
        <v>56751</v>
      </c>
      <c r="BP74" s="1" t="s">
        <v>56752</v>
      </c>
      <c r="BQ74" s="1" t="s">
        <v>56753</v>
      </c>
      <c r="BR74" s="1" t="s">
        <v>56754</v>
      </c>
      <c r="BS74" s="1" t="s">
        <v>56755</v>
      </c>
      <c r="BT74" s="1" t="s">
        <v>56756</v>
      </c>
      <c r="BU74" s="1" t="s">
        <v>56757</v>
      </c>
      <c r="BV74" s="1" t="s">
        <v>56758</v>
      </c>
      <c r="BW74" s="1" t="s">
        <v>56759</v>
      </c>
      <c r="BX74" s="1" t="s">
        <v>56760</v>
      </c>
      <c r="BY74" s="1" t="s">
        <v>56761</v>
      </c>
      <c r="BZ74" s="1" t="s">
        <v>56762</v>
      </c>
      <c r="CA74" s="1" t="s">
        <v>56763</v>
      </c>
      <c r="CB74" s="1" t="s">
        <v>56764</v>
      </c>
      <c r="CC74" s="1" t="s">
        <v>56765</v>
      </c>
      <c r="CD74" s="1" t="s">
        <v>56766</v>
      </c>
      <c r="CE74" s="1" t="s">
        <v>56767</v>
      </c>
      <c r="CF74" s="1" t="s">
        <v>56768</v>
      </c>
      <c r="CG74" s="1" t="s">
        <v>56769</v>
      </c>
      <c r="CH74" s="1" t="s">
        <v>56770</v>
      </c>
      <c r="CI74" s="1" t="s">
        <v>56771</v>
      </c>
      <c r="CJ74" s="1" t="s">
        <v>56772</v>
      </c>
      <c r="CK74" s="1" t="s">
        <v>56773</v>
      </c>
      <c r="CL74" s="1" t="s">
        <v>56774</v>
      </c>
      <c r="CM74" s="1" t="s">
        <v>56775</v>
      </c>
      <c r="CN74" s="1" t="s">
        <v>56776</v>
      </c>
      <c r="CO74" s="1" t="s">
        <v>56777</v>
      </c>
      <c r="CP74" s="1" t="s">
        <v>56778</v>
      </c>
      <c r="CQ74" s="1" t="s">
        <v>56779</v>
      </c>
      <c r="CR74" s="1" t="s">
        <v>56780</v>
      </c>
      <c r="CS74" s="1" t="s">
        <v>56781</v>
      </c>
      <c r="CT74" s="1" t="s">
        <v>56782</v>
      </c>
      <c r="CU74" s="1" t="s">
        <v>56783</v>
      </c>
      <c r="CV74" s="1" t="s">
        <v>56784</v>
      </c>
      <c r="CW74" s="1" t="s">
        <v>56785</v>
      </c>
      <c r="CX74" s="1" t="s">
        <v>56786</v>
      </c>
      <c r="CY74" s="1" t="s">
        <v>56787</v>
      </c>
      <c r="CZ74" s="1" t="s">
        <v>56788</v>
      </c>
      <c r="DA74" s="1" t="s">
        <v>56789</v>
      </c>
      <c r="DB74" s="1" t="s">
        <v>56790</v>
      </c>
      <c r="DC74" s="1" t="s">
        <v>56791</v>
      </c>
      <c r="DD74" s="1" t="s">
        <v>56792</v>
      </c>
      <c r="DE74" s="1" t="s">
        <v>56793</v>
      </c>
      <c r="DF74" s="1" t="s">
        <v>56794</v>
      </c>
      <c r="DG74" s="1" t="s">
        <v>56795</v>
      </c>
      <c r="DH74" s="1" t="s">
        <v>56796</v>
      </c>
      <c r="DI74" s="1" t="s">
        <v>56797</v>
      </c>
      <c r="DJ74" s="1" t="s">
        <v>56798</v>
      </c>
      <c r="DK74" s="1" t="s">
        <v>56799</v>
      </c>
      <c r="DL74" s="1" t="s">
        <v>56800</v>
      </c>
      <c r="DM74" s="1" t="s">
        <v>56801</v>
      </c>
      <c r="DN74" s="1" t="s">
        <v>56802</v>
      </c>
      <c r="DO74" s="1" t="s">
        <v>56803</v>
      </c>
      <c r="DP74" s="1" t="s">
        <v>56804</v>
      </c>
      <c r="DQ74" s="1" t="s">
        <v>56805</v>
      </c>
      <c r="DR74" s="1" t="s">
        <v>56806</v>
      </c>
      <c r="DS74" s="1" t="s">
        <v>56807</v>
      </c>
      <c r="DT74" s="1" t="s">
        <v>56808</v>
      </c>
      <c r="DU74" s="1" t="s">
        <v>56809</v>
      </c>
      <c r="DV74" s="1" t="s">
        <v>56810</v>
      </c>
      <c r="DW74" s="1" t="s">
        <v>56811</v>
      </c>
      <c r="DX74" s="1" t="s">
        <v>56812</v>
      </c>
      <c r="DY74" s="1" t="s">
        <v>56813</v>
      </c>
      <c r="DZ74" s="1" t="s">
        <v>56814</v>
      </c>
      <c r="EA74" s="1" t="s">
        <v>56815</v>
      </c>
      <c r="EB74" s="1" t="s">
        <v>56816</v>
      </c>
      <c r="EC74" s="1" t="s">
        <v>56817</v>
      </c>
      <c r="ED74" s="1" t="s">
        <v>56818</v>
      </c>
      <c r="EE74" s="1" t="s">
        <v>56819</v>
      </c>
      <c r="EF74" s="1" t="s">
        <v>56820</v>
      </c>
      <c r="EG74" s="1" t="s">
        <v>56821</v>
      </c>
      <c r="EH74" s="1" t="s">
        <v>56822</v>
      </c>
      <c r="EI74" s="1" t="s">
        <v>56823</v>
      </c>
      <c r="EJ74" s="1" t="s">
        <v>56824</v>
      </c>
      <c r="EK74" s="1" t="s">
        <v>56825</v>
      </c>
      <c r="EL74" s="1" t="s">
        <v>56826</v>
      </c>
      <c r="EM74" s="1" t="s">
        <v>56827</v>
      </c>
      <c r="EN74" s="1" t="s">
        <v>56828</v>
      </c>
      <c r="EO74" s="1" t="s">
        <v>56829</v>
      </c>
      <c r="EP74" s="1" t="s">
        <v>56830</v>
      </c>
      <c r="EQ74" s="1" t="s">
        <v>56831</v>
      </c>
      <c r="ER74" s="1" t="s">
        <v>56832</v>
      </c>
      <c r="ES74" s="1" t="s">
        <v>56833</v>
      </c>
      <c r="ET74" s="1" t="s">
        <v>56834</v>
      </c>
      <c r="EU74" s="1" t="s">
        <v>56835</v>
      </c>
      <c r="EV74" s="1" t="s">
        <v>56836</v>
      </c>
      <c r="EW74" s="1" t="s">
        <v>56837</v>
      </c>
      <c r="EX74" s="1" t="s">
        <v>56838</v>
      </c>
      <c r="EY74" s="1" t="s">
        <v>56839</v>
      </c>
      <c r="EZ74" s="1" t="s">
        <v>56840</v>
      </c>
      <c r="FA74" s="1" t="s">
        <v>56841</v>
      </c>
      <c r="FB74" s="1" t="s">
        <v>56842</v>
      </c>
      <c r="FC74" s="1" t="s">
        <v>56843</v>
      </c>
      <c r="FD74" s="1" t="s">
        <v>56844</v>
      </c>
      <c r="FE74" s="1" t="s">
        <v>56845</v>
      </c>
      <c r="FF74" s="1" t="s">
        <v>56846</v>
      </c>
      <c r="FG74" s="1" t="s">
        <v>56847</v>
      </c>
      <c r="FH74" s="1" t="s">
        <v>56848</v>
      </c>
      <c r="FI74" s="1" t="s">
        <v>56849</v>
      </c>
      <c r="FJ74" s="1" t="s">
        <v>56850</v>
      </c>
      <c r="FK74" s="1" t="s">
        <v>56851</v>
      </c>
      <c r="FL74" s="1" t="s">
        <v>56852</v>
      </c>
      <c r="FM74" s="1" t="s">
        <v>56853</v>
      </c>
      <c r="FN74" s="1" t="s">
        <v>56854</v>
      </c>
      <c r="FO74" s="1" t="s">
        <v>56855</v>
      </c>
      <c r="FP74" s="1" t="s">
        <v>56856</v>
      </c>
      <c r="FQ74" s="1" t="s">
        <v>56857</v>
      </c>
      <c r="FR74" s="1" t="s">
        <v>56858</v>
      </c>
      <c r="FS74" s="1" t="s">
        <v>56859</v>
      </c>
      <c r="FT74" s="1" t="s">
        <v>56860</v>
      </c>
      <c r="FU74" s="1" t="s">
        <v>56861</v>
      </c>
      <c r="FV74" s="1" t="s">
        <v>56862</v>
      </c>
      <c r="FW74" s="1" t="s">
        <v>56863</v>
      </c>
      <c r="FX74" s="1" t="s">
        <v>56864</v>
      </c>
      <c r="FY74" s="1" t="s">
        <v>56865</v>
      </c>
      <c r="FZ74" s="1" t="s">
        <v>56866</v>
      </c>
      <c r="GA74" s="1" t="s">
        <v>56867</v>
      </c>
      <c r="GB74" s="1" t="s">
        <v>56868</v>
      </c>
      <c r="GC74" s="1" t="s">
        <v>56869</v>
      </c>
      <c r="GD74" s="1" t="s">
        <v>56870</v>
      </c>
      <c r="GE74" s="1" t="s">
        <v>56871</v>
      </c>
      <c r="GF74" s="1" t="s">
        <v>56872</v>
      </c>
      <c r="GG74" s="1" t="s">
        <v>56873</v>
      </c>
      <c r="GH74" s="1" t="s">
        <v>56874</v>
      </c>
      <c r="GI74" s="1" t="s">
        <v>56875</v>
      </c>
      <c r="GJ74" s="1" t="s">
        <v>56876</v>
      </c>
      <c r="GK74" s="1" t="s">
        <v>56877</v>
      </c>
      <c r="GL74" s="1" t="s">
        <v>56878</v>
      </c>
      <c r="GM74" s="1" t="s">
        <v>56879</v>
      </c>
      <c r="GN74" s="1" t="s">
        <v>56880</v>
      </c>
      <c r="GO74" s="1" t="s">
        <v>56881</v>
      </c>
      <c r="GP74" s="1" t="s">
        <v>56882</v>
      </c>
      <c r="GQ74" s="1" t="s">
        <v>56883</v>
      </c>
      <c r="GR74" s="1" t="s">
        <v>56884</v>
      </c>
      <c r="GS74" s="1" t="s">
        <v>56885</v>
      </c>
      <c r="GT74" s="1" t="s">
        <v>56886</v>
      </c>
      <c r="GU74" s="1" t="s">
        <v>56887</v>
      </c>
      <c r="GV74" s="1" t="s">
        <v>56888</v>
      </c>
      <c r="GW74" s="1" t="s">
        <v>56889</v>
      </c>
      <c r="GX74" s="1" t="s">
        <v>56890</v>
      </c>
      <c r="GY74" s="1" t="s">
        <v>56891</v>
      </c>
      <c r="GZ74" s="1" t="s">
        <v>56892</v>
      </c>
      <c r="HA74" s="1" t="s">
        <v>56893</v>
      </c>
      <c r="HB74" s="1" t="s">
        <v>56894</v>
      </c>
      <c r="HC74" s="1" t="s">
        <v>56895</v>
      </c>
      <c r="HD74" s="1" t="s">
        <v>56896</v>
      </c>
      <c r="HE74" s="1" t="s">
        <v>56897</v>
      </c>
      <c r="HF74" s="1" t="s">
        <v>56898</v>
      </c>
      <c r="HG74" s="1" t="s">
        <v>56899</v>
      </c>
      <c r="HH74" s="1" t="s">
        <v>56900</v>
      </c>
      <c r="HI74" s="1" t="s">
        <v>56901</v>
      </c>
      <c r="HJ74" s="1" t="s">
        <v>56902</v>
      </c>
      <c r="HK74" s="1" t="s">
        <v>56903</v>
      </c>
      <c r="HL74" s="1" t="s">
        <v>56904</v>
      </c>
      <c r="HM74" s="1" t="s">
        <v>56905</v>
      </c>
      <c r="HN74" s="1" t="s">
        <v>56906</v>
      </c>
      <c r="HO74" s="1" t="s">
        <v>56907</v>
      </c>
      <c r="HP74" s="1" t="s">
        <v>56908</v>
      </c>
      <c r="HQ74" s="1" t="s">
        <v>56909</v>
      </c>
      <c r="HR74" s="1" t="s">
        <v>56910</v>
      </c>
      <c r="HS74" s="1" t="s">
        <v>56911</v>
      </c>
      <c r="HT74" s="1" t="s">
        <v>56912</v>
      </c>
      <c r="HU74" s="1" t="s">
        <v>56913</v>
      </c>
      <c r="HV74" s="1" t="s">
        <v>56914</v>
      </c>
      <c r="HW74" s="1" t="s">
        <v>56915</v>
      </c>
      <c r="HX74" s="1" t="s">
        <v>56916</v>
      </c>
      <c r="HY74" s="1" t="s">
        <v>56917</v>
      </c>
      <c r="HZ74" s="1" t="s">
        <v>56918</v>
      </c>
      <c r="IA74" s="1" t="s">
        <v>56919</v>
      </c>
      <c r="IB74" s="1" t="s">
        <v>56920</v>
      </c>
      <c r="IC74" s="1" t="s">
        <v>56921</v>
      </c>
      <c r="ID74" s="1" t="s">
        <v>56922</v>
      </c>
      <c r="IE74" s="1" t="s">
        <v>56923</v>
      </c>
      <c r="IF74" s="1" t="s">
        <v>56924</v>
      </c>
      <c r="IG74" s="1" t="s">
        <v>56925</v>
      </c>
      <c r="IH74" s="1" t="s">
        <v>56926</v>
      </c>
      <c r="II74" s="1" t="s">
        <v>56927</v>
      </c>
      <c r="IJ74" s="1" t="s">
        <v>56928</v>
      </c>
      <c r="IK74" s="1" t="s">
        <v>56929</v>
      </c>
      <c r="IL74" s="1" t="s">
        <v>56930</v>
      </c>
      <c r="IM74" s="1" t="s">
        <v>56931</v>
      </c>
      <c r="IN74" s="1" t="s">
        <v>56932</v>
      </c>
      <c r="IO74" s="1" t="s">
        <v>56933</v>
      </c>
      <c r="IP74" s="1" t="s">
        <v>56934</v>
      </c>
      <c r="IQ74" s="1" t="s">
        <v>56935</v>
      </c>
      <c r="IR74" s="1" t="s">
        <v>56936</v>
      </c>
      <c r="IS74" s="1" t="s">
        <v>56937</v>
      </c>
      <c r="IT74" s="1" t="s">
        <v>56938</v>
      </c>
      <c r="IU74" s="1" t="s">
        <v>56939</v>
      </c>
      <c r="IV74" s="1" t="s">
        <v>56940</v>
      </c>
      <c r="IW74" s="1" t="s">
        <v>56941</v>
      </c>
      <c r="IX74" s="1" t="s">
        <v>56942</v>
      </c>
      <c r="IY74" s="1" t="s">
        <v>56943</v>
      </c>
      <c r="IZ74" s="1" t="s">
        <v>56944</v>
      </c>
      <c r="JA74" s="1" t="s">
        <v>56945</v>
      </c>
      <c r="JB74" s="1" t="s">
        <v>56946</v>
      </c>
      <c r="JC74" s="1" t="s">
        <v>56947</v>
      </c>
      <c r="JD74" s="1" t="s">
        <v>56948</v>
      </c>
      <c r="JE74" s="1" t="s">
        <v>56949</v>
      </c>
      <c r="JF74" s="1" t="s">
        <v>56950</v>
      </c>
      <c r="JG74" s="1" t="s">
        <v>56951</v>
      </c>
      <c r="JH74" s="1" t="s">
        <v>56952</v>
      </c>
      <c r="JI74" s="1" t="s">
        <v>56953</v>
      </c>
      <c r="JJ74" s="1" t="s">
        <v>56954</v>
      </c>
      <c r="JK74" s="1" t="s">
        <v>56955</v>
      </c>
      <c r="JL74" s="1" t="s">
        <v>56956</v>
      </c>
      <c r="JM74" s="1" t="s">
        <v>56957</v>
      </c>
      <c r="JN74" s="1" t="s">
        <v>56958</v>
      </c>
      <c r="JO74" s="1" t="s">
        <v>56959</v>
      </c>
      <c r="JP74" s="1" t="s">
        <v>56960</v>
      </c>
      <c r="JQ74" s="1" t="s">
        <v>56961</v>
      </c>
      <c r="JR74" s="1" t="s">
        <v>56962</v>
      </c>
      <c r="JS74" s="1" t="s">
        <v>56963</v>
      </c>
      <c r="JT74" s="1" t="s">
        <v>56964</v>
      </c>
      <c r="JU74" s="1" t="s">
        <v>56965</v>
      </c>
      <c r="JV74" s="1" t="s">
        <v>56966</v>
      </c>
      <c r="JW74" s="1" t="s">
        <v>56967</v>
      </c>
      <c r="JX74" s="1" t="s">
        <v>56968</v>
      </c>
      <c r="JY74" s="1" t="s">
        <v>56969</v>
      </c>
      <c r="JZ74" s="1" t="s">
        <v>56970</v>
      </c>
      <c r="KA74" s="1" t="s">
        <v>56971</v>
      </c>
      <c r="KB74" s="1" t="s">
        <v>56972</v>
      </c>
      <c r="KC74" s="1" t="s">
        <v>56973</v>
      </c>
      <c r="KD74" s="1" t="s">
        <v>56974</v>
      </c>
      <c r="KE74" s="1" t="s">
        <v>56975</v>
      </c>
      <c r="KF74" s="1" t="s">
        <v>56976</v>
      </c>
      <c r="KG74" s="1" t="s">
        <v>56977</v>
      </c>
      <c r="KH74" s="1" t="s">
        <v>56978</v>
      </c>
      <c r="KI74" s="1" t="s">
        <v>56979</v>
      </c>
      <c r="KJ74" s="1" t="s">
        <v>56980</v>
      </c>
      <c r="KK74" s="1" t="s">
        <v>56981</v>
      </c>
      <c r="KL74" s="1" t="s">
        <v>56982</v>
      </c>
      <c r="KM74" s="1" t="s">
        <v>56983</v>
      </c>
      <c r="KN74" s="1" t="s">
        <v>56984</v>
      </c>
      <c r="KO74" s="1" t="s">
        <v>56985</v>
      </c>
      <c r="KP74" s="1" t="s">
        <v>56986</v>
      </c>
      <c r="KQ74" s="1" t="s">
        <v>56987</v>
      </c>
      <c r="KR74" s="1" t="s">
        <v>56988</v>
      </c>
      <c r="KS74" s="1" t="s">
        <v>56989</v>
      </c>
      <c r="KT74" s="1" t="s">
        <v>56990</v>
      </c>
      <c r="KU74" s="1" t="s">
        <v>56991</v>
      </c>
      <c r="KV74" s="1" t="s">
        <v>56992</v>
      </c>
      <c r="KW74" s="1" t="s">
        <v>56993</v>
      </c>
      <c r="KX74" s="1" t="s">
        <v>56994</v>
      </c>
      <c r="KY74" s="1" t="s">
        <v>56995</v>
      </c>
      <c r="KZ74" s="1" t="s">
        <v>56996</v>
      </c>
      <c r="LA74" s="1" t="s">
        <v>56997</v>
      </c>
      <c r="LB74" s="1" t="s">
        <v>56998</v>
      </c>
      <c r="LC74" s="1" t="s">
        <v>56999</v>
      </c>
      <c r="LD74" s="1" t="s">
        <v>57000</v>
      </c>
      <c r="LE74" s="1" t="s">
        <v>57001</v>
      </c>
      <c r="LF74" s="1" t="s">
        <v>57002</v>
      </c>
      <c r="LG74" s="1" t="s">
        <v>57003</v>
      </c>
      <c r="LH74" s="1" t="s">
        <v>57004</v>
      </c>
      <c r="LI74" s="1" t="s">
        <v>57005</v>
      </c>
      <c r="LJ74" s="1" t="s">
        <v>57006</v>
      </c>
      <c r="LK74" s="1" t="s">
        <v>57007</v>
      </c>
      <c r="LL74" s="1" t="s">
        <v>57008</v>
      </c>
      <c r="LM74" s="1" t="s">
        <v>57009</v>
      </c>
      <c r="LN74" s="1" t="s">
        <v>57010</v>
      </c>
      <c r="LO74" s="1" t="s">
        <v>57011</v>
      </c>
      <c r="LP74" s="1" t="s">
        <v>57012</v>
      </c>
      <c r="LQ74" s="1" t="s">
        <v>57013</v>
      </c>
      <c r="LR74" s="1" t="s">
        <v>57014</v>
      </c>
      <c r="LS74" s="1" t="s">
        <v>57015</v>
      </c>
      <c r="LT74" s="1" t="s">
        <v>57016</v>
      </c>
      <c r="LU74" s="1" t="s">
        <v>57017</v>
      </c>
      <c r="LV74" s="1" t="s">
        <v>57018</v>
      </c>
      <c r="LW74" s="1" t="s">
        <v>57019</v>
      </c>
      <c r="LX74" s="1" t="s">
        <v>57020</v>
      </c>
      <c r="LY74" s="1" t="s">
        <v>57021</v>
      </c>
      <c r="LZ74" s="1" t="s">
        <v>57022</v>
      </c>
      <c r="MA74" s="1" t="s">
        <v>57023</v>
      </c>
      <c r="MB74" s="1" t="s">
        <v>57024</v>
      </c>
      <c r="MC74" s="1" t="s">
        <v>57025</v>
      </c>
      <c r="MD74" s="1" t="s">
        <v>57026</v>
      </c>
      <c r="ME74" s="1" t="s">
        <v>57027</v>
      </c>
      <c r="MF74" s="1" t="s">
        <v>57028</v>
      </c>
      <c r="MG74" s="1" t="s">
        <v>57029</v>
      </c>
      <c r="MH74" s="1" t="s">
        <v>57030</v>
      </c>
      <c r="MI74" s="1" t="s">
        <v>57031</v>
      </c>
      <c r="MJ74" s="1" t="s">
        <v>57032</v>
      </c>
      <c r="MK74" s="1" t="s">
        <v>57033</v>
      </c>
      <c r="ML74" s="1" t="s">
        <v>57034</v>
      </c>
      <c r="MM74" s="1" t="s">
        <v>57035</v>
      </c>
      <c r="MN74" s="1" t="s">
        <v>57036</v>
      </c>
      <c r="MO74" s="1" t="s">
        <v>57037</v>
      </c>
      <c r="MP74" s="1" t="s">
        <v>57038</v>
      </c>
      <c r="MQ74" s="1" t="s">
        <v>57039</v>
      </c>
      <c r="MR74" s="1" t="s">
        <v>57040</v>
      </c>
      <c r="MS74" s="1" t="s">
        <v>57041</v>
      </c>
      <c r="MT74" s="1" t="s">
        <v>57042</v>
      </c>
      <c r="MU74" s="1" t="s">
        <v>57043</v>
      </c>
      <c r="MV74" s="1" t="s">
        <v>57044</v>
      </c>
      <c r="MW74" s="1" t="s">
        <v>57045</v>
      </c>
      <c r="MX74" s="1" t="s">
        <v>57046</v>
      </c>
      <c r="MY74" s="1" t="s">
        <v>57047</v>
      </c>
      <c r="MZ74" s="1" t="s">
        <v>57048</v>
      </c>
      <c r="NA74" s="1" t="s">
        <v>57049</v>
      </c>
      <c r="NB74" s="1" t="s">
        <v>57050</v>
      </c>
      <c r="NC74" s="1" t="s">
        <v>57051</v>
      </c>
      <c r="ND74" s="1" t="s">
        <v>57052</v>
      </c>
      <c r="NE74" s="1" t="s">
        <v>57053</v>
      </c>
      <c r="NF74" s="1" t="s">
        <v>57054</v>
      </c>
      <c r="NG74" s="1" t="s">
        <v>57055</v>
      </c>
      <c r="NH74" s="1" t="s">
        <v>57056</v>
      </c>
      <c r="NI74" s="1" t="s">
        <v>57057</v>
      </c>
      <c r="NJ74" s="1" t="s">
        <v>57058</v>
      </c>
      <c r="NK74" s="1" t="s">
        <v>57059</v>
      </c>
      <c r="NL74" s="1" t="s">
        <v>57060</v>
      </c>
      <c r="NM74" s="1" t="s">
        <v>57061</v>
      </c>
      <c r="NN74" s="1" t="s">
        <v>57062</v>
      </c>
      <c r="NO74" s="1" t="s">
        <v>57063</v>
      </c>
      <c r="NP74" s="1" t="s">
        <v>57064</v>
      </c>
      <c r="NQ74" s="1" t="s">
        <v>57065</v>
      </c>
      <c r="NR74" s="1" t="s">
        <v>57066</v>
      </c>
      <c r="NS74" s="1" t="s">
        <v>57067</v>
      </c>
      <c r="NT74" s="1" t="s">
        <v>57068</v>
      </c>
      <c r="NU74" s="1" t="s">
        <v>57069</v>
      </c>
      <c r="NV74" s="1" t="s">
        <v>57070</v>
      </c>
      <c r="NW74" s="1" t="s">
        <v>57071</v>
      </c>
      <c r="NX74" s="1" t="s">
        <v>57072</v>
      </c>
      <c r="NY74" s="1" t="s">
        <v>57073</v>
      </c>
      <c r="NZ74" s="1" t="s">
        <v>57074</v>
      </c>
      <c r="OA74" s="1" t="s">
        <v>57075</v>
      </c>
      <c r="OB74" s="1" t="s">
        <v>57076</v>
      </c>
      <c r="OC74" s="1" t="s">
        <v>57077</v>
      </c>
      <c r="OD74" s="1" t="s">
        <v>57078</v>
      </c>
      <c r="OE74" s="1" t="s">
        <v>57079</v>
      </c>
      <c r="OF74" s="1" t="s">
        <v>57080</v>
      </c>
      <c r="OG74" s="1" t="s">
        <v>57081</v>
      </c>
      <c r="OH74" s="1" t="s">
        <v>57082</v>
      </c>
      <c r="OI74" s="1" t="s">
        <v>57083</v>
      </c>
      <c r="OJ74" s="1" t="s">
        <v>57084</v>
      </c>
      <c r="OK74" s="1" t="s">
        <v>57085</v>
      </c>
      <c r="OL74" s="1" t="s">
        <v>57086</v>
      </c>
      <c r="OM74" s="1" t="s">
        <v>57087</v>
      </c>
      <c r="ON74" s="1" t="s">
        <v>57088</v>
      </c>
      <c r="OO74" s="1" t="s">
        <v>57089</v>
      </c>
      <c r="OP74" s="1" t="s">
        <v>57090</v>
      </c>
      <c r="OQ74" s="1" t="s">
        <v>57091</v>
      </c>
      <c r="OR74" s="1" t="s">
        <v>57092</v>
      </c>
      <c r="OS74" s="1" t="s">
        <v>57093</v>
      </c>
      <c r="OT74" s="1" t="s">
        <v>57094</v>
      </c>
      <c r="OU74" s="1" t="s">
        <v>57095</v>
      </c>
      <c r="OV74" s="1" t="s">
        <v>57096</v>
      </c>
      <c r="OW74" s="1" t="s">
        <v>57097</v>
      </c>
      <c r="OX74" s="1" t="s">
        <v>57098</v>
      </c>
      <c r="OY74" s="1" t="s">
        <v>57099</v>
      </c>
      <c r="OZ74" s="1" t="s">
        <v>57100</v>
      </c>
      <c r="PA74" s="1" t="s">
        <v>57101</v>
      </c>
      <c r="PB74" s="1" t="s">
        <v>57102</v>
      </c>
      <c r="PC74" s="1" t="s">
        <v>57103</v>
      </c>
      <c r="PD74" s="1" t="s">
        <v>57104</v>
      </c>
      <c r="PE74" s="1" t="s">
        <v>57105</v>
      </c>
      <c r="PF74" s="1" t="s">
        <v>57106</v>
      </c>
      <c r="PG74" s="1" t="s">
        <v>57107</v>
      </c>
      <c r="PH74" s="1" t="s">
        <v>57108</v>
      </c>
      <c r="PI74" s="1" t="s">
        <v>57109</v>
      </c>
      <c r="PJ74" s="1" t="s">
        <v>57110</v>
      </c>
      <c r="PK74" s="1" t="s">
        <v>57111</v>
      </c>
      <c r="PL74" s="1" t="s">
        <v>57112</v>
      </c>
      <c r="PM74" s="1" t="s">
        <v>57113</v>
      </c>
      <c r="PN74" s="1" t="s">
        <v>57114</v>
      </c>
      <c r="PO74" s="1" t="s">
        <v>57115</v>
      </c>
      <c r="PP74" s="1" t="s">
        <v>57116</v>
      </c>
      <c r="PQ74" s="1" t="s">
        <v>57117</v>
      </c>
      <c r="PR74" s="1" t="s">
        <v>57118</v>
      </c>
      <c r="PS74" s="1" t="s">
        <v>57119</v>
      </c>
      <c r="PT74" s="1" t="s">
        <v>57120</v>
      </c>
      <c r="PU74" s="1" t="s">
        <v>57121</v>
      </c>
      <c r="PV74" s="1" t="s">
        <v>57122</v>
      </c>
      <c r="PW74" s="1" t="s">
        <v>57123</v>
      </c>
      <c r="PX74" s="1" t="s">
        <v>57124</v>
      </c>
      <c r="PY74" s="1" t="s">
        <v>57125</v>
      </c>
      <c r="PZ74" s="1" t="s">
        <v>57126</v>
      </c>
      <c r="QA74" s="1" t="s">
        <v>57127</v>
      </c>
      <c r="QB74" s="1" t="s">
        <v>57128</v>
      </c>
      <c r="QC74" s="1" t="s">
        <v>57129</v>
      </c>
      <c r="QD74" s="1" t="s">
        <v>57130</v>
      </c>
      <c r="QE74" s="1" t="s">
        <v>57131</v>
      </c>
      <c r="QF74" s="1" t="s">
        <v>57132</v>
      </c>
      <c r="QG74" s="1" t="s">
        <v>57133</v>
      </c>
      <c r="QH74" s="1" t="s">
        <v>57134</v>
      </c>
      <c r="QI74" s="1" t="s">
        <v>57135</v>
      </c>
      <c r="QJ74" s="1" t="s">
        <v>57136</v>
      </c>
      <c r="QK74" s="1" t="s">
        <v>57137</v>
      </c>
      <c r="QL74" s="1" t="s">
        <v>57138</v>
      </c>
      <c r="QM74" s="1" t="s">
        <v>57139</v>
      </c>
      <c r="QN74" s="1" t="s">
        <v>57140</v>
      </c>
      <c r="QO74" s="1" t="s">
        <v>57141</v>
      </c>
      <c r="QP74" s="1" t="s">
        <v>57142</v>
      </c>
      <c r="QQ74" s="1" t="s">
        <v>57143</v>
      </c>
      <c r="QR74" s="1" t="s">
        <v>57144</v>
      </c>
      <c r="QS74" s="1" t="s">
        <v>57145</v>
      </c>
      <c r="QT74" s="1" t="s">
        <v>57146</v>
      </c>
      <c r="QU74" s="1" t="s">
        <v>57147</v>
      </c>
      <c r="QV74" s="1" t="s">
        <v>57148</v>
      </c>
      <c r="QW74" s="1" t="s">
        <v>57149</v>
      </c>
      <c r="QX74" s="1" t="s">
        <v>57150</v>
      </c>
      <c r="QY74" s="1" t="s">
        <v>57151</v>
      </c>
      <c r="QZ74" s="1" t="s">
        <v>57152</v>
      </c>
      <c r="RA74" s="1" t="s">
        <v>57153</v>
      </c>
      <c r="RB74" s="1" t="s">
        <v>57154</v>
      </c>
      <c r="RC74" s="1" t="s">
        <v>57155</v>
      </c>
      <c r="RD74" s="1" t="s">
        <v>57156</v>
      </c>
      <c r="RE74" s="1" t="s">
        <v>57157</v>
      </c>
      <c r="RF74" s="1" t="s">
        <v>57158</v>
      </c>
      <c r="RG74" s="1" t="s">
        <v>57159</v>
      </c>
      <c r="RH74" s="1" t="s">
        <v>57160</v>
      </c>
      <c r="RI74" s="1" t="s">
        <v>57161</v>
      </c>
      <c r="RJ74" s="1" t="s">
        <v>57162</v>
      </c>
      <c r="RK74" s="1" t="s">
        <v>57163</v>
      </c>
      <c r="RL74" s="1" t="s">
        <v>57164</v>
      </c>
      <c r="RM74" s="1" t="s">
        <v>57165</v>
      </c>
      <c r="RN74" s="1" t="s">
        <v>57166</v>
      </c>
      <c r="RO74" s="1" t="s">
        <v>57167</v>
      </c>
      <c r="RP74" s="1" t="s">
        <v>57168</v>
      </c>
      <c r="RQ74" s="1" t="s">
        <v>57169</v>
      </c>
      <c r="RR74" s="1" t="s">
        <v>57170</v>
      </c>
      <c r="RS74" s="1" t="s">
        <v>57171</v>
      </c>
      <c r="RT74" s="1" t="s">
        <v>57172</v>
      </c>
      <c r="RU74" s="1" t="s">
        <v>57173</v>
      </c>
      <c r="RV74" s="1" t="s">
        <v>57174</v>
      </c>
      <c r="RW74" s="1" t="s">
        <v>57175</v>
      </c>
      <c r="RX74" s="1" t="s">
        <v>57176</v>
      </c>
      <c r="RY74" s="1" t="s">
        <v>57177</v>
      </c>
      <c r="RZ74" s="1" t="s">
        <v>57178</v>
      </c>
      <c r="SA74" s="1" t="s">
        <v>57179</v>
      </c>
      <c r="SB74" s="1" t="s">
        <v>57180</v>
      </c>
      <c r="SC74" s="1" t="s">
        <v>57181</v>
      </c>
      <c r="SD74" s="1" t="s">
        <v>57182</v>
      </c>
      <c r="SE74" s="1" t="s">
        <v>57183</v>
      </c>
      <c r="SF74" s="1" t="s">
        <v>57184</v>
      </c>
      <c r="SG74" s="1" t="s">
        <v>57185</v>
      </c>
      <c r="SH74" s="1" t="s">
        <v>57186</v>
      </c>
      <c r="SI74" s="1" t="s">
        <v>57187</v>
      </c>
      <c r="SJ74" s="1" t="s">
        <v>57188</v>
      </c>
      <c r="SK74" s="1" t="s">
        <v>57189</v>
      </c>
      <c r="SL74" s="1" t="s">
        <v>57190</v>
      </c>
      <c r="SM74" s="1" t="s">
        <v>57191</v>
      </c>
      <c r="SN74" s="1" t="s">
        <v>57192</v>
      </c>
      <c r="SO74" s="1" t="s">
        <v>57193</v>
      </c>
      <c r="SP74" s="1" t="s">
        <v>57194</v>
      </c>
      <c r="SQ74" s="1" t="s">
        <v>57195</v>
      </c>
      <c r="SR74" s="1" t="s">
        <v>57196</v>
      </c>
      <c r="SS74" s="1" t="s">
        <v>57197</v>
      </c>
      <c r="ST74" s="1" t="s">
        <v>57198</v>
      </c>
      <c r="SU74" s="1" t="s">
        <v>57199</v>
      </c>
      <c r="SV74" s="1" t="s">
        <v>57200</v>
      </c>
      <c r="SW74" s="1" t="s">
        <v>57201</v>
      </c>
      <c r="SX74" s="1" t="s">
        <v>57202</v>
      </c>
      <c r="SY74" s="1" t="s">
        <v>57203</v>
      </c>
      <c r="SZ74" s="1" t="s">
        <v>57204</v>
      </c>
      <c r="TA74" s="1" t="s">
        <v>57205</v>
      </c>
      <c r="TB74" s="1" t="s">
        <v>57206</v>
      </c>
      <c r="TC74" s="1" t="s">
        <v>57207</v>
      </c>
      <c r="TD74" s="1" t="s">
        <v>57208</v>
      </c>
      <c r="TE74" s="1" t="s">
        <v>57209</v>
      </c>
      <c r="TF74" s="1" t="s">
        <v>57210</v>
      </c>
      <c r="TG74" s="1" t="s">
        <v>57211</v>
      </c>
      <c r="TH74" s="1" t="s">
        <v>57212</v>
      </c>
      <c r="TI74" s="1" t="s">
        <v>57213</v>
      </c>
      <c r="TJ74" s="1" t="s">
        <v>57214</v>
      </c>
      <c r="TK74" s="1" t="s">
        <v>57215</v>
      </c>
      <c r="TL74" s="1" t="s">
        <v>57216</v>
      </c>
      <c r="TM74" s="1" t="s">
        <v>57217</v>
      </c>
      <c r="TN74" s="1" t="s">
        <v>57218</v>
      </c>
      <c r="TO74" s="1" t="s">
        <v>57219</v>
      </c>
      <c r="TP74" s="1" t="s">
        <v>57220</v>
      </c>
      <c r="TQ74" s="1" t="s">
        <v>57221</v>
      </c>
      <c r="TR74" s="1" t="s">
        <v>57222</v>
      </c>
      <c r="TS74" s="1" t="s">
        <v>57223</v>
      </c>
      <c r="TT74" s="1" t="s">
        <v>57224</v>
      </c>
      <c r="TU74" s="1" t="s">
        <v>57225</v>
      </c>
      <c r="TV74" s="1" t="s">
        <v>57226</v>
      </c>
      <c r="TW74" s="1" t="s">
        <v>57227</v>
      </c>
      <c r="TX74" s="1" t="s">
        <v>57228</v>
      </c>
      <c r="TY74" s="1" t="s">
        <v>57229</v>
      </c>
      <c r="TZ74" s="1" t="s">
        <v>57230</v>
      </c>
      <c r="UA74" s="1" t="s">
        <v>57231</v>
      </c>
      <c r="UB74" s="1" t="s">
        <v>57232</v>
      </c>
      <c r="UC74" s="1" t="s">
        <v>57233</v>
      </c>
      <c r="UD74" s="1" t="s">
        <v>57234</v>
      </c>
      <c r="UE74" s="1" t="s">
        <v>57235</v>
      </c>
      <c r="UF74" s="1" t="s">
        <v>57236</v>
      </c>
      <c r="UG74" s="1" t="s">
        <v>57237</v>
      </c>
      <c r="UH74" s="1" t="s">
        <v>57238</v>
      </c>
      <c r="UI74" s="1" t="s">
        <v>57239</v>
      </c>
      <c r="UJ74" s="1" t="s">
        <v>57240</v>
      </c>
      <c r="UK74" s="1" t="s">
        <v>57241</v>
      </c>
      <c r="UL74" s="1" t="s">
        <v>57242</v>
      </c>
      <c r="UM74" s="1" t="s">
        <v>57243</v>
      </c>
      <c r="UN74" s="1" t="s">
        <v>57244</v>
      </c>
      <c r="UO74" s="1" t="s">
        <v>57245</v>
      </c>
      <c r="UP74" s="1" t="s">
        <v>57246</v>
      </c>
      <c r="UQ74" s="1" t="s">
        <v>57247</v>
      </c>
      <c r="UR74" s="1" t="s">
        <v>57248</v>
      </c>
      <c r="US74" s="1" t="s">
        <v>57249</v>
      </c>
      <c r="UT74" s="1" t="s">
        <v>57250</v>
      </c>
      <c r="UU74" s="1" t="s">
        <v>57251</v>
      </c>
      <c r="UV74" s="1" t="s">
        <v>57252</v>
      </c>
      <c r="UW74" s="1" t="s">
        <v>57253</v>
      </c>
      <c r="UX74" s="1" t="s">
        <v>57254</v>
      </c>
      <c r="UY74" s="1" t="s">
        <v>57255</v>
      </c>
      <c r="UZ74" s="1" t="s">
        <v>57256</v>
      </c>
      <c r="VA74" s="1" t="s">
        <v>57257</v>
      </c>
      <c r="VB74" s="1" t="s">
        <v>57258</v>
      </c>
      <c r="VC74" s="1" t="s">
        <v>57259</v>
      </c>
      <c r="VD74" s="1" t="s">
        <v>57260</v>
      </c>
      <c r="VE74" s="1" t="s">
        <v>57261</v>
      </c>
      <c r="VF74" s="1" t="s">
        <v>57262</v>
      </c>
      <c r="VG74" s="1" t="s">
        <v>57263</v>
      </c>
      <c r="VH74" s="1" t="s">
        <v>57264</v>
      </c>
      <c r="VI74" s="1" t="s">
        <v>57265</v>
      </c>
      <c r="VJ74" s="1" t="s">
        <v>57266</v>
      </c>
      <c r="VK74" s="1" t="s">
        <v>57267</v>
      </c>
      <c r="VL74" s="1" t="s">
        <v>57268</v>
      </c>
      <c r="VM74" s="1" t="s">
        <v>57269</v>
      </c>
      <c r="VN74" s="1" t="s">
        <v>57270</v>
      </c>
      <c r="VO74" s="1" t="s">
        <v>57271</v>
      </c>
      <c r="VP74" s="1" t="s">
        <v>57272</v>
      </c>
      <c r="VQ74" s="1" t="s">
        <v>57273</v>
      </c>
      <c r="VR74" s="1" t="s">
        <v>57274</v>
      </c>
      <c r="VS74" s="1" t="s">
        <v>57275</v>
      </c>
      <c r="VT74" s="1" t="s">
        <v>57276</v>
      </c>
      <c r="VU74" s="1" t="s">
        <v>57277</v>
      </c>
      <c r="VV74" s="1" t="s">
        <v>57278</v>
      </c>
      <c r="VW74" s="1" t="s">
        <v>57279</v>
      </c>
      <c r="VX74" s="1" t="s">
        <v>57280</v>
      </c>
      <c r="VY74" s="1" t="s">
        <v>57281</v>
      </c>
      <c r="VZ74" s="1" t="s">
        <v>57282</v>
      </c>
      <c r="WA74" s="1" t="s">
        <v>57283</v>
      </c>
      <c r="WB74" s="1" t="s">
        <v>57284</v>
      </c>
      <c r="WC74" s="1" t="s">
        <v>57285</v>
      </c>
      <c r="WD74" s="1" t="s">
        <v>57286</v>
      </c>
      <c r="WE74" s="1" t="s">
        <v>57287</v>
      </c>
      <c r="WF74" s="1" t="s">
        <v>57288</v>
      </c>
      <c r="WG74" s="1" t="s">
        <v>57289</v>
      </c>
      <c r="WH74" s="1" t="s">
        <v>57290</v>
      </c>
      <c r="WI74" s="1" t="s">
        <v>57291</v>
      </c>
      <c r="WJ74" s="1" t="s">
        <v>57292</v>
      </c>
      <c r="WK74" s="1" t="s">
        <v>57293</v>
      </c>
      <c r="WL74" s="1" t="s">
        <v>57294</v>
      </c>
      <c r="WM74" s="1" t="s">
        <v>57295</v>
      </c>
      <c r="WN74" s="1" t="s">
        <v>57296</v>
      </c>
      <c r="WO74" s="1" t="s">
        <v>57297</v>
      </c>
      <c r="WP74" s="1" t="s">
        <v>57298</v>
      </c>
      <c r="WQ74" s="1" t="s">
        <v>57299</v>
      </c>
      <c r="WR74" s="1" t="s">
        <v>57300</v>
      </c>
      <c r="WS74" s="1" t="s">
        <v>57301</v>
      </c>
      <c r="WT74" s="1" t="s">
        <v>57302</v>
      </c>
      <c r="WU74" s="1" t="s">
        <v>57303</v>
      </c>
      <c r="WV74" s="1" t="s">
        <v>57304</v>
      </c>
      <c r="WW74" s="1" t="s">
        <v>57305</v>
      </c>
      <c r="WX74" s="1" t="s">
        <v>57306</v>
      </c>
      <c r="WY74" s="1" t="s">
        <v>57307</v>
      </c>
      <c r="WZ74" s="1" t="s">
        <v>57308</v>
      </c>
      <c r="XA74" s="1" t="s">
        <v>57309</v>
      </c>
      <c r="XB74" s="1" t="s">
        <v>57310</v>
      </c>
      <c r="XC74" s="1" t="s">
        <v>57311</v>
      </c>
      <c r="XD74" s="1" t="s">
        <v>57312</v>
      </c>
      <c r="XE74" s="1" t="s">
        <v>57313</v>
      </c>
      <c r="XF74" s="1" t="s">
        <v>57314</v>
      </c>
      <c r="XG74" s="1" t="s">
        <v>57315</v>
      </c>
      <c r="XH74" s="1" t="s">
        <v>57316</v>
      </c>
      <c r="XI74" s="1" t="s">
        <v>57317</v>
      </c>
      <c r="XJ74" s="1" t="s">
        <v>57318</v>
      </c>
      <c r="XK74" s="1" t="s">
        <v>57319</v>
      </c>
      <c r="XL74" s="1" t="s">
        <v>57320</v>
      </c>
      <c r="XM74" s="1" t="s">
        <v>57321</v>
      </c>
      <c r="XN74" s="1" t="s">
        <v>57322</v>
      </c>
      <c r="XO74" s="1" t="s">
        <v>57323</v>
      </c>
      <c r="XP74" s="1" t="s">
        <v>57324</v>
      </c>
      <c r="XQ74" s="1" t="s">
        <v>57325</v>
      </c>
      <c r="XR74" s="1" t="s">
        <v>57326</v>
      </c>
      <c r="XS74" s="1" t="s">
        <v>57327</v>
      </c>
      <c r="XT74" s="1" t="s">
        <v>57328</v>
      </c>
      <c r="XU74" s="1" t="s">
        <v>57329</v>
      </c>
      <c r="XV74" s="1" t="s">
        <v>57330</v>
      </c>
      <c r="XW74" s="1" t="s">
        <v>57331</v>
      </c>
      <c r="XX74" s="1" t="s">
        <v>57332</v>
      </c>
      <c r="XY74" s="1" t="s">
        <v>57333</v>
      </c>
      <c r="XZ74" s="1" t="s">
        <v>57334</v>
      </c>
      <c r="YA74" s="1" t="s">
        <v>57335</v>
      </c>
      <c r="YB74" s="1" t="s">
        <v>57336</v>
      </c>
      <c r="YC74" s="1" t="s">
        <v>57337</v>
      </c>
      <c r="YD74" s="1" t="s">
        <v>57338</v>
      </c>
      <c r="YE74" s="1" t="s">
        <v>57339</v>
      </c>
      <c r="YF74" s="1" t="s">
        <v>57340</v>
      </c>
      <c r="YG74" s="1" t="s">
        <v>57341</v>
      </c>
      <c r="YH74" s="1" t="s">
        <v>57342</v>
      </c>
      <c r="YI74" s="1" t="s">
        <v>57343</v>
      </c>
      <c r="YJ74" s="1" t="s">
        <v>57344</v>
      </c>
      <c r="YK74" s="1" t="s">
        <v>57345</v>
      </c>
      <c r="YL74" s="1" t="s">
        <v>57346</v>
      </c>
      <c r="YM74" s="1" t="s">
        <v>57347</v>
      </c>
      <c r="YN74" s="1" t="s">
        <v>57348</v>
      </c>
      <c r="YO74" s="1" t="s">
        <v>57349</v>
      </c>
      <c r="YP74" s="1" t="s">
        <v>57350</v>
      </c>
      <c r="YQ74" s="1" t="s">
        <v>57351</v>
      </c>
      <c r="YR74" s="1" t="s">
        <v>57352</v>
      </c>
      <c r="YS74" s="1" t="s">
        <v>57353</v>
      </c>
      <c r="YT74" s="1" t="s">
        <v>57354</v>
      </c>
      <c r="YU74" s="1" t="s">
        <v>57355</v>
      </c>
      <c r="YV74" s="1" t="s">
        <v>57356</v>
      </c>
      <c r="YW74" s="1" t="s">
        <v>57357</v>
      </c>
      <c r="YX74" s="1" t="s">
        <v>57358</v>
      </c>
      <c r="YY74" s="1" t="s">
        <v>57359</v>
      </c>
      <c r="YZ74" s="1" t="s">
        <v>57360</v>
      </c>
      <c r="ZA74" s="1" t="s">
        <v>57361</v>
      </c>
      <c r="ZB74" s="1" t="s">
        <v>57362</v>
      </c>
      <c r="ZC74" s="1" t="s">
        <v>57363</v>
      </c>
      <c r="ZD74" s="1" t="s">
        <v>57364</v>
      </c>
      <c r="ZE74" s="1" t="s">
        <v>57365</v>
      </c>
      <c r="ZF74" s="1" t="s">
        <v>57366</v>
      </c>
      <c r="ZG74" s="1" t="s">
        <v>57367</v>
      </c>
      <c r="ZH74" s="1" t="s">
        <v>57368</v>
      </c>
      <c r="ZI74" s="1" t="s">
        <v>57369</v>
      </c>
      <c r="ZJ74" s="1" t="s">
        <v>57370</v>
      </c>
      <c r="ZK74" s="1" t="s">
        <v>57371</v>
      </c>
      <c r="ZL74" s="1" t="s">
        <v>57372</v>
      </c>
      <c r="ZM74" s="1" t="s">
        <v>57373</v>
      </c>
      <c r="ZN74" s="1" t="s">
        <v>57374</v>
      </c>
      <c r="ZO74" s="1" t="s">
        <v>57375</v>
      </c>
      <c r="ZP74" s="1" t="s">
        <v>57376</v>
      </c>
      <c r="ZQ74" s="1" t="s">
        <v>57377</v>
      </c>
      <c r="ZR74" s="1" t="s">
        <v>57378</v>
      </c>
      <c r="ZS74" s="1" t="s">
        <v>57379</v>
      </c>
      <c r="ZT74" s="1" t="s">
        <v>57380</v>
      </c>
      <c r="ZU74" s="1" t="s">
        <v>57381</v>
      </c>
      <c r="ZV74" s="1" t="s">
        <v>57382</v>
      </c>
      <c r="ZW74" s="1" t="s">
        <v>57383</v>
      </c>
      <c r="ZX74" s="1" t="s">
        <v>57384</v>
      </c>
      <c r="ZY74" s="1" t="s">
        <v>57385</v>
      </c>
      <c r="ZZ74" s="1" t="s">
        <v>57386</v>
      </c>
      <c r="AAA74" s="1" t="s">
        <v>57387</v>
      </c>
      <c r="AAB74" s="1" t="s">
        <v>57388</v>
      </c>
      <c r="AAC74" s="1" t="s">
        <v>57389</v>
      </c>
      <c r="AAD74" s="1" t="s">
        <v>57390</v>
      </c>
      <c r="AAE74" s="1" t="s">
        <v>57391</v>
      </c>
      <c r="AAF74" s="1" t="s">
        <v>57392</v>
      </c>
      <c r="AAG74" s="1" t="s">
        <v>57393</v>
      </c>
      <c r="AAH74" s="1" t="s">
        <v>57394</v>
      </c>
      <c r="AAI74" s="1" t="s">
        <v>57395</v>
      </c>
      <c r="AAJ74" s="1" t="s">
        <v>57396</v>
      </c>
      <c r="AAK74" s="1" t="s">
        <v>57397</v>
      </c>
      <c r="AAL74" s="1" t="s">
        <v>57398</v>
      </c>
      <c r="AAM74" s="1" t="s">
        <v>57399</v>
      </c>
      <c r="AAN74" s="1" t="s">
        <v>57400</v>
      </c>
      <c r="AAO74" s="1" t="s">
        <v>57401</v>
      </c>
      <c r="AAP74" s="1" t="s">
        <v>57402</v>
      </c>
      <c r="AAQ74" s="1" t="s">
        <v>57403</v>
      </c>
      <c r="AAR74" s="1" t="s">
        <v>57404</v>
      </c>
      <c r="AAS74" s="1" t="s">
        <v>57405</v>
      </c>
      <c r="AAT74" s="1" t="s">
        <v>57406</v>
      </c>
      <c r="AAU74" s="1" t="s">
        <v>57407</v>
      </c>
      <c r="AAV74" s="1" t="s">
        <v>57408</v>
      </c>
      <c r="AAW74" s="1" t="s">
        <v>57409</v>
      </c>
      <c r="AAX74" s="1" t="s">
        <v>57410</v>
      </c>
      <c r="AAY74" s="1" t="s">
        <v>57411</v>
      </c>
      <c r="AAZ74" s="1" t="s">
        <v>57412</v>
      </c>
      <c r="ABA74" s="1" t="s">
        <v>57413</v>
      </c>
      <c r="ABB74" s="1" t="s">
        <v>57414</v>
      </c>
      <c r="ABC74" s="1" t="s">
        <v>57415</v>
      </c>
      <c r="ABD74" s="1" t="s">
        <v>57416</v>
      </c>
      <c r="ABE74" s="1" t="s">
        <v>57417</v>
      </c>
      <c r="ABF74" s="1" t="s">
        <v>57418</v>
      </c>
      <c r="ABG74" s="1" t="s">
        <v>57419</v>
      </c>
      <c r="ABH74" s="1" t="s">
        <v>57420</v>
      </c>
      <c r="ABI74" s="1" t="s">
        <v>57421</v>
      </c>
      <c r="ABJ74" s="1" t="s">
        <v>57422</v>
      </c>
      <c r="ABK74" s="1" t="s">
        <v>57423</v>
      </c>
      <c r="ABL74" s="1" t="s">
        <v>57424</v>
      </c>
      <c r="ABM74" s="1" t="s">
        <v>57425</v>
      </c>
      <c r="ABN74" s="1" t="s">
        <v>57426</v>
      </c>
      <c r="ABO74" s="1" t="s">
        <v>57427</v>
      </c>
      <c r="ABP74" s="1" t="s">
        <v>57428</v>
      </c>
      <c r="ABQ74" s="1" t="s">
        <v>57429</v>
      </c>
      <c r="ABR74" s="1" t="s">
        <v>57430</v>
      </c>
      <c r="ABS74" s="1" t="s">
        <v>57431</v>
      </c>
      <c r="ABT74" s="1" t="s">
        <v>57432</v>
      </c>
      <c r="ABU74" s="1" t="s">
        <v>57433</v>
      </c>
      <c r="ABV74" s="1" t="s">
        <v>57434</v>
      </c>
      <c r="ABW74" s="1" t="s">
        <v>57435</v>
      </c>
      <c r="ABX74" s="1" t="s">
        <v>57436</v>
      </c>
      <c r="ABY74" s="1" t="s">
        <v>57437</v>
      </c>
      <c r="ABZ74" s="1" t="s">
        <v>57438</v>
      </c>
      <c r="ACA74" s="1" t="s">
        <v>57439</v>
      </c>
      <c r="ACB74" s="1" t="s">
        <v>57440</v>
      </c>
      <c r="ACC74" s="1" t="s">
        <v>57441</v>
      </c>
      <c r="ACD74" s="1" t="s">
        <v>57442</v>
      </c>
      <c r="ACE74" s="1" t="s">
        <v>57443</v>
      </c>
      <c r="ACF74" s="1" t="s">
        <v>57444</v>
      </c>
      <c r="ACG74" s="1" t="s">
        <v>57445</v>
      </c>
      <c r="ACH74" s="1" t="s">
        <v>57446</v>
      </c>
      <c r="ACI74" s="1" t="s">
        <v>57447</v>
      </c>
      <c r="ACJ74" s="1" t="s">
        <v>57448</v>
      </c>
      <c r="ACK74" s="1" t="s">
        <v>57449</v>
      </c>
      <c r="ACL74" s="1" t="s">
        <v>57450</v>
      </c>
      <c r="ACM74" s="1" t="s">
        <v>57451</v>
      </c>
      <c r="ACN74" s="1" t="s">
        <v>57452</v>
      </c>
      <c r="ACO74" s="1" t="s">
        <v>57453</v>
      </c>
      <c r="ACP74" s="1" t="s">
        <v>57454</v>
      </c>
      <c r="ACQ74" s="1" t="s">
        <v>57455</v>
      </c>
      <c r="ACR74" s="1" t="s">
        <v>57456</v>
      </c>
      <c r="ACS74" s="1" t="s">
        <v>57457</v>
      </c>
      <c r="ACT74" s="1" t="s">
        <v>57458</v>
      </c>
      <c r="ACU74" s="1" t="s">
        <v>57459</v>
      </c>
      <c r="ACV74" s="1" t="s">
        <v>57460</v>
      </c>
      <c r="ACW74" s="1" t="s">
        <v>32</v>
      </c>
      <c r="ACX74" s="1" t="s">
        <v>1499</v>
      </c>
    </row>
    <row r="75" spans="1:778" x14ac:dyDescent="0.2">
      <c r="A75" s="1" t="s">
        <v>16</v>
      </c>
      <c r="B75" s="1" t="s">
        <v>57461</v>
      </c>
      <c r="C75" s="1" t="s">
        <v>57462</v>
      </c>
      <c r="D75" s="1" t="s">
        <v>57463</v>
      </c>
      <c r="E75" s="1" t="s">
        <v>57464</v>
      </c>
      <c r="F75" s="1" t="s">
        <v>57465</v>
      </c>
      <c r="G75" s="1" t="s">
        <v>57466</v>
      </c>
      <c r="H75" s="1" t="s">
        <v>57467</v>
      </c>
      <c r="I75" s="1" t="s">
        <v>57468</v>
      </c>
      <c r="J75" s="1" t="s">
        <v>57469</v>
      </c>
      <c r="K75" s="1" t="s">
        <v>57470</v>
      </c>
      <c r="L75" s="1" t="s">
        <v>57471</v>
      </c>
      <c r="M75" s="1" t="s">
        <v>57472</v>
      </c>
      <c r="N75" s="1" t="s">
        <v>57473</v>
      </c>
      <c r="O75" s="1" t="s">
        <v>57474</v>
      </c>
      <c r="P75" s="1" t="s">
        <v>57475</v>
      </c>
      <c r="Q75" s="1" t="s">
        <v>57476</v>
      </c>
      <c r="R75" s="1" t="s">
        <v>57477</v>
      </c>
      <c r="S75" s="1" t="s">
        <v>57478</v>
      </c>
      <c r="T75" s="1" t="s">
        <v>57479</v>
      </c>
      <c r="U75" s="1" t="s">
        <v>57480</v>
      </c>
      <c r="V75" s="1" t="s">
        <v>57481</v>
      </c>
      <c r="W75" s="1" t="s">
        <v>57482</v>
      </c>
      <c r="X75" s="1" t="s">
        <v>57483</v>
      </c>
      <c r="Y75" s="1" t="s">
        <v>57484</v>
      </c>
      <c r="Z75" s="1" t="s">
        <v>57485</v>
      </c>
      <c r="AA75" s="1" t="s">
        <v>57486</v>
      </c>
      <c r="AB75" s="1" t="s">
        <v>57487</v>
      </c>
      <c r="AC75" s="1" t="s">
        <v>57488</v>
      </c>
      <c r="AD75" s="1" t="s">
        <v>57489</v>
      </c>
      <c r="AE75" s="1" t="s">
        <v>57490</v>
      </c>
      <c r="AF75" s="1" t="s">
        <v>57491</v>
      </c>
      <c r="AG75" s="1" t="s">
        <v>57492</v>
      </c>
      <c r="AH75" s="1" t="s">
        <v>57493</v>
      </c>
      <c r="AI75" s="1" t="s">
        <v>57494</v>
      </c>
      <c r="AJ75" s="1" t="s">
        <v>57495</v>
      </c>
      <c r="AK75" s="1" t="s">
        <v>57496</v>
      </c>
      <c r="AL75" s="1" t="s">
        <v>57497</v>
      </c>
      <c r="AM75" s="1" t="s">
        <v>57498</v>
      </c>
      <c r="AN75" s="1" t="s">
        <v>57499</v>
      </c>
      <c r="AO75" s="1" t="s">
        <v>57500</v>
      </c>
      <c r="AP75" s="1" t="s">
        <v>57501</v>
      </c>
      <c r="AQ75" s="1" t="s">
        <v>57502</v>
      </c>
      <c r="AR75" s="1" t="s">
        <v>57503</v>
      </c>
      <c r="AS75" s="1" t="s">
        <v>57504</v>
      </c>
      <c r="AT75" s="1" t="s">
        <v>57505</v>
      </c>
      <c r="AU75" s="1" t="s">
        <v>57506</v>
      </c>
      <c r="AV75" s="1" t="s">
        <v>57507</v>
      </c>
      <c r="AW75" s="1" t="s">
        <v>57508</v>
      </c>
      <c r="AX75" s="1" t="s">
        <v>57509</v>
      </c>
      <c r="AY75" s="1" t="s">
        <v>57510</v>
      </c>
      <c r="AZ75" s="1" t="s">
        <v>57511</v>
      </c>
      <c r="BA75" s="1" t="s">
        <v>57512</v>
      </c>
      <c r="BB75" s="1" t="s">
        <v>57513</v>
      </c>
      <c r="BC75" s="1" t="s">
        <v>57514</v>
      </c>
      <c r="BD75" s="1" t="s">
        <v>57515</v>
      </c>
      <c r="BE75" s="1" t="s">
        <v>57516</v>
      </c>
      <c r="BF75" s="1" t="s">
        <v>57517</v>
      </c>
      <c r="BG75" s="1" t="s">
        <v>57518</v>
      </c>
      <c r="BH75" s="1" t="s">
        <v>57519</v>
      </c>
      <c r="BI75" s="1" t="s">
        <v>57520</v>
      </c>
      <c r="BJ75" s="1" t="s">
        <v>57521</v>
      </c>
      <c r="BK75" s="1" t="s">
        <v>57522</v>
      </c>
      <c r="BL75" s="1" t="s">
        <v>57523</v>
      </c>
      <c r="BM75" s="1" t="s">
        <v>57524</v>
      </c>
      <c r="BN75" s="1" t="s">
        <v>57525</v>
      </c>
      <c r="BO75" s="1" t="s">
        <v>57526</v>
      </c>
      <c r="BP75" s="1" t="s">
        <v>57527</v>
      </c>
      <c r="BQ75" s="1" t="s">
        <v>57528</v>
      </c>
      <c r="BR75" s="1" t="s">
        <v>57529</v>
      </c>
      <c r="BS75" s="1" t="s">
        <v>57530</v>
      </c>
      <c r="BT75" s="1" t="s">
        <v>57531</v>
      </c>
      <c r="BU75" s="1" t="s">
        <v>57532</v>
      </c>
      <c r="BV75" s="1" t="s">
        <v>57533</v>
      </c>
      <c r="BW75" s="1" t="s">
        <v>57534</v>
      </c>
      <c r="BX75" s="1" t="s">
        <v>57535</v>
      </c>
      <c r="BY75" s="1" t="s">
        <v>57536</v>
      </c>
      <c r="BZ75" s="1" t="s">
        <v>57537</v>
      </c>
      <c r="CA75" s="1" t="s">
        <v>57538</v>
      </c>
      <c r="CB75" s="1" t="s">
        <v>57539</v>
      </c>
      <c r="CC75" s="1" t="s">
        <v>57540</v>
      </c>
      <c r="CD75" s="1" t="s">
        <v>57541</v>
      </c>
      <c r="CE75" s="1" t="s">
        <v>57542</v>
      </c>
      <c r="CF75" s="1" t="s">
        <v>57543</v>
      </c>
      <c r="CG75" s="1" t="s">
        <v>57544</v>
      </c>
      <c r="CH75" s="1" t="s">
        <v>57545</v>
      </c>
      <c r="CI75" s="1" t="s">
        <v>57546</v>
      </c>
      <c r="CJ75" s="1" t="s">
        <v>57547</v>
      </c>
      <c r="CK75" s="1" t="s">
        <v>57548</v>
      </c>
      <c r="CL75" s="1" t="s">
        <v>57549</v>
      </c>
      <c r="CM75" s="1" t="s">
        <v>57550</v>
      </c>
      <c r="CN75" s="1" t="s">
        <v>57551</v>
      </c>
      <c r="CO75" s="1" t="s">
        <v>57552</v>
      </c>
      <c r="CP75" s="1" t="s">
        <v>57553</v>
      </c>
      <c r="CQ75" s="1" t="s">
        <v>57554</v>
      </c>
      <c r="CR75" s="1" t="s">
        <v>57555</v>
      </c>
      <c r="CS75" s="1" t="s">
        <v>57556</v>
      </c>
      <c r="CT75" s="1" t="s">
        <v>57557</v>
      </c>
      <c r="CU75" s="1" t="s">
        <v>57558</v>
      </c>
      <c r="CV75" s="1" t="s">
        <v>57559</v>
      </c>
      <c r="CW75" s="1" t="s">
        <v>57560</v>
      </c>
      <c r="CX75" s="1" t="s">
        <v>57561</v>
      </c>
      <c r="CY75" s="1" t="s">
        <v>57562</v>
      </c>
      <c r="CZ75" s="1" t="s">
        <v>57563</v>
      </c>
      <c r="DA75" s="1" t="s">
        <v>57564</v>
      </c>
      <c r="DB75" s="1" t="s">
        <v>57565</v>
      </c>
      <c r="DC75" s="1" t="s">
        <v>57566</v>
      </c>
      <c r="DD75" s="1" t="s">
        <v>57567</v>
      </c>
      <c r="DE75" s="1" t="s">
        <v>57568</v>
      </c>
      <c r="DF75" s="1" t="s">
        <v>57569</v>
      </c>
      <c r="DG75" s="1" t="s">
        <v>57570</v>
      </c>
      <c r="DH75" s="1" t="s">
        <v>57571</v>
      </c>
      <c r="DI75" s="1" t="s">
        <v>57572</v>
      </c>
      <c r="DJ75" s="1" t="s">
        <v>57573</v>
      </c>
      <c r="DK75" s="1" t="s">
        <v>57574</v>
      </c>
      <c r="DL75" s="1" t="s">
        <v>57575</v>
      </c>
      <c r="DM75" s="1" t="s">
        <v>57576</v>
      </c>
      <c r="DN75" s="1" t="s">
        <v>57577</v>
      </c>
      <c r="DO75" s="1" t="s">
        <v>57578</v>
      </c>
      <c r="DP75" s="1" t="s">
        <v>57579</v>
      </c>
      <c r="DQ75" s="1" t="s">
        <v>57580</v>
      </c>
      <c r="DR75" s="1" t="s">
        <v>57581</v>
      </c>
      <c r="DS75" s="1" t="s">
        <v>57582</v>
      </c>
      <c r="DT75" s="1" t="s">
        <v>57583</v>
      </c>
      <c r="DU75" s="1" t="s">
        <v>57584</v>
      </c>
      <c r="DV75" s="1" t="s">
        <v>57585</v>
      </c>
      <c r="DW75" s="1" t="s">
        <v>57586</v>
      </c>
      <c r="DX75" s="1" t="s">
        <v>57587</v>
      </c>
      <c r="DY75" s="1" t="s">
        <v>57588</v>
      </c>
      <c r="DZ75" s="1" t="s">
        <v>57589</v>
      </c>
      <c r="EA75" s="1" t="s">
        <v>57590</v>
      </c>
      <c r="EB75" s="1" t="s">
        <v>57591</v>
      </c>
      <c r="EC75" s="1" t="s">
        <v>57592</v>
      </c>
      <c r="ED75" s="1" t="s">
        <v>57593</v>
      </c>
      <c r="EE75" s="1" t="s">
        <v>57594</v>
      </c>
      <c r="EF75" s="1" t="s">
        <v>57595</v>
      </c>
      <c r="EG75" s="1" t="s">
        <v>57596</v>
      </c>
      <c r="EH75" s="1" t="s">
        <v>57597</v>
      </c>
      <c r="EI75" s="1" t="s">
        <v>57598</v>
      </c>
      <c r="EJ75" s="1" t="s">
        <v>57599</v>
      </c>
      <c r="EK75" s="1" t="s">
        <v>57600</v>
      </c>
      <c r="EL75" s="1" t="s">
        <v>57601</v>
      </c>
      <c r="EM75" s="1" t="s">
        <v>57602</v>
      </c>
      <c r="EN75" s="1" t="s">
        <v>57603</v>
      </c>
      <c r="EO75" s="1" t="s">
        <v>57604</v>
      </c>
      <c r="EP75" s="1" t="s">
        <v>57605</v>
      </c>
      <c r="EQ75" s="1" t="s">
        <v>57606</v>
      </c>
      <c r="ER75" s="1" t="s">
        <v>57607</v>
      </c>
      <c r="ES75" s="1" t="s">
        <v>57608</v>
      </c>
      <c r="ET75" s="1" t="s">
        <v>57609</v>
      </c>
      <c r="EU75" s="1" t="s">
        <v>57610</v>
      </c>
      <c r="EV75" s="1" t="s">
        <v>57611</v>
      </c>
      <c r="EW75" s="1" t="s">
        <v>57612</v>
      </c>
      <c r="EX75" s="1" t="s">
        <v>57613</v>
      </c>
      <c r="EY75" s="1" t="s">
        <v>57614</v>
      </c>
      <c r="EZ75" s="1" t="s">
        <v>57615</v>
      </c>
      <c r="FA75" s="1" t="s">
        <v>57616</v>
      </c>
      <c r="FB75" s="1" t="s">
        <v>57617</v>
      </c>
      <c r="FC75" s="1" t="s">
        <v>57618</v>
      </c>
      <c r="FD75" s="1" t="s">
        <v>57619</v>
      </c>
      <c r="FE75" s="1" t="s">
        <v>57620</v>
      </c>
      <c r="FF75" s="1" t="s">
        <v>57621</v>
      </c>
      <c r="FG75" s="1" t="s">
        <v>57622</v>
      </c>
      <c r="FH75" s="1" t="s">
        <v>57623</v>
      </c>
      <c r="FI75" s="1" t="s">
        <v>57624</v>
      </c>
      <c r="FJ75" s="1" t="s">
        <v>57625</v>
      </c>
      <c r="FK75" s="1" t="s">
        <v>57626</v>
      </c>
      <c r="FL75" s="1" t="s">
        <v>57627</v>
      </c>
      <c r="FM75" s="1" t="s">
        <v>57628</v>
      </c>
      <c r="FN75" s="1" t="s">
        <v>57629</v>
      </c>
      <c r="FO75" s="1" t="s">
        <v>57630</v>
      </c>
      <c r="FP75" s="1" t="s">
        <v>57631</v>
      </c>
      <c r="FQ75" s="1" t="s">
        <v>57632</v>
      </c>
      <c r="FR75" s="1" t="s">
        <v>57633</v>
      </c>
      <c r="FS75" s="1" t="s">
        <v>57634</v>
      </c>
      <c r="FT75" s="1" t="s">
        <v>57635</v>
      </c>
      <c r="FU75" s="1" t="s">
        <v>57636</v>
      </c>
      <c r="FV75" s="1" t="s">
        <v>57637</v>
      </c>
      <c r="FW75" s="1" t="s">
        <v>57638</v>
      </c>
      <c r="FX75" s="1" t="s">
        <v>57639</v>
      </c>
      <c r="FY75" s="1" t="s">
        <v>57640</v>
      </c>
      <c r="FZ75" s="1" t="s">
        <v>57641</v>
      </c>
      <c r="GA75" s="1" t="s">
        <v>57642</v>
      </c>
      <c r="GB75" s="1" t="s">
        <v>57643</v>
      </c>
      <c r="GC75" s="1" t="s">
        <v>57644</v>
      </c>
      <c r="GD75" s="1" t="s">
        <v>57645</v>
      </c>
      <c r="GE75" s="1" t="s">
        <v>57646</v>
      </c>
      <c r="GF75" s="1" t="s">
        <v>57647</v>
      </c>
      <c r="GG75" s="1" t="s">
        <v>57648</v>
      </c>
      <c r="GH75" s="1" t="s">
        <v>57649</v>
      </c>
      <c r="GI75" s="1" t="s">
        <v>57650</v>
      </c>
      <c r="GJ75" s="1" t="s">
        <v>57651</v>
      </c>
      <c r="GK75" s="1" t="s">
        <v>57652</v>
      </c>
      <c r="GL75" s="1" t="s">
        <v>57653</v>
      </c>
      <c r="GM75" s="1" t="s">
        <v>57654</v>
      </c>
      <c r="GN75" s="1" t="s">
        <v>57655</v>
      </c>
      <c r="GO75" s="1" t="s">
        <v>57656</v>
      </c>
      <c r="GP75" s="1" t="s">
        <v>57657</v>
      </c>
      <c r="GQ75" s="1" t="s">
        <v>57658</v>
      </c>
      <c r="GR75" s="1" t="s">
        <v>57659</v>
      </c>
      <c r="GS75" s="1" t="s">
        <v>57660</v>
      </c>
      <c r="GT75" s="1" t="s">
        <v>57661</v>
      </c>
      <c r="GU75" s="1" t="s">
        <v>57662</v>
      </c>
      <c r="GV75" s="1" t="s">
        <v>57663</v>
      </c>
      <c r="GW75" s="1" t="s">
        <v>57664</v>
      </c>
      <c r="GX75" s="1" t="s">
        <v>57665</v>
      </c>
      <c r="GY75" s="1" t="s">
        <v>57666</v>
      </c>
      <c r="GZ75" s="1" t="s">
        <v>57667</v>
      </c>
      <c r="HA75" s="1" t="s">
        <v>57668</v>
      </c>
      <c r="HB75" s="1" t="s">
        <v>57669</v>
      </c>
      <c r="HC75" s="1" t="s">
        <v>57670</v>
      </c>
      <c r="HD75" s="1" t="s">
        <v>57671</v>
      </c>
      <c r="HE75" s="1" t="s">
        <v>57672</v>
      </c>
      <c r="HF75" s="1" t="s">
        <v>57673</v>
      </c>
      <c r="HG75" s="1" t="s">
        <v>57674</v>
      </c>
      <c r="HH75" s="1" t="s">
        <v>57675</v>
      </c>
      <c r="HI75" s="1" t="s">
        <v>57676</v>
      </c>
      <c r="HJ75" s="1" t="s">
        <v>57677</v>
      </c>
      <c r="HK75" s="1" t="s">
        <v>57678</v>
      </c>
      <c r="HL75" s="1" t="s">
        <v>57679</v>
      </c>
      <c r="HM75" s="1" t="s">
        <v>57680</v>
      </c>
      <c r="HN75" s="1" t="s">
        <v>57681</v>
      </c>
      <c r="HO75" s="1" t="s">
        <v>57682</v>
      </c>
      <c r="HP75" s="1" t="s">
        <v>57683</v>
      </c>
      <c r="HQ75" s="1" t="s">
        <v>57684</v>
      </c>
      <c r="HR75" s="1" t="s">
        <v>57685</v>
      </c>
      <c r="HS75" s="1" t="s">
        <v>57686</v>
      </c>
      <c r="HT75" s="1" t="s">
        <v>57687</v>
      </c>
      <c r="HU75" s="1" t="s">
        <v>57688</v>
      </c>
      <c r="HV75" s="1" t="s">
        <v>57689</v>
      </c>
      <c r="HW75" s="1" t="s">
        <v>57690</v>
      </c>
      <c r="HX75" s="1" t="s">
        <v>57691</v>
      </c>
      <c r="HY75" s="1" t="s">
        <v>57692</v>
      </c>
      <c r="HZ75" s="1" t="s">
        <v>57693</v>
      </c>
      <c r="IA75" s="1" t="s">
        <v>57694</v>
      </c>
      <c r="IB75" s="1" t="s">
        <v>57695</v>
      </c>
      <c r="IC75" s="1" t="s">
        <v>57696</v>
      </c>
      <c r="ID75" s="1" t="s">
        <v>57697</v>
      </c>
      <c r="IE75" s="1" t="s">
        <v>57698</v>
      </c>
      <c r="IF75" s="1" t="s">
        <v>57699</v>
      </c>
      <c r="IG75" s="1" t="s">
        <v>57700</v>
      </c>
      <c r="IH75" s="1" t="s">
        <v>57701</v>
      </c>
      <c r="II75" s="1" t="s">
        <v>57702</v>
      </c>
      <c r="IJ75" s="1" t="s">
        <v>57703</v>
      </c>
      <c r="IK75" s="1" t="s">
        <v>57704</v>
      </c>
      <c r="IL75" s="1" t="s">
        <v>57705</v>
      </c>
      <c r="IM75" s="1" t="s">
        <v>57706</v>
      </c>
      <c r="IN75" s="1" t="s">
        <v>57707</v>
      </c>
      <c r="IO75" s="1" t="s">
        <v>57708</v>
      </c>
      <c r="IP75" s="1" t="s">
        <v>57709</v>
      </c>
      <c r="IQ75" s="1" t="s">
        <v>57710</v>
      </c>
      <c r="IR75" s="1" t="s">
        <v>57711</v>
      </c>
      <c r="IS75" s="1" t="s">
        <v>57712</v>
      </c>
      <c r="IT75" s="1" t="s">
        <v>57713</v>
      </c>
      <c r="IU75" s="1" t="s">
        <v>57714</v>
      </c>
      <c r="IV75" s="1" t="s">
        <v>57715</v>
      </c>
      <c r="IW75" s="1" t="s">
        <v>57716</v>
      </c>
      <c r="IX75" s="1" t="s">
        <v>57717</v>
      </c>
      <c r="IY75" s="1" t="s">
        <v>57718</v>
      </c>
      <c r="IZ75" s="1" t="s">
        <v>57719</v>
      </c>
      <c r="JA75" s="1" t="s">
        <v>57720</v>
      </c>
      <c r="JB75" s="1" t="s">
        <v>57721</v>
      </c>
      <c r="JC75" s="1" t="s">
        <v>57722</v>
      </c>
      <c r="JD75" s="1" t="s">
        <v>57723</v>
      </c>
      <c r="JE75" s="1" t="s">
        <v>57724</v>
      </c>
      <c r="JF75" s="1" t="s">
        <v>57725</v>
      </c>
      <c r="JG75" s="1" t="s">
        <v>57726</v>
      </c>
      <c r="JH75" s="1" t="s">
        <v>57727</v>
      </c>
      <c r="JI75" s="1" t="s">
        <v>57728</v>
      </c>
      <c r="JJ75" s="1" t="s">
        <v>57729</v>
      </c>
      <c r="JK75" s="1" t="s">
        <v>57730</v>
      </c>
      <c r="JL75" s="1" t="s">
        <v>57731</v>
      </c>
      <c r="JM75" s="1" t="s">
        <v>57732</v>
      </c>
      <c r="JN75" s="1" t="s">
        <v>57733</v>
      </c>
      <c r="JO75" s="1" t="s">
        <v>57734</v>
      </c>
      <c r="JP75" s="1" t="s">
        <v>57735</v>
      </c>
      <c r="JQ75" s="1" t="s">
        <v>57736</v>
      </c>
      <c r="JR75" s="1" t="s">
        <v>57737</v>
      </c>
      <c r="JS75" s="1" t="s">
        <v>57738</v>
      </c>
      <c r="JT75" s="1" t="s">
        <v>57739</v>
      </c>
      <c r="JU75" s="1" t="s">
        <v>57740</v>
      </c>
      <c r="JV75" s="1" t="s">
        <v>57741</v>
      </c>
      <c r="JW75" s="1" t="s">
        <v>57742</v>
      </c>
      <c r="JX75" s="1" t="s">
        <v>57743</v>
      </c>
      <c r="JY75" s="1" t="s">
        <v>57744</v>
      </c>
      <c r="JZ75" s="1" t="s">
        <v>57745</v>
      </c>
      <c r="KA75" s="1" t="s">
        <v>57746</v>
      </c>
      <c r="KB75" s="1" t="s">
        <v>57747</v>
      </c>
      <c r="KC75" s="1" t="s">
        <v>57748</v>
      </c>
      <c r="KD75" s="1" t="s">
        <v>57749</v>
      </c>
      <c r="KE75" s="1" t="s">
        <v>57750</v>
      </c>
      <c r="KF75" s="1" t="s">
        <v>57751</v>
      </c>
      <c r="KG75" s="1" t="s">
        <v>57752</v>
      </c>
      <c r="KH75" s="1" t="s">
        <v>57753</v>
      </c>
      <c r="KI75" s="1" t="s">
        <v>57754</v>
      </c>
      <c r="KJ75" s="1" t="s">
        <v>57755</v>
      </c>
      <c r="KK75" s="1" t="s">
        <v>57756</v>
      </c>
      <c r="KL75" s="1" t="s">
        <v>57757</v>
      </c>
      <c r="KM75" s="1" t="s">
        <v>57758</v>
      </c>
      <c r="KN75" s="1" t="s">
        <v>57759</v>
      </c>
      <c r="KO75" s="1" t="s">
        <v>57760</v>
      </c>
      <c r="KP75" s="1" t="s">
        <v>57761</v>
      </c>
      <c r="KQ75" s="1" t="s">
        <v>57762</v>
      </c>
      <c r="KR75" s="1" t="s">
        <v>57763</v>
      </c>
      <c r="KS75" s="1" t="s">
        <v>57764</v>
      </c>
      <c r="KT75" s="1" t="s">
        <v>57765</v>
      </c>
      <c r="KU75" s="1" t="s">
        <v>57766</v>
      </c>
      <c r="KV75" s="1" t="s">
        <v>57767</v>
      </c>
      <c r="KW75" s="1" t="s">
        <v>57768</v>
      </c>
      <c r="KX75" s="1" t="s">
        <v>57769</v>
      </c>
      <c r="KY75" s="1" t="s">
        <v>57770</v>
      </c>
      <c r="KZ75" s="1" t="s">
        <v>57771</v>
      </c>
      <c r="LA75" s="1" t="s">
        <v>57772</v>
      </c>
      <c r="LB75" s="1" t="s">
        <v>57773</v>
      </c>
      <c r="LC75" s="1" t="s">
        <v>57774</v>
      </c>
      <c r="LD75" s="1" t="s">
        <v>57775</v>
      </c>
      <c r="LE75" s="1" t="s">
        <v>57776</v>
      </c>
      <c r="LF75" s="1" t="s">
        <v>57777</v>
      </c>
      <c r="LG75" s="1" t="s">
        <v>57778</v>
      </c>
      <c r="LH75" s="1" t="s">
        <v>57779</v>
      </c>
      <c r="LI75" s="1" t="s">
        <v>57780</v>
      </c>
      <c r="LJ75" s="1" t="s">
        <v>57781</v>
      </c>
      <c r="LK75" s="1" t="s">
        <v>57782</v>
      </c>
      <c r="LL75" s="1" t="s">
        <v>57783</v>
      </c>
      <c r="LM75" s="1" t="s">
        <v>57784</v>
      </c>
      <c r="LN75" s="1" t="s">
        <v>57785</v>
      </c>
      <c r="LO75" s="1" t="s">
        <v>57786</v>
      </c>
      <c r="LP75" s="1" t="s">
        <v>57787</v>
      </c>
      <c r="LQ75" s="1" t="s">
        <v>57788</v>
      </c>
      <c r="LR75" s="1" t="s">
        <v>57789</v>
      </c>
      <c r="LS75" s="1" t="s">
        <v>57790</v>
      </c>
      <c r="LT75" s="1" t="s">
        <v>57791</v>
      </c>
      <c r="LU75" s="1" t="s">
        <v>57792</v>
      </c>
      <c r="LV75" s="1" t="s">
        <v>57793</v>
      </c>
      <c r="LW75" s="1" t="s">
        <v>57794</v>
      </c>
      <c r="LX75" s="1" t="s">
        <v>57795</v>
      </c>
      <c r="LY75" s="1" t="s">
        <v>57796</v>
      </c>
      <c r="LZ75" s="1" t="s">
        <v>57797</v>
      </c>
      <c r="MA75" s="1" t="s">
        <v>57798</v>
      </c>
      <c r="MB75" s="1" t="s">
        <v>57799</v>
      </c>
      <c r="MC75" s="1" t="s">
        <v>57800</v>
      </c>
      <c r="MD75" s="1" t="s">
        <v>57801</v>
      </c>
      <c r="ME75" s="1" t="s">
        <v>57802</v>
      </c>
      <c r="MF75" s="1" t="s">
        <v>57803</v>
      </c>
      <c r="MG75" s="1" t="s">
        <v>57804</v>
      </c>
      <c r="MH75" s="1" t="s">
        <v>57805</v>
      </c>
      <c r="MI75" s="1" t="s">
        <v>57806</v>
      </c>
      <c r="MJ75" s="1" t="s">
        <v>57807</v>
      </c>
      <c r="MK75" s="1" t="s">
        <v>57808</v>
      </c>
      <c r="ML75" s="1" t="s">
        <v>57809</v>
      </c>
      <c r="MM75" s="1" t="s">
        <v>57810</v>
      </c>
      <c r="MN75" s="1" t="s">
        <v>57811</v>
      </c>
      <c r="MO75" s="1" t="s">
        <v>57812</v>
      </c>
      <c r="MP75" s="1" t="s">
        <v>57813</v>
      </c>
      <c r="MQ75" s="1" t="s">
        <v>57814</v>
      </c>
      <c r="MR75" s="1" t="s">
        <v>57815</v>
      </c>
      <c r="MS75" s="1" t="s">
        <v>57816</v>
      </c>
      <c r="MT75" s="1" t="s">
        <v>57817</v>
      </c>
      <c r="MU75" s="1" t="s">
        <v>57818</v>
      </c>
      <c r="MV75" s="1" t="s">
        <v>57819</v>
      </c>
      <c r="MW75" s="1" t="s">
        <v>57820</v>
      </c>
      <c r="MX75" s="1" t="s">
        <v>57821</v>
      </c>
      <c r="MY75" s="1" t="s">
        <v>57822</v>
      </c>
      <c r="MZ75" s="1" t="s">
        <v>57823</v>
      </c>
      <c r="NA75" s="1" t="s">
        <v>57824</v>
      </c>
      <c r="NB75" s="1" t="s">
        <v>57825</v>
      </c>
      <c r="NC75" s="1" t="s">
        <v>57826</v>
      </c>
      <c r="ND75" s="1" t="s">
        <v>57827</v>
      </c>
      <c r="NE75" s="1" t="s">
        <v>57828</v>
      </c>
      <c r="NF75" s="1" t="s">
        <v>57829</v>
      </c>
      <c r="NG75" s="1" t="s">
        <v>57830</v>
      </c>
      <c r="NH75" s="1" t="s">
        <v>57831</v>
      </c>
      <c r="NI75" s="1" t="s">
        <v>57832</v>
      </c>
      <c r="NJ75" s="1" t="s">
        <v>57833</v>
      </c>
      <c r="NK75" s="1" t="s">
        <v>57834</v>
      </c>
      <c r="NL75" s="1" t="s">
        <v>57835</v>
      </c>
      <c r="NM75" s="1" t="s">
        <v>57836</v>
      </c>
      <c r="NN75" s="1" t="s">
        <v>57837</v>
      </c>
      <c r="NO75" s="1" t="s">
        <v>57838</v>
      </c>
      <c r="NP75" s="1" t="s">
        <v>57839</v>
      </c>
      <c r="NQ75" s="1" t="s">
        <v>57840</v>
      </c>
      <c r="NR75" s="1" t="s">
        <v>57841</v>
      </c>
      <c r="NS75" s="1" t="s">
        <v>57842</v>
      </c>
      <c r="NT75" s="1" t="s">
        <v>57843</v>
      </c>
      <c r="NU75" s="1" t="s">
        <v>57844</v>
      </c>
      <c r="NV75" s="1" t="s">
        <v>57845</v>
      </c>
      <c r="NW75" s="1" t="s">
        <v>57846</v>
      </c>
      <c r="NX75" s="1" t="s">
        <v>57847</v>
      </c>
      <c r="NY75" s="1" t="s">
        <v>57848</v>
      </c>
      <c r="NZ75" s="1" t="s">
        <v>57849</v>
      </c>
      <c r="OA75" s="1" t="s">
        <v>57850</v>
      </c>
      <c r="OB75" s="1" t="s">
        <v>57851</v>
      </c>
      <c r="OC75" s="1" t="s">
        <v>57852</v>
      </c>
      <c r="OD75" s="1" t="s">
        <v>57853</v>
      </c>
      <c r="OE75" s="1" t="s">
        <v>57854</v>
      </c>
      <c r="OF75" s="1" t="s">
        <v>57855</v>
      </c>
      <c r="OG75" s="1" t="s">
        <v>57856</v>
      </c>
      <c r="OH75" s="1" t="s">
        <v>57857</v>
      </c>
      <c r="OI75" s="1" t="s">
        <v>57858</v>
      </c>
      <c r="OJ75" s="1" t="s">
        <v>57859</v>
      </c>
      <c r="OK75" s="1" t="s">
        <v>57860</v>
      </c>
      <c r="OL75" s="1" t="s">
        <v>57861</v>
      </c>
      <c r="OM75" s="1" t="s">
        <v>57862</v>
      </c>
      <c r="ON75" s="1" t="s">
        <v>57863</v>
      </c>
      <c r="OO75" s="1" t="s">
        <v>57864</v>
      </c>
      <c r="OP75" s="1" t="s">
        <v>57865</v>
      </c>
      <c r="OQ75" s="1" t="s">
        <v>57866</v>
      </c>
      <c r="OR75" s="1" t="s">
        <v>57867</v>
      </c>
      <c r="OS75" s="1" t="s">
        <v>57868</v>
      </c>
      <c r="OT75" s="1" t="s">
        <v>57869</v>
      </c>
      <c r="OU75" s="1" t="s">
        <v>57870</v>
      </c>
      <c r="OV75" s="1" t="s">
        <v>57871</v>
      </c>
      <c r="OW75" s="1" t="s">
        <v>57872</v>
      </c>
      <c r="OX75" s="1" t="s">
        <v>57873</v>
      </c>
      <c r="OY75" s="1" t="s">
        <v>57874</v>
      </c>
      <c r="OZ75" s="1" t="s">
        <v>57875</v>
      </c>
      <c r="PA75" s="1" t="s">
        <v>57876</v>
      </c>
      <c r="PB75" s="1" t="s">
        <v>57877</v>
      </c>
      <c r="PC75" s="1" t="s">
        <v>57878</v>
      </c>
      <c r="PD75" s="1" t="s">
        <v>57879</v>
      </c>
      <c r="PE75" s="1" t="s">
        <v>57880</v>
      </c>
      <c r="PF75" s="1" t="s">
        <v>57881</v>
      </c>
      <c r="PG75" s="1" t="s">
        <v>57882</v>
      </c>
      <c r="PH75" s="1" t="s">
        <v>57883</v>
      </c>
      <c r="PI75" s="1" t="s">
        <v>57884</v>
      </c>
      <c r="PJ75" s="1" t="s">
        <v>57885</v>
      </c>
      <c r="PK75" s="1" t="s">
        <v>57886</v>
      </c>
      <c r="PL75" s="1" t="s">
        <v>57887</v>
      </c>
      <c r="PM75" s="1" t="s">
        <v>57888</v>
      </c>
      <c r="PN75" s="1" t="s">
        <v>57889</v>
      </c>
      <c r="PO75" s="1" t="s">
        <v>57890</v>
      </c>
      <c r="PP75" s="1" t="s">
        <v>57891</v>
      </c>
      <c r="PQ75" s="1" t="s">
        <v>57892</v>
      </c>
      <c r="PR75" s="1" t="s">
        <v>57893</v>
      </c>
      <c r="PS75" s="1" t="s">
        <v>57894</v>
      </c>
      <c r="PT75" s="1" t="s">
        <v>57895</v>
      </c>
      <c r="PU75" s="1" t="s">
        <v>57896</v>
      </c>
      <c r="PV75" s="1" t="s">
        <v>57897</v>
      </c>
      <c r="PW75" s="1" t="s">
        <v>57898</v>
      </c>
      <c r="PX75" s="1" t="s">
        <v>57899</v>
      </c>
      <c r="PY75" s="1" t="s">
        <v>57900</v>
      </c>
      <c r="PZ75" s="1" t="s">
        <v>57901</v>
      </c>
      <c r="QA75" s="1" t="s">
        <v>57902</v>
      </c>
      <c r="QB75" s="1" t="s">
        <v>57903</v>
      </c>
      <c r="QC75" s="1" t="s">
        <v>57904</v>
      </c>
      <c r="QD75" s="1" t="s">
        <v>57905</v>
      </c>
      <c r="QE75" s="1" t="s">
        <v>57906</v>
      </c>
      <c r="QF75" s="1" t="s">
        <v>57907</v>
      </c>
      <c r="QG75" s="1" t="s">
        <v>57908</v>
      </c>
      <c r="QH75" s="1" t="s">
        <v>57909</v>
      </c>
      <c r="QI75" s="1" t="s">
        <v>57910</v>
      </c>
      <c r="QJ75" s="1" t="s">
        <v>57911</v>
      </c>
      <c r="QK75" s="1" t="s">
        <v>57912</v>
      </c>
      <c r="QL75" s="1" t="s">
        <v>57913</v>
      </c>
      <c r="QM75" s="1" t="s">
        <v>57914</v>
      </c>
      <c r="QN75" s="1" t="s">
        <v>57915</v>
      </c>
      <c r="QO75" s="1" t="s">
        <v>57916</v>
      </c>
      <c r="QP75" s="1" t="s">
        <v>57917</v>
      </c>
      <c r="QQ75" s="1" t="s">
        <v>57918</v>
      </c>
      <c r="QR75" s="1" t="s">
        <v>57919</v>
      </c>
      <c r="QS75" s="1" t="s">
        <v>57920</v>
      </c>
      <c r="QT75" s="1" t="s">
        <v>57921</v>
      </c>
      <c r="QU75" s="1" t="s">
        <v>57922</v>
      </c>
      <c r="QV75" s="1" t="s">
        <v>57923</v>
      </c>
      <c r="QW75" s="1" t="s">
        <v>57924</v>
      </c>
      <c r="QX75" s="1" t="s">
        <v>57925</v>
      </c>
      <c r="QY75" s="1" t="s">
        <v>57926</v>
      </c>
      <c r="QZ75" s="1" t="s">
        <v>57927</v>
      </c>
      <c r="RA75" s="1" t="s">
        <v>57928</v>
      </c>
      <c r="RB75" s="1" t="s">
        <v>57929</v>
      </c>
      <c r="RC75" s="1" t="s">
        <v>57930</v>
      </c>
      <c r="RD75" s="1" t="s">
        <v>57931</v>
      </c>
      <c r="RE75" s="1" t="s">
        <v>57932</v>
      </c>
      <c r="RF75" s="1" t="s">
        <v>57933</v>
      </c>
      <c r="RG75" s="1" t="s">
        <v>57934</v>
      </c>
      <c r="RH75" s="1" t="s">
        <v>57935</v>
      </c>
      <c r="RI75" s="1" t="s">
        <v>57936</v>
      </c>
      <c r="RJ75" s="1" t="s">
        <v>57937</v>
      </c>
      <c r="RK75" s="1" t="s">
        <v>57938</v>
      </c>
      <c r="RL75" s="1" t="s">
        <v>57939</v>
      </c>
      <c r="RM75" s="1" t="s">
        <v>57940</v>
      </c>
      <c r="RN75" s="1" t="s">
        <v>57941</v>
      </c>
      <c r="RO75" s="1" t="s">
        <v>57942</v>
      </c>
      <c r="RP75" s="1" t="s">
        <v>57943</v>
      </c>
      <c r="RQ75" s="1" t="s">
        <v>57944</v>
      </c>
      <c r="RR75" s="1" t="s">
        <v>57945</v>
      </c>
      <c r="RS75" s="1" t="s">
        <v>57946</v>
      </c>
      <c r="RT75" s="1" t="s">
        <v>57947</v>
      </c>
      <c r="RU75" s="1" t="s">
        <v>57948</v>
      </c>
      <c r="RV75" s="1" t="s">
        <v>57949</v>
      </c>
      <c r="RW75" s="1" t="s">
        <v>57950</v>
      </c>
      <c r="RX75" s="1" t="s">
        <v>57951</v>
      </c>
      <c r="RY75" s="1" t="s">
        <v>57952</v>
      </c>
      <c r="RZ75" s="1" t="s">
        <v>57953</v>
      </c>
      <c r="SA75" s="1" t="s">
        <v>57954</v>
      </c>
      <c r="SB75" s="1" t="s">
        <v>57955</v>
      </c>
      <c r="SC75" s="1" t="s">
        <v>57956</v>
      </c>
      <c r="SD75" s="1" t="s">
        <v>57957</v>
      </c>
      <c r="SE75" s="1" t="s">
        <v>57958</v>
      </c>
      <c r="SF75" s="1" t="s">
        <v>57959</v>
      </c>
      <c r="SG75" s="1" t="s">
        <v>57960</v>
      </c>
      <c r="SH75" s="1" t="s">
        <v>57961</v>
      </c>
      <c r="SI75" s="1" t="s">
        <v>57962</v>
      </c>
      <c r="SJ75" s="1" t="s">
        <v>57963</v>
      </c>
      <c r="SK75" s="1" t="s">
        <v>57964</v>
      </c>
      <c r="SL75" s="1" t="s">
        <v>57965</v>
      </c>
      <c r="SM75" s="1" t="s">
        <v>57966</v>
      </c>
      <c r="SN75" s="1" t="s">
        <v>57967</v>
      </c>
      <c r="SO75" s="1" t="s">
        <v>57968</v>
      </c>
      <c r="SP75" s="1" t="s">
        <v>57969</v>
      </c>
      <c r="SQ75" s="1" t="s">
        <v>57970</v>
      </c>
      <c r="SR75" s="1" t="s">
        <v>57971</v>
      </c>
      <c r="SS75" s="1" t="s">
        <v>57972</v>
      </c>
      <c r="ST75" s="1" t="s">
        <v>57973</v>
      </c>
      <c r="SU75" s="1" t="s">
        <v>57974</v>
      </c>
      <c r="SV75" s="1" t="s">
        <v>57975</v>
      </c>
      <c r="SW75" s="1" t="s">
        <v>57976</v>
      </c>
      <c r="SX75" s="1" t="s">
        <v>57977</v>
      </c>
      <c r="SY75" s="1" t="s">
        <v>57978</v>
      </c>
      <c r="SZ75" s="1" t="s">
        <v>57979</v>
      </c>
      <c r="TA75" s="1" t="s">
        <v>57980</v>
      </c>
      <c r="TB75" s="1" t="s">
        <v>57981</v>
      </c>
      <c r="TC75" s="1" t="s">
        <v>57982</v>
      </c>
      <c r="TD75" s="1" t="s">
        <v>57983</v>
      </c>
      <c r="TE75" s="1" t="s">
        <v>57984</v>
      </c>
      <c r="TF75" s="1" t="s">
        <v>57985</v>
      </c>
      <c r="TG75" s="1" t="s">
        <v>57986</v>
      </c>
      <c r="TH75" s="1" t="s">
        <v>57987</v>
      </c>
      <c r="TI75" s="1" t="s">
        <v>57988</v>
      </c>
      <c r="TJ75" s="1" t="s">
        <v>57989</v>
      </c>
      <c r="TK75" s="1" t="s">
        <v>57990</v>
      </c>
      <c r="TL75" s="1" t="s">
        <v>57991</v>
      </c>
      <c r="TM75" s="1" t="s">
        <v>57992</v>
      </c>
      <c r="TN75" s="1" t="s">
        <v>57993</v>
      </c>
      <c r="TO75" s="1" t="s">
        <v>57994</v>
      </c>
      <c r="TP75" s="1" t="s">
        <v>57995</v>
      </c>
      <c r="TQ75" s="1" t="s">
        <v>57996</v>
      </c>
      <c r="TR75" s="1" t="s">
        <v>57997</v>
      </c>
      <c r="TS75" s="1" t="s">
        <v>57998</v>
      </c>
      <c r="TT75" s="1" t="s">
        <v>57999</v>
      </c>
      <c r="TU75" s="1" t="s">
        <v>58000</v>
      </c>
      <c r="TV75" s="1" t="s">
        <v>58001</v>
      </c>
      <c r="TW75" s="1" t="s">
        <v>58002</v>
      </c>
      <c r="TX75" s="1" t="s">
        <v>58003</v>
      </c>
      <c r="TY75" s="1" t="s">
        <v>58004</v>
      </c>
      <c r="TZ75" s="1" t="s">
        <v>58005</v>
      </c>
      <c r="UA75" s="1" t="s">
        <v>58006</v>
      </c>
      <c r="UB75" s="1" t="s">
        <v>58007</v>
      </c>
      <c r="UC75" s="1" t="s">
        <v>58008</v>
      </c>
      <c r="UD75" s="1" t="s">
        <v>58009</v>
      </c>
      <c r="UE75" s="1" t="s">
        <v>58010</v>
      </c>
      <c r="UF75" s="1" t="s">
        <v>58011</v>
      </c>
      <c r="UG75" s="1" t="s">
        <v>58012</v>
      </c>
      <c r="UH75" s="1" t="s">
        <v>58013</v>
      </c>
      <c r="UI75" s="1" t="s">
        <v>58014</v>
      </c>
      <c r="UJ75" s="1" t="s">
        <v>58015</v>
      </c>
      <c r="UK75" s="1" t="s">
        <v>58016</v>
      </c>
      <c r="UL75" s="1" t="s">
        <v>58017</v>
      </c>
      <c r="UM75" s="1" t="s">
        <v>58018</v>
      </c>
      <c r="UN75" s="1" t="s">
        <v>58019</v>
      </c>
      <c r="UO75" s="1" t="s">
        <v>58020</v>
      </c>
      <c r="UP75" s="1" t="s">
        <v>58021</v>
      </c>
      <c r="UQ75" s="1" t="s">
        <v>58022</v>
      </c>
      <c r="UR75" s="1" t="s">
        <v>58023</v>
      </c>
      <c r="US75" s="1" t="s">
        <v>58024</v>
      </c>
      <c r="UT75" s="1" t="s">
        <v>58025</v>
      </c>
      <c r="UU75" s="1" t="s">
        <v>58026</v>
      </c>
      <c r="UV75" s="1" t="s">
        <v>58027</v>
      </c>
      <c r="UW75" s="1" t="s">
        <v>58028</v>
      </c>
      <c r="UX75" s="1" t="s">
        <v>58029</v>
      </c>
      <c r="UY75" s="1" t="s">
        <v>58030</v>
      </c>
      <c r="UZ75" s="1" t="s">
        <v>58031</v>
      </c>
      <c r="VA75" s="1" t="s">
        <v>58032</v>
      </c>
      <c r="VB75" s="1" t="s">
        <v>58033</v>
      </c>
      <c r="VC75" s="1" t="s">
        <v>58034</v>
      </c>
      <c r="VD75" s="1" t="s">
        <v>58035</v>
      </c>
      <c r="VE75" s="1" t="s">
        <v>58036</v>
      </c>
      <c r="VF75" s="1" t="s">
        <v>58037</v>
      </c>
      <c r="VG75" s="1" t="s">
        <v>58038</v>
      </c>
      <c r="VH75" s="1" t="s">
        <v>58039</v>
      </c>
      <c r="VI75" s="1" t="s">
        <v>58040</v>
      </c>
      <c r="VJ75" s="1" t="s">
        <v>58041</v>
      </c>
      <c r="VK75" s="1" t="s">
        <v>58042</v>
      </c>
      <c r="VL75" s="1" t="s">
        <v>58043</v>
      </c>
      <c r="VM75" s="1" t="s">
        <v>58044</v>
      </c>
      <c r="VN75" s="1" t="s">
        <v>58045</v>
      </c>
      <c r="VO75" s="1" t="s">
        <v>58046</v>
      </c>
      <c r="VP75" s="1" t="s">
        <v>58047</v>
      </c>
      <c r="VQ75" s="1" t="s">
        <v>58048</v>
      </c>
      <c r="VR75" s="1" t="s">
        <v>58049</v>
      </c>
      <c r="VS75" s="1" t="s">
        <v>58050</v>
      </c>
      <c r="VT75" s="1" t="s">
        <v>58051</v>
      </c>
      <c r="VU75" s="1" t="s">
        <v>58052</v>
      </c>
      <c r="VV75" s="1" t="s">
        <v>58053</v>
      </c>
      <c r="VW75" s="1" t="s">
        <v>58054</v>
      </c>
      <c r="VX75" s="1" t="s">
        <v>58055</v>
      </c>
      <c r="VY75" s="1" t="s">
        <v>58056</v>
      </c>
      <c r="VZ75" s="1" t="s">
        <v>58057</v>
      </c>
      <c r="WA75" s="1" t="s">
        <v>58058</v>
      </c>
      <c r="WB75" s="1" t="s">
        <v>58059</v>
      </c>
      <c r="WC75" s="1" t="s">
        <v>58060</v>
      </c>
      <c r="WD75" s="1" t="s">
        <v>58061</v>
      </c>
      <c r="WE75" s="1" t="s">
        <v>58062</v>
      </c>
      <c r="WF75" s="1" t="s">
        <v>58063</v>
      </c>
      <c r="WG75" s="1" t="s">
        <v>58064</v>
      </c>
      <c r="WH75" s="1" t="s">
        <v>58065</v>
      </c>
      <c r="WI75" s="1" t="s">
        <v>58066</v>
      </c>
      <c r="WJ75" s="1" t="s">
        <v>58067</v>
      </c>
      <c r="WK75" s="1" t="s">
        <v>58068</v>
      </c>
      <c r="WL75" s="1" t="s">
        <v>58069</v>
      </c>
      <c r="WM75" s="1" t="s">
        <v>58070</v>
      </c>
      <c r="WN75" s="1" t="s">
        <v>58071</v>
      </c>
      <c r="WO75" s="1" t="s">
        <v>58072</v>
      </c>
      <c r="WP75" s="1" t="s">
        <v>58073</v>
      </c>
      <c r="WQ75" s="1" t="s">
        <v>58074</v>
      </c>
      <c r="WR75" s="1" t="s">
        <v>58075</v>
      </c>
      <c r="WS75" s="1" t="s">
        <v>58076</v>
      </c>
      <c r="WT75" s="1" t="s">
        <v>58077</v>
      </c>
      <c r="WU75" s="1" t="s">
        <v>58078</v>
      </c>
      <c r="WV75" s="1" t="s">
        <v>58079</v>
      </c>
      <c r="WW75" s="1" t="s">
        <v>58080</v>
      </c>
      <c r="WX75" s="1" t="s">
        <v>58081</v>
      </c>
      <c r="WY75" s="1" t="s">
        <v>58082</v>
      </c>
      <c r="WZ75" s="1" t="s">
        <v>58083</v>
      </c>
      <c r="XA75" s="1" t="s">
        <v>58084</v>
      </c>
      <c r="XB75" s="1" t="s">
        <v>58085</v>
      </c>
      <c r="XC75" s="1" t="s">
        <v>58086</v>
      </c>
      <c r="XD75" s="1" t="s">
        <v>58087</v>
      </c>
      <c r="XE75" s="1" t="s">
        <v>58088</v>
      </c>
      <c r="XF75" s="1" t="s">
        <v>58089</v>
      </c>
      <c r="XG75" s="1" t="s">
        <v>58090</v>
      </c>
      <c r="XH75" s="1" t="s">
        <v>58091</v>
      </c>
      <c r="XI75" s="1" t="s">
        <v>58092</v>
      </c>
      <c r="XJ75" s="1" t="s">
        <v>58093</v>
      </c>
      <c r="XK75" s="1" t="s">
        <v>58094</v>
      </c>
      <c r="XL75" s="1" t="s">
        <v>58095</v>
      </c>
      <c r="XM75" s="1" t="s">
        <v>58096</v>
      </c>
      <c r="XN75" s="1" t="s">
        <v>58097</v>
      </c>
      <c r="XO75" s="1" t="s">
        <v>58098</v>
      </c>
      <c r="XP75" s="1" t="s">
        <v>58099</v>
      </c>
      <c r="XQ75" s="1" t="s">
        <v>58100</v>
      </c>
      <c r="XR75" s="1" t="s">
        <v>58101</v>
      </c>
      <c r="XS75" s="1" t="s">
        <v>58102</v>
      </c>
      <c r="XT75" s="1" t="s">
        <v>58103</v>
      </c>
      <c r="XU75" s="1" t="s">
        <v>58104</v>
      </c>
      <c r="XV75" s="1" t="s">
        <v>58105</v>
      </c>
      <c r="XW75" s="1" t="s">
        <v>58106</v>
      </c>
      <c r="XX75" s="1" t="s">
        <v>58107</v>
      </c>
      <c r="XY75" s="1" t="s">
        <v>58108</v>
      </c>
      <c r="XZ75" s="1" t="s">
        <v>58109</v>
      </c>
      <c r="YA75" s="1" t="s">
        <v>58110</v>
      </c>
      <c r="YB75" s="1" t="s">
        <v>58111</v>
      </c>
      <c r="YC75" s="1" t="s">
        <v>58112</v>
      </c>
      <c r="YD75" s="1" t="s">
        <v>58113</v>
      </c>
      <c r="YE75" s="1" t="s">
        <v>58114</v>
      </c>
      <c r="YF75" s="1" t="s">
        <v>58115</v>
      </c>
      <c r="YG75" s="1" t="s">
        <v>58116</v>
      </c>
      <c r="YH75" s="1" t="s">
        <v>58117</v>
      </c>
      <c r="YI75" s="1" t="s">
        <v>58118</v>
      </c>
      <c r="YJ75" s="1" t="s">
        <v>58119</v>
      </c>
      <c r="YK75" s="1" t="s">
        <v>58120</v>
      </c>
      <c r="YL75" s="1" t="s">
        <v>58121</v>
      </c>
      <c r="YM75" s="1" t="s">
        <v>58122</v>
      </c>
      <c r="YN75" s="1" t="s">
        <v>58123</v>
      </c>
      <c r="YO75" s="1" t="s">
        <v>58124</v>
      </c>
      <c r="YP75" s="1" t="s">
        <v>58125</v>
      </c>
      <c r="YQ75" s="1" t="s">
        <v>58126</v>
      </c>
      <c r="YR75" s="1" t="s">
        <v>58127</v>
      </c>
      <c r="YS75" s="1" t="s">
        <v>58128</v>
      </c>
      <c r="YT75" s="1" t="s">
        <v>58129</v>
      </c>
      <c r="YU75" s="1" t="s">
        <v>58130</v>
      </c>
      <c r="YV75" s="1" t="s">
        <v>58131</v>
      </c>
      <c r="YW75" s="1" t="s">
        <v>58132</v>
      </c>
      <c r="YX75" s="1" t="s">
        <v>58133</v>
      </c>
      <c r="YY75" s="1" t="s">
        <v>58134</v>
      </c>
      <c r="YZ75" s="1" t="s">
        <v>58135</v>
      </c>
      <c r="ZA75" s="1" t="s">
        <v>58136</v>
      </c>
      <c r="ZB75" s="1" t="s">
        <v>58137</v>
      </c>
      <c r="ZC75" s="1" t="s">
        <v>58138</v>
      </c>
      <c r="ZD75" s="1" t="s">
        <v>58139</v>
      </c>
      <c r="ZE75" s="1" t="s">
        <v>58140</v>
      </c>
      <c r="ZF75" s="1" t="s">
        <v>58141</v>
      </c>
      <c r="ZG75" s="1" t="s">
        <v>58142</v>
      </c>
      <c r="ZH75" s="1" t="s">
        <v>58143</v>
      </c>
      <c r="ZI75" s="1" t="s">
        <v>58144</v>
      </c>
      <c r="ZJ75" s="1" t="s">
        <v>58145</v>
      </c>
      <c r="ZK75" s="1" t="s">
        <v>58146</v>
      </c>
      <c r="ZL75" s="1" t="s">
        <v>58147</v>
      </c>
      <c r="ZM75" s="1" t="s">
        <v>58148</v>
      </c>
      <c r="ZN75" s="1" t="s">
        <v>58149</v>
      </c>
      <c r="ZO75" s="1" t="s">
        <v>58150</v>
      </c>
      <c r="ZP75" s="1" t="s">
        <v>58151</v>
      </c>
      <c r="ZQ75" s="1" t="s">
        <v>58152</v>
      </c>
      <c r="ZR75" s="1" t="s">
        <v>58153</v>
      </c>
      <c r="ZS75" s="1" t="s">
        <v>58154</v>
      </c>
      <c r="ZT75" s="1" t="s">
        <v>58155</v>
      </c>
      <c r="ZU75" s="1" t="s">
        <v>58156</v>
      </c>
      <c r="ZV75" s="1" t="s">
        <v>58157</v>
      </c>
      <c r="ZW75" s="1" t="s">
        <v>58158</v>
      </c>
      <c r="ZX75" s="1" t="s">
        <v>58159</v>
      </c>
      <c r="ZY75" s="1" t="s">
        <v>58160</v>
      </c>
      <c r="ZZ75" s="1" t="s">
        <v>58161</v>
      </c>
      <c r="AAA75" s="1" t="s">
        <v>58162</v>
      </c>
      <c r="AAB75" s="1" t="s">
        <v>58163</v>
      </c>
      <c r="AAC75" s="1" t="s">
        <v>58164</v>
      </c>
      <c r="AAD75" s="1" t="s">
        <v>58165</v>
      </c>
      <c r="AAE75" s="1" t="s">
        <v>58166</v>
      </c>
      <c r="AAF75" s="1" t="s">
        <v>58167</v>
      </c>
      <c r="AAG75" s="1" t="s">
        <v>58168</v>
      </c>
      <c r="AAH75" s="1" t="s">
        <v>58169</v>
      </c>
      <c r="AAI75" s="1" t="s">
        <v>58170</v>
      </c>
      <c r="AAJ75" s="1" t="s">
        <v>58171</v>
      </c>
      <c r="AAK75" s="1" t="s">
        <v>58172</v>
      </c>
      <c r="AAL75" s="1" t="s">
        <v>58173</v>
      </c>
      <c r="AAM75" s="1" t="s">
        <v>58174</v>
      </c>
      <c r="AAN75" s="1" t="s">
        <v>58175</v>
      </c>
      <c r="AAO75" s="1" t="s">
        <v>58176</v>
      </c>
      <c r="AAP75" s="1" t="s">
        <v>58177</v>
      </c>
      <c r="AAQ75" s="1" t="s">
        <v>58178</v>
      </c>
      <c r="AAR75" s="1" t="s">
        <v>58179</v>
      </c>
      <c r="AAS75" s="1" t="s">
        <v>58180</v>
      </c>
      <c r="AAT75" s="1" t="s">
        <v>58181</v>
      </c>
      <c r="AAU75" s="1" t="s">
        <v>58182</v>
      </c>
      <c r="AAV75" s="1" t="s">
        <v>58183</v>
      </c>
      <c r="AAW75" s="1" t="s">
        <v>58184</v>
      </c>
      <c r="AAX75" s="1" t="s">
        <v>58185</v>
      </c>
      <c r="AAY75" s="1" t="s">
        <v>58186</v>
      </c>
      <c r="AAZ75" s="1" t="s">
        <v>58187</v>
      </c>
      <c r="ABA75" s="1" t="s">
        <v>58188</v>
      </c>
      <c r="ABB75" s="1" t="s">
        <v>58189</v>
      </c>
      <c r="ABC75" s="1" t="s">
        <v>58190</v>
      </c>
      <c r="ABD75" s="1" t="s">
        <v>58191</v>
      </c>
      <c r="ABE75" s="1" t="s">
        <v>58192</v>
      </c>
      <c r="ABF75" s="1" t="s">
        <v>58193</v>
      </c>
      <c r="ABG75" s="1" t="s">
        <v>58194</v>
      </c>
      <c r="ABH75" s="1" t="s">
        <v>58195</v>
      </c>
      <c r="ABI75" s="1" t="s">
        <v>58196</v>
      </c>
      <c r="ABJ75" s="1" t="s">
        <v>58197</v>
      </c>
      <c r="ABK75" s="1" t="s">
        <v>58198</v>
      </c>
      <c r="ABL75" s="1" t="s">
        <v>58199</v>
      </c>
      <c r="ABM75" s="1" t="s">
        <v>58200</v>
      </c>
      <c r="ABN75" s="1" t="s">
        <v>58201</v>
      </c>
      <c r="ABO75" s="1" t="s">
        <v>58202</v>
      </c>
      <c r="ABP75" s="1" t="s">
        <v>58203</v>
      </c>
      <c r="ABQ75" s="1" t="s">
        <v>58204</v>
      </c>
      <c r="ABR75" s="1" t="s">
        <v>58205</v>
      </c>
      <c r="ABS75" s="1" t="s">
        <v>58206</v>
      </c>
      <c r="ABT75" s="1" t="s">
        <v>58207</v>
      </c>
      <c r="ABU75" s="1" t="s">
        <v>58208</v>
      </c>
      <c r="ABV75" s="1" t="s">
        <v>58209</v>
      </c>
      <c r="ABW75" s="1" t="s">
        <v>58210</v>
      </c>
      <c r="ABX75" s="1" t="s">
        <v>58211</v>
      </c>
      <c r="ABY75" s="1" t="s">
        <v>58212</v>
      </c>
      <c r="ABZ75" s="1" t="s">
        <v>58213</v>
      </c>
      <c r="ACA75" s="1" t="s">
        <v>58214</v>
      </c>
      <c r="ACB75" s="1" t="s">
        <v>58215</v>
      </c>
      <c r="ACC75" s="1" t="s">
        <v>58216</v>
      </c>
      <c r="ACD75" s="1" t="s">
        <v>58217</v>
      </c>
      <c r="ACE75" s="1" t="s">
        <v>58218</v>
      </c>
      <c r="ACF75" s="1" t="s">
        <v>58219</v>
      </c>
      <c r="ACG75" s="1" t="s">
        <v>58220</v>
      </c>
      <c r="ACH75" s="1" t="s">
        <v>58221</v>
      </c>
      <c r="ACI75" s="1" t="s">
        <v>58222</v>
      </c>
      <c r="ACJ75" s="1" t="s">
        <v>58223</v>
      </c>
      <c r="ACK75" s="1" t="s">
        <v>58224</v>
      </c>
      <c r="ACL75" s="1" t="s">
        <v>58225</v>
      </c>
      <c r="ACM75" s="1" t="s">
        <v>58226</v>
      </c>
      <c r="ACN75" s="1" t="s">
        <v>58227</v>
      </c>
      <c r="ACO75" s="1" t="s">
        <v>58228</v>
      </c>
      <c r="ACP75" s="1" t="s">
        <v>58229</v>
      </c>
      <c r="ACQ75" s="1" t="s">
        <v>58230</v>
      </c>
      <c r="ACR75" s="1" t="s">
        <v>58231</v>
      </c>
      <c r="ACS75" s="1" t="s">
        <v>58232</v>
      </c>
      <c r="ACT75" s="1" t="s">
        <v>58233</v>
      </c>
      <c r="ACU75" s="1" t="s">
        <v>58234</v>
      </c>
      <c r="ACV75" s="1" t="s">
        <v>58235</v>
      </c>
      <c r="ACW75" s="1" t="s">
        <v>17</v>
      </c>
      <c r="ACX75" s="1" t="s">
        <v>1502</v>
      </c>
    </row>
    <row r="76" spans="1:778" x14ac:dyDescent="0.2">
      <c r="A76" s="1" t="s">
        <v>51</v>
      </c>
      <c r="B76" s="1" t="s">
        <v>58236</v>
      </c>
      <c r="C76" s="1" t="s">
        <v>58237</v>
      </c>
      <c r="D76" s="1" t="s">
        <v>58238</v>
      </c>
      <c r="E76" s="1" t="s">
        <v>58239</v>
      </c>
      <c r="F76" s="1" t="s">
        <v>58240</v>
      </c>
      <c r="G76" s="1" t="s">
        <v>58241</v>
      </c>
      <c r="H76" s="1" t="s">
        <v>58242</v>
      </c>
      <c r="I76" s="1" t="s">
        <v>58243</v>
      </c>
      <c r="J76" s="1" t="s">
        <v>58244</v>
      </c>
      <c r="K76" s="1" t="s">
        <v>58245</v>
      </c>
      <c r="L76" s="1" t="s">
        <v>58246</v>
      </c>
      <c r="M76" s="1" t="s">
        <v>58247</v>
      </c>
      <c r="N76" s="1" t="s">
        <v>58248</v>
      </c>
      <c r="O76" s="1" t="s">
        <v>58249</v>
      </c>
      <c r="P76" s="1" t="s">
        <v>58250</v>
      </c>
      <c r="Q76" s="1" t="s">
        <v>58251</v>
      </c>
      <c r="R76" s="1" t="s">
        <v>58252</v>
      </c>
      <c r="S76" s="1" t="s">
        <v>58253</v>
      </c>
      <c r="T76" s="1" t="s">
        <v>58254</v>
      </c>
      <c r="U76" s="1" t="s">
        <v>58255</v>
      </c>
      <c r="V76" s="1" t="s">
        <v>58256</v>
      </c>
      <c r="W76" s="1" t="s">
        <v>58257</v>
      </c>
      <c r="X76" s="1" t="s">
        <v>58258</v>
      </c>
      <c r="Y76" s="1" t="s">
        <v>58259</v>
      </c>
      <c r="Z76" s="1" t="s">
        <v>58260</v>
      </c>
      <c r="AA76" s="1" t="s">
        <v>58261</v>
      </c>
      <c r="AB76" s="1" t="s">
        <v>58262</v>
      </c>
      <c r="AC76" s="1" t="s">
        <v>58263</v>
      </c>
      <c r="AD76" s="1" t="s">
        <v>58264</v>
      </c>
      <c r="AE76" s="1" t="s">
        <v>58265</v>
      </c>
      <c r="AF76" s="1" t="s">
        <v>58266</v>
      </c>
      <c r="AG76" s="1" t="s">
        <v>58267</v>
      </c>
      <c r="AH76" s="1" t="s">
        <v>58268</v>
      </c>
      <c r="AI76" s="1" t="s">
        <v>58269</v>
      </c>
      <c r="AJ76" s="1" t="s">
        <v>58270</v>
      </c>
      <c r="AK76" s="1" t="s">
        <v>58271</v>
      </c>
      <c r="AL76" s="1" t="s">
        <v>58272</v>
      </c>
      <c r="AM76" s="1" t="s">
        <v>58273</v>
      </c>
      <c r="AN76" s="1" t="s">
        <v>58274</v>
      </c>
      <c r="AO76" s="1" t="s">
        <v>58275</v>
      </c>
      <c r="AP76" s="1" t="s">
        <v>58276</v>
      </c>
      <c r="AQ76" s="1" t="s">
        <v>58277</v>
      </c>
      <c r="AR76" s="1" t="s">
        <v>58278</v>
      </c>
      <c r="AS76" s="1" t="s">
        <v>58279</v>
      </c>
      <c r="AT76" s="1" t="s">
        <v>58280</v>
      </c>
      <c r="AU76" s="1" t="s">
        <v>58281</v>
      </c>
      <c r="AV76" s="1" t="s">
        <v>58282</v>
      </c>
      <c r="AW76" s="1" t="s">
        <v>58283</v>
      </c>
      <c r="AX76" s="1" t="s">
        <v>58284</v>
      </c>
      <c r="AY76" s="1" t="s">
        <v>58285</v>
      </c>
      <c r="AZ76" s="1" t="s">
        <v>58286</v>
      </c>
      <c r="BA76" s="1" t="s">
        <v>58287</v>
      </c>
      <c r="BB76" s="1" t="s">
        <v>58288</v>
      </c>
      <c r="BC76" s="1" t="s">
        <v>58289</v>
      </c>
      <c r="BD76" s="1" t="s">
        <v>58290</v>
      </c>
      <c r="BE76" s="1" t="s">
        <v>58291</v>
      </c>
      <c r="BF76" s="1" t="s">
        <v>58292</v>
      </c>
      <c r="BG76" s="1" t="s">
        <v>58293</v>
      </c>
      <c r="BH76" s="1" t="s">
        <v>58294</v>
      </c>
      <c r="BI76" s="1" t="s">
        <v>58295</v>
      </c>
      <c r="BJ76" s="1" t="s">
        <v>58296</v>
      </c>
      <c r="BK76" s="1" t="s">
        <v>58297</v>
      </c>
      <c r="BL76" s="1" t="s">
        <v>58298</v>
      </c>
      <c r="BM76" s="1" t="s">
        <v>58299</v>
      </c>
      <c r="BN76" s="1" t="s">
        <v>58300</v>
      </c>
      <c r="BO76" s="1" t="s">
        <v>58301</v>
      </c>
      <c r="BP76" s="1" t="s">
        <v>58302</v>
      </c>
      <c r="BQ76" s="1" t="s">
        <v>58303</v>
      </c>
      <c r="BR76" s="1" t="s">
        <v>58304</v>
      </c>
      <c r="BS76" s="1" t="s">
        <v>58305</v>
      </c>
      <c r="BT76" s="1" t="s">
        <v>58306</v>
      </c>
      <c r="BU76" s="1" t="s">
        <v>58307</v>
      </c>
      <c r="BV76" s="1" t="s">
        <v>58308</v>
      </c>
      <c r="BW76" s="1" t="s">
        <v>58309</v>
      </c>
      <c r="BX76" s="1" t="s">
        <v>58310</v>
      </c>
      <c r="BY76" s="1" t="s">
        <v>58311</v>
      </c>
      <c r="BZ76" s="1" t="s">
        <v>58312</v>
      </c>
      <c r="CA76" s="1" t="s">
        <v>58313</v>
      </c>
      <c r="CB76" s="1" t="s">
        <v>58314</v>
      </c>
      <c r="CC76" s="1" t="s">
        <v>58315</v>
      </c>
      <c r="CD76" s="1" t="s">
        <v>58316</v>
      </c>
      <c r="CE76" s="1" t="s">
        <v>58317</v>
      </c>
      <c r="CF76" s="1" t="s">
        <v>58318</v>
      </c>
      <c r="CG76" s="1" t="s">
        <v>58319</v>
      </c>
      <c r="CH76" s="1" t="s">
        <v>58320</v>
      </c>
      <c r="CI76" s="1" t="s">
        <v>58321</v>
      </c>
      <c r="CJ76" s="1" t="s">
        <v>58322</v>
      </c>
      <c r="CK76" s="1" t="s">
        <v>58323</v>
      </c>
      <c r="CL76" s="1" t="s">
        <v>58324</v>
      </c>
      <c r="CM76" s="1" t="s">
        <v>58325</v>
      </c>
      <c r="CN76" s="1" t="s">
        <v>58326</v>
      </c>
      <c r="CO76" s="1" t="s">
        <v>58327</v>
      </c>
      <c r="CP76" s="1" t="s">
        <v>58328</v>
      </c>
      <c r="CQ76" s="1" t="s">
        <v>58329</v>
      </c>
      <c r="CR76" s="1" t="s">
        <v>58330</v>
      </c>
      <c r="CS76" s="1" t="s">
        <v>58331</v>
      </c>
      <c r="CT76" s="1" t="s">
        <v>58332</v>
      </c>
      <c r="CU76" s="1" t="s">
        <v>58333</v>
      </c>
      <c r="CV76" s="1" t="s">
        <v>58334</v>
      </c>
      <c r="CW76" s="1" t="s">
        <v>58335</v>
      </c>
      <c r="CX76" s="1" t="s">
        <v>58336</v>
      </c>
      <c r="CY76" s="1" t="s">
        <v>58337</v>
      </c>
      <c r="CZ76" s="1" t="s">
        <v>58338</v>
      </c>
      <c r="DA76" s="1" t="s">
        <v>58339</v>
      </c>
      <c r="DB76" s="1" t="s">
        <v>58340</v>
      </c>
      <c r="DC76" s="1" t="s">
        <v>58341</v>
      </c>
      <c r="DD76" s="1" t="s">
        <v>58342</v>
      </c>
      <c r="DE76" s="1" t="s">
        <v>58343</v>
      </c>
      <c r="DF76" s="1" t="s">
        <v>58344</v>
      </c>
      <c r="DG76" s="1" t="s">
        <v>58345</v>
      </c>
      <c r="DH76" s="1" t="s">
        <v>58346</v>
      </c>
      <c r="DI76" s="1" t="s">
        <v>58347</v>
      </c>
      <c r="DJ76" s="1" t="s">
        <v>58348</v>
      </c>
      <c r="DK76" s="1" t="s">
        <v>58349</v>
      </c>
      <c r="DL76" s="1" t="s">
        <v>58350</v>
      </c>
      <c r="DM76" s="1" t="s">
        <v>58351</v>
      </c>
      <c r="DN76" s="1" t="s">
        <v>58352</v>
      </c>
      <c r="DO76" s="1" t="s">
        <v>58353</v>
      </c>
      <c r="DP76" s="1" t="s">
        <v>58354</v>
      </c>
      <c r="DQ76" s="1" t="s">
        <v>58355</v>
      </c>
      <c r="DR76" s="1" t="s">
        <v>58356</v>
      </c>
      <c r="DS76" s="1" t="s">
        <v>58357</v>
      </c>
      <c r="DT76" s="1" t="s">
        <v>58358</v>
      </c>
      <c r="DU76" s="1" t="s">
        <v>58359</v>
      </c>
      <c r="DV76" s="1" t="s">
        <v>58360</v>
      </c>
      <c r="DW76" s="1" t="s">
        <v>58361</v>
      </c>
      <c r="DX76" s="1" t="s">
        <v>58362</v>
      </c>
      <c r="DY76" s="1" t="s">
        <v>58363</v>
      </c>
      <c r="DZ76" s="1" t="s">
        <v>58364</v>
      </c>
      <c r="EA76" s="1" t="s">
        <v>58365</v>
      </c>
      <c r="EB76" s="1" t="s">
        <v>58366</v>
      </c>
      <c r="EC76" s="1" t="s">
        <v>58367</v>
      </c>
      <c r="ED76" s="1" t="s">
        <v>58368</v>
      </c>
      <c r="EE76" s="1" t="s">
        <v>58369</v>
      </c>
      <c r="EF76" s="1" t="s">
        <v>58370</v>
      </c>
      <c r="EG76" s="1" t="s">
        <v>58371</v>
      </c>
      <c r="EH76" s="1" t="s">
        <v>58372</v>
      </c>
      <c r="EI76" s="1" t="s">
        <v>58373</v>
      </c>
      <c r="EJ76" s="1" t="s">
        <v>58374</v>
      </c>
      <c r="EK76" s="1" t="s">
        <v>58375</v>
      </c>
      <c r="EL76" s="1" t="s">
        <v>58376</v>
      </c>
      <c r="EM76" s="1" t="s">
        <v>58377</v>
      </c>
      <c r="EN76" s="1" t="s">
        <v>58378</v>
      </c>
      <c r="EO76" s="1" t="s">
        <v>58379</v>
      </c>
      <c r="EP76" s="1" t="s">
        <v>58380</v>
      </c>
      <c r="EQ76" s="1" t="s">
        <v>58381</v>
      </c>
      <c r="ER76" s="1" t="s">
        <v>58382</v>
      </c>
      <c r="ES76" s="1" t="s">
        <v>58383</v>
      </c>
      <c r="ET76" s="1" t="s">
        <v>58384</v>
      </c>
      <c r="EU76" s="1" t="s">
        <v>58385</v>
      </c>
      <c r="EV76" s="1" t="s">
        <v>58386</v>
      </c>
      <c r="EW76" s="1" t="s">
        <v>58387</v>
      </c>
      <c r="EX76" s="1" t="s">
        <v>58388</v>
      </c>
      <c r="EY76" s="1" t="s">
        <v>58389</v>
      </c>
      <c r="EZ76" s="1" t="s">
        <v>58390</v>
      </c>
      <c r="FA76" s="1" t="s">
        <v>58391</v>
      </c>
      <c r="FB76" s="1" t="s">
        <v>58392</v>
      </c>
      <c r="FC76" s="1" t="s">
        <v>58393</v>
      </c>
      <c r="FD76" s="1" t="s">
        <v>58394</v>
      </c>
      <c r="FE76" s="1" t="s">
        <v>58395</v>
      </c>
      <c r="FF76" s="1" t="s">
        <v>58396</v>
      </c>
      <c r="FG76" s="1" t="s">
        <v>58397</v>
      </c>
      <c r="FH76" s="1" t="s">
        <v>58398</v>
      </c>
      <c r="FI76" s="1" t="s">
        <v>58399</v>
      </c>
      <c r="FJ76" s="1" t="s">
        <v>58400</v>
      </c>
      <c r="FK76" s="1" t="s">
        <v>58401</v>
      </c>
      <c r="FL76" s="1" t="s">
        <v>58402</v>
      </c>
      <c r="FM76" s="1" t="s">
        <v>58403</v>
      </c>
      <c r="FN76" s="1" t="s">
        <v>58404</v>
      </c>
      <c r="FO76" s="1" t="s">
        <v>58405</v>
      </c>
      <c r="FP76" s="1" t="s">
        <v>58406</v>
      </c>
      <c r="FQ76" s="1" t="s">
        <v>58407</v>
      </c>
      <c r="FR76" s="1" t="s">
        <v>58408</v>
      </c>
      <c r="FS76" s="1" t="s">
        <v>58409</v>
      </c>
      <c r="FT76" s="1" t="s">
        <v>58410</v>
      </c>
      <c r="FU76" s="1" t="s">
        <v>58411</v>
      </c>
      <c r="FV76" s="1" t="s">
        <v>58412</v>
      </c>
      <c r="FW76" s="1" t="s">
        <v>58413</v>
      </c>
      <c r="FX76" s="1" t="s">
        <v>58414</v>
      </c>
      <c r="FY76" s="1" t="s">
        <v>58415</v>
      </c>
      <c r="FZ76" s="1" t="s">
        <v>58416</v>
      </c>
      <c r="GA76" s="1" t="s">
        <v>58417</v>
      </c>
      <c r="GB76" s="1" t="s">
        <v>58418</v>
      </c>
      <c r="GC76" s="1" t="s">
        <v>58419</v>
      </c>
      <c r="GD76" s="1" t="s">
        <v>58420</v>
      </c>
      <c r="GE76" s="1" t="s">
        <v>58421</v>
      </c>
      <c r="GF76" s="1" t="s">
        <v>58422</v>
      </c>
      <c r="GG76" s="1" t="s">
        <v>58423</v>
      </c>
      <c r="GH76" s="1" t="s">
        <v>58424</v>
      </c>
      <c r="GI76" s="1" t="s">
        <v>58425</v>
      </c>
      <c r="GJ76" s="1" t="s">
        <v>58426</v>
      </c>
      <c r="GK76" s="1" t="s">
        <v>58427</v>
      </c>
      <c r="GL76" s="1" t="s">
        <v>58428</v>
      </c>
      <c r="GM76" s="1" t="s">
        <v>58429</v>
      </c>
      <c r="GN76" s="1" t="s">
        <v>58430</v>
      </c>
      <c r="GO76" s="1" t="s">
        <v>58431</v>
      </c>
      <c r="GP76" s="1" t="s">
        <v>58432</v>
      </c>
      <c r="GQ76" s="1" t="s">
        <v>58433</v>
      </c>
      <c r="GR76" s="1" t="s">
        <v>58434</v>
      </c>
      <c r="GS76" s="1" t="s">
        <v>58435</v>
      </c>
      <c r="GT76" s="1" t="s">
        <v>58436</v>
      </c>
      <c r="GU76" s="1" t="s">
        <v>58437</v>
      </c>
      <c r="GV76" s="1" t="s">
        <v>58438</v>
      </c>
      <c r="GW76" s="1" t="s">
        <v>58439</v>
      </c>
      <c r="GX76" s="1" t="s">
        <v>58440</v>
      </c>
      <c r="GY76" s="1" t="s">
        <v>58441</v>
      </c>
      <c r="GZ76" s="1" t="s">
        <v>58442</v>
      </c>
      <c r="HA76" s="1" t="s">
        <v>58443</v>
      </c>
      <c r="HB76" s="1" t="s">
        <v>58444</v>
      </c>
      <c r="HC76" s="1" t="s">
        <v>58445</v>
      </c>
      <c r="HD76" s="1" t="s">
        <v>58446</v>
      </c>
      <c r="HE76" s="1" t="s">
        <v>58447</v>
      </c>
      <c r="HF76" s="1" t="s">
        <v>58448</v>
      </c>
      <c r="HG76" s="1" t="s">
        <v>58449</v>
      </c>
      <c r="HH76" s="1" t="s">
        <v>58450</v>
      </c>
      <c r="HI76" s="1" t="s">
        <v>58451</v>
      </c>
      <c r="HJ76" s="1" t="s">
        <v>58452</v>
      </c>
      <c r="HK76" s="1" t="s">
        <v>58453</v>
      </c>
      <c r="HL76" s="1" t="s">
        <v>58454</v>
      </c>
      <c r="HM76" s="1" t="s">
        <v>58455</v>
      </c>
      <c r="HN76" s="1" t="s">
        <v>58456</v>
      </c>
      <c r="HO76" s="1" t="s">
        <v>58457</v>
      </c>
      <c r="HP76" s="1" t="s">
        <v>58458</v>
      </c>
      <c r="HQ76" s="1" t="s">
        <v>58459</v>
      </c>
      <c r="HR76" s="1" t="s">
        <v>58460</v>
      </c>
      <c r="HS76" s="1" t="s">
        <v>58461</v>
      </c>
      <c r="HT76" s="1" t="s">
        <v>58462</v>
      </c>
      <c r="HU76" s="1" t="s">
        <v>58463</v>
      </c>
      <c r="HV76" s="1" t="s">
        <v>58464</v>
      </c>
      <c r="HW76" s="1" t="s">
        <v>58465</v>
      </c>
      <c r="HX76" s="1" t="s">
        <v>58466</v>
      </c>
      <c r="HY76" s="1" t="s">
        <v>58467</v>
      </c>
      <c r="HZ76" s="1" t="s">
        <v>58468</v>
      </c>
      <c r="IA76" s="1" t="s">
        <v>58469</v>
      </c>
      <c r="IB76" s="1" t="s">
        <v>58470</v>
      </c>
      <c r="IC76" s="1" t="s">
        <v>58471</v>
      </c>
      <c r="ID76" s="1" t="s">
        <v>58472</v>
      </c>
      <c r="IE76" s="1" t="s">
        <v>58473</v>
      </c>
      <c r="IF76" s="1" t="s">
        <v>58474</v>
      </c>
      <c r="IG76" s="1" t="s">
        <v>58475</v>
      </c>
      <c r="IH76" s="1" t="s">
        <v>58476</v>
      </c>
      <c r="II76" s="1" t="s">
        <v>58477</v>
      </c>
      <c r="IJ76" s="1" t="s">
        <v>58478</v>
      </c>
      <c r="IK76" s="1" t="s">
        <v>58479</v>
      </c>
      <c r="IL76" s="1" t="s">
        <v>58480</v>
      </c>
      <c r="IM76" s="1" t="s">
        <v>58481</v>
      </c>
      <c r="IN76" s="1" t="s">
        <v>58482</v>
      </c>
      <c r="IO76" s="1" t="s">
        <v>58483</v>
      </c>
      <c r="IP76" s="1" t="s">
        <v>58484</v>
      </c>
      <c r="IQ76" s="1" t="s">
        <v>58485</v>
      </c>
      <c r="IR76" s="1" t="s">
        <v>58486</v>
      </c>
      <c r="IS76" s="1" t="s">
        <v>58487</v>
      </c>
      <c r="IT76" s="1" t="s">
        <v>58488</v>
      </c>
      <c r="IU76" s="1" t="s">
        <v>58489</v>
      </c>
      <c r="IV76" s="1" t="s">
        <v>58490</v>
      </c>
      <c r="IW76" s="1" t="s">
        <v>58491</v>
      </c>
      <c r="IX76" s="1" t="s">
        <v>58492</v>
      </c>
      <c r="IY76" s="1" t="s">
        <v>58493</v>
      </c>
      <c r="IZ76" s="1" t="s">
        <v>58494</v>
      </c>
      <c r="JA76" s="1" t="s">
        <v>58495</v>
      </c>
      <c r="JB76" s="1" t="s">
        <v>58496</v>
      </c>
      <c r="JC76" s="1" t="s">
        <v>58497</v>
      </c>
      <c r="JD76" s="1" t="s">
        <v>58498</v>
      </c>
      <c r="JE76" s="1" t="s">
        <v>58499</v>
      </c>
      <c r="JF76" s="1" t="s">
        <v>58500</v>
      </c>
      <c r="JG76" s="1" t="s">
        <v>58501</v>
      </c>
      <c r="JH76" s="1" t="s">
        <v>58502</v>
      </c>
      <c r="JI76" s="1" t="s">
        <v>58503</v>
      </c>
      <c r="JJ76" s="1" t="s">
        <v>58504</v>
      </c>
      <c r="JK76" s="1" t="s">
        <v>58505</v>
      </c>
      <c r="JL76" s="1" t="s">
        <v>58506</v>
      </c>
      <c r="JM76" s="1" t="s">
        <v>58507</v>
      </c>
      <c r="JN76" s="1" t="s">
        <v>58508</v>
      </c>
      <c r="JO76" s="1" t="s">
        <v>58509</v>
      </c>
      <c r="JP76" s="1" t="s">
        <v>58510</v>
      </c>
      <c r="JQ76" s="1" t="s">
        <v>58511</v>
      </c>
      <c r="JR76" s="1" t="s">
        <v>58512</v>
      </c>
      <c r="JS76" s="1" t="s">
        <v>58513</v>
      </c>
      <c r="JT76" s="1" t="s">
        <v>58514</v>
      </c>
      <c r="JU76" s="1" t="s">
        <v>58515</v>
      </c>
      <c r="JV76" s="1" t="s">
        <v>58516</v>
      </c>
      <c r="JW76" s="1" t="s">
        <v>58517</v>
      </c>
      <c r="JX76" s="1" t="s">
        <v>58518</v>
      </c>
      <c r="JY76" s="1" t="s">
        <v>58519</v>
      </c>
      <c r="JZ76" s="1" t="s">
        <v>58520</v>
      </c>
      <c r="KA76" s="1" t="s">
        <v>58521</v>
      </c>
      <c r="KB76" s="1" t="s">
        <v>58522</v>
      </c>
      <c r="KC76" s="1" t="s">
        <v>58523</v>
      </c>
      <c r="KD76" s="1" t="s">
        <v>58524</v>
      </c>
      <c r="KE76" s="1" t="s">
        <v>58525</v>
      </c>
      <c r="KF76" s="1" t="s">
        <v>58526</v>
      </c>
      <c r="KG76" s="1" t="s">
        <v>58527</v>
      </c>
      <c r="KH76" s="1" t="s">
        <v>58528</v>
      </c>
      <c r="KI76" s="1" t="s">
        <v>58529</v>
      </c>
      <c r="KJ76" s="1" t="s">
        <v>58530</v>
      </c>
      <c r="KK76" s="1" t="s">
        <v>58531</v>
      </c>
      <c r="KL76" s="1" t="s">
        <v>58532</v>
      </c>
      <c r="KM76" s="1" t="s">
        <v>58533</v>
      </c>
      <c r="KN76" s="1" t="s">
        <v>58534</v>
      </c>
      <c r="KO76" s="1" t="s">
        <v>58535</v>
      </c>
      <c r="KP76" s="1" t="s">
        <v>58536</v>
      </c>
      <c r="KQ76" s="1" t="s">
        <v>58537</v>
      </c>
      <c r="KR76" s="1" t="s">
        <v>58538</v>
      </c>
      <c r="KS76" s="1" t="s">
        <v>58539</v>
      </c>
      <c r="KT76" s="1" t="s">
        <v>58540</v>
      </c>
      <c r="KU76" s="1" t="s">
        <v>58541</v>
      </c>
      <c r="KV76" s="1" t="s">
        <v>58542</v>
      </c>
      <c r="KW76" s="1" t="s">
        <v>58543</v>
      </c>
      <c r="KX76" s="1" t="s">
        <v>58544</v>
      </c>
      <c r="KY76" s="1" t="s">
        <v>58545</v>
      </c>
      <c r="KZ76" s="1" t="s">
        <v>58546</v>
      </c>
      <c r="LA76" s="1" t="s">
        <v>58547</v>
      </c>
      <c r="LB76" s="1" t="s">
        <v>58548</v>
      </c>
      <c r="LC76" s="1" t="s">
        <v>58549</v>
      </c>
      <c r="LD76" s="1" t="s">
        <v>58550</v>
      </c>
      <c r="LE76" s="1" t="s">
        <v>58551</v>
      </c>
      <c r="LF76" s="1" t="s">
        <v>58552</v>
      </c>
      <c r="LG76" s="1" t="s">
        <v>58553</v>
      </c>
      <c r="LH76" s="1" t="s">
        <v>58554</v>
      </c>
      <c r="LI76" s="1" t="s">
        <v>58555</v>
      </c>
      <c r="LJ76" s="1" t="s">
        <v>58556</v>
      </c>
      <c r="LK76" s="1" t="s">
        <v>58557</v>
      </c>
      <c r="LL76" s="1" t="s">
        <v>58558</v>
      </c>
      <c r="LM76" s="1" t="s">
        <v>58559</v>
      </c>
      <c r="LN76" s="1" t="s">
        <v>58560</v>
      </c>
      <c r="LO76" s="1" t="s">
        <v>58561</v>
      </c>
      <c r="LP76" s="1" t="s">
        <v>58562</v>
      </c>
      <c r="LQ76" s="1" t="s">
        <v>58563</v>
      </c>
      <c r="LR76" s="1" t="s">
        <v>58564</v>
      </c>
      <c r="LS76" s="1" t="s">
        <v>58565</v>
      </c>
      <c r="LT76" s="1" t="s">
        <v>58566</v>
      </c>
      <c r="LU76" s="1" t="s">
        <v>58567</v>
      </c>
      <c r="LV76" s="1" t="s">
        <v>58568</v>
      </c>
      <c r="LW76" s="1" t="s">
        <v>58569</v>
      </c>
      <c r="LX76" s="1" t="s">
        <v>58570</v>
      </c>
      <c r="LY76" s="1" t="s">
        <v>58571</v>
      </c>
      <c r="LZ76" s="1" t="s">
        <v>58572</v>
      </c>
      <c r="MA76" s="1" t="s">
        <v>58573</v>
      </c>
      <c r="MB76" s="1" t="s">
        <v>58574</v>
      </c>
      <c r="MC76" s="1" t="s">
        <v>58575</v>
      </c>
      <c r="MD76" s="1" t="s">
        <v>58576</v>
      </c>
      <c r="ME76" s="1" t="s">
        <v>58577</v>
      </c>
      <c r="MF76" s="1" t="s">
        <v>58578</v>
      </c>
      <c r="MG76" s="1" t="s">
        <v>58579</v>
      </c>
      <c r="MH76" s="1" t="s">
        <v>58580</v>
      </c>
      <c r="MI76" s="1" t="s">
        <v>58581</v>
      </c>
      <c r="MJ76" s="1" t="s">
        <v>58582</v>
      </c>
      <c r="MK76" s="1" t="s">
        <v>58583</v>
      </c>
      <c r="ML76" s="1" t="s">
        <v>58584</v>
      </c>
      <c r="MM76" s="1" t="s">
        <v>58585</v>
      </c>
      <c r="MN76" s="1" t="s">
        <v>58586</v>
      </c>
      <c r="MO76" s="1" t="s">
        <v>58587</v>
      </c>
      <c r="MP76" s="1" t="s">
        <v>58588</v>
      </c>
      <c r="MQ76" s="1" t="s">
        <v>58589</v>
      </c>
      <c r="MR76" s="1" t="s">
        <v>58590</v>
      </c>
      <c r="MS76" s="1" t="s">
        <v>58591</v>
      </c>
      <c r="MT76" s="1" t="s">
        <v>58592</v>
      </c>
      <c r="MU76" s="1" t="s">
        <v>58593</v>
      </c>
      <c r="MV76" s="1" t="s">
        <v>58594</v>
      </c>
      <c r="MW76" s="1" t="s">
        <v>58595</v>
      </c>
      <c r="MX76" s="1" t="s">
        <v>58596</v>
      </c>
      <c r="MY76" s="1" t="s">
        <v>58597</v>
      </c>
      <c r="MZ76" s="1" t="s">
        <v>58598</v>
      </c>
      <c r="NA76" s="1" t="s">
        <v>58599</v>
      </c>
      <c r="NB76" s="1" t="s">
        <v>58600</v>
      </c>
      <c r="NC76" s="1" t="s">
        <v>58601</v>
      </c>
      <c r="ND76" s="1" t="s">
        <v>58602</v>
      </c>
      <c r="NE76" s="1" t="s">
        <v>58603</v>
      </c>
      <c r="NF76" s="1" t="s">
        <v>58604</v>
      </c>
      <c r="NG76" s="1" t="s">
        <v>58605</v>
      </c>
      <c r="NH76" s="1" t="s">
        <v>58606</v>
      </c>
      <c r="NI76" s="1" t="s">
        <v>58607</v>
      </c>
      <c r="NJ76" s="1" t="s">
        <v>58608</v>
      </c>
      <c r="NK76" s="1" t="s">
        <v>58609</v>
      </c>
      <c r="NL76" s="1" t="s">
        <v>58610</v>
      </c>
      <c r="NM76" s="1" t="s">
        <v>58611</v>
      </c>
      <c r="NN76" s="1" t="s">
        <v>58612</v>
      </c>
      <c r="NO76" s="1" t="s">
        <v>58613</v>
      </c>
      <c r="NP76" s="1" t="s">
        <v>58614</v>
      </c>
      <c r="NQ76" s="1" t="s">
        <v>58615</v>
      </c>
      <c r="NR76" s="1" t="s">
        <v>58616</v>
      </c>
      <c r="NS76" s="1" t="s">
        <v>58617</v>
      </c>
      <c r="NT76" s="1" t="s">
        <v>58618</v>
      </c>
      <c r="NU76" s="1" t="s">
        <v>58619</v>
      </c>
      <c r="NV76" s="1" t="s">
        <v>58620</v>
      </c>
      <c r="NW76" s="1" t="s">
        <v>58621</v>
      </c>
      <c r="NX76" s="1" t="s">
        <v>58622</v>
      </c>
      <c r="NY76" s="1" t="s">
        <v>58623</v>
      </c>
      <c r="NZ76" s="1" t="s">
        <v>58624</v>
      </c>
      <c r="OA76" s="1" t="s">
        <v>58625</v>
      </c>
      <c r="OB76" s="1" t="s">
        <v>58626</v>
      </c>
      <c r="OC76" s="1" t="s">
        <v>58627</v>
      </c>
      <c r="OD76" s="1" t="s">
        <v>58628</v>
      </c>
      <c r="OE76" s="1" t="s">
        <v>58629</v>
      </c>
      <c r="OF76" s="1" t="s">
        <v>58630</v>
      </c>
      <c r="OG76" s="1" t="s">
        <v>58631</v>
      </c>
      <c r="OH76" s="1" t="s">
        <v>58632</v>
      </c>
      <c r="OI76" s="1" t="s">
        <v>58633</v>
      </c>
      <c r="OJ76" s="1" t="s">
        <v>58634</v>
      </c>
      <c r="OK76" s="1" t="s">
        <v>58635</v>
      </c>
      <c r="OL76" s="1" t="s">
        <v>58636</v>
      </c>
      <c r="OM76" s="1" t="s">
        <v>58637</v>
      </c>
      <c r="ON76" s="1" t="s">
        <v>58638</v>
      </c>
      <c r="OO76" s="1" t="s">
        <v>58639</v>
      </c>
      <c r="OP76" s="1" t="s">
        <v>58640</v>
      </c>
      <c r="OQ76" s="1" t="s">
        <v>58641</v>
      </c>
      <c r="OR76" s="1" t="s">
        <v>58642</v>
      </c>
      <c r="OS76" s="1" t="s">
        <v>58643</v>
      </c>
      <c r="OT76" s="1" t="s">
        <v>58644</v>
      </c>
      <c r="OU76" s="1" t="s">
        <v>58645</v>
      </c>
      <c r="OV76" s="1" t="s">
        <v>58646</v>
      </c>
      <c r="OW76" s="1" t="s">
        <v>58647</v>
      </c>
      <c r="OX76" s="1" t="s">
        <v>58648</v>
      </c>
      <c r="OY76" s="1" t="s">
        <v>58649</v>
      </c>
      <c r="OZ76" s="1" t="s">
        <v>58650</v>
      </c>
      <c r="PA76" s="1" t="s">
        <v>58651</v>
      </c>
      <c r="PB76" s="1" t="s">
        <v>58652</v>
      </c>
      <c r="PC76" s="1" t="s">
        <v>58653</v>
      </c>
      <c r="PD76" s="1" t="s">
        <v>58654</v>
      </c>
      <c r="PE76" s="1" t="s">
        <v>58655</v>
      </c>
      <c r="PF76" s="1" t="s">
        <v>58656</v>
      </c>
      <c r="PG76" s="1" t="s">
        <v>58657</v>
      </c>
      <c r="PH76" s="1" t="s">
        <v>58658</v>
      </c>
      <c r="PI76" s="1" t="s">
        <v>58659</v>
      </c>
      <c r="PJ76" s="1" t="s">
        <v>58660</v>
      </c>
      <c r="PK76" s="1" t="s">
        <v>58661</v>
      </c>
      <c r="PL76" s="1" t="s">
        <v>58662</v>
      </c>
      <c r="PM76" s="1" t="s">
        <v>58663</v>
      </c>
      <c r="PN76" s="1" t="s">
        <v>58664</v>
      </c>
      <c r="PO76" s="1" t="s">
        <v>58665</v>
      </c>
      <c r="PP76" s="1" t="s">
        <v>58666</v>
      </c>
      <c r="PQ76" s="1" t="s">
        <v>58667</v>
      </c>
      <c r="PR76" s="1" t="s">
        <v>58668</v>
      </c>
      <c r="PS76" s="1" t="s">
        <v>58669</v>
      </c>
      <c r="PT76" s="1" t="s">
        <v>58670</v>
      </c>
      <c r="PU76" s="1" t="s">
        <v>58671</v>
      </c>
      <c r="PV76" s="1" t="s">
        <v>58672</v>
      </c>
      <c r="PW76" s="1" t="s">
        <v>58673</v>
      </c>
      <c r="PX76" s="1" t="s">
        <v>58674</v>
      </c>
      <c r="PY76" s="1" t="s">
        <v>58675</v>
      </c>
      <c r="PZ76" s="1" t="s">
        <v>58676</v>
      </c>
      <c r="QA76" s="1" t="s">
        <v>58677</v>
      </c>
      <c r="QB76" s="1" t="s">
        <v>58678</v>
      </c>
      <c r="QC76" s="1" t="s">
        <v>58679</v>
      </c>
      <c r="QD76" s="1" t="s">
        <v>58680</v>
      </c>
      <c r="QE76" s="1" t="s">
        <v>58681</v>
      </c>
      <c r="QF76" s="1" t="s">
        <v>58682</v>
      </c>
      <c r="QG76" s="1" t="s">
        <v>58683</v>
      </c>
      <c r="QH76" s="1" t="s">
        <v>58684</v>
      </c>
      <c r="QI76" s="1" t="s">
        <v>58685</v>
      </c>
      <c r="QJ76" s="1" t="s">
        <v>58686</v>
      </c>
      <c r="QK76" s="1" t="s">
        <v>58687</v>
      </c>
      <c r="QL76" s="1" t="s">
        <v>58688</v>
      </c>
      <c r="QM76" s="1" t="s">
        <v>58689</v>
      </c>
      <c r="QN76" s="1" t="s">
        <v>58690</v>
      </c>
      <c r="QO76" s="1" t="s">
        <v>58691</v>
      </c>
      <c r="QP76" s="1" t="s">
        <v>58692</v>
      </c>
      <c r="QQ76" s="1" t="s">
        <v>58693</v>
      </c>
      <c r="QR76" s="1" t="s">
        <v>58694</v>
      </c>
      <c r="QS76" s="1" t="s">
        <v>58695</v>
      </c>
      <c r="QT76" s="1" t="s">
        <v>58696</v>
      </c>
      <c r="QU76" s="1" t="s">
        <v>58697</v>
      </c>
      <c r="QV76" s="1" t="s">
        <v>58698</v>
      </c>
      <c r="QW76" s="1" t="s">
        <v>58699</v>
      </c>
      <c r="QX76" s="1" t="s">
        <v>58700</v>
      </c>
      <c r="QY76" s="1" t="s">
        <v>58701</v>
      </c>
      <c r="QZ76" s="1" t="s">
        <v>58702</v>
      </c>
      <c r="RA76" s="1" t="s">
        <v>58703</v>
      </c>
      <c r="RB76" s="1" t="s">
        <v>58704</v>
      </c>
      <c r="RC76" s="1" t="s">
        <v>58705</v>
      </c>
      <c r="RD76" s="1" t="s">
        <v>58706</v>
      </c>
      <c r="RE76" s="1" t="s">
        <v>58707</v>
      </c>
      <c r="RF76" s="1" t="s">
        <v>58708</v>
      </c>
      <c r="RG76" s="1" t="s">
        <v>58709</v>
      </c>
      <c r="RH76" s="1" t="s">
        <v>58710</v>
      </c>
      <c r="RI76" s="1" t="s">
        <v>58711</v>
      </c>
      <c r="RJ76" s="1" t="s">
        <v>58712</v>
      </c>
      <c r="RK76" s="1" t="s">
        <v>58713</v>
      </c>
      <c r="RL76" s="1" t="s">
        <v>58714</v>
      </c>
      <c r="RM76" s="1" t="s">
        <v>58715</v>
      </c>
      <c r="RN76" s="1" t="s">
        <v>58716</v>
      </c>
      <c r="RO76" s="1" t="s">
        <v>58717</v>
      </c>
      <c r="RP76" s="1" t="s">
        <v>58718</v>
      </c>
      <c r="RQ76" s="1" t="s">
        <v>58719</v>
      </c>
      <c r="RR76" s="1" t="s">
        <v>58720</v>
      </c>
      <c r="RS76" s="1" t="s">
        <v>58721</v>
      </c>
      <c r="RT76" s="1" t="s">
        <v>58722</v>
      </c>
      <c r="RU76" s="1" t="s">
        <v>58723</v>
      </c>
      <c r="RV76" s="1" t="s">
        <v>58724</v>
      </c>
      <c r="RW76" s="1" t="s">
        <v>58725</v>
      </c>
      <c r="RX76" s="1" t="s">
        <v>58726</v>
      </c>
      <c r="RY76" s="1" t="s">
        <v>58727</v>
      </c>
      <c r="RZ76" s="1" t="s">
        <v>58728</v>
      </c>
      <c r="SA76" s="1" t="s">
        <v>58729</v>
      </c>
      <c r="SB76" s="1" t="s">
        <v>58730</v>
      </c>
      <c r="SC76" s="1" t="s">
        <v>58731</v>
      </c>
      <c r="SD76" s="1" t="s">
        <v>58732</v>
      </c>
      <c r="SE76" s="1" t="s">
        <v>58733</v>
      </c>
      <c r="SF76" s="1" t="s">
        <v>58734</v>
      </c>
      <c r="SG76" s="1" t="s">
        <v>58735</v>
      </c>
      <c r="SH76" s="1" t="s">
        <v>58736</v>
      </c>
      <c r="SI76" s="1" t="s">
        <v>58737</v>
      </c>
      <c r="SJ76" s="1" t="s">
        <v>58738</v>
      </c>
      <c r="SK76" s="1" t="s">
        <v>58739</v>
      </c>
      <c r="SL76" s="1" t="s">
        <v>58740</v>
      </c>
      <c r="SM76" s="1" t="s">
        <v>58741</v>
      </c>
      <c r="SN76" s="1" t="s">
        <v>58742</v>
      </c>
      <c r="SO76" s="1" t="s">
        <v>58743</v>
      </c>
      <c r="SP76" s="1" t="s">
        <v>58744</v>
      </c>
      <c r="SQ76" s="1" t="s">
        <v>58745</v>
      </c>
      <c r="SR76" s="1" t="s">
        <v>58746</v>
      </c>
      <c r="SS76" s="1" t="s">
        <v>58747</v>
      </c>
      <c r="ST76" s="1" t="s">
        <v>58748</v>
      </c>
      <c r="SU76" s="1" t="s">
        <v>58749</v>
      </c>
      <c r="SV76" s="1" t="s">
        <v>58750</v>
      </c>
      <c r="SW76" s="1" t="s">
        <v>58751</v>
      </c>
      <c r="SX76" s="1" t="s">
        <v>58752</v>
      </c>
      <c r="SY76" s="1" t="s">
        <v>58753</v>
      </c>
      <c r="SZ76" s="1" t="s">
        <v>58754</v>
      </c>
      <c r="TA76" s="1" t="s">
        <v>58755</v>
      </c>
      <c r="TB76" s="1" t="s">
        <v>58756</v>
      </c>
      <c r="TC76" s="1" t="s">
        <v>58757</v>
      </c>
      <c r="TD76" s="1" t="s">
        <v>58758</v>
      </c>
      <c r="TE76" s="1" t="s">
        <v>58759</v>
      </c>
      <c r="TF76" s="1" t="s">
        <v>58760</v>
      </c>
      <c r="TG76" s="1" t="s">
        <v>58761</v>
      </c>
      <c r="TH76" s="1" t="s">
        <v>58762</v>
      </c>
      <c r="TI76" s="1" t="s">
        <v>58763</v>
      </c>
      <c r="TJ76" s="1" t="s">
        <v>58764</v>
      </c>
      <c r="TK76" s="1" t="s">
        <v>58765</v>
      </c>
      <c r="TL76" s="1" t="s">
        <v>58766</v>
      </c>
      <c r="TM76" s="1" t="s">
        <v>58767</v>
      </c>
      <c r="TN76" s="1" t="s">
        <v>58768</v>
      </c>
      <c r="TO76" s="1" t="s">
        <v>58769</v>
      </c>
      <c r="TP76" s="1" t="s">
        <v>58770</v>
      </c>
      <c r="TQ76" s="1" t="s">
        <v>58771</v>
      </c>
      <c r="TR76" s="1" t="s">
        <v>58772</v>
      </c>
      <c r="TS76" s="1" t="s">
        <v>58773</v>
      </c>
      <c r="TT76" s="1" t="s">
        <v>58774</v>
      </c>
      <c r="TU76" s="1" t="s">
        <v>58775</v>
      </c>
      <c r="TV76" s="1" t="s">
        <v>58776</v>
      </c>
      <c r="TW76" s="1" t="s">
        <v>58777</v>
      </c>
      <c r="TX76" s="1" t="s">
        <v>58778</v>
      </c>
      <c r="TY76" s="1" t="s">
        <v>58779</v>
      </c>
      <c r="TZ76" s="1" t="s">
        <v>58780</v>
      </c>
      <c r="UA76" s="1" t="s">
        <v>58781</v>
      </c>
      <c r="UB76" s="1" t="s">
        <v>58782</v>
      </c>
      <c r="UC76" s="1" t="s">
        <v>58783</v>
      </c>
      <c r="UD76" s="1" t="s">
        <v>58784</v>
      </c>
      <c r="UE76" s="1" t="s">
        <v>58785</v>
      </c>
      <c r="UF76" s="1" t="s">
        <v>58786</v>
      </c>
      <c r="UG76" s="1" t="s">
        <v>58787</v>
      </c>
      <c r="UH76" s="1" t="s">
        <v>58788</v>
      </c>
      <c r="UI76" s="1" t="s">
        <v>58789</v>
      </c>
      <c r="UJ76" s="1" t="s">
        <v>58790</v>
      </c>
      <c r="UK76" s="1" t="s">
        <v>58791</v>
      </c>
      <c r="UL76" s="1" t="s">
        <v>58792</v>
      </c>
      <c r="UM76" s="1" t="s">
        <v>58793</v>
      </c>
      <c r="UN76" s="1" t="s">
        <v>58794</v>
      </c>
      <c r="UO76" s="1" t="s">
        <v>58795</v>
      </c>
      <c r="UP76" s="1" t="s">
        <v>58796</v>
      </c>
      <c r="UQ76" s="1" t="s">
        <v>58797</v>
      </c>
      <c r="UR76" s="1" t="s">
        <v>58798</v>
      </c>
      <c r="US76" s="1" t="s">
        <v>58799</v>
      </c>
      <c r="UT76" s="1" t="s">
        <v>58800</v>
      </c>
      <c r="UU76" s="1" t="s">
        <v>58801</v>
      </c>
      <c r="UV76" s="1" t="s">
        <v>58802</v>
      </c>
      <c r="UW76" s="1" t="s">
        <v>58803</v>
      </c>
      <c r="UX76" s="1" t="s">
        <v>58804</v>
      </c>
      <c r="UY76" s="1" t="s">
        <v>58805</v>
      </c>
      <c r="UZ76" s="1" t="s">
        <v>58806</v>
      </c>
      <c r="VA76" s="1" t="s">
        <v>58807</v>
      </c>
      <c r="VB76" s="1" t="s">
        <v>58808</v>
      </c>
      <c r="VC76" s="1" t="s">
        <v>58809</v>
      </c>
      <c r="VD76" s="1" t="s">
        <v>58810</v>
      </c>
      <c r="VE76" s="1" t="s">
        <v>58811</v>
      </c>
      <c r="VF76" s="1" t="s">
        <v>58812</v>
      </c>
      <c r="VG76" s="1" t="s">
        <v>58813</v>
      </c>
      <c r="VH76" s="1" t="s">
        <v>58814</v>
      </c>
      <c r="VI76" s="1" t="s">
        <v>58815</v>
      </c>
      <c r="VJ76" s="1" t="s">
        <v>58816</v>
      </c>
      <c r="VK76" s="1" t="s">
        <v>58817</v>
      </c>
      <c r="VL76" s="1" t="s">
        <v>58818</v>
      </c>
      <c r="VM76" s="1" t="s">
        <v>58819</v>
      </c>
      <c r="VN76" s="1" t="s">
        <v>58820</v>
      </c>
      <c r="VO76" s="1" t="s">
        <v>58821</v>
      </c>
      <c r="VP76" s="1" t="s">
        <v>58822</v>
      </c>
      <c r="VQ76" s="1" t="s">
        <v>58823</v>
      </c>
      <c r="VR76" s="1" t="s">
        <v>58824</v>
      </c>
      <c r="VS76" s="1" t="s">
        <v>58825</v>
      </c>
      <c r="VT76" s="1" t="s">
        <v>58826</v>
      </c>
      <c r="VU76" s="1" t="s">
        <v>58827</v>
      </c>
      <c r="VV76" s="1" t="s">
        <v>58828</v>
      </c>
      <c r="VW76" s="1" t="s">
        <v>58829</v>
      </c>
      <c r="VX76" s="1" t="s">
        <v>58830</v>
      </c>
      <c r="VY76" s="1" t="s">
        <v>58831</v>
      </c>
      <c r="VZ76" s="1" t="s">
        <v>58832</v>
      </c>
      <c r="WA76" s="1" t="s">
        <v>58833</v>
      </c>
      <c r="WB76" s="1" t="s">
        <v>58834</v>
      </c>
      <c r="WC76" s="1" t="s">
        <v>58835</v>
      </c>
      <c r="WD76" s="1" t="s">
        <v>58836</v>
      </c>
      <c r="WE76" s="1" t="s">
        <v>58837</v>
      </c>
      <c r="WF76" s="1" t="s">
        <v>58838</v>
      </c>
      <c r="WG76" s="1" t="s">
        <v>58839</v>
      </c>
      <c r="WH76" s="1" t="s">
        <v>58840</v>
      </c>
      <c r="WI76" s="1" t="s">
        <v>58841</v>
      </c>
      <c r="WJ76" s="1" t="s">
        <v>58842</v>
      </c>
      <c r="WK76" s="1" t="s">
        <v>58843</v>
      </c>
      <c r="WL76" s="1" t="s">
        <v>58844</v>
      </c>
      <c r="WM76" s="1" t="s">
        <v>58845</v>
      </c>
      <c r="WN76" s="1" t="s">
        <v>58846</v>
      </c>
      <c r="WO76" s="1" t="s">
        <v>58847</v>
      </c>
      <c r="WP76" s="1" t="s">
        <v>58848</v>
      </c>
      <c r="WQ76" s="1" t="s">
        <v>58849</v>
      </c>
      <c r="WR76" s="1" t="s">
        <v>58850</v>
      </c>
      <c r="WS76" s="1" t="s">
        <v>58851</v>
      </c>
      <c r="WT76" s="1" t="s">
        <v>58852</v>
      </c>
      <c r="WU76" s="1" t="s">
        <v>58853</v>
      </c>
      <c r="WV76" s="1" t="s">
        <v>58854</v>
      </c>
      <c r="WW76" s="1" t="s">
        <v>58855</v>
      </c>
      <c r="WX76" s="1" t="s">
        <v>58856</v>
      </c>
      <c r="WY76" s="1" t="s">
        <v>58857</v>
      </c>
      <c r="WZ76" s="1" t="s">
        <v>58858</v>
      </c>
      <c r="XA76" s="1" t="s">
        <v>58859</v>
      </c>
      <c r="XB76" s="1" t="s">
        <v>58860</v>
      </c>
      <c r="XC76" s="1" t="s">
        <v>58861</v>
      </c>
      <c r="XD76" s="1" t="s">
        <v>58862</v>
      </c>
      <c r="XE76" s="1" t="s">
        <v>58863</v>
      </c>
      <c r="XF76" s="1" t="s">
        <v>58864</v>
      </c>
      <c r="XG76" s="1" t="s">
        <v>58865</v>
      </c>
      <c r="XH76" s="1" t="s">
        <v>58866</v>
      </c>
      <c r="XI76" s="1" t="s">
        <v>58867</v>
      </c>
      <c r="XJ76" s="1" t="s">
        <v>58868</v>
      </c>
      <c r="XK76" s="1" t="s">
        <v>58869</v>
      </c>
      <c r="XL76" s="1" t="s">
        <v>58870</v>
      </c>
      <c r="XM76" s="1" t="s">
        <v>58871</v>
      </c>
      <c r="XN76" s="1" t="s">
        <v>58872</v>
      </c>
      <c r="XO76" s="1" t="s">
        <v>58873</v>
      </c>
      <c r="XP76" s="1" t="s">
        <v>58874</v>
      </c>
      <c r="XQ76" s="1" t="s">
        <v>58875</v>
      </c>
      <c r="XR76" s="1" t="s">
        <v>58876</v>
      </c>
      <c r="XS76" s="1" t="s">
        <v>58877</v>
      </c>
      <c r="XT76" s="1" t="s">
        <v>58878</v>
      </c>
      <c r="XU76" s="1" t="s">
        <v>58879</v>
      </c>
      <c r="XV76" s="1" t="s">
        <v>58880</v>
      </c>
      <c r="XW76" s="1" t="s">
        <v>58881</v>
      </c>
      <c r="XX76" s="1" t="s">
        <v>58882</v>
      </c>
      <c r="XY76" s="1" t="s">
        <v>58883</v>
      </c>
      <c r="XZ76" s="1" t="s">
        <v>58884</v>
      </c>
      <c r="YA76" s="1" t="s">
        <v>58885</v>
      </c>
      <c r="YB76" s="1" t="s">
        <v>58886</v>
      </c>
      <c r="YC76" s="1" t="s">
        <v>58887</v>
      </c>
      <c r="YD76" s="1" t="s">
        <v>58888</v>
      </c>
      <c r="YE76" s="1" t="s">
        <v>58889</v>
      </c>
      <c r="YF76" s="1" t="s">
        <v>58890</v>
      </c>
      <c r="YG76" s="1" t="s">
        <v>58891</v>
      </c>
      <c r="YH76" s="1" t="s">
        <v>58892</v>
      </c>
      <c r="YI76" s="1" t="s">
        <v>58893</v>
      </c>
      <c r="YJ76" s="1" t="s">
        <v>58894</v>
      </c>
      <c r="YK76" s="1" t="s">
        <v>58895</v>
      </c>
      <c r="YL76" s="1" t="s">
        <v>58896</v>
      </c>
      <c r="YM76" s="1" t="s">
        <v>58897</v>
      </c>
      <c r="YN76" s="1" t="s">
        <v>58898</v>
      </c>
      <c r="YO76" s="1" t="s">
        <v>58899</v>
      </c>
      <c r="YP76" s="1" t="s">
        <v>58900</v>
      </c>
      <c r="YQ76" s="1" t="s">
        <v>58901</v>
      </c>
      <c r="YR76" s="1" t="s">
        <v>58902</v>
      </c>
      <c r="YS76" s="1" t="s">
        <v>58903</v>
      </c>
      <c r="YT76" s="1" t="s">
        <v>58904</v>
      </c>
      <c r="YU76" s="1" t="s">
        <v>58905</v>
      </c>
      <c r="YV76" s="1" t="s">
        <v>58906</v>
      </c>
      <c r="YW76" s="1" t="s">
        <v>58907</v>
      </c>
      <c r="YX76" s="1" t="s">
        <v>58908</v>
      </c>
      <c r="YY76" s="1" t="s">
        <v>58909</v>
      </c>
      <c r="YZ76" s="1" t="s">
        <v>58910</v>
      </c>
      <c r="ZA76" s="1" t="s">
        <v>58911</v>
      </c>
      <c r="ZB76" s="1" t="s">
        <v>58912</v>
      </c>
      <c r="ZC76" s="1" t="s">
        <v>58913</v>
      </c>
      <c r="ZD76" s="1" t="s">
        <v>58914</v>
      </c>
      <c r="ZE76" s="1" t="s">
        <v>58915</v>
      </c>
      <c r="ZF76" s="1" t="s">
        <v>58916</v>
      </c>
      <c r="ZG76" s="1" t="s">
        <v>58917</v>
      </c>
      <c r="ZH76" s="1" t="s">
        <v>58918</v>
      </c>
      <c r="ZI76" s="1" t="s">
        <v>58919</v>
      </c>
      <c r="ZJ76" s="1" t="s">
        <v>58920</v>
      </c>
      <c r="ZK76" s="1" t="s">
        <v>58921</v>
      </c>
      <c r="ZL76" s="1" t="s">
        <v>58922</v>
      </c>
      <c r="ZM76" s="1" t="s">
        <v>58923</v>
      </c>
      <c r="ZN76" s="1" t="s">
        <v>58924</v>
      </c>
      <c r="ZO76" s="1" t="s">
        <v>58925</v>
      </c>
      <c r="ZP76" s="1" t="s">
        <v>58926</v>
      </c>
      <c r="ZQ76" s="1" t="s">
        <v>58927</v>
      </c>
      <c r="ZR76" s="1" t="s">
        <v>58928</v>
      </c>
      <c r="ZS76" s="1" t="s">
        <v>58929</v>
      </c>
      <c r="ZT76" s="1" t="s">
        <v>58930</v>
      </c>
      <c r="ZU76" s="1" t="s">
        <v>58931</v>
      </c>
      <c r="ZV76" s="1" t="s">
        <v>58932</v>
      </c>
      <c r="ZW76" s="1" t="s">
        <v>58933</v>
      </c>
      <c r="ZX76" s="1" t="s">
        <v>58934</v>
      </c>
      <c r="ZY76" s="1" t="s">
        <v>58935</v>
      </c>
      <c r="ZZ76" s="1" t="s">
        <v>58936</v>
      </c>
      <c r="AAA76" s="1" t="s">
        <v>58937</v>
      </c>
      <c r="AAB76" s="1" t="s">
        <v>58938</v>
      </c>
      <c r="AAC76" s="1" t="s">
        <v>58939</v>
      </c>
      <c r="AAD76" s="1" t="s">
        <v>58940</v>
      </c>
      <c r="AAE76" s="1" t="s">
        <v>58941</v>
      </c>
      <c r="AAF76" s="1" t="s">
        <v>58942</v>
      </c>
      <c r="AAG76" s="1" t="s">
        <v>58943</v>
      </c>
      <c r="AAH76" s="1" t="s">
        <v>58944</v>
      </c>
      <c r="AAI76" s="1" t="s">
        <v>58945</v>
      </c>
      <c r="AAJ76" s="1" t="s">
        <v>58946</v>
      </c>
      <c r="AAK76" s="1" t="s">
        <v>58947</v>
      </c>
      <c r="AAL76" s="1" t="s">
        <v>58948</v>
      </c>
      <c r="AAM76" s="1" t="s">
        <v>58949</v>
      </c>
      <c r="AAN76" s="1" t="s">
        <v>58950</v>
      </c>
      <c r="AAO76" s="1" t="s">
        <v>58951</v>
      </c>
      <c r="AAP76" s="1" t="s">
        <v>58952</v>
      </c>
      <c r="AAQ76" s="1" t="s">
        <v>58953</v>
      </c>
      <c r="AAR76" s="1" t="s">
        <v>58954</v>
      </c>
      <c r="AAS76" s="1" t="s">
        <v>58955</v>
      </c>
      <c r="AAT76" s="1" t="s">
        <v>58956</v>
      </c>
      <c r="AAU76" s="1" t="s">
        <v>58957</v>
      </c>
      <c r="AAV76" s="1" t="s">
        <v>58958</v>
      </c>
      <c r="AAW76" s="1" t="s">
        <v>58959</v>
      </c>
      <c r="AAX76" s="1" t="s">
        <v>58960</v>
      </c>
      <c r="AAY76" s="1" t="s">
        <v>58961</v>
      </c>
      <c r="AAZ76" s="1" t="s">
        <v>58962</v>
      </c>
      <c r="ABA76" s="1" t="s">
        <v>58963</v>
      </c>
      <c r="ABB76" s="1" t="s">
        <v>58964</v>
      </c>
      <c r="ABC76" s="1" t="s">
        <v>58965</v>
      </c>
      <c r="ABD76" s="1" t="s">
        <v>58966</v>
      </c>
      <c r="ABE76" s="1" t="s">
        <v>58967</v>
      </c>
      <c r="ABF76" s="1" t="s">
        <v>58968</v>
      </c>
      <c r="ABG76" s="1" t="s">
        <v>58969</v>
      </c>
      <c r="ABH76" s="1" t="s">
        <v>58970</v>
      </c>
      <c r="ABI76" s="1" t="s">
        <v>58971</v>
      </c>
      <c r="ABJ76" s="1" t="s">
        <v>58972</v>
      </c>
      <c r="ABK76" s="1" t="s">
        <v>58973</v>
      </c>
      <c r="ABL76" s="1" t="s">
        <v>58974</v>
      </c>
      <c r="ABM76" s="1" t="s">
        <v>58975</v>
      </c>
      <c r="ABN76" s="1" t="s">
        <v>58976</v>
      </c>
      <c r="ABO76" s="1" t="s">
        <v>58977</v>
      </c>
      <c r="ABP76" s="1" t="s">
        <v>58978</v>
      </c>
      <c r="ABQ76" s="1" t="s">
        <v>58979</v>
      </c>
      <c r="ABR76" s="1" t="s">
        <v>58980</v>
      </c>
      <c r="ABS76" s="1" t="s">
        <v>58981</v>
      </c>
      <c r="ABT76" s="1" t="s">
        <v>58982</v>
      </c>
      <c r="ABU76" s="1" t="s">
        <v>58983</v>
      </c>
      <c r="ABV76" s="1" t="s">
        <v>58984</v>
      </c>
      <c r="ABW76" s="1" t="s">
        <v>58985</v>
      </c>
      <c r="ABX76" s="1" t="s">
        <v>58986</v>
      </c>
      <c r="ABY76" s="1" t="s">
        <v>58987</v>
      </c>
      <c r="ABZ76" s="1" t="s">
        <v>58988</v>
      </c>
      <c r="ACA76" s="1" t="s">
        <v>58989</v>
      </c>
      <c r="ACB76" s="1" t="s">
        <v>58990</v>
      </c>
      <c r="ACC76" s="1" t="s">
        <v>58991</v>
      </c>
      <c r="ACD76" s="1" t="s">
        <v>58992</v>
      </c>
      <c r="ACE76" s="1" t="s">
        <v>58993</v>
      </c>
      <c r="ACF76" s="1" t="s">
        <v>58994</v>
      </c>
      <c r="ACG76" s="1" t="s">
        <v>58995</v>
      </c>
      <c r="ACH76" s="1" t="s">
        <v>58996</v>
      </c>
      <c r="ACI76" s="1" t="s">
        <v>58997</v>
      </c>
      <c r="ACJ76" s="1" t="s">
        <v>58998</v>
      </c>
      <c r="ACK76" s="1" t="s">
        <v>58999</v>
      </c>
      <c r="ACL76" s="1" t="s">
        <v>59000</v>
      </c>
      <c r="ACM76" s="1" t="s">
        <v>59001</v>
      </c>
      <c r="ACN76" s="1" t="s">
        <v>59002</v>
      </c>
      <c r="ACO76" s="1" t="s">
        <v>59003</v>
      </c>
      <c r="ACP76" s="1" t="s">
        <v>59004</v>
      </c>
      <c r="ACQ76" s="1" t="s">
        <v>59005</v>
      </c>
      <c r="ACR76" s="1" t="s">
        <v>59006</v>
      </c>
      <c r="ACS76" s="1" t="s">
        <v>59007</v>
      </c>
      <c r="ACT76" s="1" t="s">
        <v>59008</v>
      </c>
      <c r="ACU76" s="1" t="s">
        <v>59009</v>
      </c>
      <c r="ACV76" s="1" t="s">
        <v>59010</v>
      </c>
      <c r="ACW76" s="1" t="s">
        <v>25</v>
      </c>
      <c r="ACX76" s="1" t="s">
        <v>1497</v>
      </c>
    </row>
    <row r="77" spans="1:778" x14ac:dyDescent="0.2">
      <c r="A77" s="1" t="s">
        <v>33</v>
      </c>
      <c r="B77" s="1" t="s">
        <v>59011</v>
      </c>
      <c r="C77" s="1" t="s">
        <v>59012</v>
      </c>
      <c r="D77" s="1" t="s">
        <v>59013</v>
      </c>
      <c r="E77" s="1" t="s">
        <v>59014</v>
      </c>
      <c r="F77" s="1" t="s">
        <v>59015</v>
      </c>
      <c r="G77" s="1" t="s">
        <v>59016</v>
      </c>
      <c r="H77" s="1" t="s">
        <v>59017</v>
      </c>
      <c r="I77" s="1" t="s">
        <v>59018</v>
      </c>
      <c r="J77" s="1" t="s">
        <v>59019</v>
      </c>
      <c r="K77" s="1" t="s">
        <v>59020</v>
      </c>
      <c r="L77" s="1" t="s">
        <v>59021</v>
      </c>
      <c r="M77" s="1" t="s">
        <v>59022</v>
      </c>
      <c r="N77" s="1" t="s">
        <v>59023</v>
      </c>
      <c r="O77" s="1" t="s">
        <v>59024</v>
      </c>
      <c r="P77" s="1" t="s">
        <v>59025</v>
      </c>
      <c r="Q77" s="1" t="s">
        <v>59026</v>
      </c>
      <c r="R77" s="1" t="s">
        <v>59027</v>
      </c>
      <c r="S77" s="1" t="s">
        <v>59028</v>
      </c>
      <c r="T77" s="1" t="s">
        <v>59029</v>
      </c>
      <c r="U77" s="1" t="s">
        <v>59030</v>
      </c>
      <c r="V77" s="1" t="s">
        <v>59031</v>
      </c>
      <c r="W77" s="1" t="s">
        <v>59032</v>
      </c>
      <c r="X77" s="1" t="s">
        <v>59033</v>
      </c>
      <c r="Y77" s="1" t="s">
        <v>59034</v>
      </c>
      <c r="Z77" s="1" t="s">
        <v>59035</v>
      </c>
      <c r="AA77" s="1" t="s">
        <v>59036</v>
      </c>
      <c r="AB77" s="1" t="s">
        <v>59037</v>
      </c>
      <c r="AC77" s="1" t="s">
        <v>59038</v>
      </c>
      <c r="AD77" s="1" t="s">
        <v>59039</v>
      </c>
      <c r="AE77" s="1" t="s">
        <v>59040</v>
      </c>
      <c r="AF77" s="1" t="s">
        <v>59041</v>
      </c>
      <c r="AG77" s="1" t="s">
        <v>59042</v>
      </c>
      <c r="AH77" s="1" t="s">
        <v>59043</v>
      </c>
      <c r="AI77" s="1" t="s">
        <v>59044</v>
      </c>
      <c r="AJ77" s="1" t="s">
        <v>59045</v>
      </c>
      <c r="AK77" s="1" t="s">
        <v>59046</v>
      </c>
      <c r="AL77" s="1" t="s">
        <v>59047</v>
      </c>
      <c r="AM77" s="1" t="s">
        <v>59048</v>
      </c>
      <c r="AN77" s="1" t="s">
        <v>59049</v>
      </c>
      <c r="AO77" s="1" t="s">
        <v>59050</v>
      </c>
      <c r="AP77" s="1" t="s">
        <v>59051</v>
      </c>
      <c r="AQ77" s="1" t="s">
        <v>59052</v>
      </c>
      <c r="AR77" s="1" t="s">
        <v>59053</v>
      </c>
      <c r="AS77" s="1" t="s">
        <v>59054</v>
      </c>
      <c r="AT77" s="1" t="s">
        <v>59055</v>
      </c>
      <c r="AU77" s="1" t="s">
        <v>59056</v>
      </c>
      <c r="AV77" s="1" t="s">
        <v>59057</v>
      </c>
      <c r="AW77" s="1" t="s">
        <v>59058</v>
      </c>
      <c r="AX77" s="1" t="s">
        <v>59059</v>
      </c>
      <c r="AY77" s="1" t="s">
        <v>59060</v>
      </c>
      <c r="AZ77" s="1" t="s">
        <v>59061</v>
      </c>
      <c r="BA77" s="1" t="s">
        <v>59062</v>
      </c>
      <c r="BB77" s="1" t="s">
        <v>59063</v>
      </c>
      <c r="BC77" s="1" t="s">
        <v>59064</v>
      </c>
      <c r="BD77" s="1" t="s">
        <v>59065</v>
      </c>
      <c r="BE77" s="1" t="s">
        <v>59066</v>
      </c>
      <c r="BF77" s="1" t="s">
        <v>59067</v>
      </c>
      <c r="BG77" s="1" t="s">
        <v>59068</v>
      </c>
      <c r="BH77" s="1" t="s">
        <v>59069</v>
      </c>
      <c r="BI77" s="1" t="s">
        <v>59070</v>
      </c>
      <c r="BJ77" s="1" t="s">
        <v>59071</v>
      </c>
      <c r="BK77" s="1" t="s">
        <v>59072</v>
      </c>
      <c r="BL77" s="1" t="s">
        <v>59073</v>
      </c>
      <c r="BM77" s="1" t="s">
        <v>59074</v>
      </c>
      <c r="BN77" s="1" t="s">
        <v>59075</v>
      </c>
      <c r="BO77" s="1" t="s">
        <v>59076</v>
      </c>
      <c r="BP77" s="1" t="s">
        <v>59077</v>
      </c>
      <c r="BQ77" s="1" t="s">
        <v>59078</v>
      </c>
      <c r="BR77" s="1" t="s">
        <v>59079</v>
      </c>
      <c r="BS77" s="1" t="s">
        <v>59080</v>
      </c>
      <c r="BT77" s="1" t="s">
        <v>59081</v>
      </c>
      <c r="BU77" s="1" t="s">
        <v>59082</v>
      </c>
      <c r="BV77" s="1" t="s">
        <v>59083</v>
      </c>
      <c r="BW77" s="1" t="s">
        <v>59084</v>
      </c>
      <c r="BX77" s="1" t="s">
        <v>59085</v>
      </c>
      <c r="BY77" s="1" t="s">
        <v>59086</v>
      </c>
      <c r="BZ77" s="1" t="s">
        <v>59087</v>
      </c>
      <c r="CA77" s="1" t="s">
        <v>59088</v>
      </c>
      <c r="CB77" s="1" t="s">
        <v>59089</v>
      </c>
      <c r="CC77" s="1" t="s">
        <v>59090</v>
      </c>
      <c r="CD77" s="1" t="s">
        <v>59091</v>
      </c>
      <c r="CE77" s="1" t="s">
        <v>59092</v>
      </c>
      <c r="CF77" s="1" t="s">
        <v>59093</v>
      </c>
      <c r="CG77" s="1" t="s">
        <v>59094</v>
      </c>
      <c r="CH77" s="1" t="s">
        <v>59095</v>
      </c>
      <c r="CI77" s="1" t="s">
        <v>59096</v>
      </c>
      <c r="CJ77" s="1" t="s">
        <v>59097</v>
      </c>
      <c r="CK77" s="1" t="s">
        <v>59098</v>
      </c>
      <c r="CL77" s="1" t="s">
        <v>59099</v>
      </c>
      <c r="CM77" s="1" t="s">
        <v>59100</v>
      </c>
      <c r="CN77" s="1" t="s">
        <v>59101</v>
      </c>
      <c r="CO77" s="1" t="s">
        <v>59102</v>
      </c>
      <c r="CP77" s="1" t="s">
        <v>59103</v>
      </c>
      <c r="CQ77" s="1" t="s">
        <v>59104</v>
      </c>
      <c r="CR77" s="1" t="s">
        <v>59105</v>
      </c>
      <c r="CS77" s="1" t="s">
        <v>59106</v>
      </c>
      <c r="CT77" s="1" t="s">
        <v>59107</v>
      </c>
      <c r="CU77" s="1" t="s">
        <v>59108</v>
      </c>
      <c r="CV77" s="1" t="s">
        <v>59109</v>
      </c>
      <c r="CW77" s="1" t="s">
        <v>59110</v>
      </c>
      <c r="CX77" s="1" t="s">
        <v>59111</v>
      </c>
      <c r="CY77" s="1" t="s">
        <v>59112</v>
      </c>
      <c r="CZ77" s="1" t="s">
        <v>59113</v>
      </c>
      <c r="DA77" s="1" t="s">
        <v>59114</v>
      </c>
      <c r="DB77" s="1" t="s">
        <v>59115</v>
      </c>
      <c r="DC77" s="1" t="s">
        <v>59116</v>
      </c>
      <c r="DD77" s="1" t="s">
        <v>59117</v>
      </c>
      <c r="DE77" s="1" t="s">
        <v>59118</v>
      </c>
      <c r="DF77" s="1" t="s">
        <v>59119</v>
      </c>
      <c r="DG77" s="1" t="s">
        <v>59120</v>
      </c>
      <c r="DH77" s="1" t="s">
        <v>59121</v>
      </c>
      <c r="DI77" s="1" t="s">
        <v>59122</v>
      </c>
      <c r="DJ77" s="1" t="s">
        <v>59123</v>
      </c>
      <c r="DK77" s="1" t="s">
        <v>59124</v>
      </c>
      <c r="DL77" s="1" t="s">
        <v>59125</v>
      </c>
      <c r="DM77" s="1" t="s">
        <v>59126</v>
      </c>
      <c r="DN77" s="1" t="s">
        <v>59127</v>
      </c>
      <c r="DO77" s="1" t="s">
        <v>59128</v>
      </c>
      <c r="DP77" s="1" t="s">
        <v>59129</v>
      </c>
      <c r="DQ77" s="1" t="s">
        <v>59130</v>
      </c>
      <c r="DR77" s="1" t="s">
        <v>59131</v>
      </c>
      <c r="DS77" s="1" t="s">
        <v>59132</v>
      </c>
      <c r="DT77" s="1" t="s">
        <v>59133</v>
      </c>
      <c r="DU77" s="1" t="s">
        <v>59134</v>
      </c>
      <c r="DV77" s="1" t="s">
        <v>59135</v>
      </c>
      <c r="DW77" s="1" t="s">
        <v>59136</v>
      </c>
      <c r="DX77" s="1" t="s">
        <v>59137</v>
      </c>
      <c r="DY77" s="1" t="s">
        <v>59138</v>
      </c>
      <c r="DZ77" s="1" t="s">
        <v>59139</v>
      </c>
      <c r="EA77" s="1" t="s">
        <v>59140</v>
      </c>
      <c r="EB77" s="1" t="s">
        <v>59141</v>
      </c>
      <c r="EC77" s="1" t="s">
        <v>59142</v>
      </c>
      <c r="ED77" s="1" t="s">
        <v>59143</v>
      </c>
      <c r="EE77" s="1" t="s">
        <v>59144</v>
      </c>
      <c r="EF77" s="1" t="s">
        <v>59145</v>
      </c>
      <c r="EG77" s="1" t="s">
        <v>59146</v>
      </c>
      <c r="EH77" s="1" t="s">
        <v>59147</v>
      </c>
      <c r="EI77" s="1" t="s">
        <v>59148</v>
      </c>
      <c r="EJ77" s="1" t="s">
        <v>59149</v>
      </c>
      <c r="EK77" s="1" t="s">
        <v>59150</v>
      </c>
      <c r="EL77" s="1" t="s">
        <v>59151</v>
      </c>
      <c r="EM77" s="1" t="s">
        <v>59152</v>
      </c>
      <c r="EN77" s="1" t="s">
        <v>59153</v>
      </c>
      <c r="EO77" s="1" t="s">
        <v>59154</v>
      </c>
      <c r="EP77" s="1" t="s">
        <v>59155</v>
      </c>
      <c r="EQ77" s="1" t="s">
        <v>59156</v>
      </c>
      <c r="ER77" s="1" t="s">
        <v>59157</v>
      </c>
      <c r="ES77" s="1" t="s">
        <v>59158</v>
      </c>
      <c r="ET77" s="1" t="s">
        <v>59159</v>
      </c>
      <c r="EU77" s="1" t="s">
        <v>59160</v>
      </c>
      <c r="EV77" s="1" t="s">
        <v>59161</v>
      </c>
      <c r="EW77" s="1" t="s">
        <v>59162</v>
      </c>
      <c r="EX77" s="1" t="s">
        <v>59163</v>
      </c>
      <c r="EY77" s="1" t="s">
        <v>59164</v>
      </c>
      <c r="EZ77" s="1" t="s">
        <v>59165</v>
      </c>
      <c r="FA77" s="1" t="s">
        <v>59166</v>
      </c>
      <c r="FB77" s="1" t="s">
        <v>59167</v>
      </c>
      <c r="FC77" s="1" t="s">
        <v>59168</v>
      </c>
      <c r="FD77" s="1" t="s">
        <v>59169</v>
      </c>
      <c r="FE77" s="1" t="s">
        <v>59170</v>
      </c>
      <c r="FF77" s="1" t="s">
        <v>59171</v>
      </c>
      <c r="FG77" s="1" t="s">
        <v>59172</v>
      </c>
      <c r="FH77" s="1" t="s">
        <v>59173</v>
      </c>
      <c r="FI77" s="1" t="s">
        <v>59174</v>
      </c>
      <c r="FJ77" s="1" t="s">
        <v>59175</v>
      </c>
      <c r="FK77" s="1" t="s">
        <v>59176</v>
      </c>
      <c r="FL77" s="1" t="s">
        <v>59177</v>
      </c>
      <c r="FM77" s="1" t="s">
        <v>59178</v>
      </c>
      <c r="FN77" s="1" t="s">
        <v>59179</v>
      </c>
      <c r="FO77" s="1" t="s">
        <v>59180</v>
      </c>
      <c r="FP77" s="1" t="s">
        <v>59181</v>
      </c>
      <c r="FQ77" s="1" t="s">
        <v>59182</v>
      </c>
      <c r="FR77" s="1" t="s">
        <v>59183</v>
      </c>
      <c r="FS77" s="1" t="s">
        <v>59184</v>
      </c>
      <c r="FT77" s="1" t="s">
        <v>59185</v>
      </c>
      <c r="FU77" s="1" t="s">
        <v>59186</v>
      </c>
      <c r="FV77" s="1" t="s">
        <v>59187</v>
      </c>
      <c r="FW77" s="1" t="s">
        <v>59188</v>
      </c>
      <c r="FX77" s="1" t="s">
        <v>59189</v>
      </c>
      <c r="FY77" s="1" t="s">
        <v>59190</v>
      </c>
      <c r="FZ77" s="1" t="s">
        <v>59191</v>
      </c>
      <c r="GA77" s="1" t="s">
        <v>59192</v>
      </c>
      <c r="GB77" s="1" t="s">
        <v>59193</v>
      </c>
      <c r="GC77" s="1" t="s">
        <v>59194</v>
      </c>
      <c r="GD77" s="1" t="s">
        <v>59195</v>
      </c>
      <c r="GE77" s="1" t="s">
        <v>59196</v>
      </c>
      <c r="GF77" s="1" t="s">
        <v>59197</v>
      </c>
      <c r="GG77" s="1" t="s">
        <v>59198</v>
      </c>
      <c r="GH77" s="1" t="s">
        <v>59199</v>
      </c>
      <c r="GI77" s="1" t="s">
        <v>59200</v>
      </c>
      <c r="GJ77" s="1" t="s">
        <v>59201</v>
      </c>
      <c r="GK77" s="1" t="s">
        <v>59202</v>
      </c>
      <c r="GL77" s="1" t="s">
        <v>59203</v>
      </c>
      <c r="GM77" s="1" t="s">
        <v>59204</v>
      </c>
      <c r="GN77" s="1" t="s">
        <v>59205</v>
      </c>
      <c r="GO77" s="1" t="s">
        <v>59206</v>
      </c>
      <c r="GP77" s="1" t="s">
        <v>59207</v>
      </c>
      <c r="GQ77" s="1" t="s">
        <v>59208</v>
      </c>
      <c r="GR77" s="1" t="s">
        <v>59209</v>
      </c>
      <c r="GS77" s="1" t="s">
        <v>59210</v>
      </c>
      <c r="GT77" s="1" t="s">
        <v>59211</v>
      </c>
      <c r="GU77" s="1" t="s">
        <v>59212</v>
      </c>
      <c r="GV77" s="1" t="s">
        <v>59213</v>
      </c>
      <c r="GW77" s="1" t="s">
        <v>59214</v>
      </c>
      <c r="GX77" s="1" t="s">
        <v>59215</v>
      </c>
      <c r="GY77" s="1" t="s">
        <v>59216</v>
      </c>
      <c r="GZ77" s="1" t="s">
        <v>59217</v>
      </c>
      <c r="HA77" s="1" t="s">
        <v>59218</v>
      </c>
      <c r="HB77" s="1" t="s">
        <v>59219</v>
      </c>
      <c r="HC77" s="1" t="s">
        <v>59220</v>
      </c>
      <c r="HD77" s="1" t="s">
        <v>59221</v>
      </c>
      <c r="HE77" s="1" t="s">
        <v>59222</v>
      </c>
      <c r="HF77" s="1" t="s">
        <v>59223</v>
      </c>
      <c r="HG77" s="1" t="s">
        <v>59224</v>
      </c>
      <c r="HH77" s="1" t="s">
        <v>59225</v>
      </c>
      <c r="HI77" s="1" t="s">
        <v>59226</v>
      </c>
      <c r="HJ77" s="1" t="s">
        <v>59227</v>
      </c>
      <c r="HK77" s="1" t="s">
        <v>59228</v>
      </c>
      <c r="HL77" s="1" t="s">
        <v>59229</v>
      </c>
      <c r="HM77" s="1" t="s">
        <v>59230</v>
      </c>
      <c r="HN77" s="1" t="s">
        <v>59231</v>
      </c>
      <c r="HO77" s="1" t="s">
        <v>59232</v>
      </c>
      <c r="HP77" s="1" t="s">
        <v>59233</v>
      </c>
      <c r="HQ77" s="1" t="s">
        <v>59234</v>
      </c>
      <c r="HR77" s="1" t="s">
        <v>59235</v>
      </c>
      <c r="HS77" s="1" t="s">
        <v>59236</v>
      </c>
      <c r="HT77" s="1" t="s">
        <v>59237</v>
      </c>
      <c r="HU77" s="1" t="s">
        <v>59238</v>
      </c>
      <c r="HV77" s="1" t="s">
        <v>59239</v>
      </c>
      <c r="HW77" s="1" t="s">
        <v>59240</v>
      </c>
      <c r="HX77" s="1" t="s">
        <v>59241</v>
      </c>
      <c r="HY77" s="1" t="s">
        <v>59242</v>
      </c>
      <c r="HZ77" s="1" t="s">
        <v>59243</v>
      </c>
      <c r="IA77" s="1" t="s">
        <v>59244</v>
      </c>
      <c r="IB77" s="1" t="s">
        <v>59245</v>
      </c>
      <c r="IC77" s="1" t="s">
        <v>59246</v>
      </c>
      <c r="ID77" s="1" t="s">
        <v>59247</v>
      </c>
      <c r="IE77" s="1" t="s">
        <v>59248</v>
      </c>
      <c r="IF77" s="1" t="s">
        <v>59249</v>
      </c>
      <c r="IG77" s="1" t="s">
        <v>59250</v>
      </c>
      <c r="IH77" s="1" t="s">
        <v>59251</v>
      </c>
      <c r="II77" s="1" t="s">
        <v>59252</v>
      </c>
      <c r="IJ77" s="1" t="s">
        <v>59253</v>
      </c>
      <c r="IK77" s="1" t="s">
        <v>59254</v>
      </c>
      <c r="IL77" s="1" t="s">
        <v>59255</v>
      </c>
      <c r="IM77" s="1" t="s">
        <v>59256</v>
      </c>
      <c r="IN77" s="1" t="s">
        <v>59257</v>
      </c>
      <c r="IO77" s="1" t="s">
        <v>59258</v>
      </c>
      <c r="IP77" s="1" t="s">
        <v>59259</v>
      </c>
      <c r="IQ77" s="1" t="s">
        <v>59260</v>
      </c>
      <c r="IR77" s="1" t="s">
        <v>59261</v>
      </c>
      <c r="IS77" s="1" t="s">
        <v>59262</v>
      </c>
      <c r="IT77" s="1" t="s">
        <v>59263</v>
      </c>
      <c r="IU77" s="1" t="s">
        <v>59264</v>
      </c>
      <c r="IV77" s="1" t="s">
        <v>59265</v>
      </c>
      <c r="IW77" s="1" t="s">
        <v>59266</v>
      </c>
      <c r="IX77" s="1" t="s">
        <v>59267</v>
      </c>
      <c r="IY77" s="1" t="s">
        <v>59268</v>
      </c>
      <c r="IZ77" s="1" t="s">
        <v>59269</v>
      </c>
      <c r="JA77" s="1" t="s">
        <v>59270</v>
      </c>
      <c r="JB77" s="1" t="s">
        <v>59271</v>
      </c>
      <c r="JC77" s="1" t="s">
        <v>59272</v>
      </c>
      <c r="JD77" s="1" t="s">
        <v>59273</v>
      </c>
      <c r="JE77" s="1" t="s">
        <v>59274</v>
      </c>
      <c r="JF77" s="1" t="s">
        <v>59275</v>
      </c>
      <c r="JG77" s="1" t="s">
        <v>59276</v>
      </c>
      <c r="JH77" s="1" t="s">
        <v>59277</v>
      </c>
      <c r="JI77" s="1" t="s">
        <v>59278</v>
      </c>
      <c r="JJ77" s="1" t="s">
        <v>59279</v>
      </c>
      <c r="JK77" s="1" t="s">
        <v>59280</v>
      </c>
      <c r="JL77" s="1" t="s">
        <v>59281</v>
      </c>
      <c r="JM77" s="1" t="s">
        <v>59282</v>
      </c>
      <c r="JN77" s="1" t="s">
        <v>59283</v>
      </c>
      <c r="JO77" s="1" t="s">
        <v>59284</v>
      </c>
      <c r="JP77" s="1" t="s">
        <v>59285</v>
      </c>
      <c r="JQ77" s="1" t="s">
        <v>59286</v>
      </c>
      <c r="JR77" s="1" t="s">
        <v>59287</v>
      </c>
      <c r="JS77" s="1" t="s">
        <v>59288</v>
      </c>
      <c r="JT77" s="1" t="s">
        <v>59289</v>
      </c>
      <c r="JU77" s="1" t="s">
        <v>59290</v>
      </c>
      <c r="JV77" s="1" t="s">
        <v>59291</v>
      </c>
      <c r="JW77" s="1" t="s">
        <v>59292</v>
      </c>
      <c r="JX77" s="1" t="s">
        <v>59293</v>
      </c>
      <c r="JY77" s="1" t="s">
        <v>59294</v>
      </c>
      <c r="JZ77" s="1" t="s">
        <v>59295</v>
      </c>
      <c r="KA77" s="1" t="s">
        <v>59296</v>
      </c>
      <c r="KB77" s="1" t="s">
        <v>59297</v>
      </c>
      <c r="KC77" s="1" t="s">
        <v>59298</v>
      </c>
      <c r="KD77" s="1" t="s">
        <v>59299</v>
      </c>
      <c r="KE77" s="1" t="s">
        <v>59300</v>
      </c>
      <c r="KF77" s="1" t="s">
        <v>59301</v>
      </c>
      <c r="KG77" s="1" t="s">
        <v>59302</v>
      </c>
      <c r="KH77" s="1" t="s">
        <v>59303</v>
      </c>
      <c r="KI77" s="1" t="s">
        <v>59304</v>
      </c>
      <c r="KJ77" s="1" t="s">
        <v>59305</v>
      </c>
      <c r="KK77" s="1" t="s">
        <v>59306</v>
      </c>
      <c r="KL77" s="1" t="s">
        <v>59307</v>
      </c>
      <c r="KM77" s="1" t="s">
        <v>59308</v>
      </c>
      <c r="KN77" s="1" t="s">
        <v>59309</v>
      </c>
      <c r="KO77" s="1" t="s">
        <v>59310</v>
      </c>
      <c r="KP77" s="1" t="s">
        <v>59311</v>
      </c>
      <c r="KQ77" s="1" t="s">
        <v>59312</v>
      </c>
      <c r="KR77" s="1" t="s">
        <v>59313</v>
      </c>
      <c r="KS77" s="1" t="s">
        <v>59314</v>
      </c>
      <c r="KT77" s="1" t="s">
        <v>59315</v>
      </c>
      <c r="KU77" s="1" t="s">
        <v>59316</v>
      </c>
      <c r="KV77" s="1" t="s">
        <v>59317</v>
      </c>
      <c r="KW77" s="1" t="s">
        <v>59318</v>
      </c>
      <c r="KX77" s="1" t="s">
        <v>59319</v>
      </c>
      <c r="KY77" s="1" t="s">
        <v>59320</v>
      </c>
      <c r="KZ77" s="1" t="s">
        <v>59321</v>
      </c>
      <c r="LA77" s="1" t="s">
        <v>59322</v>
      </c>
      <c r="LB77" s="1" t="s">
        <v>59323</v>
      </c>
      <c r="LC77" s="1" t="s">
        <v>59324</v>
      </c>
      <c r="LD77" s="1" t="s">
        <v>59325</v>
      </c>
      <c r="LE77" s="1" t="s">
        <v>59326</v>
      </c>
      <c r="LF77" s="1" t="s">
        <v>59327</v>
      </c>
      <c r="LG77" s="1" t="s">
        <v>59328</v>
      </c>
      <c r="LH77" s="1" t="s">
        <v>59329</v>
      </c>
      <c r="LI77" s="1" t="s">
        <v>59330</v>
      </c>
      <c r="LJ77" s="1" t="s">
        <v>59331</v>
      </c>
      <c r="LK77" s="1" t="s">
        <v>59332</v>
      </c>
      <c r="LL77" s="1" t="s">
        <v>59333</v>
      </c>
      <c r="LM77" s="1" t="s">
        <v>59334</v>
      </c>
      <c r="LN77" s="1" t="s">
        <v>59335</v>
      </c>
      <c r="LO77" s="1" t="s">
        <v>59336</v>
      </c>
      <c r="LP77" s="1" t="s">
        <v>59337</v>
      </c>
      <c r="LQ77" s="1" t="s">
        <v>59338</v>
      </c>
      <c r="LR77" s="1" t="s">
        <v>59339</v>
      </c>
      <c r="LS77" s="1" t="s">
        <v>59340</v>
      </c>
      <c r="LT77" s="1" t="s">
        <v>59341</v>
      </c>
      <c r="LU77" s="1" t="s">
        <v>59342</v>
      </c>
      <c r="LV77" s="1" t="s">
        <v>59343</v>
      </c>
      <c r="LW77" s="1" t="s">
        <v>59344</v>
      </c>
      <c r="LX77" s="1" t="s">
        <v>59345</v>
      </c>
      <c r="LY77" s="1" t="s">
        <v>59346</v>
      </c>
      <c r="LZ77" s="1" t="s">
        <v>59347</v>
      </c>
      <c r="MA77" s="1" t="s">
        <v>59348</v>
      </c>
      <c r="MB77" s="1" t="s">
        <v>59349</v>
      </c>
      <c r="MC77" s="1" t="s">
        <v>59350</v>
      </c>
      <c r="MD77" s="1" t="s">
        <v>59351</v>
      </c>
      <c r="ME77" s="1" t="s">
        <v>59352</v>
      </c>
      <c r="MF77" s="1" t="s">
        <v>59353</v>
      </c>
      <c r="MG77" s="1" t="s">
        <v>59354</v>
      </c>
      <c r="MH77" s="1" t="s">
        <v>59355</v>
      </c>
      <c r="MI77" s="1" t="s">
        <v>59356</v>
      </c>
      <c r="MJ77" s="1" t="s">
        <v>59357</v>
      </c>
      <c r="MK77" s="1" t="s">
        <v>59358</v>
      </c>
      <c r="ML77" s="1" t="s">
        <v>59359</v>
      </c>
      <c r="MM77" s="1" t="s">
        <v>59360</v>
      </c>
      <c r="MN77" s="1" t="s">
        <v>59361</v>
      </c>
      <c r="MO77" s="1" t="s">
        <v>59362</v>
      </c>
      <c r="MP77" s="1" t="s">
        <v>59363</v>
      </c>
      <c r="MQ77" s="1" t="s">
        <v>59364</v>
      </c>
      <c r="MR77" s="1" t="s">
        <v>59365</v>
      </c>
      <c r="MS77" s="1" t="s">
        <v>59366</v>
      </c>
      <c r="MT77" s="1" t="s">
        <v>59367</v>
      </c>
      <c r="MU77" s="1" t="s">
        <v>59368</v>
      </c>
      <c r="MV77" s="1" t="s">
        <v>59369</v>
      </c>
      <c r="MW77" s="1" t="s">
        <v>59370</v>
      </c>
      <c r="MX77" s="1" t="s">
        <v>59371</v>
      </c>
      <c r="MY77" s="1" t="s">
        <v>59372</v>
      </c>
      <c r="MZ77" s="1" t="s">
        <v>59373</v>
      </c>
      <c r="NA77" s="1" t="s">
        <v>59374</v>
      </c>
      <c r="NB77" s="1" t="s">
        <v>59375</v>
      </c>
      <c r="NC77" s="1" t="s">
        <v>59376</v>
      </c>
      <c r="ND77" s="1" t="s">
        <v>59377</v>
      </c>
      <c r="NE77" s="1" t="s">
        <v>59378</v>
      </c>
      <c r="NF77" s="1" t="s">
        <v>59379</v>
      </c>
      <c r="NG77" s="1" t="s">
        <v>59380</v>
      </c>
      <c r="NH77" s="1" t="s">
        <v>59381</v>
      </c>
      <c r="NI77" s="1" t="s">
        <v>59382</v>
      </c>
      <c r="NJ77" s="1" t="s">
        <v>59383</v>
      </c>
      <c r="NK77" s="1" t="s">
        <v>59384</v>
      </c>
      <c r="NL77" s="1" t="s">
        <v>59385</v>
      </c>
      <c r="NM77" s="1" t="s">
        <v>59386</v>
      </c>
      <c r="NN77" s="1" t="s">
        <v>59387</v>
      </c>
      <c r="NO77" s="1" t="s">
        <v>59388</v>
      </c>
      <c r="NP77" s="1" t="s">
        <v>59389</v>
      </c>
      <c r="NQ77" s="1" t="s">
        <v>59390</v>
      </c>
      <c r="NR77" s="1" t="s">
        <v>59391</v>
      </c>
      <c r="NS77" s="1" t="s">
        <v>59392</v>
      </c>
      <c r="NT77" s="1" t="s">
        <v>59393</v>
      </c>
      <c r="NU77" s="1" t="s">
        <v>59394</v>
      </c>
      <c r="NV77" s="1" t="s">
        <v>59395</v>
      </c>
      <c r="NW77" s="1" t="s">
        <v>59396</v>
      </c>
      <c r="NX77" s="1" t="s">
        <v>59397</v>
      </c>
      <c r="NY77" s="1" t="s">
        <v>59398</v>
      </c>
      <c r="NZ77" s="1" t="s">
        <v>59399</v>
      </c>
      <c r="OA77" s="1" t="s">
        <v>59400</v>
      </c>
      <c r="OB77" s="1" t="s">
        <v>59401</v>
      </c>
      <c r="OC77" s="1" t="s">
        <v>59402</v>
      </c>
      <c r="OD77" s="1" t="s">
        <v>59403</v>
      </c>
      <c r="OE77" s="1" t="s">
        <v>59404</v>
      </c>
      <c r="OF77" s="1" t="s">
        <v>59405</v>
      </c>
      <c r="OG77" s="1" t="s">
        <v>59406</v>
      </c>
      <c r="OH77" s="1" t="s">
        <v>59407</v>
      </c>
      <c r="OI77" s="1" t="s">
        <v>59408</v>
      </c>
      <c r="OJ77" s="1" t="s">
        <v>59409</v>
      </c>
      <c r="OK77" s="1" t="s">
        <v>59410</v>
      </c>
      <c r="OL77" s="1" t="s">
        <v>59411</v>
      </c>
      <c r="OM77" s="1" t="s">
        <v>59412</v>
      </c>
      <c r="ON77" s="1" t="s">
        <v>59413</v>
      </c>
      <c r="OO77" s="1" t="s">
        <v>59414</v>
      </c>
      <c r="OP77" s="1" t="s">
        <v>59415</v>
      </c>
      <c r="OQ77" s="1" t="s">
        <v>59416</v>
      </c>
      <c r="OR77" s="1" t="s">
        <v>59417</v>
      </c>
      <c r="OS77" s="1" t="s">
        <v>59418</v>
      </c>
      <c r="OT77" s="1" t="s">
        <v>59419</v>
      </c>
      <c r="OU77" s="1" t="s">
        <v>59420</v>
      </c>
      <c r="OV77" s="1" t="s">
        <v>59421</v>
      </c>
      <c r="OW77" s="1" t="s">
        <v>59422</v>
      </c>
      <c r="OX77" s="1" t="s">
        <v>59423</v>
      </c>
      <c r="OY77" s="1" t="s">
        <v>59424</v>
      </c>
      <c r="OZ77" s="1" t="s">
        <v>59425</v>
      </c>
      <c r="PA77" s="1" t="s">
        <v>59426</v>
      </c>
      <c r="PB77" s="1" t="s">
        <v>59427</v>
      </c>
      <c r="PC77" s="1" t="s">
        <v>59428</v>
      </c>
      <c r="PD77" s="1" t="s">
        <v>59429</v>
      </c>
      <c r="PE77" s="1" t="s">
        <v>59430</v>
      </c>
      <c r="PF77" s="1" t="s">
        <v>59431</v>
      </c>
      <c r="PG77" s="1" t="s">
        <v>59432</v>
      </c>
      <c r="PH77" s="1" t="s">
        <v>59433</v>
      </c>
      <c r="PI77" s="1" t="s">
        <v>59434</v>
      </c>
      <c r="PJ77" s="1" t="s">
        <v>59435</v>
      </c>
      <c r="PK77" s="1" t="s">
        <v>59436</v>
      </c>
      <c r="PL77" s="1" t="s">
        <v>59437</v>
      </c>
      <c r="PM77" s="1" t="s">
        <v>59438</v>
      </c>
      <c r="PN77" s="1" t="s">
        <v>59439</v>
      </c>
      <c r="PO77" s="1" t="s">
        <v>59440</v>
      </c>
      <c r="PP77" s="1" t="s">
        <v>59441</v>
      </c>
      <c r="PQ77" s="1" t="s">
        <v>59442</v>
      </c>
      <c r="PR77" s="1" t="s">
        <v>59443</v>
      </c>
      <c r="PS77" s="1" t="s">
        <v>59444</v>
      </c>
      <c r="PT77" s="1" t="s">
        <v>59445</v>
      </c>
      <c r="PU77" s="1" t="s">
        <v>59446</v>
      </c>
      <c r="PV77" s="1" t="s">
        <v>59447</v>
      </c>
      <c r="PW77" s="1" t="s">
        <v>59448</v>
      </c>
      <c r="PX77" s="1" t="s">
        <v>59449</v>
      </c>
      <c r="PY77" s="1" t="s">
        <v>59450</v>
      </c>
      <c r="PZ77" s="1" t="s">
        <v>59451</v>
      </c>
      <c r="QA77" s="1" t="s">
        <v>59452</v>
      </c>
      <c r="QB77" s="1" t="s">
        <v>59453</v>
      </c>
      <c r="QC77" s="1" t="s">
        <v>59454</v>
      </c>
      <c r="QD77" s="1" t="s">
        <v>59455</v>
      </c>
      <c r="QE77" s="1" t="s">
        <v>59456</v>
      </c>
      <c r="QF77" s="1" t="s">
        <v>59457</v>
      </c>
      <c r="QG77" s="1" t="s">
        <v>59458</v>
      </c>
      <c r="QH77" s="1" t="s">
        <v>59459</v>
      </c>
      <c r="QI77" s="1" t="s">
        <v>59460</v>
      </c>
      <c r="QJ77" s="1" t="s">
        <v>59461</v>
      </c>
      <c r="QK77" s="1" t="s">
        <v>59462</v>
      </c>
      <c r="QL77" s="1" t="s">
        <v>59463</v>
      </c>
      <c r="QM77" s="1" t="s">
        <v>59464</v>
      </c>
      <c r="QN77" s="1" t="s">
        <v>59465</v>
      </c>
      <c r="QO77" s="1" t="s">
        <v>59466</v>
      </c>
      <c r="QP77" s="1" t="s">
        <v>59467</v>
      </c>
      <c r="QQ77" s="1" t="s">
        <v>59468</v>
      </c>
      <c r="QR77" s="1" t="s">
        <v>59469</v>
      </c>
      <c r="QS77" s="1" t="s">
        <v>59470</v>
      </c>
      <c r="QT77" s="1" t="s">
        <v>59471</v>
      </c>
      <c r="QU77" s="1" t="s">
        <v>59472</v>
      </c>
      <c r="QV77" s="1" t="s">
        <v>59473</v>
      </c>
      <c r="QW77" s="1" t="s">
        <v>59474</v>
      </c>
      <c r="QX77" s="1" t="s">
        <v>59475</v>
      </c>
      <c r="QY77" s="1" t="s">
        <v>59476</v>
      </c>
      <c r="QZ77" s="1" t="s">
        <v>59477</v>
      </c>
      <c r="RA77" s="1" t="s">
        <v>59478</v>
      </c>
      <c r="RB77" s="1" t="s">
        <v>59479</v>
      </c>
      <c r="RC77" s="1" t="s">
        <v>59480</v>
      </c>
      <c r="RD77" s="1" t="s">
        <v>59481</v>
      </c>
      <c r="RE77" s="1" t="s">
        <v>59482</v>
      </c>
      <c r="RF77" s="1" t="s">
        <v>59483</v>
      </c>
      <c r="RG77" s="1" t="s">
        <v>59484</v>
      </c>
      <c r="RH77" s="1" t="s">
        <v>59485</v>
      </c>
      <c r="RI77" s="1" t="s">
        <v>59486</v>
      </c>
      <c r="RJ77" s="1" t="s">
        <v>59487</v>
      </c>
      <c r="RK77" s="1" t="s">
        <v>59488</v>
      </c>
      <c r="RL77" s="1" t="s">
        <v>59489</v>
      </c>
      <c r="RM77" s="1" t="s">
        <v>59490</v>
      </c>
      <c r="RN77" s="1" t="s">
        <v>59491</v>
      </c>
      <c r="RO77" s="1" t="s">
        <v>59492</v>
      </c>
      <c r="RP77" s="1" t="s">
        <v>59493</v>
      </c>
      <c r="RQ77" s="1" t="s">
        <v>59494</v>
      </c>
      <c r="RR77" s="1" t="s">
        <v>59495</v>
      </c>
      <c r="RS77" s="1" t="s">
        <v>59496</v>
      </c>
      <c r="RT77" s="1" t="s">
        <v>59497</v>
      </c>
      <c r="RU77" s="1" t="s">
        <v>59498</v>
      </c>
      <c r="RV77" s="1" t="s">
        <v>59499</v>
      </c>
      <c r="RW77" s="1" t="s">
        <v>59500</v>
      </c>
      <c r="RX77" s="1" t="s">
        <v>59501</v>
      </c>
      <c r="RY77" s="1" t="s">
        <v>59502</v>
      </c>
      <c r="RZ77" s="1" t="s">
        <v>59503</v>
      </c>
      <c r="SA77" s="1" t="s">
        <v>59504</v>
      </c>
      <c r="SB77" s="1" t="s">
        <v>59505</v>
      </c>
      <c r="SC77" s="1" t="s">
        <v>59506</v>
      </c>
      <c r="SD77" s="1" t="s">
        <v>59507</v>
      </c>
      <c r="SE77" s="1" t="s">
        <v>59508</v>
      </c>
      <c r="SF77" s="1" t="s">
        <v>59509</v>
      </c>
      <c r="SG77" s="1" t="s">
        <v>59510</v>
      </c>
      <c r="SH77" s="1" t="s">
        <v>59511</v>
      </c>
      <c r="SI77" s="1" t="s">
        <v>59512</v>
      </c>
      <c r="SJ77" s="1" t="s">
        <v>59513</v>
      </c>
      <c r="SK77" s="1" t="s">
        <v>59514</v>
      </c>
      <c r="SL77" s="1" t="s">
        <v>59515</v>
      </c>
      <c r="SM77" s="1" t="s">
        <v>59516</v>
      </c>
      <c r="SN77" s="1" t="s">
        <v>59517</v>
      </c>
      <c r="SO77" s="1" t="s">
        <v>59518</v>
      </c>
      <c r="SP77" s="1" t="s">
        <v>59519</v>
      </c>
      <c r="SQ77" s="1" t="s">
        <v>59520</v>
      </c>
      <c r="SR77" s="1" t="s">
        <v>59521</v>
      </c>
      <c r="SS77" s="1" t="s">
        <v>59522</v>
      </c>
      <c r="ST77" s="1" t="s">
        <v>59523</v>
      </c>
      <c r="SU77" s="1" t="s">
        <v>59524</v>
      </c>
      <c r="SV77" s="1" t="s">
        <v>59525</v>
      </c>
      <c r="SW77" s="1" t="s">
        <v>59526</v>
      </c>
      <c r="SX77" s="1" t="s">
        <v>59527</v>
      </c>
      <c r="SY77" s="1" t="s">
        <v>59528</v>
      </c>
      <c r="SZ77" s="1" t="s">
        <v>59529</v>
      </c>
      <c r="TA77" s="1" t="s">
        <v>59530</v>
      </c>
      <c r="TB77" s="1" t="s">
        <v>59531</v>
      </c>
      <c r="TC77" s="1" t="s">
        <v>59532</v>
      </c>
      <c r="TD77" s="1" t="s">
        <v>59533</v>
      </c>
      <c r="TE77" s="1" t="s">
        <v>59534</v>
      </c>
      <c r="TF77" s="1" t="s">
        <v>59535</v>
      </c>
      <c r="TG77" s="1" t="s">
        <v>59536</v>
      </c>
      <c r="TH77" s="1" t="s">
        <v>59537</v>
      </c>
      <c r="TI77" s="1" t="s">
        <v>59538</v>
      </c>
      <c r="TJ77" s="1" t="s">
        <v>59539</v>
      </c>
      <c r="TK77" s="1" t="s">
        <v>59540</v>
      </c>
      <c r="TL77" s="1" t="s">
        <v>59541</v>
      </c>
      <c r="TM77" s="1" t="s">
        <v>59542</v>
      </c>
      <c r="TN77" s="1" t="s">
        <v>59543</v>
      </c>
      <c r="TO77" s="1" t="s">
        <v>59544</v>
      </c>
      <c r="TP77" s="1" t="s">
        <v>59545</v>
      </c>
      <c r="TQ77" s="1" t="s">
        <v>59546</v>
      </c>
      <c r="TR77" s="1" t="s">
        <v>59547</v>
      </c>
      <c r="TS77" s="1" t="s">
        <v>59548</v>
      </c>
      <c r="TT77" s="1" t="s">
        <v>59549</v>
      </c>
      <c r="TU77" s="1" t="s">
        <v>59550</v>
      </c>
      <c r="TV77" s="1" t="s">
        <v>59551</v>
      </c>
      <c r="TW77" s="1" t="s">
        <v>59552</v>
      </c>
      <c r="TX77" s="1" t="s">
        <v>59553</v>
      </c>
      <c r="TY77" s="1" t="s">
        <v>59554</v>
      </c>
      <c r="TZ77" s="1" t="s">
        <v>59555</v>
      </c>
      <c r="UA77" s="1" t="s">
        <v>59556</v>
      </c>
      <c r="UB77" s="1" t="s">
        <v>59557</v>
      </c>
      <c r="UC77" s="1" t="s">
        <v>59558</v>
      </c>
      <c r="UD77" s="1" t="s">
        <v>59559</v>
      </c>
      <c r="UE77" s="1" t="s">
        <v>59560</v>
      </c>
      <c r="UF77" s="1" t="s">
        <v>59561</v>
      </c>
      <c r="UG77" s="1" t="s">
        <v>59562</v>
      </c>
      <c r="UH77" s="1" t="s">
        <v>59563</v>
      </c>
      <c r="UI77" s="1" t="s">
        <v>59564</v>
      </c>
      <c r="UJ77" s="1" t="s">
        <v>59565</v>
      </c>
      <c r="UK77" s="1" t="s">
        <v>59566</v>
      </c>
      <c r="UL77" s="1" t="s">
        <v>59567</v>
      </c>
      <c r="UM77" s="1" t="s">
        <v>59568</v>
      </c>
      <c r="UN77" s="1" t="s">
        <v>59569</v>
      </c>
      <c r="UO77" s="1" t="s">
        <v>59570</v>
      </c>
      <c r="UP77" s="1" t="s">
        <v>59571</v>
      </c>
      <c r="UQ77" s="1" t="s">
        <v>59572</v>
      </c>
      <c r="UR77" s="1" t="s">
        <v>59573</v>
      </c>
      <c r="US77" s="1" t="s">
        <v>59574</v>
      </c>
      <c r="UT77" s="1" t="s">
        <v>59575</v>
      </c>
      <c r="UU77" s="1" t="s">
        <v>59576</v>
      </c>
      <c r="UV77" s="1" t="s">
        <v>59577</v>
      </c>
      <c r="UW77" s="1" t="s">
        <v>59578</v>
      </c>
      <c r="UX77" s="1" t="s">
        <v>59579</v>
      </c>
      <c r="UY77" s="1" t="s">
        <v>59580</v>
      </c>
      <c r="UZ77" s="1" t="s">
        <v>59581</v>
      </c>
      <c r="VA77" s="1" t="s">
        <v>59582</v>
      </c>
      <c r="VB77" s="1" t="s">
        <v>59583</v>
      </c>
      <c r="VC77" s="1" t="s">
        <v>59584</v>
      </c>
      <c r="VD77" s="1" t="s">
        <v>59585</v>
      </c>
      <c r="VE77" s="1" t="s">
        <v>59586</v>
      </c>
      <c r="VF77" s="1" t="s">
        <v>59587</v>
      </c>
      <c r="VG77" s="1" t="s">
        <v>59588</v>
      </c>
      <c r="VH77" s="1" t="s">
        <v>59589</v>
      </c>
      <c r="VI77" s="1" t="s">
        <v>59590</v>
      </c>
      <c r="VJ77" s="1" t="s">
        <v>59591</v>
      </c>
      <c r="VK77" s="1" t="s">
        <v>59592</v>
      </c>
      <c r="VL77" s="1" t="s">
        <v>59593</v>
      </c>
      <c r="VM77" s="1" t="s">
        <v>59594</v>
      </c>
      <c r="VN77" s="1" t="s">
        <v>59595</v>
      </c>
      <c r="VO77" s="1" t="s">
        <v>59596</v>
      </c>
      <c r="VP77" s="1" t="s">
        <v>59597</v>
      </c>
      <c r="VQ77" s="1" t="s">
        <v>59598</v>
      </c>
      <c r="VR77" s="1" t="s">
        <v>59599</v>
      </c>
      <c r="VS77" s="1" t="s">
        <v>59600</v>
      </c>
      <c r="VT77" s="1" t="s">
        <v>59601</v>
      </c>
      <c r="VU77" s="1" t="s">
        <v>59602</v>
      </c>
      <c r="VV77" s="1" t="s">
        <v>59603</v>
      </c>
      <c r="VW77" s="1" t="s">
        <v>59604</v>
      </c>
      <c r="VX77" s="1" t="s">
        <v>59605</v>
      </c>
      <c r="VY77" s="1" t="s">
        <v>59606</v>
      </c>
      <c r="VZ77" s="1" t="s">
        <v>59607</v>
      </c>
      <c r="WA77" s="1" t="s">
        <v>59608</v>
      </c>
      <c r="WB77" s="1" t="s">
        <v>59609</v>
      </c>
      <c r="WC77" s="1" t="s">
        <v>59610</v>
      </c>
      <c r="WD77" s="1" t="s">
        <v>59611</v>
      </c>
      <c r="WE77" s="1" t="s">
        <v>59612</v>
      </c>
      <c r="WF77" s="1" t="s">
        <v>59613</v>
      </c>
      <c r="WG77" s="1" t="s">
        <v>59614</v>
      </c>
      <c r="WH77" s="1" t="s">
        <v>59615</v>
      </c>
      <c r="WI77" s="1" t="s">
        <v>59616</v>
      </c>
      <c r="WJ77" s="1" t="s">
        <v>59617</v>
      </c>
      <c r="WK77" s="1" t="s">
        <v>59618</v>
      </c>
      <c r="WL77" s="1" t="s">
        <v>59619</v>
      </c>
      <c r="WM77" s="1" t="s">
        <v>59620</v>
      </c>
      <c r="WN77" s="1" t="s">
        <v>59621</v>
      </c>
      <c r="WO77" s="1" t="s">
        <v>59622</v>
      </c>
      <c r="WP77" s="1" t="s">
        <v>59623</v>
      </c>
      <c r="WQ77" s="1" t="s">
        <v>59624</v>
      </c>
      <c r="WR77" s="1" t="s">
        <v>59625</v>
      </c>
      <c r="WS77" s="1" t="s">
        <v>59626</v>
      </c>
      <c r="WT77" s="1" t="s">
        <v>59627</v>
      </c>
      <c r="WU77" s="1" t="s">
        <v>59628</v>
      </c>
      <c r="WV77" s="1" t="s">
        <v>59629</v>
      </c>
      <c r="WW77" s="1" t="s">
        <v>59630</v>
      </c>
      <c r="WX77" s="1" t="s">
        <v>59631</v>
      </c>
      <c r="WY77" s="1" t="s">
        <v>59632</v>
      </c>
      <c r="WZ77" s="1" t="s">
        <v>59633</v>
      </c>
      <c r="XA77" s="1" t="s">
        <v>59634</v>
      </c>
      <c r="XB77" s="1" t="s">
        <v>59635</v>
      </c>
      <c r="XC77" s="1" t="s">
        <v>59636</v>
      </c>
      <c r="XD77" s="1" t="s">
        <v>59637</v>
      </c>
      <c r="XE77" s="1" t="s">
        <v>59638</v>
      </c>
      <c r="XF77" s="1" t="s">
        <v>59639</v>
      </c>
      <c r="XG77" s="1" t="s">
        <v>59640</v>
      </c>
      <c r="XH77" s="1" t="s">
        <v>59641</v>
      </c>
      <c r="XI77" s="1" t="s">
        <v>59642</v>
      </c>
      <c r="XJ77" s="1" t="s">
        <v>59643</v>
      </c>
      <c r="XK77" s="1" t="s">
        <v>59644</v>
      </c>
      <c r="XL77" s="1" t="s">
        <v>59645</v>
      </c>
      <c r="XM77" s="1" t="s">
        <v>59646</v>
      </c>
      <c r="XN77" s="1" t="s">
        <v>59647</v>
      </c>
      <c r="XO77" s="1" t="s">
        <v>59648</v>
      </c>
      <c r="XP77" s="1" t="s">
        <v>59649</v>
      </c>
      <c r="XQ77" s="1" t="s">
        <v>59650</v>
      </c>
      <c r="XR77" s="1" t="s">
        <v>59651</v>
      </c>
      <c r="XS77" s="1" t="s">
        <v>59652</v>
      </c>
      <c r="XT77" s="1" t="s">
        <v>59653</v>
      </c>
      <c r="XU77" s="1" t="s">
        <v>59654</v>
      </c>
      <c r="XV77" s="1" t="s">
        <v>59655</v>
      </c>
      <c r="XW77" s="1" t="s">
        <v>59656</v>
      </c>
      <c r="XX77" s="1" t="s">
        <v>59657</v>
      </c>
      <c r="XY77" s="1" t="s">
        <v>59658</v>
      </c>
      <c r="XZ77" s="1" t="s">
        <v>59659</v>
      </c>
      <c r="YA77" s="1" t="s">
        <v>59660</v>
      </c>
      <c r="YB77" s="1" t="s">
        <v>59661</v>
      </c>
      <c r="YC77" s="1" t="s">
        <v>59662</v>
      </c>
      <c r="YD77" s="1" t="s">
        <v>59663</v>
      </c>
      <c r="YE77" s="1" t="s">
        <v>59664</v>
      </c>
      <c r="YF77" s="1" t="s">
        <v>59665</v>
      </c>
      <c r="YG77" s="1" t="s">
        <v>59666</v>
      </c>
      <c r="YH77" s="1" t="s">
        <v>59667</v>
      </c>
      <c r="YI77" s="1" t="s">
        <v>59668</v>
      </c>
      <c r="YJ77" s="1" t="s">
        <v>59669</v>
      </c>
      <c r="YK77" s="1" t="s">
        <v>59670</v>
      </c>
      <c r="YL77" s="1" t="s">
        <v>59671</v>
      </c>
      <c r="YM77" s="1" t="s">
        <v>59672</v>
      </c>
      <c r="YN77" s="1" t="s">
        <v>59673</v>
      </c>
      <c r="YO77" s="1" t="s">
        <v>59674</v>
      </c>
      <c r="YP77" s="1" t="s">
        <v>59675</v>
      </c>
      <c r="YQ77" s="1" t="s">
        <v>59676</v>
      </c>
      <c r="YR77" s="1" t="s">
        <v>59677</v>
      </c>
      <c r="YS77" s="1" t="s">
        <v>59678</v>
      </c>
      <c r="YT77" s="1" t="s">
        <v>59679</v>
      </c>
      <c r="YU77" s="1" t="s">
        <v>59680</v>
      </c>
      <c r="YV77" s="1" t="s">
        <v>59681</v>
      </c>
      <c r="YW77" s="1" t="s">
        <v>59682</v>
      </c>
      <c r="YX77" s="1" t="s">
        <v>59683</v>
      </c>
      <c r="YY77" s="1" t="s">
        <v>59684</v>
      </c>
      <c r="YZ77" s="1" t="s">
        <v>59685</v>
      </c>
      <c r="ZA77" s="1" t="s">
        <v>59686</v>
      </c>
      <c r="ZB77" s="1" t="s">
        <v>59687</v>
      </c>
      <c r="ZC77" s="1" t="s">
        <v>59688</v>
      </c>
      <c r="ZD77" s="1" t="s">
        <v>59689</v>
      </c>
      <c r="ZE77" s="1" t="s">
        <v>59690</v>
      </c>
      <c r="ZF77" s="1" t="s">
        <v>59691</v>
      </c>
      <c r="ZG77" s="1" t="s">
        <v>59692</v>
      </c>
      <c r="ZH77" s="1" t="s">
        <v>59693</v>
      </c>
      <c r="ZI77" s="1" t="s">
        <v>59694</v>
      </c>
      <c r="ZJ77" s="1" t="s">
        <v>59695</v>
      </c>
      <c r="ZK77" s="1" t="s">
        <v>59696</v>
      </c>
      <c r="ZL77" s="1" t="s">
        <v>59697</v>
      </c>
      <c r="ZM77" s="1" t="s">
        <v>59698</v>
      </c>
      <c r="ZN77" s="1" t="s">
        <v>59699</v>
      </c>
      <c r="ZO77" s="1" t="s">
        <v>59700</v>
      </c>
      <c r="ZP77" s="1" t="s">
        <v>59701</v>
      </c>
      <c r="ZQ77" s="1" t="s">
        <v>59702</v>
      </c>
      <c r="ZR77" s="1" t="s">
        <v>59703</v>
      </c>
      <c r="ZS77" s="1" t="s">
        <v>59704</v>
      </c>
      <c r="ZT77" s="1" t="s">
        <v>59705</v>
      </c>
      <c r="ZU77" s="1" t="s">
        <v>59706</v>
      </c>
      <c r="ZV77" s="1" t="s">
        <v>59707</v>
      </c>
      <c r="ZW77" s="1" t="s">
        <v>59708</v>
      </c>
      <c r="ZX77" s="1" t="s">
        <v>59709</v>
      </c>
      <c r="ZY77" s="1" t="s">
        <v>59710</v>
      </c>
      <c r="ZZ77" s="1" t="s">
        <v>59711</v>
      </c>
      <c r="AAA77" s="1" t="s">
        <v>59712</v>
      </c>
      <c r="AAB77" s="1" t="s">
        <v>59713</v>
      </c>
      <c r="AAC77" s="1" t="s">
        <v>59714</v>
      </c>
      <c r="AAD77" s="1" t="s">
        <v>59715</v>
      </c>
      <c r="AAE77" s="1" t="s">
        <v>59716</v>
      </c>
      <c r="AAF77" s="1" t="s">
        <v>59717</v>
      </c>
      <c r="AAG77" s="1" t="s">
        <v>59718</v>
      </c>
      <c r="AAH77" s="1" t="s">
        <v>59719</v>
      </c>
      <c r="AAI77" s="1" t="s">
        <v>59720</v>
      </c>
      <c r="AAJ77" s="1" t="s">
        <v>59721</v>
      </c>
      <c r="AAK77" s="1" t="s">
        <v>59722</v>
      </c>
      <c r="AAL77" s="1" t="s">
        <v>59723</v>
      </c>
      <c r="AAM77" s="1" t="s">
        <v>59724</v>
      </c>
      <c r="AAN77" s="1" t="s">
        <v>59725</v>
      </c>
      <c r="AAO77" s="1" t="s">
        <v>59726</v>
      </c>
      <c r="AAP77" s="1" t="s">
        <v>59727</v>
      </c>
      <c r="AAQ77" s="1" t="s">
        <v>59728</v>
      </c>
      <c r="AAR77" s="1" t="s">
        <v>59729</v>
      </c>
      <c r="AAS77" s="1" t="s">
        <v>59730</v>
      </c>
      <c r="AAT77" s="1" t="s">
        <v>59731</v>
      </c>
      <c r="AAU77" s="1" t="s">
        <v>59732</v>
      </c>
      <c r="AAV77" s="1" t="s">
        <v>59733</v>
      </c>
      <c r="AAW77" s="1" t="s">
        <v>59734</v>
      </c>
      <c r="AAX77" s="1" t="s">
        <v>59735</v>
      </c>
      <c r="AAY77" s="1" t="s">
        <v>59736</v>
      </c>
      <c r="AAZ77" s="1" t="s">
        <v>59737</v>
      </c>
      <c r="ABA77" s="1" t="s">
        <v>59738</v>
      </c>
      <c r="ABB77" s="1" t="s">
        <v>59739</v>
      </c>
      <c r="ABC77" s="1" t="s">
        <v>59740</v>
      </c>
      <c r="ABD77" s="1" t="s">
        <v>59741</v>
      </c>
      <c r="ABE77" s="1" t="s">
        <v>59742</v>
      </c>
      <c r="ABF77" s="1" t="s">
        <v>59743</v>
      </c>
      <c r="ABG77" s="1" t="s">
        <v>59744</v>
      </c>
      <c r="ABH77" s="1" t="s">
        <v>59745</v>
      </c>
      <c r="ABI77" s="1" t="s">
        <v>59746</v>
      </c>
      <c r="ABJ77" s="1" t="s">
        <v>59747</v>
      </c>
      <c r="ABK77" s="1" t="s">
        <v>59748</v>
      </c>
      <c r="ABL77" s="1" t="s">
        <v>59749</v>
      </c>
      <c r="ABM77" s="1" t="s">
        <v>59750</v>
      </c>
      <c r="ABN77" s="1" t="s">
        <v>59751</v>
      </c>
      <c r="ABO77" s="1" t="s">
        <v>59752</v>
      </c>
      <c r="ABP77" s="1" t="s">
        <v>59753</v>
      </c>
      <c r="ABQ77" s="1" t="s">
        <v>59754</v>
      </c>
      <c r="ABR77" s="1" t="s">
        <v>59755</v>
      </c>
      <c r="ABS77" s="1" t="s">
        <v>59756</v>
      </c>
      <c r="ABT77" s="1" t="s">
        <v>59757</v>
      </c>
      <c r="ABU77" s="1" t="s">
        <v>59758</v>
      </c>
      <c r="ABV77" s="1" t="s">
        <v>59759</v>
      </c>
      <c r="ABW77" s="1" t="s">
        <v>59760</v>
      </c>
      <c r="ABX77" s="1" t="s">
        <v>59761</v>
      </c>
      <c r="ABY77" s="1" t="s">
        <v>59762</v>
      </c>
      <c r="ABZ77" s="1" t="s">
        <v>59763</v>
      </c>
      <c r="ACA77" s="1" t="s">
        <v>59764</v>
      </c>
      <c r="ACB77" s="1" t="s">
        <v>59765</v>
      </c>
      <c r="ACC77" s="1" t="s">
        <v>59766</v>
      </c>
      <c r="ACD77" s="1" t="s">
        <v>59767</v>
      </c>
      <c r="ACE77" s="1" t="s">
        <v>59768</v>
      </c>
      <c r="ACF77" s="1" t="s">
        <v>59769</v>
      </c>
      <c r="ACG77" s="1" t="s">
        <v>59770</v>
      </c>
      <c r="ACH77" s="1" t="s">
        <v>59771</v>
      </c>
      <c r="ACI77" s="1" t="s">
        <v>59772</v>
      </c>
      <c r="ACJ77" s="1" t="s">
        <v>59773</v>
      </c>
      <c r="ACK77" s="1" t="s">
        <v>59774</v>
      </c>
      <c r="ACL77" s="1" t="s">
        <v>59775</v>
      </c>
      <c r="ACM77" s="1" t="s">
        <v>59776</v>
      </c>
      <c r="ACN77" s="1" t="s">
        <v>59777</v>
      </c>
      <c r="ACO77" s="1" t="s">
        <v>59778</v>
      </c>
      <c r="ACP77" s="1" t="s">
        <v>59779</v>
      </c>
      <c r="ACQ77" s="1" t="s">
        <v>59780</v>
      </c>
      <c r="ACR77" s="1" t="s">
        <v>59781</v>
      </c>
      <c r="ACS77" s="1" t="s">
        <v>59782</v>
      </c>
      <c r="ACT77" s="1" t="s">
        <v>59783</v>
      </c>
      <c r="ACU77" s="1" t="s">
        <v>59784</v>
      </c>
      <c r="ACV77" s="1" t="s">
        <v>59785</v>
      </c>
      <c r="ACW77" s="1" t="s">
        <v>32</v>
      </c>
      <c r="ACX77" s="1" t="s">
        <v>1499</v>
      </c>
    </row>
    <row r="78" spans="1:778" x14ac:dyDescent="0.2">
      <c r="A78" s="1" t="s">
        <v>10</v>
      </c>
      <c r="B78" s="1" t="s">
        <v>59786</v>
      </c>
      <c r="C78" s="1" t="s">
        <v>59787</v>
      </c>
      <c r="D78" s="1" t="s">
        <v>59788</v>
      </c>
      <c r="E78" s="1" t="s">
        <v>59789</v>
      </c>
      <c r="F78" s="1" t="s">
        <v>59790</v>
      </c>
      <c r="G78" s="1" t="s">
        <v>59791</v>
      </c>
      <c r="H78" s="1" t="s">
        <v>59792</v>
      </c>
      <c r="I78" s="1" t="s">
        <v>59793</v>
      </c>
      <c r="J78" s="1" t="s">
        <v>59794</v>
      </c>
      <c r="K78" s="1" t="s">
        <v>59795</v>
      </c>
      <c r="L78" s="1" t="s">
        <v>59796</v>
      </c>
      <c r="M78" s="1" t="s">
        <v>59797</v>
      </c>
      <c r="N78" s="1" t="s">
        <v>59798</v>
      </c>
      <c r="O78" s="1" t="s">
        <v>59799</v>
      </c>
      <c r="P78" s="1" t="s">
        <v>59800</v>
      </c>
      <c r="Q78" s="1" t="s">
        <v>59801</v>
      </c>
      <c r="R78" s="1" t="s">
        <v>59802</v>
      </c>
      <c r="S78" s="1" t="s">
        <v>59803</v>
      </c>
      <c r="T78" s="1" t="s">
        <v>59804</v>
      </c>
      <c r="U78" s="1" t="s">
        <v>59805</v>
      </c>
      <c r="V78" s="1" t="s">
        <v>59806</v>
      </c>
      <c r="W78" s="1" t="s">
        <v>59807</v>
      </c>
      <c r="X78" s="1" t="s">
        <v>59808</v>
      </c>
      <c r="Y78" s="1" t="s">
        <v>59809</v>
      </c>
      <c r="Z78" s="1" t="s">
        <v>59810</v>
      </c>
      <c r="AA78" s="1" t="s">
        <v>59811</v>
      </c>
      <c r="AB78" s="1" t="s">
        <v>59812</v>
      </c>
      <c r="AC78" s="1" t="s">
        <v>59813</v>
      </c>
      <c r="AD78" s="1" t="s">
        <v>59814</v>
      </c>
      <c r="AE78" s="1" t="s">
        <v>59815</v>
      </c>
      <c r="AF78" s="1" t="s">
        <v>59816</v>
      </c>
      <c r="AG78" s="1" t="s">
        <v>59817</v>
      </c>
      <c r="AH78" s="1" t="s">
        <v>59818</v>
      </c>
      <c r="AI78" s="1" t="s">
        <v>59819</v>
      </c>
      <c r="AJ78" s="1" t="s">
        <v>59820</v>
      </c>
      <c r="AK78" s="1" t="s">
        <v>59821</v>
      </c>
      <c r="AL78" s="1" t="s">
        <v>59822</v>
      </c>
      <c r="AM78" s="1" t="s">
        <v>59823</v>
      </c>
      <c r="AN78" s="1" t="s">
        <v>59824</v>
      </c>
      <c r="AO78" s="1" t="s">
        <v>59825</v>
      </c>
      <c r="AP78" s="1" t="s">
        <v>59826</v>
      </c>
      <c r="AQ78" s="1" t="s">
        <v>59827</v>
      </c>
      <c r="AR78" s="1" t="s">
        <v>59828</v>
      </c>
      <c r="AS78" s="1" t="s">
        <v>59829</v>
      </c>
      <c r="AT78" s="1" t="s">
        <v>59830</v>
      </c>
      <c r="AU78" s="1" t="s">
        <v>59831</v>
      </c>
      <c r="AV78" s="1" t="s">
        <v>59832</v>
      </c>
      <c r="AW78" s="1" t="s">
        <v>59833</v>
      </c>
      <c r="AX78" s="1" t="s">
        <v>59834</v>
      </c>
      <c r="AY78" s="1" t="s">
        <v>59835</v>
      </c>
      <c r="AZ78" s="1" t="s">
        <v>59836</v>
      </c>
      <c r="BA78" s="1" t="s">
        <v>59837</v>
      </c>
      <c r="BB78" s="1" t="s">
        <v>59838</v>
      </c>
      <c r="BC78" s="1" t="s">
        <v>59839</v>
      </c>
      <c r="BD78" s="1" t="s">
        <v>59840</v>
      </c>
      <c r="BE78" s="1" t="s">
        <v>59841</v>
      </c>
      <c r="BF78" s="1" t="s">
        <v>59842</v>
      </c>
      <c r="BG78" s="1" t="s">
        <v>59843</v>
      </c>
      <c r="BH78" s="1" t="s">
        <v>59844</v>
      </c>
      <c r="BI78" s="1" t="s">
        <v>59845</v>
      </c>
      <c r="BJ78" s="1" t="s">
        <v>59846</v>
      </c>
      <c r="BK78" s="1" t="s">
        <v>59847</v>
      </c>
      <c r="BL78" s="1" t="s">
        <v>59848</v>
      </c>
      <c r="BM78" s="1" t="s">
        <v>59849</v>
      </c>
      <c r="BN78" s="1" t="s">
        <v>59850</v>
      </c>
      <c r="BO78" s="1" t="s">
        <v>59851</v>
      </c>
      <c r="BP78" s="1" t="s">
        <v>59852</v>
      </c>
      <c r="BQ78" s="1" t="s">
        <v>59853</v>
      </c>
      <c r="BR78" s="1" t="s">
        <v>59854</v>
      </c>
      <c r="BS78" s="1" t="s">
        <v>59855</v>
      </c>
      <c r="BT78" s="1" t="s">
        <v>59856</v>
      </c>
      <c r="BU78" s="1" t="s">
        <v>59857</v>
      </c>
      <c r="BV78" s="1" t="s">
        <v>59858</v>
      </c>
      <c r="BW78" s="1" t="s">
        <v>59859</v>
      </c>
      <c r="BX78" s="1" t="s">
        <v>59860</v>
      </c>
      <c r="BY78" s="1" t="s">
        <v>59861</v>
      </c>
      <c r="BZ78" s="1" t="s">
        <v>59862</v>
      </c>
      <c r="CA78" s="1" t="s">
        <v>59863</v>
      </c>
      <c r="CB78" s="1" t="s">
        <v>59864</v>
      </c>
      <c r="CC78" s="1" t="s">
        <v>59865</v>
      </c>
      <c r="CD78" s="1" t="s">
        <v>59866</v>
      </c>
      <c r="CE78" s="1" t="s">
        <v>59867</v>
      </c>
      <c r="CF78" s="1" t="s">
        <v>59868</v>
      </c>
      <c r="CG78" s="1" t="s">
        <v>59869</v>
      </c>
      <c r="CH78" s="1" t="s">
        <v>59870</v>
      </c>
      <c r="CI78" s="1" t="s">
        <v>59871</v>
      </c>
      <c r="CJ78" s="1" t="s">
        <v>59872</v>
      </c>
      <c r="CK78" s="1" t="s">
        <v>59873</v>
      </c>
      <c r="CL78" s="1" t="s">
        <v>59874</v>
      </c>
      <c r="CM78" s="1" t="s">
        <v>59875</v>
      </c>
      <c r="CN78" s="1" t="s">
        <v>59876</v>
      </c>
      <c r="CO78" s="1" t="s">
        <v>59877</v>
      </c>
      <c r="CP78" s="1" t="s">
        <v>59878</v>
      </c>
      <c r="CQ78" s="1" t="s">
        <v>59879</v>
      </c>
      <c r="CR78" s="1" t="s">
        <v>59880</v>
      </c>
      <c r="CS78" s="1" t="s">
        <v>59881</v>
      </c>
      <c r="CT78" s="1" t="s">
        <v>59882</v>
      </c>
      <c r="CU78" s="1" t="s">
        <v>59883</v>
      </c>
      <c r="CV78" s="1" t="s">
        <v>59884</v>
      </c>
      <c r="CW78" s="1" t="s">
        <v>59885</v>
      </c>
      <c r="CX78" s="1" t="s">
        <v>59886</v>
      </c>
      <c r="CY78" s="1" t="s">
        <v>59887</v>
      </c>
      <c r="CZ78" s="1" t="s">
        <v>59888</v>
      </c>
      <c r="DA78" s="1" t="s">
        <v>59889</v>
      </c>
      <c r="DB78" s="1" t="s">
        <v>59890</v>
      </c>
      <c r="DC78" s="1" t="s">
        <v>59891</v>
      </c>
      <c r="DD78" s="1" t="s">
        <v>59892</v>
      </c>
      <c r="DE78" s="1" t="s">
        <v>59893</v>
      </c>
      <c r="DF78" s="1" t="s">
        <v>59894</v>
      </c>
      <c r="DG78" s="1" t="s">
        <v>59895</v>
      </c>
      <c r="DH78" s="1" t="s">
        <v>59896</v>
      </c>
      <c r="DI78" s="1" t="s">
        <v>59897</v>
      </c>
      <c r="DJ78" s="1" t="s">
        <v>59898</v>
      </c>
      <c r="DK78" s="1" t="s">
        <v>59899</v>
      </c>
      <c r="DL78" s="1" t="s">
        <v>59900</v>
      </c>
      <c r="DM78" s="1" t="s">
        <v>59901</v>
      </c>
      <c r="DN78" s="1" t="s">
        <v>59902</v>
      </c>
      <c r="DO78" s="1" t="s">
        <v>59903</v>
      </c>
      <c r="DP78" s="1" t="s">
        <v>59904</v>
      </c>
      <c r="DQ78" s="1" t="s">
        <v>59905</v>
      </c>
      <c r="DR78" s="1" t="s">
        <v>59906</v>
      </c>
      <c r="DS78" s="1" t="s">
        <v>59907</v>
      </c>
      <c r="DT78" s="1" t="s">
        <v>59908</v>
      </c>
      <c r="DU78" s="1" t="s">
        <v>59909</v>
      </c>
      <c r="DV78" s="1" t="s">
        <v>59910</v>
      </c>
      <c r="DW78" s="1" t="s">
        <v>59911</v>
      </c>
      <c r="DX78" s="1" t="s">
        <v>59912</v>
      </c>
      <c r="DY78" s="1" t="s">
        <v>59913</v>
      </c>
      <c r="DZ78" s="1" t="s">
        <v>59914</v>
      </c>
      <c r="EA78" s="1" t="s">
        <v>59915</v>
      </c>
      <c r="EB78" s="1" t="s">
        <v>59916</v>
      </c>
      <c r="EC78" s="1" t="s">
        <v>59917</v>
      </c>
      <c r="ED78" s="1" t="s">
        <v>59918</v>
      </c>
      <c r="EE78" s="1" t="s">
        <v>59919</v>
      </c>
      <c r="EF78" s="1" t="s">
        <v>59920</v>
      </c>
      <c r="EG78" s="1" t="s">
        <v>59921</v>
      </c>
      <c r="EH78" s="1" t="s">
        <v>59922</v>
      </c>
      <c r="EI78" s="1" t="s">
        <v>59923</v>
      </c>
      <c r="EJ78" s="1" t="s">
        <v>59924</v>
      </c>
      <c r="EK78" s="1" t="s">
        <v>59925</v>
      </c>
      <c r="EL78" s="1" t="s">
        <v>59926</v>
      </c>
      <c r="EM78" s="1" t="s">
        <v>59927</v>
      </c>
      <c r="EN78" s="1" t="s">
        <v>59928</v>
      </c>
      <c r="EO78" s="1" t="s">
        <v>59929</v>
      </c>
      <c r="EP78" s="1" t="s">
        <v>59930</v>
      </c>
      <c r="EQ78" s="1" t="s">
        <v>59931</v>
      </c>
      <c r="ER78" s="1" t="s">
        <v>59932</v>
      </c>
      <c r="ES78" s="1" t="s">
        <v>59933</v>
      </c>
      <c r="ET78" s="1" t="s">
        <v>59934</v>
      </c>
      <c r="EU78" s="1" t="s">
        <v>59935</v>
      </c>
      <c r="EV78" s="1" t="s">
        <v>59936</v>
      </c>
      <c r="EW78" s="1" t="s">
        <v>59937</v>
      </c>
      <c r="EX78" s="1" t="s">
        <v>59938</v>
      </c>
      <c r="EY78" s="1" t="s">
        <v>59939</v>
      </c>
      <c r="EZ78" s="1" t="s">
        <v>59940</v>
      </c>
      <c r="FA78" s="1" t="s">
        <v>59941</v>
      </c>
      <c r="FB78" s="1" t="s">
        <v>59942</v>
      </c>
      <c r="FC78" s="1" t="s">
        <v>59943</v>
      </c>
      <c r="FD78" s="1" t="s">
        <v>59944</v>
      </c>
      <c r="FE78" s="1" t="s">
        <v>59945</v>
      </c>
      <c r="FF78" s="1" t="s">
        <v>59946</v>
      </c>
      <c r="FG78" s="1" t="s">
        <v>59947</v>
      </c>
      <c r="FH78" s="1" t="s">
        <v>59948</v>
      </c>
      <c r="FI78" s="1" t="s">
        <v>59949</v>
      </c>
      <c r="FJ78" s="1" t="s">
        <v>59950</v>
      </c>
      <c r="FK78" s="1" t="s">
        <v>59951</v>
      </c>
      <c r="FL78" s="1" t="s">
        <v>59952</v>
      </c>
      <c r="FM78" s="1" t="s">
        <v>59953</v>
      </c>
      <c r="FN78" s="1" t="s">
        <v>59954</v>
      </c>
      <c r="FO78" s="1" t="s">
        <v>59955</v>
      </c>
      <c r="FP78" s="1" t="s">
        <v>59956</v>
      </c>
      <c r="FQ78" s="1" t="s">
        <v>59957</v>
      </c>
      <c r="FR78" s="1" t="s">
        <v>59958</v>
      </c>
      <c r="FS78" s="1" t="s">
        <v>59959</v>
      </c>
      <c r="FT78" s="1" t="s">
        <v>59960</v>
      </c>
      <c r="FU78" s="1" t="s">
        <v>59961</v>
      </c>
      <c r="FV78" s="1" t="s">
        <v>59962</v>
      </c>
      <c r="FW78" s="1" t="s">
        <v>59963</v>
      </c>
      <c r="FX78" s="1" t="s">
        <v>59964</v>
      </c>
      <c r="FY78" s="1" t="s">
        <v>59965</v>
      </c>
      <c r="FZ78" s="1" t="s">
        <v>59966</v>
      </c>
      <c r="GA78" s="1" t="s">
        <v>59967</v>
      </c>
      <c r="GB78" s="1" t="s">
        <v>59968</v>
      </c>
      <c r="GC78" s="1" t="s">
        <v>59969</v>
      </c>
      <c r="GD78" s="1" t="s">
        <v>59970</v>
      </c>
      <c r="GE78" s="1" t="s">
        <v>59971</v>
      </c>
      <c r="GF78" s="1" t="s">
        <v>59972</v>
      </c>
      <c r="GG78" s="1" t="s">
        <v>59973</v>
      </c>
      <c r="GH78" s="1" t="s">
        <v>59974</v>
      </c>
      <c r="GI78" s="1" t="s">
        <v>59975</v>
      </c>
      <c r="GJ78" s="1" t="s">
        <v>59976</v>
      </c>
      <c r="GK78" s="1" t="s">
        <v>59977</v>
      </c>
      <c r="GL78" s="1" t="s">
        <v>59978</v>
      </c>
      <c r="GM78" s="1" t="s">
        <v>59979</v>
      </c>
      <c r="GN78" s="1" t="s">
        <v>59980</v>
      </c>
      <c r="GO78" s="1" t="s">
        <v>59981</v>
      </c>
      <c r="GP78" s="1" t="s">
        <v>59982</v>
      </c>
      <c r="GQ78" s="1" t="s">
        <v>59983</v>
      </c>
      <c r="GR78" s="1" t="s">
        <v>59984</v>
      </c>
      <c r="GS78" s="1" t="s">
        <v>59985</v>
      </c>
      <c r="GT78" s="1" t="s">
        <v>59986</v>
      </c>
      <c r="GU78" s="1" t="s">
        <v>59987</v>
      </c>
      <c r="GV78" s="1" t="s">
        <v>59988</v>
      </c>
      <c r="GW78" s="1" t="s">
        <v>59989</v>
      </c>
      <c r="GX78" s="1" t="s">
        <v>59990</v>
      </c>
      <c r="GY78" s="1" t="s">
        <v>59991</v>
      </c>
      <c r="GZ78" s="1" t="s">
        <v>59992</v>
      </c>
      <c r="HA78" s="1" t="s">
        <v>59993</v>
      </c>
      <c r="HB78" s="1" t="s">
        <v>59994</v>
      </c>
      <c r="HC78" s="1" t="s">
        <v>59995</v>
      </c>
      <c r="HD78" s="1" t="s">
        <v>59996</v>
      </c>
      <c r="HE78" s="1" t="s">
        <v>59997</v>
      </c>
      <c r="HF78" s="1" t="s">
        <v>59998</v>
      </c>
      <c r="HG78" s="1" t="s">
        <v>59999</v>
      </c>
      <c r="HH78" s="1" t="s">
        <v>60000</v>
      </c>
      <c r="HI78" s="1" t="s">
        <v>60001</v>
      </c>
      <c r="HJ78" s="1" t="s">
        <v>60002</v>
      </c>
      <c r="HK78" s="1" t="s">
        <v>60003</v>
      </c>
      <c r="HL78" s="1" t="s">
        <v>60004</v>
      </c>
      <c r="HM78" s="1" t="s">
        <v>60005</v>
      </c>
      <c r="HN78" s="1" t="s">
        <v>60006</v>
      </c>
      <c r="HO78" s="1" t="s">
        <v>60007</v>
      </c>
      <c r="HP78" s="1" t="s">
        <v>60008</v>
      </c>
      <c r="HQ78" s="1" t="s">
        <v>60009</v>
      </c>
      <c r="HR78" s="1" t="s">
        <v>60010</v>
      </c>
      <c r="HS78" s="1" t="s">
        <v>60011</v>
      </c>
      <c r="HT78" s="1" t="s">
        <v>60012</v>
      </c>
      <c r="HU78" s="1" t="s">
        <v>60013</v>
      </c>
      <c r="HV78" s="1" t="s">
        <v>60014</v>
      </c>
      <c r="HW78" s="1" t="s">
        <v>60015</v>
      </c>
      <c r="HX78" s="1" t="s">
        <v>60016</v>
      </c>
      <c r="HY78" s="1" t="s">
        <v>60017</v>
      </c>
      <c r="HZ78" s="1" t="s">
        <v>60018</v>
      </c>
      <c r="IA78" s="1" t="s">
        <v>60019</v>
      </c>
      <c r="IB78" s="1" t="s">
        <v>60020</v>
      </c>
      <c r="IC78" s="1" t="s">
        <v>60021</v>
      </c>
      <c r="ID78" s="1" t="s">
        <v>60022</v>
      </c>
      <c r="IE78" s="1" t="s">
        <v>60023</v>
      </c>
      <c r="IF78" s="1" t="s">
        <v>60024</v>
      </c>
      <c r="IG78" s="1" t="s">
        <v>60025</v>
      </c>
      <c r="IH78" s="1" t="s">
        <v>60026</v>
      </c>
      <c r="II78" s="1" t="s">
        <v>60027</v>
      </c>
      <c r="IJ78" s="1" t="s">
        <v>60028</v>
      </c>
      <c r="IK78" s="1" t="s">
        <v>60029</v>
      </c>
      <c r="IL78" s="1" t="s">
        <v>60030</v>
      </c>
      <c r="IM78" s="1" t="s">
        <v>60031</v>
      </c>
      <c r="IN78" s="1" t="s">
        <v>60032</v>
      </c>
      <c r="IO78" s="1" t="s">
        <v>60033</v>
      </c>
      <c r="IP78" s="1" t="s">
        <v>60034</v>
      </c>
      <c r="IQ78" s="1" t="s">
        <v>60035</v>
      </c>
      <c r="IR78" s="1" t="s">
        <v>60036</v>
      </c>
      <c r="IS78" s="1" t="s">
        <v>60037</v>
      </c>
      <c r="IT78" s="1" t="s">
        <v>60038</v>
      </c>
      <c r="IU78" s="1" t="s">
        <v>60039</v>
      </c>
      <c r="IV78" s="1" t="s">
        <v>60040</v>
      </c>
      <c r="IW78" s="1" t="s">
        <v>60041</v>
      </c>
      <c r="IX78" s="1" t="s">
        <v>60042</v>
      </c>
      <c r="IY78" s="1" t="s">
        <v>60043</v>
      </c>
      <c r="IZ78" s="1" t="s">
        <v>60044</v>
      </c>
      <c r="JA78" s="1" t="s">
        <v>60045</v>
      </c>
      <c r="JB78" s="1" t="s">
        <v>60046</v>
      </c>
      <c r="JC78" s="1" t="s">
        <v>60047</v>
      </c>
      <c r="JD78" s="1" t="s">
        <v>60048</v>
      </c>
      <c r="JE78" s="1" t="s">
        <v>60049</v>
      </c>
      <c r="JF78" s="1" t="s">
        <v>60050</v>
      </c>
      <c r="JG78" s="1" t="s">
        <v>60051</v>
      </c>
      <c r="JH78" s="1" t="s">
        <v>60052</v>
      </c>
      <c r="JI78" s="1" t="s">
        <v>60053</v>
      </c>
      <c r="JJ78" s="1" t="s">
        <v>60054</v>
      </c>
      <c r="JK78" s="1" t="s">
        <v>60055</v>
      </c>
      <c r="JL78" s="1" t="s">
        <v>60056</v>
      </c>
      <c r="JM78" s="1" t="s">
        <v>60057</v>
      </c>
      <c r="JN78" s="1" t="s">
        <v>60058</v>
      </c>
      <c r="JO78" s="1" t="s">
        <v>60059</v>
      </c>
      <c r="JP78" s="1" t="s">
        <v>60060</v>
      </c>
      <c r="JQ78" s="1" t="s">
        <v>60061</v>
      </c>
      <c r="JR78" s="1" t="s">
        <v>60062</v>
      </c>
      <c r="JS78" s="1" t="s">
        <v>60063</v>
      </c>
      <c r="JT78" s="1" t="s">
        <v>60064</v>
      </c>
      <c r="JU78" s="1" t="s">
        <v>60065</v>
      </c>
      <c r="JV78" s="1" t="s">
        <v>60066</v>
      </c>
      <c r="JW78" s="1" t="s">
        <v>60067</v>
      </c>
      <c r="JX78" s="1" t="s">
        <v>60068</v>
      </c>
      <c r="JY78" s="1" t="s">
        <v>60069</v>
      </c>
      <c r="JZ78" s="1" t="s">
        <v>60070</v>
      </c>
      <c r="KA78" s="1" t="s">
        <v>60071</v>
      </c>
      <c r="KB78" s="1" t="s">
        <v>60072</v>
      </c>
      <c r="KC78" s="1" t="s">
        <v>60073</v>
      </c>
      <c r="KD78" s="1" t="s">
        <v>60074</v>
      </c>
      <c r="KE78" s="1" t="s">
        <v>60075</v>
      </c>
      <c r="KF78" s="1" t="s">
        <v>60076</v>
      </c>
      <c r="KG78" s="1" t="s">
        <v>60077</v>
      </c>
      <c r="KH78" s="1" t="s">
        <v>60078</v>
      </c>
      <c r="KI78" s="1" t="s">
        <v>60079</v>
      </c>
      <c r="KJ78" s="1" t="s">
        <v>60080</v>
      </c>
      <c r="KK78" s="1" t="s">
        <v>60081</v>
      </c>
      <c r="KL78" s="1" t="s">
        <v>60082</v>
      </c>
      <c r="KM78" s="1" t="s">
        <v>60083</v>
      </c>
      <c r="KN78" s="1" t="s">
        <v>60084</v>
      </c>
      <c r="KO78" s="1" t="s">
        <v>60085</v>
      </c>
      <c r="KP78" s="1" t="s">
        <v>60086</v>
      </c>
      <c r="KQ78" s="1" t="s">
        <v>60087</v>
      </c>
      <c r="KR78" s="1" t="s">
        <v>60088</v>
      </c>
      <c r="KS78" s="1" t="s">
        <v>60089</v>
      </c>
      <c r="KT78" s="1" t="s">
        <v>60090</v>
      </c>
      <c r="KU78" s="1" t="s">
        <v>60091</v>
      </c>
      <c r="KV78" s="1" t="s">
        <v>60092</v>
      </c>
      <c r="KW78" s="1" t="s">
        <v>60093</v>
      </c>
      <c r="KX78" s="1" t="s">
        <v>60094</v>
      </c>
      <c r="KY78" s="1" t="s">
        <v>60095</v>
      </c>
      <c r="KZ78" s="1" t="s">
        <v>60096</v>
      </c>
      <c r="LA78" s="1" t="s">
        <v>60097</v>
      </c>
      <c r="LB78" s="1" t="s">
        <v>60098</v>
      </c>
      <c r="LC78" s="1" t="s">
        <v>60099</v>
      </c>
      <c r="LD78" s="1" t="s">
        <v>60100</v>
      </c>
      <c r="LE78" s="1" t="s">
        <v>60101</v>
      </c>
      <c r="LF78" s="1" t="s">
        <v>60102</v>
      </c>
      <c r="LG78" s="1" t="s">
        <v>60103</v>
      </c>
      <c r="LH78" s="1" t="s">
        <v>60104</v>
      </c>
      <c r="LI78" s="1" t="s">
        <v>60105</v>
      </c>
      <c r="LJ78" s="1" t="s">
        <v>60106</v>
      </c>
      <c r="LK78" s="1" t="s">
        <v>60107</v>
      </c>
      <c r="LL78" s="1" t="s">
        <v>60108</v>
      </c>
      <c r="LM78" s="1" t="s">
        <v>60109</v>
      </c>
      <c r="LN78" s="1" t="s">
        <v>60110</v>
      </c>
      <c r="LO78" s="1" t="s">
        <v>60111</v>
      </c>
      <c r="LP78" s="1" t="s">
        <v>60112</v>
      </c>
      <c r="LQ78" s="1" t="s">
        <v>60113</v>
      </c>
      <c r="LR78" s="1" t="s">
        <v>60114</v>
      </c>
      <c r="LS78" s="1" t="s">
        <v>60115</v>
      </c>
      <c r="LT78" s="1" t="s">
        <v>60116</v>
      </c>
      <c r="LU78" s="1" t="s">
        <v>60117</v>
      </c>
      <c r="LV78" s="1" t="s">
        <v>60118</v>
      </c>
      <c r="LW78" s="1" t="s">
        <v>60119</v>
      </c>
      <c r="LX78" s="1" t="s">
        <v>60120</v>
      </c>
      <c r="LY78" s="1" t="s">
        <v>60121</v>
      </c>
      <c r="LZ78" s="1" t="s">
        <v>60122</v>
      </c>
      <c r="MA78" s="1" t="s">
        <v>60123</v>
      </c>
      <c r="MB78" s="1" t="s">
        <v>60124</v>
      </c>
      <c r="MC78" s="1" t="s">
        <v>60125</v>
      </c>
      <c r="MD78" s="1" t="s">
        <v>60126</v>
      </c>
      <c r="ME78" s="1" t="s">
        <v>60127</v>
      </c>
      <c r="MF78" s="1" t="s">
        <v>60128</v>
      </c>
      <c r="MG78" s="1" t="s">
        <v>60129</v>
      </c>
      <c r="MH78" s="1" t="s">
        <v>60130</v>
      </c>
      <c r="MI78" s="1" t="s">
        <v>60131</v>
      </c>
      <c r="MJ78" s="1" t="s">
        <v>60132</v>
      </c>
      <c r="MK78" s="1" t="s">
        <v>60133</v>
      </c>
      <c r="ML78" s="1" t="s">
        <v>60134</v>
      </c>
      <c r="MM78" s="1" t="s">
        <v>60135</v>
      </c>
      <c r="MN78" s="1" t="s">
        <v>60136</v>
      </c>
      <c r="MO78" s="1" t="s">
        <v>60137</v>
      </c>
      <c r="MP78" s="1" t="s">
        <v>60138</v>
      </c>
      <c r="MQ78" s="1" t="s">
        <v>60139</v>
      </c>
      <c r="MR78" s="1" t="s">
        <v>60140</v>
      </c>
      <c r="MS78" s="1" t="s">
        <v>60141</v>
      </c>
      <c r="MT78" s="1" t="s">
        <v>60142</v>
      </c>
      <c r="MU78" s="1" t="s">
        <v>60143</v>
      </c>
      <c r="MV78" s="1" t="s">
        <v>60144</v>
      </c>
      <c r="MW78" s="1" t="s">
        <v>60145</v>
      </c>
      <c r="MX78" s="1" t="s">
        <v>60146</v>
      </c>
      <c r="MY78" s="1" t="s">
        <v>60147</v>
      </c>
      <c r="MZ78" s="1" t="s">
        <v>60148</v>
      </c>
      <c r="NA78" s="1" t="s">
        <v>60149</v>
      </c>
      <c r="NB78" s="1" t="s">
        <v>60150</v>
      </c>
      <c r="NC78" s="1" t="s">
        <v>60151</v>
      </c>
      <c r="ND78" s="1" t="s">
        <v>60152</v>
      </c>
      <c r="NE78" s="1" t="s">
        <v>60153</v>
      </c>
      <c r="NF78" s="1" t="s">
        <v>60154</v>
      </c>
      <c r="NG78" s="1" t="s">
        <v>60155</v>
      </c>
      <c r="NH78" s="1" t="s">
        <v>60156</v>
      </c>
      <c r="NI78" s="1" t="s">
        <v>60157</v>
      </c>
      <c r="NJ78" s="1" t="s">
        <v>60158</v>
      </c>
      <c r="NK78" s="1" t="s">
        <v>60159</v>
      </c>
      <c r="NL78" s="1" t="s">
        <v>60160</v>
      </c>
      <c r="NM78" s="1" t="s">
        <v>60161</v>
      </c>
      <c r="NN78" s="1" t="s">
        <v>60162</v>
      </c>
      <c r="NO78" s="1" t="s">
        <v>60163</v>
      </c>
      <c r="NP78" s="1" t="s">
        <v>60164</v>
      </c>
      <c r="NQ78" s="1" t="s">
        <v>60165</v>
      </c>
      <c r="NR78" s="1" t="s">
        <v>60166</v>
      </c>
      <c r="NS78" s="1" t="s">
        <v>60167</v>
      </c>
      <c r="NT78" s="1" t="s">
        <v>60168</v>
      </c>
      <c r="NU78" s="1" t="s">
        <v>60169</v>
      </c>
      <c r="NV78" s="1" t="s">
        <v>60170</v>
      </c>
      <c r="NW78" s="1" t="s">
        <v>60171</v>
      </c>
      <c r="NX78" s="1" t="s">
        <v>60172</v>
      </c>
      <c r="NY78" s="1" t="s">
        <v>60173</v>
      </c>
      <c r="NZ78" s="1" t="s">
        <v>60174</v>
      </c>
      <c r="OA78" s="1" t="s">
        <v>60175</v>
      </c>
      <c r="OB78" s="1" t="s">
        <v>60176</v>
      </c>
      <c r="OC78" s="1" t="s">
        <v>60177</v>
      </c>
      <c r="OD78" s="1" t="s">
        <v>60178</v>
      </c>
      <c r="OE78" s="1" t="s">
        <v>60179</v>
      </c>
      <c r="OF78" s="1" t="s">
        <v>60180</v>
      </c>
      <c r="OG78" s="1" t="s">
        <v>60181</v>
      </c>
      <c r="OH78" s="1" t="s">
        <v>60182</v>
      </c>
      <c r="OI78" s="1" t="s">
        <v>60183</v>
      </c>
      <c r="OJ78" s="1" t="s">
        <v>60184</v>
      </c>
      <c r="OK78" s="1" t="s">
        <v>60185</v>
      </c>
      <c r="OL78" s="1" t="s">
        <v>60186</v>
      </c>
      <c r="OM78" s="1" t="s">
        <v>60187</v>
      </c>
      <c r="ON78" s="1" t="s">
        <v>60188</v>
      </c>
      <c r="OO78" s="1" t="s">
        <v>60189</v>
      </c>
      <c r="OP78" s="1" t="s">
        <v>60190</v>
      </c>
      <c r="OQ78" s="1" t="s">
        <v>60191</v>
      </c>
      <c r="OR78" s="1" t="s">
        <v>60192</v>
      </c>
      <c r="OS78" s="1" t="s">
        <v>60193</v>
      </c>
      <c r="OT78" s="1" t="s">
        <v>60194</v>
      </c>
      <c r="OU78" s="1" t="s">
        <v>60195</v>
      </c>
      <c r="OV78" s="1" t="s">
        <v>60196</v>
      </c>
      <c r="OW78" s="1" t="s">
        <v>60197</v>
      </c>
      <c r="OX78" s="1" t="s">
        <v>60198</v>
      </c>
      <c r="OY78" s="1" t="s">
        <v>60199</v>
      </c>
      <c r="OZ78" s="1" t="s">
        <v>60200</v>
      </c>
      <c r="PA78" s="1" t="s">
        <v>60201</v>
      </c>
      <c r="PB78" s="1" t="s">
        <v>60202</v>
      </c>
      <c r="PC78" s="1" t="s">
        <v>60203</v>
      </c>
      <c r="PD78" s="1" t="s">
        <v>60204</v>
      </c>
      <c r="PE78" s="1" t="s">
        <v>60205</v>
      </c>
      <c r="PF78" s="1" t="s">
        <v>60206</v>
      </c>
      <c r="PG78" s="1" t="s">
        <v>60207</v>
      </c>
      <c r="PH78" s="1" t="s">
        <v>60208</v>
      </c>
      <c r="PI78" s="1" t="s">
        <v>60209</v>
      </c>
      <c r="PJ78" s="1" t="s">
        <v>60210</v>
      </c>
      <c r="PK78" s="1" t="s">
        <v>60211</v>
      </c>
      <c r="PL78" s="1" t="s">
        <v>60212</v>
      </c>
      <c r="PM78" s="1" t="s">
        <v>60213</v>
      </c>
      <c r="PN78" s="1" t="s">
        <v>60214</v>
      </c>
      <c r="PO78" s="1" t="s">
        <v>60215</v>
      </c>
      <c r="PP78" s="1" t="s">
        <v>60216</v>
      </c>
      <c r="PQ78" s="1" t="s">
        <v>60217</v>
      </c>
      <c r="PR78" s="1" t="s">
        <v>60218</v>
      </c>
      <c r="PS78" s="1" t="s">
        <v>60219</v>
      </c>
      <c r="PT78" s="1" t="s">
        <v>60220</v>
      </c>
      <c r="PU78" s="1" t="s">
        <v>60221</v>
      </c>
      <c r="PV78" s="1" t="s">
        <v>60222</v>
      </c>
      <c r="PW78" s="1" t="s">
        <v>60223</v>
      </c>
      <c r="PX78" s="1" t="s">
        <v>60224</v>
      </c>
      <c r="PY78" s="1" t="s">
        <v>60225</v>
      </c>
      <c r="PZ78" s="1" t="s">
        <v>60226</v>
      </c>
      <c r="QA78" s="1" t="s">
        <v>60227</v>
      </c>
      <c r="QB78" s="1" t="s">
        <v>60228</v>
      </c>
      <c r="QC78" s="1" t="s">
        <v>60229</v>
      </c>
      <c r="QD78" s="1" t="s">
        <v>60230</v>
      </c>
      <c r="QE78" s="1" t="s">
        <v>60231</v>
      </c>
      <c r="QF78" s="1" t="s">
        <v>60232</v>
      </c>
      <c r="QG78" s="1" t="s">
        <v>60233</v>
      </c>
      <c r="QH78" s="1" t="s">
        <v>60234</v>
      </c>
      <c r="QI78" s="1" t="s">
        <v>60235</v>
      </c>
      <c r="QJ78" s="1" t="s">
        <v>60236</v>
      </c>
      <c r="QK78" s="1" t="s">
        <v>60237</v>
      </c>
      <c r="QL78" s="1" t="s">
        <v>60238</v>
      </c>
      <c r="QM78" s="1" t="s">
        <v>60239</v>
      </c>
      <c r="QN78" s="1" t="s">
        <v>60240</v>
      </c>
      <c r="QO78" s="1" t="s">
        <v>60241</v>
      </c>
      <c r="QP78" s="1" t="s">
        <v>60242</v>
      </c>
      <c r="QQ78" s="1" t="s">
        <v>60243</v>
      </c>
      <c r="QR78" s="1" t="s">
        <v>60244</v>
      </c>
      <c r="QS78" s="1" t="s">
        <v>60245</v>
      </c>
      <c r="QT78" s="1" t="s">
        <v>60246</v>
      </c>
      <c r="QU78" s="1" t="s">
        <v>60247</v>
      </c>
      <c r="QV78" s="1" t="s">
        <v>60248</v>
      </c>
      <c r="QW78" s="1" t="s">
        <v>60249</v>
      </c>
      <c r="QX78" s="1" t="s">
        <v>60250</v>
      </c>
      <c r="QY78" s="1" t="s">
        <v>60251</v>
      </c>
      <c r="QZ78" s="1" t="s">
        <v>60252</v>
      </c>
      <c r="RA78" s="1" t="s">
        <v>60253</v>
      </c>
      <c r="RB78" s="1" t="s">
        <v>60254</v>
      </c>
      <c r="RC78" s="1" t="s">
        <v>60255</v>
      </c>
      <c r="RD78" s="1" t="s">
        <v>60256</v>
      </c>
      <c r="RE78" s="1" t="s">
        <v>60257</v>
      </c>
      <c r="RF78" s="1" t="s">
        <v>60258</v>
      </c>
      <c r="RG78" s="1" t="s">
        <v>60259</v>
      </c>
      <c r="RH78" s="1" t="s">
        <v>60260</v>
      </c>
      <c r="RI78" s="1" t="s">
        <v>60261</v>
      </c>
      <c r="RJ78" s="1" t="s">
        <v>60262</v>
      </c>
      <c r="RK78" s="1" t="s">
        <v>60263</v>
      </c>
      <c r="RL78" s="1" t="s">
        <v>60264</v>
      </c>
      <c r="RM78" s="1" t="s">
        <v>60265</v>
      </c>
      <c r="RN78" s="1" t="s">
        <v>60266</v>
      </c>
      <c r="RO78" s="1" t="s">
        <v>60267</v>
      </c>
      <c r="RP78" s="1" t="s">
        <v>60268</v>
      </c>
      <c r="RQ78" s="1" t="s">
        <v>60269</v>
      </c>
      <c r="RR78" s="1" t="s">
        <v>60270</v>
      </c>
      <c r="RS78" s="1" t="s">
        <v>60271</v>
      </c>
      <c r="RT78" s="1" t="s">
        <v>60272</v>
      </c>
      <c r="RU78" s="1" t="s">
        <v>60273</v>
      </c>
      <c r="RV78" s="1" t="s">
        <v>60274</v>
      </c>
      <c r="RW78" s="1" t="s">
        <v>60275</v>
      </c>
      <c r="RX78" s="1" t="s">
        <v>60276</v>
      </c>
      <c r="RY78" s="1" t="s">
        <v>60277</v>
      </c>
      <c r="RZ78" s="1" t="s">
        <v>60278</v>
      </c>
      <c r="SA78" s="1" t="s">
        <v>60279</v>
      </c>
      <c r="SB78" s="1" t="s">
        <v>60280</v>
      </c>
      <c r="SC78" s="1" t="s">
        <v>60281</v>
      </c>
      <c r="SD78" s="1" t="s">
        <v>60282</v>
      </c>
      <c r="SE78" s="1" t="s">
        <v>60283</v>
      </c>
      <c r="SF78" s="1" t="s">
        <v>60284</v>
      </c>
      <c r="SG78" s="1" t="s">
        <v>60285</v>
      </c>
      <c r="SH78" s="1" t="s">
        <v>60286</v>
      </c>
      <c r="SI78" s="1" t="s">
        <v>60287</v>
      </c>
      <c r="SJ78" s="1" t="s">
        <v>60288</v>
      </c>
      <c r="SK78" s="1" t="s">
        <v>60289</v>
      </c>
      <c r="SL78" s="1" t="s">
        <v>60290</v>
      </c>
      <c r="SM78" s="1" t="s">
        <v>60291</v>
      </c>
      <c r="SN78" s="1" t="s">
        <v>60292</v>
      </c>
      <c r="SO78" s="1" t="s">
        <v>60293</v>
      </c>
      <c r="SP78" s="1" t="s">
        <v>60294</v>
      </c>
      <c r="SQ78" s="1" t="s">
        <v>60295</v>
      </c>
      <c r="SR78" s="1" t="s">
        <v>60296</v>
      </c>
      <c r="SS78" s="1" t="s">
        <v>60297</v>
      </c>
      <c r="ST78" s="1" t="s">
        <v>60298</v>
      </c>
      <c r="SU78" s="1" t="s">
        <v>60299</v>
      </c>
      <c r="SV78" s="1" t="s">
        <v>60300</v>
      </c>
      <c r="SW78" s="1" t="s">
        <v>60301</v>
      </c>
      <c r="SX78" s="1" t="s">
        <v>60302</v>
      </c>
      <c r="SY78" s="1" t="s">
        <v>60303</v>
      </c>
      <c r="SZ78" s="1" t="s">
        <v>60304</v>
      </c>
      <c r="TA78" s="1" t="s">
        <v>60305</v>
      </c>
      <c r="TB78" s="1" t="s">
        <v>60306</v>
      </c>
      <c r="TC78" s="1" t="s">
        <v>60307</v>
      </c>
      <c r="TD78" s="1" t="s">
        <v>60308</v>
      </c>
      <c r="TE78" s="1" t="s">
        <v>60309</v>
      </c>
      <c r="TF78" s="1" t="s">
        <v>60310</v>
      </c>
      <c r="TG78" s="1" t="s">
        <v>60311</v>
      </c>
      <c r="TH78" s="1" t="s">
        <v>60312</v>
      </c>
      <c r="TI78" s="1" t="s">
        <v>60313</v>
      </c>
      <c r="TJ78" s="1" t="s">
        <v>60314</v>
      </c>
      <c r="TK78" s="1" t="s">
        <v>60315</v>
      </c>
      <c r="TL78" s="1" t="s">
        <v>60316</v>
      </c>
      <c r="TM78" s="1" t="s">
        <v>60317</v>
      </c>
      <c r="TN78" s="1" t="s">
        <v>60318</v>
      </c>
      <c r="TO78" s="1" t="s">
        <v>60319</v>
      </c>
      <c r="TP78" s="1" t="s">
        <v>60320</v>
      </c>
      <c r="TQ78" s="1" t="s">
        <v>60321</v>
      </c>
      <c r="TR78" s="1" t="s">
        <v>60322</v>
      </c>
      <c r="TS78" s="1" t="s">
        <v>60323</v>
      </c>
      <c r="TT78" s="1" t="s">
        <v>60324</v>
      </c>
      <c r="TU78" s="1" t="s">
        <v>60325</v>
      </c>
      <c r="TV78" s="1" t="s">
        <v>60326</v>
      </c>
      <c r="TW78" s="1" t="s">
        <v>60327</v>
      </c>
      <c r="TX78" s="1" t="s">
        <v>60328</v>
      </c>
      <c r="TY78" s="1" t="s">
        <v>60329</v>
      </c>
      <c r="TZ78" s="1" t="s">
        <v>60330</v>
      </c>
      <c r="UA78" s="1" t="s">
        <v>60331</v>
      </c>
      <c r="UB78" s="1" t="s">
        <v>60332</v>
      </c>
      <c r="UC78" s="1" t="s">
        <v>60333</v>
      </c>
      <c r="UD78" s="1" t="s">
        <v>60334</v>
      </c>
      <c r="UE78" s="1" t="s">
        <v>60335</v>
      </c>
      <c r="UF78" s="1" t="s">
        <v>60336</v>
      </c>
      <c r="UG78" s="1" t="s">
        <v>60337</v>
      </c>
      <c r="UH78" s="1" t="s">
        <v>60338</v>
      </c>
      <c r="UI78" s="1" t="s">
        <v>60339</v>
      </c>
      <c r="UJ78" s="1" t="s">
        <v>60340</v>
      </c>
      <c r="UK78" s="1" t="s">
        <v>60341</v>
      </c>
      <c r="UL78" s="1" t="s">
        <v>60342</v>
      </c>
      <c r="UM78" s="1" t="s">
        <v>60343</v>
      </c>
      <c r="UN78" s="1" t="s">
        <v>60344</v>
      </c>
      <c r="UO78" s="1" t="s">
        <v>60345</v>
      </c>
      <c r="UP78" s="1" t="s">
        <v>60346</v>
      </c>
      <c r="UQ78" s="1" t="s">
        <v>60347</v>
      </c>
      <c r="UR78" s="1" t="s">
        <v>60348</v>
      </c>
      <c r="US78" s="1" t="s">
        <v>60349</v>
      </c>
      <c r="UT78" s="1" t="s">
        <v>60350</v>
      </c>
      <c r="UU78" s="1" t="s">
        <v>60351</v>
      </c>
      <c r="UV78" s="1" t="s">
        <v>60352</v>
      </c>
      <c r="UW78" s="1" t="s">
        <v>60353</v>
      </c>
      <c r="UX78" s="1" t="s">
        <v>60354</v>
      </c>
      <c r="UY78" s="1" t="s">
        <v>60355</v>
      </c>
      <c r="UZ78" s="1" t="s">
        <v>60356</v>
      </c>
      <c r="VA78" s="1" t="s">
        <v>60357</v>
      </c>
      <c r="VB78" s="1" t="s">
        <v>60358</v>
      </c>
      <c r="VC78" s="1" t="s">
        <v>60359</v>
      </c>
      <c r="VD78" s="1" t="s">
        <v>60360</v>
      </c>
      <c r="VE78" s="1" t="s">
        <v>60361</v>
      </c>
      <c r="VF78" s="1" t="s">
        <v>60362</v>
      </c>
      <c r="VG78" s="1" t="s">
        <v>60363</v>
      </c>
      <c r="VH78" s="1" t="s">
        <v>60364</v>
      </c>
      <c r="VI78" s="1" t="s">
        <v>60365</v>
      </c>
      <c r="VJ78" s="1" t="s">
        <v>60366</v>
      </c>
      <c r="VK78" s="1" t="s">
        <v>60367</v>
      </c>
      <c r="VL78" s="1" t="s">
        <v>60368</v>
      </c>
      <c r="VM78" s="1" t="s">
        <v>60369</v>
      </c>
      <c r="VN78" s="1" t="s">
        <v>60370</v>
      </c>
      <c r="VO78" s="1" t="s">
        <v>60371</v>
      </c>
      <c r="VP78" s="1" t="s">
        <v>60372</v>
      </c>
      <c r="VQ78" s="1" t="s">
        <v>60373</v>
      </c>
      <c r="VR78" s="1" t="s">
        <v>60374</v>
      </c>
      <c r="VS78" s="1" t="s">
        <v>60375</v>
      </c>
      <c r="VT78" s="1" t="s">
        <v>60376</v>
      </c>
      <c r="VU78" s="1" t="s">
        <v>60377</v>
      </c>
      <c r="VV78" s="1" t="s">
        <v>60378</v>
      </c>
      <c r="VW78" s="1" t="s">
        <v>60379</v>
      </c>
      <c r="VX78" s="1" t="s">
        <v>60380</v>
      </c>
      <c r="VY78" s="1" t="s">
        <v>60381</v>
      </c>
      <c r="VZ78" s="1" t="s">
        <v>60382</v>
      </c>
      <c r="WA78" s="1" t="s">
        <v>60383</v>
      </c>
      <c r="WB78" s="1" t="s">
        <v>60384</v>
      </c>
      <c r="WC78" s="1" t="s">
        <v>60385</v>
      </c>
      <c r="WD78" s="1" t="s">
        <v>60386</v>
      </c>
      <c r="WE78" s="1" t="s">
        <v>60387</v>
      </c>
      <c r="WF78" s="1" t="s">
        <v>60388</v>
      </c>
      <c r="WG78" s="1" t="s">
        <v>60389</v>
      </c>
      <c r="WH78" s="1" t="s">
        <v>60390</v>
      </c>
      <c r="WI78" s="1" t="s">
        <v>60391</v>
      </c>
      <c r="WJ78" s="1" t="s">
        <v>60392</v>
      </c>
      <c r="WK78" s="1" t="s">
        <v>60393</v>
      </c>
      <c r="WL78" s="1" t="s">
        <v>60394</v>
      </c>
      <c r="WM78" s="1" t="s">
        <v>60395</v>
      </c>
      <c r="WN78" s="1" t="s">
        <v>60396</v>
      </c>
      <c r="WO78" s="1" t="s">
        <v>60397</v>
      </c>
      <c r="WP78" s="1" t="s">
        <v>60398</v>
      </c>
      <c r="WQ78" s="1" t="s">
        <v>60399</v>
      </c>
      <c r="WR78" s="1" t="s">
        <v>60400</v>
      </c>
      <c r="WS78" s="1" t="s">
        <v>60401</v>
      </c>
      <c r="WT78" s="1" t="s">
        <v>60402</v>
      </c>
      <c r="WU78" s="1" t="s">
        <v>60403</v>
      </c>
      <c r="WV78" s="1" t="s">
        <v>60404</v>
      </c>
      <c r="WW78" s="1" t="s">
        <v>60405</v>
      </c>
      <c r="WX78" s="1" t="s">
        <v>60406</v>
      </c>
      <c r="WY78" s="1" t="s">
        <v>60407</v>
      </c>
      <c r="WZ78" s="1" t="s">
        <v>60408</v>
      </c>
      <c r="XA78" s="1" t="s">
        <v>60409</v>
      </c>
      <c r="XB78" s="1" t="s">
        <v>60410</v>
      </c>
      <c r="XC78" s="1" t="s">
        <v>60411</v>
      </c>
      <c r="XD78" s="1" t="s">
        <v>60412</v>
      </c>
      <c r="XE78" s="1" t="s">
        <v>60413</v>
      </c>
      <c r="XF78" s="1" t="s">
        <v>60414</v>
      </c>
      <c r="XG78" s="1" t="s">
        <v>60415</v>
      </c>
      <c r="XH78" s="1" t="s">
        <v>60416</v>
      </c>
      <c r="XI78" s="1" t="s">
        <v>60417</v>
      </c>
      <c r="XJ78" s="1" t="s">
        <v>60418</v>
      </c>
      <c r="XK78" s="1" t="s">
        <v>60419</v>
      </c>
      <c r="XL78" s="1" t="s">
        <v>60420</v>
      </c>
      <c r="XM78" s="1" t="s">
        <v>60421</v>
      </c>
      <c r="XN78" s="1" t="s">
        <v>60422</v>
      </c>
      <c r="XO78" s="1" t="s">
        <v>60423</v>
      </c>
      <c r="XP78" s="1" t="s">
        <v>60424</v>
      </c>
      <c r="XQ78" s="1" t="s">
        <v>60425</v>
      </c>
      <c r="XR78" s="1" t="s">
        <v>60426</v>
      </c>
      <c r="XS78" s="1" t="s">
        <v>60427</v>
      </c>
      <c r="XT78" s="1" t="s">
        <v>60428</v>
      </c>
      <c r="XU78" s="1" t="s">
        <v>60429</v>
      </c>
      <c r="XV78" s="1" t="s">
        <v>60430</v>
      </c>
      <c r="XW78" s="1" t="s">
        <v>60431</v>
      </c>
      <c r="XX78" s="1" t="s">
        <v>60432</v>
      </c>
      <c r="XY78" s="1" t="s">
        <v>60433</v>
      </c>
      <c r="XZ78" s="1" t="s">
        <v>60434</v>
      </c>
      <c r="YA78" s="1" t="s">
        <v>60435</v>
      </c>
      <c r="YB78" s="1" t="s">
        <v>60436</v>
      </c>
      <c r="YC78" s="1" t="s">
        <v>60437</v>
      </c>
      <c r="YD78" s="1" t="s">
        <v>60438</v>
      </c>
      <c r="YE78" s="1" t="s">
        <v>60439</v>
      </c>
      <c r="YF78" s="1" t="s">
        <v>60440</v>
      </c>
      <c r="YG78" s="1" t="s">
        <v>60441</v>
      </c>
      <c r="YH78" s="1" t="s">
        <v>60442</v>
      </c>
      <c r="YI78" s="1" t="s">
        <v>60443</v>
      </c>
      <c r="YJ78" s="1" t="s">
        <v>60444</v>
      </c>
      <c r="YK78" s="1" t="s">
        <v>60445</v>
      </c>
      <c r="YL78" s="1" t="s">
        <v>60446</v>
      </c>
      <c r="YM78" s="1" t="s">
        <v>60447</v>
      </c>
      <c r="YN78" s="1" t="s">
        <v>60448</v>
      </c>
      <c r="YO78" s="1" t="s">
        <v>60449</v>
      </c>
      <c r="YP78" s="1" t="s">
        <v>60450</v>
      </c>
      <c r="YQ78" s="1" t="s">
        <v>60451</v>
      </c>
      <c r="YR78" s="1" t="s">
        <v>60452</v>
      </c>
      <c r="YS78" s="1" t="s">
        <v>60453</v>
      </c>
      <c r="YT78" s="1" t="s">
        <v>60454</v>
      </c>
      <c r="YU78" s="1" t="s">
        <v>60455</v>
      </c>
      <c r="YV78" s="1" t="s">
        <v>60456</v>
      </c>
      <c r="YW78" s="1" t="s">
        <v>60457</v>
      </c>
      <c r="YX78" s="1" t="s">
        <v>60458</v>
      </c>
      <c r="YY78" s="1" t="s">
        <v>60459</v>
      </c>
      <c r="YZ78" s="1" t="s">
        <v>60460</v>
      </c>
      <c r="ZA78" s="1" t="s">
        <v>60461</v>
      </c>
      <c r="ZB78" s="1" t="s">
        <v>60462</v>
      </c>
      <c r="ZC78" s="1" t="s">
        <v>60463</v>
      </c>
      <c r="ZD78" s="1" t="s">
        <v>60464</v>
      </c>
      <c r="ZE78" s="1" t="s">
        <v>60465</v>
      </c>
      <c r="ZF78" s="1" t="s">
        <v>60466</v>
      </c>
      <c r="ZG78" s="1" t="s">
        <v>60467</v>
      </c>
      <c r="ZH78" s="1" t="s">
        <v>60468</v>
      </c>
      <c r="ZI78" s="1" t="s">
        <v>60469</v>
      </c>
      <c r="ZJ78" s="1" t="s">
        <v>60470</v>
      </c>
      <c r="ZK78" s="1" t="s">
        <v>60471</v>
      </c>
      <c r="ZL78" s="1" t="s">
        <v>60472</v>
      </c>
      <c r="ZM78" s="1" t="s">
        <v>60473</v>
      </c>
      <c r="ZN78" s="1" t="s">
        <v>60474</v>
      </c>
      <c r="ZO78" s="1" t="s">
        <v>60475</v>
      </c>
      <c r="ZP78" s="1" t="s">
        <v>60476</v>
      </c>
      <c r="ZQ78" s="1" t="s">
        <v>60477</v>
      </c>
      <c r="ZR78" s="1" t="s">
        <v>60478</v>
      </c>
      <c r="ZS78" s="1" t="s">
        <v>60479</v>
      </c>
      <c r="ZT78" s="1" t="s">
        <v>60480</v>
      </c>
      <c r="ZU78" s="1" t="s">
        <v>60481</v>
      </c>
      <c r="ZV78" s="1" t="s">
        <v>60482</v>
      </c>
      <c r="ZW78" s="1" t="s">
        <v>60483</v>
      </c>
      <c r="ZX78" s="1" t="s">
        <v>60484</v>
      </c>
      <c r="ZY78" s="1" t="s">
        <v>60485</v>
      </c>
      <c r="ZZ78" s="1" t="s">
        <v>60486</v>
      </c>
      <c r="AAA78" s="1" t="s">
        <v>60487</v>
      </c>
      <c r="AAB78" s="1" t="s">
        <v>60488</v>
      </c>
      <c r="AAC78" s="1" t="s">
        <v>60489</v>
      </c>
      <c r="AAD78" s="1" t="s">
        <v>60490</v>
      </c>
      <c r="AAE78" s="1" t="s">
        <v>60491</v>
      </c>
      <c r="AAF78" s="1" t="s">
        <v>60492</v>
      </c>
      <c r="AAG78" s="1" t="s">
        <v>60493</v>
      </c>
      <c r="AAH78" s="1" t="s">
        <v>60494</v>
      </c>
      <c r="AAI78" s="1" t="s">
        <v>60495</v>
      </c>
      <c r="AAJ78" s="1" t="s">
        <v>60496</v>
      </c>
      <c r="AAK78" s="1" t="s">
        <v>60497</v>
      </c>
      <c r="AAL78" s="1" t="s">
        <v>60498</v>
      </c>
      <c r="AAM78" s="1" t="s">
        <v>60499</v>
      </c>
      <c r="AAN78" s="1" t="s">
        <v>60500</v>
      </c>
      <c r="AAO78" s="1" t="s">
        <v>60501</v>
      </c>
      <c r="AAP78" s="1" t="s">
        <v>60502</v>
      </c>
      <c r="AAQ78" s="1" t="s">
        <v>60503</v>
      </c>
      <c r="AAR78" s="1" t="s">
        <v>60504</v>
      </c>
      <c r="AAS78" s="1" t="s">
        <v>60505</v>
      </c>
      <c r="AAT78" s="1" t="s">
        <v>60506</v>
      </c>
      <c r="AAU78" s="1" t="s">
        <v>60507</v>
      </c>
      <c r="AAV78" s="1" t="s">
        <v>60508</v>
      </c>
      <c r="AAW78" s="1" t="s">
        <v>60509</v>
      </c>
      <c r="AAX78" s="1" t="s">
        <v>60510</v>
      </c>
      <c r="AAY78" s="1" t="s">
        <v>60511</v>
      </c>
      <c r="AAZ78" s="1" t="s">
        <v>60512</v>
      </c>
      <c r="ABA78" s="1" t="s">
        <v>60513</v>
      </c>
      <c r="ABB78" s="1" t="s">
        <v>60514</v>
      </c>
      <c r="ABC78" s="1" t="s">
        <v>60515</v>
      </c>
      <c r="ABD78" s="1" t="s">
        <v>60516</v>
      </c>
      <c r="ABE78" s="1" t="s">
        <v>60517</v>
      </c>
      <c r="ABF78" s="1" t="s">
        <v>60518</v>
      </c>
      <c r="ABG78" s="1" t="s">
        <v>60519</v>
      </c>
      <c r="ABH78" s="1" t="s">
        <v>60520</v>
      </c>
      <c r="ABI78" s="1" t="s">
        <v>60521</v>
      </c>
      <c r="ABJ78" s="1" t="s">
        <v>60522</v>
      </c>
      <c r="ABK78" s="1" t="s">
        <v>60523</v>
      </c>
      <c r="ABL78" s="1" t="s">
        <v>60524</v>
      </c>
      <c r="ABM78" s="1" t="s">
        <v>60525</v>
      </c>
      <c r="ABN78" s="1" t="s">
        <v>60526</v>
      </c>
      <c r="ABO78" s="1" t="s">
        <v>60527</v>
      </c>
      <c r="ABP78" s="1" t="s">
        <v>60528</v>
      </c>
      <c r="ABQ78" s="1" t="s">
        <v>60529</v>
      </c>
      <c r="ABR78" s="1" t="s">
        <v>60530</v>
      </c>
      <c r="ABS78" s="1" t="s">
        <v>60531</v>
      </c>
      <c r="ABT78" s="1" t="s">
        <v>60532</v>
      </c>
      <c r="ABU78" s="1" t="s">
        <v>60533</v>
      </c>
      <c r="ABV78" s="1" t="s">
        <v>60534</v>
      </c>
      <c r="ABW78" s="1" t="s">
        <v>60535</v>
      </c>
      <c r="ABX78" s="1" t="s">
        <v>60536</v>
      </c>
      <c r="ABY78" s="1" t="s">
        <v>60537</v>
      </c>
      <c r="ABZ78" s="1" t="s">
        <v>60538</v>
      </c>
      <c r="ACA78" s="1" t="s">
        <v>60539</v>
      </c>
      <c r="ACB78" s="1" t="s">
        <v>60540</v>
      </c>
      <c r="ACC78" s="1" t="s">
        <v>60541</v>
      </c>
      <c r="ACD78" s="1" t="s">
        <v>60542</v>
      </c>
      <c r="ACE78" s="1" t="s">
        <v>60543</v>
      </c>
      <c r="ACF78" s="1" t="s">
        <v>60544</v>
      </c>
      <c r="ACG78" s="1" t="s">
        <v>60545</v>
      </c>
      <c r="ACH78" s="1" t="s">
        <v>60546</v>
      </c>
      <c r="ACI78" s="1" t="s">
        <v>60547</v>
      </c>
      <c r="ACJ78" s="1" t="s">
        <v>60548</v>
      </c>
      <c r="ACK78" s="1" t="s">
        <v>60549</v>
      </c>
      <c r="ACL78" s="1" t="s">
        <v>60550</v>
      </c>
      <c r="ACM78" s="1" t="s">
        <v>60551</v>
      </c>
      <c r="ACN78" s="1" t="s">
        <v>60552</v>
      </c>
      <c r="ACO78" s="1" t="s">
        <v>60553</v>
      </c>
      <c r="ACP78" s="1" t="s">
        <v>60554</v>
      </c>
      <c r="ACQ78" s="1" t="s">
        <v>60555</v>
      </c>
      <c r="ACR78" s="1" t="s">
        <v>60556</v>
      </c>
      <c r="ACS78" s="1" t="s">
        <v>60557</v>
      </c>
      <c r="ACT78" s="1" t="s">
        <v>60558</v>
      </c>
      <c r="ACU78" s="1" t="s">
        <v>60559</v>
      </c>
      <c r="ACV78" s="1" t="s">
        <v>60560</v>
      </c>
      <c r="ACW78" s="1" t="s">
        <v>6</v>
      </c>
      <c r="ACX78" s="1" t="s">
        <v>1501</v>
      </c>
    </row>
    <row r="79" spans="1:778" x14ac:dyDescent="0.2">
      <c r="A79" s="1" t="s">
        <v>1505</v>
      </c>
      <c r="B79" s="1" t="s">
        <v>60561</v>
      </c>
      <c r="C79" s="1" t="s">
        <v>60562</v>
      </c>
      <c r="D79" s="1" t="s">
        <v>60563</v>
      </c>
      <c r="E79" s="1" t="s">
        <v>60564</v>
      </c>
      <c r="F79" s="1" t="s">
        <v>60565</v>
      </c>
      <c r="G79" s="1" t="s">
        <v>60566</v>
      </c>
      <c r="H79" s="1" t="s">
        <v>60567</v>
      </c>
      <c r="I79" s="1" t="s">
        <v>60568</v>
      </c>
      <c r="J79" s="1" t="s">
        <v>60569</v>
      </c>
      <c r="K79" s="1" t="s">
        <v>60570</v>
      </c>
      <c r="L79" s="1" t="s">
        <v>60571</v>
      </c>
      <c r="M79" s="1" t="s">
        <v>60572</v>
      </c>
      <c r="N79" s="1" t="s">
        <v>60573</v>
      </c>
      <c r="O79" s="1" t="s">
        <v>60574</v>
      </c>
      <c r="P79" s="1" t="s">
        <v>60575</v>
      </c>
      <c r="Q79" s="1" t="s">
        <v>60576</v>
      </c>
      <c r="R79" s="1" t="s">
        <v>60577</v>
      </c>
      <c r="S79" s="1" t="s">
        <v>60578</v>
      </c>
      <c r="T79" s="1" t="s">
        <v>60579</v>
      </c>
      <c r="U79" s="1" t="s">
        <v>60580</v>
      </c>
      <c r="V79" s="1" t="s">
        <v>60581</v>
      </c>
      <c r="W79" s="1" t="s">
        <v>60582</v>
      </c>
      <c r="X79" s="1" t="s">
        <v>60583</v>
      </c>
      <c r="Y79" s="1" t="s">
        <v>60584</v>
      </c>
      <c r="Z79" s="1" t="s">
        <v>60585</v>
      </c>
      <c r="AA79" s="1" t="s">
        <v>60586</v>
      </c>
      <c r="AB79" s="1" t="s">
        <v>60587</v>
      </c>
      <c r="AC79" s="1" t="s">
        <v>60588</v>
      </c>
      <c r="AD79" s="1" t="s">
        <v>60589</v>
      </c>
      <c r="AE79" s="1" t="s">
        <v>60590</v>
      </c>
      <c r="AF79" s="1" t="s">
        <v>60591</v>
      </c>
      <c r="AG79" s="1" t="s">
        <v>60592</v>
      </c>
      <c r="AH79" s="1" t="s">
        <v>60593</v>
      </c>
      <c r="AI79" s="1" t="s">
        <v>60594</v>
      </c>
      <c r="AJ79" s="1" t="s">
        <v>60595</v>
      </c>
      <c r="AK79" s="1" t="s">
        <v>60596</v>
      </c>
      <c r="AL79" s="1" t="s">
        <v>60597</v>
      </c>
      <c r="AM79" s="1" t="s">
        <v>60598</v>
      </c>
      <c r="AN79" s="1" t="s">
        <v>60599</v>
      </c>
      <c r="AO79" s="1" t="s">
        <v>60600</v>
      </c>
      <c r="AP79" s="1" t="s">
        <v>60601</v>
      </c>
      <c r="AQ79" s="1" t="s">
        <v>60602</v>
      </c>
      <c r="AR79" s="1" t="s">
        <v>60603</v>
      </c>
      <c r="AS79" s="1" t="s">
        <v>60604</v>
      </c>
      <c r="AT79" s="1" t="s">
        <v>60605</v>
      </c>
      <c r="AU79" s="1" t="s">
        <v>60606</v>
      </c>
      <c r="AV79" s="1" t="s">
        <v>60607</v>
      </c>
      <c r="AW79" s="1" t="s">
        <v>60608</v>
      </c>
      <c r="AX79" s="1" t="s">
        <v>60609</v>
      </c>
      <c r="AY79" s="1" t="s">
        <v>60610</v>
      </c>
      <c r="AZ79" s="1" t="s">
        <v>60611</v>
      </c>
      <c r="BA79" s="1" t="s">
        <v>60612</v>
      </c>
      <c r="BB79" s="1" t="s">
        <v>60613</v>
      </c>
      <c r="BC79" s="1" t="s">
        <v>60614</v>
      </c>
      <c r="BD79" s="1" t="s">
        <v>60615</v>
      </c>
      <c r="BE79" s="1" t="s">
        <v>60616</v>
      </c>
      <c r="BF79" s="1" t="s">
        <v>60617</v>
      </c>
      <c r="BG79" s="1" t="s">
        <v>60618</v>
      </c>
      <c r="BH79" s="1" t="s">
        <v>60619</v>
      </c>
      <c r="BI79" s="1" t="s">
        <v>60620</v>
      </c>
      <c r="BJ79" s="1" t="s">
        <v>60621</v>
      </c>
      <c r="BK79" s="1" t="s">
        <v>60622</v>
      </c>
      <c r="BL79" s="1" t="s">
        <v>60623</v>
      </c>
      <c r="BM79" s="1" t="s">
        <v>60624</v>
      </c>
      <c r="BN79" s="1" t="s">
        <v>60625</v>
      </c>
      <c r="BO79" s="1" t="s">
        <v>60626</v>
      </c>
      <c r="BP79" s="1" t="s">
        <v>60627</v>
      </c>
      <c r="BQ79" s="1" t="s">
        <v>60628</v>
      </c>
      <c r="BR79" s="1" t="s">
        <v>60629</v>
      </c>
      <c r="BS79" s="1" t="s">
        <v>60630</v>
      </c>
      <c r="BT79" s="1" t="s">
        <v>60631</v>
      </c>
      <c r="BU79" s="1" t="s">
        <v>60632</v>
      </c>
      <c r="BV79" s="1" t="s">
        <v>60633</v>
      </c>
      <c r="BW79" s="1" t="s">
        <v>60634</v>
      </c>
      <c r="BX79" s="1" t="s">
        <v>60635</v>
      </c>
      <c r="BY79" s="1" t="s">
        <v>60636</v>
      </c>
      <c r="BZ79" s="1" t="s">
        <v>60637</v>
      </c>
      <c r="CA79" s="1" t="s">
        <v>60638</v>
      </c>
      <c r="CB79" s="1" t="s">
        <v>60639</v>
      </c>
      <c r="CC79" s="1" t="s">
        <v>60640</v>
      </c>
      <c r="CD79" s="1" t="s">
        <v>60641</v>
      </c>
      <c r="CE79" s="1" t="s">
        <v>60642</v>
      </c>
      <c r="CF79" s="1" t="s">
        <v>60643</v>
      </c>
      <c r="CG79" s="1" t="s">
        <v>60644</v>
      </c>
      <c r="CH79" s="1" t="s">
        <v>60645</v>
      </c>
      <c r="CI79" s="1" t="s">
        <v>60646</v>
      </c>
      <c r="CJ79" s="1" t="s">
        <v>60647</v>
      </c>
      <c r="CK79" s="1" t="s">
        <v>60648</v>
      </c>
      <c r="CL79" s="1" t="s">
        <v>60649</v>
      </c>
      <c r="CM79" s="1" t="s">
        <v>60650</v>
      </c>
      <c r="CN79" s="1" t="s">
        <v>60651</v>
      </c>
      <c r="CO79" s="1" t="s">
        <v>60652</v>
      </c>
      <c r="CP79" s="1" t="s">
        <v>60653</v>
      </c>
      <c r="CQ79" s="1" t="s">
        <v>60654</v>
      </c>
      <c r="CR79" s="1" t="s">
        <v>60655</v>
      </c>
      <c r="CS79" s="1" t="s">
        <v>60656</v>
      </c>
      <c r="CT79" s="1" t="s">
        <v>60657</v>
      </c>
      <c r="CU79" s="1" t="s">
        <v>60658</v>
      </c>
      <c r="CV79" s="1" t="s">
        <v>60659</v>
      </c>
      <c r="CW79" s="1" t="s">
        <v>60660</v>
      </c>
      <c r="CX79" s="1" t="s">
        <v>60661</v>
      </c>
      <c r="CY79" s="1" t="s">
        <v>60662</v>
      </c>
      <c r="CZ79" s="1" t="s">
        <v>60663</v>
      </c>
      <c r="DA79" s="1" t="s">
        <v>60664</v>
      </c>
      <c r="DB79" s="1" t="s">
        <v>60665</v>
      </c>
      <c r="DC79" s="1" t="s">
        <v>60666</v>
      </c>
      <c r="DD79" s="1" t="s">
        <v>60667</v>
      </c>
      <c r="DE79" s="1" t="s">
        <v>60668</v>
      </c>
      <c r="DF79" s="1" t="s">
        <v>60669</v>
      </c>
      <c r="DG79" s="1" t="s">
        <v>60670</v>
      </c>
      <c r="DH79" s="1" t="s">
        <v>60671</v>
      </c>
      <c r="DI79" s="1" t="s">
        <v>60672</v>
      </c>
      <c r="DJ79" s="1" t="s">
        <v>60673</v>
      </c>
      <c r="DK79" s="1" t="s">
        <v>60674</v>
      </c>
      <c r="DL79" s="1" t="s">
        <v>60675</v>
      </c>
      <c r="DM79" s="1" t="s">
        <v>60676</v>
      </c>
      <c r="DN79" s="1" t="s">
        <v>60677</v>
      </c>
      <c r="DO79" s="1" t="s">
        <v>60678</v>
      </c>
      <c r="DP79" s="1" t="s">
        <v>60679</v>
      </c>
      <c r="DQ79" s="1" t="s">
        <v>60680</v>
      </c>
      <c r="DR79" s="1" t="s">
        <v>60681</v>
      </c>
      <c r="DS79" s="1" t="s">
        <v>60682</v>
      </c>
      <c r="DT79" s="1" t="s">
        <v>60683</v>
      </c>
      <c r="DU79" s="1" t="s">
        <v>60684</v>
      </c>
      <c r="DV79" s="1" t="s">
        <v>60685</v>
      </c>
      <c r="DW79" s="1" t="s">
        <v>60686</v>
      </c>
      <c r="DX79" s="1" t="s">
        <v>60687</v>
      </c>
      <c r="DY79" s="1" t="s">
        <v>60688</v>
      </c>
      <c r="DZ79" s="1" t="s">
        <v>60689</v>
      </c>
      <c r="EA79" s="1" t="s">
        <v>60690</v>
      </c>
      <c r="EB79" s="1" t="s">
        <v>60691</v>
      </c>
      <c r="EC79" s="1" t="s">
        <v>60692</v>
      </c>
      <c r="ED79" s="1" t="s">
        <v>60693</v>
      </c>
      <c r="EE79" s="1" t="s">
        <v>60694</v>
      </c>
      <c r="EF79" s="1" t="s">
        <v>60695</v>
      </c>
      <c r="EG79" s="1" t="s">
        <v>60696</v>
      </c>
      <c r="EH79" s="1" t="s">
        <v>60697</v>
      </c>
      <c r="EI79" s="1" t="s">
        <v>60698</v>
      </c>
      <c r="EJ79" s="1" t="s">
        <v>60699</v>
      </c>
      <c r="EK79" s="1" t="s">
        <v>60700</v>
      </c>
      <c r="EL79" s="1" t="s">
        <v>60701</v>
      </c>
      <c r="EM79" s="1" t="s">
        <v>60702</v>
      </c>
      <c r="EN79" s="1" t="s">
        <v>60703</v>
      </c>
      <c r="EO79" s="1" t="s">
        <v>60704</v>
      </c>
      <c r="EP79" s="1" t="s">
        <v>60705</v>
      </c>
      <c r="EQ79" s="1" t="s">
        <v>60706</v>
      </c>
      <c r="ER79" s="1" t="s">
        <v>60707</v>
      </c>
      <c r="ES79" s="1" t="s">
        <v>60708</v>
      </c>
      <c r="ET79" s="1" t="s">
        <v>60709</v>
      </c>
      <c r="EU79" s="1" t="s">
        <v>60710</v>
      </c>
      <c r="EV79" s="1" t="s">
        <v>60711</v>
      </c>
      <c r="EW79" s="1" t="s">
        <v>60712</v>
      </c>
      <c r="EX79" s="1" t="s">
        <v>60713</v>
      </c>
      <c r="EY79" s="1" t="s">
        <v>60714</v>
      </c>
      <c r="EZ79" s="1" t="s">
        <v>60715</v>
      </c>
      <c r="FA79" s="1" t="s">
        <v>60716</v>
      </c>
      <c r="FB79" s="1" t="s">
        <v>60717</v>
      </c>
      <c r="FC79" s="1" t="s">
        <v>60718</v>
      </c>
      <c r="FD79" s="1" t="s">
        <v>60719</v>
      </c>
      <c r="FE79" s="1" t="s">
        <v>60720</v>
      </c>
      <c r="FF79" s="1" t="s">
        <v>60721</v>
      </c>
      <c r="FG79" s="1" t="s">
        <v>60722</v>
      </c>
      <c r="FH79" s="1" t="s">
        <v>60723</v>
      </c>
      <c r="FI79" s="1" t="s">
        <v>60724</v>
      </c>
      <c r="FJ79" s="1" t="s">
        <v>60725</v>
      </c>
      <c r="FK79" s="1" t="s">
        <v>60726</v>
      </c>
      <c r="FL79" s="1" t="s">
        <v>60727</v>
      </c>
      <c r="FM79" s="1" t="s">
        <v>60728</v>
      </c>
      <c r="FN79" s="1" t="s">
        <v>60729</v>
      </c>
      <c r="FO79" s="1" t="s">
        <v>60730</v>
      </c>
      <c r="FP79" s="1" t="s">
        <v>60731</v>
      </c>
      <c r="FQ79" s="1" t="s">
        <v>60732</v>
      </c>
      <c r="FR79" s="1" t="s">
        <v>60733</v>
      </c>
      <c r="FS79" s="1" t="s">
        <v>60734</v>
      </c>
      <c r="FT79" s="1" t="s">
        <v>60735</v>
      </c>
      <c r="FU79" s="1" t="s">
        <v>60736</v>
      </c>
      <c r="FV79" s="1" t="s">
        <v>60737</v>
      </c>
      <c r="FW79" s="1" t="s">
        <v>60738</v>
      </c>
      <c r="FX79" s="1" t="s">
        <v>60739</v>
      </c>
      <c r="FY79" s="1" t="s">
        <v>60740</v>
      </c>
      <c r="FZ79" s="1" t="s">
        <v>60741</v>
      </c>
      <c r="GA79" s="1" t="s">
        <v>60742</v>
      </c>
      <c r="GB79" s="1" t="s">
        <v>60743</v>
      </c>
      <c r="GC79" s="1" t="s">
        <v>60744</v>
      </c>
      <c r="GD79" s="1" t="s">
        <v>60745</v>
      </c>
      <c r="GE79" s="1" t="s">
        <v>60746</v>
      </c>
      <c r="GF79" s="1" t="s">
        <v>60747</v>
      </c>
      <c r="GG79" s="1" t="s">
        <v>60748</v>
      </c>
      <c r="GH79" s="1" t="s">
        <v>60749</v>
      </c>
      <c r="GI79" s="1" t="s">
        <v>60750</v>
      </c>
      <c r="GJ79" s="1" t="s">
        <v>60751</v>
      </c>
      <c r="GK79" s="1" t="s">
        <v>60752</v>
      </c>
      <c r="GL79" s="1" t="s">
        <v>60753</v>
      </c>
      <c r="GM79" s="1" t="s">
        <v>60754</v>
      </c>
      <c r="GN79" s="1" t="s">
        <v>60755</v>
      </c>
      <c r="GO79" s="1" t="s">
        <v>60756</v>
      </c>
      <c r="GP79" s="1" t="s">
        <v>60757</v>
      </c>
      <c r="GQ79" s="1" t="s">
        <v>60758</v>
      </c>
      <c r="GR79" s="1" t="s">
        <v>60759</v>
      </c>
      <c r="GS79" s="1" t="s">
        <v>60760</v>
      </c>
      <c r="GT79" s="1" t="s">
        <v>60761</v>
      </c>
      <c r="GU79" s="1" t="s">
        <v>60762</v>
      </c>
      <c r="GV79" s="1" t="s">
        <v>60763</v>
      </c>
      <c r="GW79" s="1" t="s">
        <v>60764</v>
      </c>
      <c r="GX79" s="1" t="s">
        <v>60765</v>
      </c>
      <c r="GY79" s="1" t="s">
        <v>60766</v>
      </c>
      <c r="GZ79" s="1" t="s">
        <v>60767</v>
      </c>
      <c r="HA79" s="1" t="s">
        <v>60768</v>
      </c>
      <c r="HB79" s="1" t="s">
        <v>60769</v>
      </c>
      <c r="HC79" s="1" t="s">
        <v>60770</v>
      </c>
      <c r="HD79" s="1" t="s">
        <v>60771</v>
      </c>
      <c r="HE79" s="1" t="s">
        <v>60772</v>
      </c>
      <c r="HF79" s="1" t="s">
        <v>60773</v>
      </c>
      <c r="HG79" s="1" t="s">
        <v>60774</v>
      </c>
      <c r="HH79" s="1" t="s">
        <v>60775</v>
      </c>
      <c r="HI79" s="1" t="s">
        <v>60776</v>
      </c>
      <c r="HJ79" s="1" t="s">
        <v>60777</v>
      </c>
      <c r="HK79" s="1" t="s">
        <v>60778</v>
      </c>
      <c r="HL79" s="1" t="s">
        <v>60779</v>
      </c>
      <c r="HM79" s="1" t="s">
        <v>60780</v>
      </c>
      <c r="HN79" s="1" t="s">
        <v>60781</v>
      </c>
      <c r="HO79" s="1" t="s">
        <v>60782</v>
      </c>
      <c r="HP79" s="1" t="s">
        <v>60783</v>
      </c>
      <c r="HQ79" s="1" t="s">
        <v>60784</v>
      </c>
      <c r="HR79" s="1" t="s">
        <v>60785</v>
      </c>
      <c r="HS79" s="1" t="s">
        <v>60786</v>
      </c>
      <c r="HT79" s="1" t="s">
        <v>60787</v>
      </c>
      <c r="HU79" s="1" t="s">
        <v>60788</v>
      </c>
      <c r="HV79" s="1" t="s">
        <v>60789</v>
      </c>
      <c r="HW79" s="1" t="s">
        <v>60790</v>
      </c>
      <c r="HX79" s="1" t="s">
        <v>60791</v>
      </c>
      <c r="HY79" s="1" t="s">
        <v>60792</v>
      </c>
      <c r="HZ79" s="1" t="s">
        <v>60793</v>
      </c>
      <c r="IA79" s="1" t="s">
        <v>60794</v>
      </c>
      <c r="IB79" s="1" t="s">
        <v>60795</v>
      </c>
      <c r="IC79" s="1" t="s">
        <v>60796</v>
      </c>
      <c r="ID79" s="1" t="s">
        <v>60797</v>
      </c>
      <c r="IE79" s="1" t="s">
        <v>60798</v>
      </c>
      <c r="IF79" s="1" t="s">
        <v>60799</v>
      </c>
      <c r="IG79" s="1" t="s">
        <v>60800</v>
      </c>
      <c r="IH79" s="1" t="s">
        <v>60801</v>
      </c>
      <c r="II79" s="1" t="s">
        <v>60802</v>
      </c>
      <c r="IJ79" s="1" t="s">
        <v>60803</v>
      </c>
      <c r="IK79" s="1" t="s">
        <v>60804</v>
      </c>
      <c r="IL79" s="1" t="s">
        <v>60805</v>
      </c>
      <c r="IM79" s="1" t="s">
        <v>60806</v>
      </c>
      <c r="IN79" s="1" t="s">
        <v>60807</v>
      </c>
      <c r="IO79" s="1" t="s">
        <v>60808</v>
      </c>
      <c r="IP79" s="1" t="s">
        <v>60809</v>
      </c>
      <c r="IQ79" s="1" t="s">
        <v>60810</v>
      </c>
      <c r="IR79" s="1" t="s">
        <v>60811</v>
      </c>
      <c r="IS79" s="1" t="s">
        <v>60812</v>
      </c>
      <c r="IT79" s="1" t="s">
        <v>60813</v>
      </c>
      <c r="IU79" s="1" t="s">
        <v>60814</v>
      </c>
      <c r="IV79" s="1" t="s">
        <v>60815</v>
      </c>
      <c r="IW79" s="1" t="s">
        <v>60816</v>
      </c>
      <c r="IX79" s="1" t="s">
        <v>60817</v>
      </c>
      <c r="IY79" s="1" t="s">
        <v>60818</v>
      </c>
      <c r="IZ79" s="1" t="s">
        <v>60819</v>
      </c>
      <c r="JA79" s="1" t="s">
        <v>60820</v>
      </c>
      <c r="JB79" s="1" t="s">
        <v>60821</v>
      </c>
      <c r="JC79" s="1" t="s">
        <v>60822</v>
      </c>
      <c r="JD79" s="1" t="s">
        <v>60823</v>
      </c>
      <c r="JE79" s="1" t="s">
        <v>60824</v>
      </c>
      <c r="JF79" s="1" t="s">
        <v>60825</v>
      </c>
      <c r="JG79" s="1" t="s">
        <v>60826</v>
      </c>
      <c r="JH79" s="1" t="s">
        <v>60827</v>
      </c>
      <c r="JI79" s="1" t="s">
        <v>60828</v>
      </c>
      <c r="JJ79" s="1" t="s">
        <v>60829</v>
      </c>
      <c r="JK79" s="1" t="s">
        <v>60830</v>
      </c>
      <c r="JL79" s="1" t="s">
        <v>60831</v>
      </c>
      <c r="JM79" s="1" t="s">
        <v>60832</v>
      </c>
      <c r="JN79" s="1" t="s">
        <v>60833</v>
      </c>
      <c r="JO79" s="1" t="s">
        <v>60834</v>
      </c>
      <c r="JP79" s="1" t="s">
        <v>60835</v>
      </c>
      <c r="JQ79" s="1" t="s">
        <v>60836</v>
      </c>
      <c r="JR79" s="1" t="s">
        <v>60837</v>
      </c>
      <c r="JS79" s="1" t="s">
        <v>60838</v>
      </c>
      <c r="JT79" s="1" t="s">
        <v>60839</v>
      </c>
      <c r="JU79" s="1" t="s">
        <v>60840</v>
      </c>
      <c r="JV79" s="1" t="s">
        <v>60841</v>
      </c>
      <c r="JW79" s="1" t="s">
        <v>60842</v>
      </c>
      <c r="JX79" s="1" t="s">
        <v>60843</v>
      </c>
      <c r="JY79" s="1" t="s">
        <v>60844</v>
      </c>
      <c r="JZ79" s="1" t="s">
        <v>60845</v>
      </c>
      <c r="KA79" s="1" t="s">
        <v>60846</v>
      </c>
      <c r="KB79" s="1" t="s">
        <v>60847</v>
      </c>
      <c r="KC79" s="1" t="s">
        <v>60848</v>
      </c>
      <c r="KD79" s="1" t="s">
        <v>60849</v>
      </c>
      <c r="KE79" s="1" t="s">
        <v>60850</v>
      </c>
      <c r="KF79" s="1" t="s">
        <v>60851</v>
      </c>
      <c r="KG79" s="1" t="s">
        <v>60852</v>
      </c>
      <c r="KH79" s="1" t="s">
        <v>60853</v>
      </c>
      <c r="KI79" s="1" t="s">
        <v>60854</v>
      </c>
      <c r="KJ79" s="1" t="s">
        <v>60855</v>
      </c>
      <c r="KK79" s="1" t="s">
        <v>60856</v>
      </c>
      <c r="KL79" s="1" t="s">
        <v>60857</v>
      </c>
      <c r="KM79" s="1" t="s">
        <v>60858</v>
      </c>
      <c r="KN79" s="1" t="s">
        <v>60859</v>
      </c>
      <c r="KO79" s="1" t="s">
        <v>60860</v>
      </c>
      <c r="KP79" s="1" t="s">
        <v>60861</v>
      </c>
      <c r="KQ79" s="1" t="s">
        <v>60862</v>
      </c>
      <c r="KR79" s="1" t="s">
        <v>60863</v>
      </c>
      <c r="KS79" s="1" t="s">
        <v>60864</v>
      </c>
      <c r="KT79" s="1" t="s">
        <v>60865</v>
      </c>
      <c r="KU79" s="1" t="s">
        <v>60866</v>
      </c>
      <c r="KV79" s="1" t="s">
        <v>60867</v>
      </c>
      <c r="KW79" s="1" t="s">
        <v>60868</v>
      </c>
      <c r="KX79" s="1" t="s">
        <v>60869</v>
      </c>
      <c r="KY79" s="1" t="s">
        <v>60870</v>
      </c>
      <c r="KZ79" s="1" t="s">
        <v>60871</v>
      </c>
      <c r="LA79" s="1" t="s">
        <v>60872</v>
      </c>
      <c r="LB79" s="1" t="s">
        <v>60873</v>
      </c>
      <c r="LC79" s="1" t="s">
        <v>60874</v>
      </c>
      <c r="LD79" s="1" t="s">
        <v>60875</v>
      </c>
      <c r="LE79" s="1" t="s">
        <v>60876</v>
      </c>
      <c r="LF79" s="1" t="s">
        <v>60877</v>
      </c>
      <c r="LG79" s="1" t="s">
        <v>60878</v>
      </c>
      <c r="LH79" s="1" t="s">
        <v>60879</v>
      </c>
      <c r="LI79" s="1" t="s">
        <v>60880</v>
      </c>
      <c r="LJ79" s="1" t="s">
        <v>60881</v>
      </c>
      <c r="LK79" s="1" t="s">
        <v>60882</v>
      </c>
      <c r="LL79" s="1" t="s">
        <v>60883</v>
      </c>
      <c r="LM79" s="1" t="s">
        <v>60884</v>
      </c>
      <c r="LN79" s="1" t="s">
        <v>60885</v>
      </c>
      <c r="LO79" s="1" t="s">
        <v>60886</v>
      </c>
      <c r="LP79" s="1" t="s">
        <v>60887</v>
      </c>
      <c r="LQ79" s="1" t="s">
        <v>60888</v>
      </c>
      <c r="LR79" s="1" t="s">
        <v>60889</v>
      </c>
      <c r="LS79" s="1" t="s">
        <v>60890</v>
      </c>
      <c r="LT79" s="1" t="s">
        <v>60891</v>
      </c>
      <c r="LU79" s="1" t="s">
        <v>60892</v>
      </c>
      <c r="LV79" s="1" t="s">
        <v>60893</v>
      </c>
      <c r="LW79" s="1" t="s">
        <v>60894</v>
      </c>
      <c r="LX79" s="1" t="s">
        <v>60895</v>
      </c>
      <c r="LY79" s="1" t="s">
        <v>60896</v>
      </c>
      <c r="LZ79" s="1" t="s">
        <v>60897</v>
      </c>
      <c r="MA79" s="1" t="s">
        <v>60898</v>
      </c>
      <c r="MB79" s="1" t="s">
        <v>60899</v>
      </c>
      <c r="MC79" s="1" t="s">
        <v>60900</v>
      </c>
      <c r="MD79" s="1" t="s">
        <v>60901</v>
      </c>
      <c r="ME79" s="1" t="s">
        <v>60902</v>
      </c>
      <c r="MF79" s="1" t="s">
        <v>60903</v>
      </c>
      <c r="MG79" s="1" t="s">
        <v>60904</v>
      </c>
      <c r="MH79" s="1" t="s">
        <v>60905</v>
      </c>
      <c r="MI79" s="1" t="s">
        <v>60906</v>
      </c>
      <c r="MJ79" s="1" t="s">
        <v>60907</v>
      </c>
      <c r="MK79" s="1" t="s">
        <v>60908</v>
      </c>
      <c r="ML79" s="1" t="s">
        <v>60909</v>
      </c>
      <c r="MM79" s="1" t="s">
        <v>60910</v>
      </c>
      <c r="MN79" s="1" t="s">
        <v>60911</v>
      </c>
      <c r="MO79" s="1" t="s">
        <v>60912</v>
      </c>
      <c r="MP79" s="1" t="s">
        <v>60913</v>
      </c>
      <c r="MQ79" s="1" t="s">
        <v>60914</v>
      </c>
      <c r="MR79" s="1" t="s">
        <v>60915</v>
      </c>
      <c r="MS79" s="1" t="s">
        <v>60916</v>
      </c>
      <c r="MT79" s="1" t="s">
        <v>60917</v>
      </c>
      <c r="MU79" s="1" t="s">
        <v>60918</v>
      </c>
      <c r="MV79" s="1" t="s">
        <v>60919</v>
      </c>
      <c r="MW79" s="1" t="s">
        <v>60920</v>
      </c>
      <c r="MX79" s="1" t="s">
        <v>60921</v>
      </c>
      <c r="MY79" s="1" t="s">
        <v>60922</v>
      </c>
      <c r="MZ79" s="1" t="s">
        <v>60923</v>
      </c>
      <c r="NA79" s="1" t="s">
        <v>60924</v>
      </c>
      <c r="NB79" s="1" t="s">
        <v>60925</v>
      </c>
      <c r="NC79" s="1" t="s">
        <v>60926</v>
      </c>
      <c r="ND79" s="1" t="s">
        <v>60927</v>
      </c>
      <c r="NE79" s="1" t="s">
        <v>60928</v>
      </c>
      <c r="NF79" s="1" t="s">
        <v>60929</v>
      </c>
      <c r="NG79" s="1" t="s">
        <v>60930</v>
      </c>
      <c r="NH79" s="1" t="s">
        <v>60931</v>
      </c>
      <c r="NI79" s="1" t="s">
        <v>60932</v>
      </c>
      <c r="NJ79" s="1" t="s">
        <v>60933</v>
      </c>
      <c r="NK79" s="1" t="s">
        <v>60934</v>
      </c>
      <c r="NL79" s="1" t="s">
        <v>60935</v>
      </c>
      <c r="NM79" s="1" t="s">
        <v>60936</v>
      </c>
      <c r="NN79" s="1" t="s">
        <v>60937</v>
      </c>
      <c r="NO79" s="1" t="s">
        <v>60938</v>
      </c>
      <c r="NP79" s="1" t="s">
        <v>60939</v>
      </c>
      <c r="NQ79" s="1" t="s">
        <v>60940</v>
      </c>
      <c r="NR79" s="1" t="s">
        <v>60941</v>
      </c>
      <c r="NS79" s="1" t="s">
        <v>60942</v>
      </c>
      <c r="NT79" s="1" t="s">
        <v>60943</v>
      </c>
      <c r="NU79" s="1" t="s">
        <v>60944</v>
      </c>
      <c r="NV79" s="1" t="s">
        <v>60945</v>
      </c>
      <c r="NW79" s="1" t="s">
        <v>60946</v>
      </c>
      <c r="NX79" s="1" t="s">
        <v>60947</v>
      </c>
      <c r="NY79" s="1" t="s">
        <v>60948</v>
      </c>
      <c r="NZ79" s="1" t="s">
        <v>60949</v>
      </c>
      <c r="OA79" s="1" t="s">
        <v>60950</v>
      </c>
      <c r="OB79" s="1" t="s">
        <v>60951</v>
      </c>
      <c r="OC79" s="1" t="s">
        <v>60952</v>
      </c>
      <c r="OD79" s="1" t="s">
        <v>60953</v>
      </c>
      <c r="OE79" s="1" t="s">
        <v>60954</v>
      </c>
      <c r="OF79" s="1" t="s">
        <v>60955</v>
      </c>
      <c r="OG79" s="1" t="s">
        <v>60956</v>
      </c>
      <c r="OH79" s="1" t="s">
        <v>60957</v>
      </c>
      <c r="OI79" s="1" t="s">
        <v>60958</v>
      </c>
      <c r="OJ79" s="1" t="s">
        <v>60959</v>
      </c>
      <c r="OK79" s="1" t="s">
        <v>60960</v>
      </c>
      <c r="OL79" s="1" t="s">
        <v>60961</v>
      </c>
      <c r="OM79" s="1" t="s">
        <v>60962</v>
      </c>
      <c r="ON79" s="1" t="s">
        <v>60963</v>
      </c>
      <c r="OO79" s="1" t="s">
        <v>60964</v>
      </c>
      <c r="OP79" s="1" t="s">
        <v>60965</v>
      </c>
      <c r="OQ79" s="1" t="s">
        <v>60966</v>
      </c>
      <c r="OR79" s="1" t="s">
        <v>60967</v>
      </c>
      <c r="OS79" s="1" t="s">
        <v>60968</v>
      </c>
      <c r="OT79" s="1" t="s">
        <v>60969</v>
      </c>
      <c r="OU79" s="1" t="s">
        <v>60970</v>
      </c>
      <c r="OV79" s="1" t="s">
        <v>60971</v>
      </c>
      <c r="OW79" s="1" t="s">
        <v>60972</v>
      </c>
      <c r="OX79" s="1" t="s">
        <v>60973</v>
      </c>
      <c r="OY79" s="1" t="s">
        <v>60974</v>
      </c>
      <c r="OZ79" s="1" t="s">
        <v>60975</v>
      </c>
      <c r="PA79" s="1" t="s">
        <v>60976</v>
      </c>
      <c r="PB79" s="1" t="s">
        <v>60977</v>
      </c>
      <c r="PC79" s="1" t="s">
        <v>60978</v>
      </c>
      <c r="PD79" s="1" t="s">
        <v>60979</v>
      </c>
      <c r="PE79" s="1" t="s">
        <v>60980</v>
      </c>
      <c r="PF79" s="1" t="s">
        <v>60981</v>
      </c>
      <c r="PG79" s="1" t="s">
        <v>60982</v>
      </c>
      <c r="PH79" s="1" t="s">
        <v>60983</v>
      </c>
      <c r="PI79" s="1" t="s">
        <v>60984</v>
      </c>
      <c r="PJ79" s="1" t="s">
        <v>60985</v>
      </c>
      <c r="PK79" s="1" t="s">
        <v>60986</v>
      </c>
      <c r="PL79" s="1" t="s">
        <v>60987</v>
      </c>
      <c r="PM79" s="1" t="s">
        <v>60988</v>
      </c>
      <c r="PN79" s="1" t="s">
        <v>60989</v>
      </c>
      <c r="PO79" s="1" t="s">
        <v>60990</v>
      </c>
      <c r="PP79" s="1" t="s">
        <v>60991</v>
      </c>
      <c r="PQ79" s="1" t="s">
        <v>60992</v>
      </c>
      <c r="PR79" s="1" t="s">
        <v>60993</v>
      </c>
      <c r="PS79" s="1" t="s">
        <v>60994</v>
      </c>
      <c r="PT79" s="1" t="s">
        <v>60995</v>
      </c>
      <c r="PU79" s="1" t="s">
        <v>60996</v>
      </c>
      <c r="PV79" s="1" t="s">
        <v>60997</v>
      </c>
      <c r="PW79" s="1" t="s">
        <v>60998</v>
      </c>
      <c r="PX79" s="1" t="s">
        <v>60999</v>
      </c>
      <c r="PY79" s="1" t="s">
        <v>61000</v>
      </c>
      <c r="PZ79" s="1" t="s">
        <v>61001</v>
      </c>
      <c r="QA79" s="1" t="s">
        <v>61002</v>
      </c>
      <c r="QB79" s="1" t="s">
        <v>61003</v>
      </c>
      <c r="QC79" s="1" t="s">
        <v>61004</v>
      </c>
      <c r="QD79" s="1" t="s">
        <v>61005</v>
      </c>
      <c r="QE79" s="1" t="s">
        <v>61006</v>
      </c>
      <c r="QF79" s="1" t="s">
        <v>61007</v>
      </c>
      <c r="QG79" s="1" t="s">
        <v>61008</v>
      </c>
      <c r="QH79" s="1" t="s">
        <v>61009</v>
      </c>
      <c r="QI79" s="1" t="s">
        <v>61010</v>
      </c>
      <c r="QJ79" s="1" t="s">
        <v>61011</v>
      </c>
      <c r="QK79" s="1" t="s">
        <v>61012</v>
      </c>
      <c r="QL79" s="1" t="s">
        <v>61013</v>
      </c>
      <c r="QM79" s="1" t="s">
        <v>61014</v>
      </c>
      <c r="QN79" s="1" t="s">
        <v>61015</v>
      </c>
      <c r="QO79" s="1" t="s">
        <v>61016</v>
      </c>
      <c r="QP79" s="1" t="s">
        <v>61017</v>
      </c>
      <c r="QQ79" s="1" t="s">
        <v>61018</v>
      </c>
      <c r="QR79" s="1" t="s">
        <v>61019</v>
      </c>
      <c r="QS79" s="1" t="s">
        <v>61020</v>
      </c>
      <c r="QT79" s="1" t="s">
        <v>61021</v>
      </c>
      <c r="QU79" s="1" t="s">
        <v>61022</v>
      </c>
      <c r="QV79" s="1" t="s">
        <v>61023</v>
      </c>
      <c r="QW79" s="1" t="s">
        <v>61024</v>
      </c>
      <c r="QX79" s="1" t="s">
        <v>61025</v>
      </c>
      <c r="QY79" s="1" t="s">
        <v>61026</v>
      </c>
      <c r="QZ79" s="1" t="s">
        <v>61027</v>
      </c>
      <c r="RA79" s="1" t="s">
        <v>61028</v>
      </c>
      <c r="RB79" s="1" t="s">
        <v>61029</v>
      </c>
      <c r="RC79" s="1" t="s">
        <v>61030</v>
      </c>
      <c r="RD79" s="1" t="s">
        <v>61031</v>
      </c>
      <c r="RE79" s="1" t="s">
        <v>61032</v>
      </c>
      <c r="RF79" s="1" t="s">
        <v>61033</v>
      </c>
      <c r="RG79" s="1" t="s">
        <v>61034</v>
      </c>
      <c r="RH79" s="1" t="s">
        <v>61035</v>
      </c>
      <c r="RI79" s="1" t="s">
        <v>61036</v>
      </c>
      <c r="RJ79" s="1" t="s">
        <v>61037</v>
      </c>
      <c r="RK79" s="1" t="s">
        <v>61038</v>
      </c>
      <c r="RL79" s="1" t="s">
        <v>61039</v>
      </c>
      <c r="RM79" s="1" t="s">
        <v>61040</v>
      </c>
      <c r="RN79" s="1" t="s">
        <v>61041</v>
      </c>
      <c r="RO79" s="1" t="s">
        <v>61042</v>
      </c>
      <c r="RP79" s="1" t="s">
        <v>61043</v>
      </c>
      <c r="RQ79" s="1" t="s">
        <v>61044</v>
      </c>
      <c r="RR79" s="1" t="s">
        <v>61045</v>
      </c>
      <c r="RS79" s="1" t="s">
        <v>61046</v>
      </c>
      <c r="RT79" s="1" t="s">
        <v>61047</v>
      </c>
      <c r="RU79" s="1" t="s">
        <v>61048</v>
      </c>
      <c r="RV79" s="1" t="s">
        <v>61049</v>
      </c>
      <c r="RW79" s="1" t="s">
        <v>61050</v>
      </c>
      <c r="RX79" s="1" t="s">
        <v>61051</v>
      </c>
      <c r="RY79" s="1" t="s">
        <v>61052</v>
      </c>
      <c r="RZ79" s="1" t="s">
        <v>61053</v>
      </c>
      <c r="SA79" s="1" t="s">
        <v>61054</v>
      </c>
      <c r="SB79" s="1" t="s">
        <v>61055</v>
      </c>
      <c r="SC79" s="1" t="s">
        <v>61056</v>
      </c>
      <c r="SD79" s="1" t="s">
        <v>61057</v>
      </c>
      <c r="SE79" s="1" t="s">
        <v>61058</v>
      </c>
      <c r="SF79" s="1" t="s">
        <v>61059</v>
      </c>
      <c r="SG79" s="1" t="s">
        <v>61060</v>
      </c>
      <c r="SH79" s="1" t="s">
        <v>61061</v>
      </c>
      <c r="SI79" s="1" t="s">
        <v>61062</v>
      </c>
      <c r="SJ79" s="1" t="s">
        <v>61063</v>
      </c>
      <c r="SK79" s="1" t="s">
        <v>61064</v>
      </c>
      <c r="SL79" s="1" t="s">
        <v>61065</v>
      </c>
      <c r="SM79" s="1" t="s">
        <v>61066</v>
      </c>
      <c r="SN79" s="1" t="s">
        <v>61067</v>
      </c>
      <c r="SO79" s="1" t="s">
        <v>61068</v>
      </c>
      <c r="SP79" s="1" t="s">
        <v>61069</v>
      </c>
      <c r="SQ79" s="1" t="s">
        <v>61070</v>
      </c>
      <c r="SR79" s="1" t="s">
        <v>61071</v>
      </c>
      <c r="SS79" s="1" t="s">
        <v>61072</v>
      </c>
      <c r="ST79" s="1" t="s">
        <v>61073</v>
      </c>
      <c r="SU79" s="1" t="s">
        <v>61074</v>
      </c>
      <c r="SV79" s="1" t="s">
        <v>61075</v>
      </c>
      <c r="SW79" s="1" t="s">
        <v>61076</v>
      </c>
      <c r="SX79" s="1" t="s">
        <v>61077</v>
      </c>
      <c r="SY79" s="1" t="s">
        <v>61078</v>
      </c>
      <c r="SZ79" s="1" t="s">
        <v>61079</v>
      </c>
      <c r="TA79" s="1" t="s">
        <v>61080</v>
      </c>
      <c r="TB79" s="1" t="s">
        <v>61081</v>
      </c>
      <c r="TC79" s="1" t="s">
        <v>61082</v>
      </c>
      <c r="TD79" s="1" t="s">
        <v>61083</v>
      </c>
      <c r="TE79" s="1" t="s">
        <v>61084</v>
      </c>
      <c r="TF79" s="1" t="s">
        <v>61085</v>
      </c>
      <c r="TG79" s="1" t="s">
        <v>61086</v>
      </c>
      <c r="TH79" s="1" t="s">
        <v>61087</v>
      </c>
      <c r="TI79" s="1" t="s">
        <v>61088</v>
      </c>
      <c r="TJ79" s="1" t="s">
        <v>61089</v>
      </c>
      <c r="TK79" s="1" t="s">
        <v>61090</v>
      </c>
      <c r="TL79" s="1" t="s">
        <v>61091</v>
      </c>
      <c r="TM79" s="1" t="s">
        <v>61092</v>
      </c>
      <c r="TN79" s="1" t="s">
        <v>61093</v>
      </c>
      <c r="TO79" s="1" t="s">
        <v>61094</v>
      </c>
      <c r="TP79" s="1" t="s">
        <v>61095</v>
      </c>
      <c r="TQ79" s="1" t="s">
        <v>61096</v>
      </c>
      <c r="TR79" s="1" t="s">
        <v>61097</v>
      </c>
      <c r="TS79" s="1" t="s">
        <v>61098</v>
      </c>
      <c r="TT79" s="1" t="s">
        <v>61099</v>
      </c>
      <c r="TU79" s="1" t="s">
        <v>61100</v>
      </c>
      <c r="TV79" s="1" t="s">
        <v>61101</v>
      </c>
      <c r="TW79" s="1" t="s">
        <v>61102</v>
      </c>
      <c r="TX79" s="1" t="s">
        <v>61103</v>
      </c>
      <c r="TY79" s="1" t="s">
        <v>61104</v>
      </c>
      <c r="TZ79" s="1" t="s">
        <v>61105</v>
      </c>
      <c r="UA79" s="1" t="s">
        <v>61106</v>
      </c>
      <c r="UB79" s="1" t="s">
        <v>61107</v>
      </c>
      <c r="UC79" s="1" t="s">
        <v>61108</v>
      </c>
      <c r="UD79" s="1" t="s">
        <v>61109</v>
      </c>
      <c r="UE79" s="1" t="s">
        <v>61110</v>
      </c>
      <c r="UF79" s="1" t="s">
        <v>61111</v>
      </c>
      <c r="UG79" s="1" t="s">
        <v>61112</v>
      </c>
      <c r="UH79" s="1" t="s">
        <v>61113</v>
      </c>
      <c r="UI79" s="1" t="s">
        <v>61114</v>
      </c>
      <c r="UJ79" s="1" t="s">
        <v>61115</v>
      </c>
      <c r="UK79" s="1" t="s">
        <v>61116</v>
      </c>
      <c r="UL79" s="1" t="s">
        <v>61117</v>
      </c>
      <c r="UM79" s="1" t="s">
        <v>61118</v>
      </c>
      <c r="UN79" s="1" t="s">
        <v>61119</v>
      </c>
      <c r="UO79" s="1" t="s">
        <v>61120</v>
      </c>
      <c r="UP79" s="1" t="s">
        <v>61121</v>
      </c>
      <c r="UQ79" s="1" t="s">
        <v>61122</v>
      </c>
      <c r="UR79" s="1" t="s">
        <v>61123</v>
      </c>
      <c r="US79" s="1" t="s">
        <v>61124</v>
      </c>
      <c r="UT79" s="1" t="s">
        <v>61125</v>
      </c>
      <c r="UU79" s="1" t="s">
        <v>61126</v>
      </c>
      <c r="UV79" s="1" t="s">
        <v>61127</v>
      </c>
      <c r="UW79" s="1" t="s">
        <v>61128</v>
      </c>
      <c r="UX79" s="1" t="s">
        <v>61129</v>
      </c>
      <c r="UY79" s="1" t="s">
        <v>61130</v>
      </c>
      <c r="UZ79" s="1" t="s">
        <v>61131</v>
      </c>
      <c r="VA79" s="1" t="s">
        <v>61132</v>
      </c>
      <c r="VB79" s="1" t="s">
        <v>61133</v>
      </c>
      <c r="VC79" s="1" t="s">
        <v>61134</v>
      </c>
      <c r="VD79" s="1" t="s">
        <v>61135</v>
      </c>
      <c r="VE79" s="1" t="s">
        <v>61136</v>
      </c>
      <c r="VF79" s="1" t="s">
        <v>61137</v>
      </c>
      <c r="VG79" s="1" t="s">
        <v>61138</v>
      </c>
      <c r="VH79" s="1" t="s">
        <v>61139</v>
      </c>
      <c r="VI79" s="1" t="s">
        <v>61140</v>
      </c>
      <c r="VJ79" s="1" t="s">
        <v>61141</v>
      </c>
      <c r="VK79" s="1" t="s">
        <v>61142</v>
      </c>
      <c r="VL79" s="1" t="s">
        <v>61143</v>
      </c>
      <c r="VM79" s="1" t="s">
        <v>61144</v>
      </c>
      <c r="VN79" s="1" t="s">
        <v>61145</v>
      </c>
      <c r="VO79" s="1" t="s">
        <v>61146</v>
      </c>
      <c r="VP79" s="1" t="s">
        <v>61147</v>
      </c>
      <c r="VQ79" s="1" t="s">
        <v>61148</v>
      </c>
      <c r="VR79" s="1" t="s">
        <v>61149</v>
      </c>
      <c r="VS79" s="1" t="s">
        <v>61150</v>
      </c>
      <c r="VT79" s="1" t="s">
        <v>61151</v>
      </c>
      <c r="VU79" s="1" t="s">
        <v>61152</v>
      </c>
      <c r="VV79" s="1" t="s">
        <v>61153</v>
      </c>
      <c r="VW79" s="1" t="s">
        <v>61154</v>
      </c>
      <c r="VX79" s="1" t="s">
        <v>61155</v>
      </c>
      <c r="VY79" s="1" t="s">
        <v>61156</v>
      </c>
      <c r="VZ79" s="1" t="s">
        <v>61157</v>
      </c>
      <c r="WA79" s="1" t="s">
        <v>61158</v>
      </c>
      <c r="WB79" s="1" t="s">
        <v>61159</v>
      </c>
      <c r="WC79" s="1" t="s">
        <v>61160</v>
      </c>
      <c r="WD79" s="1" t="s">
        <v>61161</v>
      </c>
      <c r="WE79" s="1" t="s">
        <v>61162</v>
      </c>
      <c r="WF79" s="1" t="s">
        <v>61163</v>
      </c>
      <c r="WG79" s="1" t="s">
        <v>61164</v>
      </c>
      <c r="WH79" s="1" t="s">
        <v>61165</v>
      </c>
      <c r="WI79" s="1" t="s">
        <v>61166</v>
      </c>
      <c r="WJ79" s="1" t="s">
        <v>61167</v>
      </c>
      <c r="WK79" s="1" t="s">
        <v>61168</v>
      </c>
      <c r="WL79" s="1" t="s">
        <v>61169</v>
      </c>
      <c r="WM79" s="1" t="s">
        <v>61170</v>
      </c>
      <c r="WN79" s="1" t="s">
        <v>61171</v>
      </c>
      <c r="WO79" s="1" t="s">
        <v>61172</v>
      </c>
      <c r="WP79" s="1" t="s">
        <v>61173</v>
      </c>
      <c r="WQ79" s="1" t="s">
        <v>61174</v>
      </c>
      <c r="WR79" s="1" t="s">
        <v>61175</v>
      </c>
      <c r="WS79" s="1" t="s">
        <v>61176</v>
      </c>
      <c r="WT79" s="1" t="s">
        <v>61177</v>
      </c>
      <c r="WU79" s="1" t="s">
        <v>61178</v>
      </c>
      <c r="WV79" s="1" t="s">
        <v>61179</v>
      </c>
      <c r="WW79" s="1" t="s">
        <v>61180</v>
      </c>
      <c r="WX79" s="1" t="s">
        <v>61181</v>
      </c>
      <c r="WY79" s="1" t="s">
        <v>61182</v>
      </c>
      <c r="WZ79" s="1" t="s">
        <v>61183</v>
      </c>
      <c r="XA79" s="1" t="s">
        <v>61184</v>
      </c>
      <c r="XB79" s="1" t="s">
        <v>61185</v>
      </c>
      <c r="XC79" s="1" t="s">
        <v>61186</v>
      </c>
      <c r="XD79" s="1" t="s">
        <v>61187</v>
      </c>
      <c r="XE79" s="1" t="s">
        <v>61188</v>
      </c>
      <c r="XF79" s="1" t="s">
        <v>61189</v>
      </c>
      <c r="XG79" s="1" t="s">
        <v>61190</v>
      </c>
      <c r="XH79" s="1" t="s">
        <v>61191</v>
      </c>
      <c r="XI79" s="1" t="s">
        <v>61192</v>
      </c>
      <c r="XJ79" s="1" t="s">
        <v>61193</v>
      </c>
      <c r="XK79" s="1" t="s">
        <v>61194</v>
      </c>
      <c r="XL79" s="1" t="s">
        <v>61195</v>
      </c>
      <c r="XM79" s="1" t="s">
        <v>61196</v>
      </c>
      <c r="XN79" s="1" t="s">
        <v>61197</v>
      </c>
      <c r="XO79" s="1" t="s">
        <v>61198</v>
      </c>
      <c r="XP79" s="1" t="s">
        <v>61199</v>
      </c>
      <c r="XQ79" s="1" t="s">
        <v>61200</v>
      </c>
      <c r="XR79" s="1" t="s">
        <v>61201</v>
      </c>
      <c r="XS79" s="1" t="s">
        <v>61202</v>
      </c>
      <c r="XT79" s="1" t="s">
        <v>61203</v>
      </c>
      <c r="XU79" s="1" t="s">
        <v>61204</v>
      </c>
      <c r="XV79" s="1" t="s">
        <v>61205</v>
      </c>
      <c r="XW79" s="1" t="s">
        <v>61206</v>
      </c>
      <c r="XX79" s="1" t="s">
        <v>61207</v>
      </c>
      <c r="XY79" s="1" t="s">
        <v>61208</v>
      </c>
      <c r="XZ79" s="1" t="s">
        <v>61209</v>
      </c>
      <c r="YA79" s="1" t="s">
        <v>61210</v>
      </c>
      <c r="YB79" s="1" t="s">
        <v>61211</v>
      </c>
      <c r="YC79" s="1" t="s">
        <v>61212</v>
      </c>
      <c r="YD79" s="1" t="s">
        <v>61213</v>
      </c>
      <c r="YE79" s="1" t="s">
        <v>61214</v>
      </c>
      <c r="YF79" s="1" t="s">
        <v>61215</v>
      </c>
      <c r="YG79" s="1" t="s">
        <v>61216</v>
      </c>
      <c r="YH79" s="1" t="s">
        <v>61217</v>
      </c>
      <c r="YI79" s="1" t="s">
        <v>61218</v>
      </c>
      <c r="YJ79" s="1" t="s">
        <v>61219</v>
      </c>
      <c r="YK79" s="1" t="s">
        <v>61220</v>
      </c>
      <c r="YL79" s="1" t="s">
        <v>61221</v>
      </c>
      <c r="YM79" s="1" t="s">
        <v>61222</v>
      </c>
      <c r="YN79" s="1" t="s">
        <v>61223</v>
      </c>
      <c r="YO79" s="1" t="s">
        <v>61224</v>
      </c>
      <c r="YP79" s="1" t="s">
        <v>61225</v>
      </c>
      <c r="YQ79" s="1" t="s">
        <v>61226</v>
      </c>
      <c r="YR79" s="1" t="s">
        <v>61227</v>
      </c>
      <c r="YS79" s="1" t="s">
        <v>61228</v>
      </c>
      <c r="YT79" s="1" t="s">
        <v>61229</v>
      </c>
      <c r="YU79" s="1" t="s">
        <v>61230</v>
      </c>
      <c r="YV79" s="1" t="s">
        <v>61231</v>
      </c>
      <c r="YW79" s="1" t="s">
        <v>61232</v>
      </c>
      <c r="YX79" s="1" t="s">
        <v>61233</v>
      </c>
      <c r="YY79" s="1" t="s">
        <v>61234</v>
      </c>
      <c r="YZ79" s="1" t="s">
        <v>61235</v>
      </c>
      <c r="ZA79" s="1" t="s">
        <v>61236</v>
      </c>
      <c r="ZB79" s="1" t="s">
        <v>61237</v>
      </c>
      <c r="ZC79" s="1" t="s">
        <v>61238</v>
      </c>
      <c r="ZD79" s="1" t="s">
        <v>61239</v>
      </c>
      <c r="ZE79" s="1" t="s">
        <v>61240</v>
      </c>
      <c r="ZF79" s="1" t="s">
        <v>61241</v>
      </c>
      <c r="ZG79" s="1" t="s">
        <v>61242</v>
      </c>
      <c r="ZH79" s="1" t="s">
        <v>61243</v>
      </c>
      <c r="ZI79" s="1" t="s">
        <v>61244</v>
      </c>
      <c r="ZJ79" s="1" t="s">
        <v>61245</v>
      </c>
      <c r="ZK79" s="1" t="s">
        <v>61246</v>
      </c>
      <c r="ZL79" s="1" t="s">
        <v>61247</v>
      </c>
      <c r="ZM79" s="1" t="s">
        <v>61248</v>
      </c>
      <c r="ZN79" s="1" t="s">
        <v>61249</v>
      </c>
      <c r="ZO79" s="1" t="s">
        <v>61250</v>
      </c>
      <c r="ZP79" s="1" t="s">
        <v>61251</v>
      </c>
      <c r="ZQ79" s="1" t="s">
        <v>61252</v>
      </c>
      <c r="ZR79" s="1" t="s">
        <v>61253</v>
      </c>
      <c r="ZS79" s="1" t="s">
        <v>61254</v>
      </c>
      <c r="ZT79" s="1" t="s">
        <v>61255</v>
      </c>
      <c r="ZU79" s="1" t="s">
        <v>61256</v>
      </c>
      <c r="ZV79" s="1" t="s">
        <v>61257</v>
      </c>
      <c r="ZW79" s="1" t="s">
        <v>61258</v>
      </c>
      <c r="ZX79" s="1" t="s">
        <v>61259</v>
      </c>
      <c r="ZY79" s="1" t="s">
        <v>61260</v>
      </c>
      <c r="ZZ79" s="1" t="s">
        <v>61261</v>
      </c>
      <c r="AAA79" s="1" t="s">
        <v>61262</v>
      </c>
      <c r="AAB79" s="1" t="s">
        <v>61263</v>
      </c>
      <c r="AAC79" s="1" t="s">
        <v>61264</v>
      </c>
      <c r="AAD79" s="1" t="s">
        <v>61265</v>
      </c>
      <c r="AAE79" s="1" t="s">
        <v>61266</v>
      </c>
      <c r="AAF79" s="1" t="s">
        <v>61267</v>
      </c>
      <c r="AAG79" s="1" t="s">
        <v>61268</v>
      </c>
      <c r="AAH79" s="1" t="s">
        <v>61269</v>
      </c>
      <c r="AAI79" s="1" t="s">
        <v>61270</v>
      </c>
      <c r="AAJ79" s="1" t="s">
        <v>61271</v>
      </c>
      <c r="AAK79" s="1" t="s">
        <v>61272</v>
      </c>
      <c r="AAL79" s="1" t="s">
        <v>61273</v>
      </c>
      <c r="AAM79" s="1" t="s">
        <v>61274</v>
      </c>
      <c r="AAN79" s="1" t="s">
        <v>61275</v>
      </c>
      <c r="AAO79" s="1" t="s">
        <v>61276</v>
      </c>
      <c r="AAP79" s="1" t="s">
        <v>61277</v>
      </c>
      <c r="AAQ79" s="1" t="s">
        <v>61278</v>
      </c>
      <c r="AAR79" s="1" t="s">
        <v>61279</v>
      </c>
      <c r="AAS79" s="1" t="s">
        <v>61280</v>
      </c>
      <c r="AAT79" s="1" t="s">
        <v>61281</v>
      </c>
      <c r="AAU79" s="1" t="s">
        <v>61282</v>
      </c>
      <c r="AAV79" s="1" t="s">
        <v>61283</v>
      </c>
      <c r="AAW79" s="1" t="s">
        <v>61284</v>
      </c>
      <c r="AAX79" s="1" t="s">
        <v>61285</v>
      </c>
      <c r="AAY79" s="1" t="s">
        <v>61286</v>
      </c>
      <c r="AAZ79" s="1" t="s">
        <v>61287</v>
      </c>
      <c r="ABA79" s="1" t="s">
        <v>61288</v>
      </c>
      <c r="ABB79" s="1" t="s">
        <v>61289</v>
      </c>
      <c r="ABC79" s="1" t="s">
        <v>61290</v>
      </c>
      <c r="ABD79" s="1" t="s">
        <v>61291</v>
      </c>
      <c r="ABE79" s="1" t="s">
        <v>61292</v>
      </c>
      <c r="ABF79" s="1" t="s">
        <v>61293</v>
      </c>
      <c r="ABG79" s="1" t="s">
        <v>61294</v>
      </c>
      <c r="ABH79" s="1" t="s">
        <v>61295</v>
      </c>
      <c r="ABI79" s="1" t="s">
        <v>61296</v>
      </c>
      <c r="ABJ79" s="1" t="s">
        <v>61297</v>
      </c>
      <c r="ABK79" s="1" t="s">
        <v>61298</v>
      </c>
      <c r="ABL79" s="1" t="s">
        <v>61299</v>
      </c>
      <c r="ABM79" s="1" t="s">
        <v>61300</v>
      </c>
      <c r="ABN79" s="1" t="s">
        <v>61301</v>
      </c>
      <c r="ABO79" s="1" t="s">
        <v>61302</v>
      </c>
      <c r="ABP79" s="1" t="s">
        <v>61303</v>
      </c>
      <c r="ABQ79" s="1" t="s">
        <v>61304</v>
      </c>
      <c r="ABR79" s="1" t="s">
        <v>61305</v>
      </c>
      <c r="ABS79" s="1" t="s">
        <v>61306</v>
      </c>
      <c r="ABT79" s="1" t="s">
        <v>61307</v>
      </c>
      <c r="ABU79" s="1" t="s">
        <v>61308</v>
      </c>
      <c r="ABV79" s="1" t="s">
        <v>61309</v>
      </c>
      <c r="ABW79" s="1" t="s">
        <v>61310</v>
      </c>
      <c r="ABX79" s="1" t="s">
        <v>61311</v>
      </c>
      <c r="ABY79" s="1" t="s">
        <v>61312</v>
      </c>
      <c r="ABZ79" s="1" t="s">
        <v>61313</v>
      </c>
      <c r="ACA79" s="1" t="s">
        <v>61314</v>
      </c>
      <c r="ACB79" s="1" t="s">
        <v>61315</v>
      </c>
      <c r="ACC79" s="1" t="s">
        <v>61316</v>
      </c>
      <c r="ACD79" s="1" t="s">
        <v>61317</v>
      </c>
      <c r="ACE79" s="1" t="s">
        <v>61318</v>
      </c>
      <c r="ACF79" s="1" t="s">
        <v>61319</v>
      </c>
      <c r="ACG79" s="1" t="s">
        <v>61320</v>
      </c>
      <c r="ACH79" s="1" t="s">
        <v>61321</v>
      </c>
      <c r="ACI79" s="1" t="s">
        <v>61322</v>
      </c>
      <c r="ACJ79" s="1" t="s">
        <v>61323</v>
      </c>
      <c r="ACK79" s="1" t="s">
        <v>61324</v>
      </c>
      <c r="ACL79" s="1" t="s">
        <v>61325</v>
      </c>
      <c r="ACM79" s="1" t="s">
        <v>61326</v>
      </c>
      <c r="ACN79" s="1" t="s">
        <v>61327</v>
      </c>
      <c r="ACO79" s="1" t="s">
        <v>61328</v>
      </c>
      <c r="ACP79" s="1" t="s">
        <v>61329</v>
      </c>
      <c r="ACQ79" s="1" t="s">
        <v>61330</v>
      </c>
      <c r="ACR79" s="1" t="s">
        <v>61331</v>
      </c>
      <c r="ACS79" s="1" t="s">
        <v>61332</v>
      </c>
      <c r="ACT79" s="1" t="s">
        <v>61333</v>
      </c>
      <c r="ACU79" s="1" t="s">
        <v>61334</v>
      </c>
      <c r="ACV79" s="1" t="s">
        <v>61335</v>
      </c>
      <c r="ACW79" s="1" t="s">
        <v>3</v>
      </c>
      <c r="ACX79" s="1" t="s">
        <v>1503</v>
      </c>
    </row>
    <row r="80" spans="1:778" x14ac:dyDescent="0.2">
      <c r="A80" s="1" t="s">
        <v>5</v>
      </c>
      <c r="B80" s="1" t="s">
        <v>61336</v>
      </c>
      <c r="C80" s="1" t="s">
        <v>61337</v>
      </c>
      <c r="D80" s="1" t="s">
        <v>61338</v>
      </c>
      <c r="E80" s="1" t="s">
        <v>61339</v>
      </c>
      <c r="F80" s="1" t="s">
        <v>61340</v>
      </c>
      <c r="G80" s="1" t="s">
        <v>61341</v>
      </c>
      <c r="H80" s="1" t="s">
        <v>61342</v>
      </c>
      <c r="I80" s="1" t="s">
        <v>61343</v>
      </c>
      <c r="J80" s="1" t="s">
        <v>61344</v>
      </c>
      <c r="K80" s="1" t="s">
        <v>61345</v>
      </c>
      <c r="L80" s="1" t="s">
        <v>61346</v>
      </c>
      <c r="M80" s="1" t="s">
        <v>61347</v>
      </c>
      <c r="N80" s="1" t="s">
        <v>61348</v>
      </c>
      <c r="O80" s="1" t="s">
        <v>61349</v>
      </c>
      <c r="P80" s="1" t="s">
        <v>61350</v>
      </c>
      <c r="Q80" s="1" t="s">
        <v>61351</v>
      </c>
      <c r="R80" s="1" t="s">
        <v>61352</v>
      </c>
      <c r="S80" s="1" t="s">
        <v>61353</v>
      </c>
      <c r="T80" s="1" t="s">
        <v>61354</v>
      </c>
      <c r="U80" s="1" t="s">
        <v>61355</v>
      </c>
      <c r="V80" s="1" t="s">
        <v>61356</v>
      </c>
      <c r="W80" s="1" t="s">
        <v>61357</v>
      </c>
      <c r="X80" s="1" t="s">
        <v>61358</v>
      </c>
      <c r="Y80" s="1" t="s">
        <v>61359</v>
      </c>
      <c r="Z80" s="1" t="s">
        <v>61360</v>
      </c>
      <c r="AA80" s="1" t="s">
        <v>61361</v>
      </c>
      <c r="AB80" s="1" t="s">
        <v>61362</v>
      </c>
      <c r="AC80" s="1" t="s">
        <v>61363</v>
      </c>
      <c r="AD80" s="1" t="s">
        <v>61364</v>
      </c>
      <c r="AE80" s="1" t="s">
        <v>61365</v>
      </c>
      <c r="AF80" s="1" t="s">
        <v>61366</v>
      </c>
      <c r="AG80" s="1" t="s">
        <v>61367</v>
      </c>
      <c r="AH80" s="1" t="s">
        <v>61368</v>
      </c>
      <c r="AI80" s="1" t="s">
        <v>61369</v>
      </c>
      <c r="AJ80" s="1" t="s">
        <v>61370</v>
      </c>
      <c r="AK80" s="1" t="s">
        <v>61371</v>
      </c>
      <c r="AL80" s="1" t="s">
        <v>61372</v>
      </c>
      <c r="AM80" s="1" t="s">
        <v>61373</v>
      </c>
      <c r="AN80" s="1" t="s">
        <v>61374</v>
      </c>
      <c r="AO80" s="1" t="s">
        <v>61375</v>
      </c>
      <c r="AP80" s="1" t="s">
        <v>61376</v>
      </c>
      <c r="AQ80" s="1" t="s">
        <v>61377</v>
      </c>
      <c r="AR80" s="1" t="s">
        <v>61378</v>
      </c>
      <c r="AS80" s="1" t="s">
        <v>61379</v>
      </c>
      <c r="AT80" s="1" t="s">
        <v>61380</v>
      </c>
      <c r="AU80" s="1" t="s">
        <v>61381</v>
      </c>
      <c r="AV80" s="1" t="s">
        <v>61382</v>
      </c>
      <c r="AW80" s="1" t="s">
        <v>61383</v>
      </c>
      <c r="AX80" s="1" t="s">
        <v>61384</v>
      </c>
      <c r="AY80" s="1" t="s">
        <v>61385</v>
      </c>
      <c r="AZ80" s="1" t="s">
        <v>61386</v>
      </c>
      <c r="BA80" s="1" t="s">
        <v>61387</v>
      </c>
      <c r="BB80" s="1" t="s">
        <v>61388</v>
      </c>
      <c r="BC80" s="1" t="s">
        <v>61389</v>
      </c>
      <c r="BD80" s="1" t="s">
        <v>61390</v>
      </c>
      <c r="BE80" s="1" t="s">
        <v>61391</v>
      </c>
      <c r="BF80" s="1" t="s">
        <v>61392</v>
      </c>
      <c r="BG80" s="1" t="s">
        <v>61393</v>
      </c>
      <c r="BH80" s="1" t="s">
        <v>61394</v>
      </c>
      <c r="BI80" s="1" t="s">
        <v>61395</v>
      </c>
      <c r="BJ80" s="1" t="s">
        <v>61396</v>
      </c>
      <c r="BK80" s="1" t="s">
        <v>61397</v>
      </c>
      <c r="BL80" s="1" t="s">
        <v>61398</v>
      </c>
      <c r="BM80" s="1" t="s">
        <v>61399</v>
      </c>
      <c r="BN80" s="1" t="s">
        <v>61400</v>
      </c>
      <c r="BO80" s="1" t="s">
        <v>61401</v>
      </c>
      <c r="BP80" s="1" t="s">
        <v>61402</v>
      </c>
      <c r="BQ80" s="1" t="s">
        <v>61403</v>
      </c>
      <c r="BR80" s="1" t="s">
        <v>61404</v>
      </c>
      <c r="BS80" s="1" t="s">
        <v>61405</v>
      </c>
      <c r="BT80" s="1" t="s">
        <v>61406</v>
      </c>
      <c r="BU80" s="1" t="s">
        <v>61407</v>
      </c>
      <c r="BV80" s="1" t="s">
        <v>61408</v>
      </c>
      <c r="BW80" s="1" t="s">
        <v>61409</v>
      </c>
      <c r="BX80" s="1" t="s">
        <v>61410</v>
      </c>
      <c r="BY80" s="1" t="s">
        <v>61411</v>
      </c>
      <c r="BZ80" s="1" t="s">
        <v>61412</v>
      </c>
      <c r="CA80" s="1" t="s">
        <v>61413</v>
      </c>
      <c r="CB80" s="1" t="s">
        <v>61414</v>
      </c>
      <c r="CC80" s="1" t="s">
        <v>61415</v>
      </c>
      <c r="CD80" s="1" t="s">
        <v>61416</v>
      </c>
      <c r="CE80" s="1" t="s">
        <v>61417</v>
      </c>
      <c r="CF80" s="1" t="s">
        <v>61418</v>
      </c>
      <c r="CG80" s="1" t="s">
        <v>61419</v>
      </c>
      <c r="CH80" s="1" t="s">
        <v>61420</v>
      </c>
      <c r="CI80" s="1" t="s">
        <v>61421</v>
      </c>
      <c r="CJ80" s="1" t="s">
        <v>61422</v>
      </c>
      <c r="CK80" s="1" t="s">
        <v>61423</v>
      </c>
      <c r="CL80" s="1" t="s">
        <v>61424</v>
      </c>
      <c r="CM80" s="1" t="s">
        <v>61425</v>
      </c>
      <c r="CN80" s="1" t="s">
        <v>61426</v>
      </c>
      <c r="CO80" s="1" t="s">
        <v>61427</v>
      </c>
      <c r="CP80" s="1" t="s">
        <v>61428</v>
      </c>
      <c r="CQ80" s="1" t="s">
        <v>61429</v>
      </c>
      <c r="CR80" s="1" t="s">
        <v>61430</v>
      </c>
      <c r="CS80" s="1" t="s">
        <v>61431</v>
      </c>
      <c r="CT80" s="1" t="s">
        <v>61432</v>
      </c>
      <c r="CU80" s="1" t="s">
        <v>61433</v>
      </c>
      <c r="CV80" s="1" t="s">
        <v>61434</v>
      </c>
      <c r="CW80" s="1" t="s">
        <v>61435</v>
      </c>
      <c r="CX80" s="1" t="s">
        <v>61436</v>
      </c>
      <c r="CY80" s="1" t="s">
        <v>61437</v>
      </c>
      <c r="CZ80" s="1" t="s">
        <v>61438</v>
      </c>
      <c r="DA80" s="1" t="s">
        <v>61439</v>
      </c>
      <c r="DB80" s="1" t="s">
        <v>61440</v>
      </c>
      <c r="DC80" s="1" t="s">
        <v>61441</v>
      </c>
      <c r="DD80" s="1" t="s">
        <v>61442</v>
      </c>
      <c r="DE80" s="1" t="s">
        <v>61443</v>
      </c>
      <c r="DF80" s="1" t="s">
        <v>61444</v>
      </c>
      <c r="DG80" s="1" t="s">
        <v>61445</v>
      </c>
      <c r="DH80" s="1" t="s">
        <v>61446</v>
      </c>
      <c r="DI80" s="1" t="s">
        <v>61447</v>
      </c>
      <c r="DJ80" s="1" t="s">
        <v>61448</v>
      </c>
      <c r="DK80" s="1" t="s">
        <v>61449</v>
      </c>
      <c r="DL80" s="1" t="s">
        <v>61450</v>
      </c>
      <c r="DM80" s="1" t="s">
        <v>61451</v>
      </c>
      <c r="DN80" s="1" t="s">
        <v>61452</v>
      </c>
      <c r="DO80" s="1" t="s">
        <v>61453</v>
      </c>
      <c r="DP80" s="1" t="s">
        <v>61454</v>
      </c>
      <c r="DQ80" s="1" t="s">
        <v>61455</v>
      </c>
      <c r="DR80" s="1" t="s">
        <v>61456</v>
      </c>
      <c r="DS80" s="1" t="s">
        <v>61457</v>
      </c>
      <c r="DT80" s="1" t="s">
        <v>61458</v>
      </c>
      <c r="DU80" s="1" t="s">
        <v>61459</v>
      </c>
      <c r="DV80" s="1" t="s">
        <v>61460</v>
      </c>
      <c r="DW80" s="1" t="s">
        <v>61461</v>
      </c>
      <c r="DX80" s="1" t="s">
        <v>61462</v>
      </c>
      <c r="DY80" s="1" t="s">
        <v>61463</v>
      </c>
      <c r="DZ80" s="1" t="s">
        <v>61464</v>
      </c>
      <c r="EA80" s="1" t="s">
        <v>61465</v>
      </c>
      <c r="EB80" s="1" t="s">
        <v>61466</v>
      </c>
      <c r="EC80" s="1" t="s">
        <v>61467</v>
      </c>
      <c r="ED80" s="1" t="s">
        <v>61468</v>
      </c>
      <c r="EE80" s="1" t="s">
        <v>61469</v>
      </c>
      <c r="EF80" s="1" t="s">
        <v>61470</v>
      </c>
      <c r="EG80" s="1" t="s">
        <v>61471</v>
      </c>
      <c r="EH80" s="1" t="s">
        <v>61472</v>
      </c>
      <c r="EI80" s="1" t="s">
        <v>61473</v>
      </c>
      <c r="EJ80" s="1" t="s">
        <v>61474</v>
      </c>
      <c r="EK80" s="1" t="s">
        <v>61475</v>
      </c>
      <c r="EL80" s="1" t="s">
        <v>61476</v>
      </c>
      <c r="EM80" s="1" t="s">
        <v>61477</v>
      </c>
      <c r="EN80" s="1" t="s">
        <v>61478</v>
      </c>
      <c r="EO80" s="1" t="s">
        <v>61479</v>
      </c>
      <c r="EP80" s="1" t="s">
        <v>61480</v>
      </c>
      <c r="EQ80" s="1" t="s">
        <v>61481</v>
      </c>
      <c r="ER80" s="1" t="s">
        <v>61482</v>
      </c>
      <c r="ES80" s="1" t="s">
        <v>61483</v>
      </c>
      <c r="ET80" s="1" t="s">
        <v>61484</v>
      </c>
      <c r="EU80" s="1" t="s">
        <v>61485</v>
      </c>
      <c r="EV80" s="1" t="s">
        <v>61486</v>
      </c>
      <c r="EW80" s="1" t="s">
        <v>61487</v>
      </c>
      <c r="EX80" s="1" t="s">
        <v>61488</v>
      </c>
      <c r="EY80" s="1" t="s">
        <v>61489</v>
      </c>
      <c r="EZ80" s="1" t="s">
        <v>61490</v>
      </c>
      <c r="FA80" s="1" t="s">
        <v>61491</v>
      </c>
      <c r="FB80" s="1" t="s">
        <v>61492</v>
      </c>
      <c r="FC80" s="1" t="s">
        <v>61493</v>
      </c>
      <c r="FD80" s="1" t="s">
        <v>61494</v>
      </c>
      <c r="FE80" s="1" t="s">
        <v>61495</v>
      </c>
      <c r="FF80" s="1" t="s">
        <v>61496</v>
      </c>
      <c r="FG80" s="1" t="s">
        <v>61497</v>
      </c>
      <c r="FH80" s="1" t="s">
        <v>61498</v>
      </c>
      <c r="FI80" s="1" t="s">
        <v>61499</v>
      </c>
      <c r="FJ80" s="1" t="s">
        <v>61500</v>
      </c>
      <c r="FK80" s="1" t="s">
        <v>61501</v>
      </c>
      <c r="FL80" s="1" t="s">
        <v>61502</v>
      </c>
      <c r="FM80" s="1" t="s">
        <v>61503</v>
      </c>
      <c r="FN80" s="1" t="s">
        <v>61504</v>
      </c>
      <c r="FO80" s="1" t="s">
        <v>61505</v>
      </c>
      <c r="FP80" s="1" t="s">
        <v>61506</v>
      </c>
      <c r="FQ80" s="1" t="s">
        <v>61507</v>
      </c>
      <c r="FR80" s="1" t="s">
        <v>61508</v>
      </c>
      <c r="FS80" s="1" t="s">
        <v>61509</v>
      </c>
      <c r="FT80" s="1" t="s">
        <v>61510</v>
      </c>
      <c r="FU80" s="1" t="s">
        <v>61511</v>
      </c>
      <c r="FV80" s="1" t="s">
        <v>61512</v>
      </c>
      <c r="FW80" s="1" t="s">
        <v>61513</v>
      </c>
      <c r="FX80" s="1" t="s">
        <v>61514</v>
      </c>
      <c r="FY80" s="1" t="s">
        <v>61515</v>
      </c>
      <c r="FZ80" s="1" t="s">
        <v>61516</v>
      </c>
      <c r="GA80" s="1" t="s">
        <v>61517</v>
      </c>
      <c r="GB80" s="1" t="s">
        <v>61518</v>
      </c>
      <c r="GC80" s="1" t="s">
        <v>61519</v>
      </c>
      <c r="GD80" s="1" t="s">
        <v>61520</v>
      </c>
      <c r="GE80" s="1" t="s">
        <v>61521</v>
      </c>
      <c r="GF80" s="1" t="s">
        <v>61522</v>
      </c>
      <c r="GG80" s="1" t="s">
        <v>61523</v>
      </c>
      <c r="GH80" s="1" t="s">
        <v>61524</v>
      </c>
      <c r="GI80" s="1" t="s">
        <v>61525</v>
      </c>
      <c r="GJ80" s="1" t="s">
        <v>61526</v>
      </c>
      <c r="GK80" s="1" t="s">
        <v>61527</v>
      </c>
      <c r="GL80" s="1" t="s">
        <v>61528</v>
      </c>
      <c r="GM80" s="1" t="s">
        <v>61529</v>
      </c>
      <c r="GN80" s="1" t="s">
        <v>61530</v>
      </c>
      <c r="GO80" s="1" t="s">
        <v>61531</v>
      </c>
      <c r="GP80" s="1" t="s">
        <v>61532</v>
      </c>
      <c r="GQ80" s="1" t="s">
        <v>61533</v>
      </c>
      <c r="GR80" s="1" t="s">
        <v>61534</v>
      </c>
      <c r="GS80" s="1" t="s">
        <v>61535</v>
      </c>
      <c r="GT80" s="1" t="s">
        <v>61536</v>
      </c>
      <c r="GU80" s="1" t="s">
        <v>61537</v>
      </c>
      <c r="GV80" s="1" t="s">
        <v>61538</v>
      </c>
      <c r="GW80" s="1" t="s">
        <v>61539</v>
      </c>
      <c r="GX80" s="1" t="s">
        <v>61540</v>
      </c>
      <c r="GY80" s="1" t="s">
        <v>61541</v>
      </c>
      <c r="GZ80" s="1" t="s">
        <v>61542</v>
      </c>
      <c r="HA80" s="1" t="s">
        <v>61543</v>
      </c>
      <c r="HB80" s="1" t="s">
        <v>61544</v>
      </c>
      <c r="HC80" s="1" t="s">
        <v>61545</v>
      </c>
      <c r="HD80" s="1" t="s">
        <v>61546</v>
      </c>
      <c r="HE80" s="1" t="s">
        <v>61547</v>
      </c>
      <c r="HF80" s="1" t="s">
        <v>61548</v>
      </c>
      <c r="HG80" s="1" t="s">
        <v>61549</v>
      </c>
      <c r="HH80" s="1" t="s">
        <v>61550</v>
      </c>
      <c r="HI80" s="1" t="s">
        <v>61551</v>
      </c>
      <c r="HJ80" s="1" t="s">
        <v>61552</v>
      </c>
      <c r="HK80" s="1" t="s">
        <v>61553</v>
      </c>
      <c r="HL80" s="1" t="s">
        <v>61554</v>
      </c>
      <c r="HM80" s="1" t="s">
        <v>61555</v>
      </c>
      <c r="HN80" s="1" t="s">
        <v>61556</v>
      </c>
      <c r="HO80" s="1" t="s">
        <v>61557</v>
      </c>
      <c r="HP80" s="1" t="s">
        <v>61558</v>
      </c>
      <c r="HQ80" s="1" t="s">
        <v>61559</v>
      </c>
      <c r="HR80" s="1" t="s">
        <v>61560</v>
      </c>
      <c r="HS80" s="1" t="s">
        <v>61561</v>
      </c>
      <c r="HT80" s="1" t="s">
        <v>61562</v>
      </c>
      <c r="HU80" s="1" t="s">
        <v>61563</v>
      </c>
      <c r="HV80" s="1" t="s">
        <v>61564</v>
      </c>
      <c r="HW80" s="1" t="s">
        <v>61565</v>
      </c>
      <c r="HX80" s="1" t="s">
        <v>61566</v>
      </c>
      <c r="HY80" s="1" t="s">
        <v>61567</v>
      </c>
      <c r="HZ80" s="1" t="s">
        <v>61568</v>
      </c>
      <c r="IA80" s="1" t="s">
        <v>61569</v>
      </c>
      <c r="IB80" s="1" t="s">
        <v>61570</v>
      </c>
      <c r="IC80" s="1" t="s">
        <v>61571</v>
      </c>
      <c r="ID80" s="1" t="s">
        <v>61572</v>
      </c>
      <c r="IE80" s="1" t="s">
        <v>61573</v>
      </c>
      <c r="IF80" s="1" t="s">
        <v>61574</v>
      </c>
      <c r="IG80" s="1" t="s">
        <v>61575</v>
      </c>
      <c r="IH80" s="1" t="s">
        <v>61576</v>
      </c>
      <c r="II80" s="1" t="s">
        <v>61577</v>
      </c>
      <c r="IJ80" s="1" t="s">
        <v>61578</v>
      </c>
      <c r="IK80" s="1" t="s">
        <v>61579</v>
      </c>
      <c r="IL80" s="1" t="s">
        <v>61580</v>
      </c>
      <c r="IM80" s="1" t="s">
        <v>61581</v>
      </c>
      <c r="IN80" s="1" t="s">
        <v>61582</v>
      </c>
      <c r="IO80" s="1" t="s">
        <v>61583</v>
      </c>
      <c r="IP80" s="1" t="s">
        <v>61584</v>
      </c>
      <c r="IQ80" s="1" t="s">
        <v>61585</v>
      </c>
      <c r="IR80" s="1" t="s">
        <v>61586</v>
      </c>
      <c r="IS80" s="1" t="s">
        <v>61587</v>
      </c>
      <c r="IT80" s="1" t="s">
        <v>61588</v>
      </c>
      <c r="IU80" s="1" t="s">
        <v>61589</v>
      </c>
      <c r="IV80" s="1" t="s">
        <v>61590</v>
      </c>
      <c r="IW80" s="1" t="s">
        <v>61591</v>
      </c>
      <c r="IX80" s="1" t="s">
        <v>61592</v>
      </c>
      <c r="IY80" s="1" t="s">
        <v>61593</v>
      </c>
      <c r="IZ80" s="1" t="s">
        <v>61594</v>
      </c>
      <c r="JA80" s="1" t="s">
        <v>61595</v>
      </c>
      <c r="JB80" s="1" t="s">
        <v>61596</v>
      </c>
      <c r="JC80" s="1" t="s">
        <v>61597</v>
      </c>
      <c r="JD80" s="1" t="s">
        <v>61598</v>
      </c>
      <c r="JE80" s="1" t="s">
        <v>61599</v>
      </c>
      <c r="JF80" s="1" t="s">
        <v>61600</v>
      </c>
      <c r="JG80" s="1" t="s">
        <v>61601</v>
      </c>
      <c r="JH80" s="1" t="s">
        <v>61602</v>
      </c>
      <c r="JI80" s="1" t="s">
        <v>61603</v>
      </c>
      <c r="JJ80" s="1" t="s">
        <v>61604</v>
      </c>
      <c r="JK80" s="1" t="s">
        <v>61605</v>
      </c>
      <c r="JL80" s="1" t="s">
        <v>61606</v>
      </c>
      <c r="JM80" s="1" t="s">
        <v>61607</v>
      </c>
      <c r="JN80" s="1" t="s">
        <v>61608</v>
      </c>
      <c r="JO80" s="1" t="s">
        <v>61609</v>
      </c>
      <c r="JP80" s="1" t="s">
        <v>61610</v>
      </c>
      <c r="JQ80" s="1" t="s">
        <v>61611</v>
      </c>
      <c r="JR80" s="1" t="s">
        <v>61612</v>
      </c>
      <c r="JS80" s="1" t="s">
        <v>61613</v>
      </c>
      <c r="JT80" s="1" t="s">
        <v>61614</v>
      </c>
      <c r="JU80" s="1" t="s">
        <v>61615</v>
      </c>
      <c r="JV80" s="1" t="s">
        <v>61616</v>
      </c>
      <c r="JW80" s="1" t="s">
        <v>61617</v>
      </c>
      <c r="JX80" s="1" t="s">
        <v>61618</v>
      </c>
      <c r="JY80" s="1" t="s">
        <v>61619</v>
      </c>
      <c r="JZ80" s="1" t="s">
        <v>61620</v>
      </c>
      <c r="KA80" s="1" t="s">
        <v>61621</v>
      </c>
      <c r="KB80" s="1" t="s">
        <v>61622</v>
      </c>
      <c r="KC80" s="1" t="s">
        <v>61623</v>
      </c>
      <c r="KD80" s="1" t="s">
        <v>61624</v>
      </c>
      <c r="KE80" s="1" t="s">
        <v>61625</v>
      </c>
      <c r="KF80" s="1" t="s">
        <v>61626</v>
      </c>
      <c r="KG80" s="1" t="s">
        <v>61627</v>
      </c>
      <c r="KH80" s="1" t="s">
        <v>61628</v>
      </c>
      <c r="KI80" s="1" t="s">
        <v>61629</v>
      </c>
      <c r="KJ80" s="1" t="s">
        <v>61630</v>
      </c>
      <c r="KK80" s="1" t="s">
        <v>61631</v>
      </c>
      <c r="KL80" s="1" t="s">
        <v>61632</v>
      </c>
      <c r="KM80" s="1" t="s">
        <v>61633</v>
      </c>
      <c r="KN80" s="1" t="s">
        <v>61634</v>
      </c>
      <c r="KO80" s="1" t="s">
        <v>61635</v>
      </c>
      <c r="KP80" s="1" t="s">
        <v>61636</v>
      </c>
      <c r="KQ80" s="1" t="s">
        <v>61637</v>
      </c>
      <c r="KR80" s="1" t="s">
        <v>61638</v>
      </c>
      <c r="KS80" s="1" t="s">
        <v>61639</v>
      </c>
      <c r="KT80" s="1" t="s">
        <v>61640</v>
      </c>
      <c r="KU80" s="1" t="s">
        <v>61641</v>
      </c>
      <c r="KV80" s="1" t="s">
        <v>61642</v>
      </c>
      <c r="KW80" s="1" t="s">
        <v>61643</v>
      </c>
      <c r="KX80" s="1" t="s">
        <v>61644</v>
      </c>
      <c r="KY80" s="1" t="s">
        <v>61645</v>
      </c>
      <c r="KZ80" s="1" t="s">
        <v>61646</v>
      </c>
      <c r="LA80" s="1" t="s">
        <v>61647</v>
      </c>
      <c r="LB80" s="1" t="s">
        <v>61648</v>
      </c>
      <c r="LC80" s="1" t="s">
        <v>61649</v>
      </c>
      <c r="LD80" s="1" t="s">
        <v>61650</v>
      </c>
      <c r="LE80" s="1" t="s">
        <v>61651</v>
      </c>
      <c r="LF80" s="1" t="s">
        <v>61652</v>
      </c>
      <c r="LG80" s="1" t="s">
        <v>61653</v>
      </c>
      <c r="LH80" s="1" t="s">
        <v>61654</v>
      </c>
      <c r="LI80" s="1" t="s">
        <v>61655</v>
      </c>
      <c r="LJ80" s="1" t="s">
        <v>61656</v>
      </c>
      <c r="LK80" s="1" t="s">
        <v>61657</v>
      </c>
      <c r="LL80" s="1" t="s">
        <v>61658</v>
      </c>
      <c r="LM80" s="1" t="s">
        <v>61659</v>
      </c>
      <c r="LN80" s="1" t="s">
        <v>61660</v>
      </c>
      <c r="LO80" s="1" t="s">
        <v>61661</v>
      </c>
      <c r="LP80" s="1" t="s">
        <v>61662</v>
      </c>
      <c r="LQ80" s="1" t="s">
        <v>61663</v>
      </c>
      <c r="LR80" s="1" t="s">
        <v>61664</v>
      </c>
      <c r="LS80" s="1" t="s">
        <v>61665</v>
      </c>
      <c r="LT80" s="1" t="s">
        <v>61666</v>
      </c>
      <c r="LU80" s="1" t="s">
        <v>61667</v>
      </c>
      <c r="LV80" s="1" t="s">
        <v>61668</v>
      </c>
      <c r="LW80" s="1" t="s">
        <v>61669</v>
      </c>
      <c r="LX80" s="1" t="s">
        <v>61670</v>
      </c>
      <c r="LY80" s="1" t="s">
        <v>61671</v>
      </c>
      <c r="LZ80" s="1" t="s">
        <v>61672</v>
      </c>
      <c r="MA80" s="1" t="s">
        <v>61673</v>
      </c>
      <c r="MB80" s="1" t="s">
        <v>61674</v>
      </c>
      <c r="MC80" s="1" t="s">
        <v>61675</v>
      </c>
      <c r="MD80" s="1" t="s">
        <v>61676</v>
      </c>
      <c r="ME80" s="1" t="s">
        <v>61677</v>
      </c>
      <c r="MF80" s="1" t="s">
        <v>61678</v>
      </c>
      <c r="MG80" s="1" t="s">
        <v>61679</v>
      </c>
      <c r="MH80" s="1" t="s">
        <v>61680</v>
      </c>
      <c r="MI80" s="1" t="s">
        <v>61681</v>
      </c>
      <c r="MJ80" s="1" t="s">
        <v>61682</v>
      </c>
      <c r="MK80" s="1" t="s">
        <v>61683</v>
      </c>
      <c r="ML80" s="1" t="s">
        <v>61684</v>
      </c>
      <c r="MM80" s="1" t="s">
        <v>61685</v>
      </c>
      <c r="MN80" s="1" t="s">
        <v>61686</v>
      </c>
      <c r="MO80" s="1" t="s">
        <v>61687</v>
      </c>
      <c r="MP80" s="1" t="s">
        <v>61688</v>
      </c>
      <c r="MQ80" s="1" t="s">
        <v>61689</v>
      </c>
      <c r="MR80" s="1" t="s">
        <v>61690</v>
      </c>
      <c r="MS80" s="1" t="s">
        <v>61691</v>
      </c>
      <c r="MT80" s="1" t="s">
        <v>61692</v>
      </c>
      <c r="MU80" s="1" t="s">
        <v>61693</v>
      </c>
      <c r="MV80" s="1" t="s">
        <v>61694</v>
      </c>
      <c r="MW80" s="1" t="s">
        <v>61695</v>
      </c>
      <c r="MX80" s="1" t="s">
        <v>61696</v>
      </c>
      <c r="MY80" s="1" t="s">
        <v>61697</v>
      </c>
      <c r="MZ80" s="1" t="s">
        <v>61698</v>
      </c>
      <c r="NA80" s="1" t="s">
        <v>61699</v>
      </c>
      <c r="NB80" s="1" t="s">
        <v>61700</v>
      </c>
      <c r="NC80" s="1" t="s">
        <v>61701</v>
      </c>
      <c r="ND80" s="1" t="s">
        <v>61702</v>
      </c>
      <c r="NE80" s="1" t="s">
        <v>61703</v>
      </c>
      <c r="NF80" s="1" t="s">
        <v>61704</v>
      </c>
      <c r="NG80" s="1" t="s">
        <v>61705</v>
      </c>
      <c r="NH80" s="1" t="s">
        <v>61706</v>
      </c>
      <c r="NI80" s="1" t="s">
        <v>61707</v>
      </c>
      <c r="NJ80" s="1" t="s">
        <v>61708</v>
      </c>
      <c r="NK80" s="1" t="s">
        <v>61709</v>
      </c>
      <c r="NL80" s="1" t="s">
        <v>61710</v>
      </c>
      <c r="NM80" s="1" t="s">
        <v>61711</v>
      </c>
      <c r="NN80" s="1" t="s">
        <v>61712</v>
      </c>
      <c r="NO80" s="1" t="s">
        <v>61713</v>
      </c>
      <c r="NP80" s="1" t="s">
        <v>61714</v>
      </c>
      <c r="NQ80" s="1" t="s">
        <v>61715</v>
      </c>
      <c r="NR80" s="1" t="s">
        <v>61716</v>
      </c>
      <c r="NS80" s="1" t="s">
        <v>61717</v>
      </c>
      <c r="NT80" s="1" t="s">
        <v>61718</v>
      </c>
      <c r="NU80" s="1" t="s">
        <v>61719</v>
      </c>
      <c r="NV80" s="1" t="s">
        <v>61720</v>
      </c>
      <c r="NW80" s="1" t="s">
        <v>61721</v>
      </c>
      <c r="NX80" s="1" t="s">
        <v>61722</v>
      </c>
      <c r="NY80" s="1" t="s">
        <v>61723</v>
      </c>
      <c r="NZ80" s="1" t="s">
        <v>61724</v>
      </c>
      <c r="OA80" s="1" t="s">
        <v>61725</v>
      </c>
      <c r="OB80" s="1" t="s">
        <v>61726</v>
      </c>
      <c r="OC80" s="1" t="s">
        <v>61727</v>
      </c>
      <c r="OD80" s="1" t="s">
        <v>61728</v>
      </c>
      <c r="OE80" s="1" t="s">
        <v>61729</v>
      </c>
      <c r="OF80" s="1" t="s">
        <v>61730</v>
      </c>
      <c r="OG80" s="1" t="s">
        <v>61731</v>
      </c>
      <c r="OH80" s="1" t="s">
        <v>61732</v>
      </c>
      <c r="OI80" s="1" t="s">
        <v>61733</v>
      </c>
      <c r="OJ80" s="1" t="s">
        <v>61734</v>
      </c>
      <c r="OK80" s="1" t="s">
        <v>61735</v>
      </c>
      <c r="OL80" s="1" t="s">
        <v>61736</v>
      </c>
      <c r="OM80" s="1" t="s">
        <v>61737</v>
      </c>
      <c r="ON80" s="1" t="s">
        <v>61738</v>
      </c>
      <c r="OO80" s="1" t="s">
        <v>61739</v>
      </c>
      <c r="OP80" s="1" t="s">
        <v>61740</v>
      </c>
      <c r="OQ80" s="1" t="s">
        <v>61741</v>
      </c>
      <c r="OR80" s="1" t="s">
        <v>61742</v>
      </c>
      <c r="OS80" s="1" t="s">
        <v>61743</v>
      </c>
      <c r="OT80" s="1" t="s">
        <v>61744</v>
      </c>
      <c r="OU80" s="1" t="s">
        <v>61745</v>
      </c>
      <c r="OV80" s="1" t="s">
        <v>61746</v>
      </c>
      <c r="OW80" s="1" t="s">
        <v>61747</v>
      </c>
      <c r="OX80" s="1" t="s">
        <v>61748</v>
      </c>
      <c r="OY80" s="1" t="s">
        <v>61749</v>
      </c>
      <c r="OZ80" s="1" t="s">
        <v>61750</v>
      </c>
      <c r="PA80" s="1" t="s">
        <v>61751</v>
      </c>
      <c r="PB80" s="1" t="s">
        <v>61752</v>
      </c>
      <c r="PC80" s="1" t="s">
        <v>61753</v>
      </c>
      <c r="PD80" s="1" t="s">
        <v>61754</v>
      </c>
      <c r="PE80" s="1" t="s">
        <v>61755</v>
      </c>
      <c r="PF80" s="1" t="s">
        <v>61756</v>
      </c>
      <c r="PG80" s="1" t="s">
        <v>61757</v>
      </c>
      <c r="PH80" s="1" t="s">
        <v>61758</v>
      </c>
      <c r="PI80" s="1" t="s">
        <v>61759</v>
      </c>
      <c r="PJ80" s="1" t="s">
        <v>61760</v>
      </c>
      <c r="PK80" s="1" t="s">
        <v>61761</v>
      </c>
      <c r="PL80" s="1" t="s">
        <v>61762</v>
      </c>
      <c r="PM80" s="1" t="s">
        <v>61763</v>
      </c>
      <c r="PN80" s="1" t="s">
        <v>61764</v>
      </c>
      <c r="PO80" s="1" t="s">
        <v>61765</v>
      </c>
      <c r="PP80" s="1" t="s">
        <v>61766</v>
      </c>
      <c r="PQ80" s="1" t="s">
        <v>61767</v>
      </c>
      <c r="PR80" s="1" t="s">
        <v>61768</v>
      </c>
      <c r="PS80" s="1" t="s">
        <v>61769</v>
      </c>
      <c r="PT80" s="1" t="s">
        <v>61770</v>
      </c>
      <c r="PU80" s="1" t="s">
        <v>61771</v>
      </c>
      <c r="PV80" s="1" t="s">
        <v>61772</v>
      </c>
      <c r="PW80" s="1" t="s">
        <v>61773</v>
      </c>
      <c r="PX80" s="1" t="s">
        <v>61774</v>
      </c>
      <c r="PY80" s="1" t="s">
        <v>61775</v>
      </c>
      <c r="PZ80" s="1" t="s">
        <v>61776</v>
      </c>
      <c r="QA80" s="1" t="s">
        <v>61777</v>
      </c>
      <c r="QB80" s="1" t="s">
        <v>61778</v>
      </c>
      <c r="QC80" s="1" t="s">
        <v>61779</v>
      </c>
      <c r="QD80" s="1" t="s">
        <v>61780</v>
      </c>
      <c r="QE80" s="1" t="s">
        <v>61781</v>
      </c>
      <c r="QF80" s="1" t="s">
        <v>61782</v>
      </c>
      <c r="QG80" s="1" t="s">
        <v>61783</v>
      </c>
      <c r="QH80" s="1" t="s">
        <v>61784</v>
      </c>
      <c r="QI80" s="1" t="s">
        <v>61785</v>
      </c>
      <c r="QJ80" s="1" t="s">
        <v>61786</v>
      </c>
      <c r="QK80" s="1" t="s">
        <v>61787</v>
      </c>
      <c r="QL80" s="1" t="s">
        <v>61788</v>
      </c>
      <c r="QM80" s="1" t="s">
        <v>61789</v>
      </c>
      <c r="QN80" s="1" t="s">
        <v>61790</v>
      </c>
      <c r="QO80" s="1" t="s">
        <v>61791</v>
      </c>
      <c r="QP80" s="1" t="s">
        <v>61792</v>
      </c>
      <c r="QQ80" s="1" t="s">
        <v>61793</v>
      </c>
      <c r="QR80" s="1" t="s">
        <v>61794</v>
      </c>
      <c r="QS80" s="1" t="s">
        <v>61795</v>
      </c>
      <c r="QT80" s="1" t="s">
        <v>61796</v>
      </c>
      <c r="QU80" s="1" t="s">
        <v>61797</v>
      </c>
      <c r="QV80" s="1" t="s">
        <v>61798</v>
      </c>
      <c r="QW80" s="1" t="s">
        <v>61799</v>
      </c>
      <c r="QX80" s="1" t="s">
        <v>61800</v>
      </c>
      <c r="QY80" s="1" t="s">
        <v>61801</v>
      </c>
      <c r="QZ80" s="1" t="s">
        <v>61802</v>
      </c>
      <c r="RA80" s="1" t="s">
        <v>61803</v>
      </c>
      <c r="RB80" s="1" t="s">
        <v>61804</v>
      </c>
      <c r="RC80" s="1" t="s">
        <v>61805</v>
      </c>
      <c r="RD80" s="1" t="s">
        <v>61806</v>
      </c>
      <c r="RE80" s="1" t="s">
        <v>61807</v>
      </c>
      <c r="RF80" s="1" t="s">
        <v>61808</v>
      </c>
      <c r="RG80" s="1" t="s">
        <v>61809</v>
      </c>
      <c r="RH80" s="1" t="s">
        <v>61810</v>
      </c>
      <c r="RI80" s="1" t="s">
        <v>61811</v>
      </c>
      <c r="RJ80" s="1" t="s">
        <v>61812</v>
      </c>
      <c r="RK80" s="1" t="s">
        <v>61813</v>
      </c>
      <c r="RL80" s="1" t="s">
        <v>61814</v>
      </c>
      <c r="RM80" s="1" t="s">
        <v>61815</v>
      </c>
      <c r="RN80" s="1" t="s">
        <v>61816</v>
      </c>
      <c r="RO80" s="1" t="s">
        <v>61817</v>
      </c>
      <c r="RP80" s="1" t="s">
        <v>61818</v>
      </c>
      <c r="RQ80" s="1" t="s">
        <v>61819</v>
      </c>
      <c r="RR80" s="1" t="s">
        <v>61820</v>
      </c>
      <c r="RS80" s="1" t="s">
        <v>61821</v>
      </c>
      <c r="RT80" s="1" t="s">
        <v>61822</v>
      </c>
      <c r="RU80" s="1" t="s">
        <v>61823</v>
      </c>
      <c r="RV80" s="1" t="s">
        <v>61824</v>
      </c>
      <c r="RW80" s="1" t="s">
        <v>61825</v>
      </c>
      <c r="RX80" s="1" t="s">
        <v>61826</v>
      </c>
      <c r="RY80" s="1" t="s">
        <v>61827</v>
      </c>
      <c r="RZ80" s="1" t="s">
        <v>61828</v>
      </c>
      <c r="SA80" s="1" t="s">
        <v>61829</v>
      </c>
      <c r="SB80" s="1" t="s">
        <v>61830</v>
      </c>
      <c r="SC80" s="1" t="s">
        <v>61831</v>
      </c>
      <c r="SD80" s="1" t="s">
        <v>61832</v>
      </c>
      <c r="SE80" s="1" t="s">
        <v>61833</v>
      </c>
      <c r="SF80" s="1" t="s">
        <v>61834</v>
      </c>
      <c r="SG80" s="1" t="s">
        <v>61835</v>
      </c>
      <c r="SH80" s="1" t="s">
        <v>61836</v>
      </c>
      <c r="SI80" s="1" t="s">
        <v>61837</v>
      </c>
      <c r="SJ80" s="1" t="s">
        <v>61838</v>
      </c>
      <c r="SK80" s="1" t="s">
        <v>61839</v>
      </c>
      <c r="SL80" s="1" t="s">
        <v>61840</v>
      </c>
      <c r="SM80" s="1" t="s">
        <v>61841</v>
      </c>
      <c r="SN80" s="1" t="s">
        <v>61842</v>
      </c>
      <c r="SO80" s="1" t="s">
        <v>61843</v>
      </c>
      <c r="SP80" s="1" t="s">
        <v>61844</v>
      </c>
      <c r="SQ80" s="1" t="s">
        <v>61845</v>
      </c>
      <c r="SR80" s="1" t="s">
        <v>61846</v>
      </c>
      <c r="SS80" s="1" t="s">
        <v>61847</v>
      </c>
      <c r="ST80" s="1" t="s">
        <v>61848</v>
      </c>
      <c r="SU80" s="1" t="s">
        <v>61849</v>
      </c>
      <c r="SV80" s="1" t="s">
        <v>61850</v>
      </c>
      <c r="SW80" s="1" t="s">
        <v>61851</v>
      </c>
      <c r="SX80" s="1" t="s">
        <v>61852</v>
      </c>
      <c r="SY80" s="1" t="s">
        <v>61853</v>
      </c>
      <c r="SZ80" s="1" t="s">
        <v>61854</v>
      </c>
      <c r="TA80" s="1" t="s">
        <v>61855</v>
      </c>
      <c r="TB80" s="1" t="s">
        <v>61856</v>
      </c>
      <c r="TC80" s="1" t="s">
        <v>61857</v>
      </c>
      <c r="TD80" s="1" t="s">
        <v>61858</v>
      </c>
      <c r="TE80" s="1" t="s">
        <v>61859</v>
      </c>
      <c r="TF80" s="1" t="s">
        <v>61860</v>
      </c>
      <c r="TG80" s="1" t="s">
        <v>61861</v>
      </c>
      <c r="TH80" s="1" t="s">
        <v>61862</v>
      </c>
      <c r="TI80" s="1" t="s">
        <v>61863</v>
      </c>
      <c r="TJ80" s="1" t="s">
        <v>61864</v>
      </c>
      <c r="TK80" s="1" t="s">
        <v>61865</v>
      </c>
      <c r="TL80" s="1" t="s">
        <v>61866</v>
      </c>
      <c r="TM80" s="1" t="s">
        <v>61867</v>
      </c>
      <c r="TN80" s="1" t="s">
        <v>61868</v>
      </c>
      <c r="TO80" s="1" t="s">
        <v>61869</v>
      </c>
      <c r="TP80" s="1" t="s">
        <v>61870</v>
      </c>
      <c r="TQ80" s="1" t="s">
        <v>61871</v>
      </c>
      <c r="TR80" s="1" t="s">
        <v>61872</v>
      </c>
      <c r="TS80" s="1" t="s">
        <v>61873</v>
      </c>
      <c r="TT80" s="1" t="s">
        <v>61874</v>
      </c>
      <c r="TU80" s="1" t="s">
        <v>61875</v>
      </c>
      <c r="TV80" s="1" t="s">
        <v>61876</v>
      </c>
      <c r="TW80" s="1" t="s">
        <v>61877</v>
      </c>
      <c r="TX80" s="1" t="s">
        <v>61878</v>
      </c>
      <c r="TY80" s="1" t="s">
        <v>61879</v>
      </c>
      <c r="TZ80" s="1" t="s">
        <v>61880</v>
      </c>
      <c r="UA80" s="1" t="s">
        <v>61881</v>
      </c>
      <c r="UB80" s="1" t="s">
        <v>61882</v>
      </c>
      <c r="UC80" s="1" t="s">
        <v>61883</v>
      </c>
      <c r="UD80" s="1" t="s">
        <v>61884</v>
      </c>
      <c r="UE80" s="1" t="s">
        <v>61885</v>
      </c>
      <c r="UF80" s="1" t="s">
        <v>61886</v>
      </c>
      <c r="UG80" s="1" t="s">
        <v>61887</v>
      </c>
      <c r="UH80" s="1" t="s">
        <v>61888</v>
      </c>
      <c r="UI80" s="1" t="s">
        <v>61889</v>
      </c>
      <c r="UJ80" s="1" t="s">
        <v>61890</v>
      </c>
      <c r="UK80" s="1" t="s">
        <v>61891</v>
      </c>
      <c r="UL80" s="1" t="s">
        <v>61892</v>
      </c>
      <c r="UM80" s="1" t="s">
        <v>61893</v>
      </c>
      <c r="UN80" s="1" t="s">
        <v>61894</v>
      </c>
      <c r="UO80" s="1" t="s">
        <v>61895</v>
      </c>
      <c r="UP80" s="1" t="s">
        <v>61896</v>
      </c>
      <c r="UQ80" s="1" t="s">
        <v>61897</v>
      </c>
      <c r="UR80" s="1" t="s">
        <v>61898</v>
      </c>
      <c r="US80" s="1" t="s">
        <v>61899</v>
      </c>
      <c r="UT80" s="1" t="s">
        <v>61900</v>
      </c>
      <c r="UU80" s="1" t="s">
        <v>61901</v>
      </c>
      <c r="UV80" s="1" t="s">
        <v>61902</v>
      </c>
      <c r="UW80" s="1" t="s">
        <v>61903</v>
      </c>
      <c r="UX80" s="1" t="s">
        <v>61904</v>
      </c>
      <c r="UY80" s="1" t="s">
        <v>61905</v>
      </c>
      <c r="UZ80" s="1" t="s">
        <v>61906</v>
      </c>
      <c r="VA80" s="1" t="s">
        <v>61907</v>
      </c>
      <c r="VB80" s="1" t="s">
        <v>61908</v>
      </c>
      <c r="VC80" s="1" t="s">
        <v>61909</v>
      </c>
      <c r="VD80" s="1" t="s">
        <v>61910</v>
      </c>
      <c r="VE80" s="1" t="s">
        <v>61911</v>
      </c>
      <c r="VF80" s="1" t="s">
        <v>61912</v>
      </c>
      <c r="VG80" s="1" t="s">
        <v>61913</v>
      </c>
      <c r="VH80" s="1" t="s">
        <v>61914</v>
      </c>
      <c r="VI80" s="1" t="s">
        <v>61915</v>
      </c>
      <c r="VJ80" s="1" t="s">
        <v>61916</v>
      </c>
      <c r="VK80" s="1" t="s">
        <v>61917</v>
      </c>
      <c r="VL80" s="1" t="s">
        <v>61918</v>
      </c>
      <c r="VM80" s="1" t="s">
        <v>61919</v>
      </c>
      <c r="VN80" s="1" t="s">
        <v>61920</v>
      </c>
      <c r="VO80" s="1" t="s">
        <v>61921</v>
      </c>
      <c r="VP80" s="1" t="s">
        <v>61922</v>
      </c>
      <c r="VQ80" s="1" t="s">
        <v>61923</v>
      </c>
      <c r="VR80" s="1" t="s">
        <v>61924</v>
      </c>
      <c r="VS80" s="1" t="s">
        <v>61925</v>
      </c>
      <c r="VT80" s="1" t="s">
        <v>61926</v>
      </c>
      <c r="VU80" s="1" t="s">
        <v>61927</v>
      </c>
      <c r="VV80" s="1" t="s">
        <v>61928</v>
      </c>
      <c r="VW80" s="1" t="s">
        <v>61929</v>
      </c>
      <c r="VX80" s="1" t="s">
        <v>61930</v>
      </c>
      <c r="VY80" s="1" t="s">
        <v>61931</v>
      </c>
      <c r="VZ80" s="1" t="s">
        <v>61932</v>
      </c>
      <c r="WA80" s="1" t="s">
        <v>61933</v>
      </c>
      <c r="WB80" s="1" t="s">
        <v>61934</v>
      </c>
      <c r="WC80" s="1" t="s">
        <v>61935</v>
      </c>
      <c r="WD80" s="1" t="s">
        <v>61936</v>
      </c>
      <c r="WE80" s="1" t="s">
        <v>61937</v>
      </c>
      <c r="WF80" s="1" t="s">
        <v>61938</v>
      </c>
      <c r="WG80" s="1" t="s">
        <v>61939</v>
      </c>
      <c r="WH80" s="1" t="s">
        <v>61940</v>
      </c>
      <c r="WI80" s="1" t="s">
        <v>61941</v>
      </c>
      <c r="WJ80" s="1" t="s">
        <v>61942</v>
      </c>
      <c r="WK80" s="1" t="s">
        <v>61943</v>
      </c>
      <c r="WL80" s="1" t="s">
        <v>61944</v>
      </c>
      <c r="WM80" s="1" t="s">
        <v>61945</v>
      </c>
      <c r="WN80" s="1" t="s">
        <v>61946</v>
      </c>
      <c r="WO80" s="1" t="s">
        <v>61947</v>
      </c>
      <c r="WP80" s="1" t="s">
        <v>61948</v>
      </c>
      <c r="WQ80" s="1" t="s">
        <v>61949</v>
      </c>
      <c r="WR80" s="1" t="s">
        <v>61950</v>
      </c>
      <c r="WS80" s="1" t="s">
        <v>61951</v>
      </c>
      <c r="WT80" s="1" t="s">
        <v>61952</v>
      </c>
      <c r="WU80" s="1" t="s">
        <v>61953</v>
      </c>
      <c r="WV80" s="1" t="s">
        <v>61954</v>
      </c>
      <c r="WW80" s="1" t="s">
        <v>61955</v>
      </c>
      <c r="WX80" s="1" t="s">
        <v>61956</v>
      </c>
      <c r="WY80" s="1" t="s">
        <v>61957</v>
      </c>
      <c r="WZ80" s="1" t="s">
        <v>61958</v>
      </c>
      <c r="XA80" s="1" t="s">
        <v>61959</v>
      </c>
      <c r="XB80" s="1" t="s">
        <v>61960</v>
      </c>
      <c r="XC80" s="1" t="s">
        <v>61961</v>
      </c>
      <c r="XD80" s="1" t="s">
        <v>61962</v>
      </c>
      <c r="XE80" s="1" t="s">
        <v>61963</v>
      </c>
      <c r="XF80" s="1" t="s">
        <v>61964</v>
      </c>
      <c r="XG80" s="1" t="s">
        <v>61965</v>
      </c>
      <c r="XH80" s="1" t="s">
        <v>61966</v>
      </c>
      <c r="XI80" s="1" t="s">
        <v>61967</v>
      </c>
      <c r="XJ80" s="1" t="s">
        <v>61968</v>
      </c>
      <c r="XK80" s="1" t="s">
        <v>61969</v>
      </c>
      <c r="XL80" s="1" t="s">
        <v>61970</v>
      </c>
      <c r="XM80" s="1" t="s">
        <v>61971</v>
      </c>
      <c r="XN80" s="1" t="s">
        <v>61972</v>
      </c>
      <c r="XO80" s="1" t="s">
        <v>61973</v>
      </c>
      <c r="XP80" s="1" t="s">
        <v>61974</v>
      </c>
      <c r="XQ80" s="1" t="s">
        <v>61975</v>
      </c>
      <c r="XR80" s="1" t="s">
        <v>61976</v>
      </c>
      <c r="XS80" s="1" t="s">
        <v>61977</v>
      </c>
      <c r="XT80" s="1" t="s">
        <v>61978</v>
      </c>
      <c r="XU80" s="1" t="s">
        <v>61979</v>
      </c>
      <c r="XV80" s="1" t="s">
        <v>61980</v>
      </c>
      <c r="XW80" s="1" t="s">
        <v>61981</v>
      </c>
      <c r="XX80" s="1" t="s">
        <v>61982</v>
      </c>
      <c r="XY80" s="1" t="s">
        <v>61983</v>
      </c>
      <c r="XZ80" s="1" t="s">
        <v>61984</v>
      </c>
      <c r="YA80" s="1" t="s">
        <v>61985</v>
      </c>
      <c r="YB80" s="1" t="s">
        <v>61986</v>
      </c>
      <c r="YC80" s="1" t="s">
        <v>61987</v>
      </c>
      <c r="YD80" s="1" t="s">
        <v>61988</v>
      </c>
      <c r="YE80" s="1" t="s">
        <v>61989</v>
      </c>
      <c r="YF80" s="1" t="s">
        <v>61990</v>
      </c>
      <c r="YG80" s="1" t="s">
        <v>61991</v>
      </c>
      <c r="YH80" s="1" t="s">
        <v>61992</v>
      </c>
      <c r="YI80" s="1" t="s">
        <v>61993</v>
      </c>
      <c r="YJ80" s="1" t="s">
        <v>61994</v>
      </c>
      <c r="YK80" s="1" t="s">
        <v>61995</v>
      </c>
      <c r="YL80" s="1" t="s">
        <v>61996</v>
      </c>
      <c r="YM80" s="1" t="s">
        <v>61997</v>
      </c>
      <c r="YN80" s="1" t="s">
        <v>61998</v>
      </c>
      <c r="YO80" s="1" t="s">
        <v>61999</v>
      </c>
      <c r="YP80" s="1" t="s">
        <v>62000</v>
      </c>
      <c r="YQ80" s="1" t="s">
        <v>62001</v>
      </c>
      <c r="YR80" s="1" t="s">
        <v>62002</v>
      </c>
      <c r="YS80" s="1" t="s">
        <v>62003</v>
      </c>
      <c r="YT80" s="1" t="s">
        <v>62004</v>
      </c>
      <c r="YU80" s="1" t="s">
        <v>62005</v>
      </c>
      <c r="YV80" s="1" t="s">
        <v>62006</v>
      </c>
      <c r="YW80" s="1" t="s">
        <v>62007</v>
      </c>
      <c r="YX80" s="1" t="s">
        <v>62008</v>
      </c>
      <c r="YY80" s="1" t="s">
        <v>62009</v>
      </c>
      <c r="YZ80" s="1" t="s">
        <v>62010</v>
      </c>
      <c r="ZA80" s="1" t="s">
        <v>62011</v>
      </c>
      <c r="ZB80" s="1" t="s">
        <v>62012</v>
      </c>
      <c r="ZC80" s="1" t="s">
        <v>62013</v>
      </c>
      <c r="ZD80" s="1" t="s">
        <v>62014</v>
      </c>
      <c r="ZE80" s="1" t="s">
        <v>62015</v>
      </c>
      <c r="ZF80" s="1" t="s">
        <v>62016</v>
      </c>
      <c r="ZG80" s="1" t="s">
        <v>62017</v>
      </c>
      <c r="ZH80" s="1" t="s">
        <v>62018</v>
      </c>
      <c r="ZI80" s="1" t="s">
        <v>62019</v>
      </c>
      <c r="ZJ80" s="1" t="s">
        <v>62020</v>
      </c>
      <c r="ZK80" s="1" t="s">
        <v>62021</v>
      </c>
      <c r="ZL80" s="1" t="s">
        <v>62022</v>
      </c>
      <c r="ZM80" s="1" t="s">
        <v>62023</v>
      </c>
      <c r="ZN80" s="1" t="s">
        <v>62024</v>
      </c>
      <c r="ZO80" s="1" t="s">
        <v>62025</v>
      </c>
      <c r="ZP80" s="1" t="s">
        <v>62026</v>
      </c>
      <c r="ZQ80" s="1" t="s">
        <v>62027</v>
      </c>
      <c r="ZR80" s="1" t="s">
        <v>62028</v>
      </c>
      <c r="ZS80" s="1" t="s">
        <v>62029</v>
      </c>
      <c r="ZT80" s="1" t="s">
        <v>62030</v>
      </c>
      <c r="ZU80" s="1" t="s">
        <v>62031</v>
      </c>
      <c r="ZV80" s="1" t="s">
        <v>62032</v>
      </c>
      <c r="ZW80" s="1" t="s">
        <v>62033</v>
      </c>
      <c r="ZX80" s="1" t="s">
        <v>62034</v>
      </c>
      <c r="ZY80" s="1" t="s">
        <v>62035</v>
      </c>
      <c r="ZZ80" s="1" t="s">
        <v>62036</v>
      </c>
      <c r="AAA80" s="1" t="s">
        <v>62037</v>
      </c>
      <c r="AAB80" s="1" t="s">
        <v>62038</v>
      </c>
      <c r="AAC80" s="1" t="s">
        <v>62039</v>
      </c>
      <c r="AAD80" s="1" t="s">
        <v>62040</v>
      </c>
      <c r="AAE80" s="1" t="s">
        <v>62041</v>
      </c>
      <c r="AAF80" s="1" t="s">
        <v>62042</v>
      </c>
      <c r="AAG80" s="1" t="s">
        <v>62043</v>
      </c>
      <c r="AAH80" s="1" t="s">
        <v>62044</v>
      </c>
      <c r="AAI80" s="1" t="s">
        <v>62045</v>
      </c>
      <c r="AAJ80" s="1" t="s">
        <v>62046</v>
      </c>
      <c r="AAK80" s="1" t="s">
        <v>62047</v>
      </c>
      <c r="AAL80" s="1" t="s">
        <v>62048</v>
      </c>
      <c r="AAM80" s="1" t="s">
        <v>62049</v>
      </c>
      <c r="AAN80" s="1" t="s">
        <v>62050</v>
      </c>
      <c r="AAO80" s="1" t="s">
        <v>62051</v>
      </c>
      <c r="AAP80" s="1" t="s">
        <v>62052</v>
      </c>
      <c r="AAQ80" s="1" t="s">
        <v>62053</v>
      </c>
      <c r="AAR80" s="1" t="s">
        <v>62054</v>
      </c>
      <c r="AAS80" s="1" t="s">
        <v>62055</v>
      </c>
      <c r="AAT80" s="1" t="s">
        <v>62056</v>
      </c>
      <c r="AAU80" s="1" t="s">
        <v>62057</v>
      </c>
      <c r="AAV80" s="1" t="s">
        <v>62058</v>
      </c>
      <c r="AAW80" s="1" t="s">
        <v>62059</v>
      </c>
      <c r="AAX80" s="1" t="s">
        <v>62060</v>
      </c>
      <c r="AAY80" s="1" t="s">
        <v>62061</v>
      </c>
      <c r="AAZ80" s="1" t="s">
        <v>62062</v>
      </c>
      <c r="ABA80" s="1" t="s">
        <v>62063</v>
      </c>
      <c r="ABB80" s="1" t="s">
        <v>62064</v>
      </c>
      <c r="ABC80" s="1" t="s">
        <v>62065</v>
      </c>
      <c r="ABD80" s="1" t="s">
        <v>62066</v>
      </c>
      <c r="ABE80" s="1" t="s">
        <v>62067</v>
      </c>
      <c r="ABF80" s="1" t="s">
        <v>62068</v>
      </c>
      <c r="ABG80" s="1" t="s">
        <v>62069</v>
      </c>
      <c r="ABH80" s="1" t="s">
        <v>62070</v>
      </c>
      <c r="ABI80" s="1" t="s">
        <v>62071</v>
      </c>
      <c r="ABJ80" s="1" t="s">
        <v>62072</v>
      </c>
      <c r="ABK80" s="1" t="s">
        <v>62073</v>
      </c>
      <c r="ABL80" s="1" t="s">
        <v>62074</v>
      </c>
      <c r="ABM80" s="1" t="s">
        <v>62075</v>
      </c>
      <c r="ABN80" s="1" t="s">
        <v>62076</v>
      </c>
      <c r="ABO80" s="1" t="s">
        <v>62077</v>
      </c>
      <c r="ABP80" s="1" t="s">
        <v>62078</v>
      </c>
      <c r="ABQ80" s="1" t="s">
        <v>62079</v>
      </c>
      <c r="ABR80" s="1" t="s">
        <v>62080</v>
      </c>
      <c r="ABS80" s="1" t="s">
        <v>62081</v>
      </c>
      <c r="ABT80" s="1" t="s">
        <v>62082</v>
      </c>
      <c r="ABU80" s="1" t="s">
        <v>62083</v>
      </c>
      <c r="ABV80" s="1" t="s">
        <v>62084</v>
      </c>
      <c r="ABW80" s="1" t="s">
        <v>62085</v>
      </c>
      <c r="ABX80" s="1" t="s">
        <v>62086</v>
      </c>
      <c r="ABY80" s="1" t="s">
        <v>62087</v>
      </c>
      <c r="ABZ80" s="1" t="s">
        <v>62088</v>
      </c>
      <c r="ACA80" s="1" t="s">
        <v>62089</v>
      </c>
      <c r="ACB80" s="1" t="s">
        <v>62090</v>
      </c>
      <c r="ACC80" s="1" t="s">
        <v>62091</v>
      </c>
      <c r="ACD80" s="1" t="s">
        <v>62092</v>
      </c>
      <c r="ACE80" s="1" t="s">
        <v>62093</v>
      </c>
      <c r="ACF80" s="1" t="s">
        <v>62094</v>
      </c>
      <c r="ACG80" s="1" t="s">
        <v>62095</v>
      </c>
      <c r="ACH80" s="1" t="s">
        <v>62096</v>
      </c>
      <c r="ACI80" s="1" t="s">
        <v>62097</v>
      </c>
      <c r="ACJ80" s="1" t="s">
        <v>62098</v>
      </c>
      <c r="ACK80" s="1" t="s">
        <v>62099</v>
      </c>
      <c r="ACL80" s="1" t="s">
        <v>62100</v>
      </c>
      <c r="ACM80" s="1" t="s">
        <v>62101</v>
      </c>
      <c r="ACN80" s="1" t="s">
        <v>62102</v>
      </c>
      <c r="ACO80" s="1" t="s">
        <v>62103</v>
      </c>
      <c r="ACP80" s="1" t="s">
        <v>62104</v>
      </c>
      <c r="ACQ80" s="1" t="s">
        <v>62105</v>
      </c>
      <c r="ACR80" s="1" t="s">
        <v>62106</v>
      </c>
      <c r="ACS80" s="1" t="s">
        <v>62107</v>
      </c>
      <c r="ACT80" s="1" t="s">
        <v>62108</v>
      </c>
      <c r="ACU80" s="1" t="s">
        <v>62109</v>
      </c>
      <c r="ACV80" s="1" t="s">
        <v>62110</v>
      </c>
      <c r="ACW80" s="1" t="s">
        <v>6</v>
      </c>
      <c r="ACX80" s="1" t="s">
        <v>1501</v>
      </c>
    </row>
    <row r="81" spans="1:778" x14ac:dyDescent="0.2">
      <c r="A81" s="1" t="s">
        <v>79</v>
      </c>
      <c r="B81" s="1" t="s">
        <v>62111</v>
      </c>
      <c r="C81" s="1" t="s">
        <v>62112</v>
      </c>
      <c r="D81" s="1" t="s">
        <v>62113</v>
      </c>
      <c r="E81" s="1" t="s">
        <v>62114</v>
      </c>
      <c r="F81" s="1" t="s">
        <v>62115</v>
      </c>
      <c r="G81" s="1" t="s">
        <v>62116</v>
      </c>
      <c r="H81" s="1" t="s">
        <v>62117</v>
      </c>
      <c r="I81" s="1" t="s">
        <v>62118</v>
      </c>
      <c r="J81" s="1" t="s">
        <v>62119</v>
      </c>
      <c r="K81" s="1" t="s">
        <v>62120</v>
      </c>
      <c r="L81" s="1" t="s">
        <v>62121</v>
      </c>
      <c r="M81" s="1" t="s">
        <v>62122</v>
      </c>
      <c r="N81" s="1" t="s">
        <v>62123</v>
      </c>
      <c r="O81" s="1" t="s">
        <v>62124</v>
      </c>
      <c r="P81" s="1" t="s">
        <v>62125</v>
      </c>
      <c r="Q81" s="1" t="s">
        <v>62126</v>
      </c>
      <c r="R81" s="1" t="s">
        <v>62127</v>
      </c>
      <c r="S81" s="1" t="s">
        <v>62128</v>
      </c>
      <c r="T81" s="1" t="s">
        <v>62129</v>
      </c>
      <c r="U81" s="1" t="s">
        <v>62130</v>
      </c>
      <c r="V81" s="1" t="s">
        <v>62131</v>
      </c>
      <c r="W81" s="1" t="s">
        <v>62132</v>
      </c>
      <c r="X81" s="1" t="s">
        <v>62133</v>
      </c>
      <c r="Y81" s="1" t="s">
        <v>62134</v>
      </c>
      <c r="Z81" s="1" t="s">
        <v>62135</v>
      </c>
      <c r="AA81" s="1" t="s">
        <v>62136</v>
      </c>
      <c r="AB81" s="1" t="s">
        <v>62137</v>
      </c>
      <c r="AC81" s="1" t="s">
        <v>62138</v>
      </c>
      <c r="AD81" s="1" t="s">
        <v>62139</v>
      </c>
      <c r="AE81" s="1" t="s">
        <v>62140</v>
      </c>
      <c r="AF81" s="1" t="s">
        <v>62141</v>
      </c>
      <c r="AG81" s="1" t="s">
        <v>62142</v>
      </c>
      <c r="AH81" s="1" t="s">
        <v>62143</v>
      </c>
      <c r="AI81" s="1" t="s">
        <v>62144</v>
      </c>
      <c r="AJ81" s="1" t="s">
        <v>62145</v>
      </c>
      <c r="AK81" s="1" t="s">
        <v>62146</v>
      </c>
      <c r="AL81" s="1" t="s">
        <v>62147</v>
      </c>
      <c r="AM81" s="1" t="s">
        <v>62148</v>
      </c>
      <c r="AN81" s="1" t="s">
        <v>62149</v>
      </c>
      <c r="AO81" s="1" t="s">
        <v>62150</v>
      </c>
      <c r="AP81" s="1" t="s">
        <v>62151</v>
      </c>
      <c r="AQ81" s="1" t="s">
        <v>62152</v>
      </c>
      <c r="AR81" s="1" t="s">
        <v>62153</v>
      </c>
      <c r="AS81" s="1" t="s">
        <v>62154</v>
      </c>
      <c r="AT81" s="1" t="s">
        <v>62155</v>
      </c>
      <c r="AU81" s="1" t="s">
        <v>62156</v>
      </c>
      <c r="AV81" s="1" t="s">
        <v>62157</v>
      </c>
      <c r="AW81" s="1" t="s">
        <v>62158</v>
      </c>
      <c r="AX81" s="1" t="s">
        <v>62159</v>
      </c>
      <c r="AY81" s="1" t="s">
        <v>62160</v>
      </c>
      <c r="AZ81" s="1" t="s">
        <v>62161</v>
      </c>
      <c r="BA81" s="1" t="s">
        <v>62162</v>
      </c>
      <c r="BB81" s="1" t="s">
        <v>62163</v>
      </c>
      <c r="BC81" s="1" t="s">
        <v>62164</v>
      </c>
      <c r="BD81" s="1" t="s">
        <v>62165</v>
      </c>
      <c r="BE81" s="1" t="s">
        <v>62166</v>
      </c>
      <c r="BF81" s="1" t="s">
        <v>62167</v>
      </c>
      <c r="BG81" s="1" t="s">
        <v>62168</v>
      </c>
      <c r="BH81" s="1" t="s">
        <v>62169</v>
      </c>
      <c r="BI81" s="1" t="s">
        <v>62170</v>
      </c>
      <c r="BJ81" s="1" t="s">
        <v>62171</v>
      </c>
      <c r="BK81" s="1" t="s">
        <v>62172</v>
      </c>
      <c r="BL81" s="1" t="s">
        <v>62173</v>
      </c>
      <c r="BM81" s="1" t="s">
        <v>62174</v>
      </c>
      <c r="BN81" s="1" t="s">
        <v>62175</v>
      </c>
      <c r="BO81" s="1" t="s">
        <v>62176</v>
      </c>
      <c r="BP81" s="1" t="s">
        <v>62177</v>
      </c>
      <c r="BQ81" s="1" t="s">
        <v>62178</v>
      </c>
      <c r="BR81" s="1" t="s">
        <v>62179</v>
      </c>
      <c r="BS81" s="1" t="s">
        <v>62180</v>
      </c>
      <c r="BT81" s="1" t="s">
        <v>62181</v>
      </c>
      <c r="BU81" s="1" t="s">
        <v>62182</v>
      </c>
      <c r="BV81" s="1" t="s">
        <v>62183</v>
      </c>
      <c r="BW81" s="1" t="s">
        <v>62184</v>
      </c>
      <c r="BX81" s="1" t="s">
        <v>62185</v>
      </c>
      <c r="BY81" s="1" t="s">
        <v>62186</v>
      </c>
      <c r="BZ81" s="1" t="s">
        <v>62187</v>
      </c>
      <c r="CA81" s="1" t="s">
        <v>62188</v>
      </c>
      <c r="CB81" s="1" t="s">
        <v>62189</v>
      </c>
      <c r="CC81" s="1" t="s">
        <v>62190</v>
      </c>
      <c r="CD81" s="1" t="s">
        <v>62191</v>
      </c>
      <c r="CE81" s="1" t="s">
        <v>62192</v>
      </c>
      <c r="CF81" s="1" t="s">
        <v>62193</v>
      </c>
      <c r="CG81" s="1" t="s">
        <v>62194</v>
      </c>
      <c r="CH81" s="1" t="s">
        <v>62195</v>
      </c>
      <c r="CI81" s="1" t="s">
        <v>62196</v>
      </c>
      <c r="CJ81" s="1" t="s">
        <v>62197</v>
      </c>
      <c r="CK81" s="1" t="s">
        <v>62198</v>
      </c>
      <c r="CL81" s="1" t="s">
        <v>62199</v>
      </c>
      <c r="CM81" s="1" t="s">
        <v>62200</v>
      </c>
      <c r="CN81" s="1" t="s">
        <v>62201</v>
      </c>
      <c r="CO81" s="1" t="s">
        <v>62202</v>
      </c>
      <c r="CP81" s="1" t="s">
        <v>62203</v>
      </c>
      <c r="CQ81" s="1" t="s">
        <v>62204</v>
      </c>
      <c r="CR81" s="1" t="s">
        <v>62205</v>
      </c>
      <c r="CS81" s="1" t="s">
        <v>62206</v>
      </c>
      <c r="CT81" s="1" t="s">
        <v>62207</v>
      </c>
      <c r="CU81" s="1" t="s">
        <v>62208</v>
      </c>
      <c r="CV81" s="1" t="s">
        <v>62209</v>
      </c>
      <c r="CW81" s="1" t="s">
        <v>62210</v>
      </c>
      <c r="CX81" s="1" t="s">
        <v>62211</v>
      </c>
      <c r="CY81" s="1" t="s">
        <v>62212</v>
      </c>
      <c r="CZ81" s="1" t="s">
        <v>62213</v>
      </c>
      <c r="DA81" s="1" t="s">
        <v>62214</v>
      </c>
      <c r="DB81" s="1" t="s">
        <v>62215</v>
      </c>
      <c r="DC81" s="1" t="s">
        <v>62216</v>
      </c>
      <c r="DD81" s="1" t="s">
        <v>62217</v>
      </c>
      <c r="DE81" s="1" t="s">
        <v>62218</v>
      </c>
      <c r="DF81" s="1" t="s">
        <v>62219</v>
      </c>
      <c r="DG81" s="1" t="s">
        <v>62220</v>
      </c>
      <c r="DH81" s="1" t="s">
        <v>62221</v>
      </c>
      <c r="DI81" s="1" t="s">
        <v>62222</v>
      </c>
      <c r="DJ81" s="1" t="s">
        <v>62223</v>
      </c>
      <c r="DK81" s="1" t="s">
        <v>62224</v>
      </c>
      <c r="DL81" s="1" t="s">
        <v>62225</v>
      </c>
      <c r="DM81" s="1" t="s">
        <v>62226</v>
      </c>
      <c r="DN81" s="1" t="s">
        <v>62227</v>
      </c>
      <c r="DO81" s="1" t="s">
        <v>62228</v>
      </c>
      <c r="DP81" s="1" t="s">
        <v>62229</v>
      </c>
      <c r="DQ81" s="1" t="s">
        <v>62230</v>
      </c>
      <c r="DR81" s="1" t="s">
        <v>62231</v>
      </c>
      <c r="DS81" s="1" t="s">
        <v>62232</v>
      </c>
      <c r="DT81" s="1" t="s">
        <v>62233</v>
      </c>
      <c r="DU81" s="1" t="s">
        <v>62234</v>
      </c>
      <c r="DV81" s="1" t="s">
        <v>62235</v>
      </c>
      <c r="DW81" s="1" t="s">
        <v>62236</v>
      </c>
      <c r="DX81" s="1" t="s">
        <v>62237</v>
      </c>
      <c r="DY81" s="1" t="s">
        <v>62238</v>
      </c>
      <c r="DZ81" s="1" t="s">
        <v>62239</v>
      </c>
      <c r="EA81" s="1" t="s">
        <v>62240</v>
      </c>
      <c r="EB81" s="1" t="s">
        <v>62241</v>
      </c>
      <c r="EC81" s="1" t="s">
        <v>62242</v>
      </c>
      <c r="ED81" s="1" t="s">
        <v>62243</v>
      </c>
      <c r="EE81" s="1" t="s">
        <v>62244</v>
      </c>
      <c r="EF81" s="1" t="s">
        <v>62245</v>
      </c>
      <c r="EG81" s="1" t="s">
        <v>62246</v>
      </c>
      <c r="EH81" s="1" t="s">
        <v>62247</v>
      </c>
      <c r="EI81" s="1" t="s">
        <v>62248</v>
      </c>
      <c r="EJ81" s="1" t="s">
        <v>62249</v>
      </c>
      <c r="EK81" s="1" t="s">
        <v>62250</v>
      </c>
      <c r="EL81" s="1" t="s">
        <v>62251</v>
      </c>
      <c r="EM81" s="1" t="s">
        <v>62252</v>
      </c>
      <c r="EN81" s="1" t="s">
        <v>62253</v>
      </c>
      <c r="EO81" s="1" t="s">
        <v>62254</v>
      </c>
      <c r="EP81" s="1" t="s">
        <v>62255</v>
      </c>
      <c r="EQ81" s="1" t="s">
        <v>62256</v>
      </c>
      <c r="ER81" s="1" t="s">
        <v>62257</v>
      </c>
      <c r="ES81" s="1" t="s">
        <v>62258</v>
      </c>
      <c r="ET81" s="1" t="s">
        <v>62259</v>
      </c>
      <c r="EU81" s="1" t="s">
        <v>62260</v>
      </c>
      <c r="EV81" s="1" t="s">
        <v>62261</v>
      </c>
      <c r="EW81" s="1" t="s">
        <v>62262</v>
      </c>
      <c r="EX81" s="1" t="s">
        <v>62263</v>
      </c>
      <c r="EY81" s="1" t="s">
        <v>62264</v>
      </c>
      <c r="EZ81" s="1" t="s">
        <v>62265</v>
      </c>
      <c r="FA81" s="1" t="s">
        <v>62266</v>
      </c>
      <c r="FB81" s="1" t="s">
        <v>62267</v>
      </c>
      <c r="FC81" s="1" t="s">
        <v>62268</v>
      </c>
      <c r="FD81" s="1" t="s">
        <v>62269</v>
      </c>
      <c r="FE81" s="1" t="s">
        <v>62270</v>
      </c>
      <c r="FF81" s="1" t="s">
        <v>62271</v>
      </c>
      <c r="FG81" s="1" t="s">
        <v>62272</v>
      </c>
      <c r="FH81" s="1" t="s">
        <v>62273</v>
      </c>
      <c r="FI81" s="1" t="s">
        <v>62274</v>
      </c>
      <c r="FJ81" s="1" t="s">
        <v>62275</v>
      </c>
      <c r="FK81" s="1" t="s">
        <v>62276</v>
      </c>
      <c r="FL81" s="1" t="s">
        <v>62277</v>
      </c>
      <c r="FM81" s="1" t="s">
        <v>62278</v>
      </c>
      <c r="FN81" s="1" t="s">
        <v>62279</v>
      </c>
      <c r="FO81" s="1" t="s">
        <v>62280</v>
      </c>
      <c r="FP81" s="1" t="s">
        <v>62281</v>
      </c>
      <c r="FQ81" s="1" t="s">
        <v>62282</v>
      </c>
      <c r="FR81" s="1" t="s">
        <v>62283</v>
      </c>
      <c r="FS81" s="1" t="s">
        <v>62284</v>
      </c>
      <c r="FT81" s="1" t="s">
        <v>62285</v>
      </c>
      <c r="FU81" s="1" t="s">
        <v>62286</v>
      </c>
      <c r="FV81" s="1" t="s">
        <v>62287</v>
      </c>
      <c r="FW81" s="1" t="s">
        <v>62288</v>
      </c>
      <c r="FX81" s="1" t="s">
        <v>62289</v>
      </c>
      <c r="FY81" s="1" t="s">
        <v>62290</v>
      </c>
      <c r="FZ81" s="1" t="s">
        <v>62291</v>
      </c>
      <c r="GA81" s="1" t="s">
        <v>62292</v>
      </c>
      <c r="GB81" s="1" t="s">
        <v>62293</v>
      </c>
      <c r="GC81" s="1" t="s">
        <v>62294</v>
      </c>
      <c r="GD81" s="1" t="s">
        <v>62295</v>
      </c>
      <c r="GE81" s="1" t="s">
        <v>62296</v>
      </c>
      <c r="GF81" s="1" t="s">
        <v>62297</v>
      </c>
      <c r="GG81" s="1" t="s">
        <v>62298</v>
      </c>
      <c r="GH81" s="1" t="s">
        <v>62299</v>
      </c>
      <c r="GI81" s="1" t="s">
        <v>62300</v>
      </c>
      <c r="GJ81" s="1" t="s">
        <v>62301</v>
      </c>
      <c r="GK81" s="1" t="s">
        <v>62302</v>
      </c>
      <c r="GL81" s="1" t="s">
        <v>62303</v>
      </c>
      <c r="GM81" s="1" t="s">
        <v>62304</v>
      </c>
      <c r="GN81" s="1" t="s">
        <v>62305</v>
      </c>
      <c r="GO81" s="1" t="s">
        <v>62306</v>
      </c>
      <c r="GP81" s="1" t="s">
        <v>62307</v>
      </c>
      <c r="GQ81" s="1" t="s">
        <v>62308</v>
      </c>
      <c r="GR81" s="1" t="s">
        <v>62309</v>
      </c>
      <c r="GS81" s="1" t="s">
        <v>62310</v>
      </c>
      <c r="GT81" s="1" t="s">
        <v>62311</v>
      </c>
      <c r="GU81" s="1" t="s">
        <v>62312</v>
      </c>
      <c r="GV81" s="1" t="s">
        <v>62313</v>
      </c>
      <c r="GW81" s="1" t="s">
        <v>62314</v>
      </c>
      <c r="GX81" s="1" t="s">
        <v>62315</v>
      </c>
      <c r="GY81" s="1" t="s">
        <v>62316</v>
      </c>
      <c r="GZ81" s="1" t="s">
        <v>62317</v>
      </c>
      <c r="HA81" s="1" t="s">
        <v>62318</v>
      </c>
      <c r="HB81" s="1" t="s">
        <v>62319</v>
      </c>
      <c r="HC81" s="1" t="s">
        <v>62320</v>
      </c>
      <c r="HD81" s="1" t="s">
        <v>62321</v>
      </c>
      <c r="HE81" s="1" t="s">
        <v>62322</v>
      </c>
      <c r="HF81" s="1" t="s">
        <v>62323</v>
      </c>
      <c r="HG81" s="1" t="s">
        <v>62324</v>
      </c>
      <c r="HH81" s="1" t="s">
        <v>62325</v>
      </c>
      <c r="HI81" s="1" t="s">
        <v>62326</v>
      </c>
      <c r="HJ81" s="1" t="s">
        <v>62327</v>
      </c>
      <c r="HK81" s="1" t="s">
        <v>62328</v>
      </c>
      <c r="HL81" s="1" t="s">
        <v>62329</v>
      </c>
      <c r="HM81" s="1" t="s">
        <v>62330</v>
      </c>
      <c r="HN81" s="1" t="s">
        <v>62331</v>
      </c>
      <c r="HO81" s="1" t="s">
        <v>62332</v>
      </c>
      <c r="HP81" s="1" t="s">
        <v>62333</v>
      </c>
      <c r="HQ81" s="1" t="s">
        <v>62334</v>
      </c>
      <c r="HR81" s="1" t="s">
        <v>62335</v>
      </c>
      <c r="HS81" s="1" t="s">
        <v>62336</v>
      </c>
      <c r="HT81" s="1" t="s">
        <v>62337</v>
      </c>
      <c r="HU81" s="1" t="s">
        <v>62338</v>
      </c>
      <c r="HV81" s="1" t="s">
        <v>62339</v>
      </c>
      <c r="HW81" s="1" t="s">
        <v>62340</v>
      </c>
      <c r="HX81" s="1" t="s">
        <v>62341</v>
      </c>
      <c r="HY81" s="1" t="s">
        <v>62342</v>
      </c>
      <c r="HZ81" s="1" t="s">
        <v>62343</v>
      </c>
      <c r="IA81" s="1" t="s">
        <v>62344</v>
      </c>
      <c r="IB81" s="1" t="s">
        <v>62345</v>
      </c>
      <c r="IC81" s="1" t="s">
        <v>62346</v>
      </c>
      <c r="ID81" s="1" t="s">
        <v>62347</v>
      </c>
      <c r="IE81" s="1" t="s">
        <v>62348</v>
      </c>
      <c r="IF81" s="1" t="s">
        <v>62349</v>
      </c>
      <c r="IG81" s="1" t="s">
        <v>62350</v>
      </c>
      <c r="IH81" s="1" t="s">
        <v>62351</v>
      </c>
      <c r="II81" s="1" t="s">
        <v>62352</v>
      </c>
      <c r="IJ81" s="1" t="s">
        <v>62353</v>
      </c>
      <c r="IK81" s="1" t="s">
        <v>62354</v>
      </c>
      <c r="IL81" s="1" t="s">
        <v>62355</v>
      </c>
      <c r="IM81" s="1" t="s">
        <v>62356</v>
      </c>
      <c r="IN81" s="1" t="s">
        <v>62357</v>
      </c>
      <c r="IO81" s="1" t="s">
        <v>62358</v>
      </c>
      <c r="IP81" s="1" t="s">
        <v>62359</v>
      </c>
      <c r="IQ81" s="1" t="s">
        <v>62360</v>
      </c>
      <c r="IR81" s="1" t="s">
        <v>62361</v>
      </c>
      <c r="IS81" s="1" t="s">
        <v>62362</v>
      </c>
      <c r="IT81" s="1" t="s">
        <v>62363</v>
      </c>
      <c r="IU81" s="1" t="s">
        <v>62364</v>
      </c>
      <c r="IV81" s="1" t="s">
        <v>62365</v>
      </c>
      <c r="IW81" s="1" t="s">
        <v>62366</v>
      </c>
      <c r="IX81" s="1" t="s">
        <v>62367</v>
      </c>
      <c r="IY81" s="1" t="s">
        <v>62368</v>
      </c>
      <c r="IZ81" s="1" t="s">
        <v>62369</v>
      </c>
      <c r="JA81" s="1" t="s">
        <v>62370</v>
      </c>
      <c r="JB81" s="1" t="s">
        <v>62371</v>
      </c>
      <c r="JC81" s="1" t="s">
        <v>62372</v>
      </c>
      <c r="JD81" s="1" t="s">
        <v>62373</v>
      </c>
      <c r="JE81" s="1" t="s">
        <v>62374</v>
      </c>
      <c r="JF81" s="1" t="s">
        <v>62375</v>
      </c>
      <c r="JG81" s="1" t="s">
        <v>62376</v>
      </c>
      <c r="JH81" s="1" t="s">
        <v>62377</v>
      </c>
      <c r="JI81" s="1" t="s">
        <v>62378</v>
      </c>
      <c r="JJ81" s="1" t="s">
        <v>62379</v>
      </c>
      <c r="JK81" s="1" t="s">
        <v>62380</v>
      </c>
      <c r="JL81" s="1" t="s">
        <v>62381</v>
      </c>
      <c r="JM81" s="1" t="s">
        <v>62382</v>
      </c>
      <c r="JN81" s="1" t="s">
        <v>62383</v>
      </c>
      <c r="JO81" s="1" t="s">
        <v>62384</v>
      </c>
      <c r="JP81" s="1" t="s">
        <v>62385</v>
      </c>
      <c r="JQ81" s="1" t="s">
        <v>62386</v>
      </c>
      <c r="JR81" s="1" t="s">
        <v>62387</v>
      </c>
      <c r="JS81" s="1" t="s">
        <v>62388</v>
      </c>
      <c r="JT81" s="1" t="s">
        <v>62389</v>
      </c>
      <c r="JU81" s="1" t="s">
        <v>62390</v>
      </c>
      <c r="JV81" s="1" t="s">
        <v>62391</v>
      </c>
      <c r="JW81" s="1" t="s">
        <v>62392</v>
      </c>
      <c r="JX81" s="1" t="s">
        <v>62393</v>
      </c>
      <c r="JY81" s="1" t="s">
        <v>62394</v>
      </c>
      <c r="JZ81" s="1" t="s">
        <v>62395</v>
      </c>
      <c r="KA81" s="1" t="s">
        <v>62396</v>
      </c>
      <c r="KB81" s="1" t="s">
        <v>62397</v>
      </c>
      <c r="KC81" s="1" t="s">
        <v>62398</v>
      </c>
      <c r="KD81" s="1" t="s">
        <v>62399</v>
      </c>
      <c r="KE81" s="1" t="s">
        <v>62400</v>
      </c>
      <c r="KF81" s="1" t="s">
        <v>62401</v>
      </c>
      <c r="KG81" s="1" t="s">
        <v>62402</v>
      </c>
      <c r="KH81" s="1" t="s">
        <v>62403</v>
      </c>
      <c r="KI81" s="1" t="s">
        <v>62404</v>
      </c>
      <c r="KJ81" s="1" t="s">
        <v>62405</v>
      </c>
      <c r="KK81" s="1" t="s">
        <v>62406</v>
      </c>
      <c r="KL81" s="1" t="s">
        <v>62407</v>
      </c>
      <c r="KM81" s="1" t="s">
        <v>62408</v>
      </c>
      <c r="KN81" s="1" t="s">
        <v>62409</v>
      </c>
      <c r="KO81" s="1" t="s">
        <v>62410</v>
      </c>
      <c r="KP81" s="1" t="s">
        <v>62411</v>
      </c>
      <c r="KQ81" s="1" t="s">
        <v>62412</v>
      </c>
      <c r="KR81" s="1" t="s">
        <v>62413</v>
      </c>
      <c r="KS81" s="1" t="s">
        <v>62414</v>
      </c>
      <c r="KT81" s="1" t="s">
        <v>62415</v>
      </c>
      <c r="KU81" s="1" t="s">
        <v>62416</v>
      </c>
      <c r="KV81" s="1" t="s">
        <v>62417</v>
      </c>
      <c r="KW81" s="1" t="s">
        <v>62418</v>
      </c>
      <c r="KX81" s="1" t="s">
        <v>62419</v>
      </c>
      <c r="KY81" s="1" t="s">
        <v>62420</v>
      </c>
      <c r="KZ81" s="1" t="s">
        <v>62421</v>
      </c>
      <c r="LA81" s="1" t="s">
        <v>62422</v>
      </c>
      <c r="LB81" s="1" t="s">
        <v>62423</v>
      </c>
      <c r="LC81" s="1" t="s">
        <v>62424</v>
      </c>
      <c r="LD81" s="1" t="s">
        <v>62425</v>
      </c>
      <c r="LE81" s="1" t="s">
        <v>62426</v>
      </c>
      <c r="LF81" s="1" t="s">
        <v>62427</v>
      </c>
      <c r="LG81" s="1" t="s">
        <v>62428</v>
      </c>
      <c r="LH81" s="1" t="s">
        <v>62429</v>
      </c>
      <c r="LI81" s="1" t="s">
        <v>62430</v>
      </c>
      <c r="LJ81" s="1" t="s">
        <v>62431</v>
      </c>
      <c r="LK81" s="1" t="s">
        <v>62432</v>
      </c>
      <c r="LL81" s="1" t="s">
        <v>62433</v>
      </c>
      <c r="LM81" s="1" t="s">
        <v>62434</v>
      </c>
      <c r="LN81" s="1" t="s">
        <v>62435</v>
      </c>
      <c r="LO81" s="1" t="s">
        <v>62436</v>
      </c>
      <c r="LP81" s="1" t="s">
        <v>62437</v>
      </c>
      <c r="LQ81" s="1" t="s">
        <v>62438</v>
      </c>
      <c r="LR81" s="1" t="s">
        <v>62439</v>
      </c>
      <c r="LS81" s="1" t="s">
        <v>62440</v>
      </c>
      <c r="LT81" s="1" t="s">
        <v>62441</v>
      </c>
      <c r="LU81" s="1" t="s">
        <v>62442</v>
      </c>
      <c r="LV81" s="1" t="s">
        <v>62443</v>
      </c>
      <c r="LW81" s="1" t="s">
        <v>62444</v>
      </c>
      <c r="LX81" s="1" t="s">
        <v>62445</v>
      </c>
      <c r="LY81" s="1" t="s">
        <v>62446</v>
      </c>
      <c r="LZ81" s="1" t="s">
        <v>62447</v>
      </c>
      <c r="MA81" s="1" t="s">
        <v>62448</v>
      </c>
      <c r="MB81" s="1" t="s">
        <v>62449</v>
      </c>
      <c r="MC81" s="1" t="s">
        <v>62450</v>
      </c>
      <c r="MD81" s="1" t="s">
        <v>62451</v>
      </c>
      <c r="ME81" s="1" t="s">
        <v>62452</v>
      </c>
      <c r="MF81" s="1" t="s">
        <v>62453</v>
      </c>
      <c r="MG81" s="1" t="s">
        <v>62454</v>
      </c>
      <c r="MH81" s="1" t="s">
        <v>62455</v>
      </c>
      <c r="MI81" s="1" t="s">
        <v>62456</v>
      </c>
      <c r="MJ81" s="1" t="s">
        <v>62457</v>
      </c>
      <c r="MK81" s="1" t="s">
        <v>62458</v>
      </c>
      <c r="ML81" s="1" t="s">
        <v>62459</v>
      </c>
      <c r="MM81" s="1" t="s">
        <v>62460</v>
      </c>
      <c r="MN81" s="1" t="s">
        <v>62461</v>
      </c>
      <c r="MO81" s="1" t="s">
        <v>62462</v>
      </c>
      <c r="MP81" s="1" t="s">
        <v>62463</v>
      </c>
      <c r="MQ81" s="1" t="s">
        <v>62464</v>
      </c>
      <c r="MR81" s="1" t="s">
        <v>62465</v>
      </c>
      <c r="MS81" s="1" t="s">
        <v>62466</v>
      </c>
      <c r="MT81" s="1" t="s">
        <v>62467</v>
      </c>
      <c r="MU81" s="1" t="s">
        <v>62468</v>
      </c>
      <c r="MV81" s="1" t="s">
        <v>62469</v>
      </c>
      <c r="MW81" s="1" t="s">
        <v>62470</v>
      </c>
      <c r="MX81" s="1" t="s">
        <v>62471</v>
      </c>
      <c r="MY81" s="1" t="s">
        <v>62472</v>
      </c>
      <c r="MZ81" s="1" t="s">
        <v>62473</v>
      </c>
      <c r="NA81" s="1" t="s">
        <v>62474</v>
      </c>
      <c r="NB81" s="1" t="s">
        <v>62475</v>
      </c>
      <c r="NC81" s="1" t="s">
        <v>62476</v>
      </c>
      <c r="ND81" s="1" t="s">
        <v>62477</v>
      </c>
      <c r="NE81" s="1" t="s">
        <v>62478</v>
      </c>
      <c r="NF81" s="1" t="s">
        <v>62479</v>
      </c>
      <c r="NG81" s="1" t="s">
        <v>62480</v>
      </c>
      <c r="NH81" s="1" t="s">
        <v>62481</v>
      </c>
      <c r="NI81" s="1" t="s">
        <v>62482</v>
      </c>
      <c r="NJ81" s="1" t="s">
        <v>62483</v>
      </c>
      <c r="NK81" s="1" t="s">
        <v>62484</v>
      </c>
      <c r="NL81" s="1" t="s">
        <v>62485</v>
      </c>
      <c r="NM81" s="1" t="s">
        <v>62486</v>
      </c>
      <c r="NN81" s="1" t="s">
        <v>62487</v>
      </c>
      <c r="NO81" s="1" t="s">
        <v>62488</v>
      </c>
      <c r="NP81" s="1" t="s">
        <v>62489</v>
      </c>
      <c r="NQ81" s="1" t="s">
        <v>62490</v>
      </c>
      <c r="NR81" s="1" t="s">
        <v>62491</v>
      </c>
      <c r="NS81" s="1" t="s">
        <v>62492</v>
      </c>
      <c r="NT81" s="1" t="s">
        <v>62493</v>
      </c>
      <c r="NU81" s="1" t="s">
        <v>62494</v>
      </c>
      <c r="NV81" s="1" t="s">
        <v>62495</v>
      </c>
      <c r="NW81" s="1" t="s">
        <v>62496</v>
      </c>
      <c r="NX81" s="1" t="s">
        <v>62497</v>
      </c>
      <c r="NY81" s="1" t="s">
        <v>62498</v>
      </c>
      <c r="NZ81" s="1" t="s">
        <v>62499</v>
      </c>
      <c r="OA81" s="1" t="s">
        <v>62500</v>
      </c>
      <c r="OB81" s="1" t="s">
        <v>62501</v>
      </c>
      <c r="OC81" s="1" t="s">
        <v>62502</v>
      </c>
      <c r="OD81" s="1" t="s">
        <v>62503</v>
      </c>
      <c r="OE81" s="1" t="s">
        <v>62504</v>
      </c>
      <c r="OF81" s="1" t="s">
        <v>62505</v>
      </c>
      <c r="OG81" s="1" t="s">
        <v>62506</v>
      </c>
      <c r="OH81" s="1" t="s">
        <v>62507</v>
      </c>
      <c r="OI81" s="1" t="s">
        <v>62508</v>
      </c>
      <c r="OJ81" s="1" t="s">
        <v>62509</v>
      </c>
      <c r="OK81" s="1" t="s">
        <v>62510</v>
      </c>
      <c r="OL81" s="1" t="s">
        <v>62511</v>
      </c>
      <c r="OM81" s="1" t="s">
        <v>62512</v>
      </c>
      <c r="ON81" s="1" t="s">
        <v>62513</v>
      </c>
      <c r="OO81" s="1" t="s">
        <v>62514</v>
      </c>
      <c r="OP81" s="1" t="s">
        <v>62515</v>
      </c>
      <c r="OQ81" s="1" t="s">
        <v>62516</v>
      </c>
      <c r="OR81" s="1" t="s">
        <v>62517</v>
      </c>
      <c r="OS81" s="1" t="s">
        <v>62518</v>
      </c>
      <c r="OT81" s="1" t="s">
        <v>62519</v>
      </c>
      <c r="OU81" s="1" t="s">
        <v>62520</v>
      </c>
      <c r="OV81" s="1" t="s">
        <v>62521</v>
      </c>
      <c r="OW81" s="1" t="s">
        <v>62522</v>
      </c>
      <c r="OX81" s="1" t="s">
        <v>62523</v>
      </c>
      <c r="OY81" s="1" t="s">
        <v>62524</v>
      </c>
      <c r="OZ81" s="1" t="s">
        <v>62525</v>
      </c>
      <c r="PA81" s="1" t="s">
        <v>62526</v>
      </c>
      <c r="PB81" s="1" t="s">
        <v>62527</v>
      </c>
      <c r="PC81" s="1" t="s">
        <v>62528</v>
      </c>
      <c r="PD81" s="1" t="s">
        <v>62529</v>
      </c>
      <c r="PE81" s="1" t="s">
        <v>62530</v>
      </c>
      <c r="PF81" s="1" t="s">
        <v>62531</v>
      </c>
      <c r="PG81" s="1" t="s">
        <v>62532</v>
      </c>
      <c r="PH81" s="1" t="s">
        <v>62533</v>
      </c>
      <c r="PI81" s="1" t="s">
        <v>62534</v>
      </c>
      <c r="PJ81" s="1" t="s">
        <v>62535</v>
      </c>
      <c r="PK81" s="1" t="s">
        <v>62536</v>
      </c>
      <c r="PL81" s="1" t="s">
        <v>62537</v>
      </c>
      <c r="PM81" s="1" t="s">
        <v>62538</v>
      </c>
      <c r="PN81" s="1" t="s">
        <v>62539</v>
      </c>
      <c r="PO81" s="1" t="s">
        <v>62540</v>
      </c>
      <c r="PP81" s="1" t="s">
        <v>62541</v>
      </c>
      <c r="PQ81" s="1" t="s">
        <v>62542</v>
      </c>
      <c r="PR81" s="1" t="s">
        <v>62543</v>
      </c>
      <c r="PS81" s="1" t="s">
        <v>62544</v>
      </c>
      <c r="PT81" s="1" t="s">
        <v>62545</v>
      </c>
      <c r="PU81" s="1" t="s">
        <v>62546</v>
      </c>
      <c r="PV81" s="1" t="s">
        <v>62547</v>
      </c>
      <c r="PW81" s="1" t="s">
        <v>62548</v>
      </c>
      <c r="PX81" s="1" t="s">
        <v>62549</v>
      </c>
      <c r="PY81" s="1" t="s">
        <v>62550</v>
      </c>
      <c r="PZ81" s="1" t="s">
        <v>62551</v>
      </c>
      <c r="QA81" s="1" t="s">
        <v>62552</v>
      </c>
      <c r="QB81" s="1" t="s">
        <v>62553</v>
      </c>
      <c r="QC81" s="1" t="s">
        <v>62554</v>
      </c>
      <c r="QD81" s="1" t="s">
        <v>62555</v>
      </c>
      <c r="QE81" s="1" t="s">
        <v>62556</v>
      </c>
      <c r="QF81" s="1" t="s">
        <v>62557</v>
      </c>
      <c r="QG81" s="1" t="s">
        <v>62558</v>
      </c>
      <c r="QH81" s="1" t="s">
        <v>62559</v>
      </c>
      <c r="QI81" s="1" t="s">
        <v>62560</v>
      </c>
      <c r="QJ81" s="1" t="s">
        <v>62561</v>
      </c>
      <c r="QK81" s="1" t="s">
        <v>62562</v>
      </c>
      <c r="QL81" s="1" t="s">
        <v>62563</v>
      </c>
      <c r="QM81" s="1" t="s">
        <v>62564</v>
      </c>
      <c r="QN81" s="1" t="s">
        <v>62565</v>
      </c>
      <c r="QO81" s="1" t="s">
        <v>62566</v>
      </c>
      <c r="QP81" s="1" t="s">
        <v>62567</v>
      </c>
      <c r="QQ81" s="1" t="s">
        <v>62568</v>
      </c>
      <c r="QR81" s="1" t="s">
        <v>62569</v>
      </c>
      <c r="QS81" s="1" t="s">
        <v>62570</v>
      </c>
      <c r="QT81" s="1" t="s">
        <v>62571</v>
      </c>
      <c r="QU81" s="1" t="s">
        <v>62572</v>
      </c>
      <c r="QV81" s="1" t="s">
        <v>62573</v>
      </c>
      <c r="QW81" s="1" t="s">
        <v>62574</v>
      </c>
      <c r="QX81" s="1" t="s">
        <v>62575</v>
      </c>
      <c r="QY81" s="1" t="s">
        <v>62576</v>
      </c>
      <c r="QZ81" s="1" t="s">
        <v>62577</v>
      </c>
      <c r="RA81" s="1" t="s">
        <v>62578</v>
      </c>
      <c r="RB81" s="1" t="s">
        <v>62579</v>
      </c>
      <c r="RC81" s="1" t="s">
        <v>62580</v>
      </c>
      <c r="RD81" s="1" t="s">
        <v>62581</v>
      </c>
      <c r="RE81" s="1" t="s">
        <v>62582</v>
      </c>
      <c r="RF81" s="1" t="s">
        <v>62583</v>
      </c>
      <c r="RG81" s="1" t="s">
        <v>62584</v>
      </c>
      <c r="RH81" s="1" t="s">
        <v>62585</v>
      </c>
      <c r="RI81" s="1" t="s">
        <v>62586</v>
      </c>
      <c r="RJ81" s="1" t="s">
        <v>62587</v>
      </c>
      <c r="RK81" s="1" t="s">
        <v>62588</v>
      </c>
      <c r="RL81" s="1" t="s">
        <v>62589</v>
      </c>
      <c r="RM81" s="1" t="s">
        <v>62590</v>
      </c>
      <c r="RN81" s="1" t="s">
        <v>62591</v>
      </c>
      <c r="RO81" s="1" t="s">
        <v>62592</v>
      </c>
      <c r="RP81" s="1" t="s">
        <v>62593</v>
      </c>
      <c r="RQ81" s="1" t="s">
        <v>62594</v>
      </c>
      <c r="RR81" s="1" t="s">
        <v>62595</v>
      </c>
      <c r="RS81" s="1" t="s">
        <v>62596</v>
      </c>
      <c r="RT81" s="1" t="s">
        <v>62597</v>
      </c>
      <c r="RU81" s="1" t="s">
        <v>62598</v>
      </c>
      <c r="RV81" s="1" t="s">
        <v>62599</v>
      </c>
      <c r="RW81" s="1" t="s">
        <v>62600</v>
      </c>
      <c r="RX81" s="1" t="s">
        <v>62601</v>
      </c>
      <c r="RY81" s="1" t="s">
        <v>62602</v>
      </c>
      <c r="RZ81" s="1" t="s">
        <v>62603</v>
      </c>
      <c r="SA81" s="1" t="s">
        <v>62604</v>
      </c>
      <c r="SB81" s="1" t="s">
        <v>62605</v>
      </c>
      <c r="SC81" s="1" t="s">
        <v>62606</v>
      </c>
      <c r="SD81" s="1" t="s">
        <v>62607</v>
      </c>
      <c r="SE81" s="1" t="s">
        <v>62608</v>
      </c>
      <c r="SF81" s="1" t="s">
        <v>62609</v>
      </c>
      <c r="SG81" s="1" t="s">
        <v>62610</v>
      </c>
      <c r="SH81" s="1" t="s">
        <v>62611</v>
      </c>
      <c r="SI81" s="1" t="s">
        <v>62612</v>
      </c>
      <c r="SJ81" s="1" t="s">
        <v>62613</v>
      </c>
      <c r="SK81" s="1" t="s">
        <v>62614</v>
      </c>
      <c r="SL81" s="1" t="s">
        <v>62615</v>
      </c>
      <c r="SM81" s="1" t="s">
        <v>62616</v>
      </c>
      <c r="SN81" s="1" t="s">
        <v>62617</v>
      </c>
      <c r="SO81" s="1" t="s">
        <v>62618</v>
      </c>
      <c r="SP81" s="1" t="s">
        <v>62619</v>
      </c>
      <c r="SQ81" s="1" t="s">
        <v>62620</v>
      </c>
      <c r="SR81" s="1" t="s">
        <v>62621</v>
      </c>
      <c r="SS81" s="1" t="s">
        <v>62622</v>
      </c>
      <c r="ST81" s="1" t="s">
        <v>62623</v>
      </c>
      <c r="SU81" s="1" t="s">
        <v>62624</v>
      </c>
      <c r="SV81" s="1" t="s">
        <v>62625</v>
      </c>
      <c r="SW81" s="1" t="s">
        <v>62626</v>
      </c>
      <c r="SX81" s="1" t="s">
        <v>62627</v>
      </c>
      <c r="SY81" s="1" t="s">
        <v>62628</v>
      </c>
      <c r="SZ81" s="1" t="s">
        <v>62629</v>
      </c>
      <c r="TA81" s="1" t="s">
        <v>62630</v>
      </c>
      <c r="TB81" s="1" t="s">
        <v>62631</v>
      </c>
      <c r="TC81" s="1" t="s">
        <v>62632</v>
      </c>
      <c r="TD81" s="1" t="s">
        <v>62633</v>
      </c>
      <c r="TE81" s="1" t="s">
        <v>62634</v>
      </c>
      <c r="TF81" s="1" t="s">
        <v>62635</v>
      </c>
      <c r="TG81" s="1" t="s">
        <v>62636</v>
      </c>
      <c r="TH81" s="1" t="s">
        <v>62637</v>
      </c>
      <c r="TI81" s="1" t="s">
        <v>62638</v>
      </c>
      <c r="TJ81" s="1" t="s">
        <v>62639</v>
      </c>
      <c r="TK81" s="1" t="s">
        <v>62640</v>
      </c>
      <c r="TL81" s="1" t="s">
        <v>62641</v>
      </c>
      <c r="TM81" s="1" t="s">
        <v>62642</v>
      </c>
      <c r="TN81" s="1" t="s">
        <v>62643</v>
      </c>
      <c r="TO81" s="1" t="s">
        <v>62644</v>
      </c>
      <c r="TP81" s="1" t="s">
        <v>62645</v>
      </c>
      <c r="TQ81" s="1" t="s">
        <v>62646</v>
      </c>
      <c r="TR81" s="1" t="s">
        <v>62647</v>
      </c>
      <c r="TS81" s="1" t="s">
        <v>62648</v>
      </c>
      <c r="TT81" s="1" t="s">
        <v>62649</v>
      </c>
      <c r="TU81" s="1" t="s">
        <v>62650</v>
      </c>
      <c r="TV81" s="1" t="s">
        <v>62651</v>
      </c>
      <c r="TW81" s="1" t="s">
        <v>62652</v>
      </c>
      <c r="TX81" s="1" t="s">
        <v>62653</v>
      </c>
      <c r="TY81" s="1" t="s">
        <v>62654</v>
      </c>
      <c r="TZ81" s="1" t="s">
        <v>62655</v>
      </c>
      <c r="UA81" s="1" t="s">
        <v>62656</v>
      </c>
      <c r="UB81" s="1" t="s">
        <v>62657</v>
      </c>
      <c r="UC81" s="1" t="s">
        <v>62658</v>
      </c>
      <c r="UD81" s="1" t="s">
        <v>62659</v>
      </c>
      <c r="UE81" s="1" t="s">
        <v>62660</v>
      </c>
      <c r="UF81" s="1" t="s">
        <v>62661</v>
      </c>
      <c r="UG81" s="1" t="s">
        <v>62662</v>
      </c>
      <c r="UH81" s="1" t="s">
        <v>62663</v>
      </c>
      <c r="UI81" s="1" t="s">
        <v>62664</v>
      </c>
      <c r="UJ81" s="1" t="s">
        <v>62665</v>
      </c>
      <c r="UK81" s="1" t="s">
        <v>62666</v>
      </c>
      <c r="UL81" s="1" t="s">
        <v>62667</v>
      </c>
      <c r="UM81" s="1" t="s">
        <v>62668</v>
      </c>
      <c r="UN81" s="1" t="s">
        <v>62669</v>
      </c>
      <c r="UO81" s="1" t="s">
        <v>62670</v>
      </c>
      <c r="UP81" s="1" t="s">
        <v>62671</v>
      </c>
      <c r="UQ81" s="1" t="s">
        <v>62672</v>
      </c>
      <c r="UR81" s="1" t="s">
        <v>62673</v>
      </c>
      <c r="US81" s="1" t="s">
        <v>62674</v>
      </c>
      <c r="UT81" s="1" t="s">
        <v>62675</v>
      </c>
      <c r="UU81" s="1" t="s">
        <v>62676</v>
      </c>
      <c r="UV81" s="1" t="s">
        <v>62677</v>
      </c>
      <c r="UW81" s="1" t="s">
        <v>62678</v>
      </c>
      <c r="UX81" s="1" t="s">
        <v>62679</v>
      </c>
      <c r="UY81" s="1" t="s">
        <v>62680</v>
      </c>
      <c r="UZ81" s="1" t="s">
        <v>62681</v>
      </c>
      <c r="VA81" s="1" t="s">
        <v>62682</v>
      </c>
      <c r="VB81" s="1" t="s">
        <v>62683</v>
      </c>
      <c r="VC81" s="1" t="s">
        <v>62684</v>
      </c>
      <c r="VD81" s="1" t="s">
        <v>62685</v>
      </c>
      <c r="VE81" s="1" t="s">
        <v>62686</v>
      </c>
      <c r="VF81" s="1" t="s">
        <v>62687</v>
      </c>
      <c r="VG81" s="1" t="s">
        <v>62688</v>
      </c>
      <c r="VH81" s="1" t="s">
        <v>62689</v>
      </c>
      <c r="VI81" s="1" t="s">
        <v>62690</v>
      </c>
      <c r="VJ81" s="1" t="s">
        <v>62691</v>
      </c>
      <c r="VK81" s="1" t="s">
        <v>62692</v>
      </c>
      <c r="VL81" s="1" t="s">
        <v>62693</v>
      </c>
      <c r="VM81" s="1" t="s">
        <v>62694</v>
      </c>
      <c r="VN81" s="1" t="s">
        <v>62695</v>
      </c>
      <c r="VO81" s="1" t="s">
        <v>62696</v>
      </c>
      <c r="VP81" s="1" t="s">
        <v>62697</v>
      </c>
      <c r="VQ81" s="1" t="s">
        <v>62698</v>
      </c>
      <c r="VR81" s="1" t="s">
        <v>62699</v>
      </c>
      <c r="VS81" s="1" t="s">
        <v>62700</v>
      </c>
      <c r="VT81" s="1" t="s">
        <v>62701</v>
      </c>
      <c r="VU81" s="1" t="s">
        <v>62702</v>
      </c>
      <c r="VV81" s="1" t="s">
        <v>62703</v>
      </c>
      <c r="VW81" s="1" t="s">
        <v>62704</v>
      </c>
      <c r="VX81" s="1" t="s">
        <v>62705</v>
      </c>
      <c r="VY81" s="1" t="s">
        <v>62706</v>
      </c>
      <c r="VZ81" s="1" t="s">
        <v>62707</v>
      </c>
      <c r="WA81" s="1" t="s">
        <v>62708</v>
      </c>
      <c r="WB81" s="1" t="s">
        <v>62709</v>
      </c>
      <c r="WC81" s="1" t="s">
        <v>62710</v>
      </c>
      <c r="WD81" s="1" t="s">
        <v>62711</v>
      </c>
      <c r="WE81" s="1" t="s">
        <v>62712</v>
      </c>
      <c r="WF81" s="1" t="s">
        <v>62713</v>
      </c>
      <c r="WG81" s="1" t="s">
        <v>62714</v>
      </c>
      <c r="WH81" s="1" t="s">
        <v>62715</v>
      </c>
      <c r="WI81" s="1" t="s">
        <v>62716</v>
      </c>
      <c r="WJ81" s="1" t="s">
        <v>62717</v>
      </c>
      <c r="WK81" s="1" t="s">
        <v>62718</v>
      </c>
      <c r="WL81" s="1" t="s">
        <v>62719</v>
      </c>
      <c r="WM81" s="1" t="s">
        <v>62720</v>
      </c>
      <c r="WN81" s="1" t="s">
        <v>62721</v>
      </c>
      <c r="WO81" s="1" t="s">
        <v>62722</v>
      </c>
      <c r="WP81" s="1" t="s">
        <v>62723</v>
      </c>
      <c r="WQ81" s="1" t="s">
        <v>62724</v>
      </c>
      <c r="WR81" s="1" t="s">
        <v>62725</v>
      </c>
      <c r="WS81" s="1" t="s">
        <v>62726</v>
      </c>
      <c r="WT81" s="1" t="s">
        <v>62727</v>
      </c>
      <c r="WU81" s="1" t="s">
        <v>62728</v>
      </c>
      <c r="WV81" s="1" t="s">
        <v>62729</v>
      </c>
      <c r="WW81" s="1" t="s">
        <v>62730</v>
      </c>
      <c r="WX81" s="1" t="s">
        <v>62731</v>
      </c>
      <c r="WY81" s="1" t="s">
        <v>62732</v>
      </c>
      <c r="WZ81" s="1" t="s">
        <v>62733</v>
      </c>
      <c r="XA81" s="1" t="s">
        <v>62734</v>
      </c>
      <c r="XB81" s="1" t="s">
        <v>62735</v>
      </c>
      <c r="XC81" s="1" t="s">
        <v>62736</v>
      </c>
      <c r="XD81" s="1" t="s">
        <v>62737</v>
      </c>
      <c r="XE81" s="1" t="s">
        <v>62738</v>
      </c>
      <c r="XF81" s="1" t="s">
        <v>62739</v>
      </c>
      <c r="XG81" s="1" t="s">
        <v>62740</v>
      </c>
      <c r="XH81" s="1" t="s">
        <v>62741</v>
      </c>
      <c r="XI81" s="1" t="s">
        <v>62742</v>
      </c>
      <c r="XJ81" s="1" t="s">
        <v>62743</v>
      </c>
      <c r="XK81" s="1" t="s">
        <v>62744</v>
      </c>
      <c r="XL81" s="1" t="s">
        <v>62745</v>
      </c>
      <c r="XM81" s="1" t="s">
        <v>62746</v>
      </c>
      <c r="XN81" s="1" t="s">
        <v>62747</v>
      </c>
      <c r="XO81" s="1" t="s">
        <v>62748</v>
      </c>
      <c r="XP81" s="1" t="s">
        <v>62749</v>
      </c>
      <c r="XQ81" s="1" t="s">
        <v>62750</v>
      </c>
      <c r="XR81" s="1" t="s">
        <v>62751</v>
      </c>
      <c r="XS81" s="1" t="s">
        <v>62752</v>
      </c>
      <c r="XT81" s="1" t="s">
        <v>62753</v>
      </c>
      <c r="XU81" s="1" t="s">
        <v>62754</v>
      </c>
      <c r="XV81" s="1" t="s">
        <v>62755</v>
      </c>
      <c r="XW81" s="1" t="s">
        <v>62756</v>
      </c>
      <c r="XX81" s="1" t="s">
        <v>62757</v>
      </c>
      <c r="XY81" s="1" t="s">
        <v>62758</v>
      </c>
      <c r="XZ81" s="1" t="s">
        <v>62759</v>
      </c>
      <c r="YA81" s="1" t="s">
        <v>62760</v>
      </c>
      <c r="YB81" s="1" t="s">
        <v>62761</v>
      </c>
      <c r="YC81" s="1" t="s">
        <v>62762</v>
      </c>
      <c r="YD81" s="1" t="s">
        <v>62763</v>
      </c>
      <c r="YE81" s="1" t="s">
        <v>62764</v>
      </c>
      <c r="YF81" s="1" t="s">
        <v>62765</v>
      </c>
      <c r="YG81" s="1" t="s">
        <v>62766</v>
      </c>
      <c r="YH81" s="1" t="s">
        <v>62767</v>
      </c>
      <c r="YI81" s="1" t="s">
        <v>62768</v>
      </c>
      <c r="YJ81" s="1" t="s">
        <v>62769</v>
      </c>
      <c r="YK81" s="1" t="s">
        <v>62770</v>
      </c>
      <c r="YL81" s="1" t="s">
        <v>62771</v>
      </c>
      <c r="YM81" s="1" t="s">
        <v>62772</v>
      </c>
      <c r="YN81" s="1" t="s">
        <v>62773</v>
      </c>
      <c r="YO81" s="1" t="s">
        <v>62774</v>
      </c>
      <c r="YP81" s="1" t="s">
        <v>62775</v>
      </c>
      <c r="YQ81" s="1" t="s">
        <v>62776</v>
      </c>
      <c r="YR81" s="1" t="s">
        <v>62777</v>
      </c>
      <c r="YS81" s="1" t="s">
        <v>62778</v>
      </c>
      <c r="YT81" s="1" t="s">
        <v>62779</v>
      </c>
      <c r="YU81" s="1" t="s">
        <v>62780</v>
      </c>
      <c r="YV81" s="1" t="s">
        <v>62781</v>
      </c>
      <c r="YW81" s="1" t="s">
        <v>62782</v>
      </c>
      <c r="YX81" s="1" t="s">
        <v>62783</v>
      </c>
      <c r="YY81" s="1" t="s">
        <v>62784</v>
      </c>
      <c r="YZ81" s="1" t="s">
        <v>62785</v>
      </c>
      <c r="ZA81" s="1" t="s">
        <v>62786</v>
      </c>
      <c r="ZB81" s="1" t="s">
        <v>62787</v>
      </c>
      <c r="ZC81" s="1" t="s">
        <v>62788</v>
      </c>
      <c r="ZD81" s="1" t="s">
        <v>62789</v>
      </c>
      <c r="ZE81" s="1" t="s">
        <v>62790</v>
      </c>
      <c r="ZF81" s="1" t="s">
        <v>62791</v>
      </c>
      <c r="ZG81" s="1" t="s">
        <v>62792</v>
      </c>
      <c r="ZH81" s="1" t="s">
        <v>62793</v>
      </c>
      <c r="ZI81" s="1" t="s">
        <v>62794</v>
      </c>
      <c r="ZJ81" s="1" t="s">
        <v>62795</v>
      </c>
      <c r="ZK81" s="1" t="s">
        <v>62796</v>
      </c>
      <c r="ZL81" s="1" t="s">
        <v>62797</v>
      </c>
      <c r="ZM81" s="1" t="s">
        <v>62798</v>
      </c>
      <c r="ZN81" s="1" t="s">
        <v>62799</v>
      </c>
      <c r="ZO81" s="1" t="s">
        <v>62800</v>
      </c>
      <c r="ZP81" s="1" t="s">
        <v>62801</v>
      </c>
      <c r="ZQ81" s="1" t="s">
        <v>62802</v>
      </c>
      <c r="ZR81" s="1" t="s">
        <v>62803</v>
      </c>
      <c r="ZS81" s="1" t="s">
        <v>62804</v>
      </c>
      <c r="ZT81" s="1" t="s">
        <v>62805</v>
      </c>
      <c r="ZU81" s="1" t="s">
        <v>62806</v>
      </c>
      <c r="ZV81" s="1" t="s">
        <v>62807</v>
      </c>
      <c r="ZW81" s="1" t="s">
        <v>62808</v>
      </c>
      <c r="ZX81" s="1" t="s">
        <v>62809</v>
      </c>
      <c r="ZY81" s="1" t="s">
        <v>62810</v>
      </c>
      <c r="ZZ81" s="1" t="s">
        <v>62811</v>
      </c>
      <c r="AAA81" s="1" t="s">
        <v>62812</v>
      </c>
      <c r="AAB81" s="1" t="s">
        <v>62813</v>
      </c>
      <c r="AAC81" s="1" t="s">
        <v>62814</v>
      </c>
      <c r="AAD81" s="1" t="s">
        <v>62815</v>
      </c>
      <c r="AAE81" s="1" t="s">
        <v>62816</v>
      </c>
      <c r="AAF81" s="1" t="s">
        <v>62817</v>
      </c>
      <c r="AAG81" s="1" t="s">
        <v>62818</v>
      </c>
      <c r="AAH81" s="1" t="s">
        <v>62819</v>
      </c>
      <c r="AAI81" s="1" t="s">
        <v>62820</v>
      </c>
      <c r="AAJ81" s="1" t="s">
        <v>62821</v>
      </c>
      <c r="AAK81" s="1" t="s">
        <v>62822</v>
      </c>
      <c r="AAL81" s="1" t="s">
        <v>62823</v>
      </c>
      <c r="AAM81" s="1" t="s">
        <v>62824</v>
      </c>
      <c r="AAN81" s="1" t="s">
        <v>62825</v>
      </c>
      <c r="AAO81" s="1" t="s">
        <v>62826</v>
      </c>
      <c r="AAP81" s="1" t="s">
        <v>62827</v>
      </c>
      <c r="AAQ81" s="1" t="s">
        <v>62828</v>
      </c>
      <c r="AAR81" s="1" t="s">
        <v>62829</v>
      </c>
      <c r="AAS81" s="1" t="s">
        <v>62830</v>
      </c>
      <c r="AAT81" s="1" t="s">
        <v>62831</v>
      </c>
      <c r="AAU81" s="1" t="s">
        <v>62832</v>
      </c>
      <c r="AAV81" s="1" t="s">
        <v>62833</v>
      </c>
      <c r="AAW81" s="1" t="s">
        <v>62834</v>
      </c>
      <c r="AAX81" s="1" t="s">
        <v>62835</v>
      </c>
      <c r="AAY81" s="1" t="s">
        <v>62836</v>
      </c>
      <c r="AAZ81" s="1" t="s">
        <v>62837</v>
      </c>
      <c r="ABA81" s="1" t="s">
        <v>62838</v>
      </c>
      <c r="ABB81" s="1" t="s">
        <v>62839</v>
      </c>
      <c r="ABC81" s="1" t="s">
        <v>62840</v>
      </c>
      <c r="ABD81" s="1" t="s">
        <v>62841</v>
      </c>
      <c r="ABE81" s="1" t="s">
        <v>62842</v>
      </c>
      <c r="ABF81" s="1" t="s">
        <v>62843</v>
      </c>
      <c r="ABG81" s="1" t="s">
        <v>62844</v>
      </c>
      <c r="ABH81" s="1" t="s">
        <v>62845</v>
      </c>
      <c r="ABI81" s="1" t="s">
        <v>62846</v>
      </c>
      <c r="ABJ81" s="1" t="s">
        <v>62847</v>
      </c>
      <c r="ABK81" s="1" t="s">
        <v>62848</v>
      </c>
      <c r="ABL81" s="1" t="s">
        <v>62849</v>
      </c>
      <c r="ABM81" s="1" t="s">
        <v>62850</v>
      </c>
      <c r="ABN81" s="1" t="s">
        <v>62851</v>
      </c>
      <c r="ABO81" s="1" t="s">
        <v>62852</v>
      </c>
      <c r="ABP81" s="1" t="s">
        <v>62853</v>
      </c>
      <c r="ABQ81" s="1" t="s">
        <v>62854</v>
      </c>
      <c r="ABR81" s="1" t="s">
        <v>62855</v>
      </c>
      <c r="ABS81" s="1" t="s">
        <v>62856</v>
      </c>
      <c r="ABT81" s="1" t="s">
        <v>62857</v>
      </c>
      <c r="ABU81" s="1" t="s">
        <v>62858</v>
      </c>
      <c r="ABV81" s="1" t="s">
        <v>62859</v>
      </c>
      <c r="ABW81" s="1" t="s">
        <v>62860</v>
      </c>
      <c r="ABX81" s="1" t="s">
        <v>62861</v>
      </c>
      <c r="ABY81" s="1" t="s">
        <v>62862</v>
      </c>
      <c r="ABZ81" s="1" t="s">
        <v>62863</v>
      </c>
      <c r="ACA81" s="1" t="s">
        <v>62864</v>
      </c>
      <c r="ACB81" s="1" t="s">
        <v>62865</v>
      </c>
      <c r="ACC81" s="1" t="s">
        <v>62866</v>
      </c>
      <c r="ACD81" s="1" t="s">
        <v>62867</v>
      </c>
      <c r="ACE81" s="1" t="s">
        <v>62868</v>
      </c>
      <c r="ACF81" s="1" t="s">
        <v>62869</v>
      </c>
      <c r="ACG81" s="1" t="s">
        <v>62870</v>
      </c>
      <c r="ACH81" s="1" t="s">
        <v>62871</v>
      </c>
      <c r="ACI81" s="1" t="s">
        <v>62872</v>
      </c>
      <c r="ACJ81" s="1" t="s">
        <v>62873</v>
      </c>
      <c r="ACK81" s="1" t="s">
        <v>62874</v>
      </c>
      <c r="ACL81" s="1" t="s">
        <v>62875</v>
      </c>
      <c r="ACM81" s="1" t="s">
        <v>62876</v>
      </c>
      <c r="ACN81" s="1" t="s">
        <v>62877</v>
      </c>
      <c r="ACO81" s="1" t="s">
        <v>62878</v>
      </c>
      <c r="ACP81" s="1" t="s">
        <v>62879</v>
      </c>
      <c r="ACQ81" s="1" t="s">
        <v>62880</v>
      </c>
      <c r="ACR81" s="1" t="s">
        <v>62881</v>
      </c>
      <c r="ACS81" s="1" t="s">
        <v>62882</v>
      </c>
      <c r="ACT81" s="1" t="s">
        <v>62883</v>
      </c>
      <c r="ACU81" s="1" t="s">
        <v>62884</v>
      </c>
      <c r="ACV81" s="1" t="s">
        <v>62885</v>
      </c>
      <c r="ACW81" s="1" t="s">
        <v>23</v>
      </c>
      <c r="ACX81" s="1" t="s">
        <v>6310</v>
      </c>
    </row>
    <row r="82" spans="1:778" x14ac:dyDescent="0.2">
      <c r="A82" s="1" t="s">
        <v>55</v>
      </c>
      <c r="B82" s="1" t="s">
        <v>62886</v>
      </c>
      <c r="C82" s="1" t="s">
        <v>62887</v>
      </c>
      <c r="D82" s="1" t="s">
        <v>62888</v>
      </c>
      <c r="E82" s="1" t="s">
        <v>62889</v>
      </c>
      <c r="F82" s="1" t="s">
        <v>62890</v>
      </c>
      <c r="G82" s="1" t="s">
        <v>62891</v>
      </c>
      <c r="H82" s="1" t="s">
        <v>62892</v>
      </c>
      <c r="I82" s="1" t="s">
        <v>62893</v>
      </c>
      <c r="J82" s="1" t="s">
        <v>62894</v>
      </c>
      <c r="K82" s="1" t="s">
        <v>62895</v>
      </c>
      <c r="L82" s="1" t="s">
        <v>62896</v>
      </c>
      <c r="M82" s="1" t="s">
        <v>62897</v>
      </c>
      <c r="N82" s="1" t="s">
        <v>62898</v>
      </c>
      <c r="O82" s="1" t="s">
        <v>62899</v>
      </c>
      <c r="P82" s="1" t="s">
        <v>62900</v>
      </c>
      <c r="Q82" s="1" t="s">
        <v>62901</v>
      </c>
      <c r="R82" s="1" t="s">
        <v>62902</v>
      </c>
      <c r="S82" s="1" t="s">
        <v>62903</v>
      </c>
      <c r="T82" s="1" t="s">
        <v>62904</v>
      </c>
      <c r="U82" s="1" t="s">
        <v>62905</v>
      </c>
      <c r="V82" s="1" t="s">
        <v>62906</v>
      </c>
      <c r="W82" s="1" t="s">
        <v>62907</v>
      </c>
      <c r="X82" s="1" t="s">
        <v>62908</v>
      </c>
      <c r="Y82" s="1" t="s">
        <v>62909</v>
      </c>
      <c r="Z82" s="1" t="s">
        <v>62910</v>
      </c>
      <c r="AA82" s="1" t="s">
        <v>62911</v>
      </c>
      <c r="AB82" s="1" t="s">
        <v>62912</v>
      </c>
      <c r="AC82" s="1" t="s">
        <v>62913</v>
      </c>
      <c r="AD82" s="1" t="s">
        <v>62914</v>
      </c>
      <c r="AE82" s="1" t="s">
        <v>62915</v>
      </c>
      <c r="AF82" s="1" t="s">
        <v>62916</v>
      </c>
      <c r="AG82" s="1" t="s">
        <v>62917</v>
      </c>
      <c r="AH82" s="1" t="s">
        <v>62918</v>
      </c>
      <c r="AI82" s="1" t="s">
        <v>62919</v>
      </c>
      <c r="AJ82" s="1" t="s">
        <v>62920</v>
      </c>
      <c r="AK82" s="1" t="s">
        <v>62921</v>
      </c>
      <c r="AL82" s="1" t="s">
        <v>62922</v>
      </c>
      <c r="AM82" s="1" t="s">
        <v>62923</v>
      </c>
      <c r="AN82" s="1" t="s">
        <v>62924</v>
      </c>
      <c r="AO82" s="1" t="s">
        <v>62925</v>
      </c>
      <c r="AP82" s="1" t="s">
        <v>62926</v>
      </c>
      <c r="AQ82" s="1" t="s">
        <v>62927</v>
      </c>
      <c r="AR82" s="1" t="s">
        <v>62928</v>
      </c>
      <c r="AS82" s="1" t="s">
        <v>62929</v>
      </c>
      <c r="AT82" s="1" t="s">
        <v>62930</v>
      </c>
      <c r="AU82" s="1" t="s">
        <v>62931</v>
      </c>
      <c r="AV82" s="1" t="s">
        <v>62932</v>
      </c>
      <c r="AW82" s="1" t="s">
        <v>62933</v>
      </c>
      <c r="AX82" s="1" t="s">
        <v>62934</v>
      </c>
      <c r="AY82" s="1" t="s">
        <v>62935</v>
      </c>
      <c r="AZ82" s="1" t="s">
        <v>62936</v>
      </c>
      <c r="BA82" s="1" t="s">
        <v>62937</v>
      </c>
      <c r="BB82" s="1" t="s">
        <v>62938</v>
      </c>
      <c r="BC82" s="1" t="s">
        <v>62939</v>
      </c>
      <c r="BD82" s="1" t="s">
        <v>62940</v>
      </c>
      <c r="BE82" s="1" t="s">
        <v>62941</v>
      </c>
      <c r="BF82" s="1" t="s">
        <v>62942</v>
      </c>
      <c r="BG82" s="1" t="s">
        <v>62943</v>
      </c>
      <c r="BH82" s="1" t="s">
        <v>62944</v>
      </c>
      <c r="BI82" s="1" t="s">
        <v>62945</v>
      </c>
      <c r="BJ82" s="1" t="s">
        <v>62946</v>
      </c>
      <c r="BK82" s="1" t="s">
        <v>62947</v>
      </c>
      <c r="BL82" s="1" t="s">
        <v>62948</v>
      </c>
      <c r="BM82" s="1" t="s">
        <v>62949</v>
      </c>
      <c r="BN82" s="1" t="s">
        <v>62950</v>
      </c>
      <c r="BO82" s="1" t="s">
        <v>62951</v>
      </c>
      <c r="BP82" s="1" t="s">
        <v>62952</v>
      </c>
      <c r="BQ82" s="1" t="s">
        <v>62953</v>
      </c>
      <c r="BR82" s="1" t="s">
        <v>62954</v>
      </c>
      <c r="BS82" s="1" t="s">
        <v>62955</v>
      </c>
      <c r="BT82" s="1" t="s">
        <v>62956</v>
      </c>
      <c r="BU82" s="1" t="s">
        <v>62957</v>
      </c>
      <c r="BV82" s="1" t="s">
        <v>62958</v>
      </c>
      <c r="BW82" s="1" t="s">
        <v>62959</v>
      </c>
      <c r="BX82" s="1" t="s">
        <v>62960</v>
      </c>
      <c r="BY82" s="1" t="s">
        <v>62961</v>
      </c>
      <c r="BZ82" s="1" t="s">
        <v>62962</v>
      </c>
      <c r="CA82" s="1" t="s">
        <v>62963</v>
      </c>
      <c r="CB82" s="1" t="s">
        <v>62964</v>
      </c>
      <c r="CC82" s="1" t="s">
        <v>62965</v>
      </c>
      <c r="CD82" s="1" t="s">
        <v>62966</v>
      </c>
      <c r="CE82" s="1" t="s">
        <v>62967</v>
      </c>
      <c r="CF82" s="1" t="s">
        <v>62968</v>
      </c>
      <c r="CG82" s="1" t="s">
        <v>62969</v>
      </c>
      <c r="CH82" s="1" t="s">
        <v>62970</v>
      </c>
      <c r="CI82" s="1" t="s">
        <v>62971</v>
      </c>
      <c r="CJ82" s="1" t="s">
        <v>62972</v>
      </c>
      <c r="CK82" s="1" t="s">
        <v>62973</v>
      </c>
      <c r="CL82" s="1" t="s">
        <v>62974</v>
      </c>
      <c r="CM82" s="1" t="s">
        <v>62975</v>
      </c>
      <c r="CN82" s="1" t="s">
        <v>62976</v>
      </c>
      <c r="CO82" s="1" t="s">
        <v>62977</v>
      </c>
      <c r="CP82" s="1" t="s">
        <v>62978</v>
      </c>
      <c r="CQ82" s="1" t="s">
        <v>62979</v>
      </c>
      <c r="CR82" s="1" t="s">
        <v>62980</v>
      </c>
      <c r="CS82" s="1" t="s">
        <v>62981</v>
      </c>
      <c r="CT82" s="1" t="s">
        <v>62982</v>
      </c>
      <c r="CU82" s="1" t="s">
        <v>62983</v>
      </c>
      <c r="CV82" s="1" t="s">
        <v>62984</v>
      </c>
      <c r="CW82" s="1" t="s">
        <v>62985</v>
      </c>
      <c r="CX82" s="1" t="s">
        <v>62986</v>
      </c>
      <c r="CY82" s="1" t="s">
        <v>62987</v>
      </c>
      <c r="CZ82" s="1" t="s">
        <v>62988</v>
      </c>
      <c r="DA82" s="1" t="s">
        <v>62989</v>
      </c>
      <c r="DB82" s="1" t="s">
        <v>62990</v>
      </c>
      <c r="DC82" s="1" t="s">
        <v>62991</v>
      </c>
      <c r="DD82" s="1" t="s">
        <v>62992</v>
      </c>
      <c r="DE82" s="1" t="s">
        <v>62993</v>
      </c>
      <c r="DF82" s="1" t="s">
        <v>62994</v>
      </c>
      <c r="DG82" s="1" t="s">
        <v>62995</v>
      </c>
      <c r="DH82" s="1" t="s">
        <v>62996</v>
      </c>
      <c r="DI82" s="1" t="s">
        <v>62997</v>
      </c>
      <c r="DJ82" s="1" t="s">
        <v>62998</v>
      </c>
      <c r="DK82" s="1" t="s">
        <v>62999</v>
      </c>
      <c r="DL82" s="1" t="s">
        <v>63000</v>
      </c>
      <c r="DM82" s="1" t="s">
        <v>63001</v>
      </c>
      <c r="DN82" s="1" t="s">
        <v>63002</v>
      </c>
      <c r="DO82" s="1" t="s">
        <v>63003</v>
      </c>
      <c r="DP82" s="1" t="s">
        <v>63004</v>
      </c>
      <c r="DQ82" s="1" t="s">
        <v>63005</v>
      </c>
      <c r="DR82" s="1" t="s">
        <v>63006</v>
      </c>
      <c r="DS82" s="1" t="s">
        <v>63007</v>
      </c>
      <c r="DT82" s="1" t="s">
        <v>63008</v>
      </c>
      <c r="DU82" s="1" t="s">
        <v>63009</v>
      </c>
      <c r="DV82" s="1" t="s">
        <v>63010</v>
      </c>
      <c r="DW82" s="1" t="s">
        <v>63011</v>
      </c>
      <c r="DX82" s="1" t="s">
        <v>63012</v>
      </c>
      <c r="DY82" s="1" t="s">
        <v>63013</v>
      </c>
      <c r="DZ82" s="1" t="s">
        <v>63014</v>
      </c>
      <c r="EA82" s="1" t="s">
        <v>63015</v>
      </c>
      <c r="EB82" s="1" t="s">
        <v>63016</v>
      </c>
      <c r="EC82" s="1" t="s">
        <v>63017</v>
      </c>
      <c r="ED82" s="1" t="s">
        <v>63018</v>
      </c>
      <c r="EE82" s="1" t="s">
        <v>63019</v>
      </c>
      <c r="EF82" s="1" t="s">
        <v>63020</v>
      </c>
      <c r="EG82" s="1" t="s">
        <v>63021</v>
      </c>
      <c r="EH82" s="1" t="s">
        <v>63022</v>
      </c>
      <c r="EI82" s="1" t="s">
        <v>63023</v>
      </c>
      <c r="EJ82" s="1" t="s">
        <v>63024</v>
      </c>
      <c r="EK82" s="1" t="s">
        <v>63025</v>
      </c>
      <c r="EL82" s="1" t="s">
        <v>63026</v>
      </c>
      <c r="EM82" s="1" t="s">
        <v>63027</v>
      </c>
      <c r="EN82" s="1" t="s">
        <v>63028</v>
      </c>
      <c r="EO82" s="1" t="s">
        <v>63029</v>
      </c>
      <c r="EP82" s="1" t="s">
        <v>63030</v>
      </c>
      <c r="EQ82" s="1" t="s">
        <v>63031</v>
      </c>
      <c r="ER82" s="1" t="s">
        <v>63032</v>
      </c>
      <c r="ES82" s="1" t="s">
        <v>63033</v>
      </c>
      <c r="ET82" s="1" t="s">
        <v>63034</v>
      </c>
      <c r="EU82" s="1" t="s">
        <v>63035</v>
      </c>
      <c r="EV82" s="1" t="s">
        <v>63036</v>
      </c>
      <c r="EW82" s="1" t="s">
        <v>63037</v>
      </c>
      <c r="EX82" s="1" t="s">
        <v>63038</v>
      </c>
      <c r="EY82" s="1" t="s">
        <v>63039</v>
      </c>
      <c r="EZ82" s="1" t="s">
        <v>63040</v>
      </c>
      <c r="FA82" s="1" t="s">
        <v>63041</v>
      </c>
      <c r="FB82" s="1" t="s">
        <v>63042</v>
      </c>
      <c r="FC82" s="1" t="s">
        <v>63043</v>
      </c>
      <c r="FD82" s="1" t="s">
        <v>63044</v>
      </c>
      <c r="FE82" s="1" t="s">
        <v>63045</v>
      </c>
      <c r="FF82" s="1" t="s">
        <v>63046</v>
      </c>
      <c r="FG82" s="1" t="s">
        <v>63047</v>
      </c>
      <c r="FH82" s="1" t="s">
        <v>63048</v>
      </c>
      <c r="FI82" s="1" t="s">
        <v>63049</v>
      </c>
      <c r="FJ82" s="1" t="s">
        <v>63050</v>
      </c>
      <c r="FK82" s="1" t="s">
        <v>63051</v>
      </c>
      <c r="FL82" s="1" t="s">
        <v>63052</v>
      </c>
      <c r="FM82" s="1" t="s">
        <v>63053</v>
      </c>
      <c r="FN82" s="1" t="s">
        <v>63054</v>
      </c>
      <c r="FO82" s="1" t="s">
        <v>63055</v>
      </c>
      <c r="FP82" s="1" t="s">
        <v>63056</v>
      </c>
      <c r="FQ82" s="1" t="s">
        <v>63057</v>
      </c>
      <c r="FR82" s="1" t="s">
        <v>63058</v>
      </c>
      <c r="FS82" s="1" t="s">
        <v>63059</v>
      </c>
      <c r="FT82" s="1" t="s">
        <v>63060</v>
      </c>
      <c r="FU82" s="1" t="s">
        <v>63061</v>
      </c>
      <c r="FV82" s="1" t="s">
        <v>63062</v>
      </c>
      <c r="FW82" s="1" t="s">
        <v>63063</v>
      </c>
      <c r="FX82" s="1" t="s">
        <v>63064</v>
      </c>
      <c r="FY82" s="1" t="s">
        <v>63065</v>
      </c>
      <c r="FZ82" s="1" t="s">
        <v>63066</v>
      </c>
      <c r="GA82" s="1" t="s">
        <v>63067</v>
      </c>
      <c r="GB82" s="1" t="s">
        <v>63068</v>
      </c>
      <c r="GC82" s="1" t="s">
        <v>63069</v>
      </c>
      <c r="GD82" s="1" t="s">
        <v>63070</v>
      </c>
      <c r="GE82" s="1" t="s">
        <v>63071</v>
      </c>
      <c r="GF82" s="1" t="s">
        <v>63072</v>
      </c>
      <c r="GG82" s="1" t="s">
        <v>63073</v>
      </c>
      <c r="GH82" s="1" t="s">
        <v>63074</v>
      </c>
      <c r="GI82" s="1" t="s">
        <v>63075</v>
      </c>
      <c r="GJ82" s="1" t="s">
        <v>63076</v>
      </c>
      <c r="GK82" s="1" t="s">
        <v>63077</v>
      </c>
      <c r="GL82" s="1" t="s">
        <v>63078</v>
      </c>
      <c r="GM82" s="1" t="s">
        <v>63079</v>
      </c>
      <c r="GN82" s="1" t="s">
        <v>63080</v>
      </c>
      <c r="GO82" s="1" t="s">
        <v>63081</v>
      </c>
      <c r="GP82" s="1" t="s">
        <v>63082</v>
      </c>
      <c r="GQ82" s="1" t="s">
        <v>63083</v>
      </c>
      <c r="GR82" s="1" t="s">
        <v>63084</v>
      </c>
      <c r="GS82" s="1" t="s">
        <v>63085</v>
      </c>
      <c r="GT82" s="1" t="s">
        <v>63086</v>
      </c>
      <c r="GU82" s="1" t="s">
        <v>63087</v>
      </c>
      <c r="GV82" s="1" t="s">
        <v>63088</v>
      </c>
      <c r="GW82" s="1" t="s">
        <v>63089</v>
      </c>
      <c r="GX82" s="1" t="s">
        <v>63090</v>
      </c>
      <c r="GY82" s="1" t="s">
        <v>63091</v>
      </c>
      <c r="GZ82" s="1" t="s">
        <v>63092</v>
      </c>
      <c r="HA82" s="1" t="s">
        <v>63093</v>
      </c>
      <c r="HB82" s="1" t="s">
        <v>63094</v>
      </c>
      <c r="HC82" s="1" t="s">
        <v>63095</v>
      </c>
      <c r="HD82" s="1" t="s">
        <v>63096</v>
      </c>
      <c r="HE82" s="1" t="s">
        <v>63097</v>
      </c>
      <c r="HF82" s="1" t="s">
        <v>63098</v>
      </c>
      <c r="HG82" s="1" t="s">
        <v>63099</v>
      </c>
      <c r="HH82" s="1" t="s">
        <v>63100</v>
      </c>
      <c r="HI82" s="1" t="s">
        <v>63101</v>
      </c>
      <c r="HJ82" s="1" t="s">
        <v>63102</v>
      </c>
      <c r="HK82" s="1" t="s">
        <v>63103</v>
      </c>
      <c r="HL82" s="1" t="s">
        <v>63104</v>
      </c>
      <c r="HM82" s="1" t="s">
        <v>63105</v>
      </c>
      <c r="HN82" s="1" t="s">
        <v>63106</v>
      </c>
      <c r="HO82" s="1" t="s">
        <v>63107</v>
      </c>
      <c r="HP82" s="1" t="s">
        <v>63108</v>
      </c>
      <c r="HQ82" s="1" t="s">
        <v>63109</v>
      </c>
      <c r="HR82" s="1" t="s">
        <v>63110</v>
      </c>
      <c r="HS82" s="1" t="s">
        <v>63111</v>
      </c>
      <c r="HT82" s="1" t="s">
        <v>63112</v>
      </c>
      <c r="HU82" s="1" t="s">
        <v>63113</v>
      </c>
      <c r="HV82" s="1" t="s">
        <v>63114</v>
      </c>
      <c r="HW82" s="1" t="s">
        <v>63115</v>
      </c>
      <c r="HX82" s="1" t="s">
        <v>63116</v>
      </c>
      <c r="HY82" s="1" t="s">
        <v>63117</v>
      </c>
      <c r="HZ82" s="1" t="s">
        <v>63118</v>
      </c>
      <c r="IA82" s="1" t="s">
        <v>63119</v>
      </c>
      <c r="IB82" s="1" t="s">
        <v>63120</v>
      </c>
      <c r="IC82" s="1" t="s">
        <v>63121</v>
      </c>
      <c r="ID82" s="1" t="s">
        <v>63122</v>
      </c>
      <c r="IE82" s="1" t="s">
        <v>63123</v>
      </c>
      <c r="IF82" s="1" t="s">
        <v>63124</v>
      </c>
      <c r="IG82" s="1" t="s">
        <v>63125</v>
      </c>
      <c r="IH82" s="1" t="s">
        <v>63126</v>
      </c>
      <c r="II82" s="1" t="s">
        <v>63127</v>
      </c>
      <c r="IJ82" s="1" t="s">
        <v>63128</v>
      </c>
      <c r="IK82" s="1" t="s">
        <v>63129</v>
      </c>
      <c r="IL82" s="1" t="s">
        <v>63130</v>
      </c>
      <c r="IM82" s="1" t="s">
        <v>63131</v>
      </c>
      <c r="IN82" s="1" t="s">
        <v>63132</v>
      </c>
      <c r="IO82" s="1" t="s">
        <v>63133</v>
      </c>
      <c r="IP82" s="1" t="s">
        <v>63134</v>
      </c>
      <c r="IQ82" s="1" t="s">
        <v>63135</v>
      </c>
      <c r="IR82" s="1" t="s">
        <v>63136</v>
      </c>
      <c r="IS82" s="1" t="s">
        <v>63137</v>
      </c>
      <c r="IT82" s="1" t="s">
        <v>63138</v>
      </c>
      <c r="IU82" s="1" t="s">
        <v>63139</v>
      </c>
      <c r="IV82" s="1" t="s">
        <v>63140</v>
      </c>
      <c r="IW82" s="1" t="s">
        <v>63141</v>
      </c>
      <c r="IX82" s="1" t="s">
        <v>63142</v>
      </c>
      <c r="IY82" s="1" t="s">
        <v>63143</v>
      </c>
      <c r="IZ82" s="1" t="s">
        <v>63144</v>
      </c>
      <c r="JA82" s="1" t="s">
        <v>63145</v>
      </c>
      <c r="JB82" s="1" t="s">
        <v>63146</v>
      </c>
      <c r="JC82" s="1" t="s">
        <v>63147</v>
      </c>
      <c r="JD82" s="1" t="s">
        <v>63148</v>
      </c>
      <c r="JE82" s="1" t="s">
        <v>63149</v>
      </c>
      <c r="JF82" s="1" t="s">
        <v>63150</v>
      </c>
      <c r="JG82" s="1" t="s">
        <v>63151</v>
      </c>
      <c r="JH82" s="1" t="s">
        <v>63152</v>
      </c>
      <c r="JI82" s="1" t="s">
        <v>63153</v>
      </c>
      <c r="JJ82" s="1" t="s">
        <v>63154</v>
      </c>
      <c r="JK82" s="1" t="s">
        <v>63155</v>
      </c>
      <c r="JL82" s="1" t="s">
        <v>63156</v>
      </c>
      <c r="JM82" s="1" t="s">
        <v>63157</v>
      </c>
      <c r="JN82" s="1" t="s">
        <v>63158</v>
      </c>
      <c r="JO82" s="1" t="s">
        <v>63159</v>
      </c>
      <c r="JP82" s="1" t="s">
        <v>63160</v>
      </c>
      <c r="JQ82" s="1" t="s">
        <v>63161</v>
      </c>
      <c r="JR82" s="1" t="s">
        <v>63162</v>
      </c>
      <c r="JS82" s="1" t="s">
        <v>63163</v>
      </c>
      <c r="JT82" s="1" t="s">
        <v>63164</v>
      </c>
      <c r="JU82" s="1" t="s">
        <v>63165</v>
      </c>
      <c r="JV82" s="1" t="s">
        <v>63166</v>
      </c>
      <c r="JW82" s="1" t="s">
        <v>63167</v>
      </c>
      <c r="JX82" s="1" t="s">
        <v>63168</v>
      </c>
      <c r="JY82" s="1" t="s">
        <v>63169</v>
      </c>
      <c r="JZ82" s="1" t="s">
        <v>63170</v>
      </c>
      <c r="KA82" s="1" t="s">
        <v>63171</v>
      </c>
      <c r="KB82" s="1" t="s">
        <v>63172</v>
      </c>
      <c r="KC82" s="1" t="s">
        <v>63173</v>
      </c>
      <c r="KD82" s="1" t="s">
        <v>63174</v>
      </c>
      <c r="KE82" s="1" t="s">
        <v>63175</v>
      </c>
      <c r="KF82" s="1" t="s">
        <v>63176</v>
      </c>
      <c r="KG82" s="1" t="s">
        <v>63177</v>
      </c>
      <c r="KH82" s="1" t="s">
        <v>63178</v>
      </c>
      <c r="KI82" s="1" t="s">
        <v>63179</v>
      </c>
      <c r="KJ82" s="1" t="s">
        <v>63180</v>
      </c>
      <c r="KK82" s="1" t="s">
        <v>63181</v>
      </c>
      <c r="KL82" s="1" t="s">
        <v>63182</v>
      </c>
      <c r="KM82" s="1" t="s">
        <v>63183</v>
      </c>
      <c r="KN82" s="1" t="s">
        <v>63184</v>
      </c>
      <c r="KO82" s="1" t="s">
        <v>63185</v>
      </c>
      <c r="KP82" s="1" t="s">
        <v>63186</v>
      </c>
      <c r="KQ82" s="1" t="s">
        <v>63187</v>
      </c>
      <c r="KR82" s="1" t="s">
        <v>63188</v>
      </c>
      <c r="KS82" s="1" t="s">
        <v>63189</v>
      </c>
      <c r="KT82" s="1" t="s">
        <v>63190</v>
      </c>
      <c r="KU82" s="1" t="s">
        <v>63191</v>
      </c>
      <c r="KV82" s="1" t="s">
        <v>63192</v>
      </c>
      <c r="KW82" s="1" t="s">
        <v>63193</v>
      </c>
      <c r="KX82" s="1" t="s">
        <v>63194</v>
      </c>
      <c r="KY82" s="1" t="s">
        <v>63195</v>
      </c>
      <c r="KZ82" s="1" t="s">
        <v>63196</v>
      </c>
      <c r="LA82" s="1" t="s">
        <v>63197</v>
      </c>
      <c r="LB82" s="1" t="s">
        <v>63198</v>
      </c>
      <c r="LC82" s="1" t="s">
        <v>63199</v>
      </c>
      <c r="LD82" s="1" t="s">
        <v>63200</v>
      </c>
      <c r="LE82" s="1" t="s">
        <v>63201</v>
      </c>
      <c r="LF82" s="1" t="s">
        <v>63202</v>
      </c>
      <c r="LG82" s="1" t="s">
        <v>63203</v>
      </c>
      <c r="LH82" s="1" t="s">
        <v>63204</v>
      </c>
      <c r="LI82" s="1" t="s">
        <v>63205</v>
      </c>
      <c r="LJ82" s="1" t="s">
        <v>63206</v>
      </c>
      <c r="LK82" s="1" t="s">
        <v>63207</v>
      </c>
      <c r="LL82" s="1" t="s">
        <v>63208</v>
      </c>
      <c r="LM82" s="1" t="s">
        <v>63209</v>
      </c>
      <c r="LN82" s="1" t="s">
        <v>63210</v>
      </c>
      <c r="LO82" s="1" t="s">
        <v>63211</v>
      </c>
      <c r="LP82" s="1" t="s">
        <v>63212</v>
      </c>
      <c r="LQ82" s="1" t="s">
        <v>63213</v>
      </c>
      <c r="LR82" s="1" t="s">
        <v>63214</v>
      </c>
      <c r="LS82" s="1" t="s">
        <v>63215</v>
      </c>
      <c r="LT82" s="1" t="s">
        <v>63216</v>
      </c>
      <c r="LU82" s="1" t="s">
        <v>63217</v>
      </c>
      <c r="LV82" s="1" t="s">
        <v>63218</v>
      </c>
      <c r="LW82" s="1" t="s">
        <v>63219</v>
      </c>
      <c r="LX82" s="1" t="s">
        <v>63220</v>
      </c>
      <c r="LY82" s="1" t="s">
        <v>63221</v>
      </c>
      <c r="LZ82" s="1" t="s">
        <v>63222</v>
      </c>
      <c r="MA82" s="1" t="s">
        <v>63223</v>
      </c>
      <c r="MB82" s="1" t="s">
        <v>63224</v>
      </c>
      <c r="MC82" s="1" t="s">
        <v>63225</v>
      </c>
      <c r="MD82" s="1" t="s">
        <v>63226</v>
      </c>
      <c r="ME82" s="1" t="s">
        <v>63227</v>
      </c>
      <c r="MF82" s="1" t="s">
        <v>63228</v>
      </c>
      <c r="MG82" s="1" t="s">
        <v>63229</v>
      </c>
      <c r="MH82" s="1" t="s">
        <v>63230</v>
      </c>
      <c r="MI82" s="1" t="s">
        <v>63231</v>
      </c>
      <c r="MJ82" s="1" t="s">
        <v>63232</v>
      </c>
      <c r="MK82" s="1" t="s">
        <v>63233</v>
      </c>
      <c r="ML82" s="1" t="s">
        <v>63234</v>
      </c>
      <c r="MM82" s="1" t="s">
        <v>63235</v>
      </c>
      <c r="MN82" s="1" t="s">
        <v>63236</v>
      </c>
      <c r="MO82" s="1" t="s">
        <v>63237</v>
      </c>
      <c r="MP82" s="1" t="s">
        <v>63238</v>
      </c>
      <c r="MQ82" s="1" t="s">
        <v>63239</v>
      </c>
      <c r="MR82" s="1" t="s">
        <v>63240</v>
      </c>
      <c r="MS82" s="1" t="s">
        <v>63241</v>
      </c>
      <c r="MT82" s="1" t="s">
        <v>63242</v>
      </c>
      <c r="MU82" s="1" t="s">
        <v>63243</v>
      </c>
      <c r="MV82" s="1" t="s">
        <v>63244</v>
      </c>
      <c r="MW82" s="1" t="s">
        <v>63245</v>
      </c>
      <c r="MX82" s="1" t="s">
        <v>63246</v>
      </c>
      <c r="MY82" s="1" t="s">
        <v>63247</v>
      </c>
      <c r="MZ82" s="1" t="s">
        <v>63248</v>
      </c>
      <c r="NA82" s="1" t="s">
        <v>63249</v>
      </c>
      <c r="NB82" s="1" t="s">
        <v>63250</v>
      </c>
      <c r="NC82" s="1" t="s">
        <v>63251</v>
      </c>
      <c r="ND82" s="1" t="s">
        <v>63252</v>
      </c>
      <c r="NE82" s="1" t="s">
        <v>63253</v>
      </c>
      <c r="NF82" s="1" t="s">
        <v>63254</v>
      </c>
      <c r="NG82" s="1" t="s">
        <v>63255</v>
      </c>
      <c r="NH82" s="1" t="s">
        <v>63256</v>
      </c>
      <c r="NI82" s="1" t="s">
        <v>63257</v>
      </c>
      <c r="NJ82" s="1" t="s">
        <v>63258</v>
      </c>
      <c r="NK82" s="1" t="s">
        <v>63259</v>
      </c>
      <c r="NL82" s="1" t="s">
        <v>63260</v>
      </c>
      <c r="NM82" s="1" t="s">
        <v>63261</v>
      </c>
      <c r="NN82" s="1" t="s">
        <v>63262</v>
      </c>
      <c r="NO82" s="1" t="s">
        <v>63263</v>
      </c>
      <c r="NP82" s="1" t="s">
        <v>63264</v>
      </c>
      <c r="NQ82" s="1" t="s">
        <v>63265</v>
      </c>
      <c r="NR82" s="1" t="s">
        <v>63266</v>
      </c>
      <c r="NS82" s="1" t="s">
        <v>63267</v>
      </c>
      <c r="NT82" s="1" t="s">
        <v>63268</v>
      </c>
      <c r="NU82" s="1" t="s">
        <v>63269</v>
      </c>
      <c r="NV82" s="1" t="s">
        <v>63270</v>
      </c>
      <c r="NW82" s="1" t="s">
        <v>63271</v>
      </c>
      <c r="NX82" s="1" t="s">
        <v>63272</v>
      </c>
      <c r="NY82" s="1" t="s">
        <v>63273</v>
      </c>
      <c r="NZ82" s="1" t="s">
        <v>63274</v>
      </c>
      <c r="OA82" s="1" t="s">
        <v>63275</v>
      </c>
      <c r="OB82" s="1" t="s">
        <v>63276</v>
      </c>
      <c r="OC82" s="1" t="s">
        <v>63277</v>
      </c>
      <c r="OD82" s="1" t="s">
        <v>63278</v>
      </c>
      <c r="OE82" s="1" t="s">
        <v>63279</v>
      </c>
      <c r="OF82" s="1" t="s">
        <v>63280</v>
      </c>
      <c r="OG82" s="1" t="s">
        <v>63281</v>
      </c>
      <c r="OH82" s="1" t="s">
        <v>63282</v>
      </c>
      <c r="OI82" s="1" t="s">
        <v>63283</v>
      </c>
      <c r="OJ82" s="1" t="s">
        <v>63284</v>
      </c>
      <c r="OK82" s="1" t="s">
        <v>63285</v>
      </c>
      <c r="OL82" s="1" t="s">
        <v>63286</v>
      </c>
      <c r="OM82" s="1" t="s">
        <v>63287</v>
      </c>
      <c r="ON82" s="1" t="s">
        <v>63288</v>
      </c>
      <c r="OO82" s="1" t="s">
        <v>63289</v>
      </c>
      <c r="OP82" s="1" t="s">
        <v>63290</v>
      </c>
      <c r="OQ82" s="1" t="s">
        <v>63291</v>
      </c>
      <c r="OR82" s="1" t="s">
        <v>63292</v>
      </c>
      <c r="OS82" s="1" t="s">
        <v>63293</v>
      </c>
      <c r="OT82" s="1" t="s">
        <v>63294</v>
      </c>
      <c r="OU82" s="1" t="s">
        <v>63295</v>
      </c>
      <c r="OV82" s="1" t="s">
        <v>63296</v>
      </c>
      <c r="OW82" s="1" t="s">
        <v>63297</v>
      </c>
      <c r="OX82" s="1" t="s">
        <v>63298</v>
      </c>
      <c r="OY82" s="1" t="s">
        <v>63299</v>
      </c>
      <c r="OZ82" s="1" t="s">
        <v>63300</v>
      </c>
      <c r="PA82" s="1" t="s">
        <v>63301</v>
      </c>
      <c r="PB82" s="1" t="s">
        <v>63302</v>
      </c>
      <c r="PC82" s="1" t="s">
        <v>63303</v>
      </c>
      <c r="PD82" s="1" t="s">
        <v>63304</v>
      </c>
      <c r="PE82" s="1" t="s">
        <v>63305</v>
      </c>
      <c r="PF82" s="1" t="s">
        <v>63306</v>
      </c>
      <c r="PG82" s="1" t="s">
        <v>63307</v>
      </c>
      <c r="PH82" s="1" t="s">
        <v>63308</v>
      </c>
      <c r="PI82" s="1" t="s">
        <v>63309</v>
      </c>
      <c r="PJ82" s="1" t="s">
        <v>63310</v>
      </c>
      <c r="PK82" s="1" t="s">
        <v>63311</v>
      </c>
      <c r="PL82" s="1" t="s">
        <v>63312</v>
      </c>
      <c r="PM82" s="1" t="s">
        <v>63313</v>
      </c>
      <c r="PN82" s="1" t="s">
        <v>63314</v>
      </c>
      <c r="PO82" s="1" t="s">
        <v>63315</v>
      </c>
      <c r="PP82" s="1" t="s">
        <v>63316</v>
      </c>
      <c r="PQ82" s="1" t="s">
        <v>63317</v>
      </c>
      <c r="PR82" s="1" t="s">
        <v>63318</v>
      </c>
      <c r="PS82" s="1" t="s">
        <v>63319</v>
      </c>
      <c r="PT82" s="1" t="s">
        <v>63320</v>
      </c>
      <c r="PU82" s="1" t="s">
        <v>63321</v>
      </c>
      <c r="PV82" s="1" t="s">
        <v>63322</v>
      </c>
      <c r="PW82" s="1" t="s">
        <v>63323</v>
      </c>
      <c r="PX82" s="1" t="s">
        <v>63324</v>
      </c>
      <c r="PY82" s="1" t="s">
        <v>63325</v>
      </c>
      <c r="PZ82" s="1" t="s">
        <v>63326</v>
      </c>
      <c r="QA82" s="1" t="s">
        <v>63327</v>
      </c>
      <c r="QB82" s="1" t="s">
        <v>63328</v>
      </c>
      <c r="QC82" s="1" t="s">
        <v>63329</v>
      </c>
      <c r="QD82" s="1" t="s">
        <v>63330</v>
      </c>
      <c r="QE82" s="1" t="s">
        <v>63331</v>
      </c>
      <c r="QF82" s="1" t="s">
        <v>63332</v>
      </c>
      <c r="QG82" s="1" t="s">
        <v>63333</v>
      </c>
      <c r="QH82" s="1" t="s">
        <v>63334</v>
      </c>
      <c r="QI82" s="1" t="s">
        <v>63335</v>
      </c>
      <c r="QJ82" s="1" t="s">
        <v>63336</v>
      </c>
      <c r="QK82" s="1" t="s">
        <v>63337</v>
      </c>
      <c r="QL82" s="1" t="s">
        <v>63338</v>
      </c>
      <c r="QM82" s="1" t="s">
        <v>63339</v>
      </c>
      <c r="QN82" s="1" t="s">
        <v>63340</v>
      </c>
      <c r="QO82" s="1" t="s">
        <v>63341</v>
      </c>
      <c r="QP82" s="1" t="s">
        <v>63342</v>
      </c>
      <c r="QQ82" s="1" t="s">
        <v>63343</v>
      </c>
      <c r="QR82" s="1" t="s">
        <v>63344</v>
      </c>
      <c r="QS82" s="1" t="s">
        <v>63345</v>
      </c>
      <c r="QT82" s="1" t="s">
        <v>63346</v>
      </c>
      <c r="QU82" s="1" t="s">
        <v>63347</v>
      </c>
      <c r="QV82" s="1" t="s">
        <v>63348</v>
      </c>
      <c r="QW82" s="1" t="s">
        <v>63349</v>
      </c>
      <c r="QX82" s="1" t="s">
        <v>63350</v>
      </c>
      <c r="QY82" s="1" t="s">
        <v>63351</v>
      </c>
      <c r="QZ82" s="1" t="s">
        <v>63352</v>
      </c>
      <c r="RA82" s="1" t="s">
        <v>63353</v>
      </c>
      <c r="RB82" s="1" t="s">
        <v>63354</v>
      </c>
      <c r="RC82" s="1" t="s">
        <v>63355</v>
      </c>
      <c r="RD82" s="1" t="s">
        <v>63356</v>
      </c>
      <c r="RE82" s="1" t="s">
        <v>63357</v>
      </c>
      <c r="RF82" s="1" t="s">
        <v>63358</v>
      </c>
      <c r="RG82" s="1" t="s">
        <v>63359</v>
      </c>
      <c r="RH82" s="1" t="s">
        <v>63360</v>
      </c>
      <c r="RI82" s="1" t="s">
        <v>63361</v>
      </c>
      <c r="RJ82" s="1" t="s">
        <v>63362</v>
      </c>
      <c r="RK82" s="1" t="s">
        <v>63363</v>
      </c>
      <c r="RL82" s="1" t="s">
        <v>63364</v>
      </c>
      <c r="RM82" s="1" t="s">
        <v>63365</v>
      </c>
      <c r="RN82" s="1" t="s">
        <v>63366</v>
      </c>
      <c r="RO82" s="1" t="s">
        <v>63367</v>
      </c>
      <c r="RP82" s="1" t="s">
        <v>63368</v>
      </c>
      <c r="RQ82" s="1" t="s">
        <v>63369</v>
      </c>
      <c r="RR82" s="1" t="s">
        <v>63370</v>
      </c>
      <c r="RS82" s="1" t="s">
        <v>63371</v>
      </c>
      <c r="RT82" s="1" t="s">
        <v>63372</v>
      </c>
      <c r="RU82" s="1" t="s">
        <v>63373</v>
      </c>
      <c r="RV82" s="1" t="s">
        <v>63374</v>
      </c>
      <c r="RW82" s="1" t="s">
        <v>63375</v>
      </c>
      <c r="RX82" s="1" t="s">
        <v>63376</v>
      </c>
      <c r="RY82" s="1" t="s">
        <v>63377</v>
      </c>
      <c r="RZ82" s="1" t="s">
        <v>63378</v>
      </c>
      <c r="SA82" s="1" t="s">
        <v>63379</v>
      </c>
      <c r="SB82" s="1" t="s">
        <v>63380</v>
      </c>
      <c r="SC82" s="1" t="s">
        <v>63381</v>
      </c>
      <c r="SD82" s="1" t="s">
        <v>63382</v>
      </c>
      <c r="SE82" s="1" t="s">
        <v>63383</v>
      </c>
      <c r="SF82" s="1" t="s">
        <v>63384</v>
      </c>
      <c r="SG82" s="1" t="s">
        <v>63385</v>
      </c>
      <c r="SH82" s="1" t="s">
        <v>63386</v>
      </c>
      <c r="SI82" s="1" t="s">
        <v>63387</v>
      </c>
      <c r="SJ82" s="1" t="s">
        <v>63388</v>
      </c>
      <c r="SK82" s="1" t="s">
        <v>63389</v>
      </c>
      <c r="SL82" s="1" t="s">
        <v>63390</v>
      </c>
      <c r="SM82" s="1" t="s">
        <v>63391</v>
      </c>
      <c r="SN82" s="1" t="s">
        <v>63392</v>
      </c>
      <c r="SO82" s="1" t="s">
        <v>63393</v>
      </c>
      <c r="SP82" s="1" t="s">
        <v>63394</v>
      </c>
      <c r="SQ82" s="1" t="s">
        <v>63395</v>
      </c>
      <c r="SR82" s="1" t="s">
        <v>63396</v>
      </c>
      <c r="SS82" s="1" t="s">
        <v>63397</v>
      </c>
      <c r="ST82" s="1" t="s">
        <v>63398</v>
      </c>
      <c r="SU82" s="1" t="s">
        <v>63399</v>
      </c>
      <c r="SV82" s="1" t="s">
        <v>63400</v>
      </c>
      <c r="SW82" s="1" t="s">
        <v>63401</v>
      </c>
      <c r="SX82" s="1" t="s">
        <v>63402</v>
      </c>
      <c r="SY82" s="1" t="s">
        <v>63403</v>
      </c>
      <c r="SZ82" s="1" t="s">
        <v>63404</v>
      </c>
      <c r="TA82" s="1" t="s">
        <v>63405</v>
      </c>
      <c r="TB82" s="1" t="s">
        <v>63406</v>
      </c>
      <c r="TC82" s="1" t="s">
        <v>63407</v>
      </c>
      <c r="TD82" s="1" t="s">
        <v>63408</v>
      </c>
      <c r="TE82" s="1" t="s">
        <v>63409</v>
      </c>
      <c r="TF82" s="1" t="s">
        <v>63410</v>
      </c>
      <c r="TG82" s="1" t="s">
        <v>63411</v>
      </c>
      <c r="TH82" s="1" t="s">
        <v>63412</v>
      </c>
      <c r="TI82" s="1" t="s">
        <v>63413</v>
      </c>
      <c r="TJ82" s="1" t="s">
        <v>63414</v>
      </c>
      <c r="TK82" s="1" t="s">
        <v>63415</v>
      </c>
      <c r="TL82" s="1" t="s">
        <v>63416</v>
      </c>
      <c r="TM82" s="1" t="s">
        <v>63417</v>
      </c>
      <c r="TN82" s="1" t="s">
        <v>63418</v>
      </c>
      <c r="TO82" s="1" t="s">
        <v>63419</v>
      </c>
      <c r="TP82" s="1" t="s">
        <v>63420</v>
      </c>
      <c r="TQ82" s="1" t="s">
        <v>63421</v>
      </c>
      <c r="TR82" s="1" t="s">
        <v>63422</v>
      </c>
      <c r="TS82" s="1" t="s">
        <v>63423</v>
      </c>
      <c r="TT82" s="1" t="s">
        <v>63424</v>
      </c>
      <c r="TU82" s="1" t="s">
        <v>63425</v>
      </c>
      <c r="TV82" s="1" t="s">
        <v>63426</v>
      </c>
      <c r="TW82" s="1" t="s">
        <v>63427</v>
      </c>
      <c r="TX82" s="1" t="s">
        <v>63428</v>
      </c>
      <c r="TY82" s="1" t="s">
        <v>63429</v>
      </c>
      <c r="TZ82" s="1" t="s">
        <v>63430</v>
      </c>
      <c r="UA82" s="1" t="s">
        <v>63431</v>
      </c>
      <c r="UB82" s="1" t="s">
        <v>63432</v>
      </c>
      <c r="UC82" s="1" t="s">
        <v>63433</v>
      </c>
      <c r="UD82" s="1" t="s">
        <v>63434</v>
      </c>
      <c r="UE82" s="1" t="s">
        <v>63435</v>
      </c>
      <c r="UF82" s="1" t="s">
        <v>63436</v>
      </c>
      <c r="UG82" s="1" t="s">
        <v>63437</v>
      </c>
      <c r="UH82" s="1" t="s">
        <v>63438</v>
      </c>
      <c r="UI82" s="1" t="s">
        <v>63439</v>
      </c>
      <c r="UJ82" s="1" t="s">
        <v>63440</v>
      </c>
      <c r="UK82" s="1" t="s">
        <v>63441</v>
      </c>
      <c r="UL82" s="1" t="s">
        <v>63442</v>
      </c>
      <c r="UM82" s="1" t="s">
        <v>63443</v>
      </c>
      <c r="UN82" s="1" t="s">
        <v>63444</v>
      </c>
      <c r="UO82" s="1" t="s">
        <v>63445</v>
      </c>
      <c r="UP82" s="1" t="s">
        <v>63446</v>
      </c>
      <c r="UQ82" s="1" t="s">
        <v>63447</v>
      </c>
      <c r="UR82" s="1" t="s">
        <v>63448</v>
      </c>
      <c r="US82" s="1" t="s">
        <v>63449</v>
      </c>
      <c r="UT82" s="1" t="s">
        <v>63450</v>
      </c>
      <c r="UU82" s="1" t="s">
        <v>63451</v>
      </c>
      <c r="UV82" s="1" t="s">
        <v>63452</v>
      </c>
      <c r="UW82" s="1" t="s">
        <v>63453</v>
      </c>
      <c r="UX82" s="1" t="s">
        <v>63454</v>
      </c>
      <c r="UY82" s="1" t="s">
        <v>63455</v>
      </c>
      <c r="UZ82" s="1" t="s">
        <v>63456</v>
      </c>
      <c r="VA82" s="1" t="s">
        <v>63457</v>
      </c>
      <c r="VB82" s="1" t="s">
        <v>63458</v>
      </c>
      <c r="VC82" s="1" t="s">
        <v>63459</v>
      </c>
      <c r="VD82" s="1" t="s">
        <v>63460</v>
      </c>
      <c r="VE82" s="1" t="s">
        <v>63461</v>
      </c>
      <c r="VF82" s="1" t="s">
        <v>63462</v>
      </c>
      <c r="VG82" s="1" t="s">
        <v>63463</v>
      </c>
      <c r="VH82" s="1" t="s">
        <v>63464</v>
      </c>
      <c r="VI82" s="1" t="s">
        <v>63465</v>
      </c>
      <c r="VJ82" s="1" t="s">
        <v>63466</v>
      </c>
      <c r="VK82" s="1" t="s">
        <v>63467</v>
      </c>
      <c r="VL82" s="1" t="s">
        <v>63468</v>
      </c>
      <c r="VM82" s="1" t="s">
        <v>63469</v>
      </c>
      <c r="VN82" s="1" t="s">
        <v>63470</v>
      </c>
      <c r="VO82" s="1" t="s">
        <v>63471</v>
      </c>
      <c r="VP82" s="1" t="s">
        <v>63472</v>
      </c>
      <c r="VQ82" s="1" t="s">
        <v>63473</v>
      </c>
      <c r="VR82" s="1" t="s">
        <v>63474</v>
      </c>
      <c r="VS82" s="1" t="s">
        <v>63475</v>
      </c>
      <c r="VT82" s="1" t="s">
        <v>63476</v>
      </c>
      <c r="VU82" s="1" t="s">
        <v>63477</v>
      </c>
      <c r="VV82" s="1" t="s">
        <v>63478</v>
      </c>
      <c r="VW82" s="1" t="s">
        <v>63479</v>
      </c>
      <c r="VX82" s="1" t="s">
        <v>63480</v>
      </c>
      <c r="VY82" s="1" t="s">
        <v>63481</v>
      </c>
      <c r="VZ82" s="1" t="s">
        <v>63482</v>
      </c>
      <c r="WA82" s="1" t="s">
        <v>63483</v>
      </c>
      <c r="WB82" s="1" t="s">
        <v>63484</v>
      </c>
      <c r="WC82" s="1" t="s">
        <v>63485</v>
      </c>
      <c r="WD82" s="1" t="s">
        <v>63486</v>
      </c>
      <c r="WE82" s="1" t="s">
        <v>63487</v>
      </c>
      <c r="WF82" s="1" t="s">
        <v>63488</v>
      </c>
      <c r="WG82" s="1" t="s">
        <v>63489</v>
      </c>
      <c r="WH82" s="1" t="s">
        <v>63490</v>
      </c>
      <c r="WI82" s="1" t="s">
        <v>63491</v>
      </c>
      <c r="WJ82" s="1" t="s">
        <v>63492</v>
      </c>
      <c r="WK82" s="1" t="s">
        <v>63493</v>
      </c>
      <c r="WL82" s="1" t="s">
        <v>63494</v>
      </c>
      <c r="WM82" s="1" t="s">
        <v>63495</v>
      </c>
      <c r="WN82" s="1" t="s">
        <v>63496</v>
      </c>
      <c r="WO82" s="1" t="s">
        <v>63497</v>
      </c>
      <c r="WP82" s="1" t="s">
        <v>63498</v>
      </c>
      <c r="WQ82" s="1" t="s">
        <v>63499</v>
      </c>
      <c r="WR82" s="1" t="s">
        <v>63500</v>
      </c>
      <c r="WS82" s="1" t="s">
        <v>63501</v>
      </c>
      <c r="WT82" s="1" t="s">
        <v>63502</v>
      </c>
      <c r="WU82" s="1" t="s">
        <v>63503</v>
      </c>
      <c r="WV82" s="1" t="s">
        <v>63504</v>
      </c>
      <c r="WW82" s="1" t="s">
        <v>63505</v>
      </c>
      <c r="WX82" s="1" t="s">
        <v>63506</v>
      </c>
      <c r="WY82" s="1" t="s">
        <v>63507</v>
      </c>
      <c r="WZ82" s="1" t="s">
        <v>63508</v>
      </c>
      <c r="XA82" s="1" t="s">
        <v>63509</v>
      </c>
      <c r="XB82" s="1" t="s">
        <v>63510</v>
      </c>
      <c r="XC82" s="1" t="s">
        <v>63511</v>
      </c>
      <c r="XD82" s="1" t="s">
        <v>63512</v>
      </c>
      <c r="XE82" s="1" t="s">
        <v>63513</v>
      </c>
      <c r="XF82" s="1" t="s">
        <v>63514</v>
      </c>
      <c r="XG82" s="1" t="s">
        <v>63515</v>
      </c>
      <c r="XH82" s="1" t="s">
        <v>63516</v>
      </c>
      <c r="XI82" s="1" t="s">
        <v>63517</v>
      </c>
      <c r="XJ82" s="1" t="s">
        <v>63518</v>
      </c>
      <c r="XK82" s="1" t="s">
        <v>63519</v>
      </c>
      <c r="XL82" s="1" t="s">
        <v>63520</v>
      </c>
      <c r="XM82" s="1" t="s">
        <v>63521</v>
      </c>
      <c r="XN82" s="1" t="s">
        <v>63522</v>
      </c>
      <c r="XO82" s="1" t="s">
        <v>63523</v>
      </c>
      <c r="XP82" s="1" t="s">
        <v>63524</v>
      </c>
      <c r="XQ82" s="1" t="s">
        <v>63525</v>
      </c>
      <c r="XR82" s="1" t="s">
        <v>63526</v>
      </c>
      <c r="XS82" s="1" t="s">
        <v>63527</v>
      </c>
      <c r="XT82" s="1" t="s">
        <v>63528</v>
      </c>
      <c r="XU82" s="1" t="s">
        <v>63529</v>
      </c>
      <c r="XV82" s="1" t="s">
        <v>63530</v>
      </c>
      <c r="XW82" s="1" t="s">
        <v>63531</v>
      </c>
      <c r="XX82" s="1" t="s">
        <v>63532</v>
      </c>
      <c r="XY82" s="1" t="s">
        <v>63533</v>
      </c>
      <c r="XZ82" s="1" t="s">
        <v>63534</v>
      </c>
      <c r="YA82" s="1" t="s">
        <v>63535</v>
      </c>
      <c r="YB82" s="1" t="s">
        <v>63536</v>
      </c>
      <c r="YC82" s="1" t="s">
        <v>63537</v>
      </c>
      <c r="YD82" s="1" t="s">
        <v>63538</v>
      </c>
      <c r="YE82" s="1" t="s">
        <v>63539</v>
      </c>
      <c r="YF82" s="1" t="s">
        <v>63540</v>
      </c>
      <c r="YG82" s="1" t="s">
        <v>63541</v>
      </c>
      <c r="YH82" s="1" t="s">
        <v>63542</v>
      </c>
      <c r="YI82" s="1" t="s">
        <v>63543</v>
      </c>
      <c r="YJ82" s="1" t="s">
        <v>63544</v>
      </c>
      <c r="YK82" s="1" t="s">
        <v>63545</v>
      </c>
      <c r="YL82" s="1" t="s">
        <v>63546</v>
      </c>
      <c r="YM82" s="1" t="s">
        <v>63547</v>
      </c>
      <c r="YN82" s="1" t="s">
        <v>63548</v>
      </c>
      <c r="YO82" s="1" t="s">
        <v>63549</v>
      </c>
      <c r="YP82" s="1" t="s">
        <v>63550</v>
      </c>
      <c r="YQ82" s="1" t="s">
        <v>63551</v>
      </c>
      <c r="YR82" s="1" t="s">
        <v>63552</v>
      </c>
      <c r="YS82" s="1" t="s">
        <v>63553</v>
      </c>
      <c r="YT82" s="1" t="s">
        <v>63554</v>
      </c>
      <c r="YU82" s="1" t="s">
        <v>63555</v>
      </c>
      <c r="YV82" s="1" t="s">
        <v>63556</v>
      </c>
      <c r="YW82" s="1" t="s">
        <v>63557</v>
      </c>
      <c r="YX82" s="1" t="s">
        <v>63558</v>
      </c>
      <c r="YY82" s="1" t="s">
        <v>63559</v>
      </c>
      <c r="YZ82" s="1" t="s">
        <v>63560</v>
      </c>
      <c r="ZA82" s="1" t="s">
        <v>63561</v>
      </c>
      <c r="ZB82" s="1" t="s">
        <v>63562</v>
      </c>
      <c r="ZC82" s="1" t="s">
        <v>63563</v>
      </c>
      <c r="ZD82" s="1" t="s">
        <v>63564</v>
      </c>
      <c r="ZE82" s="1" t="s">
        <v>63565</v>
      </c>
      <c r="ZF82" s="1" t="s">
        <v>63566</v>
      </c>
      <c r="ZG82" s="1" t="s">
        <v>63567</v>
      </c>
      <c r="ZH82" s="1" t="s">
        <v>63568</v>
      </c>
      <c r="ZI82" s="1" t="s">
        <v>63569</v>
      </c>
      <c r="ZJ82" s="1" t="s">
        <v>63570</v>
      </c>
      <c r="ZK82" s="1" t="s">
        <v>63571</v>
      </c>
      <c r="ZL82" s="1" t="s">
        <v>63572</v>
      </c>
      <c r="ZM82" s="1" t="s">
        <v>63573</v>
      </c>
      <c r="ZN82" s="1" t="s">
        <v>63574</v>
      </c>
      <c r="ZO82" s="1" t="s">
        <v>63575</v>
      </c>
      <c r="ZP82" s="1" t="s">
        <v>63576</v>
      </c>
      <c r="ZQ82" s="1" t="s">
        <v>63577</v>
      </c>
      <c r="ZR82" s="1" t="s">
        <v>63578</v>
      </c>
      <c r="ZS82" s="1" t="s">
        <v>63579</v>
      </c>
      <c r="ZT82" s="1" t="s">
        <v>63580</v>
      </c>
      <c r="ZU82" s="1" t="s">
        <v>63581</v>
      </c>
      <c r="ZV82" s="1" t="s">
        <v>63582</v>
      </c>
      <c r="ZW82" s="1" t="s">
        <v>63583</v>
      </c>
      <c r="ZX82" s="1" t="s">
        <v>63584</v>
      </c>
      <c r="ZY82" s="1" t="s">
        <v>63585</v>
      </c>
      <c r="ZZ82" s="1" t="s">
        <v>63586</v>
      </c>
      <c r="AAA82" s="1" t="s">
        <v>63587</v>
      </c>
      <c r="AAB82" s="1" t="s">
        <v>63588</v>
      </c>
      <c r="AAC82" s="1" t="s">
        <v>63589</v>
      </c>
      <c r="AAD82" s="1" t="s">
        <v>63590</v>
      </c>
      <c r="AAE82" s="1" t="s">
        <v>63591</v>
      </c>
      <c r="AAF82" s="1" t="s">
        <v>63592</v>
      </c>
      <c r="AAG82" s="1" t="s">
        <v>63593</v>
      </c>
      <c r="AAH82" s="1" t="s">
        <v>63594</v>
      </c>
      <c r="AAI82" s="1" t="s">
        <v>63595</v>
      </c>
      <c r="AAJ82" s="1" t="s">
        <v>63596</v>
      </c>
      <c r="AAK82" s="1" t="s">
        <v>63597</v>
      </c>
      <c r="AAL82" s="1" t="s">
        <v>63598</v>
      </c>
      <c r="AAM82" s="1" t="s">
        <v>63599</v>
      </c>
      <c r="AAN82" s="1" t="s">
        <v>63600</v>
      </c>
      <c r="AAO82" s="1" t="s">
        <v>63601</v>
      </c>
      <c r="AAP82" s="1" t="s">
        <v>63602</v>
      </c>
      <c r="AAQ82" s="1" t="s">
        <v>63603</v>
      </c>
      <c r="AAR82" s="1" t="s">
        <v>63604</v>
      </c>
      <c r="AAS82" s="1" t="s">
        <v>63605</v>
      </c>
      <c r="AAT82" s="1" t="s">
        <v>63606</v>
      </c>
      <c r="AAU82" s="1" t="s">
        <v>63607</v>
      </c>
      <c r="AAV82" s="1" t="s">
        <v>63608</v>
      </c>
      <c r="AAW82" s="1" t="s">
        <v>63609</v>
      </c>
      <c r="AAX82" s="1" t="s">
        <v>63610</v>
      </c>
      <c r="AAY82" s="1" t="s">
        <v>63611</v>
      </c>
      <c r="AAZ82" s="1" t="s">
        <v>63612</v>
      </c>
      <c r="ABA82" s="1" t="s">
        <v>63613</v>
      </c>
      <c r="ABB82" s="1" t="s">
        <v>63614</v>
      </c>
      <c r="ABC82" s="1" t="s">
        <v>63615</v>
      </c>
      <c r="ABD82" s="1" t="s">
        <v>63616</v>
      </c>
      <c r="ABE82" s="1" t="s">
        <v>63617</v>
      </c>
      <c r="ABF82" s="1" t="s">
        <v>63618</v>
      </c>
      <c r="ABG82" s="1" t="s">
        <v>63619</v>
      </c>
      <c r="ABH82" s="1" t="s">
        <v>63620</v>
      </c>
      <c r="ABI82" s="1" t="s">
        <v>63621</v>
      </c>
      <c r="ABJ82" s="1" t="s">
        <v>63622</v>
      </c>
      <c r="ABK82" s="1" t="s">
        <v>63623</v>
      </c>
      <c r="ABL82" s="1" t="s">
        <v>63624</v>
      </c>
      <c r="ABM82" s="1" t="s">
        <v>63625</v>
      </c>
      <c r="ABN82" s="1" t="s">
        <v>63626</v>
      </c>
      <c r="ABO82" s="1" t="s">
        <v>63627</v>
      </c>
      <c r="ABP82" s="1" t="s">
        <v>63628</v>
      </c>
      <c r="ABQ82" s="1" t="s">
        <v>63629</v>
      </c>
      <c r="ABR82" s="1" t="s">
        <v>63630</v>
      </c>
      <c r="ABS82" s="1" t="s">
        <v>63631</v>
      </c>
      <c r="ABT82" s="1" t="s">
        <v>63632</v>
      </c>
      <c r="ABU82" s="1" t="s">
        <v>63633</v>
      </c>
      <c r="ABV82" s="1" t="s">
        <v>63634</v>
      </c>
      <c r="ABW82" s="1" t="s">
        <v>63635</v>
      </c>
      <c r="ABX82" s="1" t="s">
        <v>63636</v>
      </c>
      <c r="ABY82" s="1" t="s">
        <v>63637</v>
      </c>
      <c r="ABZ82" s="1" t="s">
        <v>63638</v>
      </c>
      <c r="ACA82" s="1" t="s">
        <v>63639</v>
      </c>
      <c r="ACB82" s="1" t="s">
        <v>63640</v>
      </c>
      <c r="ACC82" s="1" t="s">
        <v>63641</v>
      </c>
      <c r="ACD82" s="1" t="s">
        <v>63642</v>
      </c>
      <c r="ACE82" s="1" t="s">
        <v>63643</v>
      </c>
      <c r="ACF82" s="1" t="s">
        <v>63644</v>
      </c>
      <c r="ACG82" s="1" t="s">
        <v>63645</v>
      </c>
      <c r="ACH82" s="1" t="s">
        <v>63646</v>
      </c>
      <c r="ACI82" s="1" t="s">
        <v>63647</v>
      </c>
      <c r="ACJ82" s="1" t="s">
        <v>63648</v>
      </c>
      <c r="ACK82" s="1" t="s">
        <v>63649</v>
      </c>
      <c r="ACL82" s="1" t="s">
        <v>63650</v>
      </c>
      <c r="ACM82" s="1" t="s">
        <v>63651</v>
      </c>
      <c r="ACN82" s="1" t="s">
        <v>63652</v>
      </c>
      <c r="ACO82" s="1" t="s">
        <v>63653</v>
      </c>
      <c r="ACP82" s="1" t="s">
        <v>63654</v>
      </c>
      <c r="ACQ82" s="1" t="s">
        <v>63655</v>
      </c>
      <c r="ACR82" s="1" t="s">
        <v>63656</v>
      </c>
      <c r="ACS82" s="1" t="s">
        <v>63657</v>
      </c>
      <c r="ACT82" s="1" t="s">
        <v>63658</v>
      </c>
      <c r="ACU82" s="1" t="s">
        <v>63659</v>
      </c>
      <c r="ACV82" s="1" t="s">
        <v>63660</v>
      </c>
      <c r="ACW82" s="1" t="s">
        <v>25</v>
      </c>
      <c r="ACX82" s="1" t="s">
        <v>1497</v>
      </c>
    </row>
    <row r="83" spans="1:778" x14ac:dyDescent="0.2">
      <c r="A83" s="1" t="s">
        <v>73</v>
      </c>
      <c r="B83" s="1" t="s">
        <v>63661</v>
      </c>
      <c r="C83" s="1" t="s">
        <v>63662</v>
      </c>
      <c r="D83" s="1" t="s">
        <v>63663</v>
      </c>
      <c r="E83" s="1" t="s">
        <v>63664</v>
      </c>
      <c r="F83" s="1" t="s">
        <v>63665</v>
      </c>
      <c r="G83" s="1" t="s">
        <v>63666</v>
      </c>
      <c r="H83" s="1" t="s">
        <v>63667</v>
      </c>
      <c r="I83" s="1" t="s">
        <v>63668</v>
      </c>
      <c r="J83" s="1" t="s">
        <v>63669</v>
      </c>
      <c r="K83" s="1" t="s">
        <v>63670</v>
      </c>
      <c r="L83" s="1" t="s">
        <v>63671</v>
      </c>
      <c r="M83" s="1" t="s">
        <v>63672</v>
      </c>
      <c r="N83" s="1" t="s">
        <v>63673</v>
      </c>
      <c r="O83" s="1" t="s">
        <v>63674</v>
      </c>
      <c r="P83" s="1" t="s">
        <v>63675</v>
      </c>
      <c r="Q83" s="1" t="s">
        <v>63676</v>
      </c>
      <c r="R83" s="1" t="s">
        <v>63677</v>
      </c>
      <c r="S83" s="1" t="s">
        <v>63678</v>
      </c>
      <c r="T83" s="1" t="s">
        <v>63679</v>
      </c>
      <c r="U83" s="1" t="s">
        <v>63680</v>
      </c>
      <c r="V83" s="1" t="s">
        <v>63681</v>
      </c>
      <c r="W83" s="1" t="s">
        <v>63682</v>
      </c>
      <c r="X83" s="1" t="s">
        <v>63683</v>
      </c>
      <c r="Y83" s="1" t="s">
        <v>63684</v>
      </c>
      <c r="Z83" s="1" t="s">
        <v>63685</v>
      </c>
      <c r="AA83" s="1" t="s">
        <v>63686</v>
      </c>
      <c r="AB83" s="1" t="s">
        <v>63687</v>
      </c>
      <c r="AC83" s="1" t="s">
        <v>63688</v>
      </c>
      <c r="AD83" s="1" t="s">
        <v>63689</v>
      </c>
      <c r="AE83" s="1" t="s">
        <v>63690</v>
      </c>
      <c r="AF83" s="1" t="s">
        <v>63691</v>
      </c>
      <c r="AG83" s="1" t="s">
        <v>63692</v>
      </c>
      <c r="AH83" s="1" t="s">
        <v>63693</v>
      </c>
      <c r="AI83" s="1" t="s">
        <v>63694</v>
      </c>
      <c r="AJ83" s="1" t="s">
        <v>63695</v>
      </c>
      <c r="AK83" s="1" t="s">
        <v>63696</v>
      </c>
      <c r="AL83" s="1" t="s">
        <v>63697</v>
      </c>
      <c r="AM83" s="1" t="s">
        <v>63698</v>
      </c>
      <c r="AN83" s="1" t="s">
        <v>63699</v>
      </c>
      <c r="AO83" s="1" t="s">
        <v>63700</v>
      </c>
      <c r="AP83" s="1" t="s">
        <v>63701</v>
      </c>
      <c r="AQ83" s="1" t="s">
        <v>63702</v>
      </c>
      <c r="AR83" s="1" t="s">
        <v>63703</v>
      </c>
      <c r="AS83" s="1" t="s">
        <v>63704</v>
      </c>
      <c r="AT83" s="1" t="s">
        <v>63705</v>
      </c>
      <c r="AU83" s="1" t="s">
        <v>63706</v>
      </c>
      <c r="AV83" s="1" t="s">
        <v>63707</v>
      </c>
      <c r="AW83" s="1" t="s">
        <v>63708</v>
      </c>
      <c r="AX83" s="1" t="s">
        <v>63709</v>
      </c>
      <c r="AY83" s="1" t="s">
        <v>63710</v>
      </c>
      <c r="AZ83" s="1" t="s">
        <v>63711</v>
      </c>
      <c r="BA83" s="1" t="s">
        <v>63712</v>
      </c>
      <c r="BB83" s="1" t="s">
        <v>63713</v>
      </c>
      <c r="BC83" s="1" t="s">
        <v>63714</v>
      </c>
      <c r="BD83" s="1" t="s">
        <v>63715</v>
      </c>
      <c r="BE83" s="1" t="s">
        <v>63716</v>
      </c>
      <c r="BF83" s="1" t="s">
        <v>63717</v>
      </c>
      <c r="BG83" s="1" t="s">
        <v>63718</v>
      </c>
      <c r="BH83" s="1" t="s">
        <v>63719</v>
      </c>
      <c r="BI83" s="1" t="s">
        <v>63720</v>
      </c>
      <c r="BJ83" s="1" t="s">
        <v>63721</v>
      </c>
      <c r="BK83" s="1" t="s">
        <v>63722</v>
      </c>
      <c r="BL83" s="1" t="s">
        <v>63723</v>
      </c>
      <c r="BM83" s="1" t="s">
        <v>63724</v>
      </c>
      <c r="BN83" s="1" t="s">
        <v>63725</v>
      </c>
      <c r="BO83" s="1" t="s">
        <v>63726</v>
      </c>
      <c r="BP83" s="1" t="s">
        <v>63727</v>
      </c>
      <c r="BQ83" s="1" t="s">
        <v>63728</v>
      </c>
      <c r="BR83" s="1" t="s">
        <v>63729</v>
      </c>
      <c r="BS83" s="1" t="s">
        <v>63730</v>
      </c>
      <c r="BT83" s="1" t="s">
        <v>63731</v>
      </c>
      <c r="BU83" s="1" t="s">
        <v>63732</v>
      </c>
      <c r="BV83" s="1" t="s">
        <v>63733</v>
      </c>
      <c r="BW83" s="1" t="s">
        <v>63734</v>
      </c>
      <c r="BX83" s="1" t="s">
        <v>63735</v>
      </c>
      <c r="BY83" s="1" t="s">
        <v>63736</v>
      </c>
      <c r="BZ83" s="1" t="s">
        <v>63737</v>
      </c>
      <c r="CA83" s="1" t="s">
        <v>63738</v>
      </c>
      <c r="CB83" s="1" t="s">
        <v>63739</v>
      </c>
      <c r="CC83" s="1" t="s">
        <v>63740</v>
      </c>
      <c r="CD83" s="1" t="s">
        <v>63741</v>
      </c>
      <c r="CE83" s="1" t="s">
        <v>63742</v>
      </c>
      <c r="CF83" s="1" t="s">
        <v>63743</v>
      </c>
      <c r="CG83" s="1" t="s">
        <v>63744</v>
      </c>
      <c r="CH83" s="1" t="s">
        <v>63745</v>
      </c>
      <c r="CI83" s="1" t="s">
        <v>63746</v>
      </c>
      <c r="CJ83" s="1" t="s">
        <v>63747</v>
      </c>
      <c r="CK83" s="1" t="s">
        <v>63748</v>
      </c>
      <c r="CL83" s="1" t="s">
        <v>63749</v>
      </c>
      <c r="CM83" s="1" t="s">
        <v>63750</v>
      </c>
      <c r="CN83" s="1" t="s">
        <v>63751</v>
      </c>
      <c r="CO83" s="1" t="s">
        <v>63752</v>
      </c>
      <c r="CP83" s="1" t="s">
        <v>63753</v>
      </c>
      <c r="CQ83" s="1" t="s">
        <v>63754</v>
      </c>
      <c r="CR83" s="1" t="s">
        <v>63755</v>
      </c>
      <c r="CS83" s="1" t="s">
        <v>63756</v>
      </c>
      <c r="CT83" s="1" t="s">
        <v>63757</v>
      </c>
      <c r="CU83" s="1" t="s">
        <v>63758</v>
      </c>
      <c r="CV83" s="1" t="s">
        <v>63759</v>
      </c>
      <c r="CW83" s="1" t="s">
        <v>63760</v>
      </c>
      <c r="CX83" s="1" t="s">
        <v>63761</v>
      </c>
      <c r="CY83" s="1" t="s">
        <v>63762</v>
      </c>
      <c r="CZ83" s="1" t="s">
        <v>63763</v>
      </c>
      <c r="DA83" s="1" t="s">
        <v>63764</v>
      </c>
      <c r="DB83" s="1" t="s">
        <v>63765</v>
      </c>
      <c r="DC83" s="1" t="s">
        <v>63766</v>
      </c>
      <c r="DD83" s="1" t="s">
        <v>63767</v>
      </c>
      <c r="DE83" s="1" t="s">
        <v>63768</v>
      </c>
      <c r="DF83" s="1" t="s">
        <v>63769</v>
      </c>
      <c r="DG83" s="1" t="s">
        <v>63770</v>
      </c>
      <c r="DH83" s="1" t="s">
        <v>63771</v>
      </c>
      <c r="DI83" s="1" t="s">
        <v>63772</v>
      </c>
      <c r="DJ83" s="1" t="s">
        <v>63773</v>
      </c>
      <c r="DK83" s="1" t="s">
        <v>63774</v>
      </c>
      <c r="DL83" s="1" t="s">
        <v>63775</v>
      </c>
      <c r="DM83" s="1" t="s">
        <v>63776</v>
      </c>
      <c r="DN83" s="1" t="s">
        <v>63777</v>
      </c>
      <c r="DO83" s="1" t="s">
        <v>63778</v>
      </c>
      <c r="DP83" s="1" t="s">
        <v>63779</v>
      </c>
      <c r="DQ83" s="1" t="s">
        <v>63780</v>
      </c>
      <c r="DR83" s="1" t="s">
        <v>63781</v>
      </c>
      <c r="DS83" s="1" t="s">
        <v>63782</v>
      </c>
      <c r="DT83" s="1" t="s">
        <v>63783</v>
      </c>
      <c r="DU83" s="1" t="s">
        <v>63784</v>
      </c>
      <c r="DV83" s="1" t="s">
        <v>63785</v>
      </c>
      <c r="DW83" s="1" t="s">
        <v>63786</v>
      </c>
      <c r="DX83" s="1" t="s">
        <v>63787</v>
      </c>
      <c r="DY83" s="1" t="s">
        <v>63788</v>
      </c>
      <c r="DZ83" s="1" t="s">
        <v>63789</v>
      </c>
      <c r="EA83" s="1" t="s">
        <v>63790</v>
      </c>
      <c r="EB83" s="1" t="s">
        <v>63791</v>
      </c>
      <c r="EC83" s="1" t="s">
        <v>63792</v>
      </c>
      <c r="ED83" s="1" t="s">
        <v>63793</v>
      </c>
      <c r="EE83" s="1" t="s">
        <v>63794</v>
      </c>
      <c r="EF83" s="1" t="s">
        <v>63795</v>
      </c>
      <c r="EG83" s="1" t="s">
        <v>63796</v>
      </c>
      <c r="EH83" s="1" t="s">
        <v>63797</v>
      </c>
      <c r="EI83" s="1" t="s">
        <v>63798</v>
      </c>
      <c r="EJ83" s="1" t="s">
        <v>63799</v>
      </c>
      <c r="EK83" s="1" t="s">
        <v>63800</v>
      </c>
      <c r="EL83" s="1" t="s">
        <v>63801</v>
      </c>
      <c r="EM83" s="1" t="s">
        <v>63802</v>
      </c>
      <c r="EN83" s="1" t="s">
        <v>63803</v>
      </c>
      <c r="EO83" s="1" t="s">
        <v>63804</v>
      </c>
      <c r="EP83" s="1" t="s">
        <v>63805</v>
      </c>
      <c r="EQ83" s="1" t="s">
        <v>63806</v>
      </c>
      <c r="ER83" s="1" t="s">
        <v>63807</v>
      </c>
      <c r="ES83" s="1" t="s">
        <v>63808</v>
      </c>
      <c r="ET83" s="1" t="s">
        <v>63809</v>
      </c>
      <c r="EU83" s="1" t="s">
        <v>63810</v>
      </c>
      <c r="EV83" s="1" t="s">
        <v>63811</v>
      </c>
      <c r="EW83" s="1" t="s">
        <v>63812</v>
      </c>
      <c r="EX83" s="1" t="s">
        <v>63813</v>
      </c>
      <c r="EY83" s="1" t="s">
        <v>63814</v>
      </c>
      <c r="EZ83" s="1" t="s">
        <v>63815</v>
      </c>
      <c r="FA83" s="1" t="s">
        <v>63816</v>
      </c>
      <c r="FB83" s="1" t="s">
        <v>63817</v>
      </c>
      <c r="FC83" s="1" t="s">
        <v>63818</v>
      </c>
      <c r="FD83" s="1" t="s">
        <v>63819</v>
      </c>
      <c r="FE83" s="1" t="s">
        <v>63820</v>
      </c>
      <c r="FF83" s="1" t="s">
        <v>63821</v>
      </c>
      <c r="FG83" s="1" t="s">
        <v>63822</v>
      </c>
      <c r="FH83" s="1" t="s">
        <v>63823</v>
      </c>
      <c r="FI83" s="1" t="s">
        <v>63824</v>
      </c>
      <c r="FJ83" s="1" t="s">
        <v>63825</v>
      </c>
      <c r="FK83" s="1" t="s">
        <v>63826</v>
      </c>
      <c r="FL83" s="1" t="s">
        <v>63827</v>
      </c>
      <c r="FM83" s="1" t="s">
        <v>63828</v>
      </c>
      <c r="FN83" s="1" t="s">
        <v>63829</v>
      </c>
      <c r="FO83" s="1" t="s">
        <v>63830</v>
      </c>
      <c r="FP83" s="1" t="s">
        <v>63831</v>
      </c>
      <c r="FQ83" s="1" t="s">
        <v>63832</v>
      </c>
      <c r="FR83" s="1" t="s">
        <v>63833</v>
      </c>
      <c r="FS83" s="1" t="s">
        <v>63834</v>
      </c>
      <c r="FT83" s="1" t="s">
        <v>63835</v>
      </c>
      <c r="FU83" s="1" t="s">
        <v>63836</v>
      </c>
      <c r="FV83" s="1" t="s">
        <v>63837</v>
      </c>
      <c r="FW83" s="1" t="s">
        <v>63838</v>
      </c>
      <c r="FX83" s="1" t="s">
        <v>63839</v>
      </c>
      <c r="FY83" s="1" t="s">
        <v>63840</v>
      </c>
      <c r="FZ83" s="1" t="s">
        <v>63841</v>
      </c>
      <c r="GA83" s="1" t="s">
        <v>63842</v>
      </c>
      <c r="GB83" s="1" t="s">
        <v>63843</v>
      </c>
      <c r="GC83" s="1" t="s">
        <v>63844</v>
      </c>
      <c r="GD83" s="1" t="s">
        <v>63845</v>
      </c>
      <c r="GE83" s="1" t="s">
        <v>63846</v>
      </c>
      <c r="GF83" s="1" t="s">
        <v>63847</v>
      </c>
      <c r="GG83" s="1" t="s">
        <v>63848</v>
      </c>
      <c r="GH83" s="1" t="s">
        <v>63849</v>
      </c>
      <c r="GI83" s="1" t="s">
        <v>63850</v>
      </c>
      <c r="GJ83" s="1" t="s">
        <v>63851</v>
      </c>
      <c r="GK83" s="1" t="s">
        <v>63852</v>
      </c>
      <c r="GL83" s="1" t="s">
        <v>63853</v>
      </c>
      <c r="GM83" s="1" t="s">
        <v>63854</v>
      </c>
      <c r="GN83" s="1" t="s">
        <v>63855</v>
      </c>
      <c r="GO83" s="1" t="s">
        <v>63856</v>
      </c>
      <c r="GP83" s="1" t="s">
        <v>63857</v>
      </c>
      <c r="GQ83" s="1" t="s">
        <v>63858</v>
      </c>
      <c r="GR83" s="1" t="s">
        <v>63859</v>
      </c>
      <c r="GS83" s="1" t="s">
        <v>63860</v>
      </c>
      <c r="GT83" s="1" t="s">
        <v>63861</v>
      </c>
      <c r="GU83" s="1" t="s">
        <v>63862</v>
      </c>
      <c r="GV83" s="1" t="s">
        <v>63863</v>
      </c>
      <c r="GW83" s="1" t="s">
        <v>63864</v>
      </c>
      <c r="GX83" s="1" t="s">
        <v>63865</v>
      </c>
      <c r="GY83" s="1" t="s">
        <v>63866</v>
      </c>
      <c r="GZ83" s="1" t="s">
        <v>63867</v>
      </c>
      <c r="HA83" s="1" t="s">
        <v>63868</v>
      </c>
      <c r="HB83" s="1" t="s">
        <v>63869</v>
      </c>
      <c r="HC83" s="1" t="s">
        <v>63870</v>
      </c>
      <c r="HD83" s="1" t="s">
        <v>63871</v>
      </c>
      <c r="HE83" s="1" t="s">
        <v>63872</v>
      </c>
      <c r="HF83" s="1" t="s">
        <v>63873</v>
      </c>
      <c r="HG83" s="1" t="s">
        <v>63874</v>
      </c>
      <c r="HH83" s="1" t="s">
        <v>63875</v>
      </c>
      <c r="HI83" s="1" t="s">
        <v>63876</v>
      </c>
      <c r="HJ83" s="1" t="s">
        <v>63877</v>
      </c>
      <c r="HK83" s="1" t="s">
        <v>63878</v>
      </c>
      <c r="HL83" s="1" t="s">
        <v>63879</v>
      </c>
      <c r="HM83" s="1" t="s">
        <v>63880</v>
      </c>
      <c r="HN83" s="1" t="s">
        <v>63881</v>
      </c>
      <c r="HO83" s="1" t="s">
        <v>63882</v>
      </c>
      <c r="HP83" s="1" t="s">
        <v>63883</v>
      </c>
      <c r="HQ83" s="1" t="s">
        <v>63884</v>
      </c>
      <c r="HR83" s="1" t="s">
        <v>63885</v>
      </c>
      <c r="HS83" s="1" t="s">
        <v>63886</v>
      </c>
      <c r="HT83" s="1" t="s">
        <v>63887</v>
      </c>
      <c r="HU83" s="1" t="s">
        <v>63888</v>
      </c>
      <c r="HV83" s="1" t="s">
        <v>63889</v>
      </c>
      <c r="HW83" s="1" t="s">
        <v>63890</v>
      </c>
      <c r="HX83" s="1" t="s">
        <v>63891</v>
      </c>
      <c r="HY83" s="1" t="s">
        <v>63892</v>
      </c>
      <c r="HZ83" s="1" t="s">
        <v>63893</v>
      </c>
      <c r="IA83" s="1" t="s">
        <v>63894</v>
      </c>
      <c r="IB83" s="1" t="s">
        <v>63895</v>
      </c>
      <c r="IC83" s="1" t="s">
        <v>63896</v>
      </c>
      <c r="ID83" s="1" t="s">
        <v>63897</v>
      </c>
      <c r="IE83" s="1" t="s">
        <v>63898</v>
      </c>
      <c r="IF83" s="1" t="s">
        <v>63899</v>
      </c>
      <c r="IG83" s="1" t="s">
        <v>63900</v>
      </c>
      <c r="IH83" s="1" t="s">
        <v>63901</v>
      </c>
      <c r="II83" s="1" t="s">
        <v>63902</v>
      </c>
      <c r="IJ83" s="1" t="s">
        <v>63903</v>
      </c>
      <c r="IK83" s="1" t="s">
        <v>63904</v>
      </c>
      <c r="IL83" s="1" t="s">
        <v>63905</v>
      </c>
      <c r="IM83" s="1" t="s">
        <v>63906</v>
      </c>
      <c r="IN83" s="1" t="s">
        <v>63907</v>
      </c>
      <c r="IO83" s="1" t="s">
        <v>63908</v>
      </c>
      <c r="IP83" s="1" t="s">
        <v>63909</v>
      </c>
      <c r="IQ83" s="1" t="s">
        <v>63910</v>
      </c>
      <c r="IR83" s="1" t="s">
        <v>63911</v>
      </c>
      <c r="IS83" s="1" t="s">
        <v>63912</v>
      </c>
      <c r="IT83" s="1" t="s">
        <v>63913</v>
      </c>
      <c r="IU83" s="1" t="s">
        <v>63914</v>
      </c>
      <c r="IV83" s="1" t="s">
        <v>63915</v>
      </c>
      <c r="IW83" s="1" t="s">
        <v>63916</v>
      </c>
      <c r="IX83" s="1" t="s">
        <v>63917</v>
      </c>
      <c r="IY83" s="1" t="s">
        <v>63918</v>
      </c>
      <c r="IZ83" s="1" t="s">
        <v>63919</v>
      </c>
      <c r="JA83" s="1" t="s">
        <v>63920</v>
      </c>
      <c r="JB83" s="1" t="s">
        <v>63921</v>
      </c>
      <c r="JC83" s="1" t="s">
        <v>63922</v>
      </c>
      <c r="JD83" s="1" t="s">
        <v>63923</v>
      </c>
      <c r="JE83" s="1" t="s">
        <v>63924</v>
      </c>
      <c r="JF83" s="1" t="s">
        <v>63925</v>
      </c>
      <c r="JG83" s="1" t="s">
        <v>63926</v>
      </c>
      <c r="JH83" s="1" t="s">
        <v>63927</v>
      </c>
      <c r="JI83" s="1" t="s">
        <v>63928</v>
      </c>
      <c r="JJ83" s="1" t="s">
        <v>63929</v>
      </c>
      <c r="JK83" s="1" t="s">
        <v>63930</v>
      </c>
      <c r="JL83" s="1" t="s">
        <v>63931</v>
      </c>
      <c r="JM83" s="1" t="s">
        <v>63932</v>
      </c>
      <c r="JN83" s="1" t="s">
        <v>63933</v>
      </c>
      <c r="JO83" s="1" t="s">
        <v>63934</v>
      </c>
      <c r="JP83" s="1" t="s">
        <v>63935</v>
      </c>
      <c r="JQ83" s="1" t="s">
        <v>63936</v>
      </c>
      <c r="JR83" s="1" t="s">
        <v>63937</v>
      </c>
      <c r="JS83" s="1" t="s">
        <v>63938</v>
      </c>
      <c r="JT83" s="1" t="s">
        <v>63939</v>
      </c>
      <c r="JU83" s="1" t="s">
        <v>63940</v>
      </c>
      <c r="JV83" s="1" t="s">
        <v>63941</v>
      </c>
      <c r="JW83" s="1" t="s">
        <v>63942</v>
      </c>
      <c r="JX83" s="1" t="s">
        <v>63943</v>
      </c>
      <c r="JY83" s="1" t="s">
        <v>63944</v>
      </c>
      <c r="JZ83" s="1" t="s">
        <v>63945</v>
      </c>
      <c r="KA83" s="1" t="s">
        <v>63946</v>
      </c>
      <c r="KB83" s="1" t="s">
        <v>63947</v>
      </c>
      <c r="KC83" s="1" t="s">
        <v>63948</v>
      </c>
      <c r="KD83" s="1" t="s">
        <v>63949</v>
      </c>
      <c r="KE83" s="1" t="s">
        <v>63950</v>
      </c>
      <c r="KF83" s="1" t="s">
        <v>63951</v>
      </c>
      <c r="KG83" s="1" t="s">
        <v>63952</v>
      </c>
      <c r="KH83" s="1" t="s">
        <v>63953</v>
      </c>
      <c r="KI83" s="1" t="s">
        <v>63954</v>
      </c>
      <c r="KJ83" s="1" t="s">
        <v>63955</v>
      </c>
      <c r="KK83" s="1" t="s">
        <v>63956</v>
      </c>
      <c r="KL83" s="1" t="s">
        <v>63957</v>
      </c>
      <c r="KM83" s="1" t="s">
        <v>63958</v>
      </c>
      <c r="KN83" s="1" t="s">
        <v>63959</v>
      </c>
      <c r="KO83" s="1" t="s">
        <v>63960</v>
      </c>
      <c r="KP83" s="1" t="s">
        <v>63961</v>
      </c>
      <c r="KQ83" s="1" t="s">
        <v>63962</v>
      </c>
      <c r="KR83" s="1" t="s">
        <v>63963</v>
      </c>
      <c r="KS83" s="1" t="s">
        <v>63964</v>
      </c>
      <c r="KT83" s="1" t="s">
        <v>63965</v>
      </c>
      <c r="KU83" s="1" t="s">
        <v>63966</v>
      </c>
      <c r="KV83" s="1" t="s">
        <v>63967</v>
      </c>
      <c r="KW83" s="1" t="s">
        <v>63968</v>
      </c>
      <c r="KX83" s="1" t="s">
        <v>63969</v>
      </c>
      <c r="KY83" s="1" t="s">
        <v>63970</v>
      </c>
      <c r="KZ83" s="1" t="s">
        <v>63971</v>
      </c>
      <c r="LA83" s="1" t="s">
        <v>63972</v>
      </c>
      <c r="LB83" s="1" t="s">
        <v>63973</v>
      </c>
      <c r="LC83" s="1" t="s">
        <v>63974</v>
      </c>
      <c r="LD83" s="1" t="s">
        <v>63975</v>
      </c>
      <c r="LE83" s="1" t="s">
        <v>63976</v>
      </c>
      <c r="LF83" s="1" t="s">
        <v>63977</v>
      </c>
      <c r="LG83" s="1" t="s">
        <v>63978</v>
      </c>
      <c r="LH83" s="1" t="s">
        <v>63979</v>
      </c>
      <c r="LI83" s="1" t="s">
        <v>63980</v>
      </c>
      <c r="LJ83" s="1" t="s">
        <v>63981</v>
      </c>
      <c r="LK83" s="1" t="s">
        <v>63982</v>
      </c>
      <c r="LL83" s="1" t="s">
        <v>63983</v>
      </c>
      <c r="LM83" s="1" t="s">
        <v>63984</v>
      </c>
      <c r="LN83" s="1" t="s">
        <v>63985</v>
      </c>
      <c r="LO83" s="1" t="s">
        <v>63986</v>
      </c>
      <c r="LP83" s="1" t="s">
        <v>63987</v>
      </c>
      <c r="LQ83" s="1" t="s">
        <v>63988</v>
      </c>
      <c r="LR83" s="1" t="s">
        <v>63989</v>
      </c>
      <c r="LS83" s="1" t="s">
        <v>63990</v>
      </c>
      <c r="LT83" s="1" t="s">
        <v>63991</v>
      </c>
      <c r="LU83" s="1" t="s">
        <v>63992</v>
      </c>
      <c r="LV83" s="1" t="s">
        <v>63993</v>
      </c>
      <c r="LW83" s="1" t="s">
        <v>63994</v>
      </c>
      <c r="LX83" s="1" t="s">
        <v>63995</v>
      </c>
      <c r="LY83" s="1" t="s">
        <v>63996</v>
      </c>
      <c r="LZ83" s="1" t="s">
        <v>63997</v>
      </c>
      <c r="MA83" s="1" t="s">
        <v>63998</v>
      </c>
      <c r="MB83" s="1" t="s">
        <v>63999</v>
      </c>
      <c r="MC83" s="1" t="s">
        <v>64000</v>
      </c>
      <c r="MD83" s="1" t="s">
        <v>64001</v>
      </c>
      <c r="ME83" s="1" t="s">
        <v>64002</v>
      </c>
      <c r="MF83" s="1" t="s">
        <v>64003</v>
      </c>
      <c r="MG83" s="1" t="s">
        <v>64004</v>
      </c>
      <c r="MH83" s="1" t="s">
        <v>64005</v>
      </c>
      <c r="MI83" s="1" t="s">
        <v>64006</v>
      </c>
      <c r="MJ83" s="1" t="s">
        <v>64007</v>
      </c>
      <c r="MK83" s="1" t="s">
        <v>64008</v>
      </c>
      <c r="ML83" s="1" t="s">
        <v>64009</v>
      </c>
      <c r="MM83" s="1" t="s">
        <v>64010</v>
      </c>
      <c r="MN83" s="1" t="s">
        <v>64011</v>
      </c>
      <c r="MO83" s="1" t="s">
        <v>64012</v>
      </c>
      <c r="MP83" s="1" t="s">
        <v>64013</v>
      </c>
      <c r="MQ83" s="1" t="s">
        <v>64014</v>
      </c>
      <c r="MR83" s="1" t="s">
        <v>64015</v>
      </c>
      <c r="MS83" s="1" t="s">
        <v>64016</v>
      </c>
      <c r="MT83" s="1" t="s">
        <v>64017</v>
      </c>
      <c r="MU83" s="1" t="s">
        <v>64018</v>
      </c>
      <c r="MV83" s="1" t="s">
        <v>64019</v>
      </c>
      <c r="MW83" s="1" t="s">
        <v>64020</v>
      </c>
      <c r="MX83" s="1" t="s">
        <v>64021</v>
      </c>
      <c r="MY83" s="1" t="s">
        <v>64022</v>
      </c>
      <c r="MZ83" s="1" t="s">
        <v>64023</v>
      </c>
      <c r="NA83" s="1" t="s">
        <v>64024</v>
      </c>
      <c r="NB83" s="1" t="s">
        <v>64025</v>
      </c>
      <c r="NC83" s="1" t="s">
        <v>64026</v>
      </c>
      <c r="ND83" s="1" t="s">
        <v>64027</v>
      </c>
      <c r="NE83" s="1" t="s">
        <v>64028</v>
      </c>
      <c r="NF83" s="1" t="s">
        <v>64029</v>
      </c>
      <c r="NG83" s="1" t="s">
        <v>64030</v>
      </c>
      <c r="NH83" s="1" t="s">
        <v>64031</v>
      </c>
      <c r="NI83" s="1" t="s">
        <v>64032</v>
      </c>
      <c r="NJ83" s="1" t="s">
        <v>64033</v>
      </c>
      <c r="NK83" s="1" t="s">
        <v>64034</v>
      </c>
      <c r="NL83" s="1" t="s">
        <v>64035</v>
      </c>
      <c r="NM83" s="1" t="s">
        <v>64036</v>
      </c>
      <c r="NN83" s="1" t="s">
        <v>64037</v>
      </c>
      <c r="NO83" s="1" t="s">
        <v>64038</v>
      </c>
      <c r="NP83" s="1" t="s">
        <v>64039</v>
      </c>
      <c r="NQ83" s="1" t="s">
        <v>64040</v>
      </c>
      <c r="NR83" s="1" t="s">
        <v>64041</v>
      </c>
      <c r="NS83" s="1" t="s">
        <v>64042</v>
      </c>
      <c r="NT83" s="1" t="s">
        <v>64043</v>
      </c>
      <c r="NU83" s="1" t="s">
        <v>64044</v>
      </c>
      <c r="NV83" s="1" t="s">
        <v>64045</v>
      </c>
      <c r="NW83" s="1" t="s">
        <v>64046</v>
      </c>
      <c r="NX83" s="1" t="s">
        <v>64047</v>
      </c>
      <c r="NY83" s="1" t="s">
        <v>64048</v>
      </c>
      <c r="NZ83" s="1" t="s">
        <v>64049</v>
      </c>
      <c r="OA83" s="1" t="s">
        <v>64050</v>
      </c>
      <c r="OB83" s="1" t="s">
        <v>64051</v>
      </c>
      <c r="OC83" s="1" t="s">
        <v>64052</v>
      </c>
      <c r="OD83" s="1" t="s">
        <v>64053</v>
      </c>
      <c r="OE83" s="1" t="s">
        <v>64054</v>
      </c>
      <c r="OF83" s="1" t="s">
        <v>64055</v>
      </c>
      <c r="OG83" s="1" t="s">
        <v>64056</v>
      </c>
      <c r="OH83" s="1" t="s">
        <v>64057</v>
      </c>
      <c r="OI83" s="1" t="s">
        <v>64058</v>
      </c>
      <c r="OJ83" s="1" t="s">
        <v>64059</v>
      </c>
      <c r="OK83" s="1" t="s">
        <v>64060</v>
      </c>
      <c r="OL83" s="1" t="s">
        <v>64061</v>
      </c>
      <c r="OM83" s="1" t="s">
        <v>64062</v>
      </c>
      <c r="ON83" s="1" t="s">
        <v>64063</v>
      </c>
      <c r="OO83" s="1" t="s">
        <v>64064</v>
      </c>
      <c r="OP83" s="1" t="s">
        <v>64065</v>
      </c>
      <c r="OQ83" s="1" t="s">
        <v>64066</v>
      </c>
      <c r="OR83" s="1" t="s">
        <v>64067</v>
      </c>
      <c r="OS83" s="1" t="s">
        <v>64068</v>
      </c>
      <c r="OT83" s="1" t="s">
        <v>64069</v>
      </c>
      <c r="OU83" s="1" t="s">
        <v>64070</v>
      </c>
      <c r="OV83" s="1" t="s">
        <v>64071</v>
      </c>
      <c r="OW83" s="1" t="s">
        <v>64072</v>
      </c>
      <c r="OX83" s="1" t="s">
        <v>64073</v>
      </c>
      <c r="OY83" s="1" t="s">
        <v>64074</v>
      </c>
      <c r="OZ83" s="1" t="s">
        <v>64075</v>
      </c>
      <c r="PA83" s="1" t="s">
        <v>64076</v>
      </c>
      <c r="PB83" s="1" t="s">
        <v>64077</v>
      </c>
      <c r="PC83" s="1" t="s">
        <v>64078</v>
      </c>
      <c r="PD83" s="1" t="s">
        <v>64079</v>
      </c>
      <c r="PE83" s="1" t="s">
        <v>64080</v>
      </c>
      <c r="PF83" s="1" t="s">
        <v>64081</v>
      </c>
      <c r="PG83" s="1" t="s">
        <v>64082</v>
      </c>
      <c r="PH83" s="1" t="s">
        <v>64083</v>
      </c>
      <c r="PI83" s="1" t="s">
        <v>64084</v>
      </c>
      <c r="PJ83" s="1" t="s">
        <v>64085</v>
      </c>
      <c r="PK83" s="1" t="s">
        <v>64086</v>
      </c>
      <c r="PL83" s="1" t="s">
        <v>64087</v>
      </c>
      <c r="PM83" s="1" t="s">
        <v>64088</v>
      </c>
      <c r="PN83" s="1" t="s">
        <v>64089</v>
      </c>
      <c r="PO83" s="1" t="s">
        <v>64090</v>
      </c>
      <c r="PP83" s="1" t="s">
        <v>64091</v>
      </c>
      <c r="PQ83" s="1" t="s">
        <v>64092</v>
      </c>
      <c r="PR83" s="1" t="s">
        <v>64093</v>
      </c>
      <c r="PS83" s="1" t="s">
        <v>64094</v>
      </c>
      <c r="PT83" s="1" t="s">
        <v>64095</v>
      </c>
      <c r="PU83" s="1" t="s">
        <v>64096</v>
      </c>
      <c r="PV83" s="1" t="s">
        <v>64097</v>
      </c>
      <c r="PW83" s="1" t="s">
        <v>64098</v>
      </c>
      <c r="PX83" s="1" t="s">
        <v>64099</v>
      </c>
      <c r="PY83" s="1" t="s">
        <v>64100</v>
      </c>
      <c r="PZ83" s="1" t="s">
        <v>64101</v>
      </c>
      <c r="QA83" s="1" t="s">
        <v>64102</v>
      </c>
      <c r="QB83" s="1" t="s">
        <v>64103</v>
      </c>
      <c r="QC83" s="1" t="s">
        <v>64104</v>
      </c>
      <c r="QD83" s="1" t="s">
        <v>64105</v>
      </c>
      <c r="QE83" s="1" t="s">
        <v>64106</v>
      </c>
      <c r="QF83" s="1" t="s">
        <v>64107</v>
      </c>
      <c r="QG83" s="1" t="s">
        <v>64108</v>
      </c>
      <c r="QH83" s="1" t="s">
        <v>64109</v>
      </c>
      <c r="QI83" s="1" t="s">
        <v>64110</v>
      </c>
      <c r="QJ83" s="1" t="s">
        <v>64111</v>
      </c>
      <c r="QK83" s="1" t="s">
        <v>64112</v>
      </c>
      <c r="QL83" s="1" t="s">
        <v>64113</v>
      </c>
      <c r="QM83" s="1" t="s">
        <v>64114</v>
      </c>
      <c r="QN83" s="1" t="s">
        <v>64115</v>
      </c>
      <c r="QO83" s="1" t="s">
        <v>64116</v>
      </c>
      <c r="QP83" s="1" t="s">
        <v>64117</v>
      </c>
      <c r="QQ83" s="1" t="s">
        <v>64118</v>
      </c>
      <c r="QR83" s="1" t="s">
        <v>64119</v>
      </c>
      <c r="QS83" s="1" t="s">
        <v>64120</v>
      </c>
      <c r="QT83" s="1" t="s">
        <v>64121</v>
      </c>
      <c r="QU83" s="1" t="s">
        <v>64122</v>
      </c>
      <c r="QV83" s="1" t="s">
        <v>64123</v>
      </c>
      <c r="QW83" s="1" t="s">
        <v>64124</v>
      </c>
      <c r="QX83" s="1" t="s">
        <v>64125</v>
      </c>
      <c r="QY83" s="1" t="s">
        <v>64126</v>
      </c>
      <c r="QZ83" s="1" t="s">
        <v>64127</v>
      </c>
      <c r="RA83" s="1" t="s">
        <v>64128</v>
      </c>
      <c r="RB83" s="1" t="s">
        <v>64129</v>
      </c>
      <c r="RC83" s="1" t="s">
        <v>64130</v>
      </c>
      <c r="RD83" s="1" t="s">
        <v>64131</v>
      </c>
      <c r="RE83" s="1" t="s">
        <v>64132</v>
      </c>
      <c r="RF83" s="1" t="s">
        <v>64133</v>
      </c>
      <c r="RG83" s="1" t="s">
        <v>64134</v>
      </c>
      <c r="RH83" s="1" t="s">
        <v>64135</v>
      </c>
      <c r="RI83" s="1" t="s">
        <v>64136</v>
      </c>
      <c r="RJ83" s="1" t="s">
        <v>64137</v>
      </c>
      <c r="RK83" s="1" t="s">
        <v>64138</v>
      </c>
      <c r="RL83" s="1" t="s">
        <v>64139</v>
      </c>
      <c r="RM83" s="1" t="s">
        <v>64140</v>
      </c>
      <c r="RN83" s="1" t="s">
        <v>64141</v>
      </c>
      <c r="RO83" s="1" t="s">
        <v>64142</v>
      </c>
      <c r="RP83" s="1" t="s">
        <v>64143</v>
      </c>
      <c r="RQ83" s="1" t="s">
        <v>64144</v>
      </c>
      <c r="RR83" s="1" t="s">
        <v>64145</v>
      </c>
      <c r="RS83" s="1" t="s">
        <v>64146</v>
      </c>
      <c r="RT83" s="1" t="s">
        <v>64147</v>
      </c>
      <c r="RU83" s="1" t="s">
        <v>64148</v>
      </c>
      <c r="RV83" s="1" t="s">
        <v>64149</v>
      </c>
      <c r="RW83" s="1" t="s">
        <v>64150</v>
      </c>
      <c r="RX83" s="1" t="s">
        <v>64151</v>
      </c>
      <c r="RY83" s="1" t="s">
        <v>64152</v>
      </c>
      <c r="RZ83" s="1" t="s">
        <v>64153</v>
      </c>
      <c r="SA83" s="1" t="s">
        <v>64154</v>
      </c>
      <c r="SB83" s="1" t="s">
        <v>64155</v>
      </c>
      <c r="SC83" s="1" t="s">
        <v>64156</v>
      </c>
      <c r="SD83" s="1" t="s">
        <v>64157</v>
      </c>
      <c r="SE83" s="1" t="s">
        <v>64158</v>
      </c>
      <c r="SF83" s="1" t="s">
        <v>64159</v>
      </c>
      <c r="SG83" s="1" t="s">
        <v>64160</v>
      </c>
      <c r="SH83" s="1" t="s">
        <v>64161</v>
      </c>
      <c r="SI83" s="1" t="s">
        <v>64162</v>
      </c>
      <c r="SJ83" s="1" t="s">
        <v>64163</v>
      </c>
      <c r="SK83" s="1" t="s">
        <v>64164</v>
      </c>
      <c r="SL83" s="1" t="s">
        <v>64165</v>
      </c>
      <c r="SM83" s="1" t="s">
        <v>64166</v>
      </c>
      <c r="SN83" s="1" t="s">
        <v>64167</v>
      </c>
      <c r="SO83" s="1" t="s">
        <v>64168</v>
      </c>
      <c r="SP83" s="1" t="s">
        <v>64169</v>
      </c>
      <c r="SQ83" s="1" t="s">
        <v>64170</v>
      </c>
      <c r="SR83" s="1" t="s">
        <v>64171</v>
      </c>
      <c r="SS83" s="1" t="s">
        <v>64172</v>
      </c>
      <c r="ST83" s="1" t="s">
        <v>64173</v>
      </c>
      <c r="SU83" s="1" t="s">
        <v>64174</v>
      </c>
      <c r="SV83" s="1" t="s">
        <v>64175</v>
      </c>
      <c r="SW83" s="1" t="s">
        <v>64176</v>
      </c>
      <c r="SX83" s="1" t="s">
        <v>64177</v>
      </c>
      <c r="SY83" s="1" t="s">
        <v>64178</v>
      </c>
      <c r="SZ83" s="1" t="s">
        <v>64179</v>
      </c>
      <c r="TA83" s="1" t="s">
        <v>64180</v>
      </c>
      <c r="TB83" s="1" t="s">
        <v>64181</v>
      </c>
      <c r="TC83" s="1" t="s">
        <v>64182</v>
      </c>
      <c r="TD83" s="1" t="s">
        <v>64183</v>
      </c>
      <c r="TE83" s="1" t="s">
        <v>64184</v>
      </c>
      <c r="TF83" s="1" t="s">
        <v>64185</v>
      </c>
      <c r="TG83" s="1" t="s">
        <v>64186</v>
      </c>
      <c r="TH83" s="1" t="s">
        <v>64187</v>
      </c>
      <c r="TI83" s="1" t="s">
        <v>64188</v>
      </c>
      <c r="TJ83" s="1" t="s">
        <v>64189</v>
      </c>
      <c r="TK83" s="1" t="s">
        <v>64190</v>
      </c>
      <c r="TL83" s="1" t="s">
        <v>64191</v>
      </c>
      <c r="TM83" s="1" t="s">
        <v>64192</v>
      </c>
      <c r="TN83" s="1" t="s">
        <v>64193</v>
      </c>
      <c r="TO83" s="1" t="s">
        <v>64194</v>
      </c>
      <c r="TP83" s="1" t="s">
        <v>64195</v>
      </c>
      <c r="TQ83" s="1" t="s">
        <v>64196</v>
      </c>
      <c r="TR83" s="1" t="s">
        <v>64197</v>
      </c>
      <c r="TS83" s="1" t="s">
        <v>64198</v>
      </c>
      <c r="TT83" s="1" t="s">
        <v>64199</v>
      </c>
      <c r="TU83" s="1" t="s">
        <v>64200</v>
      </c>
      <c r="TV83" s="1" t="s">
        <v>64201</v>
      </c>
      <c r="TW83" s="1" t="s">
        <v>64202</v>
      </c>
      <c r="TX83" s="1" t="s">
        <v>64203</v>
      </c>
      <c r="TY83" s="1" t="s">
        <v>64204</v>
      </c>
      <c r="TZ83" s="1" t="s">
        <v>64205</v>
      </c>
      <c r="UA83" s="1" t="s">
        <v>64206</v>
      </c>
      <c r="UB83" s="1" t="s">
        <v>64207</v>
      </c>
      <c r="UC83" s="1" t="s">
        <v>64208</v>
      </c>
      <c r="UD83" s="1" t="s">
        <v>64209</v>
      </c>
      <c r="UE83" s="1" t="s">
        <v>64210</v>
      </c>
      <c r="UF83" s="1" t="s">
        <v>64211</v>
      </c>
      <c r="UG83" s="1" t="s">
        <v>64212</v>
      </c>
      <c r="UH83" s="1" t="s">
        <v>64213</v>
      </c>
      <c r="UI83" s="1" t="s">
        <v>64214</v>
      </c>
      <c r="UJ83" s="1" t="s">
        <v>64215</v>
      </c>
      <c r="UK83" s="1" t="s">
        <v>64216</v>
      </c>
      <c r="UL83" s="1" t="s">
        <v>64217</v>
      </c>
      <c r="UM83" s="1" t="s">
        <v>64218</v>
      </c>
      <c r="UN83" s="1" t="s">
        <v>64219</v>
      </c>
      <c r="UO83" s="1" t="s">
        <v>64220</v>
      </c>
      <c r="UP83" s="1" t="s">
        <v>64221</v>
      </c>
      <c r="UQ83" s="1" t="s">
        <v>64222</v>
      </c>
      <c r="UR83" s="1" t="s">
        <v>64223</v>
      </c>
      <c r="US83" s="1" t="s">
        <v>64224</v>
      </c>
      <c r="UT83" s="1" t="s">
        <v>64225</v>
      </c>
      <c r="UU83" s="1" t="s">
        <v>64226</v>
      </c>
      <c r="UV83" s="1" t="s">
        <v>64227</v>
      </c>
      <c r="UW83" s="1" t="s">
        <v>64228</v>
      </c>
      <c r="UX83" s="1" t="s">
        <v>64229</v>
      </c>
      <c r="UY83" s="1" t="s">
        <v>64230</v>
      </c>
      <c r="UZ83" s="1" t="s">
        <v>64231</v>
      </c>
      <c r="VA83" s="1" t="s">
        <v>64232</v>
      </c>
      <c r="VB83" s="1" t="s">
        <v>64233</v>
      </c>
      <c r="VC83" s="1" t="s">
        <v>64234</v>
      </c>
      <c r="VD83" s="1" t="s">
        <v>64235</v>
      </c>
      <c r="VE83" s="1" t="s">
        <v>64236</v>
      </c>
      <c r="VF83" s="1" t="s">
        <v>64237</v>
      </c>
      <c r="VG83" s="1" t="s">
        <v>64238</v>
      </c>
      <c r="VH83" s="1" t="s">
        <v>64239</v>
      </c>
      <c r="VI83" s="1" t="s">
        <v>64240</v>
      </c>
      <c r="VJ83" s="1" t="s">
        <v>64241</v>
      </c>
      <c r="VK83" s="1" t="s">
        <v>64242</v>
      </c>
      <c r="VL83" s="1" t="s">
        <v>64243</v>
      </c>
      <c r="VM83" s="1" t="s">
        <v>64244</v>
      </c>
      <c r="VN83" s="1" t="s">
        <v>64245</v>
      </c>
      <c r="VO83" s="1" t="s">
        <v>64246</v>
      </c>
      <c r="VP83" s="1" t="s">
        <v>64247</v>
      </c>
      <c r="VQ83" s="1" t="s">
        <v>64248</v>
      </c>
      <c r="VR83" s="1" t="s">
        <v>64249</v>
      </c>
      <c r="VS83" s="1" t="s">
        <v>64250</v>
      </c>
      <c r="VT83" s="1" t="s">
        <v>64251</v>
      </c>
      <c r="VU83" s="1" t="s">
        <v>64252</v>
      </c>
      <c r="VV83" s="1" t="s">
        <v>64253</v>
      </c>
      <c r="VW83" s="1" t="s">
        <v>64254</v>
      </c>
      <c r="VX83" s="1" t="s">
        <v>64255</v>
      </c>
      <c r="VY83" s="1" t="s">
        <v>64256</v>
      </c>
      <c r="VZ83" s="1" t="s">
        <v>64257</v>
      </c>
      <c r="WA83" s="1" t="s">
        <v>64258</v>
      </c>
      <c r="WB83" s="1" t="s">
        <v>64259</v>
      </c>
      <c r="WC83" s="1" t="s">
        <v>64260</v>
      </c>
      <c r="WD83" s="1" t="s">
        <v>64261</v>
      </c>
      <c r="WE83" s="1" t="s">
        <v>64262</v>
      </c>
      <c r="WF83" s="1" t="s">
        <v>64263</v>
      </c>
      <c r="WG83" s="1" t="s">
        <v>64264</v>
      </c>
      <c r="WH83" s="1" t="s">
        <v>64265</v>
      </c>
      <c r="WI83" s="1" t="s">
        <v>64266</v>
      </c>
      <c r="WJ83" s="1" t="s">
        <v>64267</v>
      </c>
      <c r="WK83" s="1" t="s">
        <v>64268</v>
      </c>
      <c r="WL83" s="1" t="s">
        <v>64269</v>
      </c>
      <c r="WM83" s="1" t="s">
        <v>64270</v>
      </c>
      <c r="WN83" s="1" t="s">
        <v>64271</v>
      </c>
      <c r="WO83" s="1" t="s">
        <v>64272</v>
      </c>
      <c r="WP83" s="1" t="s">
        <v>64273</v>
      </c>
      <c r="WQ83" s="1" t="s">
        <v>64274</v>
      </c>
      <c r="WR83" s="1" t="s">
        <v>64275</v>
      </c>
      <c r="WS83" s="1" t="s">
        <v>64276</v>
      </c>
      <c r="WT83" s="1" t="s">
        <v>64277</v>
      </c>
      <c r="WU83" s="1" t="s">
        <v>64278</v>
      </c>
      <c r="WV83" s="1" t="s">
        <v>64279</v>
      </c>
      <c r="WW83" s="1" t="s">
        <v>64280</v>
      </c>
      <c r="WX83" s="1" t="s">
        <v>64281</v>
      </c>
      <c r="WY83" s="1" t="s">
        <v>64282</v>
      </c>
      <c r="WZ83" s="1" t="s">
        <v>64283</v>
      </c>
      <c r="XA83" s="1" t="s">
        <v>64284</v>
      </c>
      <c r="XB83" s="1" t="s">
        <v>64285</v>
      </c>
      <c r="XC83" s="1" t="s">
        <v>64286</v>
      </c>
      <c r="XD83" s="1" t="s">
        <v>64287</v>
      </c>
      <c r="XE83" s="1" t="s">
        <v>64288</v>
      </c>
      <c r="XF83" s="1" t="s">
        <v>64289</v>
      </c>
      <c r="XG83" s="1" t="s">
        <v>64290</v>
      </c>
      <c r="XH83" s="1" t="s">
        <v>64291</v>
      </c>
      <c r="XI83" s="1" t="s">
        <v>64292</v>
      </c>
      <c r="XJ83" s="1" t="s">
        <v>64293</v>
      </c>
      <c r="XK83" s="1" t="s">
        <v>64294</v>
      </c>
      <c r="XL83" s="1" t="s">
        <v>64295</v>
      </c>
      <c r="XM83" s="1" t="s">
        <v>64296</v>
      </c>
      <c r="XN83" s="1" t="s">
        <v>64297</v>
      </c>
      <c r="XO83" s="1" t="s">
        <v>64298</v>
      </c>
      <c r="XP83" s="1" t="s">
        <v>64299</v>
      </c>
      <c r="XQ83" s="1" t="s">
        <v>64300</v>
      </c>
      <c r="XR83" s="1" t="s">
        <v>64301</v>
      </c>
      <c r="XS83" s="1" t="s">
        <v>64302</v>
      </c>
      <c r="XT83" s="1" t="s">
        <v>64303</v>
      </c>
      <c r="XU83" s="1" t="s">
        <v>64304</v>
      </c>
      <c r="XV83" s="1" t="s">
        <v>64305</v>
      </c>
      <c r="XW83" s="1" t="s">
        <v>64306</v>
      </c>
      <c r="XX83" s="1" t="s">
        <v>64307</v>
      </c>
      <c r="XY83" s="1" t="s">
        <v>64308</v>
      </c>
      <c r="XZ83" s="1" t="s">
        <v>64309</v>
      </c>
      <c r="YA83" s="1" t="s">
        <v>64310</v>
      </c>
      <c r="YB83" s="1" t="s">
        <v>64311</v>
      </c>
      <c r="YC83" s="1" t="s">
        <v>64312</v>
      </c>
      <c r="YD83" s="1" t="s">
        <v>64313</v>
      </c>
      <c r="YE83" s="1" t="s">
        <v>64314</v>
      </c>
      <c r="YF83" s="1" t="s">
        <v>64315</v>
      </c>
      <c r="YG83" s="1" t="s">
        <v>64316</v>
      </c>
      <c r="YH83" s="1" t="s">
        <v>64317</v>
      </c>
      <c r="YI83" s="1" t="s">
        <v>64318</v>
      </c>
      <c r="YJ83" s="1" t="s">
        <v>64319</v>
      </c>
      <c r="YK83" s="1" t="s">
        <v>64320</v>
      </c>
      <c r="YL83" s="1" t="s">
        <v>64321</v>
      </c>
      <c r="YM83" s="1" t="s">
        <v>64322</v>
      </c>
      <c r="YN83" s="1" t="s">
        <v>64323</v>
      </c>
      <c r="YO83" s="1" t="s">
        <v>64324</v>
      </c>
      <c r="YP83" s="1" t="s">
        <v>64325</v>
      </c>
      <c r="YQ83" s="1" t="s">
        <v>64326</v>
      </c>
      <c r="YR83" s="1" t="s">
        <v>64327</v>
      </c>
      <c r="YS83" s="1" t="s">
        <v>64328</v>
      </c>
      <c r="YT83" s="1" t="s">
        <v>64329</v>
      </c>
      <c r="YU83" s="1" t="s">
        <v>64330</v>
      </c>
      <c r="YV83" s="1" t="s">
        <v>64331</v>
      </c>
      <c r="YW83" s="1" t="s">
        <v>64332</v>
      </c>
      <c r="YX83" s="1" t="s">
        <v>64333</v>
      </c>
      <c r="YY83" s="1" t="s">
        <v>64334</v>
      </c>
      <c r="YZ83" s="1" t="s">
        <v>64335</v>
      </c>
      <c r="ZA83" s="1" t="s">
        <v>64336</v>
      </c>
      <c r="ZB83" s="1" t="s">
        <v>64337</v>
      </c>
      <c r="ZC83" s="1" t="s">
        <v>64338</v>
      </c>
      <c r="ZD83" s="1" t="s">
        <v>64339</v>
      </c>
      <c r="ZE83" s="1" t="s">
        <v>64340</v>
      </c>
      <c r="ZF83" s="1" t="s">
        <v>64341</v>
      </c>
      <c r="ZG83" s="1" t="s">
        <v>64342</v>
      </c>
      <c r="ZH83" s="1" t="s">
        <v>64343</v>
      </c>
      <c r="ZI83" s="1" t="s">
        <v>64344</v>
      </c>
      <c r="ZJ83" s="1" t="s">
        <v>64345</v>
      </c>
      <c r="ZK83" s="1" t="s">
        <v>64346</v>
      </c>
      <c r="ZL83" s="1" t="s">
        <v>64347</v>
      </c>
      <c r="ZM83" s="1" t="s">
        <v>64348</v>
      </c>
      <c r="ZN83" s="1" t="s">
        <v>64349</v>
      </c>
      <c r="ZO83" s="1" t="s">
        <v>64350</v>
      </c>
      <c r="ZP83" s="1" t="s">
        <v>64351</v>
      </c>
      <c r="ZQ83" s="1" t="s">
        <v>64352</v>
      </c>
      <c r="ZR83" s="1" t="s">
        <v>64353</v>
      </c>
      <c r="ZS83" s="1" t="s">
        <v>64354</v>
      </c>
      <c r="ZT83" s="1" t="s">
        <v>64355</v>
      </c>
      <c r="ZU83" s="1" t="s">
        <v>64356</v>
      </c>
      <c r="ZV83" s="1" t="s">
        <v>64357</v>
      </c>
      <c r="ZW83" s="1" t="s">
        <v>64358</v>
      </c>
      <c r="ZX83" s="1" t="s">
        <v>64359</v>
      </c>
      <c r="ZY83" s="1" t="s">
        <v>64360</v>
      </c>
      <c r="ZZ83" s="1" t="s">
        <v>64361</v>
      </c>
      <c r="AAA83" s="1" t="s">
        <v>64362</v>
      </c>
      <c r="AAB83" s="1" t="s">
        <v>64363</v>
      </c>
      <c r="AAC83" s="1" t="s">
        <v>64364</v>
      </c>
      <c r="AAD83" s="1" t="s">
        <v>64365</v>
      </c>
      <c r="AAE83" s="1" t="s">
        <v>64366</v>
      </c>
      <c r="AAF83" s="1" t="s">
        <v>64367</v>
      </c>
      <c r="AAG83" s="1" t="s">
        <v>64368</v>
      </c>
      <c r="AAH83" s="1" t="s">
        <v>64369</v>
      </c>
      <c r="AAI83" s="1" t="s">
        <v>64370</v>
      </c>
      <c r="AAJ83" s="1" t="s">
        <v>64371</v>
      </c>
      <c r="AAK83" s="1" t="s">
        <v>64372</v>
      </c>
      <c r="AAL83" s="1" t="s">
        <v>64373</v>
      </c>
      <c r="AAM83" s="1" t="s">
        <v>64374</v>
      </c>
      <c r="AAN83" s="1" t="s">
        <v>64375</v>
      </c>
      <c r="AAO83" s="1" t="s">
        <v>64376</v>
      </c>
      <c r="AAP83" s="1" t="s">
        <v>64377</v>
      </c>
      <c r="AAQ83" s="1" t="s">
        <v>64378</v>
      </c>
      <c r="AAR83" s="1" t="s">
        <v>64379</v>
      </c>
      <c r="AAS83" s="1" t="s">
        <v>64380</v>
      </c>
      <c r="AAT83" s="1" t="s">
        <v>64381</v>
      </c>
      <c r="AAU83" s="1" t="s">
        <v>64382</v>
      </c>
      <c r="AAV83" s="1" t="s">
        <v>64383</v>
      </c>
      <c r="AAW83" s="1" t="s">
        <v>64384</v>
      </c>
      <c r="AAX83" s="1" t="s">
        <v>64385</v>
      </c>
      <c r="AAY83" s="1" t="s">
        <v>64386</v>
      </c>
      <c r="AAZ83" s="1" t="s">
        <v>64387</v>
      </c>
      <c r="ABA83" s="1" t="s">
        <v>64388</v>
      </c>
      <c r="ABB83" s="1" t="s">
        <v>64389</v>
      </c>
      <c r="ABC83" s="1" t="s">
        <v>64390</v>
      </c>
      <c r="ABD83" s="1" t="s">
        <v>64391</v>
      </c>
      <c r="ABE83" s="1" t="s">
        <v>64392</v>
      </c>
      <c r="ABF83" s="1" t="s">
        <v>64393</v>
      </c>
      <c r="ABG83" s="1" t="s">
        <v>64394</v>
      </c>
      <c r="ABH83" s="1" t="s">
        <v>64395</v>
      </c>
      <c r="ABI83" s="1" t="s">
        <v>64396</v>
      </c>
      <c r="ABJ83" s="1" t="s">
        <v>64397</v>
      </c>
      <c r="ABK83" s="1" t="s">
        <v>64398</v>
      </c>
      <c r="ABL83" s="1" t="s">
        <v>64399</v>
      </c>
      <c r="ABM83" s="1" t="s">
        <v>64400</v>
      </c>
      <c r="ABN83" s="1" t="s">
        <v>64401</v>
      </c>
      <c r="ABO83" s="1" t="s">
        <v>64402</v>
      </c>
      <c r="ABP83" s="1" t="s">
        <v>64403</v>
      </c>
      <c r="ABQ83" s="1" t="s">
        <v>64404</v>
      </c>
      <c r="ABR83" s="1" t="s">
        <v>64405</v>
      </c>
      <c r="ABS83" s="1" t="s">
        <v>64406</v>
      </c>
      <c r="ABT83" s="1" t="s">
        <v>64407</v>
      </c>
      <c r="ABU83" s="1" t="s">
        <v>64408</v>
      </c>
      <c r="ABV83" s="1" t="s">
        <v>64409</v>
      </c>
      <c r="ABW83" s="1" t="s">
        <v>64410</v>
      </c>
      <c r="ABX83" s="1" t="s">
        <v>64411</v>
      </c>
      <c r="ABY83" s="1" t="s">
        <v>64412</v>
      </c>
      <c r="ABZ83" s="1" t="s">
        <v>64413</v>
      </c>
      <c r="ACA83" s="1" t="s">
        <v>64414</v>
      </c>
      <c r="ACB83" s="1" t="s">
        <v>64415</v>
      </c>
      <c r="ACC83" s="1" t="s">
        <v>64416</v>
      </c>
      <c r="ACD83" s="1" t="s">
        <v>64417</v>
      </c>
      <c r="ACE83" s="1" t="s">
        <v>64418</v>
      </c>
      <c r="ACF83" s="1" t="s">
        <v>64419</v>
      </c>
      <c r="ACG83" s="1" t="s">
        <v>64420</v>
      </c>
      <c r="ACH83" s="1" t="s">
        <v>64421</v>
      </c>
      <c r="ACI83" s="1" t="s">
        <v>64422</v>
      </c>
      <c r="ACJ83" s="1" t="s">
        <v>64423</v>
      </c>
      <c r="ACK83" s="1" t="s">
        <v>64424</v>
      </c>
      <c r="ACL83" s="1" t="s">
        <v>64425</v>
      </c>
      <c r="ACM83" s="1" t="s">
        <v>64426</v>
      </c>
      <c r="ACN83" s="1" t="s">
        <v>64427</v>
      </c>
      <c r="ACO83" s="1" t="s">
        <v>64428</v>
      </c>
      <c r="ACP83" s="1" t="s">
        <v>64429</v>
      </c>
      <c r="ACQ83" s="1" t="s">
        <v>64430</v>
      </c>
      <c r="ACR83" s="1" t="s">
        <v>64431</v>
      </c>
      <c r="ACS83" s="1" t="s">
        <v>64432</v>
      </c>
      <c r="ACT83" s="1" t="s">
        <v>64433</v>
      </c>
      <c r="ACU83" s="1" t="s">
        <v>64434</v>
      </c>
      <c r="ACV83" s="1" t="s">
        <v>64435</v>
      </c>
      <c r="ACW83" s="1" t="s">
        <v>32</v>
      </c>
      <c r="ACX83" s="1" t="s">
        <v>1499</v>
      </c>
    </row>
    <row r="84" spans="1:778" x14ac:dyDescent="0.2">
      <c r="A84" s="1" t="s">
        <v>85</v>
      </c>
      <c r="B84" s="1" t="s">
        <v>64436</v>
      </c>
      <c r="C84" s="1" t="s">
        <v>64437</v>
      </c>
      <c r="D84" s="1" t="s">
        <v>64438</v>
      </c>
      <c r="E84" s="1" t="s">
        <v>64439</v>
      </c>
      <c r="F84" s="1" t="s">
        <v>64440</v>
      </c>
      <c r="G84" s="1" t="s">
        <v>64441</v>
      </c>
      <c r="H84" s="1" t="s">
        <v>64442</v>
      </c>
      <c r="I84" s="1" t="s">
        <v>64443</v>
      </c>
      <c r="J84" s="1" t="s">
        <v>64444</v>
      </c>
      <c r="K84" s="1" t="s">
        <v>64445</v>
      </c>
      <c r="L84" s="1" t="s">
        <v>64446</v>
      </c>
      <c r="M84" s="1" t="s">
        <v>64447</v>
      </c>
      <c r="N84" s="1" t="s">
        <v>64448</v>
      </c>
      <c r="O84" s="1" t="s">
        <v>64449</v>
      </c>
      <c r="P84" s="1" t="s">
        <v>64450</v>
      </c>
      <c r="Q84" s="1" t="s">
        <v>64451</v>
      </c>
      <c r="R84" s="1" t="s">
        <v>64452</v>
      </c>
      <c r="S84" s="1" t="s">
        <v>64453</v>
      </c>
      <c r="T84" s="1" t="s">
        <v>64454</v>
      </c>
      <c r="U84" s="1" t="s">
        <v>64455</v>
      </c>
      <c r="V84" s="1" t="s">
        <v>64456</v>
      </c>
      <c r="W84" s="1" t="s">
        <v>64457</v>
      </c>
      <c r="X84" s="1" t="s">
        <v>64458</v>
      </c>
      <c r="Y84" s="1" t="s">
        <v>64459</v>
      </c>
      <c r="Z84" s="1" t="s">
        <v>64460</v>
      </c>
      <c r="AA84" s="1" t="s">
        <v>64461</v>
      </c>
      <c r="AB84" s="1" t="s">
        <v>64462</v>
      </c>
      <c r="AC84" s="1" t="s">
        <v>64463</v>
      </c>
      <c r="AD84" s="1" t="s">
        <v>64464</v>
      </c>
      <c r="AE84" s="1" t="s">
        <v>64465</v>
      </c>
      <c r="AF84" s="1" t="s">
        <v>64466</v>
      </c>
      <c r="AG84" s="1" t="s">
        <v>64467</v>
      </c>
      <c r="AH84" s="1" t="s">
        <v>64468</v>
      </c>
      <c r="AI84" s="1" t="s">
        <v>64469</v>
      </c>
      <c r="AJ84" s="1" t="s">
        <v>64470</v>
      </c>
      <c r="AK84" s="1" t="s">
        <v>64471</v>
      </c>
      <c r="AL84" s="1" t="s">
        <v>64472</v>
      </c>
      <c r="AM84" s="1" t="s">
        <v>64473</v>
      </c>
      <c r="AN84" s="1" t="s">
        <v>64474</v>
      </c>
      <c r="AO84" s="1" t="s">
        <v>64475</v>
      </c>
      <c r="AP84" s="1" t="s">
        <v>64476</v>
      </c>
      <c r="AQ84" s="1" t="s">
        <v>64477</v>
      </c>
      <c r="AR84" s="1" t="s">
        <v>64478</v>
      </c>
      <c r="AS84" s="1" t="s">
        <v>64479</v>
      </c>
      <c r="AT84" s="1" t="s">
        <v>64480</v>
      </c>
      <c r="AU84" s="1" t="s">
        <v>64481</v>
      </c>
      <c r="AV84" s="1" t="s">
        <v>64482</v>
      </c>
      <c r="AW84" s="1" t="s">
        <v>64483</v>
      </c>
      <c r="AX84" s="1" t="s">
        <v>64484</v>
      </c>
      <c r="AY84" s="1" t="s">
        <v>64485</v>
      </c>
      <c r="AZ84" s="1" t="s">
        <v>64486</v>
      </c>
      <c r="BA84" s="1" t="s">
        <v>64487</v>
      </c>
      <c r="BB84" s="1" t="s">
        <v>64488</v>
      </c>
      <c r="BC84" s="1" t="s">
        <v>64489</v>
      </c>
      <c r="BD84" s="1" t="s">
        <v>64490</v>
      </c>
      <c r="BE84" s="1" t="s">
        <v>64491</v>
      </c>
      <c r="BF84" s="1" t="s">
        <v>64492</v>
      </c>
      <c r="BG84" s="1" t="s">
        <v>64493</v>
      </c>
      <c r="BH84" s="1" t="s">
        <v>64494</v>
      </c>
      <c r="BI84" s="1" t="s">
        <v>64495</v>
      </c>
      <c r="BJ84" s="1" t="s">
        <v>64496</v>
      </c>
      <c r="BK84" s="1" t="s">
        <v>64497</v>
      </c>
      <c r="BL84" s="1" t="s">
        <v>64498</v>
      </c>
      <c r="BM84" s="1" t="s">
        <v>64499</v>
      </c>
      <c r="BN84" s="1" t="s">
        <v>64500</v>
      </c>
      <c r="BO84" s="1" t="s">
        <v>64501</v>
      </c>
      <c r="BP84" s="1" t="s">
        <v>64502</v>
      </c>
      <c r="BQ84" s="1" t="s">
        <v>64503</v>
      </c>
      <c r="BR84" s="1" t="s">
        <v>64504</v>
      </c>
      <c r="BS84" s="1" t="s">
        <v>64505</v>
      </c>
      <c r="BT84" s="1" t="s">
        <v>64506</v>
      </c>
      <c r="BU84" s="1" t="s">
        <v>64507</v>
      </c>
      <c r="BV84" s="1" t="s">
        <v>64508</v>
      </c>
      <c r="BW84" s="1" t="s">
        <v>64509</v>
      </c>
      <c r="BX84" s="1" t="s">
        <v>64510</v>
      </c>
      <c r="BY84" s="1" t="s">
        <v>64511</v>
      </c>
      <c r="BZ84" s="1" t="s">
        <v>64512</v>
      </c>
      <c r="CA84" s="1" t="s">
        <v>64513</v>
      </c>
      <c r="CB84" s="1" t="s">
        <v>64514</v>
      </c>
      <c r="CC84" s="1" t="s">
        <v>64515</v>
      </c>
      <c r="CD84" s="1" t="s">
        <v>64516</v>
      </c>
      <c r="CE84" s="1" t="s">
        <v>64517</v>
      </c>
      <c r="CF84" s="1" t="s">
        <v>64518</v>
      </c>
      <c r="CG84" s="1" t="s">
        <v>64519</v>
      </c>
      <c r="CH84" s="1" t="s">
        <v>64520</v>
      </c>
      <c r="CI84" s="1" t="s">
        <v>64521</v>
      </c>
      <c r="CJ84" s="1" t="s">
        <v>64522</v>
      </c>
      <c r="CK84" s="1" t="s">
        <v>64523</v>
      </c>
      <c r="CL84" s="1" t="s">
        <v>64524</v>
      </c>
      <c r="CM84" s="1" t="s">
        <v>64525</v>
      </c>
      <c r="CN84" s="1" t="s">
        <v>64526</v>
      </c>
      <c r="CO84" s="1" t="s">
        <v>64527</v>
      </c>
      <c r="CP84" s="1" t="s">
        <v>64528</v>
      </c>
      <c r="CQ84" s="1" t="s">
        <v>64529</v>
      </c>
      <c r="CR84" s="1" t="s">
        <v>64530</v>
      </c>
      <c r="CS84" s="1" t="s">
        <v>64531</v>
      </c>
      <c r="CT84" s="1" t="s">
        <v>64532</v>
      </c>
      <c r="CU84" s="1" t="s">
        <v>64533</v>
      </c>
      <c r="CV84" s="1" t="s">
        <v>64534</v>
      </c>
      <c r="CW84" s="1" t="s">
        <v>64535</v>
      </c>
      <c r="CX84" s="1" t="s">
        <v>64536</v>
      </c>
      <c r="CY84" s="1" t="s">
        <v>64537</v>
      </c>
      <c r="CZ84" s="1" t="s">
        <v>64538</v>
      </c>
      <c r="DA84" s="1" t="s">
        <v>64539</v>
      </c>
      <c r="DB84" s="1" t="s">
        <v>64540</v>
      </c>
      <c r="DC84" s="1" t="s">
        <v>64541</v>
      </c>
      <c r="DD84" s="1" t="s">
        <v>64542</v>
      </c>
      <c r="DE84" s="1" t="s">
        <v>64543</v>
      </c>
      <c r="DF84" s="1" t="s">
        <v>64544</v>
      </c>
      <c r="DG84" s="1" t="s">
        <v>64545</v>
      </c>
      <c r="DH84" s="1" t="s">
        <v>64546</v>
      </c>
      <c r="DI84" s="1" t="s">
        <v>64547</v>
      </c>
      <c r="DJ84" s="1" t="s">
        <v>64548</v>
      </c>
      <c r="DK84" s="1" t="s">
        <v>64549</v>
      </c>
      <c r="DL84" s="1" t="s">
        <v>64550</v>
      </c>
      <c r="DM84" s="1" t="s">
        <v>64551</v>
      </c>
      <c r="DN84" s="1" t="s">
        <v>64552</v>
      </c>
      <c r="DO84" s="1" t="s">
        <v>64553</v>
      </c>
      <c r="DP84" s="1" t="s">
        <v>64554</v>
      </c>
      <c r="DQ84" s="1" t="s">
        <v>64555</v>
      </c>
      <c r="DR84" s="1" t="s">
        <v>64556</v>
      </c>
      <c r="DS84" s="1" t="s">
        <v>64557</v>
      </c>
      <c r="DT84" s="1" t="s">
        <v>64558</v>
      </c>
      <c r="DU84" s="1" t="s">
        <v>64559</v>
      </c>
      <c r="DV84" s="1" t="s">
        <v>64560</v>
      </c>
      <c r="DW84" s="1" t="s">
        <v>64561</v>
      </c>
      <c r="DX84" s="1" t="s">
        <v>64562</v>
      </c>
      <c r="DY84" s="1" t="s">
        <v>64563</v>
      </c>
      <c r="DZ84" s="1" t="s">
        <v>64564</v>
      </c>
      <c r="EA84" s="1" t="s">
        <v>64565</v>
      </c>
      <c r="EB84" s="1" t="s">
        <v>64566</v>
      </c>
      <c r="EC84" s="1" t="s">
        <v>64567</v>
      </c>
      <c r="ED84" s="1" t="s">
        <v>64568</v>
      </c>
      <c r="EE84" s="1" t="s">
        <v>64569</v>
      </c>
      <c r="EF84" s="1" t="s">
        <v>64570</v>
      </c>
      <c r="EG84" s="1" t="s">
        <v>64571</v>
      </c>
      <c r="EH84" s="1" t="s">
        <v>64572</v>
      </c>
      <c r="EI84" s="1" t="s">
        <v>64573</v>
      </c>
      <c r="EJ84" s="1" t="s">
        <v>64574</v>
      </c>
      <c r="EK84" s="1" t="s">
        <v>64575</v>
      </c>
      <c r="EL84" s="1" t="s">
        <v>64576</v>
      </c>
      <c r="EM84" s="1" t="s">
        <v>64577</v>
      </c>
      <c r="EN84" s="1" t="s">
        <v>64578</v>
      </c>
      <c r="EO84" s="1" t="s">
        <v>64579</v>
      </c>
      <c r="EP84" s="1" t="s">
        <v>64580</v>
      </c>
      <c r="EQ84" s="1" t="s">
        <v>64581</v>
      </c>
      <c r="ER84" s="1" t="s">
        <v>64582</v>
      </c>
      <c r="ES84" s="1" t="s">
        <v>64583</v>
      </c>
      <c r="ET84" s="1" t="s">
        <v>64584</v>
      </c>
      <c r="EU84" s="1" t="s">
        <v>64585</v>
      </c>
      <c r="EV84" s="1" t="s">
        <v>64586</v>
      </c>
      <c r="EW84" s="1" t="s">
        <v>64587</v>
      </c>
      <c r="EX84" s="1" t="s">
        <v>64588</v>
      </c>
      <c r="EY84" s="1" t="s">
        <v>64589</v>
      </c>
      <c r="EZ84" s="1" t="s">
        <v>64590</v>
      </c>
      <c r="FA84" s="1" t="s">
        <v>64591</v>
      </c>
      <c r="FB84" s="1" t="s">
        <v>64592</v>
      </c>
      <c r="FC84" s="1" t="s">
        <v>64593</v>
      </c>
      <c r="FD84" s="1" t="s">
        <v>64594</v>
      </c>
      <c r="FE84" s="1" t="s">
        <v>64595</v>
      </c>
      <c r="FF84" s="1" t="s">
        <v>64596</v>
      </c>
      <c r="FG84" s="1" t="s">
        <v>64597</v>
      </c>
      <c r="FH84" s="1" t="s">
        <v>64598</v>
      </c>
      <c r="FI84" s="1" t="s">
        <v>64599</v>
      </c>
      <c r="FJ84" s="1" t="s">
        <v>64600</v>
      </c>
      <c r="FK84" s="1" t="s">
        <v>64601</v>
      </c>
      <c r="FL84" s="1" t="s">
        <v>64602</v>
      </c>
      <c r="FM84" s="1" t="s">
        <v>64603</v>
      </c>
      <c r="FN84" s="1" t="s">
        <v>64604</v>
      </c>
      <c r="FO84" s="1" t="s">
        <v>64605</v>
      </c>
      <c r="FP84" s="1" t="s">
        <v>64606</v>
      </c>
      <c r="FQ84" s="1" t="s">
        <v>64607</v>
      </c>
      <c r="FR84" s="1" t="s">
        <v>64608</v>
      </c>
      <c r="FS84" s="1" t="s">
        <v>64609</v>
      </c>
      <c r="FT84" s="1" t="s">
        <v>64610</v>
      </c>
      <c r="FU84" s="1" t="s">
        <v>64611</v>
      </c>
      <c r="FV84" s="1" t="s">
        <v>64612</v>
      </c>
      <c r="FW84" s="1" t="s">
        <v>64613</v>
      </c>
      <c r="FX84" s="1" t="s">
        <v>64614</v>
      </c>
      <c r="FY84" s="1" t="s">
        <v>64615</v>
      </c>
      <c r="FZ84" s="1" t="s">
        <v>64616</v>
      </c>
      <c r="GA84" s="1" t="s">
        <v>64617</v>
      </c>
      <c r="GB84" s="1" t="s">
        <v>64618</v>
      </c>
      <c r="GC84" s="1" t="s">
        <v>64619</v>
      </c>
      <c r="GD84" s="1" t="s">
        <v>64620</v>
      </c>
      <c r="GE84" s="1" t="s">
        <v>64621</v>
      </c>
      <c r="GF84" s="1" t="s">
        <v>64622</v>
      </c>
      <c r="GG84" s="1" t="s">
        <v>64623</v>
      </c>
      <c r="GH84" s="1" t="s">
        <v>64624</v>
      </c>
      <c r="GI84" s="1" t="s">
        <v>64625</v>
      </c>
      <c r="GJ84" s="1" t="s">
        <v>64626</v>
      </c>
      <c r="GK84" s="1" t="s">
        <v>64627</v>
      </c>
      <c r="GL84" s="1" t="s">
        <v>64628</v>
      </c>
      <c r="GM84" s="1" t="s">
        <v>64629</v>
      </c>
      <c r="GN84" s="1" t="s">
        <v>64630</v>
      </c>
      <c r="GO84" s="1" t="s">
        <v>64631</v>
      </c>
      <c r="GP84" s="1" t="s">
        <v>64632</v>
      </c>
      <c r="GQ84" s="1" t="s">
        <v>64633</v>
      </c>
      <c r="GR84" s="1" t="s">
        <v>64634</v>
      </c>
      <c r="GS84" s="1" t="s">
        <v>64635</v>
      </c>
      <c r="GT84" s="1" t="s">
        <v>64636</v>
      </c>
      <c r="GU84" s="1" t="s">
        <v>64637</v>
      </c>
      <c r="GV84" s="1" t="s">
        <v>64638</v>
      </c>
      <c r="GW84" s="1" t="s">
        <v>64639</v>
      </c>
      <c r="GX84" s="1" t="s">
        <v>64640</v>
      </c>
      <c r="GY84" s="1" t="s">
        <v>64641</v>
      </c>
      <c r="GZ84" s="1" t="s">
        <v>64642</v>
      </c>
      <c r="HA84" s="1" t="s">
        <v>64643</v>
      </c>
      <c r="HB84" s="1" t="s">
        <v>64644</v>
      </c>
      <c r="HC84" s="1" t="s">
        <v>64645</v>
      </c>
      <c r="HD84" s="1" t="s">
        <v>64646</v>
      </c>
      <c r="HE84" s="1" t="s">
        <v>64647</v>
      </c>
      <c r="HF84" s="1" t="s">
        <v>64648</v>
      </c>
      <c r="HG84" s="1" t="s">
        <v>64649</v>
      </c>
      <c r="HH84" s="1" t="s">
        <v>64650</v>
      </c>
      <c r="HI84" s="1" t="s">
        <v>64651</v>
      </c>
      <c r="HJ84" s="1" t="s">
        <v>64652</v>
      </c>
      <c r="HK84" s="1" t="s">
        <v>64653</v>
      </c>
      <c r="HL84" s="1" t="s">
        <v>64654</v>
      </c>
      <c r="HM84" s="1" t="s">
        <v>64655</v>
      </c>
      <c r="HN84" s="1" t="s">
        <v>64656</v>
      </c>
      <c r="HO84" s="1" t="s">
        <v>64657</v>
      </c>
      <c r="HP84" s="1" t="s">
        <v>64658</v>
      </c>
      <c r="HQ84" s="1" t="s">
        <v>64659</v>
      </c>
      <c r="HR84" s="1" t="s">
        <v>64660</v>
      </c>
      <c r="HS84" s="1" t="s">
        <v>64661</v>
      </c>
      <c r="HT84" s="1" t="s">
        <v>64662</v>
      </c>
      <c r="HU84" s="1" t="s">
        <v>64663</v>
      </c>
      <c r="HV84" s="1" t="s">
        <v>64664</v>
      </c>
      <c r="HW84" s="1" t="s">
        <v>64665</v>
      </c>
      <c r="HX84" s="1" t="s">
        <v>64666</v>
      </c>
      <c r="HY84" s="1" t="s">
        <v>64667</v>
      </c>
      <c r="HZ84" s="1" t="s">
        <v>64668</v>
      </c>
      <c r="IA84" s="1" t="s">
        <v>64669</v>
      </c>
      <c r="IB84" s="1" t="s">
        <v>64670</v>
      </c>
      <c r="IC84" s="1" t="s">
        <v>64671</v>
      </c>
      <c r="ID84" s="1" t="s">
        <v>64672</v>
      </c>
      <c r="IE84" s="1" t="s">
        <v>64673</v>
      </c>
      <c r="IF84" s="1" t="s">
        <v>64674</v>
      </c>
      <c r="IG84" s="1" t="s">
        <v>64675</v>
      </c>
      <c r="IH84" s="1" t="s">
        <v>64676</v>
      </c>
      <c r="II84" s="1" t="s">
        <v>64677</v>
      </c>
      <c r="IJ84" s="1" t="s">
        <v>64678</v>
      </c>
      <c r="IK84" s="1" t="s">
        <v>64679</v>
      </c>
      <c r="IL84" s="1" t="s">
        <v>64680</v>
      </c>
      <c r="IM84" s="1" t="s">
        <v>64681</v>
      </c>
      <c r="IN84" s="1" t="s">
        <v>64682</v>
      </c>
      <c r="IO84" s="1" t="s">
        <v>64683</v>
      </c>
      <c r="IP84" s="1" t="s">
        <v>64684</v>
      </c>
      <c r="IQ84" s="1" t="s">
        <v>64685</v>
      </c>
      <c r="IR84" s="1" t="s">
        <v>64686</v>
      </c>
      <c r="IS84" s="1" t="s">
        <v>64687</v>
      </c>
      <c r="IT84" s="1" t="s">
        <v>64688</v>
      </c>
      <c r="IU84" s="1" t="s">
        <v>64689</v>
      </c>
      <c r="IV84" s="1" t="s">
        <v>64690</v>
      </c>
      <c r="IW84" s="1" t="s">
        <v>64691</v>
      </c>
      <c r="IX84" s="1" t="s">
        <v>64692</v>
      </c>
      <c r="IY84" s="1" t="s">
        <v>64693</v>
      </c>
      <c r="IZ84" s="1" t="s">
        <v>64694</v>
      </c>
      <c r="JA84" s="1" t="s">
        <v>64695</v>
      </c>
      <c r="JB84" s="1" t="s">
        <v>64696</v>
      </c>
      <c r="JC84" s="1" t="s">
        <v>64697</v>
      </c>
      <c r="JD84" s="1" t="s">
        <v>64698</v>
      </c>
      <c r="JE84" s="1" t="s">
        <v>64699</v>
      </c>
      <c r="JF84" s="1" t="s">
        <v>64700</v>
      </c>
      <c r="JG84" s="1" t="s">
        <v>64701</v>
      </c>
      <c r="JH84" s="1" t="s">
        <v>64702</v>
      </c>
      <c r="JI84" s="1" t="s">
        <v>64703</v>
      </c>
      <c r="JJ84" s="1" t="s">
        <v>64704</v>
      </c>
      <c r="JK84" s="1" t="s">
        <v>64705</v>
      </c>
      <c r="JL84" s="1" t="s">
        <v>64706</v>
      </c>
      <c r="JM84" s="1" t="s">
        <v>64707</v>
      </c>
      <c r="JN84" s="1" t="s">
        <v>64708</v>
      </c>
      <c r="JO84" s="1" t="s">
        <v>64709</v>
      </c>
      <c r="JP84" s="1" t="s">
        <v>64710</v>
      </c>
      <c r="JQ84" s="1" t="s">
        <v>64711</v>
      </c>
      <c r="JR84" s="1" t="s">
        <v>64712</v>
      </c>
      <c r="JS84" s="1" t="s">
        <v>64713</v>
      </c>
      <c r="JT84" s="1" t="s">
        <v>64714</v>
      </c>
      <c r="JU84" s="1" t="s">
        <v>64715</v>
      </c>
      <c r="JV84" s="1" t="s">
        <v>64716</v>
      </c>
      <c r="JW84" s="1" t="s">
        <v>64717</v>
      </c>
      <c r="JX84" s="1" t="s">
        <v>64718</v>
      </c>
      <c r="JY84" s="1" t="s">
        <v>64719</v>
      </c>
      <c r="JZ84" s="1" t="s">
        <v>64720</v>
      </c>
      <c r="KA84" s="1" t="s">
        <v>64721</v>
      </c>
      <c r="KB84" s="1" t="s">
        <v>64722</v>
      </c>
      <c r="KC84" s="1" t="s">
        <v>64723</v>
      </c>
      <c r="KD84" s="1" t="s">
        <v>64724</v>
      </c>
      <c r="KE84" s="1" t="s">
        <v>64725</v>
      </c>
      <c r="KF84" s="1" t="s">
        <v>64726</v>
      </c>
      <c r="KG84" s="1" t="s">
        <v>64727</v>
      </c>
      <c r="KH84" s="1" t="s">
        <v>64728</v>
      </c>
      <c r="KI84" s="1" t="s">
        <v>64729</v>
      </c>
      <c r="KJ84" s="1" t="s">
        <v>64730</v>
      </c>
      <c r="KK84" s="1" t="s">
        <v>64731</v>
      </c>
      <c r="KL84" s="1" t="s">
        <v>64732</v>
      </c>
      <c r="KM84" s="1" t="s">
        <v>64733</v>
      </c>
      <c r="KN84" s="1" t="s">
        <v>64734</v>
      </c>
      <c r="KO84" s="1" t="s">
        <v>64735</v>
      </c>
      <c r="KP84" s="1" t="s">
        <v>64736</v>
      </c>
      <c r="KQ84" s="1" t="s">
        <v>64737</v>
      </c>
      <c r="KR84" s="1" t="s">
        <v>64738</v>
      </c>
      <c r="KS84" s="1" t="s">
        <v>64739</v>
      </c>
      <c r="KT84" s="1" t="s">
        <v>64740</v>
      </c>
      <c r="KU84" s="1" t="s">
        <v>64741</v>
      </c>
      <c r="KV84" s="1" t="s">
        <v>64742</v>
      </c>
      <c r="KW84" s="1" t="s">
        <v>64743</v>
      </c>
      <c r="KX84" s="1" t="s">
        <v>64744</v>
      </c>
      <c r="KY84" s="1" t="s">
        <v>64745</v>
      </c>
      <c r="KZ84" s="1" t="s">
        <v>64746</v>
      </c>
      <c r="LA84" s="1" t="s">
        <v>64747</v>
      </c>
      <c r="LB84" s="1" t="s">
        <v>64748</v>
      </c>
      <c r="LC84" s="1" t="s">
        <v>64749</v>
      </c>
      <c r="LD84" s="1" t="s">
        <v>64750</v>
      </c>
      <c r="LE84" s="1" t="s">
        <v>64751</v>
      </c>
      <c r="LF84" s="1" t="s">
        <v>64752</v>
      </c>
      <c r="LG84" s="1" t="s">
        <v>64753</v>
      </c>
      <c r="LH84" s="1" t="s">
        <v>64754</v>
      </c>
      <c r="LI84" s="1" t="s">
        <v>64755</v>
      </c>
      <c r="LJ84" s="1" t="s">
        <v>64756</v>
      </c>
      <c r="LK84" s="1" t="s">
        <v>64757</v>
      </c>
      <c r="LL84" s="1" t="s">
        <v>64758</v>
      </c>
      <c r="LM84" s="1" t="s">
        <v>64759</v>
      </c>
      <c r="LN84" s="1" t="s">
        <v>64760</v>
      </c>
      <c r="LO84" s="1" t="s">
        <v>64761</v>
      </c>
      <c r="LP84" s="1" t="s">
        <v>64762</v>
      </c>
      <c r="LQ84" s="1" t="s">
        <v>64763</v>
      </c>
      <c r="LR84" s="1" t="s">
        <v>64764</v>
      </c>
      <c r="LS84" s="1" t="s">
        <v>64765</v>
      </c>
      <c r="LT84" s="1" t="s">
        <v>64766</v>
      </c>
      <c r="LU84" s="1" t="s">
        <v>64767</v>
      </c>
      <c r="LV84" s="1" t="s">
        <v>64768</v>
      </c>
      <c r="LW84" s="1" t="s">
        <v>64769</v>
      </c>
      <c r="LX84" s="1" t="s">
        <v>64770</v>
      </c>
      <c r="LY84" s="1" t="s">
        <v>64771</v>
      </c>
      <c r="LZ84" s="1" t="s">
        <v>64772</v>
      </c>
      <c r="MA84" s="1" t="s">
        <v>64773</v>
      </c>
      <c r="MB84" s="1" t="s">
        <v>64774</v>
      </c>
      <c r="MC84" s="1" t="s">
        <v>64775</v>
      </c>
      <c r="MD84" s="1" t="s">
        <v>64776</v>
      </c>
      <c r="ME84" s="1" t="s">
        <v>64777</v>
      </c>
      <c r="MF84" s="1" t="s">
        <v>64778</v>
      </c>
      <c r="MG84" s="1" t="s">
        <v>64779</v>
      </c>
      <c r="MH84" s="1" t="s">
        <v>64780</v>
      </c>
      <c r="MI84" s="1" t="s">
        <v>64781</v>
      </c>
      <c r="MJ84" s="1" t="s">
        <v>64782</v>
      </c>
      <c r="MK84" s="1" t="s">
        <v>64783</v>
      </c>
      <c r="ML84" s="1" t="s">
        <v>64784</v>
      </c>
      <c r="MM84" s="1" t="s">
        <v>64785</v>
      </c>
      <c r="MN84" s="1" t="s">
        <v>64786</v>
      </c>
      <c r="MO84" s="1" t="s">
        <v>64787</v>
      </c>
      <c r="MP84" s="1" t="s">
        <v>64788</v>
      </c>
      <c r="MQ84" s="1" t="s">
        <v>64789</v>
      </c>
      <c r="MR84" s="1" t="s">
        <v>64790</v>
      </c>
      <c r="MS84" s="1" t="s">
        <v>64791</v>
      </c>
      <c r="MT84" s="1" t="s">
        <v>64792</v>
      </c>
      <c r="MU84" s="1" t="s">
        <v>64793</v>
      </c>
      <c r="MV84" s="1" t="s">
        <v>64794</v>
      </c>
      <c r="MW84" s="1" t="s">
        <v>64795</v>
      </c>
      <c r="MX84" s="1" t="s">
        <v>64796</v>
      </c>
      <c r="MY84" s="1" t="s">
        <v>64797</v>
      </c>
      <c r="MZ84" s="1" t="s">
        <v>64798</v>
      </c>
      <c r="NA84" s="1" t="s">
        <v>64799</v>
      </c>
      <c r="NB84" s="1" t="s">
        <v>64800</v>
      </c>
      <c r="NC84" s="1" t="s">
        <v>64801</v>
      </c>
      <c r="ND84" s="1" t="s">
        <v>64802</v>
      </c>
      <c r="NE84" s="1" t="s">
        <v>64803</v>
      </c>
      <c r="NF84" s="1" t="s">
        <v>64804</v>
      </c>
      <c r="NG84" s="1" t="s">
        <v>64805</v>
      </c>
      <c r="NH84" s="1" t="s">
        <v>64806</v>
      </c>
      <c r="NI84" s="1" t="s">
        <v>64807</v>
      </c>
      <c r="NJ84" s="1" t="s">
        <v>64808</v>
      </c>
      <c r="NK84" s="1" t="s">
        <v>64809</v>
      </c>
      <c r="NL84" s="1" t="s">
        <v>64810</v>
      </c>
      <c r="NM84" s="1" t="s">
        <v>64811</v>
      </c>
      <c r="NN84" s="1" t="s">
        <v>64812</v>
      </c>
      <c r="NO84" s="1" t="s">
        <v>64813</v>
      </c>
      <c r="NP84" s="1" t="s">
        <v>64814</v>
      </c>
      <c r="NQ84" s="1" t="s">
        <v>64815</v>
      </c>
      <c r="NR84" s="1" t="s">
        <v>64816</v>
      </c>
      <c r="NS84" s="1" t="s">
        <v>64817</v>
      </c>
      <c r="NT84" s="1" t="s">
        <v>64818</v>
      </c>
      <c r="NU84" s="1" t="s">
        <v>64819</v>
      </c>
      <c r="NV84" s="1" t="s">
        <v>64820</v>
      </c>
      <c r="NW84" s="1" t="s">
        <v>64821</v>
      </c>
      <c r="NX84" s="1" t="s">
        <v>64822</v>
      </c>
      <c r="NY84" s="1" t="s">
        <v>64823</v>
      </c>
      <c r="NZ84" s="1" t="s">
        <v>64824</v>
      </c>
      <c r="OA84" s="1" t="s">
        <v>64825</v>
      </c>
      <c r="OB84" s="1" t="s">
        <v>64826</v>
      </c>
      <c r="OC84" s="1" t="s">
        <v>64827</v>
      </c>
      <c r="OD84" s="1" t="s">
        <v>64828</v>
      </c>
      <c r="OE84" s="1" t="s">
        <v>64829</v>
      </c>
      <c r="OF84" s="1" t="s">
        <v>64830</v>
      </c>
      <c r="OG84" s="1" t="s">
        <v>64831</v>
      </c>
      <c r="OH84" s="1" t="s">
        <v>64832</v>
      </c>
      <c r="OI84" s="1" t="s">
        <v>64833</v>
      </c>
      <c r="OJ84" s="1" t="s">
        <v>64834</v>
      </c>
      <c r="OK84" s="1" t="s">
        <v>64835</v>
      </c>
      <c r="OL84" s="1" t="s">
        <v>64836</v>
      </c>
      <c r="OM84" s="1" t="s">
        <v>64837</v>
      </c>
      <c r="ON84" s="1" t="s">
        <v>64838</v>
      </c>
      <c r="OO84" s="1" t="s">
        <v>64839</v>
      </c>
      <c r="OP84" s="1" t="s">
        <v>64840</v>
      </c>
      <c r="OQ84" s="1" t="s">
        <v>64841</v>
      </c>
      <c r="OR84" s="1" t="s">
        <v>64842</v>
      </c>
      <c r="OS84" s="1" t="s">
        <v>64843</v>
      </c>
      <c r="OT84" s="1" t="s">
        <v>64844</v>
      </c>
      <c r="OU84" s="1" t="s">
        <v>64845</v>
      </c>
      <c r="OV84" s="1" t="s">
        <v>64846</v>
      </c>
      <c r="OW84" s="1" t="s">
        <v>64847</v>
      </c>
      <c r="OX84" s="1" t="s">
        <v>64848</v>
      </c>
      <c r="OY84" s="1" t="s">
        <v>64849</v>
      </c>
      <c r="OZ84" s="1" t="s">
        <v>64850</v>
      </c>
      <c r="PA84" s="1" t="s">
        <v>64851</v>
      </c>
      <c r="PB84" s="1" t="s">
        <v>64852</v>
      </c>
      <c r="PC84" s="1" t="s">
        <v>64853</v>
      </c>
      <c r="PD84" s="1" t="s">
        <v>64854</v>
      </c>
      <c r="PE84" s="1" t="s">
        <v>64855</v>
      </c>
      <c r="PF84" s="1" t="s">
        <v>64856</v>
      </c>
      <c r="PG84" s="1" t="s">
        <v>64857</v>
      </c>
      <c r="PH84" s="1" t="s">
        <v>64858</v>
      </c>
      <c r="PI84" s="1" t="s">
        <v>64859</v>
      </c>
      <c r="PJ84" s="1" t="s">
        <v>64860</v>
      </c>
      <c r="PK84" s="1" t="s">
        <v>64861</v>
      </c>
      <c r="PL84" s="1" t="s">
        <v>64862</v>
      </c>
      <c r="PM84" s="1" t="s">
        <v>64863</v>
      </c>
      <c r="PN84" s="1" t="s">
        <v>64864</v>
      </c>
      <c r="PO84" s="1" t="s">
        <v>64865</v>
      </c>
      <c r="PP84" s="1" t="s">
        <v>64866</v>
      </c>
      <c r="PQ84" s="1" t="s">
        <v>64867</v>
      </c>
      <c r="PR84" s="1" t="s">
        <v>64868</v>
      </c>
      <c r="PS84" s="1" t="s">
        <v>64869</v>
      </c>
      <c r="PT84" s="1" t="s">
        <v>64870</v>
      </c>
      <c r="PU84" s="1" t="s">
        <v>64871</v>
      </c>
      <c r="PV84" s="1" t="s">
        <v>64872</v>
      </c>
      <c r="PW84" s="1" t="s">
        <v>64873</v>
      </c>
      <c r="PX84" s="1" t="s">
        <v>64874</v>
      </c>
      <c r="PY84" s="1" t="s">
        <v>64875</v>
      </c>
      <c r="PZ84" s="1" t="s">
        <v>64876</v>
      </c>
      <c r="QA84" s="1" t="s">
        <v>64877</v>
      </c>
      <c r="QB84" s="1" t="s">
        <v>64878</v>
      </c>
      <c r="QC84" s="1" t="s">
        <v>64879</v>
      </c>
      <c r="QD84" s="1" t="s">
        <v>64880</v>
      </c>
      <c r="QE84" s="1" t="s">
        <v>64881</v>
      </c>
      <c r="QF84" s="1" t="s">
        <v>64882</v>
      </c>
      <c r="QG84" s="1" t="s">
        <v>64883</v>
      </c>
      <c r="QH84" s="1" t="s">
        <v>64884</v>
      </c>
      <c r="QI84" s="1" t="s">
        <v>64885</v>
      </c>
      <c r="QJ84" s="1" t="s">
        <v>64886</v>
      </c>
      <c r="QK84" s="1" t="s">
        <v>64887</v>
      </c>
      <c r="QL84" s="1" t="s">
        <v>64888</v>
      </c>
      <c r="QM84" s="1" t="s">
        <v>64889</v>
      </c>
      <c r="QN84" s="1" t="s">
        <v>64890</v>
      </c>
      <c r="QO84" s="1" t="s">
        <v>64891</v>
      </c>
      <c r="QP84" s="1" t="s">
        <v>64892</v>
      </c>
      <c r="QQ84" s="1" t="s">
        <v>64893</v>
      </c>
      <c r="QR84" s="1" t="s">
        <v>64894</v>
      </c>
      <c r="QS84" s="1" t="s">
        <v>64895</v>
      </c>
      <c r="QT84" s="1" t="s">
        <v>64896</v>
      </c>
      <c r="QU84" s="1" t="s">
        <v>64897</v>
      </c>
      <c r="QV84" s="1" t="s">
        <v>64898</v>
      </c>
      <c r="QW84" s="1" t="s">
        <v>64899</v>
      </c>
      <c r="QX84" s="1" t="s">
        <v>64900</v>
      </c>
      <c r="QY84" s="1" t="s">
        <v>64901</v>
      </c>
      <c r="QZ84" s="1" t="s">
        <v>64902</v>
      </c>
      <c r="RA84" s="1" t="s">
        <v>64903</v>
      </c>
      <c r="RB84" s="1" t="s">
        <v>64904</v>
      </c>
      <c r="RC84" s="1" t="s">
        <v>64905</v>
      </c>
      <c r="RD84" s="1" t="s">
        <v>64906</v>
      </c>
      <c r="RE84" s="1" t="s">
        <v>64907</v>
      </c>
      <c r="RF84" s="1" t="s">
        <v>64908</v>
      </c>
      <c r="RG84" s="1" t="s">
        <v>64909</v>
      </c>
      <c r="RH84" s="1" t="s">
        <v>64910</v>
      </c>
      <c r="RI84" s="1" t="s">
        <v>64911</v>
      </c>
      <c r="RJ84" s="1" t="s">
        <v>64912</v>
      </c>
      <c r="RK84" s="1" t="s">
        <v>64913</v>
      </c>
      <c r="RL84" s="1" t="s">
        <v>64914</v>
      </c>
      <c r="RM84" s="1" t="s">
        <v>64915</v>
      </c>
      <c r="RN84" s="1" t="s">
        <v>64916</v>
      </c>
      <c r="RO84" s="1" t="s">
        <v>64917</v>
      </c>
      <c r="RP84" s="1" t="s">
        <v>64918</v>
      </c>
      <c r="RQ84" s="1" t="s">
        <v>64919</v>
      </c>
      <c r="RR84" s="1" t="s">
        <v>64920</v>
      </c>
      <c r="RS84" s="1" t="s">
        <v>64921</v>
      </c>
      <c r="RT84" s="1" t="s">
        <v>64922</v>
      </c>
      <c r="RU84" s="1" t="s">
        <v>64923</v>
      </c>
      <c r="RV84" s="1" t="s">
        <v>64924</v>
      </c>
      <c r="RW84" s="1" t="s">
        <v>64925</v>
      </c>
      <c r="RX84" s="1" t="s">
        <v>64926</v>
      </c>
      <c r="RY84" s="1" t="s">
        <v>64927</v>
      </c>
      <c r="RZ84" s="1" t="s">
        <v>64928</v>
      </c>
      <c r="SA84" s="1" t="s">
        <v>64929</v>
      </c>
      <c r="SB84" s="1" t="s">
        <v>64930</v>
      </c>
      <c r="SC84" s="1" t="s">
        <v>64931</v>
      </c>
      <c r="SD84" s="1" t="s">
        <v>64932</v>
      </c>
      <c r="SE84" s="1" t="s">
        <v>64933</v>
      </c>
      <c r="SF84" s="1" t="s">
        <v>64934</v>
      </c>
      <c r="SG84" s="1" t="s">
        <v>64935</v>
      </c>
      <c r="SH84" s="1" t="s">
        <v>64936</v>
      </c>
      <c r="SI84" s="1" t="s">
        <v>64937</v>
      </c>
      <c r="SJ84" s="1" t="s">
        <v>64938</v>
      </c>
      <c r="SK84" s="1" t="s">
        <v>64939</v>
      </c>
      <c r="SL84" s="1" t="s">
        <v>64940</v>
      </c>
      <c r="SM84" s="1" t="s">
        <v>64941</v>
      </c>
      <c r="SN84" s="1" t="s">
        <v>64942</v>
      </c>
      <c r="SO84" s="1" t="s">
        <v>64943</v>
      </c>
      <c r="SP84" s="1" t="s">
        <v>64944</v>
      </c>
      <c r="SQ84" s="1" t="s">
        <v>64945</v>
      </c>
      <c r="SR84" s="1" t="s">
        <v>64946</v>
      </c>
      <c r="SS84" s="1" t="s">
        <v>64947</v>
      </c>
      <c r="ST84" s="1" t="s">
        <v>64948</v>
      </c>
      <c r="SU84" s="1" t="s">
        <v>64949</v>
      </c>
      <c r="SV84" s="1" t="s">
        <v>64950</v>
      </c>
      <c r="SW84" s="1" t="s">
        <v>64951</v>
      </c>
      <c r="SX84" s="1" t="s">
        <v>64952</v>
      </c>
      <c r="SY84" s="1" t="s">
        <v>64953</v>
      </c>
      <c r="SZ84" s="1" t="s">
        <v>64954</v>
      </c>
      <c r="TA84" s="1" t="s">
        <v>64955</v>
      </c>
      <c r="TB84" s="1" t="s">
        <v>64956</v>
      </c>
      <c r="TC84" s="1" t="s">
        <v>64957</v>
      </c>
      <c r="TD84" s="1" t="s">
        <v>64958</v>
      </c>
      <c r="TE84" s="1" t="s">
        <v>64959</v>
      </c>
      <c r="TF84" s="1" t="s">
        <v>64960</v>
      </c>
      <c r="TG84" s="1" t="s">
        <v>64961</v>
      </c>
      <c r="TH84" s="1" t="s">
        <v>64962</v>
      </c>
      <c r="TI84" s="1" t="s">
        <v>64963</v>
      </c>
      <c r="TJ84" s="1" t="s">
        <v>64964</v>
      </c>
      <c r="TK84" s="1" t="s">
        <v>64965</v>
      </c>
      <c r="TL84" s="1" t="s">
        <v>64966</v>
      </c>
      <c r="TM84" s="1" t="s">
        <v>64967</v>
      </c>
      <c r="TN84" s="1" t="s">
        <v>64968</v>
      </c>
      <c r="TO84" s="1" t="s">
        <v>64969</v>
      </c>
      <c r="TP84" s="1" t="s">
        <v>64970</v>
      </c>
      <c r="TQ84" s="1" t="s">
        <v>64971</v>
      </c>
      <c r="TR84" s="1" t="s">
        <v>64972</v>
      </c>
      <c r="TS84" s="1" t="s">
        <v>64973</v>
      </c>
      <c r="TT84" s="1" t="s">
        <v>64974</v>
      </c>
      <c r="TU84" s="1" t="s">
        <v>64975</v>
      </c>
      <c r="TV84" s="1" t="s">
        <v>64976</v>
      </c>
      <c r="TW84" s="1" t="s">
        <v>64977</v>
      </c>
      <c r="TX84" s="1" t="s">
        <v>64978</v>
      </c>
      <c r="TY84" s="1" t="s">
        <v>64979</v>
      </c>
      <c r="TZ84" s="1" t="s">
        <v>64980</v>
      </c>
      <c r="UA84" s="1" t="s">
        <v>64981</v>
      </c>
      <c r="UB84" s="1" t="s">
        <v>64982</v>
      </c>
      <c r="UC84" s="1" t="s">
        <v>64983</v>
      </c>
      <c r="UD84" s="1" t="s">
        <v>64984</v>
      </c>
      <c r="UE84" s="1" t="s">
        <v>64985</v>
      </c>
      <c r="UF84" s="1" t="s">
        <v>64986</v>
      </c>
      <c r="UG84" s="1" t="s">
        <v>64987</v>
      </c>
      <c r="UH84" s="1" t="s">
        <v>64988</v>
      </c>
      <c r="UI84" s="1" t="s">
        <v>64989</v>
      </c>
      <c r="UJ84" s="1" t="s">
        <v>64990</v>
      </c>
      <c r="UK84" s="1" t="s">
        <v>64991</v>
      </c>
      <c r="UL84" s="1" t="s">
        <v>64992</v>
      </c>
      <c r="UM84" s="1" t="s">
        <v>64993</v>
      </c>
      <c r="UN84" s="1" t="s">
        <v>64994</v>
      </c>
      <c r="UO84" s="1" t="s">
        <v>64995</v>
      </c>
      <c r="UP84" s="1" t="s">
        <v>64996</v>
      </c>
      <c r="UQ84" s="1" t="s">
        <v>64997</v>
      </c>
      <c r="UR84" s="1" t="s">
        <v>64998</v>
      </c>
      <c r="US84" s="1" t="s">
        <v>64999</v>
      </c>
      <c r="UT84" s="1" t="s">
        <v>65000</v>
      </c>
      <c r="UU84" s="1" t="s">
        <v>65001</v>
      </c>
      <c r="UV84" s="1" t="s">
        <v>65002</v>
      </c>
      <c r="UW84" s="1" t="s">
        <v>65003</v>
      </c>
      <c r="UX84" s="1" t="s">
        <v>65004</v>
      </c>
      <c r="UY84" s="1" t="s">
        <v>65005</v>
      </c>
      <c r="UZ84" s="1" t="s">
        <v>65006</v>
      </c>
      <c r="VA84" s="1" t="s">
        <v>65007</v>
      </c>
      <c r="VB84" s="1" t="s">
        <v>65008</v>
      </c>
      <c r="VC84" s="1" t="s">
        <v>65009</v>
      </c>
      <c r="VD84" s="1" t="s">
        <v>65010</v>
      </c>
      <c r="VE84" s="1" t="s">
        <v>65011</v>
      </c>
      <c r="VF84" s="1" t="s">
        <v>65012</v>
      </c>
      <c r="VG84" s="1" t="s">
        <v>65013</v>
      </c>
      <c r="VH84" s="1" t="s">
        <v>65014</v>
      </c>
      <c r="VI84" s="1" t="s">
        <v>65015</v>
      </c>
      <c r="VJ84" s="1" t="s">
        <v>65016</v>
      </c>
      <c r="VK84" s="1" t="s">
        <v>65017</v>
      </c>
      <c r="VL84" s="1" t="s">
        <v>65018</v>
      </c>
      <c r="VM84" s="1" t="s">
        <v>65019</v>
      </c>
      <c r="VN84" s="1" t="s">
        <v>65020</v>
      </c>
      <c r="VO84" s="1" t="s">
        <v>65021</v>
      </c>
      <c r="VP84" s="1" t="s">
        <v>65022</v>
      </c>
      <c r="VQ84" s="1" t="s">
        <v>65023</v>
      </c>
      <c r="VR84" s="1" t="s">
        <v>65024</v>
      </c>
      <c r="VS84" s="1" t="s">
        <v>65025</v>
      </c>
      <c r="VT84" s="1" t="s">
        <v>65026</v>
      </c>
      <c r="VU84" s="1" t="s">
        <v>65027</v>
      </c>
      <c r="VV84" s="1" t="s">
        <v>65028</v>
      </c>
      <c r="VW84" s="1" t="s">
        <v>65029</v>
      </c>
      <c r="VX84" s="1" t="s">
        <v>65030</v>
      </c>
      <c r="VY84" s="1" t="s">
        <v>65031</v>
      </c>
      <c r="VZ84" s="1" t="s">
        <v>65032</v>
      </c>
      <c r="WA84" s="1" t="s">
        <v>65033</v>
      </c>
      <c r="WB84" s="1" t="s">
        <v>65034</v>
      </c>
      <c r="WC84" s="1" t="s">
        <v>65035</v>
      </c>
      <c r="WD84" s="1" t="s">
        <v>65036</v>
      </c>
      <c r="WE84" s="1" t="s">
        <v>65037</v>
      </c>
      <c r="WF84" s="1" t="s">
        <v>65038</v>
      </c>
      <c r="WG84" s="1" t="s">
        <v>65039</v>
      </c>
      <c r="WH84" s="1" t="s">
        <v>65040</v>
      </c>
      <c r="WI84" s="1" t="s">
        <v>65041</v>
      </c>
      <c r="WJ84" s="1" t="s">
        <v>65042</v>
      </c>
      <c r="WK84" s="1" t="s">
        <v>65043</v>
      </c>
      <c r="WL84" s="1" t="s">
        <v>65044</v>
      </c>
      <c r="WM84" s="1" t="s">
        <v>65045</v>
      </c>
      <c r="WN84" s="1" t="s">
        <v>65046</v>
      </c>
      <c r="WO84" s="1" t="s">
        <v>65047</v>
      </c>
      <c r="WP84" s="1" t="s">
        <v>65048</v>
      </c>
      <c r="WQ84" s="1" t="s">
        <v>65049</v>
      </c>
      <c r="WR84" s="1" t="s">
        <v>65050</v>
      </c>
      <c r="WS84" s="1" t="s">
        <v>65051</v>
      </c>
      <c r="WT84" s="1" t="s">
        <v>65052</v>
      </c>
      <c r="WU84" s="1" t="s">
        <v>65053</v>
      </c>
      <c r="WV84" s="1" t="s">
        <v>65054</v>
      </c>
      <c r="WW84" s="1" t="s">
        <v>65055</v>
      </c>
      <c r="WX84" s="1" t="s">
        <v>65056</v>
      </c>
      <c r="WY84" s="1" t="s">
        <v>65057</v>
      </c>
      <c r="WZ84" s="1" t="s">
        <v>65058</v>
      </c>
      <c r="XA84" s="1" t="s">
        <v>65059</v>
      </c>
      <c r="XB84" s="1" t="s">
        <v>65060</v>
      </c>
      <c r="XC84" s="1" t="s">
        <v>65061</v>
      </c>
      <c r="XD84" s="1" t="s">
        <v>65062</v>
      </c>
      <c r="XE84" s="1" t="s">
        <v>65063</v>
      </c>
      <c r="XF84" s="1" t="s">
        <v>65064</v>
      </c>
      <c r="XG84" s="1" t="s">
        <v>65065</v>
      </c>
      <c r="XH84" s="1" t="s">
        <v>65066</v>
      </c>
      <c r="XI84" s="1" t="s">
        <v>65067</v>
      </c>
      <c r="XJ84" s="1" t="s">
        <v>65068</v>
      </c>
      <c r="XK84" s="1" t="s">
        <v>65069</v>
      </c>
      <c r="XL84" s="1" t="s">
        <v>65070</v>
      </c>
      <c r="XM84" s="1" t="s">
        <v>65071</v>
      </c>
      <c r="XN84" s="1" t="s">
        <v>65072</v>
      </c>
      <c r="XO84" s="1" t="s">
        <v>65073</v>
      </c>
      <c r="XP84" s="1" t="s">
        <v>65074</v>
      </c>
      <c r="XQ84" s="1" t="s">
        <v>65075</v>
      </c>
      <c r="XR84" s="1" t="s">
        <v>65076</v>
      </c>
      <c r="XS84" s="1" t="s">
        <v>65077</v>
      </c>
      <c r="XT84" s="1" t="s">
        <v>65078</v>
      </c>
      <c r="XU84" s="1" t="s">
        <v>65079</v>
      </c>
      <c r="XV84" s="1" t="s">
        <v>65080</v>
      </c>
      <c r="XW84" s="1" t="s">
        <v>65081</v>
      </c>
      <c r="XX84" s="1" t="s">
        <v>65082</v>
      </c>
      <c r="XY84" s="1" t="s">
        <v>65083</v>
      </c>
      <c r="XZ84" s="1" t="s">
        <v>65084</v>
      </c>
      <c r="YA84" s="1" t="s">
        <v>65085</v>
      </c>
      <c r="YB84" s="1" t="s">
        <v>65086</v>
      </c>
      <c r="YC84" s="1" t="s">
        <v>65087</v>
      </c>
      <c r="YD84" s="1" t="s">
        <v>65088</v>
      </c>
      <c r="YE84" s="1" t="s">
        <v>65089</v>
      </c>
      <c r="YF84" s="1" t="s">
        <v>65090</v>
      </c>
      <c r="YG84" s="1" t="s">
        <v>65091</v>
      </c>
      <c r="YH84" s="1" t="s">
        <v>65092</v>
      </c>
      <c r="YI84" s="1" t="s">
        <v>65093</v>
      </c>
      <c r="YJ84" s="1" t="s">
        <v>65094</v>
      </c>
      <c r="YK84" s="1" t="s">
        <v>65095</v>
      </c>
      <c r="YL84" s="1" t="s">
        <v>65096</v>
      </c>
      <c r="YM84" s="1" t="s">
        <v>65097</v>
      </c>
      <c r="YN84" s="1" t="s">
        <v>65098</v>
      </c>
      <c r="YO84" s="1" t="s">
        <v>65099</v>
      </c>
      <c r="YP84" s="1" t="s">
        <v>65100</v>
      </c>
      <c r="YQ84" s="1" t="s">
        <v>65101</v>
      </c>
      <c r="YR84" s="1" t="s">
        <v>65102</v>
      </c>
      <c r="YS84" s="1" t="s">
        <v>65103</v>
      </c>
      <c r="YT84" s="1" t="s">
        <v>65104</v>
      </c>
      <c r="YU84" s="1" t="s">
        <v>65105</v>
      </c>
      <c r="YV84" s="1" t="s">
        <v>65106</v>
      </c>
      <c r="YW84" s="1" t="s">
        <v>65107</v>
      </c>
      <c r="YX84" s="1" t="s">
        <v>65108</v>
      </c>
      <c r="YY84" s="1" t="s">
        <v>65109</v>
      </c>
      <c r="YZ84" s="1" t="s">
        <v>65110</v>
      </c>
      <c r="ZA84" s="1" t="s">
        <v>65111</v>
      </c>
      <c r="ZB84" s="1" t="s">
        <v>65112</v>
      </c>
      <c r="ZC84" s="1" t="s">
        <v>65113</v>
      </c>
      <c r="ZD84" s="1" t="s">
        <v>65114</v>
      </c>
      <c r="ZE84" s="1" t="s">
        <v>65115</v>
      </c>
      <c r="ZF84" s="1" t="s">
        <v>65116</v>
      </c>
      <c r="ZG84" s="1" t="s">
        <v>65117</v>
      </c>
      <c r="ZH84" s="1" t="s">
        <v>65118</v>
      </c>
      <c r="ZI84" s="1" t="s">
        <v>65119</v>
      </c>
      <c r="ZJ84" s="1" t="s">
        <v>65120</v>
      </c>
      <c r="ZK84" s="1" t="s">
        <v>65121</v>
      </c>
      <c r="ZL84" s="1" t="s">
        <v>65122</v>
      </c>
      <c r="ZM84" s="1" t="s">
        <v>65123</v>
      </c>
      <c r="ZN84" s="1" t="s">
        <v>65124</v>
      </c>
      <c r="ZO84" s="1" t="s">
        <v>65125</v>
      </c>
      <c r="ZP84" s="1" t="s">
        <v>65126</v>
      </c>
      <c r="ZQ84" s="1" t="s">
        <v>65127</v>
      </c>
      <c r="ZR84" s="1" t="s">
        <v>65128</v>
      </c>
      <c r="ZS84" s="1" t="s">
        <v>65129</v>
      </c>
      <c r="ZT84" s="1" t="s">
        <v>65130</v>
      </c>
      <c r="ZU84" s="1" t="s">
        <v>65131</v>
      </c>
      <c r="ZV84" s="1" t="s">
        <v>65132</v>
      </c>
      <c r="ZW84" s="1" t="s">
        <v>65133</v>
      </c>
      <c r="ZX84" s="1" t="s">
        <v>65134</v>
      </c>
      <c r="ZY84" s="1" t="s">
        <v>65135</v>
      </c>
      <c r="ZZ84" s="1" t="s">
        <v>65136</v>
      </c>
      <c r="AAA84" s="1" t="s">
        <v>65137</v>
      </c>
      <c r="AAB84" s="1" t="s">
        <v>65138</v>
      </c>
      <c r="AAC84" s="1" t="s">
        <v>65139</v>
      </c>
      <c r="AAD84" s="1" t="s">
        <v>65140</v>
      </c>
      <c r="AAE84" s="1" t="s">
        <v>65141</v>
      </c>
      <c r="AAF84" s="1" t="s">
        <v>65142</v>
      </c>
      <c r="AAG84" s="1" t="s">
        <v>65143</v>
      </c>
      <c r="AAH84" s="1" t="s">
        <v>65144</v>
      </c>
      <c r="AAI84" s="1" t="s">
        <v>65145</v>
      </c>
      <c r="AAJ84" s="1" t="s">
        <v>65146</v>
      </c>
      <c r="AAK84" s="1" t="s">
        <v>65147</v>
      </c>
      <c r="AAL84" s="1" t="s">
        <v>65148</v>
      </c>
      <c r="AAM84" s="1" t="s">
        <v>65149</v>
      </c>
      <c r="AAN84" s="1" t="s">
        <v>65150</v>
      </c>
      <c r="AAO84" s="1" t="s">
        <v>65151</v>
      </c>
      <c r="AAP84" s="1" t="s">
        <v>65152</v>
      </c>
      <c r="AAQ84" s="1" t="s">
        <v>65153</v>
      </c>
      <c r="AAR84" s="1" t="s">
        <v>65154</v>
      </c>
      <c r="AAS84" s="1" t="s">
        <v>65155</v>
      </c>
      <c r="AAT84" s="1" t="s">
        <v>65156</v>
      </c>
      <c r="AAU84" s="1" t="s">
        <v>65157</v>
      </c>
      <c r="AAV84" s="1" t="s">
        <v>65158</v>
      </c>
      <c r="AAW84" s="1" t="s">
        <v>65159</v>
      </c>
      <c r="AAX84" s="1" t="s">
        <v>65160</v>
      </c>
      <c r="AAY84" s="1" t="s">
        <v>65161</v>
      </c>
      <c r="AAZ84" s="1" t="s">
        <v>65162</v>
      </c>
      <c r="ABA84" s="1" t="s">
        <v>65163</v>
      </c>
      <c r="ABB84" s="1" t="s">
        <v>65164</v>
      </c>
      <c r="ABC84" s="1" t="s">
        <v>65165</v>
      </c>
      <c r="ABD84" s="1" t="s">
        <v>65166</v>
      </c>
      <c r="ABE84" s="1" t="s">
        <v>65167</v>
      </c>
      <c r="ABF84" s="1" t="s">
        <v>65168</v>
      </c>
      <c r="ABG84" s="1" t="s">
        <v>65169</v>
      </c>
      <c r="ABH84" s="1" t="s">
        <v>65170</v>
      </c>
      <c r="ABI84" s="1" t="s">
        <v>65171</v>
      </c>
      <c r="ABJ84" s="1" t="s">
        <v>65172</v>
      </c>
      <c r="ABK84" s="1" t="s">
        <v>65173</v>
      </c>
      <c r="ABL84" s="1" t="s">
        <v>65174</v>
      </c>
      <c r="ABM84" s="1" t="s">
        <v>65175</v>
      </c>
      <c r="ABN84" s="1" t="s">
        <v>65176</v>
      </c>
      <c r="ABO84" s="1" t="s">
        <v>65177</v>
      </c>
      <c r="ABP84" s="1" t="s">
        <v>65178</v>
      </c>
      <c r="ABQ84" s="1" t="s">
        <v>65179</v>
      </c>
      <c r="ABR84" s="1" t="s">
        <v>65180</v>
      </c>
      <c r="ABS84" s="1" t="s">
        <v>65181</v>
      </c>
      <c r="ABT84" s="1" t="s">
        <v>65182</v>
      </c>
      <c r="ABU84" s="1" t="s">
        <v>65183</v>
      </c>
      <c r="ABV84" s="1" t="s">
        <v>65184</v>
      </c>
      <c r="ABW84" s="1" t="s">
        <v>65185</v>
      </c>
      <c r="ABX84" s="1" t="s">
        <v>65186</v>
      </c>
      <c r="ABY84" s="1" t="s">
        <v>65187</v>
      </c>
      <c r="ABZ84" s="1" t="s">
        <v>65188</v>
      </c>
      <c r="ACA84" s="1" t="s">
        <v>65189</v>
      </c>
      <c r="ACB84" s="1" t="s">
        <v>65190</v>
      </c>
      <c r="ACC84" s="1" t="s">
        <v>65191</v>
      </c>
      <c r="ACD84" s="1" t="s">
        <v>65192</v>
      </c>
      <c r="ACE84" s="1" t="s">
        <v>65193</v>
      </c>
      <c r="ACF84" s="1" t="s">
        <v>65194</v>
      </c>
      <c r="ACG84" s="1" t="s">
        <v>65195</v>
      </c>
      <c r="ACH84" s="1" t="s">
        <v>65196</v>
      </c>
      <c r="ACI84" s="1" t="s">
        <v>65197</v>
      </c>
      <c r="ACJ84" s="1" t="s">
        <v>65198</v>
      </c>
      <c r="ACK84" s="1" t="s">
        <v>65199</v>
      </c>
      <c r="ACL84" s="1" t="s">
        <v>65200</v>
      </c>
      <c r="ACM84" s="1" t="s">
        <v>65201</v>
      </c>
      <c r="ACN84" s="1" t="s">
        <v>65202</v>
      </c>
      <c r="ACO84" s="1" t="s">
        <v>65203</v>
      </c>
      <c r="ACP84" s="1" t="s">
        <v>65204</v>
      </c>
      <c r="ACQ84" s="1" t="s">
        <v>65205</v>
      </c>
      <c r="ACR84" s="1" t="s">
        <v>65206</v>
      </c>
      <c r="ACS84" s="1" t="s">
        <v>65207</v>
      </c>
      <c r="ACT84" s="1" t="s">
        <v>65208</v>
      </c>
      <c r="ACU84" s="1" t="s">
        <v>65209</v>
      </c>
      <c r="ACV84" s="1" t="s">
        <v>65210</v>
      </c>
      <c r="ACW84" s="1" t="s">
        <v>23</v>
      </c>
      <c r="ACX84" s="1" t="s">
        <v>6310</v>
      </c>
    </row>
    <row r="85" spans="1:778" x14ac:dyDescent="0.2">
      <c r="A85" s="1" t="s">
        <v>7</v>
      </c>
      <c r="B85" s="1" t="s">
        <v>65211</v>
      </c>
      <c r="C85" s="1" t="s">
        <v>65212</v>
      </c>
      <c r="D85" s="1" t="s">
        <v>65213</v>
      </c>
      <c r="E85" s="1" t="s">
        <v>65214</v>
      </c>
      <c r="F85" s="1" t="s">
        <v>65215</v>
      </c>
      <c r="G85" s="1" t="s">
        <v>65216</v>
      </c>
      <c r="H85" s="1" t="s">
        <v>65217</v>
      </c>
      <c r="I85" s="1" t="s">
        <v>65218</v>
      </c>
      <c r="J85" s="1" t="s">
        <v>65219</v>
      </c>
      <c r="K85" s="1" t="s">
        <v>65220</v>
      </c>
      <c r="L85" s="1" t="s">
        <v>65221</v>
      </c>
      <c r="M85" s="1" t="s">
        <v>65222</v>
      </c>
      <c r="N85" s="1" t="s">
        <v>65223</v>
      </c>
      <c r="O85" s="1" t="s">
        <v>65224</v>
      </c>
      <c r="P85" s="1" t="s">
        <v>65225</v>
      </c>
      <c r="Q85" s="1" t="s">
        <v>65226</v>
      </c>
      <c r="R85" s="1" t="s">
        <v>65227</v>
      </c>
      <c r="S85" s="1" t="s">
        <v>65228</v>
      </c>
      <c r="T85" s="1" t="s">
        <v>65229</v>
      </c>
      <c r="U85" s="1" t="s">
        <v>65230</v>
      </c>
      <c r="V85" s="1" t="s">
        <v>65231</v>
      </c>
      <c r="W85" s="1" t="s">
        <v>65232</v>
      </c>
      <c r="X85" s="1" t="s">
        <v>65233</v>
      </c>
      <c r="Y85" s="1" t="s">
        <v>65234</v>
      </c>
      <c r="Z85" s="1" t="s">
        <v>65235</v>
      </c>
      <c r="AA85" s="1" t="s">
        <v>65236</v>
      </c>
      <c r="AB85" s="1" t="s">
        <v>65237</v>
      </c>
      <c r="AC85" s="1" t="s">
        <v>65238</v>
      </c>
      <c r="AD85" s="1" t="s">
        <v>65239</v>
      </c>
      <c r="AE85" s="1" t="s">
        <v>65240</v>
      </c>
      <c r="AF85" s="1" t="s">
        <v>65241</v>
      </c>
      <c r="AG85" s="1" t="s">
        <v>65242</v>
      </c>
      <c r="AH85" s="1" t="s">
        <v>65243</v>
      </c>
      <c r="AI85" s="1" t="s">
        <v>65244</v>
      </c>
      <c r="AJ85" s="1" t="s">
        <v>65245</v>
      </c>
      <c r="AK85" s="1" t="s">
        <v>65246</v>
      </c>
      <c r="AL85" s="1" t="s">
        <v>65247</v>
      </c>
      <c r="AM85" s="1" t="s">
        <v>65248</v>
      </c>
      <c r="AN85" s="1" t="s">
        <v>65249</v>
      </c>
      <c r="AO85" s="1" t="s">
        <v>65250</v>
      </c>
      <c r="AP85" s="1" t="s">
        <v>65251</v>
      </c>
      <c r="AQ85" s="1" t="s">
        <v>65252</v>
      </c>
      <c r="AR85" s="1" t="s">
        <v>65253</v>
      </c>
      <c r="AS85" s="1" t="s">
        <v>65254</v>
      </c>
      <c r="AT85" s="1" t="s">
        <v>65255</v>
      </c>
      <c r="AU85" s="1" t="s">
        <v>65256</v>
      </c>
      <c r="AV85" s="1" t="s">
        <v>65257</v>
      </c>
      <c r="AW85" s="1" t="s">
        <v>65258</v>
      </c>
      <c r="AX85" s="1" t="s">
        <v>65259</v>
      </c>
      <c r="AY85" s="1" t="s">
        <v>65260</v>
      </c>
      <c r="AZ85" s="1" t="s">
        <v>65261</v>
      </c>
      <c r="BA85" s="1" t="s">
        <v>65262</v>
      </c>
      <c r="BB85" s="1" t="s">
        <v>65263</v>
      </c>
      <c r="BC85" s="1" t="s">
        <v>65264</v>
      </c>
      <c r="BD85" s="1" t="s">
        <v>65265</v>
      </c>
      <c r="BE85" s="1" t="s">
        <v>65266</v>
      </c>
      <c r="BF85" s="1" t="s">
        <v>65267</v>
      </c>
      <c r="BG85" s="1" t="s">
        <v>65268</v>
      </c>
      <c r="BH85" s="1" t="s">
        <v>65269</v>
      </c>
      <c r="BI85" s="1" t="s">
        <v>65270</v>
      </c>
      <c r="BJ85" s="1" t="s">
        <v>65271</v>
      </c>
      <c r="BK85" s="1" t="s">
        <v>65272</v>
      </c>
      <c r="BL85" s="1" t="s">
        <v>65273</v>
      </c>
      <c r="BM85" s="1" t="s">
        <v>65274</v>
      </c>
      <c r="BN85" s="1" t="s">
        <v>65275</v>
      </c>
      <c r="BO85" s="1" t="s">
        <v>65276</v>
      </c>
      <c r="BP85" s="1" t="s">
        <v>65277</v>
      </c>
      <c r="BQ85" s="1" t="s">
        <v>65278</v>
      </c>
      <c r="BR85" s="1" t="s">
        <v>65279</v>
      </c>
      <c r="BS85" s="1" t="s">
        <v>65280</v>
      </c>
      <c r="BT85" s="1" t="s">
        <v>65281</v>
      </c>
      <c r="BU85" s="1" t="s">
        <v>65282</v>
      </c>
      <c r="BV85" s="1" t="s">
        <v>65283</v>
      </c>
      <c r="BW85" s="1" t="s">
        <v>65284</v>
      </c>
      <c r="BX85" s="1" t="s">
        <v>65285</v>
      </c>
      <c r="BY85" s="1" t="s">
        <v>65286</v>
      </c>
      <c r="BZ85" s="1" t="s">
        <v>65287</v>
      </c>
      <c r="CA85" s="1" t="s">
        <v>65288</v>
      </c>
      <c r="CB85" s="1" t="s">
        <v>65289</v>
      </c>
      <c r="CC85" s="1" t="s">
        <v>65290</v>
      </c>
      <c r="CD85" s="1" t="s">
        <v>65291</v>
      </c>
      <c r="CE85" s="1" t="s">
        <v>65292</v>
      </c>
      <c r="CF85" s="1" t="s">
        <v>65293</v>
      </c>
      <c r="CG85" s="1" t="s">
        <v>65294</v>
      </c>
      <c r="CH85" s="1" t="s">
        <v>65295</v>
      </c>
      <c r="CI85" s="1" t="s">
        <v>65296</v>
      </c>
      <c r="CJ85" s="1" t="s">
        <v>65297</v>
      </c>
      <c r="CK85" s="1" t="s">
        <v>65298</v>
      </c>
      <c r="CL85" s="1" t="s">
        <v>65299</v>
      </c>
      <c r="CM85" s="1" t="s">
        <v>65300</v>
      </c>
      <c r="CN85" s="1" t="s">
        <v>65301</v>
      </c>
      <c r="CO85" s="1" t="s">
        <v>65302</v>
      </c>
      <c r="CP85" s="1" t="s">
        <v>65303</v>
      </c>
      <c r="CQ85" s="1" t="s">
        <v>65304</v>
      </c>
      <c r="CR85" s="1" t="s">
        <v>65305</v>
      </c>
      <c r="CS85" s="1" t="s">
        <v>65306</v>
      </c>
      <c r="CT85" s="1" t="s">
        <v>65307</v>
      </c>
      <c r="CU85" s="1" t="s">
        <v>65308</v>
      </c>
      <c r="CV85" s="1" t="s">
        <v>65309</v>
      </c>
      <c r="CW85" s="1" t="s">
        <v>65310</v>
      </c>
      <c r="CX85" s="1" t="s">
        <v>65311</v>
      </c>
      <c r="CY85" s="1" t="s">
        <v>65312</v>
      </c>
      <c r="CZ85" s="1" t="s">
        <v>65313</v>
      </c>
      <c r="DA85" s="1" t="s">
        <v>65314</v>
      </c>
      <c r="DB85" s="1" t="s">
        <v>65315</v>
      </c>
      <c r="DC85" s="1" t="s">
        <v>65316</v>
      </c>
      <c r="DD85" s="1" t="s">
        <v>65317</v>
      </c>
      <c r="DE85" s="1" t="s">
        <v>65318</v>
      </c>
      <c r="DF85" s="1" t="s">
        <v>65319</v>
      </c>
      <c r="DG85" s="1" t="s">
        <v>65320</v>
      </c>
      <c r="DH85" s="1" t="s">
        <v>65321</v>
      </c>
      <c r="DI85" s="1" t="s">
        <v>65322</v>
      </c>
      <c r="DJ85" s="1" t="s">
        <v>65323</v>
      </c>
      <c r="DK85" s="1" t="s">
        <v>65324</v>
      </c>
      <c r="DL85" s="1" t="s">
        <v>65325</v>
      </c>
      <c r="DM85" s="1" t="s">
        <v>65326</v>
      </c>
      <c r="DN85" s="1" t="s">
        <v>65327</v>
      </c>
      <c r="DO85" s="1" t="s">
        <v>65328</v>
      </c>
      <c r="DP85" s="1" t="s">
        <v>65329</v>
      </c>
      <c r="DQ85" s="1" t="s">
        <v>65330</v>
      </c>
      <c r="DR85" s="1" t="s">
        <v>65331</v>
      </c>
      <c r="DS85" s="1" t="s">
        <v>65332</v>
      </c>
      <c r="DT85" s="1" t="s">
        <v>65333</v>
      </c>
      <c r="DU85" s="1" t="s">
        <v>65334</v>
      </c>
      <c r="DV85" s="1" t="s">
        <v>65335</v>
      </c>
      <c r="DW85" s="1" t="s">
        <v>65336</v>
      </c>
      <c r="DX85" s="1" t="s">
        <v>65337</v>
      </c>
      <c r="DY85" s="1" t="s">
        <v>65338</v>
      </c>
      <c r="DZ85" s="1" t="s">
        <v>65339</v>
      </c>
      <c r="EA85" s="1" t="s">
        <v>65340</v>
      </c>
      <c r="EB85" s="1" t="s">
        <v>65341</v>
      </c>
      <c r="EC85" s="1" t="s">
        <v>65342</v>
      </c>
      <c r="ED85" s="1" t="s">
        <v>65343</v>
      </c>
      <c r="EE85" s="1" t="s">
        <v>65344</v>
      </c>
      <c r="EF85" s="1" t="s">
        <v>65345</v>
      </c>
      <c r="EG85" s="1" t="s">
        <v>65346</v>
      </c>
      <c r="EH85" s="1" t="s">
        <v>65347</v>
      </c>
      <c r="EI85" s="1" t="s">
        <v>65348</v>
      </c>
      <c r="EJ85" s="1" t="s">
        <v>65349</v>
      </c>
      <c r="EK85" s="1" t="s">
        <v>65350</v>
      </c>
      <c r="EL85" s="1" t="s">
        <v>65351</v>
      </c>
      <c r="EM85" s="1" t="s">
        <v>65352</v>
      </c>
      <c r="EN85" s="1" t="s">
        <v>65353</v>
      </c>
      <c r="EO85" s="1" t="s">
        <v>65354</v>
      </c>
      <c r="EP85" s="1" t="s">
        <v>65355</v>
      </c>
      <c r="EQ85" s="1" t="s">
        <v>65356</v>
      </c>
      <c r="ER85" s="1" t="s">
        <v>65357</v>
      </c>
      <c r="ES85" s="1" t="s">
        <v>65358</v>
      </c>
      <c r="ET85" s="1" t="s">
        <v>65359</v>
      </c>
      <c r="EU85" s="1" t="s">
        <v>65360</v>
      </c>
      <c r="EV85" s="1" t="s">
        <v>65361</v>
      </c>
      <c r="EW85" s="1" t="s">
        <v>65362</v>
      </c>
      <c r="EX85" s="1" t="s">
        <v>65363</v>
      </c>
      <c r="EY85" s="1" t="s">
        <v>65364</v>
      </c>
      <c r="EZ85" s="1" t="s">
        <v>65365</v>
      </c>
      <c r="FA85" s="1" t="s">
        <v>65366</v>
      </c>
      <c r="FB85" s="1" t="s">
        <v>65367</v>
      </c>
      <c r="FC85" s="1" t="s">
        <v>65368</v>
      </c>
      <c r="FD85" s="1" t="s">
        <v>65369</v>
      </c>
      <c r="FE85" s="1" t="s">
        <v>65370</v>
      </c>
      <c r="FF85" s="1" t="s">
        <v>65371</v>
      </c>
      <c r="FG85" s="1" t="s">
        <v>65372</v>
      </c>
      <c r="FH85" s="1" t="s">
        <v>65373</v>
      </c>
      <c r="FI85" s="1" t="s">
        <v>65374</v>
      </c>
      <c r="FJ85" s="1" t="s">
        <v>65375</v>
      </c>
      <c r="FK85" s="1" t="s">
        <v>65376</v>
      </c>
      <c r="FL85" s="1" t="s">
        <v>65377</v>
      </c>
      <c r="FM85" s="1" t="s">
        <v>65378</v>
      </c>
      <c r="FN85" s="1" t="s">
        <v>65379</v>
      </c>
      <c r="FO85" s="1" t="s">
        <v>65380</v>
      </c>
      <c r="FP85" s="1" t="s">
        <v>65381</v>
      </c>
      <c r="FQ85" s="1" t="s">
        <v>65382</v>
      </c>
      <c r="FR85" s="1" t="s">
        <v>65383</v>
      </c>
      <c r="FS85" s="1" t="s">
        <v>65384</v>
      </c>
      <c r="FT85" s="1" t="s">
        <v>65385</v>
      </c>
      <c r="FU85" s="1" t="s">
        <v>65386</v>
      </c>
      <c r="FV85" s="1" t="s">
        <v>65387</v>
      </c>
      <c r="FW85" s="1" t="s">
        <v>65388</v>
      </c>
      <c r="FX85" s="1" t="s">
        <v>65389</v>
      </c>
      <c r="FY85" s="1" t="s">
        <v>65390</v>
      </c>
      <c r="FZ85" s="1" t="s">
        <v>65391</v>
      </c>
      <c r="GA85" s="1" t="s">
        <v>65392</v>
      </c>
      <c r="GB85" s="1" t="s">
        <v>65393</v>
      </c>
      <c r="GC85" s="1" t="s">
        <v>65394</v>
      </c>
      <c r="GD85" s="1" t="s">
        <v>65395</v>
      </c>
      <c r="GE85" s="1" t="s">
        <v>65396</v>
      </c>
      <c r="GF85" s="1" t="s">
        <v>65397</v>
      </c>
      <c r="GG85" s="1" t="s">
        <v>65398</v>
      </c>
      <c r="GH85" s="1" t="s">
        <v>65399</v>
      </c>
      <c r="GI85" s="1" t="s">
        <v>65400</v>
      </c>
      <c r="GJ85" s="1" t="s">
        <v>65401</v>
      </c>
      <c r="GK85" s="1" t="s">
        <v>65402</v>
      </c>
      <c r="GL85" s="1" t="s">
        <v>65403</v>
      </c>
      <c r="GM85" s="1" t="s">
        <v>65404</v>
      </c>
      <c r="GN85" s="1" t="s">
        <v>65405</v>
      </c>
      <c r="GO85" s="1" t="s">
        <v>65406</v>
      </c>
      <c r="GP85" s="1" t="s">
        <v>65407</v>
      </c>
      <c r="GQ85" s="1" t="s">
        <v>65408</v>
      </c>
      <c r="GR85" s="1" t="s">
        <v>65409</v>
      </c>
      <c r="GS85" s="1" t="s">
        <v>65410</v>
      </c>
      <c r="GT85" s="1" t="s">
        <v>65411</v>
      </c>
      <c r="GU85" s="1" t="s">
        <v>65412</v>
      </c>
      <c r="GV85" s="1" t="s">
        <v>65413</v>
      </c>
      <c r="GW85" s="1" t="s">
        <v>65414</v>
      </c>
      <c r="GX85" s="1" t="s">
        <v>65415</v>
      </c>
      <c r="GY85" s="1" t="s">
        <v>65416</v>
      </c>
      <c r="GZ85" s="1" t="s">
        <v>65417</v>
      </c>
      <c r="HA85" s="1" t="s">
        <v>65418</v>
      </c>
      <c r="HB85" s="1" t="s">
        <v>65419</v>
      </c>
      <c r="HC85" s="1" t="s">
        <v>65420</v>
      </c>
      <c r="HD85" s="1" t="s">
        <v>65421</v>
      </c>
      <c r="HE85" s="1" t="s">
        <v>65422</v>
      </c>
      <c r="HF85" s="1" t="s">
        <v>65423</v>
      </c>
      <c r="HG85" s="1" t="s">
        <v>65424</v>
      </c>
      <c r="HH85" s="1" t="s">
        <v>65425</v>
      </c>
      <c r="HI85" s="1" t="s">
        <v>65426</v>
      </c>
      <c r="HJ85" s="1" t="s">
        <v>65427</v>
      </c>
      <c r="HK85" s="1" t="s">
        <v>65428</v>
      </c>
      <c r="HL85" s="1" t="s">
        <v>65429</v>
      </c>
      <c r="HM85" s="1" t="s">
        <v>65430</v>
      </c>
      <c r="HN85" s="1" t="s">
        <v>65431</v>
      </c>
      <c r="HO85" s="1" t="s">
        <v>65432</v>
      </c>
      <c r="HP85" s="1" t="s">
        <v>65433</v>
      </c>
      <c r="HQ85" s="1" t="s">
        <v>65434</v>
      </c>
      <c r="HR85" s="1" t="s">
        <v>65435</v>
      </c>
      <c r="HS85" s="1" t="s">
        <v>65436</v>
      </c>
      <c r="HT85" s="1" t="s">
        <v>65437</v>
      </c>
      <c r="HU85" s="1" t="s">
        <v>65438</v>
      </c>
      <c r="HV85" s="1" t="s">
        <v>65439</v>
      </c>
      <c r="HW85" s="1" t="s">
        <v>65440</v>
      </c>
      <c r="HX85" s="1" t="s">
        <v>65441</v>
      </c>
      <c r="HY85" s="1" t="s">
        <v>65442</v>
      </c>
      <c r="HZ85" s="1" t="s">
        <v>65443</v>
      </c>
      <c r="IA85" s="1" t="s">
        <v>65444</v>
      </c>
      <c r="IB85" s="1" t="s">
        <v>65445</v>
      </c>
      <c r="IC85" s="1" t="s">
        <v>65446</v>
      </c>
      <c r="ID85" s="1" t="s">
        <v>65447</v>
      </c>
      <c r="IE85" s="1" t="s">
        <v>65448</v>
      </c>
      <c r="IF85" s="1" t="s">
        <v>65449</v>
      </c>
      <c r="IG85" s="1" t="s">
        <v>65450</v>
      </c>
      <c r="IH85" s="1" t="s">
        <v>65451</v>
      </c>
      <c r="II85" s="1" t="s">
        <v>65452</v>
      </c>
      <c r="IJ85" s="1" t="s">
        <v>65453</v>
      </c>
      <c r="IK85" s="1" t="s">
        <v>65454</v>
      </c>
      <c r="IL85" s="1" t="s">
        <v>65455</v>
      </c>
      <c r="IM85" s="1" t="s">
        <v>65456</v>
      </c>
      <c r="IN85" s="1" t="s">
        <v>65457</v>
      </c>
      <c r="IO85" s="1" t="s">
        <v>65458</v>
      </c>
      <c r="IP85" s="1" t="s">
        <v>65459</v>
      </c>
      <c r="IQ85" s="1" t="s">
        <v>65460</v>
      </c>
      <c r="IR85" s="1" t="s">
        <v>65461</v>
      </c>
      <c r="IS85" s="1" t="s">
        <v>65462</v>
      </c>
      <c r="IT85" s="1" t="s">
        <v>65463</v>
      </c>
      <c r="IU85" s="1" t="s">
        <v>65464</v>
      </c>
      <c r="IV85" s="1" t="s">
        <v>65465</v>
      </c>
      <c r="IW85" s="1" t="s">
        <v>65466</v>
      </c>
      <c r="IX85" s="1" t="s">
        <v>65467</v>
      </c>
      <c r="IY85" s="1" t="s">
        <v>65468</v>
      </c>
      <c r="IZ85" s="1" t="s">
        <v>65469</v>
      </c>
      <c r="JA85" s="1" t="s">
        <v>65470</v>
      </c>
      <c r="JB85" s="1" t="s">
        <v>65471</v>
      </c>
      <c r="JC85" s="1" t="s">
        <v>65472</v>
      </c>
      <c r="JD85" s="1" t="s">
        <v>65473</v>
      </c>
      <c r="JE85" s="1" t="s">
        <v>65474</v>
      </c>
      <c r="JF85" s="1" t="s">
        <v>65475</v>
      </c>
      <c r="JG85" s="1" t="s">
        <v>65476</v>
      </c>
      <c r="JH85" s="1" t="s">
        <v>65477</v>
      </c>
      <c r="JI85" s="1" t="s">
        <v>65478</v>
      </c>
      <c r="JJ85" s="1" t="s">
        <v>65479</v>
      </c>
      <c r="JK85" s="1" t="s">
        <v>65480</v>
      </c>
      <c r="JL85" s="1" t="s">
        <v>65481</v>
      </c>
      <c r="JM85" s="1" t="s">
        <v>65482</v>
      </c>
      <c r="JN85" s="1" t="s">
        <v>65483</v>
      </c>
      <c r="JO85" s="1" t="s">
        <v>65484</v>
      </c>
      <c r="JP85" s="1" t="s">
        <v>65485</v>
      </c>
      <c r="JQ85" s="1" t="s">
        <v>65486</v>
      </c>
      <c r="JR85" s="1" t="s">
        <v>65487</v>
      </c>
      <c r="JS85" s="1" t="s">
        <v>65488</v>
      </c>
      <c r="JT85" s="1" t="s">
        <v>65489</v>
      </c>
      <c r="JU85" s="1" t="s">
        <v>65490</v>
      </c>
      <c r="JV85" s="1" t="s">
        <v>65491</v>
      </c>
      <c r="JW85" s="1" t="s">
        <v>65492</v>
      </c>
      <c r="JX85" s="1" t="s">
        <v>65493</v>
      </c>
      <c r="JY85" s="1" t="s">
        <v>65494</v>
      </c>
      <c r="JZ85" s="1" t="s">
        <v>65495</v>
      </c>
      <c r="KA85" s="1" t="s">
        <v>65496</v>
      </c>
      <c r="KB85" s="1" t="s">
        <v>65497</v>
      </c>
      <c r="KC85" s="1" t="s">
        <v>65498</v>
      </c>
      <c r="KD85" s="1" t="s">
        <v>65499</v>
      </c>
      <c r="KE85" s="1" t="s">
        <v>65500</v>
      </c>
      <c r="KF85" s="1" t="s">
        <v>65501</v>
      </c>
      <c r="KG85" s="1" t="s">
        <v>65502</v>
      </c>
      <c r="KH85" s="1" t="s">
        <v>65503</v>
      </c>
      <c r="KI85" s="1" t="s">
        <v>65504</v>
      </c>
      <c r="KJ85" s="1" t="s">
        <v>65505</v>
      </c>
      <c r="KK85" s="1" t="s">
        <v>65506</v>
      </c>
      <c r="KL85" s="1" t="s">
        <v>65507</v>
      </c>
      <c r="KM85" s="1" t="s">
        <v>65508</v>
      </c>
      <c r="KN85" s="1" t="s">
        <v>65509</v>
      </c>
      <c r="KO85" s="1" t="s">
        <v>65510</v>
      </c>
      <c r="KP85" s="1" t="s">
        <v>65511</v>
      </c>
      <c r="KQ85" s="1" t="s">
        <v>65512</v>
      </c>
      <c r="KR85" s="1" t="s">
        <v>65513</v>
      </c>
      <c r="KS85" s="1" t="s">
        <v>65514</v>
      </c>
      <c r="KT85" s="1" t="s">
        <v>65515</v>
      </c>
      <c r="KU85" s="1" t="s">
        <v>65516</v>
      </c>
      <c r="KV85" s="1" t="s">
        <v>65517</v>
      </c>
      <c r="KW85" s="1" t="s">
        <v>65518</v>
      </c>
      <c r="KX85" s="1" t="s">
        <v>65519</v>
      </c>
      <c r="KY85" s="1" t="s">
        <v>65520</v>
      </c>
      <c r="KZ85" s="1" t="s">
        <v>65521</v>
      </c>
      <c r="LA85" s="1" t="s">
        <v>65522</v>
      </c>
      <c r="LB85" s="1" t="s">
        <v>65523</v>
      </c>
      <c r="LC85" s="1" t="s">
        <v>65524</v>
      </c>
      <c r="LD85" s="1" t="s">
        <v>65525</v>
      </c>
      <c r="LE85" s="1" t="s">
        <v>65526</v>
      </c>
      <c r="LF85" s="1" t="s">
        <v>65527</v>
      </c>
      <c r="LG85" s="1" t="s">
        <v>65528</v>
      </c>
      <c r="LH85" s="1" t="s">
        <v>65529</v>
      </c>
      <c r="LI85" s="1" t="s">
        <v>65530</v>
      </c>
      <c r="LJ85" s="1" t="s">
        <v>65531</v>
      </c>
      <c r="LK85" s="1" t="s">
        <v>65532</v>
      </c>
      <c r="LL85" s="1" t="s">
        <v>65533</v>
      </c>
      <c r="LM85" s="1" t="s">
        <v>65534</v>
      </c>
      <c r="LN85" s="1" t="s">
        <v>65535</v>
      </c>
      <c r="LO85" s="1" t="s">
        <v>65536</v>
      </c>
      <c r="LP85" s="1" t="s">
        <v>65537</v>
      </c>
      <c r="LQ85" s="1" t="s">
        <v>65538</v>
      </c>
      <c r="LR85" s="1" t="s">
        <v>65539</v>
      </c>
      <c r="LS85" s="1" t="s">
        <v>65540</v>
      </c>
      <c r="LT85" s="1" t="s">
        <v>65541</v>
      </c>
      <c r="LU85" s="1" t="s">
        <v>65542</v>
      </c>
      <c r="LV85" s="1" t="s">
        <v>65543</v>
      </c>
      <c r="LW85" s="1" t="s">
        <v>65544</v>
      </c>
      <c r="LX85" s="1" t="s">
        <v>65545</v>
      </c>
      <c r="LY85" s="1" t="s">
        <v>65546</v>
      </c>
      <c r="LZ85" s="1" t="s">
        <v>65547</v>
      </c>
      <c r="MA85" s="1" t="s">
        <v>65548</v>
      </c>
      <c r="MB85" s="1" t="s">
        <v>65549</v>
      </c>
      <c r="MC85" s="1" t="s">
        <v>65550</v>
      </c>
      <c r="MD85" s="1" t="s">
        <v>65551</v>
      </c>
      <c r="ME85" s="1" t="s">
        <v>65552</v>
      </c>
      <c r="MF85" s="1" t="s">
        <v>65553</v>
      </c>
      <c r="MG85" s="1" t="s">
        <v>65554</v>
      </c>
      <c r="MH85" s="1" t="s">
        <v>65555</v>
      </c>
      <c r="MI85" s="1" t="s">
        <v>65556</v>
      </c>
      <c r="MJ85" s="1" t="s">
        <v>65557</v>
      </c>
      <c r="MK85" s="1" t="s">
        <v>65558</v>
      </c>
      <c r="ML85" s="1" t="s">
        <v>65559</v>
      </c>
      <c r="MM85" s="1" t="s">
        <v>65560</v>
      </c>
      <c r="MN85" s="1" t="s">
        <v>65561</v>
      </c>
      <c r="MO85" s="1" t="s">
        <v>65562</v>
      </c>
      <c r="MP85" s="1" t="s">
        <v>65563</v>
      </c>
      <c r="MQ85" s="1" t="s">
        <v>65564</v>
      </c>
      <c r="MR85" s="1" t="s">
        <v>65565</v>
      </c>
      <c r="MS85" s="1" t="s">
        <v>65566</v>
      </c>
      <c r="MT85" s="1" t="s">
        <v>65567</v>
      </c>
      <c r="MU85" s="1" t="s">
        <v>65568</v>
      </c>
      <c r="MV85" s="1" t="s">
        <v>65569</v>
      </c>
      <c r="MW85" s="1" t="s">
        <v>65570</v>
      </c>
      <c r="MX85" s="1" t="s">
        <v>65571</v>
      </c>
      <c r="MY85" s="1" t="s">
        <v>65572</v>
      </c>
      <c r="MZ85" s="1" t="s">
        <v>65573</v>
      </c>
      <c r="NA85" s="1" t="s">
        <v>65574</v>
      </c>
      <c r="NB85" s="1" t="s">
        <v>65575</v>
      </c>
      <c r="NC85" s="1" t="s">
        <v>65576</v>
      </c>
      <c r="ND85" s="1" t="s">
        <v>65577</v>
      </c>
      <c r="NE85" s="1" t="s">
        <v>65578</v>
      </c>
      <c r="NF85" s="1" t="s">
        <v>65579</v>
      </c>
      <c r="NG85" s="1" t="s">
        <v>65580</v>
      </c>
      <c r="NH85" s="1" t="s">
        <v>65581</v>
      </c>
      <c r="NI85" s="1" t="s">
        <v>65582</v>
      </c>
      <c r="NJ85" s="1" t="s">
        <v>65583</v>
      </c>
      <c r="NK85" s="1" t="s">
        <v>65584</v>
      </c>
      <c r="NL85" s="1" t="s">
        <v>65585</v>
      </c>
      <c r="NM85" s="1" t="s">
        <v>65586</v>
      </c>
      <c r="NN85" s="1" t="s">
        <v>65587</v>
      </c>
      <c r="NO85" s="1" t="s">
        <v>65588</v>
      </c>
      <c r="NP85" s="1" t="s">
        <v>65589</v>
      </c>
      <c r="NQ85" s="1" t="s">
        <v>65590</v>
      </c>
      <c r="NR85" s="1" t="s">
        <v>65591</v>
      </c>
      <c r="NS85" s="1" t="s">
        <v>65592</v>
      </c>
      <c r="NT85" s="1" t="s">
        <v>65593</v>
      </c>
      <c r="NU85" s="1" t="s">
        <v>65594</v>
      </c>
      <c r="NV85" s="1" t="s">
        <v>65595</v>
      </c>
      <c r="NW85" s="1" t="s">
        <v>65596</v>
      </c>
      <c r="NX85" s="1" t="s">
        <v>65597</v>
      </c>
      <c r="NY85" s="1" t="s">
        <v>65598</v>
      </c>
      <c r="NZ85" s="1" t="s">
        <v>65599</v>
      </c>
      <c r="OA85" s="1" t="s">
        <v>65600</v>
      </c>
      <c r="OB85" s="1" t="s">
        <v>65601</v>
      </c>
      <c r="OC85" s="1" t="s">
        <v>65602</v>
      </c>
      <c r="OD85" s="1" t="s">
        <v>65603</v>
      </c>
      <c r="OE85" s="1" t="s">
        <v>65604</v>
      </c>
      <c r="OF85" s="1" t="s">
        <v>65605</v>
      </c>
      <c r="OG85" s="1" t="s">
        <v>65606</v>
      </c>
      <c r="OH85" s="1" t="s">
        <v>65607</v>
      </c>
      <c r="OI85" s="1" t="s">
        <v>65608</v>
      </c>
      <c r="OJ85" s="1" t="s">
        <v>65609</v>
      </c>
      <c r="OK85" s="1" t="s">
        <v>65610</v>
      </c>
      <c r="OL85" s="1" t="s">
        <v>65611</v>
      </c>
      <c r="OM85" s="1" t="s">
        <v>65612</v>
      </c>
      <c r="ON85" s="1" t="s">
        <v>65613</v>
      </c>
      <c r="OO85" s="1" t="s">
        <v>65614</v>
      </c>
      <c r="OP85" s="1" t="s">
        <v>65615</v>
      </c>
      <c r="OQ85" s="1" t="s">
        <v>65616</v>
      </c>
      <c r="OR85" s="1" t="s">
        <v>65617</v>
      </c>
      <c r="OS85" s="1" t="s">
        <v>65618</v>
      </c>
      <c r="OT85" s="1" t="s">
        <v>65619</v>
      </c>
      <c r="OU85" s="1" t="s">
        <v>65620</v>
      </c>
      <c r="OV85" s="1" t="s">
        <v>65621</v>
      </c>
      <c r="OW85" s="1" t="s">
        <v>65622</v>
      </c>
      <c r="OX85" s="1" t="s">
        <v>65623</v>
      </c>
      <c r="OY85" s="1" t="s">
        <v>65624</v>
      </c>
      <c r="OZ85" s="1" t="s">
        <v>65625</v>
      </c>
      <c r="PA85" s="1" t="s">
        <v>65626</v>
      </c>
      <c r="PB85" s="1" t="s">
        <v>65627</v>
      </c>
      <c r="PC85" s="1" t="s">
        <v>65628</v>
      </c>
      <c r="PD85" s="1" t="s">
        <v>65629</v>
      </c>
      <c r="PE85" s="1" t="s">
        <v>65630</v>
      </c>
      <c r="PF85" s="1" t="s">
        <v>65631</v>
      </c>
      <c r="PG85" s="1" t="s">
        <v>65632</v>
      </c>
      <c r="PH85" s="1" t="s">
        <v>65633</v>
      </c>
      <c r="PI85" s="1" t="s">
        <v>65634</v>
      </c>
      <c r="PJ85" s="1" t="s">
        <v>65635</v>
      </c>
      <c r="PK85" s="1" t="s">
        <v>65636</v>
      </c>
      <c r="PL85" s="1" t="s">
        <v>65637</v>
      </c>
      <c r="PM85" s="1" t="s">
        <v>65638</v>
      </c>
      <c r="PN85" s="1" t="s">
        <v>65639</v>
      </c>
      <c r="PO85" s="1" t="s">
        <v>65640</v>
      </c>
      <c r="PP85" s="1" t="s">
        <v>65641</v>
      </c>
      <c r="PQ85" s="1" t="s">
        <v>65642</v>
      </c>
      <c r="PR85" s="1" t="s">
        <v>65643</v>
      </c>
      <c r="PS85" s="1" t="s">
        <v>65644</v>
      </c>
      <c r="PT85" s="1" t="s">
        <v>65645</v>
      </c>
      <c r="PU85" s="1" t="s">
        <v>65646</v>
      </c>
      <c r="PV85" s="1" t="s">
        <v>65647</v>
      </c>
      <c r="PW85" s="1" t="s">
        <v>65648</v>
      </c>
      <c r="PX85" s="1" t="s">
        <v>65649</v>
      </c>
      <c r="PY85" s="1" t="s">
        <v>65650</v>
      </c>
      <c r="PZ85" s="1" t="s">
        <v>65651</v>
      </c>
      <c r="QA85" s="1" t="s">
        <v>65652</v>
      </c>
      <c r="QB85" s="1" t="s">
        <v>65653</v>
      </c>
      <c r="QC85" s="1" t="s">
        <v>65654</v>
      </c>
      <c r="QD85" s="1" t="s">
        <v>65655</v>
      </c>
      <c r="QE85" s="1" t="s">
        <v>65656</v>
      </c>
      <c r="QF85" s="1" t="s">
        <v>65657</v>
      </c>
      <c r="QG85" s="1" t="s">
        <v>65658</v>
      </c>
      <c r="QH85" s="1" t="s">
        <v>65659</v>
      </c>
      <c r="QI85" s="1" t="s">
        <v>65660</v>
      </c>
      <c r="QJ85" s="1" t="s">
        <v>65661</v>
      </c>
      <c r="QK85" s="1" t="s">
        <v>65662</v>
      </c>
      <c r="QL85" s="1" t="s">
        <v>65663</v>
      </c>
      <c r="QM85" s="1" t="s">
        <v>65664</v>
      </c>
      <c r="QN85" s="1" t="s">
        <v>65665</v>
      </c>
      <c r="QO85" s="1" t="s">
        <v>65666</v>
      </c>
      <c r="QP85" s="1" t="s">
        <v>65667</v>
      </c>
      <c r="QQ85" s="1" t="s">
        <v>65668</v>
      </c>
      <c r="QR85" s="1" t="s">
        <v>65669</v>
      </c>
      <c r="QS85" s="1" t="s">
        <v>65670</v>
      </c>
      <c r="QT85" s="1" t="s">
        <v>65671</v>
      </c>
      <c r="QU85" s="1" t="s">
        <v>65672</v>
      </c>
      <c r="QV85" s="1" t="s">
        <v>65673</v>
      </c>
      <c r="QW85" s="1" t="s">
        <v>65674</v>
      </c>
      <c r="QX85" s="1" t="s">
        <v>65675</v>
      </c>
      <c r="QY85" s="1" t="s">
        <v>65676</v>
      </c>
      <c r="QZ85" s="1" t="s">
        <v>65677</v>
      </c>
      <c r="RA85" s="1" t="s">
        <v>65678</v>
      </c>
      <c r="RB85" s="1" t="s">
        <v>65679</v>
      </c>
      <c r="RC85" s="1" t="s">
        <v>65680</v>
      </c>
      <c r="RD85" s="1" t="s">
        <v>65681</v>
      </c>
      <c r="RE85" s="1" t="s">
        <v>65682</v>
      </c>
      <c r="RF85" s="1" t="s">
        <v>65683</v>
      </c>
      <c r="RG85" s="1" t="s">
        <v>65684</v>
      </c>
      <c r="RH85" s="1" t="s">
        <v>65685</v>
      </c>
      <c r="RI85" s="1" t="s">
        <v>65686</v>
      </c>
      <c r="RJ85" s="1" t="s">
        <v>65687</v>
      </c>
      <c r="RK85" s="1" t="s">
        <v>65688</v>
      </c>
      <c r="RL85" s="1" t="s">
        <v>65689</v>
      </c>
      <c r="RM85" s="1" t="s">
        <v>65690</v>
      </c>
      <c r="RN85" s="1" t="s">
        <v>65691</v>
      </c>
      <c r="RO85" s="1" t="s">
        <v>65692</v>
      </c>
      <c r="RP85" s="1" t="s">
        <v>65693</v>
      </c>
      <c r="RQ85" s="1" t="s">
        <v>65694</v>
      </c>
      <c r="RR85" s="1" t="s">
        <v>65695</v>
      </c>
      <c r="RS85" s="1" t="s">
        <v>65696</v>
      </c>
      <c r="RT85" s="1" t="s">
        <v>65697</v>
      </c>
      <c r="RU85" s="1" t="s">
        <v>65698</v>
      </c>
      <c r="RV85" s="1" t="s">
        <v>65699</v>
      </c>
      <c r="RW85" s="1" t="s">
        <v>65700</v>
      </c>
      <c r="RX85" s="1" t="s">
        <v>65701</v>
      </c>
      <c r="RY85" s="1" t="s">
        <v>65702</v>
      </c>
      <c r="RZ85" s="1" t="s">
        <v>65703</v>
      </c>
      <c r="SA85" s="1" t="s">
        <v>65704</v>
      </c>
      <c r="SB85" s="1" t="s">
        <v>65705</v>
      </c>
      <c r="SC85" s="1" t="s">
        <v>65706</v>
      </c>
      <c r="SD85" s="1" t="s">
        <v>65707</v>
      </c>
      <c r="SE85" s="1" t="s">
        <v>65708</v>
      </c>
      <c r="SF85" s="1" t="s">
        <v>65709</v>
      </c>
      <c r="SG85" s="1" t="s">
        <v>65710</v>
      </c>
      <c r="SH85" s="1" t="s">
        <v>65711</v>
      </c>
      <c r="SI85" s="1" t="s">
        <v>65712</v>
      </c>
      <c r="SJ85" s="1" t="s">
        <v>65713</v>
      </c>
      <c r="SK85" s="1" t="s">
        <v>65714</v>
      </c>
      <c r="SL85" s="1" t="s">
        <v>65715</v>
      </c>
      <c r="SM85" s="1" t="s">
        <v>65716</v>
      </c>
      <c r="SN85" s="1" t="s">
        <v>65717</v>
      </c>
      <c r="SO85" s="1" t="s">
        <v>65718</v>
      </c>
      <c r="SP85" s="1" t="s">
        <v>65719</v>
      </c>
      <c r="SQ85" s="1" t="s">
        <v>65720</v>
      </c>
      <c r="SR85" s="1" t="s">
        <v>65721</v>
      </c>
      <c r="SS85" s="1" t="s">
        <v>65722</v>
      </c>
      <c r="ST85" s="1" t="s">
        <v>65723</v>
      </c>
      <c r="SU85" s="1" t="s">
        <v>65724</v>
      </c>
      <c r="SV85" s="1" t="s">
        <v>65725</v>
      </c>
      <c r="SW85" s="1" t="s">
        <v>65726</v>
      </c>
      <c r="SX85" s="1" t="s">
        <v>65727</v>
      </c>
      <c r="SY85" s="1" t="s">
        <v>65728</v>
      </c>
      <c r="SZ85" s="1" t="s">
        <v>65729</v>
      </c>
      <c r="TA85" s="1" t="s">
        <v>65730</v>
      </c>
      <c r="TB85" s="1" t="s">
        <v>65731</v>
      </c>
      <c r="TC85" s="1" t="s">
        <v>65732</v>
      </c>
      <c r="TD85" s="1" t="s">
        <v>65733</v>
      </c>
      <c r="TE85" s="1" t="s">
        <v>65734</v>
      </c>
      <c r="TF85" s="1" t="s">
        <v>65735</v>
      </c>
      <c r="TG85" s="1" t="s">
        <v>65736</v>
      </c>
      <c r="TH85" s="1" t="s">
        <v>65737</v>
      </c>
      <c r="TI85" s="1" t="s">
        <v>65738</v>
      </c>
      <c r="TJ85" s="1" t="s">
        <v>65739</v>
      </c>
      <c r="TK85" s="1" t="s">
        <v>65740</v>
      </c>
      <c r="TL85" s="1" t="s">
        <v>65741</v>
      </c>
      <c r="TM85" s="1" t="s">
        <v>65742</v>
      </c>
      <c r="TN85" s="1" t="s">
        <v>65743</v>
      </c>
      <c r="TO85" s="1" t="s">
        <v>65744</v>
      </c>
      <c r="TP85" s="1" t="s">
        <v>65745</v>
      </c>
      <c r="TQ85" s="1" t="s">
        <v>65746</v>
      </c>
      <c r="TR85" s="1" t="s">
        <v>65747</v>
      </c>
      <c r="TS85" s="1" t="s">
        <v>65748</v>
      </c>
      <c r="TT85" s="1" t="s">
        <v>65749</v>
      </c>
      <c r="TU85" s="1" t="s">
        <v>65750</v>
      </c>
      <c r="TV85" s="1" t="s">
        <v>65751</v>
      </c>
      <c r="TW85" s="1" t="s">
        <v>65752</v>
      </c>
      <c r="TX85" s="1" t="s">
        <v>65753</v>
      </c>
      <c r="TY85" s="1" t="s">
        <v>65754</v>
      </c>
      <c r="TZ85" s="1" t="s">
        <v>65755</v>
      </c>
      <c r="UA85" s="1" t="s">
        <v>65756</v>
      </c>
      <c r="UB85" s="1" t="s">
        <v>65757</v>
      </c>
      <c r="UC85" s="1" t="s">
        <v>65758</v>
      </c>
      <c r="UD85" s="1" t="s">
        <v>65759</v>
      </c>
      <c r="UE85" s="1" t="s">
        <v>65760</v>
      </c>
      <c r="UF85" s="1" t="s">
        <v>65761</v>
      </c>
      <c r="UG85" s="1" t="s">
        <v>65762</v>
      </c>
      <c r="UH85" s="1" t="s">
        <v>65763</v>
      </c>
      <c r="UI85" s="1" t="s">
        <v>65764</v>
      </c>
      <c r="UJ85" s="1" t="s">
        <v>65765</v>
      </c>
      <c r="UK85" s="1" t="s">
        <v>65766</v>
      </c>
      <c r="UL85" s="1" t="s">
        <v>65767</v>
      </c>
      <c r="UM85" s="1" t="s">
        <v>65768</v>
      </c>
      <c r="UN85" s="1" t="s">
        <v>65769</v>
      </c>
      <c r="UO85" s="1" t="s">
        <v>65770</v>
      </c>
      <c r="UP85" s="1" t="s">
        <v>65771</v>
      </c>
      <c r="UQ85" s="1" t="s">
        <v>65772</v>
      </c>
      <c r="UR85" s="1" t="s">
        <v>65773</v>
      </c>
      <c r="US85" s="1" t="s">
        <v>65774</v>
      </c>
      <c r="UT85" s="1" t="s">
        <v>65775</v>
      </c>
      <c r="UU85" s="1" t="s">
        <v>65776</v>
      </c>
      <c r="UV85" s="1" t="s">
        <v>65777</v>
      </c>
      <c r="UW85" s="1" t="s">
        <v>65778</v>
      </c>
      <c r="UX85" s="1" t="s">
        <v>65779</v>
      </c>
      <c r="UY85" s="1" t="s">
        <v>65780</v>
      </c>
      <c r="UZ85" s="1" t="s">
        <v>65781</v>
      </c>
      <c r="VA85" s="1" t="s">
        <v>65782</v>
      </c>
      <c r="VB85" s="1" t="s">
        <v>65783</v>
      </c>
      <c r="VC85" s="1" t="s">
        <v>65784</v>
      </c>
      <c r="VD85" s="1" t="s">
        <v>65785</v>
      </c>
      <c r="VE85" s="1" t="s">
        <v>65786</v>
      </c>
      <c r="VF85" s="1" t="s">
        <v>65787</v>
      </c>
      <c r="VG85" s="1" t="s">
        <v>65788</v>
      </c>
      <c r="VH85" s="1" t="s">
        <v>65789</v>
      </c>
      <c r="VI85" s="1" t="s">
        <v>65790</v>
      </c>
      <c r="VJ85" s="1" t="s">
        <v>65791</v>
      </c>
      <c r="VK85" s="1" t="s">
        <v>65792</v>
      </c>
      <c r="VL85" s="1" t="s">
        <v>65793</v>
      </c>
      <c r="VM85" s="1" t="s">
        <v>65794</v>
      </c>
      <c r="VN85" s="1" t="s">
        <v>65795</v>
      </c>
      <c r="VO85" s="1" t="s">
        <v>65796</v>
      </c>
      <c r="VP85" s="1" t="s">
        <v>65797</v>
      </c>
      <c r="VQ85" s="1" t="s">
        <v>65798</v>
      </c>
      <c r="VR85" s="1" t="s">
        <v>65799</v>
      </c>
      <c r="VS85" s="1" t="s">
        <v>65800</v>
      </c>
      <c r="VT85" s="1" t="s">
        <v>65801</v>
      </c>
      <c r="VU85" s="1" t="s">
        <v>65802</v>
      </c>
      <c r="VV85" s="1" t="s">
        <v>65803</v>
      </c>
      <c r="VW85" s="1" t="s">
        <v>65804</v>
      </c>
      <c r="VX85" s="1" t="s">
        <v>65805</v>
      </c>
      <c r="VY85" s="1" t="s">
        <v>65806</v>
      </c>
      <c r="VZ85" s="1" t="s">
        <v>65807</v>
      </c>
      <c r="WA85" s="1" t="s">
        <v>65808</v>
      </c>
      <c r="WB85" s="1" t="s">
        <v>65809</v>
      </c>
      <c r="WC85" s="1" t="s">
        <v>65810</v>
      </c>
      <c r="WD85" s="1" t="s">
        <v>65811</v>
      </c>
      <c r="WE85" s="1" t="s">
        <v>65812</v>
      </c>
      <c r="WF85" s="1" t="s">
        <v>65813</v>
      </c>
      <c r="WG85" s="1" t="s">
        <v>65814</v>
      </c>
      <c r="WH85" s="1" t="s">
        <v>65815</v>
      </c>
      <c r="WI85" s="1" t="s">
        <v>65816</v>
      </c>
      <c r="WJ85" s="1" t="s">
        <v>65817</v>
      </c>
      <c r="WK85" s="1" t="s">
        <v>65818</v>
      </c>
      <c r="WL85" s="1" t="s">
        <v>65819</v>
      </c>
      <c r="WM85" s="1" t="s">
        <v>65820</v>
      </c>
      <c r="WN85" s="1" t="s">
        <v>65821</v>
      </c>
      <c r="WO85" s="1" t="s">
        <v>65822</v>
      </c>
      <c r="WP85" s="1" t="s">
        <v>65823</v>
      </c>
      <c r="WQ85" s="1" t="s">
        <v>65824</v>
      </c>
      <c r="WR85" s="1" t="s">
        <v>65825</v>
      </c>
      <c r="WS85" s="1" t="s">
        <v>65826</v>
      </c>
      <c r="WT85" s="1" t="s">
        <v>65827</v>
      </c>
      <c r="WU85" s="1" t="s">
        <v>65828</v>
      </c>
      <c r="WV85" s="1" t="s">
        <v>65829</v>
      </c>
      <c r="WW85" s="1" t="s">
        <v>65830</v>
      </c>
      <c r="WX85" s="1" t="s">
        <v>65831</v>
      </c>
      <c r="WY85" s="1" t="s">
        <v>65832</v>
      </c>
      <c r="WZ85" s="1" t="s">
        <v>65833</v>
      </c>
      <c r="XA85" s="1" t="s">
        <v>65834</v>
      </c>
      <c r="XB85" s="1" t="s">
        <v>65835</v>
      </c>
      <c r="XC85" s="1" t="s">
        <v>65836</v>
      </c>
      <c r="XD85" s="1" t="s">
        <v>65837</v>
      </c>
      <c r="XE85" s="1" t="s">
        <v>65838</v>
      </c>
      <c r="XF85" s="1" t="s">
        <v>65839</v>
      </c>
      <c r="XG85" s="1" t="s">
        <v>65840</v>
      </c>
      <c r="XH85" s="1" t="s">
        <v>65841</v>
      </c>
      <c r="XI85" s="1" t="s">
        <v>65842</v>
      </c>
      <c r="XJ85" s="1" t="s">
        <v>65843</v>
      </c>
      <c r="XK85" s="1" t="s">
        <v>65844</v>
      </c>
      <c r="XL85" s="1" t="s">
        <v>65845</v>
      </c>
      <c r="XM85" s="1" t="s">
        <v>65846</v>
      </c>
      <c r="XN85" s="1" t="s">
        <v>65847</v>
      </c>
      <c r="XO85" s="1" t="s">
        <v>65848</v>
      </c>
      <c r="XP85" s="1" t="s">
        <v>65849</v>
      </c>
      <c r="XQ85" s="1" t="s">
        <v>65850</v>
      </c>
      <c r="XR85" s="1" t="s">
        <v>65851</v>
      </c>
      <c r="XS85" s="1" t="s">
        <v>65852</v>
      </c>
      <c r="XT85" s="1" t="s">
        <v>65853</v>
      </c>
      <c r="XU85" s="1" t="s">
        <v>65854</v>
      </c>
      <c r="XV85" s="1" t="s">
        <v>65855</v>
      </c>
      <c r="XW85" s="1" t="s">
        <v>65856</v>
      </c>
      <c r="XX85" s="1" t="s">
        <v>65857</v>
      </c>
      <c r="XY85" s="1" t="s">
        <v>65858</v>
      </c>
      <c r="XZ85" s="1" t="s">
        <v>65859</v>
      </c>
      <c r="YA85" s="1" t="s">
        <v>65860</v>
      </c>
      <c r="YB85" s="1" t="s">
        <v>65861</v>
      </c>
      <c r="YC85" s="1" t="s">
        <v>65862</v>
      </c>
      <c r="YD85" s="1" t="s">
        <v>65863</v>
      </c>
      <c r="YE85" s="1" t="s">
        <v>65864</v>
      </c>
      <c r="YF85" s="1" t="s">
        <v>65865</v>
      </c>
      <c r="YG85" s="1" t="s">
        <v>65866</v>
      </c>
      <c r="YH85" s="1" t="s">
        <v>65867</v>
      </c>
      <c r="YI85" s="1" t="s">
        <v>65868</v>
      </c>
      <c r="YJ85" s="1" t="s">
        <v>65869</v>
      </c>
      <c r="YK85" s="1" t="s">
        <v>65870</v>
      </c>
      <c r="YL85" s="1" t="s">
        <v>65871</v>
      </c>
      <c r="YM85" s="1" t="s">
        <v>65872</v>
      </c>
      <c r="YN85" s="1" t="s">
        <v>65873</v>
      </c>
      <c r="YO85" s="1" t="s">
        <v>65874</v>
      </c>
      <c r="YP85" s="1" t="s">
        <v>65875</v>
      </c>
      <c r="YQ85" s="1" t="s">
        <v>65876</v>
      </c>
      <c r="YR85" s="1" t="s">
        <v>65877</v>
      </c>
      <c r="YS85" s="1" t="s">
        <v>65878</v>
      </c>
      <c r="YT85" s="1" t="s">
        <v>65879</v>
      </c>
      <c r="YU85" s="1" t="s">
        <v>65880</v>
      </c>
      <c r="YV85" s="1" t="s">
        <v>65881</v>
      </c>
      <c r="YW85" s="1" t="s">
        <v>65882</v>
      </c>
      <c r="YX85" s="1" t="s">
        <v>65883</v>
      </c>
      <c r="YY85" s="1" t="s">
        <v>65884</v>
      </c>
      <c r="YZ85" s="1" t="s">
        <v>65885</v>
      </c>
      <c r="ZA85" s="1" t="s">
        <v>65886</v>
      </c>
      <c r="ZB85" s="1" t="s">
        <v>65887</v>
      </c>
      <c r="ZC85" s="1" t="s">
        <v>65888</v>
      </c>
      <c r="ZD85" s="1" t="s">
        <v>65889</v>
      </c>
      <c r="ZE85" s="1" t="s">
        <v>65890</v>
      </c>
      <c r="ZF85" s="1" t="s">
        <v>65891</v>
      </c>
      <c r="ZG85" s="1" t="s">
        <v>65892</v>
      </c>
      <c r="ZH85" s="1" t="s">
        <v>65893</v>
      </c>
      <c r="ZI85" s="1" t="s">
        <v>65894</v>
      </c>
      <c r="ZJ85" s="1" t="s">
        <v>65895</v>
      </c>
      <c r="ZK85" s="1" t="s">
        <v>65896</v>
      </c>
      <c r="ZL85" s="1" t="s">
        <v>65897</v>
      </c>
      <c r="ZM85" s="1" t="s">
        <v>65898</v>
      </c>
      <c r="ZN85" s="1" t="s">
        <v>65899</v>
      </c>
      <c r="ZO85" s="1" t="s">
        <v>65900</v>
      </c>
      <c r="ZP85" s="1" t="s">
        <v>65901</v>
      </c>
      <c r="ZQ85" s="1" t="s">
        <v>65902</v>
      </c>
      <c r="ZR85" s="1" t="s">
        <v>65903</v>
      </c>
      <c r="ZS85" s="1" t="s">
        <v>65904</v>
      </c>
      <c r="ZT85" s="1" t="s">
        <v>65905</v>
      </c>
      <c r="ZU85" s="1" t="s">
        <v>65906</v>
      </c>
      <c r="ZV85" s="1" t="s">
        <v>65907</v>
      </c>
      <c r="ZW85" s="1" t="s">
        <v>65908</v>
      </c>
      <c r="ZX85" s="1" t="s">
        <v>65909</v>
      </c>
      <c r="ZY85" s="1" t="s">
        <v>65910</v>
      </c>
      <c r="ZZ85" s="1" t="s">
        <v>65911</v>
      </c>
      <c r="AAA85" s="1" t="s">
        <v>65912</v>
      </c>
      <c r="AAB85" s="1" t="s">
        <v>65913</v>
      </c>
      <c r="AAC85" s="1" t="s">
        <v>65914</v>
      </c>
      <c r="AAD85" s="1" t="s">
        <v>65915</v>
      </c>
      <c r="AAE85" s="1" t="s">
        <v>65916</v>
      </c>
      <c r="AAF85" s="1" t="s">
        <v>65917</v>
      </c>
      <c r="AAG85" s="1" t="s">
        <v>65918</v>
      </c>
      <c r="AAH85" s="1" t="s">
        <v>65919</v>
      </c>
      <c r="AAI85" s="1" t="s">
        <v>65920</v>
      </c>
      <c r="AAJ85" s="1" t="s">
        <v>65921</v>
      </c>
      <c r="AAK85" s="1" t="s">
        <v>65922</v>
      </c>
      <c r="AAL85" s="1" t="s">
        <v>65923</v>
      </c>
      <c r="AAM85" s="1" t="s">
        <v>65924</v>
      </c>
      <c r="AAN85" s="1" t="s">
        <v>65925</v>
      </c>
      <c r="AAO85" s="1" t="s">
        <v>65926</v>
      </c>
      <c r="AAP85" s="1" t="s">
        <v>65927</v>
      </c>
      <c r="AAQ85" s="1" t="s">
        <v>65928</v>
      </c>
      <c r="AAR85" s="1" t="s">
        <v>65929</v>
      </c>
      <c r="AAS85" s="1" t="s">
        <v>65930</v>
      </c>
      <c r="AAT85" s="1" t="s">
        <v>65931</v>
      </c>
      <c r="AAU85" s="1" t="s">
        <v>65932</v>
      </c>
      <c r="AAV85" s="1" t="s">
        <v>65933</v>
      </c>
      <c r="AAW85" s="1" t="s">
        <v>65934</v>
      </c>
      <c r="AAX85" s="1" t="s">
        <v>65935</v>
      </c>
      <c r="AAY85" s="1" t="s">
        <v>65936</v>
      </c>
      <c r="AAZ85" s="1" t="s">
        <v>65937</v>
      </c>
      <c r="ABA85" s="1" t="s">
        <v>65938</v>
      </c>
      <c r="ABB85" s="1" t="s">
        <v>65939</v>
      </c>
      <c r="ABC85" s="1" t="s">
        <v>65940</v>
      </c>
      <c r="ABD85" s="1" t="s">
        <v>65941</v>
      </c>
      <c r="ABE85" s="1" t="s">
        <v>65942</v>
      </c>
      <c r="ABF85" s="1" t="s">
        <v>65943</v>
      </c>
      <c r="ABG85" s="1" t="s">
        <v>65944</v>
      </c>
      <c r="ABH85" s="1" t="s">
        <v>65945</v>
      </c>
      <c r="ABI85" s="1" t="s">
        <v>65946</v>
      </c>
      <c r="ABJ85" s="1" t="s">
        <v>65947</v>
      </c>
      <c r="ABK85" s="1" t="s">
        <v>65948</v>
      </c>
      <c r="ABL85" s="1" t="s">
        <v>65949</v>
      </c>
      <c r="ABM85" s="1" t="s">
        <v>65950</v>
      </c>
      <c r="ABN85" s="1" t="s">
        <v>65951</v>
      </c>
      <c r="ABO85" s="1" t="s">
        <v>65952</v>
      </c>
      <c r="ABP85" s="1" t="s">
        <v>65953</v>
      </c>
      <c r="ABQ85" s="1" t="s">
        <v>65954</v>
      </c>
      <c r="ABR85" s="1" t="s">
        <v>65955</v>
      </c>
      <c r="ABS85" s="1" t="s">
        <v>65956</v>
      </c>
      <c r="ABT85" s="1" t="s">
        <v>65957</v>
      </c>
      <c r="ABU85" s="1" t="s">
        <v>65958</v>
      </c>
      <c r="ABV85" s="1" t="s">
        <v>65959</v>
      </c>
      <c r="ABW85" s="1" t="s">
        <v>65960</v>
      </c>
      <c r="ABX85" s="1" t="s">
        <v>65961</v>
      </c>
      <c r="ABY85" s="1" t="s">
        <v>65962</v>
      </c>
      <c r="ABZ85" s="1" t="s">
        <v>65963</v>
      </c>
      <c r="ACA85" s="1" t="s">
        <v>65964</v>
      </c>
      <c r="ACB85" s="1" t="s">
        <v>65965</v>
      </c>
      <c r="ACC85" s="1" t="s">
        <v>65966</v>
      </c>
      <c r="ACD85" s="1" t="s">
        <v>65967</v>
      </c>
      <c r="ACE85" s="1" t="s">
        <v>65968</v>
      </c>
      <c r="ACF85" s="1" t="s">
        <v>65969</v>
      </c>
      <c r="ACG85" s="1" t="s">
        <v>65970</v>
      </c>
      <c r="ACH85" s="1" t="s">
        <v>65971</v>
      </c>
      <c r="ACI85" s="1" t="s">
        <v>65972</v>
      </c>
      <c r="ACJ85" s="1" t="s">
        <v>65973</v>
      </c>
      <c r="ACK85" s="1" t="s">
        <v>65974</v>
      </c>
      <c r="ACL85" s="1" t="s">
        <v>65975</v>
      </c>
      <c r="ACM85" s="1" t="s">
        <v>65976</v>
      </c>
      <c r="ACN85" s="1" t="s">
        <v>65977</v>
      </c>
      <c r="ACO85" s="1" t="s">
        <v>65978</v>
      </c>
      <c r="ACP85" s="1" t="s">
        <v>65979</v>
      </c>
      <c r="ACQ85" s="1" t="s">
        <v>65980</v>
      </c>
      <c r="ACR85" s="1" t="s">
        <v>65981</v>
      </c>
      <c r="ACS85" s="1" t="s">
        <v>65982</v>
      </c>
      <c r="ACT85" s="1" t="s">
        <v>65983</v>
      </c>
      <c r="ACU85" s="1" t="s">
        <v>65984</v>
      </c>
      <c r="ACV85" s="1" t="s">
        <v>65985</v>
      </c>
      <c r="ACW85" s="1" t="s">
        <v>8</v>
      </c>
      <c r="ACX85" s="1" t="s">
        <v>1498</v>
      </c>
    </row>
    <row r="86" spans="1:778" x14ac:dyDescent="0.2">
      <c r="A86" s="1" t="s">
        <v>31</v>
      </c>
      <c r="B86" s="1" t="s">
        <v>65986</v>
      </c>
      <c r="C86" s="1" t="s">
        <v>65987</v>
      </c>
      <c r="D86" s="1" t="s">
        <v>65988</v>
      </c>
      <c r="E86" s="1" t="s">
        <v>65989</v>
      </c>
      <c r="F86" s="1" t="s">
        <v>65990</v>
      </c>
      <c r="G86" s="1" t="s">
        <v>65991</v>
      </c>
      <c r="H86" s="1" t="s">
        <v>65992</v>
      </c>
      <c r="I86" s="1" t="s">
        <v>65993</v>
      </c>
      <c r="J86" s="1" t="s">
        <v>65994</v>
      </c>
      <c r="K86" s="1" t="s">
        <v>65995</v>
      </c>
      <c r="L86" s="1" t="s">
        <v>65996</v>
      </c>
      <c r="M86" s="1" t="s">
        <v>65997</v>
      </c>
      <c r="N86" s="1" t="s">
        <v>65998</v>
      </c>
      <c r="O86" s="1" t="s">
        <v>65999</v>
      </c>
      <c r="P86" s="1" t="s">
        <v>66000</v>
      </c>
      <c r="Q86" s="1" t="s">
        <v>66001</v>
      </c>
      <c r="R86" s="1" t="s">
        <v>66002</v>
      </c>
      <c r="S86" s="1" t="s">
        <v>66003</v>
      </c>
      <c r="T86" s="1" t="s">
        <v>66004</v>
      </c>
      <c r="U86" s="1" t="s">
        <v>66005</v>
      </c>
      <c r="V86" s="1" t="s">
        <v>66006</v>
      </c>
      <c r="W86" s="1" t="s">
        <v>66007</v>
      </c>
      <c r="X86" s="1" t="s">
        <v>66008</v>
      </c>
      <c r="Y86" s="1" t="s">
        <v>66009</v>
      </c>
      <c r="Z86" s="1" t="s">
        <v>66010</v>
      </c>
      <c r="AA86" s="1" t="s">
        <v>66011</v>
      </c>
      <c r="AB86" s="1" t="s">
        <v>66012</v>
      </c>
      <c r="AC86" s="1" t="s">
        <v>66013</v>
      </c>
      <c r="AD86" s="1" t="s">
        <v>66014</v>
      </c>
      <c r="AE86" s="1" t="s">
        <v>66015</v>
      </c>
      <c r="AF86" s="1" t="s">
        <v>66016</v>
      </c>
      <c r="AG86" s="1" t="s">
        <v>66017</v>
      </c>
      <c r="AH86" s="1" t="s">
        <v>66018</v>
      </c>
      <c r="AI86" s="1" t="s">
        <v>66019</v>
      </c>
      <c r="AJ86" s="1" t="s">
        <v>66020</v>
      </c>
      <c r="AK86" s="1" t="s">
        <v>66021</v>
      </c>
      <c r="AL86" s="1" t="s">
        <v>66022</v>
      </c>
      <c r="AM86" s="1" t="s">
        <v>66023</v>
      </c>
      <c r="AN86" s="1" t="s">
        <v>66024</v>
      </c>
      <c r="AO86" s="1" t="s">
        <v>66025</v>
      </c>
      <c r="AP86" s="1" t="s">
        <v>66026</v>
      </c>
      <c r="AQ86" s="1" t="s">
        <v>66027</v>
      </c>
      <c r="AR86" s="1" t="s">
        <v>66028</v>
      </c>
      <c r="AS86" s="1" t="s">
        <v>66029</v>
      </c>
      <c r="AT86" s="1" t="s">
        <v>66030</v>
      </c>
      <c r="AU86" s="1" t="s">
        <v>66031</v>
      </c>
      <c r="AV86" s="1" t="s">
        <v>66032</v>
      </c>
      <c r="AW86" s="1" t="s">
        <v>66033</v>
      </c>
      <c r="AX86" s="1" t="s">
        <v>66034</v>
      </c>
      <c r="AY86" s="1" t="s">
        <v>66035</v>
      </c>
      <c r="AZ86" s="1" t="s">
        <v>66036</v>
      </c>
      <c r="BA86" s="1" t="s">
        <v>66037</v>
      </c>
      <c r="BB86" s="1" t="s">
        <v>66038</v>
      </c>
      <c r="BC86" s="1" t="s">
        <v>66039</v>
      </c>
      <c r="BD86" s="1" t="s">
        <v>66040</v>
      </c>
      <c r="BE86" s="1" t="s">
        <v>66041</v>
      </c>
      <c r="BF86" s="1" t="s">
        <v>66042</v>
      </c>
      <c r="BG86" s="1" t="s">
        <v>66043</v>
      </c>
      <c r="BH86" s="1" t="s">
        <v>66044</v>
      </c>
      <c r="BI86" s="1" t="s">
        <v>66045</v>
      </c>
      <c r="BJ86" s="1" t="s">
        <v>66046</v>
      </c>
      <c r="BK86" s="1" t="s">
        <v>66047</v>
      </c>
      <c r="BL86" s="1" t="s">
        <v>66048</v>
      </c>
      <c r="BM86" s="1" t="s">
        <v>66049</v>
      </c>
      <c r="BN86" s="1" t="s">
        <v>66050</v>
      </c>
      <c r="BO86" s="1" t="s">
        <v>66051</v>
      </c>
      <c r="BP86" s="1" t="s">
        <v>66052</v>
      </c>
      <c r="BQ86" s="1" t="s">
        <v>66053</v>
      </c>
      <c r="BR86" s="1" t="s">
        <v>66054</v>
      </c>
      <c r="BS86" s="1" t="s">
        <v>66055</v>
      </c>
      <c r="BT86" s="1" t="s">
        <v>66056</v>
      </c>
      <c r="BU86" s="1" t="s">
        <v>66057</v>
      </c>
      <c r="BV86" s="1" t="s">
        <v>66058</v>
      </c>
      <c r="BW86" s="1" t="s">
        <v>66059</v>
      </c>
      <c r="BX86" s="1" t="s">
        <v>66060</v>
      </c>
      <c r="BY86" s="1" t="s">
        <v>66061</v>
      </c>
      <c r="BZ86" s="1" t="s">
        <v>66062</v>
      </c>
      <c r="CA86" s="1" t="s">
        <v>66063</v>
      </c>
      <c r="CB86" s="1" t="s">
        <v>66064</v>
      </c>
      <c r="CC86" s="1" t="s">
        <v>66065</v>
      </c>
      <c r="CD86" s="1" t="s">
        <v>66066</v>
      </c>
      <c r="CE86" s="1" t="s">
        <v>66067</v>
      </c>
      <c r="CF86" s="1" t="s">
        <v>66068</v>
      </c>
      <c r="CG86" s="1" t="s">
        <v>66069</v>
      </c>
      <c r="CH86" s="1" t="s">
        <v>66070</v>
      </c>
      <c r="CI86" s="1" t="s">
        <v>66071</v>
      </c>
      <c r="CJ86" s="1" t="s">
        <v>66072</v>
      </c>
      <c r="CK86" s="1" t="s">
        <v>66073</v>
      </c>
      <c r="CL86" s="1" t="s">
        <v>66074</v>
      </c>
      <c r="CM86" s="1" t="s">
        <v>66075</v>
      </c>
      <c r="CN86" s="1" t="s">
        <v>66076</v>
      </c>
      <c r="CO86" s="1" t="s">
        <v>66077</v>
      </c>
      <c r="CP86" s="1" t="s">
        <v>66078</v>
      </c>
      <c r="CQ86" s="1" t="s">
        <v>66079</v>
      </c>
      <c r="CR86" s="1" t="s">
        <v>66080</v>
      </c>
      <c r="CS86" s="1" t="s">
        <v>66081</v>
      </c>
      <c r="CT86" s="1" t="s">
        <v>66082</v>
      </c>
      <c r="CU86" s="1" t="s">
        <v>66083</v>
      </c>
      <c r="CV86" s="1" t="s">
        <v>66084</v>
      </c>
      <c r="CW86" s="1" t="s">
        <v>66085</v>
      </c>
      <c r="CX86" s="1" t="s">
        <v>66086</v>
      </c>
      <c r="CY86" s="1" t="s">
        <v>66087</v>
      </c>
      <c r="CZ86" s="1" t="s">
        <v>66088</v>
      </c>
      <c r="DA86" s="1" t="s">
        <v>66089</v>
      </c>
      <c r="DB86" s="1" t="s">
        <v>66090</v>
      </c>
      <c r="DC86" s="1" t="s">
        <v>66091</v>
      </c>
      <c r="DD86" s="1" t="s">
        <v>66092</v>
      </c>
      <c r="DE86" s="1" t="s">
        <v>66093</v>
      </c>
      <c r="DF86" s="1" t="s">
        <v>66094</v>
      </c>
      <c r="DG86" s="1" t="s">
        <v>66095</v>
      </c>
      <c r="DH86" s="1" t="s">
        <v>66096</v>
      </c>
      <c r="DI86" s="1" t="s">
        <v>66097</v>
      </c>
      <c r="DJ86" s="1" t="s">
        <v>66098</v>
      </c>
      <c r="DK86" s="1" t="s">
        <v>66099</v>
      </c>
      <c r="DL86" s="1" t="s">
        <v>66100</v>
      </c>
      <c r="DM86" s="1" t="s">
        <v>66101</v>
      </c>
      <c r="DN86" s="1" t="s">
        <v>66102</v>
      </c>
      <c r="DO86" s="1" t="s">
        <v>66103</v>
      </c>
      <c r="DP86" s="1" t="s">
        <v>66104</v>
      </c>
      <c r="DQ86" s="1" t="s">
        <v>66105</v>
      </c>
      <c r="DR86" s="1" t="s">
        <v>66106</v>
      </c>
      <c r="DS86" s="1" t="s">
        <v>66107</v>
      </c>
      <c r="DT86" s="1" t="s">
        <v>66108</v>
      </c>
      <c r="DU86" s="1" t="s">
        <v>66109</v>
      </c>
      <c r="DV86" s="1" t="s">
        <v>66110</v>
      </c>
      <c r="DW86" s="1" t="s">
        <v>66111</v>
      </c>
      <c r="DX86" s="1" t="s">
        <v>66112</v>
      </c>
      <c r="DY86" s="1" t="s">
        <v>66113</v>
      </c>
      <c r="DZ86" s="1" t="s">
        <v>66114</v>
      </c>
      <c r="EA86" s="1" t="s">
        <v>66115</v>
      </c>
      <c r="EB86" s="1" t="s">
        <v>66116</v>
      </c>
      <c r="EC86" s="1" t="s">
        <v>66117</v>
      </c>
      <c r="ED86" s="1" t="s">
        <v>66118</v>
      </c>
      <c r="EE86" s="1" t="s">
        <v>66119</v>
      </c>
      <c r="EF86" s="1" t="s">
        <v>66120</v>
      </c>
      <c r="EG86" s="1" t="s">
        <v>66121</v>
      </c>
      <c r="EH86" s="1" t="s">
        <v>66122</v>
      </c>
      <c r="EI86" s="1" t="s">
        <v>66123</v>
      </c>
      <c r="EJ86" s="1" t="s">
        <v>66124</v>
      </c>
      <c r="EK86" s="1" t="s">
        <v>66125</v>
      </c>
      <c r="EL86" s="1" t="s">
        <v>66126</v>
      </c>
      <c r="EM86" s="1" t="s">
        <v>66127</v>
      </c>
      <c r="EN86" s="1" t="s">
        <v>66128</v>
      </c>
      <c r="EO86" s="1" t="s">
        <v>66129</v>
      </c>
      <c r="EP86" s="1" t="s">
        <v>66130</v>
      </c>
      <c r="EQ86" s="1" t="s">
        <v>66131</v>
      </c>
      <c r="ER86" s="1" t="s">
        <v>66132</v>
      </c>
      <c r="ES86" s="1" t="s">
        <v>66133</v>
      </c>
      <c r="ET86" s="1" t="s">
        <v>66134</v>
      </c>
      <c r="EU86" s="1" t="s">
        <v>66135</v>
      </c>
      <c r="EV86" s="1" t="s">
        <v>66136</v>
      </c>
      <c r="EW86" s="1" t="s">
        <v>66137</v>
      </c>
      <c r="EX86" s="1" t="s">
        <v>66138</v>
      </c>
      <c r="EY86" s="1" t="s">
        <v>66139</v>
      </c>
      <c r="EZ86" s="1" t="s">
        <v>66140</v>
      </c>
      <c r="FA86" s="1" t="s">
        <v>66141</v>
      </c>
      <c r="FB86" s="1" t="s">
        <v>66142</v>
      </c>
      <c r="FC86" s="1" t="s">
        <v>66143</v>
      </c>
      <c r="FD86" s="1" t="s">
        <v>66144</v>
      </c>
      <c r="FE86" s="1" t="s">
        <v>66145</v>
      </c>
      <c r="FF86" s="1" t="s">
        <v>66146</v>
      </c>
      <c r="FG86" s="1" t="s">
        <v>66147</v>
      </c>
      <c r="FH86" s="1" t="s">
        <v>66148</v>
      </c>
      <c r="FI86" s="1" t="s">
        <v>66149</v>
      </c>
      <c r="FJ86" s="1" t="s">
        <v>66150</v>
      </c>
      <c r="FK86" s="1" t="s">
        <v>66151</v>
      </c>
      <c r="FL86" s="1" t="s">
        <v>66152</v>
      </c>
      <c r="FM86" s="1" t="s">
        <v>66153</v>
      </c>
      <c r="FN86" s="1" t="s">
        <v>66154</v>
      </c>
      <c r="FO86" s="1" t="s">
        <v>66155</v>
      </c>
      <c r="FP86" s="1" t="s">
        <v>66156</v>
      </c>
      <c r="FQ86" s="1" t="s">
        <v>66157</v>
      </c>
      <c r="FR86" s="1" t="s">
        <v>66158</v>
      </c>
      <c r="FS86" s="1" t="s">
        <v>66159</v>
      </c>
      <c r="FT86" s="1" t="s">
        <v>66160</v>
      </c>
      <c r="FU86" s="1" t="s">
        <v>66161</v>
      </c>
      <c r="FV86" s="1" t="s">
        <v>66162</v>
      </c>
      <c r="FW86" s="1" t="s">
        <v>66163</v>
      </c>
      <c r="FX86" s="1" t="s">
        <v>66164</v>
      </c>
      <c r="FY86" s="1" t="s">
        <v>66165</v>
      </c>
      <c r="FZ86" s="1" t="s">
        <v>66166</v>
      </c>
      <c r="GA86" s="1" t="s">
        <v>66167</v>
      </c>
      <c r="GB86" s="1" t="s">
        <v>66168</v>
      </c>
      <c r="GC86" s="1" t="s">
        <v>66169</v>
      </c>
      <c r="GD86" s="1" t="s">
        <v>66170</v>
      </c>
      <c r="GE86" s="1" t="s">
        <v>66171</v>
      </c>
      <c r="GF86" s="1" t="s">
        <v>66172</v>
      </c>
      <c r="GG86" s="1" t="s">
        <v>66173</v>
      </c>
      <c r="GH86" s="1" t="s">
        <v>66174</v>
      </c>
      <c r="GI86" s="1" t="s">
        <v>66175</v>
      </c>
      <c r="GJ86" s="1" t="s">
        <v>66176</v>
      </c>
      <c r="GK86" s="1" t="s">
        <v>66177</v>
      </c>
      <c r="GL86" s="1" t="s">
        <v>66178</v>
      </c>
      <c r="GM86" s="1" t="s">
        <v>66179</v>
      </c>
      <c r="GN86" s="1" t="s">
        <v>66180</v>
      </c>
      <c r="GO86" s="1" t="s">
        <v>66181</v>
      </c>
      <c r="GP86" s="1" t="s">
        <v>66182</v>
      </c>
      <c r="GQ86" s="1" t="s">
        <v>66183</v>
      </c>
      <c r="GR86" s="1" t="s">
        <v>66184</v>
      </c>
      <c r="GS86" s="1" t="s">
        <v>66185</v>
      </c>
      <c r="GT86" s="1" t="s">
        <v>66186</v>
      </c>
      <c r="GU86" s="1" t="s">
        <v>66187</v>
      </c>
      <c r="GV86" s="1" t="s">
        <v>66188</v>
      </c>
      <c r="GW86" s="1" t="s">
        <v>66189</v>
      </c>
      <c r="GX86" s="1" t="s">
        <v>66190</v>
      </c>
      <c r="GY86" s="1" t="s">
        <v>66191</v>
      </c>
      <c r="GZ86" s="1" t="s">
        <v>66192</v>
      </c>
      <c r="HA86" s="1" t="s">
        <v>66193</v>
      </c>
      <c r="HB86" s="1" t="s">
        <v>66194</v>
      </c>
      <c r="HC86" s="1" t="s">
        <v>66195</v>
      </c>
      <c r="HD86" s="1" t="s">
        <v>66196</v>
      </c>
      <c r="HE86" s="1" t="s">
        <v>66197</v>
      </c>
      <c r="HF86" s="1" t="s">
        <v>66198</v>
      </c>
      <c r="HG86" s="1" t="s">
        <v>66199</v>
      </c>
      <c r="HH86" s="1" t="s">
        <v>66200</v>
      </c>
      <c r="HI86" s="1" t="s">
        <v>66201</v>
      </c>
      <c r="HJ86" s="1" t="s">
        <v>66202</v>
      </c>
      <c r="HK86" s="1" t="s">
        <v>66203</v>
      </c>
      <c r="HL86" s="1" t="s">
        <v>66204</v>
      </c>
      <c r="HM86" s="1" t="s">
        <v>66205</v>
      </c>
      <c r="HN86" s="1" t="s">
        <v>66206</v>
      </c>
      <c r="HO86" s="1" t="s">
        <v>66207</v>
      </c>
      <c r="HP86" s="1" t="s">
        <v>66208</v>
      </c>
      <c r="HQ86" s="1" t="s">
        <v>66209</v>
      </c>
      <c r="HR86" s="1" t="s">
        <v>66210</v>
      </c>
      <c r="HS86" s="1" t="s">
        <v>66211</v>
      </c>
      <c r="HT86" s="1" t="s">
        <v>66212</v>
      </c>
      <c r="HU86" s="1" t="s">
        <v>66213</v>
      </c>
      <c r="HV86" s="1" t="s">
        <v>66214</v>
      </c>
      <c r="HW86" s="1" t="s">
        <v>66215</v>
      </c>
      <c r="HX86" s="1" t="s">
        <v>66216</v>
      </c>
      <c r="HY86" s="1" t="s">
        <v>66217</v>
      </c>
      <c r="HZ86" s="1" t="s">
        <v>66218</v>
      </c>
      <c r="IA86" s="1" t="s">
        <v>66219</v>
      </c>
      <c r="IB86" s="1" t="s">
        <v>66220</v>
      </c>
      <c r="IC86" s="1" t="s">
        <v>66221</v>
      </c>
      <c r="ID86" s="1" t="s">
        <v>66222</v>
      </c>
      <c r="IE86" s="1" t="s">
        <v>66223</v>
      </c>
      <c r="IF86" s="1" t="s">
        <v>66224</v>
      </c>
      <c r="IG86" s="1" t="s">
        <v>66225</v>
      </c>
      <c r="IH86" s="1" t="s">
        <v>66226</v>
      </c>
      <c r="II86" s="1" t="s">
        <v>66227</v>
      </c>
      <c r="IJ86" s="1" t="s">
        <v>66228</v>
      </c>
      <c r="IK86" s="1" t="s">
        <v>66229</v>
      </c>
      <c r="IL86" s="1" t="s">
        <v>66230</v>
      </c>
      <c r="IM86" s="1" t="s">
        <v>66231</v>
      </c>
      <c r="IN86" s="1" t="s">
        <v>66232</v>
      </c>
      <c r="IO86" s="1" t="s">
        <v>66233</v>
      </c>
      <c r="IP86" s="1" t="s">
        <v>66234</v>
      </c>
      <c r="IQ86" s="1" t="s">
        <v>66235</v>
      </c>
      <c r="IR86" s="1" t="s">
        <v>66236</v>
      </c>
      <c r="IS86" s="1" t="s">
        <v>66237</v>
      </c>
      <c r="IT86" s="1" t="s">
        <v>66238</v>
      </c>
      <c r="IU86" s="1" t="s">
        <v>66239</v>
      </c>
      <c r="IV86" s="1" t="s">
        <v>66240</v>
      </c>
      <c r="IW86" s="1" t="s">
        <v>66241</v>
      </c>
      <c r="IX86" s="1" t="s">
        <v>66242</v>
      </c>
      <c r="IY86" s="1" t="s">
        <v>66243</v>
      </c>
      <c r="IZ86" s="1" t="s">
        <v>66244</v>
      </c>
      <c r="JA86" s="1" t="s">
        <v>66245</v>
      </c>
      <c r="JB86" s="1" t="s">
        <v>66246</v>
      </c>
      <c r="JC86" s="1" t="s">
        <v>66247</v>
      </c>
      <c r="JD86" s="1" t="s">
        <v>66248</v>
      </c>
      <c r="JE86" s="1" t="s">
        <v>66249</v>
      </c>
      <c r="JF86" s="1" t="s">
        <v>66250</v>
      </c>
      <c r="JG86" s="1" t="s">
        <v>66251</v>
      </c>
      <c r="JH86" s="1" t="s">
        <v>66252</v>
      </c>
      <c r="JI86" s="1" t="s">
        <v>66253</v>
      </c>
      <c r="JJ86" s="1" t="s">
        <v>66254</v>
      </c>
      <c r="JK86" s="1" t="s">
        <v>66255</v>
      </c>
      <c r="JL86" s="1" t="s">
        <v>66256</v>
      </c>
      <c r="JM86" s="1" t="s">
        <v>66257</v>
      </c>
      <c r="JN86" s="1" t="s">
        <v>66258</v>
      </c>
      <c r="JO86" s="1" t="s">
        <v>66259</v>
      </c>
      <c r="JP86" s="1" t="s">
        <v>66260</v>
      </c>
      <c r="JQ86" s="1" t="s">
        <v>66261</v>
      </c>
      <c r="JR86" s="1" t="s">
        <v>66262</v>
      </c>
      <c r="JS86" s="1" t="s">
        <v>66263</v>
      </c>
      <c r="JT86" s="1" t="s">
        <v>66264</v>
      </c>
      <c r="JU86" s="1" t="s">
        <v>66265</v>
      </c>
      <c r="JV86" s="1" t="s">
        <v>66266</v>
      </c>
      <c r="JW86" s="1" t="s">
        <v>66267</v>
      </c>
      <c r="JX86" s="1" t="s">
        <v>66268</v>
      </c>
      <c r="JY86" s="1" t="s">
        <v>66269</v>
      </c>
      <c r="JZ86" s="1" t="s">
        <v>66270</v>
      </c>
      <c r="KA86" s="1" t="s">
        <v>66271</v>
      </c>
      <c r="KB86" s="1" t="s">
        <v>66272</v>
      </c>
      <c r="KC86" s="1" t="s">
        <v>66273</v>
      </c>
      <c r="KD86" s="1" t="s">
        <v>66274</v>
      </c>
      <c r="KE86" s="1" t="s">
        <v>66275</v>
      </c>
      <c r="KF86" s="1" t="s">
        <v>66276</v>
      </c>
      <c r="KG86" s="1" t="s">
        <v>66277</v>
      </c>
      <c r="KH86" s="1" t="s">
        <v>66278</v>
      </c>
      <c r="KI86" s="1" t="s">
        <v>66279</v>
      </c>
      <c r="KJ86" s="1" t="s">
        <v>66280</v>
      </c>
      <c r="KK86" s="1" t="s">
        <v>66281</v>
      </c>
      <c r="KL86" s="1" t="s">
        <v>66282</v>
      </c>
      <c r="KM86" s="1" t="s">
        <v>66283</v>
      </c>
      <c r="KN86" s="1" t="s">
        <v>66284</v>
      </c>
      <c r="KO86" s="1" t="s">
        <v>66285</v>
      </c>
      <c r="KP86" s="1" t="s">
        <v>66286</v>
      </c>
      <c r="KQ86" s="1" t="s">
        <v>66287</v>
      </c>
      <c r="KR86" s="1" t="s">
        <v>66288</v>
      </c>
      <c r="KS86" s="1" t="s">
        <v>66289</v>
      </c>
      <c r="KT86" s="1" t="s">
        <v>66290</v>
      </c>
      <c r="KU86" s="1" t="s">
        <v>66291</v>
      </c>
      <c r="KV86" s="1" t="s">
        <v>66292</v>
      </c>
      <c r="KW86" s="1" t="s">
        <v>66293</v>
      </c>
      <c r="KX86" s="1" t="s">
        <v>66294</v>
      </c>
      <c r="KY86" s="1" t="s">
        <v>66295</v>
      </c>
      <c r="KZ86" s="1" t="s">
        <v>66296</v>
      </c>
      <c r="LA86" s="1" t="s">
        <v>66297</v>
      </c>
      <c r="LB86" s="1" t="s">
        <v>66298</v>
      </c>
      <c r="LC86" s="1" t="s">
        <v>66299</v>
      </c>
      <c r="LD86" s="1" t="s">
        <v>66300</v>
      </c>
      <c r="LE86" s="1" t="s">
        <v>66301</v>
      </c>
      <c r="LF86" s="1" t="s">
        <v>66302</v>
      </c>
      <c r="LG86" s="1" t="s">
        <v>66303</v>
      </c>
      <c r="LH86" s="1" t="s">
        <v>66304</v>
      </c>
      <c r="LI86" s="1" t="s">
        <v>66305</v>
      </c>
      <c r="LJ86" s="1" t="s">
        <v>66306</v>
      </c>
      <c r="LK86" s="1" t="s">
        <v>66307</v>
      </c>
      <c r="LL86" s="1" t="s">
        <v>66308</v>
      </c>
      <c r="LM86" s="1" t="s">
        <v>66309</v>
      </c>
      <c r="LN86" s="1" t="s">
        <v>66310</v>
      </c>
      <c r="LO86" s="1" t="s">
        <v>66311</v>
      </c>
      <c r="LP86" s="1" t="s">
        <v>66312</v>
      </c>
      <c r="LQ86" s="1" t="s">
        <v>66313</v>
      </c>
      <c r="LR86" s="1" t="s">
        <v>66314</v>
      </c>
      <c r="LS86" s="1" t="s">
        <v>66315</v>
      </c>
      <c r="LT86" s="1" t="s">
        <v>66316</v>
      </c>
      <c r="LU86" s="1" t="s">
        <v>66317</v>
      </c>
      <c r="LV86" s="1" t="s">
        <v>66318</v>
      </c>
      <c r="LW86" s="1" t="s">
        <v>66319</v>
      </c>
      <c r="LX86" s="1" t="s">
        <v>66320</v>
      </c>
      <c r="LY86" s="1" t="s">
        <v>66321</v>
      </c>
      <c r="LZ86" s="1" t="s">
        <v>66322</v>
      </c>
      <c r="MA86" s="1" t="s">
        <v>66323</v>
      </c>
      <c r="MB86" s="1" t="s">
        <v>66324</v>
      </c>
      <c r="MC86" s="1" t="s">
        <v>66325</v>
      </c>
      <c r="MD86" s="1" t="s">
        <v>66326</v>
      </c>
      <c r="ME86" s="1" t="s">
        <v>66327</v>
      </c>
      <c r="MF86" s="1" t="s">
        <v>66328</v>
      </c>
      <c r="MG86" s="1" t="s">
        <v>66329</v>
      </c>
      <c r="MH86" s="1" t="s">
        <v>66330</v>
      </c>
      <c r="MI86" s="1" t="s">
        <v>66331</v>
      </c>
      <c r="MJ86" s="1" t="s">
        <v>66332</v>
      </c>
      <c r="MK86" s="1" t="s">
        <v>66333</v>
      </c>
      <c r="ML86" s="1" t="s">
        <v>66334</v>
      </c>
      <c r="MM86" s="1" t="s">
        <v>66335</v>
      </c>
      <c r="MN86" s="1" t="s">
        <v>66336</v>
      </c>
      <c r="MO86" s="1" t="s">
        <v>66337</v>
      </c>
      <c r="MP86" s="1" t="s">
        <v>66338</v>
      </c>
      <c r="MQ86" s="1" t="s">
        <v>66339</v>
      </c>
      <c r="MR86" s="1" t="s">
        <v>66340</v>
      </c>
      <c r="MS86" s="1" t="s">
        <v>66341</v>
      </c>
      <c r="MT86" s="1" t="s">
        <v>66342</v>
      </c>
      <c r="MU86" s="1" t="s">
        <v>66343</v>
      </c>
      <c r="MV86" s="1" t="s">
        <v>66344</v>
      </c>
      <c r="MW86" s="1" t="s">
        <v>66345</v>
      </c>
      <c r="MX86" s="1" t="s">
        <v>66346</v>
      </c>
      <c r="MY86" s="1" t="s">
        <v>66347</v>
      </c>
      <c r="MZ86" s="1" t="s">
        <v>66348</v>
      </c>
      <c r="NA86" s="1" t="s">
        <v>66349</v>
      </c>
      <c r="NB86" s="1" t="s">
        <v>66350</v>
      </c>
      <c r="NC86" s="1" t="s">
        <v>66351</v>
      </c>
      <c r="ND86" s="1" t="s">
        <v>66352</v>
      </c>
      <c r="NE86" s="1" t="s">
        <v>66353</v>
      </c>
      <c r="NF86" s="1" t="s">
        <v>66354</v>
      </c>
      <c r="NG86" s="1" t="s">
        <v>66355</v>
      </c>
      <c r="NH86" s="1" t="s">
        <v>66356</v>
      </c>
      <c r="NI86" s="1" t="s">
        <v>66357</v>
      </c>
      <c r="NJ86" s="1" t="s">
        <v>66358</v>
      </c>
      <c r="NK86" s="1" t="s">
        <v>66359</v>
      </c>
      <c r="NL86" s="1" t="s">
        <v>66360</v>
      </c>
      <c r="NM86" s="1" t="s">
        <v>66361</v>
      </c>
      <c r="NN86" s="1" t="s">
        <v>66362</v>
      </c>
      <c r="NO86" s="1" t="s">
        <v>66363</v>
      </c>
      <c r="NP86" s="1" t="s">
        <v>66364</v>
      </c>
      <c r="NQ86" s="1" t="s">
        <v>66365</v>
      </c>
      <c r="NR86" s="1" t="s">
        <v>66366</v>
      </c>
      <c r="NS86" s="1" t="s">
        <v>66367</v>
      </c>
      <c r="NT86" s="1" t="s">
        <v>66368</v>
      </c>
      <c r="NU86" s="1" t="s">
        <v>66369</v>
      </c>
      <c r="NV86" s="1" t="s">
        <v>66370</v>
      </c>
      <c r="NW86" s="1" t="s">
        <v>66371</v>
      </c>
      <c r="NX86" s="1" t="s">
        <v>66372</v>
      </c>
      <c r="NY86" s="1" t="s">
        <v>66373</v>
      </c>
      <c r="NZ86" s="1" t="s">
        <v>66374</v>
      </c>
      <c r="OA86" s="1" t="s">
        <v>66375</v>
      </c>
      <c r="OB86" s="1" t="s">
        <v>66376</v>
      </c>
      <c r="OC86" s="1" t="s">
        <v>66377</v>
      </c>
      <c r="OD86" s="1" t="s">
        <v>66378</v>
      </c>
      <c r="OE86" s="1" t="s">
        <v>66379</v>
      </c>
      <c r="OF86" s="1" t="s">
        <v>66380</v>
      </c>
      <c r="OG86" s="1" t="s">
        <v>66381</v>
      </c>
      <c r="OH86" s="1" t="s">
        <v>66382</v>
      </c>
      <c r="OI86" s="1" t="s">
        <v>66383</v>
      </c>
      <c r="OJ86" s="1" t="s">
        <v>66384</v>
      </c>
      <c r="OK86" s="1" t="s">
        <v>66385</v>
      </c>
      <c r="OL86" s="1" t="s">
        <v>66386</v>
      </c>
      <c r="OM86" s="1" t="s">
        <v>66387</v>
      </c>
      <c r="ON86" s="1" t="s">
        <v>66388</v>
      </c>
      <c r="OO86" s="1" t="s">
        <v>66389</v>
      </c>
      <c r="OP86" s="1" t="s">
        <v>66390</v>
      </c>
      <c r="OQ86" s="1" t="s">
        <v>66391</v>
      </c>
      <c r="OR86" s="1" t="s">
        <v>66392</v>
      </c>
      <c r="OS86" s="1" t="s">
        <v>66393</v>
      </c>
      <c r="OT86" s="1" t="s">
        <v>66394</v>
      </c>
      <c r="OU86" s="1" t="s">
        <v>66395</v>
      </c>
      <c r="OV86" s="1" t="s">
        <v>66396</v>
      </c>
      <c r="OW86" s="1" t="s">
        <v>66397</v>
      </c>
      <c r="OX86" s="1" t="s">
        <v>66398</v>
      </c>
      <c r="OY86" s="1" t="s">
        <v>66399</v>
      </c>
      <c r="OZ86" s="1" t="s">
        <v>66400</v>
      </c>
      <c r="PA86" s="1" t="s">
        <v>66401</v>
      </c>
      <c r="PB86" s="1" t="s">
        <v>66402</v>
      </c>
      <c r="PC86" s="1" t="s">
        <v>66403</v>
      </c>
      <c r="PD86" s="1" t="s">
        <v>66404</v>
      </c>
      <c r="PE86" s="1" t="s">
        <v>66405</v>
      </c>
      <c r="PF86" s="1" t="s">
        <v>66406</v>
      </c>
      <c r="PG86" s="1" t="s">
        <v>66407</v>
      </c>
      <c r="PH86" s="1" t="s">
        <v>66408</v>
      </c>
      <c r="PI86" s="1" t="s">
        <v>66409</v>
      </c>
      <c r="PJ86" s="1" t="s">
        <v>66410</v>
      </c>
      <c r="PK86" s="1" t="s">
        <v>66411</v>
      </c>
      <c r="PL86" s="1" t="s">
        <v>66412</v>
      </c>
      <c r="PM86" s="1" t="s">
        <v>66413</v>
      </c>
      <c r="PN86" s="1" t="s">
        <v>66414</v>
      </c>
      <c r="PO86" s="1" t="s">
        <v>66415</v>
      </c>
      <c r="PP86" s="1" t="s">
        <v>66416</v>
      </c>
      <c r="PQ86" s="1" t="s">
        <v>66417</v>
      </c>
      <c r="PR86" s="1" t="s">
        <v>66418</v>
      </c>
      <c r="PS86" s="1" t="s">
        <v>66419</v>
      </c>
      <c r="PT86" s="1" t="s">
        <v>66420</v>
      </c>
      <c r="PU86" s="1" t="s">
        <v>66421</v>
      </c>
      <c r="PV86" s="1" t="s">
        <v>66422</v>
      </c>
      <c r="PW86" s="1" t="s">
        <v>66423</v>
      </c>
      <c r="PX86" s="1" t="s">
        <v>66424</v>
      </c>
      <c r="PY86" s="1" t="s">
        <v>66425</v>
      </c>
      <c r="PZ86" s="1" t="s">
        <v>66426</v>
      </c>
      <c r="QA86" s="1" t="s">
        <v>66427</v>
      </c>
      <c r="QB86" s="1" t="s">
        <v>66428</v>
      </c>
      <c r="QC86" s="1" t="s">
        <v>66429</v>
      </c>
      <c r="QD86" s="1" t="s">
        <v>66430</v>
      </c>
      <c r="QE86" s="1" t="s">
        <v>66431</v>
      </c>
      <c r="QF86" s="1" t="s">
        <v>66432</v>
      </c>
      <c r="QG86" s="1" t="s">
        <v>66433</v>
      </c>
      <c r="QH86" s="1" t="s">
        <v>66434</v>
      </c>
      <c r="QI86" s="1" t="s">
        <v>66435</v>
      </c>
      <c r="QJ86" s="1" t="s">
        <v>66436</v>
      </c>
      <c r="QK86" s="1" t="s">
        <v>66437</v>
      </c>
      <c r="QL86" s="1" t="s">
        <v>66438</v>
      </c>
      <c r="QM86" s="1" t="s">
        <v>66439</v>
      </c>
      <c r="QN86" s="1" t="s">
        <v>66440</v>
      </c>
      <c r="QO86" s="1" t="s">
        <v>66441</v>
      </c>
      <c r="QP86" s="1" t="s">
        <v>66442</v>
      </c>
      <c r="QQ86" s="1" t="s">
        <v>66443</v>
      </c>
      <c r="QR86" s="1" t="s">
        <v>66444</v>
      </c>
      <c r="QS86" s="1" t="s">
        <v>66445</v>
      </c>
      <c r="QT86" s="1" t="s">
        <v>66446</v>
      </c>
      <c r="QU86" s="1" t="s">
        <v>66447</v>
      </c>
      <c r="QV86" s="1" t="s">
        <v>66448</v>
      </c>
      <c r="QW86" s="1" t="s">
        <v>66449</v>
      </c>
      <c r="QX86" s="1" t="s">
        <v>66450</v>
      </c>
      <c r="QY86" s="1" t="s">
        <v>66451</v>
      </c>
      <c r="QZ86" s="1" t="s">
        <v>66452</v>
      </c>
      <c r="RA86" s="1" t="s">
        <v>66453</v>
      </c>
      <c r="RB86" s="1" t="s">
        <v>66454</v>
      </c>
      <c r="RC86" s="1" t="s">
        <v>66455</v>
      </c>
      <c r="RD86" s="1" t="s">
        <v>66456</v>
      </c>
      <c r="RE86" s="1" t="s">
        <v>66457</v>
      </c>
      <c r="RF86" s="1" t="s">
        <v>66458</v>
      </c>
      <c r="RG86" s="1" t="s">
        <v>66459</v>
      </c>
      <c r="RH86" s="1" t="s">
        <v>66460</v>
      </c>
      <c r="RI86" s="1" t="s">
        <v>66461</v>
      </c>
      <c r="RJ86" s="1" t="s">
        <v>66462</v>
      </c>
      <c r="RK86" s="1" t="s">
        <v>66463</v>
      </c>
      <c r="RL86" s="1" t="s">
        <v>66464</v>
      </c>
      <c r="RM86" s="1" t="s">
        <v>66465</v>
      </c>
      <c r="RN86" s="1" t="s">
        <v>66466</v>
      </c>
      <c r="RO86" s="1" t="s">
        <v>66467</v>
      </c>
      <c r="RP86" s="1" t="s">
        <v>66468</v>
      </c>
      <c r="RQ86" s="1" t="s">
        <v>66469</v>
      </c>
      <c r="RR86" s="1" t="s">
        <v>66470</v>
      </c>
      <c r="RS86" s="1" t="s">
        <v>66471</v>
      </c>
      <c r="RT86" s="1" t="s">
        <v>66472</v>
      </c>
      <c r="RU86" s="1" t="s">
        <v>66473</v>
      </c>
      <c r="RV86" s="1" t="s">
        <v>66474</v>
      </c>
      <c r="RW86" s="1" t="s">
        <v>66475</v>
      </c>
      <c r="RX86" s="1" t="s">
        <v>66476</v>
      </c>
      <c r="RY86" s="1" t="s">
        <v>66477</v>
      </c>
      <c r="RZ86" s="1" t="s">
        <v>66478</v>
      </c>
      <c r="SA86" s="1" t="s">
        <v>66479</v>
      </c>
      <c r="SB86" s="1" t="s">
        <v>66480</v>
      </c>
      <c r="SC86" s="1" t="s">
        <v>66481</v>
      </c>
      <c r="SD86" s="1" t="s">
        <v>66482</v>
      </c>
      <c r="SE86" s="1" t="s">
        <v>66483</v>
      </c>
      <c r="SF86" s="1" t="s">
        <v>66484</v>
      </c>
      <c r="SG86" s="1" t="s">
        <v>66485</v>
      </c>
      <c r="SH86" s="1" t="s">
        <v>66486</v>
      </c>
      <c r="SI86" s="1" t="s">
        <v>66487</v>
      </c>
      <c r="SJ86" s="1" t="s">
        <v>66488</v>
      </c>
      <c r="SK86" s="1" t="s">
        <v>66489</v>
      </c>
      <c r="SL86" s="1" t="s">
        <v>66490</v>
      </c>
      <c r="SM86" s="1" t="s">
        <v>66491</v>
      </c>
      <c r="SN86" s="1" t="s">
        <v>66492</v>
      </c>
      <c r="SO86" s="1" t="s">
        <v>66493</v>
      </c>
      <c r="SP86" s="1" t="s">
        <v>66494</v>
      </c>
      <c r="SQ86" s="1" t="s">
        <v>66495</v>
      </c>
      <c r="SR86" s="1" t="s">
        <v>66496</v>
      </c>
      <c r="SS86" s="1" t="s">
        <v>66497</v>
      </c>
      <c r="ST86" s="1" t="s">
        <v>66498</v>
      </c>
      <c r="SU86" s="1" t="s">
        <v>66499</v>
      </c>
      <c r="SV86" s="1" t="s">
        <v>66500</v>
      </c>
      <c r="SW86" s="1" t="s">
        <v>66501</v>
      </c>
      <c r="SX86" s="1" t="s">
        <v>66502</v>
      </c>
      <c r="SY86" s="1" t="s">
        <v>66503</v>
      </c>
      <c r="SZ86" s="1" t="s">
        <v>66504</v>
      </c>
      <c r="TA86" s="1" t="s">
        <v>66505</v>
      </c>
      <c r="TB86" s="1" t="s">
        <v>66506</v>
      </c>
      <c r="TC86" s="1" t="s">
        <v>66507</v>
      </c>
      <c r="TD86" s="1" t="s">
        <v>66508</v>
      </c>
      <c r="TE86" s="1" t="s">
        <v>66509</v>
      </c>
      <c r="TF86" s="1" t="s">
        <v>66510</v>
      </c>
      <c r="TG86" s="1" t="s">
        <v>66511</v>
      </c>
      <c r="TH86" s="1" t="s">
        <v>66512</v>
      </c>
      <c r="TI86" s="1" t="s">
        <v>66513</v>
      </c>
      <c r="TJ86" s="1" t="s">
        <v>66514</v>
      </c>
      <c r="TK86" s="1" t="s">
        <v>66515</v>
      </c>
      <c r="TL86" s="1" t="s">
        <v>66516</v>
      </c>
      <c r="TM86" s="1" t="s">
        <v>66517</v>
      </c>
      <c r="TN86" s="1" t="s">
        <v>66518</v>
      </c>
      <c r="TO86" s="1" t="s">
        <v>66519</v>
      </c>
      <c r="TP86" s="1" t="s">
        <v>66520</v>
      </c>
      <c r="TQ86" s="1" t="s">
        <v>66521</v>
      </c>
      <c r="TR86" s="1" t="s">
        <v>66522</v>
      </c>
      <c r="TS86" s="1" t="s">
        <v>66523</v>
      </c>
      <c r="TT86" s="1" t="s">
        <v>66524</v>
      </c>
      <c r="TU86" s="1" t="s">
        <v>66525</v>
      </c>
      <c r="TV86" s="1" t="s">
        <v>66526</v>
      </c>
      <c r="TW86" s="1" t="s">
        <v>66527</v>
      </c>
      <c r="TX86" s="1" t="s">
        <v>66528</v>
      </c>
      <c r="TY86" s="1" t="s">
        <v>66529</v>
      </c>
      <c r="TZ86" s="1" t="s">
        <v>66530</v>
      </c>
      <c r="UA86" s="1" t="s">
        <v>66531</v>
      </c>
      <c r="UB86" s="1" t="s">
        <v>66532</v>
      </c>
      <c r="UC86" s="1" t="s">
        <v>66533</v>
      </c>
      <c r="UD86" s="1" t="s">
        <v>66534</v>
      </c>
      <c r="UE86" s="1" t="s">
        <v>66535</v>
      </c>
      <c r="UF86" s="1" t="s">
        <v>66536</v>
      </c>
      <c r="UG86" s="1" t="s">
        <v>66537</v>
      </c>
      <c r="UH86" s="1" t="s">
        <v>66538</v>
      </c>
      <c r="UI86" s="1" t="s">
        <v>66539</v>
      </c>
      <c r="UJ86" s="1" t="s">
        <v>66540</v>
      </c>
      <c r="UK86" s="1" t="s">
        <v>66541</v>
      </c>
      <c r="UL86" s="1" t="s">
        <v>66542</v>
      </c>
      <c r="UM86" s="1" t="s">
        <v>66543</v>
      </c>
      <c r="UN86" s="1" t="s">
        <v>66544</v>
      </c>
      <c r="UO86" s="1" t="s">
        <v>66545</v>
      </c>
      <c r="UP86" s="1" t="s">
        <v>66546</v>
      </c>
      <c r="UQ86" s="1" t="s">
        <v>66547</v>
      </c>
      <c r="UR86" s="1" t="s">
        <v>66548</v>
      </c>
      <c r="US86" s="1" t="s">
        <v>66549</v>
      </c>
      <c r="UT86" s="1" t="s">
        <v>66550</v>
      </c>
      <c r="UU86" s="1" t="s">
        <v>66551</v>
      </c>
      <c r="UV86" s="1" t="s">
        <v>66552</v>
      </c>
      <c r="UW86" s="1" t="s">
        <v>66553</v>
      </c>
      <c r="UX86" s="1" t="s">
        <v>66554</v>
      </c>
      <c r="UY86" s="1" t="s">
        <v>66555</v>
      </c>
      <c r="UZ86" s="1" t="s">
        <v>66556</v>
      </c>
      <c r="VA86" s="1" t="s">
        <v>66557</v>
      </c>
      <c r="VB86" s="1" t="s">
        <v>66558</v>
      </c>
      <c r="VC86" s="1" t="s">
        <v>66559</v>
      </c>
      <c r="VD86" s="1" t="s">
        <v>66560</v>
      </c>
      <c r="VE86" s="1" t="s">
        <v>66561</v>
      </c>
      <c r="VF86" s="1" t="s">
        <v>66562</v>
      </c>
      <c r="VG86" s="1" t="s">
        <v>66563</v>
      </c>
      <c r="VH86" s="1" t="s">
        <v>66564</v>
      </c>
      <c r="VI86" s="1" t="s">
        <v>66565</v>
      </c>
      <c r="VJ86" s="1" t="s">
        <v>66566</v>
      </c>
      <c r="VK86" s="1" t="s">
        <v>66567</v>
      </c>
      <c r="VL86" s="1" t="s">
        <v>66568</v>
      </c>
      <c r="VM86" s="1" t="s">
        <v>66569</v>
      </c>
      <c r="VN86" s="1" t="s">
        <v>66570</v>
      </c>
      <c r="VO86" s="1" t="s">
        <v>66571</v>
      </c>
      <c r="VP86" s="1" t="s">
        <v>66572</v>
      </c>
      <c r="VQ86" s="1" t="s">
        <v>66573</v>
      </c>
      <c r="VR86" s="1" t="s">
        <v>66574</v>
      </c>
      <c r="VS86" s="1" t="s">
        <v>66575</v>
      </c>
      <c r="VT86" s="1" t="s">
        <v>66576</v>
      </c>
      <c r="VU86" s="1" t="s">
        <v>66577</v>
      </c>
      <c r="VV86" s="1" t="s">
        <v>66578</v>
      </c>
      <c r="VW86" s="1" t="s">
        <v>66579</v>
      </c>
      <c r="VX86" s="1" t="s">
        <v>66580</v>
      </c>
      <c r="VY86" s="1" t="s">
        <v>66581</v>
      </c>
      <c r="VZ86" s="1" t="s">
        <v>66582</v>
      </c>
      <c r="WA86" s="1" t="s">
        <v>66583</v>
      </c>
      <c r="WB86" s="1" t="s">
        <v>66584</v>
      </c>
      <c r="WC86" s="1" t="s">
        <v>66585</v>
      </c>
      <c r="WD86" s="1" t="s">
        <v>66586</v>
      </c>
      <c r="WE86" s="1" t="s">
        <v>66587</v>
      </c>
      <c r="WF86" s="1" t="s">
        <v>66588</v>
      </c>
      <c r="WG86" s="1" t="s">
        <v>66589</v>
      </c>
      <c r="WH86" s="1" t="s">
        <v>66590</v>
      </c>
      <c r="WI86" s="1" t="s">
        <v>66591</v>
      </c>
      <c r="WJ86" s="1" t="s">
        <v>66592</v>
      </c>
      <c r="WK86" s="1" t="s">
        <v>66593</v>
      </c>
      <c r="WL86" s="1" t="s">
        <v>66594</v>
      </c>
      <c r="WM86" s="1" t="s">
        <v>66595</v>
      </c>
      <c r="WN86" s="1" t="s">
        <v>66596</v>
      </c>
      <c r="WO86" s="1" t="s">
        <v>66597</v>
      </c>
      <c r="WP86" s="1" t="s">
        <v>66598</v>
      </c>
      <c r="WQ86" s="1" t="s">
        <v>66599</v>
      </c>
      <c r="WR86" s="1" t="s">
        <v>66600</v>
      </c>
      <c r="WS86" s="1" t="s">
        <v>66601</v>
      </c>
      <c r="WT86" s="1" t="s">
        <v>66602</v>
      </c>
      <c r="WU86" s="1" t="s">
        <v>66603</v>
      </c>
      <c r="WV86" s="1" t="s">
        <v>66604</v>
      </c>
      <c r="WW86" s="1" t="s">
        <v>66605</v>
      </c>
      <c r="WX86" s="1" t="s">
        <v>66606</v>
      </c>
      <c r="WY86" s="1" t="s">
        <v>66607</v>
      </c>
      <c r="WZ86" s="1" t="s">
        <v>66608</v>
      </c>
      <c r="XA86" s="1" t="s">
        <v>66609</v>
      </c>
      <c r="XB86" s="1" t="s">
        <v>66610</v>
      </c>
      <c r="XC86" s="1" t="s">
        <v>66611</v>
      </c>
      <c r="XD86" s="1" t="s">
        <v>66612</v>
      </c>
      <c r="XE86" s="1" t="s">
        <v>66613</v>
      </c>
      <c r="XF86" s="1" t="s">
        <v>66614</v>
      </c>
      <c r="XG86" s="1" t="s">
        <v>66615</v>
      </c>
      <c r="XH86" s="1" t="s">
        <v>66616</v>
      </c>
      <c r="XI86" s="1" t="s">
        <v>66617</v>
      </c>
      <c r="XJ86" s="1" t="s">
        <v>66618</v>
      </c>
      <c r="XK86" s="1" t="s">
        <v>66619</v>
      </c>
      <c r="XL86" s="1" t="s">
        <v>66620</v>
      </c>
      <c r="XM86" s="1" t="s">
        <v>66621</v>
      </c>
      <c r="XN86" s="1" t="s">
        <v>66622</v>
      </c>
      <c r="XO86" s="1" t="s">
        <v>66623</v>
      </c>
      <c r="XP86" s="1" t="s">
        <v>66624</v>
      </c>
      <c r="XQ86" s="1" t="s">
        <v>66625</v>
      </c>
      <c r="XR86" s="1" t="s">
        <v>66626</v>
      </c>
      <c r="XS86" s="1" t="s">
        <v>66627</v>
      </c>
      <c r="XT86" s="1" t="s">
        <v>66628</v>
      </c>
      <c r="XU86" s="1" t="s">
        <v>66629</v>
      </c>
      <c r="XV86" s="1" t="s">
        <v>66630</v>
      </c>
      <c r="XW86" s="1" t="s">
        <v>66631</v>
      </c>
      <c r="XX86" s="1" t="s">
        <v>66632</v>
      </c>
      <c r="XY86" s="1" t="s">
        <v>66633</v>
      </c>
      <c r="XZ86" s="1" t="s">
        <v>66634</v>
      </c>
      <c r="YA86" s="1" t="s">
        <v>66635</v>
      </c>
      <c r="YB86" s="1" t="s">
        <v>66636</v>
      </c>
      <c r="YC86" s="1" t="s">
        <v>66637</v>
      </c>
      <c r="YD86" s="1" t="s">
        <v>66638</v>
      </c>
      <c r="YE86" s="1" t="s">
        <v>66639</v>
      </c>
      <c r="YF86" s="1" t="s">
        <v>66640</v>
      </c>
      <c r="YG86" s="1" t="s">
        <v>66641</v>
      </c>
      <c r="YH86" s="1" t="s">
        <v>66642</v>
      </c>
      <c r="YI86" s="1" t="s">
        <v>66643</v>
      </c>
      <c r="YJ86" s="1" t="s">
        <v>66644</v>
      </c>
      <c r="YK86" s="1" t="s">
        <v>66645</v>
      </c>
      <c r="YL86" s="1" t="s">
        <v>66646</v>
      </c>
      <c r="YM86" s="1" t="s">
        <v>66647</v>
      </c>
      <c r="YN86" s="1" t="s">
        <v>66648</v>
      </c>
      <c r="YO86" s="1" t="s">
        <v>66649</v>
      </c>
      <c r="YP86" s="1" t="s">
        <v>66650</v>
      </c>
      <c r="YQ86" s="1" t="s">
        <v>66651</v>
      </c>
      <c r="YR86" s="1" t="s">
        <v>66652</v>
      </c>
      <c r="YS86" s="1" t="s">
        <v>66653</v>
      </c>
      <c r="YT86" s="1" t="s">
        <v>66654</v>
      </c>
      <c r="YU86" s="1" t="s">
        <v>66655</v>
      </c>
      <c r="YV86" s="1" t="s">
        <v>66656</v>
      </c>
      <c r="YW86" s="1" t="s">
        <v>66657</v>
      </c>
      <c r="YX86" s="1" t="s">
        <v>66658</v>
      </c>
      <c r="YY86" s="1" t="s">
        <v>66659</v>
      </c>
      <c r="YZ86" s="1" t="s">
        <v>66660</v>
      </c>
      <c r="ZA86" s="1" t="s">
        <v>66661</v>
      </c>
      <c r="ZB86" s="1" t="s">
        <v>66662</v>
      </c>
      <c r="ZC86" s="1" t="s">
        <v>66663</v>
      </c>
      <c r="ZD86" s="1" t="s">
        <v>66664</v>
      </c>
      <c r="ZE86" s="1" t="s">
        <v>66665</v>
      </c>
      <c r="ZF86" s="1" t="s">
        <v>66666</v>
      </c>
      <c r="ZG86" s="1" t="s">
        <v>66667</v>
      </c>
      <c r="ZH86" s="1" t="s">
        <v>66668</v>
      </c>
      <c r="ZI86" s="1" t="s">
        <v>66669</v>
      </c>
      <c r="ZJ86" s="1" t="s">
        <v>66670</v>
      </c>
      <c r="ZK86" s="1" t="s">
        <v>66671</v>
      </c>
      <c r="ZL86" s="1" t="s">
        <v>66672</v>
      </c>
      <c r="ZM86" s="1" t="s">
        <v>66673</v>
      </c>
      <c r="ZN86" s="1" t="s">
        <v>66674</v>
      </c>
      <c r="ZO86" s="1" t="s">
        <v>66675</v>
      </c>
      <c r="ZP86" s="1" t="s">
        <v>66676</v>
      </c>
      <c r="ZQ86" s="1" t="s">
        <v>66677</v>
      </c>
      <c r="ZR86" s="1" t="s">
        <v>66678</v>
      </c>
      <c r="ZS86" s="1" t="s">
        <v>66679</v>
      </c>
      <c r="ZT86" s="1" t="s">
        <v>66680</v>
      </c>
      <c r="ZU86" s="1" t="s">
        <v>66681</v>
      </c>
      <c r="ZV86" s="1" t="s">
        <v>66682</v>
      </c>
      <c r="ZW86" s="1" t="s">
        <v>66683</v>
      </c>
      <c r="ZX86" s="1" t="s">
        <v>66684</v>
      </c>
      <c r="ZY86" s="1" t="s">
        <v>66685</v>
      </c>
      <c r="ZZ86" s="1" t="s">
        <v>66686</v>
      </c>
      <c r="AAA86" s="1" t="s">
        <v>66687</v>
      </c>
      <c r="AAB86" s="1" t="s">
        <v>66688</v>
      </c>
      <c r="AAC86" s="1" t="s">
        <v>66689</v>
      </c>
      <c r="AAD86" s="1" t="s">
        <v>66690</v>
      </c>
      <c r="AAE86" s="1" t="s">
        <v>66691</v>
      </c>
      <c r="AAF86" s="1" t="s">
        <v>66692</v>
      </c>
      <c r="AAG86" s="1" t="s">
        <v>66693</v>
      </c>
      <c r="AAH86" s="1" t="s">
        <v>66694</v>
      </c>
      <c r="AAI86" s="1" t="s">
        <v>66695</v>
      </c>
      <c r="AAJ86" s="1" t="s">
        <v>66696</v>
      </c>
      <c r="AAK86" s="1" t="s">
        <v>66697</v>
      </c>
      <c r="AAL86" s="1" t="s">
        <v>66698</v>
      </c>
      <c r="AAM86" s="1" t="s">
        <v>66699</v>
      </c>
      <c r="AAN86" s="1" t="s">
        <v>66700</v>
      </c>
      <c r="AAO86" s="1" t="s">
        <v>66701</v>
      </c>
      <c r="AAP86" s="1" t="s">
        <v>66702</v>
      </c>
      <c r="AAQ86" s="1" t="s">
        <v>66703</v>
      </c>
      <c r="AAR86" s="1" t="s">
        <v>66704</v>
      </c>
      <c r="AAS86" s="1" t="s">
        <v>66705</v>
      </c>
      <c r="AAT86" s="1" t="s">
        <v>66706</v>
      </c>
      <c r="AAU86" s="1" t="s">
        <v>66707</v>
      </c>
      <c r="AAV86" s="1" t="s">
        <v>66708</v>
      </c>
      <c r="AAW86" s="1" t="s">
        <v>66709</v>
      </c>
      <c r="AAX86" s="1" t="s">
        <v>66710</v>
      </c>
      <c r="AAY86" s="1" t="s">
        <v>66711</v>
      </c>
      <c r="AAZ86" s="1" t="s">
        <v>66712</v>
      </c>
      <c r="ABA86" s="1" t="s">
        <v>66713</v>
      </c>
      <c r="ABB86" s="1" t="s">
        <v>66714</v>
      </c>
      <c r="ABC86" s="1" t="s">
        <v>66715</v>
      </c>
      <c r="ABD86" s="1" t="s">
        <v>66716</v>
      </c>
      <c r="ABE86" s="1" t="s">
        <v>66717</v>
      </c>
      <c r="ABF86" s="1" t="s">
        <v>66718</v>
      </c>
      <c r="ABG86" s="1" t="s">
        <v>66719</v>
      </c>
      <c r="ABH86" s="1" t="s">
        <v>66720</v>
      </c>
      <c r="ABI86" s="1" t="s">
        <v>66721</v>
      </c>
      <c r="ABJ86" s="1" t="s">
        <v>66722</v>
      </c>
      <c r="ABK86" s="1" t="s">
        <v>66723</v>
      </c>
      <c r="ABL86" s="1" t="s">
        <v>66724</v>
      </c>
      <c r="ABM86" s="1" t="s">
        <v>66725</v>
      </c>
      <c r="ABN86" s="1" t="s">
        <v>66726</v>
      </c>
      <c r="ABO86" s="1" t="s">
        <v>66727</v>
      </c>
      <c r="ABP86" s="1" t="s">
        <v>66728</v>
      </c>
      <c r="ABQ86" s="1" t="s">
        <v>66729</v>
      </c>
      <c r="ABR86" s="1" t="s">
        <v>66730</v>
      </c>
      <c r="ABS86" s="1" t="s">
        <v>66731</v>
      </c>
      <c r="ABT86" s="1" t="s">
        <v>66732</v>
      </c>
      <c r="ABU86" s="1" t="s">
        <v>66733</v>
      </c>
      <c r="ABV86" s="1" t="s">
        <v>66734</v>
      </c>
      <c r="ABW86" s="1" t="s">
        <v>66735</v>
      </c>
      <c r="ABX86" s="1" t="s">
        <v>66736</v>
      </c>
      <c r="ABY86" s="1" t="s">
        <v>66737</v>
      </c>
      <c r="ABZ86" s="1" t="s">
        <v>66738</v>
      </c>
      <c r="ACA86" s="1" t="s">
        <v>66739</v>
      </c>
      <c r="ACB86" s="1" t="s">
        <v>66740</v>
      </c>
      <c r="ACC86" s="1" t="s">
        <v>66741</v>
      </c>
      <c r="ACD86" s="1" t="s">
        <v>66742</v>
      </c>
      <c r="ACE86" s="1" t="s">
        <v>66743</v>
      </c>
      <c r="ACF86" s="1" t="s">
        <v>66744</v>
      </c>
      <c r="ACG86" s="1" t="s">
        <v>66745</v>
      </c>
      <c r="ACH86" s="1" t="s">
        <v>66746</v>
      </c>
      <c r="ACI86" s="1" t="s">
        <v>66747</v>
      </c>
      <c r="ACJ86" s="1" t="s">
        <v>66748</v>
      </c>
      <c r="ACK86" s="1" t="s">
        <v>66749</v>
      </c>
      <c r="ACL86" s="1" t="s">
        <v>66750</v>
      </c>
      <c r="ACM86" s="1" t="s">
        <v>66751</v>
      </c>
      <c r="ACN86" s="1" t="s">
        <v>66752</v>
      </c>
      <c r="ACO86" s="1" t="s">
        <v>66753</v>
      </c>
      <c r="ACP86" s="1" t="s">
        <v>66754</v>
      </c>
      <c r="ACQ86" s="1" t="s">
        <v>66755</v>
      </c>
      <c r="ACR86" s="1" t="s">
        <v>66756</v>
      </c>
      <c r="ACS86" s="1" t="s">
        <v>66757</v>
      </c>
      <c r="ACT86" s="1" t="s">
        <v>66758</v>
      </c>
      <c r="ACU86" s="1" t="s">
        <v>66759</v>
      </c>
      <c r="ACV86" s="1" t="s">
        <v>66760</v>
      </c>
      <c r="ACW86" s="1" t="s">
        <v>32</v>
      </c>
      <c r="ACX86" s="1" t="s">
        <v>1499</v>
      </c>
    </row>
    <row r="87" spans="1:778" x14ac:dyDescent="0.2">
      <c r="A87" s="1" t="s">
        <v>87</v>
      </c>
      <c r="B87" s="1" t="s">
        <v>66761</v>
      </c>
      <c r="C87" s="1" t="s">
        <v>66762</v>
      </c>
      <c r="D87" s="1" t="s">
        <v>66763</v>
      </c>
      <c r="E87" s="1" t="s">
        <v>66764</v>
      </c>
      <c r="F87" s="1" t="s">
        <v>66765</v>
      </c>
      <c r="G87" s="1" t="s">
        <v>66766</v>
      </c>
      <c r="H87" s="1" t="s">
        <v>66767</v>
      </c>
      <c r="I87" s="1" t="s">
        <v>66768</v>
      </c>
      <c r="J87" s="1" t="s">
        <v>66769</v>
      </c>
      <c r="K87" s="1" t="s">
        <v>66770</v>
      </c>
      <c r="L87" s="1" t="s">
        <v>66771</v>
      </c>
      <c r="M87" s="1" t="s">
        <v>66772</v>
      </c>
      <c r="N87" s="1" t="s">
        <v>66773</v>
      </c>
      <c r="O87" s="1" t="s">
        <v>66774</v>
      </c>
      <c r="P87" s="1" t="s">
        <v>66775</v>
      </c>
      <c r="Q87" s="1" t="s">
        <v>66776</v>
      </c>
      <c r="R87" s="1" t="s">
        <v>66777</v>
      </c>
      <c r="S87" s="1" t="s">
        <v>66778</v>
      </c>
      <c r="T87" s="1" t="s">
        <v>66779</v>
      </c>
      <c r="U87" s="1" t="s">
        <v>66780</v>
      </c>
      <c r="V87" s="1" t="s">
        <v>66781</v>
      </c>
      <c r="W87" s="1" t="s">
        <v>66782</v>
      </c>
      <c r="X87" s="1" t="s">
        <v>66783</v>
      </c>
      <c r="Y87" s="1" t="s">
        <v>66784</v>
      </c>
      <c r="Z87" s="1" t="s">
        <v>66785</v>
      </c>
      <c r="AA87" s="1" t="s">
        <v>66786</v>
      </c>
      <c r="AB87" s="1" t="s">
        <v>66787</v>
      </c>
      <c r="AC87" s="1" t="s">
        <v>66788</v>
      </c>
      <c r="AD87" s="1" t="s">
        <v>66789</v>
      </c>
      <c r="AE87" s="1" t="s">
        <v>66790</v>
      </c>
      <c r="AF87" s="1" t="s">
        <v>66791</v>
      </c>
      <c r="AG87" s="1" t="s">
        <v>66792</v>
      </c>
      <c r="AH87" s="1" t="s">
        <v>66793</v>
      </c>
      <c r="AI87" s="1" t="s">
        <v>66794</v>
      </c>
      <c r="AJ87" s="1" t="s">
        <v>66795</v>
      </c>
      <c r="AK87" s="1" t="s">
        <v>66796</v>
      </c>
      <c r="AL87" s="1" t="s">
        <v>66797</v>
      </c>
      <c r="AM87" s="1" t="s">
        <v>66798</v>
      </c>
      <c r="AN87" s="1" t="s">
        <v>66799</v>
      </c>
      <c r="AO87" s="1" t="s">
        <v>66800</v>
      </c>
      <c r="AP87" s="1" t="s">
        <v>66801</v>
      </c>
      <c r="AQ87" s="1" t="s">
        <v>66802</v>
      </c>
      <c r="AR87" s="1" t="s">
        <v>66803</v>
      </c>
      <c r="AS87" s="1" t="s">
        <v>66804</v>
      </c>
      <c r="AT87" s="1" t="s">
        <v>66805</v>
      </c>
      <c r="AU87" s="1" t="s">
        <v>66806</v>
      </c>
      <c r="AV87" s="1" t="s">
        <v>66807</v>
      </c>
      <c r="AW87" s="1" t="s">
        <v>66808</v>
      </c>
      <c r="AX87" s="1" t="s">
        <v>66809</v>
      </c>
      <c r="AY87" s="1" t="s">
        <v>66810</v>
      </c>
      <c r="AZ87" s="1" t="s">
        <v>66811</v>
      </c>
      <c r="BA87" s="1" t="s">
        <v>66812</v>
      </c>
      <c r="BB87" s="1" t="s">
        <v>66813</v>
      </c>
      <c r="BC87" s="1" t="s">
        <v>66814</v>
      </c>
      <c r="BD87" s="1" t="s">
        <v>66815</v>
      </c>
      <c r="BE87" s="1" t="s">
        <v>66816</v>
      </c>
      <c r="BF87" s="1" t="s">
        <v>66817</v>
      </c>
      <c r="BG87" s="1" t="s">
        <v>66818</v>
      </c>
      <c r="BH87" s="1" t="s">
        <v>66819</v>
      </c>
      <c r="BI87" s="1" t="s">
        <v>66820</v>
      </c>
      <c r="BJ87" s="1" t="s">
        <v>66821</v>
      </c>
      <c r="BK87" s="1" t="s">
        <v>66822</v>
      </c>
      <c r="BL87" s="1" t="s">
        <v>66823</v>
      </c>
      <c r="BM87" s="1" t="s">
        <v>66824</v>
      </c>
      <c r="BN87" s="1" t="s">
        <v>66825</v>
      </c>
      <c r="BO87" s="1" t="s">
        <v>66826</v>
      </c>
      <c r="BP87" s="1" t="s">
        <v>66827</v>
      </c>
      <c r="BQ87" s="1" t="s">
        <v>66828</v>
      </c>
      <c r="BR87" s="1" t="s">
        <v>66829</v>
      </c>
      <c r="BS87" s="1" t="s">
        <v>66830</v>
      </c>
      <c r="BT87" s="1" t="s">
        <v>66831</v>
      </c>
      <c r="BU87" s="1" t="s">
        <v>66832</v>
      </c>
      <c r="BV87" s="1" t="s">
        <v>66833</v>
      </c>
      <c r="BW87" s="1" t="s">
        <v>66834</v>
      </c>
      <c r="BX87" s="1" t="s">
        <v>66835</v>
      </c>
      <c r="BY87" s="1" t="s">
        <v>66836</v>
      </c>
      <c r="BZ87" s="1" t="s">
        <v>66837</v>
      </c>
      <c r="CA87" s="1" t="s">
        <v>66838</v>
      </c>
      <c r="CB87" s="1" t="s">
        <v>66839</v>
      </c>
      <c r="CC87" s="1" t="s">
        <v>66840</v>
      </c>
      <c r="CD87" s="1" t="s">
        <v>66841</v>
      </c>
      <c r="CE87" s="1" t="s">
        <v>66842</v>
      </c>
      <c r="CF87" s="1" t="s">
        <v>66843</v>
      </c>
      <c r="CG87" s="1" t="s">
        <v>66844</v>
      </c>
      <c r="CH87" s="1" t="s">
        <v>66845</v>
      </c>
      <c r="CI87" s="1" t="s">
        <v>66846</v>
      </c>
      <c r="CJ87" s="1" t="s">
        <v>66847</v>
      </c>
      <c r="CK87" s="1" t="s">
        <v>66848</v>
      </c>
      <c r="CL87" s="1" t="s">
        <v>66849</v>
      </c>
      <c r="CM87" s="1" t="s">
        <v>66850</v>
      </c>
      <c r="CN87" s="1" t="s">
        <v>66851</v>
      </c>
      <c r="CO87" s="1" t="s">
        <v>66852</v>
      </c>
      <c r="CP87" s="1" t="s">
        <v>66853</v>
      </c>
      <c r="CQ87" s="1" t="s">
        <v>66854</v>
      </c>
      <c r="CR87" s="1" t="s">
        <v>66855</v>
      </c>
      <c r="CS87" s="1" t="s">
        <v>66856</v>
      </c>
      <c r="CT87" s="1" t="s">
        <v>66857</v>
      </c>
      <c r="CU87" s="1" t="s">
        <v>66858</v>
      </c>
      <c r="CV87" s="1" t="s">
        <v>66859</v>
      </c>
      <c r="CW87" s="1" t="s">
        <v>66860</v>
      </c>
      <c r="CX87" s="1" t="s">
        <v>66861</v>
      </c>
      <c r="CY87" s="1" t="s">
        <v>66862</v>
      </c>
      <c r="CZ87" s="1" t="s">
        <v>66863</v>
      </c>
      <c r="DA87" s="1" t="s">
        <v>66864</v>
      </c>
      <c r="DB87" s="1" t="s">
        <v>66865</v>
      </c>
      <c r="DC87" s="1" t="s">
        <v>66866</v>
      </c>
      <c r="DD87" s="1" t="s">
        <v>66867</v>
      </c>
      <c r="DE87" s="1" t="s">
        <v>66868</v>
      </c>
      <c r="DF87" s="1" t="s">
        <v>66869</v>
      </c>
      <c r="DG87" s="1" t="s">
        <v>66870</v>
      </c>
      <c r="DH87" s="1" t="s">
        <v>66871</v>
      </c>
      <c r="DI87" s="1" t="s">
        <v>66872</v>
      </c>
      <c r="DJ87" s="1" t="s">
        <v>66873</v>
      </c>
      <c r="DK87" s="1" t="s">
        <v>66874</v>
      </c>
      <c r="DL87" s="1" t="s">
        <v>66875</v>
      </c>
      <c r="DM87" s="1" t="s">
        <v>66876</v>
      </c>
      <c r="DN87" s="1" t="s">
        <v>66877</v>
      </c>
      <c r="DO87" s="1" t="s">
        <v>66878</v>
      </c>
      <c r="DP87" s="1" t="s">
        <v>66879</v>
      </c>
      <c r="DQ87" s="1" t="s">
        <v>66880</v>
      </c>
      <c r="DR87" s="1" t="s">
        <v>66881</v>
      </c>
      <c r="DS87" s="1" t="s">
        <v>66882</v>
      </c>
      <c r="DT87" s="1" t="s">
        <v>66883</v>
      </c>
      <c r="DU87" s="1" t="s">
        <v>66884</v>
      </c>
      <c r="DV87" s="1" t="s">
        <v>66885</v>
      </c>
      <c r="DW87" s="1" t="s">
        <v>66886</v>
      </c>
      <c r="DX87" s="1" t="s">
        <v>66887</v>
      </c>
      <c r="DY87" s="1" t="s">
        <v>66888</v>
      </c>
      <c r="DZ87" s="1" t="s">
        <v>66889</v>
      </c>
      <c r="EA87" s="1" t="s">
        <v>66890</v>
      </c>
      <c r="EB87" s="1" t="s">
        <v>66891</v>
      </c>
      <c r="EC87" s="1" t="s">
        <v>66892</v>
      </c>
      <c r="ED87" s="1" t="s">
        <v>66893</v>
      </c>
      <c r="EE87" s="1" t="s">
        <v>66894</v>
      </c>
      <c r="EF87" s="1" t="s">
        <v>66895</v>
      </c>
      <c r="EG87" s="1" t="s">
        <v>66896</v>
      </c>
      <c r="EH87" s="1" t="s">
        <v>66897</v>
      </c>
      <c r="EI87" s="1" t="s">
        <v>66898</v>
      </c>
      <c r="EJ87" s="1" t="s">
        <v>66899</v>
      </c>
      <c r="EK87" s="1" t="s">
        <v>66900</v>
      </c>
      <c r="EL87" s="1" t="s">
        <v>66901</v>
      </c>
      <c r="EM87" s="1" t="s">
        <v>66902</v>
      </c>
      <c r="EN87" s="1" t="s">
        <v>66903</v>
      </c>
      <c r="EO87" s="1" t="s">
        <v>66904</v>
      </c>
      <c r="EP87" s="1" t="s">
        <v>66905</v>
      </c>
      <c r="EQ87" s="1" t="s">
        <v>66906</v>
      </c>
      <c r="ER87" s="1" t="s">
        <v>66907</v>
      </c>
      <c r="ES87" s="1" t="s">
        <v>66908</v>
      </c>
      <c r="ET87" s="1" t="s">
        <v>66909</v>
      </c>
      <c r="EU87" s="1" t="s">
        <v>66910</v>
      </c>
      <c r="EV87" s="1" t="s">
        <v>66911</v>
      </c>
      <c r="EW87" s="1" t="s">
        <v>66912</v>
      </c>
      <c r="EX87" s="1" t="s">
        <v>66913</v>
      </c>
      <c r="EY87" s="1" t="s">
        <v>66914</v>
      </c>
      <c r="EZ87" s="1" t="s">
        <v>66915</v>
      </c>
      <c r="FA87" s="1" t="s">
        <v>66916</v>
      </c>
      <c r="FB87" s="1" t="s">
        <v>66917</v>
      </c>
      <c r="FC87" s="1" t="s">
        <v>66918</v>
      </c>
      <c r="FD87" s="1" t="s">
        <v>66919</v>
      </c>
      <c r="FE87" s="1" t="s">
        <v>66920</v>
      </c>
      <c r="FF87" s="1" t="s">
        <v>66921</v>
      </c>
      <c r="FG87" s="1" t="s">
        <v>66922</v>
      </c>
      <c r="FH87" s="1" t="s">
        <v>66923</v>
      </c>
      <c r="FI87" s="1" t="s">
        <v>66924</v>
      </c>
      <c r="FJ87" s="1" t="s">
        <v>66925</v>
      </c>
      <c r="FK87" s="1" t="s">
        <v>66926</v>
      </c>
      <c r="FL87" s="1" t="s">
        <v>66927</v>
      </c>
      <c r="FM87" s="1" t="s">
        <v>66928</v>
      </c>
      <c r="FN87" s="1" t="s">
        <v>66929</v>
      </c>
      <c r="FO87" s="1" t="s">
        <v>66930</v>
      </c>
      <c r="FP87" s="1" t="s">
        <v>66931</v>
      </c>
      <c r="FQ87" s="1" t="s">
        <v>66932</v>
      </c>
      <c r="FR87" s="1" t="s">
        <v>66933</v>
      </c>
      <c r="FS87" s="1" t="s">
        <v>66934</v>
      </c>
      <c r="FT87" s="1" t="s">
        <v>66935</v>
      </c>
      <c r="FU87" s="1" t="s">
        <v>66936</v>
      </c>
      <c r="FV87" s="1" t="s">
        <v>66937</v>
      </c>
      <c r="FW87" s="1" t="s">
        <v>66938</v>
      </c>
      <c r="FX87" s="1" t="s">
        <v>66939</v>
      </c>
      <c r="FY87" s="1" t="s">
        <v>66940</v>
      </c>
      <c r="FZ87" s="1" t="s">
        <v>66941</v>
      </c>
      <c r="GA87" s="1" t="s">
        <v>66942</v>
      </c>
      <c r="GB87" s="1" t="s">
        <v>66943</v>
      </c>
      <c r="GC87" s="1" t="s">
        <v>66944</v>
      </c>
      <c r="GD87" s="1" t="s">
        <v>66945</v>
      </c>
      <c r="GE87" s="1" t="s">
        <v>66946</v>
      </c>
      <c r="GF87" s="1" t="s">
        <v>66947</v>
      </c>
      <c r="GG87" s="1" t="s">
        <v>66948</v>
      </c>
      <c r="GH87" s="1" t="s">
        <v>66949</v>
      </c>
      <c r="GI87" s="1" t="s">
        <v>66950</v>
      </c>
      <c r="GJ87" s="1" t="s">
        <v>66951</v>
      </c>
      <c r="GK87" s="1" t="s">
        <v>66952</v>
      </c>
      <c r="GL87" s="1" t="s">
        <v>66953</v>
      </c>
      <c r="GM87" s="1" t="s">
        <v>66954</v>
      </c>
      <c r="GN87" s="1" t="s">
        <v>66955</v>
      </c>
      <c r="GO87" s="1" t="s">
        <v>66956</v>
      </c>
      <c r="GP87" s="1" t="s">
        <v>66957</v>
      </c>
      <c r="GQ87" s="1" t="s">
        <v>66958</v>
      </c>
      <c r="GR87" s="1" t="s">
        <v>66959</v>
      </c>
      <c r="GS87" s="1" t="s">
        <v>66960</v>
      </c>
      <c r="GT87" s="1" t="s">
        <v>66961</v>
      </c>
      <c r="GU87" s="1" t="s">
        <v>66962</v>
      </c>
      <c r="GV87" s="1" t="s">
        <v>66963</v>
      </c>
      <c r="GW87" s="1" t="s">
        <v>66964</v>
      </c>
      <c r="GX87" s="1" t="s">
        <v>66965</v>
      </c>
      <c r="GY87" s="1" t="s">
        <v>66966</v>
      </c>
      <c r="GZ87" s="1" t="s">
        <v>66967</v>
      </c>
      <c r="HA87" s="1" t="s">
        <v>66968</v>
      </c>
      <c r="HB87" s="1" t="s">
        <v>66969</v>
      </c>
      <c r="HC87" s="1" t="s">
        <v>66970</v>
      </c>
      <c r="HD87" s="1" t="s">
        <v>66971</v>
      </c>
      <c r="HE87" s="1" t="s">
        <v>66972</v>
      </c>
      <c r="HF87" s="1" t="s">
        <v>66973</v>
      </c>
      <c r="HG87" s="1" t="s">
        <v>66974</v>
      </c>
      <c r="HH87" s="1" t="s">
        <v>66975</v>
      </c>
      <c r="HI87" s="1" t="s">
        <v>66976</v>
      </c>
      <c r="HJ87" s="1" t="s">
        <v>66977</v>
      </c>
      <c r="HK87" s="1" t="s">
        <v>66978</v>
      </c>
      <c r="HL87" s="1" t="s">
        <v>66979</v>
      </c>
      <c r="HM87" s="1" t="s">
        <v>66980</v>
      </c>
      <c r="HN87" s="1" t="s">
        <v>66981</v>
      </c>
      <c r="HO87" s="1" t="s">
        <v>66982</v>
      </c>
      <c r="HP87" s="1" t="s">
        <v>66983</v>
      </c>
      <c r="HQ87" s="1" t="s">
        <v>66984</v>
      </c>
      <c r="HR87" s="1" t="s">
        <v>66985</v>
      </c>
      <c r="HS87" s="1" t="s">
        <v>66986</v>
      </c>
      <c r="HT87" s="1" t="s">
        <v>66987</v>
      </c>
      <c r="HU87" s="1" t="s">
        <v>66988</v>
      </c>
      <c r="HV87" s="1" t="s">
        <v>66989</v>
      </c>
      <c r="HW87" s="1" t="s">
        <v>66990</v>
      </c>
      <c r="HX87" s="1" t="s">
        <v>66991</v>
      </c>
      <c r="HY87" s="1" t="s">
        <v>66992</v>
      </c>
      <c r="HZ87" s="1" t="s">
        <v>66993</v>
      </c>
      <c r="IA87" s="1" t="s">
        <v>66994</v>
      </c>
      <c r="IB87" s="1" t="s">
        <v>66995</v>
      </c>
      <c r="IC87" s="1" t="s">
        <v>66996</v>
      </c>
      <c r="ID87" s="1" t="s">
        <v>66997</v>
      </c>
      <c r="IE87" s="1" t="s">
        <v>66998</v>
      </c>
      <c r="IF87" s="1" t="s">
        <v>66999</v>
      </c>
      <c r="IG87" s="1" t="s">
        <v>67000</v>
      </c>
      <c r="IH87" s="1" t="s">
        <v>67001</v>
      </c>
      <c r="II87" s="1" t="s">
        <v>67002</v>
      </c>
      <c r="IJ87" s="1" t="s">
        <v>67003</v>
      </c>
      <c r="IK87" s="1" t="s">
        <v>67004</v>
      </c>
      <c r="IL87" s="1" t="s">
        <v>67005</v>
      </c>
      <c r="IM87" s="1" t="s">
        <v>67006</v>
      </c>
      <c r="IN87" s="1" t="s">
        <v>67007</v>
      </c>
      <c r="IO87" s="1" t="s">
        <v>67008</v>
      </c>
      <c r="IP87" s="1" t="s">
        <v>67009</v>
      </c>
      <c r="IQ87" s="1" t="s">
        <v>67010</v>
      </c>
      <c r="IR87" s="1" t="s">
        <v>67011</v>
      </c>
      <c r="IS87" s="1" t="s">
        <v>67012</v>
      </c>
      <c r="IT87" s="1" t="s">
        <v>67013</v>
      </c>
      <c r="IU87" s="1" t="s">
        <v>67014</v>
      </c>
      <c r="IV87" s="1" t="s">
        <v>67015</v>
      </c>
      <c r="IW87" s="1" t="s">
        <v>67016</v>
      </c>
      <c r="IX87" s="1" t="s">
        <v>67017</v>
      </c>
      <c r="IY87" s="1" t="s">
        <v>67018</v>
      </c>
      <c r="IZ87" s="1" t="s">
        <v>67019</v>
      </c>
      <c r="JA87" s="1" t="s">
        <v>67020</v>
      </c>
      <c r="JB87" s="1" t="s">
        <v>67021</v>
      </c>
      <c r="JC87" s="1" t="s">
        <v>67022</v>
      </c>
      <c r="JD87" s="1" t="s">
        <v>67023</v>
      </c>
      <c r="JE87" s="1" t="s">
        <v>67024</v>
      </c>
      <c r="JF87" s="1" t="s">
        <v>67025</v>
      </c>
      <c r="JG87" s="1" t="s">
        <v>67026</v>
      </c>
      <c r="JH87" s="1" t="s">
        <v>67027</v>
      </c>
      <c r="JI87" s="1" t="s">
        <v>67028</v>
      </c>
      <c r="JJ87" s="1" t="s">
        <v>67029</v>
      </c>
      <c r="JK87" s="1" t="s">
        <v>67030</v>
      </c>
      <c r="JL87" s="1" t="s">
        <v>67031</v>
      </c>
      <c r="JM87" s="1" t="s">
        <v>67032</v>
      </c>
      <c r="JN87" s="1" t="s">
        <v>67033</v>
      </c>
      <c r="JO87" s="1" t="s">
        <v>67034</v>
      </c>
      <c r="JP87" s="1" t="s">
        <v>67035</v>
      </c>
      <c r="JQ87" s="1" t="s">
        <v>67036</v>
      </c>
      <c r="JR87" s="1" t="s">
        <v>67037</v>
      </c>
      <c r="JS87" s="1" t="s">
        <v>67038</v>
      </c>
      <c r="JT87" s="1" t="s">
        <v>67039</v>
      </c>
      <c r="JU87" s="1" t="s">
        <v>67040</v>
      </c>
      <c r="JV87" s="1" t="s">
        <v>67041</v>
      </c>
      <c r="JW87" s="1" t="s">
        <v>67042</v>
      </c>
      <c r="JX87" s="1" t="s">
        <v>67043</v>
      </c>
      <c r="JY87" s="1" t="s">
        <v>67044</v>
      </c>
      <c r="JZ87" s="1" t="s">
        <v>67045</v>
      </c>
      <c r="KA87" s="1" t="s">
        <v>67046</v>
      </c>
      <c r="KB87" s="1" t="s">
        <v>67047</v>
      </c>
      <c r="KC87" s="1" t="s">
        <v>67048</v>
      </c>
      <c r="KD87" s="1" t="s">
        <v>67049</v>
      </c>
      <c r="KE87" s="1" t="s">
        <v>67050</v>
      </c>
      <c r="KF87" s="1" t="s">
        <v>67051</v>
      </c>
      <c r="KG87" s="1" t="s">
        <v>67052</v>
      </c>
      <c r="KH87" s="1" t="s">
        <v>67053</v>
      </c>
      <c r="KI87" s="1" t="s">
        <v>67054</v>
      </c>
      <c r="KJ87" s="1" t="s">
        <v>67055</v>
      </c>
      <c r="KK87" s="1" t="s">
        <v>67056</v>
      </c>
      <c r="KL87" s="1" t="s">
        <v>67057</v>
      </c>
      <c r="KM87" s="1" t="s">
        <v>67058</v>
      </c>
      <c r="KN87" s="1" t="s">
        <v>67059</v>
      </c>
      <c r="KO87" s="1" t="s">
        <v>67060</v>
      </c>
      <c r="KP87" s="1" t="s">
        <v>67061</v>
      </c>
      <c r="KQ87" s="1" t="s">
        <v>67062</v>
      </c>
      <c r="KR87" s="1" t="s">
        <v>67063</v>
      </c>
      <c r="KS87" s="1" t="s">
        <v>67064</v>
      </c>
      <c r="KT87" s="1" t="s">
        <v>67065</v>
      </c>
      <c r="KU87" s="1" t="s">
        <v>67066</v>
      </c>
      <c r="KV87" s="1" t="s">
        <v>67067</v>
      </c>
      <c r="KW87" s="1" t="s">
        <v>67068</v>
      </c>
      <c r="KX87" s="1" t="s">
        <v>67069</v>
      </c>
      <c r="KY87" s="1" t="s">
        <v>67070</v>
      </c>
      <c r="KZ87" s="1" t="s">
        <v>67071</v>
      </c>
      <c r="LA87" s="1" t="s">
        <v>67072</v>
      </c>
      <c r="LB87" s="1" t="s">
        <v>67073</v>
      </c>
      <c r="LC87" s="1" t="s">
        <v>67074</v>
      </c>
      <c r="LD87" s="1" t="s">
        <v>67075</v>
      </c>
      <c r="LE87" s="1" t="s">
        <v>67076</v>
      </c>
      <c r="LF87" s="1" t="s">
        <v>67077</v>
      </c>
      <c r="LG87" s="1" t="s">
        <v>67078</v>
      </c>
      <c r="LH87" s="1" t="s">
        <v>67079</v>
      </c>
      <c r="LI87" s="1" t="s">
        <v>67080</v>
      </c>
      <c r="LJ87" s="1" t="s">
        <v>67081</v>
      </c>
      <c r="LK87" s="1" t="s">
        <v>67082</v>
      </c>
      <c r="LL87" s="1" t="s">
        <v>67083</v>
      </c>
      <c r="LM87" s="1" t="s">
        <v>67084</v>
      </c>
      <c r="LN87" s="1" t="s">
        <v>67085</v>
      </c>
      <c r="LO87" s="1" t="s">
        <v>67086</v>
      </c>
      <c r="LP87" s="1" t="s">
        <v>67087</v>
      </c>
      <c r="LQ87" s="1" t="s">
        <v>67088</v>
      </c>
      <c r="LR87" s="1" t="s">
        <v>67089</v>
      </c>
      <c r="LS87" s="1" t="s">
        <v>67090</v>
      </c>
      <c r="LT87" s="1" t="s">
        <v>67091</v>
      </c>
      <c r="LU87" s="1" t="s">
        <v>67092</v>
      </c>
      <c r="LV87" s="1" t="s">
        <v>67093</v>
      </c>
      <c r="LW87" s="1" t="s">
        <v>67094</v>
      </c>
      <c r="LX87" s="1" t="s">
        <v>67095</v>
      </c>
      <c r="LY87" s="1" t="s">
        <v>67096</v>
      </c>
      <c r="LZ87" s="1" t="s">
        <v>67097</v>
      </c>
      <c r="MA87" s="1" t="s">
        <v>67098</v>
      </c>
      <c r="MB87" s="1" t="s">
        <v>67099</v>
      </c>
      <c r="MC87" s="1" t="s">
        <v>67100</v>
      </c>
      <c r="MD87" s="1" t="s">
        <v>67101</v>
      </c>
      <c r="ME87" s="1" t="s">
        <v>67102</v>
      </c>
      <c r="MF87" s="1" t="s">
        <v>67103</v>
      </c>
      <c r="MG87" s="1" t="s">
        <v>67104</v>
      </c>
      <c r="MH87" s="1" t="s">
        <v>67105</v>
      </c>
      <c r="MI87" s="1" t="s">
        <v>67106</v>
      </c>
      <c r="MJ87" s="1" t="s">
        <v>67107</v>
      </c>
      <c r="MK87" s="1" t="s">
        <v>67108</v>
      </c>
      <c r="ML87" s="1" t="s">
        <v>67109</v>
      </c>
      <c r="MM87" s="1" t="s">
        <v>67110</v>
      </c>
      <c r="MN87" s="1" t="s">
        <v>67111</v>
      </c>
      <c r="MO87" s="1" t="s">
        <v>67112</v>
      </c>
      <c r="MP87" s="1" t="s">
        <v>67113</v>
      </c>
      <c r="MQ87" s="1" t="s">
        <v>67114</v>
      </c>
      <c r="MR87" s="1" t="s">
        <v>67115</v>
      </c>
      <c r="MS87" s="1" t="s">
        <v>67116</v>
      </c>
      <c r="MT87" s="1" t="s">
        <v>67117</v>
      </c>
      <c r="MU87" s="1" t="s">
        <v>67118</v>
      </c>
      <c r="MV87" s="1" t="s">
        <v>67119</v>
      </c>
      <c r="MW87" s="1" t="s">
        <v>67120</v>
      </c>
      <c r="MX87" s="1" t="s">
        <v>67121</v>
      </c>
      <c r="MY87" s="1" t="s">
        <v>67122</v>
      </c>
      <c r="MZ87" s="1" t="s">
        <v>67123</v>
      </c>
      <c r="NA87" s="1" t="s">
        <v>67124</v>
      </c>
      <c r="NB87" s="1" t="s">
        <v>67125</v>
      </c>
      <c r="NC87" s="1" t="s">
        <v>67126</v>
      </c>
      <c r="ND87" s="1" t="s">
        <v>67127</v>
      </c>
      <c r="NE87" s="1" t="s">
        <v>67128</v>
      </c>
      <c r="NF87" s="1" t="s">
        <v>67129</v>
      </c>
      <c r="NG87" s="1" t="s">
        <v>67130</v>
      </c>
      <c r="NH87" s="1" t="s">
        <v>67131</v>
      </c>
      <c r="NI87" s="1" t="s">
        <v>67132</v>
      </c>
      <c r="NJ87" s="1" t="s">
        <v>67133</v>
      </c>
      <c r="NK87" s="1" t="s">
        <v>67134</v>
      </c>
      <c r="NL87" s="1" t="s">
        <v>67135</v>
      </c>
      <c r="NM87" s="1" t="s">
        <v>67136</v>
      </c>
      <c r="NN87" s="1" t="s">
        <v>67137</v>
      </c>
      <c r="NO87" s="1" t="s">
        <v>67138</v>
      </c>
      <c r="NP87" s="1" t="s">
        <v>67139</v>
      </c>
      <c r="NQ87" s="1" t="s">
        <v>67140</v>
      </c>
      <c r="NR87" s="1" t="s">
        <v>67141</v>
      </c>
      <c r="NS87" s="1" t="s">
        <v>67142</v>
      </c>
      <c r="NT87" s="1" t="s">
        <v>67143</v>
      </c>
      <c r="NU87" s="1" t="s">
        <v>67144</v>
      </c>
      <c r="NV87" s="1" t="s">
        <v>67145</v>
      </c>
      <c r="NW87" s="1" t="s">
        <v>67146</v>
      </c>
      <c r="NX87" s="1" t="s">
        <v>67147</v>
      </c>
      <c r="NY87" s="1" t="s">
        <v>67148</v>
      </c>
      <c r="NZ87" s="1" t="s">
        <v>67149</v>
      </c>
      <c r="OA87" s="1" t="s">
        <v>67150</v>
      </c>
      <c r="OB87" s="1" t="s">
        <v>67151</v>
      </c>
      <c r="OC87" s="1" t="s">
        <v>67152</v>
      </c>
      <c r="OD87" s="1" t="s">
        <v>67153</v>
      </c>
      <c r="OE87" s="1" t="s">
        <v>67154</v>
      </c>
      <c r="OF87" s="1" t="s">
        <v>67155</v>
      </c>
      <c r="OG87" s="1" t="s">
        <v>67156</v>
      </c>
      <c r="OH87" s="1" t="s">
        <v>67157</v>
      </c>
      <c r="OI87" s="1" t="s">
        <v>67158</v>
      </c>
      <c r="OJ87" s="1" t="s">
        <v>67159</v>
      </c>
      <c r="OK87" s="1" t="s">
        <v>67160</v>
      </c>
      <c r="OL87" s="1" t="s">
        <v>67161</v>
      </c>
      <c r="OM87" s="1" t="s">
        <v>67162</v>
      </c>
      <c r="ON87" s="1" t="s">
        <v>67163</v>
      </c>
      <c r="OO87" s="1" t="s">
        <v>67164</v>
      </c>
      <c r="OP87" s="1" t="s">
        <v>67165</v>
      </c>
      <c r="OQ87" s="1" t="s">
        <v>67166</v>
      </c>
      <c r="OR87" s="1" t="s">
        <v>67167</v>
      </c>
      <c r="OS87" s="1" t="s">
        <v>67168</v>
      </c>
      <c r="OT87" s="1" t="s">
        <v>67169</v>
      </c>
      <c r="OU87" s="1" t="s">
        <v>67170</v>
      </c>
      <c r="OV87" s="1" t="s">
        <v>67171</v>
      </c>
      <c r="OW87" s="1" t="s">
        <v>67172</v>
      </c>
      <c r="OX87" s="1" t="s">
        <v>67173</v>
      </c>
      <c r="OY87" s="1" t="s">
        <v>67174</v>
      </c>
      <c r="OZ87" s="1" t="s">
        <v>67175</v>
      </c>
      <c r="PA87" s="1" t="s">
        <v>67176</v>
      </c>
      <c r="PB87" s="1" t="s">
        <v>67177</v>
      </c>
      <c r="PC87" s="1" t="s">
        <v>67178</v>
      </c>
      <c r="PD87" s="1" t="s">
        <v>67179</v>
      </c>
      <c r="PE87" s="1" t="s">
        <v>67180</v>
      </c>
      <c r="PF87" s="1" t="s">
        <v>67181</v>
      </c>
      <c r="PG87" s="1" t="s">
        <v>67182</v>
      </c>
      <c r="PH87" s="1" t="s">
        <v>67183</v>
      </c>
      <c r="PI87" s="1" t="s">
        <v>67184</v>
      </c>
      <c r="PJ87" s="1" t="s">
        <v>67185</v>
      </c>
      <c r="PK87" s="1" t="s">
        <v>67186</v>
      </c>
      <c r="PL87" s="1" t="s">
        <v>67187</v>
      </c>
      <c r="PM87" s="1" t="s">
        <v>67188</v>
      </c>
      <c r="PN87" s="1" t="s">
        <v>67189</v>
      </c>
      <c r="PO87" s="1" t="s">
        <v>67190</v>
      </c>
      <c r="PP87" s="1" t="s">
        <v>67191</v>
      </c>
      <c r="PQ87" s="1" t="s">
        <v>67192</v>
      </c>
      <c r="PR87" s="1" t="s">
        <v>67193</v>
      </c>
      <c r="PS87" s="1" t="s">
        <v>67194</v>
      </c>
      <c r="PT87" s="1" t="s">
        <v>67195</v>
      </c>
      <c r="PU87" s="1" t="s">
        <v>67196</v>
      </c>
      <c r="PV87" s="1" t="s">
        <v>67197</v>
      </c>
      <c r="PW87" s="1" t="s">
        <v>67198</v>
      </c>
      <c r="PX87" s="1" t="s">
        <v>67199</v>
      </c>
      <c r="PY87" s="1" t="s">
        <v>67200</v>
      </c>
      <c r="PZ87" s="1" t="s">
        <v>67201</v>
      </c>
      <c r="QA87" s="1" t="s">
        <v>67202</v>
      </c>
      <c r="QB87" s="1" t="s">
        <v>67203</v>
      </c>
      <c r="QC87" s="1" t="s">
        <v>67204</v>
      </c>
      <c r="QD87" s="1" t="s">
        <v>67205</v>
      </c>
      <c r="QE87" s="1" t="s">
        <v>67206</v>
      </c>
      <c r="QF87" s="1" t="s">
        <v>67207</v>
      </c>
      <c r="QG87" s="1" t="s">
        <v>67208</v>
      </c>
      <c r="QH87" s="1" t="s">
        <v>67209</v>
      </c>
      <c r="QI87" s="1" t="s">
        <v>67210</v>
      </c>
      <c r="QJ87" s="1" t="s">
        <v>67211</v>
      </c>
      <c r="QK87" s="1" t="s">
        <v>67212</v>
      </c>
      <c r="QL87" s="1" t="s">
        <v>67213</v>
      </c>
      <c r="QM87" s="1" t="s">
        <v>67214</v>
      </c>
      <c r="QN87" s="1" t="s">
        <v>67215</v>
      </c>
      <c r="QO87" s="1" t="s">
        <v>67216</v>
      </c>
      <c r="QP87" s="1" t="s">
        <v>67217</v>
      </c>
      <c r="QQ87" s="1" t="s">
        <v>67218</v>
      </c>
      <c r="QR87" s="1" t="s">
        <v>67219</v>
      </c>
      <c r="QS87" s="1" t="s">
        <v>67220</v>
      </c>
      <c r="QT87" s="1" t="s">
        <v>67221</v>
      </c>
      <c r="QU87" s="1" t="s">
        <v>67222</v>
      </c>
      <c r="QV87" s="1" t="s">
        <v>67223</v>
      </c>
      <c r="QW87" s="1" t="s">
        <v>67224</v>
      </c>
      <c r="QX87" s="1" t="s">
        <v>67225</v>
      </c>
      <c r="QY87" s="1" t="s">
        <v>67226</v>
      </c>
      <c r="QZ87" s="1" t="s">
        <v>67227</v>
      </c>
      <c r="RA87" s="1" t="s">
        <v>67228</v>
      </c>
      <c r="RB87" s="1" t="s">
        <v>67229</v>
      </c>
      <c r="RC87" s="1" t="s">
        <v>67230</v>
      </c>
      <c r="RD87" s="1" t="s">
        <v>67231</v>
      </c>
      <c r="RE87" s="1" t="s">
        <v>67232</v>
      </c>
      <c r="RF87" s="1" t="s">
        <v>67233</v>
      </c>
      <c r="RG87" s="1" t="s">
        <v>67234</v>
      </c>
      <c r="RH87" s="1" t="s">
        <v>67235</v>
      </c>
      <c r="RI87" s="1" t="s">
        <v>67236</v>
      </c>
      <c r="RJ87" s="1" t="s">
        <v>67237</v>
      </c>
      <c r="RK87" s="1" t="s">
        <v>67238</v>
      </c>
      <c r="RL87" s="1" t="s">
        <v>67239</v>
      </c>
      <c r="RM87" s="1" t="s">
        <v>67240</v>
      </c>
      <c r="RN87" s="1" t="s">
        <v>67241</v>
      </c>
      <c r="RO87" s="1" t="s">
        <v>67242</v>
      </c>
      <c r="RP87" s="1" t="s">
        <v>67243</v>
      </c>
      <c r="RQ87" s="1" t="s">
        <v>67244</v>
      </c>
      <c r="RR87" s="1" t="s">
        <v>67245</v>
      </c>
      <c r="RS87" s="1" t="s">
        <v>67246</v>
      </c>
      <c r="RT87" s="1" t="s">
        <v>67247</v>
      </c>
      <c r="RU87" s="1" t="s">
        <v>67248</v>
      </c>
      <c r="RV87" s="1" t="s">
        <v>67249</v>
      </c>
      <c r="RW87" s="1" t="s">
        <v>67250</v>
      </c>
      <c r="RX87" s="1" t="s">
        <v>67251</v>
      </c>
      <c r="RY87" s="1" t="s">
        <v>67252</v>
      </c>
      <c r="RZ87" s="1" t="s">
        <v>67253</v>
      </c>
      <c r="SA87" s="1" t="s">
        <v>67254</v>
      </c>
      <c r="SB87" s="1" t="s">
        <v>67255</v>
      </c>
      <c r="SC87" s="1" t="s">
        <v>67256</v>
      </c>
      <c r="SD87" s="1" t="s">
        <v>67257</v>
      </c>
      <c r="SE87" s="1" t="s">
        <v>67258</v>
      </c>
      <c r="SF87" s="1" t="s">
        <v>67259</v>
      </c>
      <c r="SG87" s="1" t="s">
        <v>67260</v>
      </c>
      <c r="SH87" s="1" t="s">
        <v>67261</v>
      </c>
      <c r="SI87" s="1" t="s">
        <v>67262</v>
      </c>
      <c r="SJ87" s="1" t="s">
        <v>67263</v>
      </c>
      <c r="SK87" s="1" t="s">
        <v>67264</v>
      </c>
      <c r="SL87" s="1" t="s">
        <v>67265</v>
      </c>
      <c r="SM87" s="1" t="s">
        <v>67266</v>
      </c>
      <c r="SN87" s="1" t="s">
        <v>67267</v>
      </c>
      <c r="SO87" s="1" t="s">
        <v>67268</v>
      </c>
      <c r="SP87" s="1" t="s">
        <v>67269</v>
      </c>
      <c r="SQ87" s="1" t="s">
        <v>67270</v>
      </c>
      <c r="SR87" s="1" t="s">
        <v>67271</v>
      </c>
      <c r="SS87" s="1" t="s">
        <v>67272</v>
      </c>
      <c r="ST87" s="1" t="s">
        <v>67273</v>
      </c>
      <c r="SU87" s="1" t="s">
        <v>67274</v>
      </c>
      <c r="SV87" s="1" t="s">
        <v>67275</v>
      </c>
      <c r="SW87" s="1" t="s">
        <v>67276</v>
      </c>
      <c r="SX87" s="1" t="s">
        <v>67277</v>
      </c>
      <c r="SY87" s="1" t="s">
        <v>67278</v>
      </c>
      <c r="SZ87" s="1" t="s">
        <v>67279</v>
      </c>
      <c r="TA87" s="1" t="s">
        <v>67280</v>
      </c>
      <c r="TB87" s="1" t="s">
        <v>67281</v>
      </c>
      <c r="TC87" s="1" t="s">
        <v>67282</v>
      </c>
      <c r="TD87" s="1" t="s">
        <v>67283</v>
      </c>
      <c r="TE87" s="1" t="s">
        <v>67284</v>
      </c>
      <c r="TF87" s="1" t="s">
        <v>67285</v>
      </c>
      <c r="TG87" s="1" t="s">
        <v>67286</v>
      </c>
      <c r="TH87" s="1" t="s">
        <v>67287</v>
      </c>
      <c r="TI87" s="1" t="s">
        <v>67288</v>
      </c>
      <c r="TJ87" s="1" t="s">
        <v>67289</v>
      </c>
      <c r="TK87" s="1" t="s">
        <v>67290</v>
      </c>
      <c r="TL87" s="1" t="s">
        <v>67291</v>
      </c>
      <c r="TM87" s="1" t="s">
        <v>67292</v>
      </c>
      <c r="TN87" s="1" t="s">
        <v>67293</v>
      </c>
      <c r="TO87" s="1" t="s">
        <v>67294</v>
      </c>
      <c r="TP87" s="1" t="s">
        <v>67295</v>
      </c>
      <c r="TQ87" s="1" t="s">
        <v>67296</v>
      </c>
      <c r="TR87" s="1" t="s">
        <v>67297</v>
      </c>
      <c r="TS87" s="1" t="s">
        <v>67298</v>
      </c>
      <c r="TT87" s="1" t="s">
        <v>67299</v>
      </c>
      <c r="TU87" s="1" t="s">
        <v>67300</v>
      </c>
      <c r="TV87" s="1" t="s">
        <v>67301</v>
      </c>
      <c r="TW87" s="1" t="s">
        <v>67302</v>
      </c>
      <c r="TX87" s="1" t="s">
        <v>67303</v>
      </c>
      <c r="TY87" s="1" t="s">
        <v>67304</v>
      </c>
      <c r="TZ87" s="1" t="s">
        <v>67305</v>
      </c>
      <c r="UA87" s="1" t="s">
        <v>67306</v>
      </c>
      <c r="UB87" s="1" t="s">
        <v>67307</v>
      </c>
      <c r="UC87" s="1" t="s">
        <v>67308</v>
      </c>
      <c r="UD87" s="1" t="s">
        <v>67309</v>
      </c>
      <c r="UE87" s="1" t="s">
        <v>67310</v>
      </c>
      <c r="UF87" s="1" t="s">
        <v>67311</v>
      </c>
      <c r="UG87" s="1" t="s">
        <v>67312</v>
      </c>
      <c r="UH87" s="1" t="s">
        <v>67313</v>
      </c>
      <c r="UI87" s="1" t="s">
        <v>67314</v>
      </c>
      <c r="UJ87" s="1" t="s">
        <v>67315</v>
      </c>
      <c r="UK87" s="1" t="s">
        <v>67316</v>
      </c>
      <c r="UL87" s="1" t="s">
        <v>67317</v>
      </c>
      <c r="UM87" s="1" t="s">
        <v>67318</v>
      </c>
      <c r="UN87" s="1" t="s">
        <v>67319</v>
      </c>
      <c r="UO87" s="1" t="s">
        <v>67320</v>
      </c>
      <c r="UP87" s="1" t="s">
        <v>67321</v>
      </c>
      <c r="UQ87" s="1" t="s">
        <v>67322</v>
      </c>
      <c r="UR87" s="1" t="s">
        <v>67323</v>
      </c>
      <c r="US87" s="1" t="s">
        <v>67324</v>
      </c>
      <c r="UT87" s="1" t="s">
        <v>67325</v>
      </c>
      <c r="UU87" s="1" t="s">
        <v>67326</v>
      </c>
      <c r="UV87" s="1" t="s">
        <v>67327</v>
      </c>
      <c r="UW87" s="1" t="s">
        <v>67328</v>
      </c>
      <c r="UX87" s="1" t="s">
        <v>67329</v>
      </c>
      <c r="UY87" s="1" t="s">
        <v>67330</v>
      </c>
      <c r="UZ87" s="1" t="s">
        <v>67331</v>
      </c>
      <c r="VA87" s="1" t="s">
        <v>67332</v>
      </c>
      <c r="VB87" s="1" t="s">
        <v>67333</v>
      </c>
      <c r="VC87" s="1" t="s">
        <v>67334</v>
      </c>
      <c r="VD87" s="1" t="s">
        <v>67335</v>
      </c>
      <c r="VE87" s="1" t="s">
        <v>67336</v>
      </c>
      <c r="VF87" s="1" t="s">
        <v>67337</v>
      </c>
      <c r="VG87" s="1" t="s">
        <v>67338</v>
      </c>
      <c r="VH87" s="1" t="s">
        <v>67339</v>
      </c>
      <c r="VI87" s="1" t="s">
        <v>67340</v>
      </c>
      <c r="VJ87" s="1" t="s">
        <v>67341</v>
      </c>
      <c r="VK87" s="1" t="s">
        <v>67342</v>
      </c>
      <c r="VL87" s="1" t="s">
        <v>67343</v>
      </c>
      <c r="VM87" s="1" t="s">
        <v>67344</v>
      </c>
      <c r="VN87" s="1" t="s">
        <v>67345</v>
      </c>
      <c r="VO87" s="1" t="s">
        <v>67346</v>
      </c>
      <c r="VP87" s="1" t="s">
        <v>67347</v>
      </c>
      <c r="VQ87" s="1" t="s">
        <v>67348</v>
      </c>
      <c r="VR87" s="1" t="s">
        <v>67349</v>
      </c>
      <c r="VS87" s="1" t="s">
        <v>67350</v>
      </c>
      <c r="VT87" s="1" t="s">
        <v>67351</v>
      </c>
      <c r="VU87" s="1" t="s">
        <v>67352</v>
      </c>
      <c r="VV87" s="1" t="s">
        <v>67353</v>
      </c>
      <c r="VW87" s="1" t="s">
        <v>67354</v>
      </c>
      <c r="VX87" s="1" t="s">
        <v>67355</v>
      </c>
      <c r="VY87" s="1" t="s">
        <v>67356</v>
      </c>
      <c r="VZ87" s="1" t="s">
        <v>67357</v>
      </c>
      <c r="WA87" s="1" t="s">
        <v>67358</v>
      </c>
      <c r="WB87" s="1" t="s">
        <v>67359</v>
      </c>
      <c r="WC87" s="1" t="s">
        <v>67360</v>
      </c>
      <c r="WD87" s="1" t="s">
        <v>67361</v>
      </c>
      <c r="WE87" s="1" t="s">
        <v>67362</v>
      </c>
      <c r="WF87" s="1" t="s">
        <v>67363</v>
      </c>
      <c r="WG87" s="1" t="s">
        <v>67364</v>
      </c>
      <c r="WH87" s="1" t="s">
        <v>67365</v>
      </c>
      <c r="WI87" s="1" t="s">
        <v>67366</v>
      </c>
      <c r="WJ87" s="1" t="s">
        <v>67367</v>
      </c>
      <c r="WK87" s="1" t="s">
        <v>67368</v>
      </c>
      <c r="WL87" s="1" t="s">
        <v>67369</v>
      </c>
      <c r="WM87" s="1" t="s">
        <v>67370</v>
      </c>
      <c r="WN87" s="1" t="s">
        <v>67371</v>
      </c>
      <c r="WO87" s="1" t="s">
        <v>67372</v>
      </c>
      <c r="WP87" s="1" t="s">
        <v>67373</v>
      </c>
      <c r="WQ87" s="1" t="s">
        <v>67374</v>
      </c>
      <c r="WR87" s="1" t="s">
        <v>67375</v>
      </c>
      <c r="WS87" s="1" t="s">
        <v>67376</v>
      </c>
      <c r="WT87" s="1" t="s">
        <v>67377</v>
      </c>
      <c r="WU87" s="1" t="s">
        <v>67378</v>
      </c>
      <c r="WV87" s="1" t="s">
        <v>67379</v>
      </c>
      <c r="WW87" s="1" t="s">
        <v>67380</v>
      </c>
      <c r="WX87" s="1" t="s">
        <v>67381</v>
      </c>
      <c r="WY87" s="1" t="s">
        <v>67382</v>
      </c>
      <c r="WZ87" s="1" t="s">
        <v>67383</v>
      </c>
      <c r="XA87" s="1" t="s">
        <v>67384</v>
      </c>
      <c r="XB87" s="1" t="s">
        <v>67385</v>
      </c>
      <c r="XC87" s="1" t="s">
        <v>67386</v>
      </c>
      <c r="XD87" s="1" t="s">
        <v>67387</v>
      </c>
      <c r="XE87" s="1" t="s">
        <v>67388</v>
      </c>
      <c r="XF87" s="1" t="s">
        <v>67389</v>
      </c>
      <c r="XG87" s="1" t="s">
        <v>67390</v>
      </c>
      <c r="XH87" s="1" t="s">
        <v>67391</v>
      </c>
      <c r="XI87" s="1" t="s">
        <v>67392</v>
      </c>
      <c r="XJ87" s="1" t="s">
        <v>67393</v>
      </c>
      <c r="XK87" s="1" t="s">
        <v>67394</v>
      </c>
      <c r="XL87" s="1" t="s">
        <v>67395</v>
      </c>
      <c r="XM87" s="1" t="s">
        <v>67396</v>
      </c>
      <c r="XN87" s="1" t="s">
        <v>67397</v>
      </c>
      <c r="XO87" s="1" t="s">
        <v>67398</v>
      </c>
      <c r="XP87" s="1" t="s">
        <v>67399</v>
      </c>
      <c r="XQ87" s="1" t="s">
        <v>67400</v>
      </c>
      <c r="XR87" s="1" t="s">
        <v>67401</v>
      </c>
      <c r="XS87" s="1" t="s">
        <v>67402</v>
      </c>
      <c r="XT87" s="1" t="s">
        <v>67403</v>
      </c>
      <c r="XU87" s="1" t="s">
        <v>67404</v>
      </c>
      <c r="XV87" s="1" t="s">
        <v>67405</v>
      </c>
      <c r="XW87" s="1" t="s">
        <v>67406</v>
      </c>
      <c r="XX87" s="1" t="s">
        <v>67407</v>
      </c>
      <c r="XY87" s="1" t="s">
        <v>67408</v>
      </c>
      <c r="XZ87" s="1" t="s">
        <v>67409</v>
      </c>
      <c r="YA87" s="1" t="s">
        <v>67410</v>
      </c>
      <c r="YB87" s="1" t="s">
        <v>67411</v>
      </c>
      <c r="YC87" s="1" t="s">
        <v>67412</v>
      </c>
      <c r="YD87" s="1" t="s">
        <v>67413</v>
      </c>
      <c r="YE87" s="1" t="s">
        <v>67414</v>
      </c>
      <c r="YF87" s="1" t="s">
        <v>67415</v>
      </c>
      <c r="YG87" s="1" t="s">
        <v>67416</v>
      </c>
      <c r="YH87" s="1" t="s">
        <v>67417</v>
      </c>
      <c r="YI87" s="1" t="s">
        <v>67418</v>
      </c>
      <c r="YJ87" s="1" t="s">
        <v>67419</v>
      </c>
      <c r="YK87" s="1" t="s">
        <v>67420</v>
      </c>
      <c r="YL87" s="1" t="s">
        <v>67421</v>
      </c>
      <c r="YM87" s="1" t="s">
        <v>67422</v>
      </c>
      <c r="YN87" s="1" t="s">
        <v>67423</v>
      </c>
      <c r="YO87" s="1" t="s">
        <v>67424</v>
      </c>
      <c r="YP87" s="1" t="s">
        <v>67425</v>
      </c>
      <c r="YQ87" s="1" t="s">
        <v>67426</v>
      </c>
      <c r="YR87" s="1" t="s">
        <v>67427</v>
      </c>
      <c r="YS87" s="1" t="s">
        <v>67428</v>
      </c>
      <c r="YT87" s="1" t="s">
        <v>67429</v>
      </c>
      <c r="YU87" s="1" t="s">
        <v>67430</v>
      </c>
      <c r="YV87" s="1" t="s">
        <v>67431</v>
      </c>
      <c r="YW87" s="1" t="s">
        <v>67432</v>
      </c>
      <c r="YX87" s="1" t="s">
        <v>67433</v>
      </c>
      <c r="YY87" s="1" t="s">
        <v>67434</v>
      </c>
      <c r="YZ87" s="1" t="s">
        <v>67435</v>
      </c>
      <c r="ZA87" s="1" t="s">
        <v>67436</v>
      </c>
      <c r="ZB87" s="1" t="s">
        <v>67437</v>
      </c>
      <c r="ZC87" s="1" t="s">
        <v>67438</v>
      </c>
      <c r="ZD87" s="1" t="s">
        <v>67439</v>
      </c>
      <c r="ZE87" s="1" t="s">
        <v>67440</v>
      </c>
      <c r="ZF87" s="1" t="s">
        <v>67441</v>
      </c>
      <c r="ZG87" s="1" t="s">
        <v>67442</v>
      </c>
      <c r="ZH87" s="1" t="s">
        <v>67443</v>
      </c>
      <c r="ZI87" s="1" t="s">
        <v>67444</v>
      </c>
      <c r="ZJ87" s="1" t="s">
        <v>67445</v>
      </c>
      <c r="ZK87" s="1" t="s">
        <v>67446</v>
      </c>
      <c r="ZL87" s="1" t="s">
        <v>67447</v>
      </c>
      <c r="ZM87" s="1" t="s">
        <v>67448</v>
      </c>
      <c r="ZN87" s="1" t="s">
        <v>67449</v>
      </c>
      <c r="ZO87" s="1" t="s">
        <v>67450</v>
      </c>
      <c r="ZP87" s="1" t="s">
        <v>67451</v>
      </c>
      <c r="ZQ87" s="1" t="s">
        <v>67452</v>
      </c>
      <c r="ZR87" s="1" t="s">
        <v>67453</v>
      </c>
      <c r="ZS87" s="1" t="s">
        <v>67454</v>
      </c>
      <c r="ZT87" s="1" t="s">
        <v>67455</v>
      </c>
      <c r="ZU87" s="1" t="s">
        <v>67456</v>
      </c>
      <c r="ZV87" s="1" t="s">
        <v>67457</v>
      </c>
      <c r="ZW87" s="1" t="s">
        <v>67458</v>
      </c>
      <c r="ZX87" s="1" t="s">
        <v>67459</v>
      </c>
      <c r="ZY87" s="1" t="s">
        <v>67460</v>
      </c>
      <c r="ZZ87" s="1" t="s">
        <v>67461</v>
      </c>
      <c r="AAA87" s="1" t="s">
        <v>67462</v>
      </c>
      <c r="AAB87" s="1" t="s">
        <v>67463</v>
      </c>
      <c r="AAC87" s="1" t="s">
        <v>67464</v>
      </c>
      <c r="AAD87" s="1" t="s">
        <v>67465</v>
      </c>
      <c r="AAE87" s="1" t="s">
        <v>67466</v>
      </c>
      <c r="AAF87" s="1" t="s">
        <v>67467</v>
      </c>
      <c r="AAG87" s="1" t="s">
        <v>67468</v>
      </c>
      <c r="AAH87" s="1" t="s">
        <v>67469</v>
      </c>
      <c r="AAI87" s="1" t="s">
        <v>67470</v>
      </c>
      <c r="AAJ87" s="1" t="s">
        <v>67471</v>
      </c>
      <c r="AAK87" s="1" t="s">
        <v>67472</v>
      </c>
      <c r="AAL87" s="1" t="s">
        <v>67473</v>
      </c>
      <c r="AAM87" s="1" t="s">
        <v>67474</v>
      </c>
      <c r="AAN87" s="1" t="s">
        <v>67475</v>
      </c>
      <c r="AAO87" s="1" t="s">
        <v>67476</v>
      </c>
      <c r="AAP87" s="1" t="s">
        <v>67477</v>
      </c>
      <c r="AAQ87" s="1" t="s">
        <v>67478</v>
      </c>
      <c r="AAR87" s="1" t="s">
        <v>67479</v>
      </c>
      <c r="AAS87" s="1" t="s">
        <v>67480</v>
      </c>
      <c r="AAT87" s="1" t="s">
        <v>67481</v>
      </c>
      <c r="AAU87" s="1" t="s">
        <v>67482</v>
      </c>
      <c r="AAV87" s="1" t="s">
        <v>67483</v>
      </c>
      <c r="AAW87" s="1" t="s">
        <v>67484</v>
      </c>
      <c r="AAX87" s="1" t="s">
        <v>67485</v>
      </c>
      <c r="AAY87" s="1" t="s">
        <v>67486</v>
      </c>
      <c r="AAZ87" s="1" t="s">
        <v>67487</v>
      </c>
      <c r="ABA87" s="1" t="s">
        <v>67488</v>
      </c>
      <c r="ABB87" s="1" t="s">
        <v>67489</v>
      </c>
      <c r="ABC87" s="1" t="s">
        <v>67490</v>
      </c>
      <c r="ABD87" s="1" t="s">
        <v>67491</v>
      </c>
      <c r="ABE87" s="1" t="s">
        <v>67492</v>
      </c>
      <c r="ABF87" s="1" t="s">
        <v>67493</v>
      </c>
      <c r="ABG87" s="1" t="s">
        <v>67494</v>
      </c>
      <c r="ABH87" s="1" t="s">
        <v>67495</v>
      </c>
      <c r="ABI87" s="1" t="s">
        <v>67496</v>
      </c>
      <c r="ABJ87" s="1" t="s">
        <v>67497</v>
      </c>
      <c r="ABK87" s="1" t="s">
        <v>67498</v>
      </c>
      <c r="ABL87" s="1" t="s">
        <v>67499</v>
      </c>
      <c r="ABM87" s="1" t="s">
        <v>67500</v>
      </c>
      <c r="ABN87" s="1" t="s">
        <v>67501</v>
      </c>
      <c r="ABO87" s="1" t="s">
        <v>67502</v>
      </c>
      <c r="ABP87" s="1" t="s">
        <v>67503</v>
      </c>
      <c r="ABQ87" s="1" t="s">
        <v>67504</v>
      </c>
      <c r="ABR87" s="1" t="s">
        <v>67505</v>
      </c>
      <c r="ABS87" s="1" t="s">
        <v>67506</v>
      </c>
      <c r="ABT87" s="1" t="s">
        <v>67507</v>
      </c>
      <c r="ABU87" s="1" t="s">
        <v>67508</v>
      </c>
      <c r="ABV87" s="1" t="s">
        <v>67509</v>
      </c>
      <c r="ABW87" s="1" t="s">
        <v>67510</v>
      </c>
      <c r="ABX87" s="1" t="s">
        <v>67511</v>
      </c>
      <c r="ABY87" s="1" t="s">
        <v>67512</v>
      </c>
      <c r="ABZ87" s="1" t="s">
        <v>67513</v>
      </c>
      <c r="ACA87" s="1" t="s">
        <v>67514</v>
      </c>
      <c r="ACB87" s="1" t="s">
        <v>67515</v>
      </c>
      <c r="ACC87" s="1" t="s">
        <v>67516</v>
      </c>
      <c r="ACD87" s="1" t="s">
        <v>67517</v>
      </c>
      <c r="ACE87" s="1" t="s">
        <v>67518</v>
      </c>
      <c r="ACF87" s="1" t="s">
        <v>67519</v>
      </c>
      <c r="ACG87" s="1" t="s">
        <v>67520</v>
      </c>
      <c r="ACH87" s="1" t="s">
        <v>67521</v>
      </c>
      <c r="ACI87" s="1" t="s">
        <v>67522</v>
      </c>
      <c r="ACJ87" s="1" t="s">
        <v>67523</v>
      </c>
      <c r="ACK87" s="1" t="s">
        <v>67524</v>
      </c>
      <c r="ACL87" s="1" t="s">
        <v>67525</v>
      </c>
      <c r="ACM87" s="1" t="s">
        <v>67526</v>
      </c>
      <c r="ACN87" s="1" t="s">
        <v>67527</v>
      </c>
      <c r="ACO87" s="1" t="s">
        <v>67528</v>
      </c>
      <c r="ACP87" s="1" t="s">
        <v>67529</v>
      </c>
      <c r="ACQ87" s="1" t="s">
        <v>67530</v>
      </c>
      <c r="ACR87" s="1" t="s">
        <v>67531</v>
      </c>
      <c r="ACS87" s="1" t="s">
        <v>67532</v>
      </c>
      <c r="ACT87" s="1" t="s">
        <v>67533</v>
      </c>
      <c r="ACU87" s="1" t="s">
        <v>67534</v>
      </c>
      <c r="ACV87" s="1" t="s">
        <v>67535</v>
      </c>
      <c r="ACW87" s="1" t="s">
        <v>23</v>
      </c>
      <c r="ACX87" s="1" t="s">
        <v>6310</v>
      </c>
    </row>
    <row r="88" spans="1:778" x14ac:dyDescent="0.2">
      <c r="A88" s="1" t="s">
        <v>81</v>
      </c>
      <c r="B88" s="1" t="s">
        <v>67536</v>
      </c>
      <c r="C88" s="1" t="s">
        <v>67537</v>
      </c>
      <c r="D88" s="1" t="s">
        <v>67538</v>
      </c>
      <c r="E88" s="1" t="s">
        <v>67539</v>
      </c>
      <c r="F88" s="1" t="s">
        <v>67540</v>
      </c>
      <c r="G88" s="1" t="s">
        <v>67541</v>
      </c>
      <c r="H88" s="1" t="s">
        <v>67542</v>
      </c>
      <c r="I88" s="1" t="s">
        <v>67543</v>
      </c>
      <c r="J88" s="1" t="s">
        <v>67544</v>
      </c>
      <c r="K88" s="1" t="s">
        <v>67545</v>
      </c>
      <c r="L88" s="1" t="s">
        <v>67546</v>
      </c>
      <c r="M88" s="1" t="s">
        <v>67547</v>
      </c>
      <c r="N88" s="1" t="s">
        <v>67548</v>
      </c>
      <c r="O88" s="1" t="s">
        <v>67549</v>
      </c>
      <c r="P88" s="1" t="s">
        <v>67550</v>
      </c>
      <c r="Q88" s="1" t="s">
        <v>67551</v>
      </c>
      <c r="R88" s="1" t="s">
        <v>67552</v>
      </c>
      <c r="S88" s="1" t="s">
        <v>67553</v>
      </c>
      <c r="T88" s="1" t="s">
        <v>67554</v>
      </c>
      <c r="U88" s="1" t="s">
        <v>67555</v>
      </c>
      <c r="V88" s="1" t="s">
        <v>67556</v>
      </c>
      <c r="W88" s="1" t="s">
        <v>67557</v>
      </c>
      <c r="X88" s="1" t="s">
        <v>67558</v>
      </c>
      <c r="Y88" s="1" t="s">
        <v>67559</v>
      </c>
      <c r="Z88" s="1" t="s">
        <v>67560</v>
      </c>
      <c r="AA88" s="1" t="s">
        <v>67561</v>
      </c>
      <c r="AB88" s="1" t="s">
        <v>67562</v>
      </c>
      <c r="AC88" s="1" t="s">
        <v>67563</v>
      </c>
      <c r="AD88" s="1" t="s">
        <v>67564</v>
      </c>
      <c r="AE88" s="1" t="s">
        <v>67565</v>
      </c>
      <c r="AF88" s="1" t="s">
        <v>67566</v>
      </c>
      <c r="AG88" s="1" t="s">
        <v>67567</v>
      </c>
      <c r="AH88" s="1" t="s">
        <v>67568</v>
      </c>
      <c r="AI88" s="1" t="s">
        <v>67569</v>
      </c>
      <c r="AJ88" s="1" t="s">
        <v>67570</v>
      </c>
      <c r="AK88" s="1" t="s">
        <v>67571</v>
      </c>
      <c r="AL88" s="1" t="s">
        <v>67572</v>
      </c>
      <c r="AM88" s="1" t="s">
        <v>67573</v>
      </c>
      <c r="AN88" s="1" t="s">
        <v>67574</v>
      </c>
      <c r="AO88" s="1" t="s">
        <v>67575</v>
      </c>
      <c r="AP88" s="1" t="s">
        <v>67576</v>
      </c>
      <c r="AQ88" s="1" t="s">
        <v>67577</v>
      </c>
      <c r="AR88" s="1" t="s">
        <v>67578</v>
      </c>
      <c r="AS88" s="1" t="s">
        <v>67579</v>
      </c>
      <c r="AT88" s="1" t="s">
        <v>67580</v>
      </c>
      <c r="AU88" s="1" t="s">
        <v>67581</v>
      </c>
      <c r="AV88" s="1" t="s">
        <v>67582</v>
      </c>
      <c r="AW88" s="1" t="s">
        <v>67583</v>
      </c>
      <c r="AX88" s="1" t="s">
        <v>67584</v>
      </c>
      <c r="AY88" s="1" t="s">
        <v>67585</v>
      </c>
      <c r="AZ88" s="1" t="s">
        <v>67586</v>
      </c>
      <c r="BA88" s="1" t="s">
        <v>67587</v>
      </c>
      <c r="BB88" s="1" t="s">
        <v>67588</v>
      </c>
      <c r="BC88" s="1" t="s">
        <v>67589</v>
      </c>
      <c r="BD88" s="1" t="s">
        <v>67590</v>
      </c>
      <c r="BE88" s="1" t="s">
        <v>67591</v>
      </c>
      <c r="BF88" s="1" t="s">
        <v>67592</v>
      </c>
      <c r="BG88" s="1" t="s">
        <v>67593</v>
      </c>
      <c r="BH88" s="1" t="s">
        <v>67594</v>
      </c>
      <c r="BI88" s="1" t="s">
        <v>67595</v>
      </c>
      <c r="BJ88" s="1" t="s">
        <v>67596</v>
      </c>
      <c r="BK88" s="1" t="s">
        <v>67597</v>
      </c>
      <c r="BL88" s="1" t="s">
        <v>67598</v>
      </c>
      <c r="BM88" s="1" t="s">
        <v>67599</v>
      </c>
      <c r="BN88" s="1" t="s">
        <v>67600</v>
      </c>
      <c r="BO88" s="1" t="s">
        <v>67601</v>
      </c>
      <c r="BP88" s="1" t="s">
        <v>67602</v>
      </c>
      <c r="BQ88" s="1" t="s">
        <v>67603</v>
      </c>
      <c r="BR88" s="1" t="s">
        <v>67604</v>
      </c>
      <c r="BS88" s="1" t="s">
        <v>67605</v>
      </c>
      <c r="BT88" s="1" t="s">
        <v>67606</v>
      </c>
      <c r="BU88" s="1" t="s">
        <v>67607</v>
      </c>
      <c r="BV88" s="1" t="s">
        <v>67608</v>
      </c>
      <c r="BW88" s="1" t="s">
        <v>67609</v>
      </c>
      <c r="BX88" s="1" t="s">
        <v>67610</v>
      </c>
      <c r="BY88" s="1" t="s">
        <v>67611</v>
      </c>
      <c r="BZ88" s="1" t="s">
        <v>67612</v>
      </c>
      <c r="CA88" s="1" t="s">
        <v>67613</v>
      </c>
      <c r="CB88" s="1" t="s">
        <v>67614</v>
      </c>
      <c r="CC88" s="1" t="s">
        <v>67615</v>
      </c>
      <c r="CD88" s="1" t="s">
        <v>67616</v>
      </c>
      <c r="CE88" s="1" t="s">
        <v>67617</v>
      </c>
      <c r="CF88" s="1" t="s">
        <v>67618</v>
      </c>
      <c r="CG88" s="1" t="s">
        <v>67619</v>
      </c>
      <c r="CH88" s="1" t="s">
        <v>67620</v>
      </c>
      <c r="CI88" s="1" t="s">
        <v>67621</v>
      </c>
      <c r="CJ88" s="1" t="s">
        <v>67622</v>
      </c>
      <c r="CK88" s="1" t="s">
        <v>67623</v>
      </c>
      <c r="CL88" s="1" t="s">
        <v>67624</v>
      </c>
      <c r="CM88" s="1" t="s">
        <v>67625</v>
      </c>
      <c r="CN88" s="1" t="s">
        <v>67626</v>
      </c>
      <c r="CO88" s="1" t="s">
        <v>67627</v>
      </c>
      <c r="CP88" s="1" t="s">
        <v>67628</v>
      </c>
      <c r="CQ88" s="1" t="s">
        <v>67629</v>
      </c>
      <c r="CR88" s="1" t="s">
        <v>67630</v>
      </c>
      <c r="CS88" s="1" t="s">
        <v>67631</v>
      </c>
      <c r="CT88" s="1" t="s">
        <v>67632</v>
      </c>
      <c r="CU88" s="1" t="s">
        <v>67633</v>
      </c>
      <c r="CV88" s="1" t="s">
        <v>67634</v>
      </c>
      <c r="CW88" s="1" t="s">
        <v>67635</v>
      </c>
      <c r="CX88" s="1" t="s">
        <v>67636</v>
      </c>
      <c r="CY88" s="1" t="s">
        <v>67637</v>
      </c>
      <c r="CZ88" s="1" t="s">
        <v>67638</v>
      </c>
      <c r="DA88" s="1" t="s">
        <v>67639</v>
      </c>
      <c r="DB88" s="1" t="s">
        <v>67640</v>
      </c>
      <c r="DC88" s="1" t="s">
        <v>67641</v>
      </c>
      <c r="DD88" s="1" t="s">
        <v>67642</v>
      </c>
      <c r="DE88" s="1" t="s">
        <v>67643</v>
      </c>
      <c r="DF88" s="1" t="s">
        <v>67644</v>
      </c>
      <c r="DG88" s="1" t="s">
        <v>67645</v>
      </c>
      <c r="DH88" s="1" t="s">
        <v>67646</v>
      </c>
      <c r="DI88" s="1" t="s">
        <v>67647</v>
      </c>
      <c r="DJ88" s="1" t="s">
        <v>67648</v>
      </c>
      <c r="DK88" s="1" t="s">
        <v>67649</v>
      </c>
      <c r="DL88" s="1" t="s">
        <v>67650</v>
      </c>
      <c r="DM88" s="1" t="s">
        <v>67651</v>
      </c>
      <c r="DN88" s="1" t="s">
        <v>67652</v>
      </c>
      <c r="DO88" s="1" t="s">
        <v>67653</v>
      </c>
      <c r="DP88" s="1" t="s">
        <v>67654</v>
      </c>
      <c r="DQ88" s="1" t="s">
        <v>67655</v>
      </c>
      <c r="DR88" s="1" t="s">
        <v>67656</v>
      </c>
      <c r="DS88" s="1" t="s">
        <v>67657</v>
      </c>
      <c r="DT88" s="1" t="s">
        <v>67658</v>
      </c>
      <c r="DU88" s="1" t="s">
        <v>67659</v>
      </c>
      <c r="DV88" s="1" t="s">
        <v>67660</v>
      </c>
      <c r="DW88" s="1" t="s">
        <v>67661</v>
      </c>
      <c r="DX88" s="1" t="s">
        <v>67662</v>
      </c>
      <c r="DY88" s="1" t="s">
        <v>67663</v>
      </c>
      <c r="DZ88" s="1" t="s">
        <v>67664</v>
      </c>
      <c r="EA88" s="1" t="s">
        <v>67665</v>
      </c>
      <c r="EB88" s="1" t="s">
        <v>67666</v>
      </c>
      <c r="EC88" s="1" t="s">
        <v>67667</v>
      </c>
      <c r="ED88" s="1" t="s">
        <v>67668</v>
      </c>
      <c r="EE88" s="1" t="s">
        <v>67669</v>
      </c>
      <c r="EF88" s="1" t="s">
        <v>67670</v>
      </c>
      <c r="EG88" s="1" t="s">
        <v>67671</v>
      </c>
      <c r="EH88" s="1" t="s">
        <v>67672</v>
      </c>
      <c r="EI88" s="1" t="s">
        <v>67673</v>
      </c>
      <c r="EJ88" s="1" t="s">
        <v>67674</v>
      </c>
      <c r="EK88" s="1" t="s">
        <v>67675</v>
      </c>
      <c r="EL88" s="1" t="s">
        <v>67676</v>
      </c>
      <c r="EM88" s="1" t="s">
        <v>67677</v>
      </c>
      <c r="EN88" s="1" t="s">
        <v>67678</v>
      </c>
      <c r="EO88" s="1" t="s">
        <v>67679</v>
      </c>
      <c r="EP88" s="1" t="s">
        <v>67680</v>
      </c>
      <c r="EQ88" s="1" t="s">
        <v>67681</v>
      </c>
      <c r="ER88" s="1" t="s">
        <v>67682</v>
      </c>
      <c r="ES88" s="1" t="s">
        <v>67683</v>
      </c>
      <c r="ET88" s="1" t="s">
        <v>67684</v>
      </c>
      <c r="EU88" s="1" t="s">
        <v>67685</v>
      </c>
      <c r="EV88" s="1" t="s">
        <v>67686</v>
      </c>
      <c r="EW88" s="1" t="s">
        <v>67687</v>
      </c>
      <c r="EX88" s="1" t="s">
        <v>67688</v>
      </c>
      <c r="EY88" s="1" t="s">
        <v>67689</v>
      </c>
      <c r="EZ88" s="1" t="s">
        <v>67690</v>
      </c>
      <c r="FA88" s="1" t="s">
        <v>67691</v>
      </c>
      <c r="FB88" s="1" t="s">
        <v>67692</v>
      </c>
      <c r="FC88" s="1" t="s">
        <v>67693</v>
      </c>
      <c r="FD88" s="1" t="s">
        <v>67694</v>
      </c>
      <c r="FE88" s="1" t="s">
        <v>67695</v>
      </c>
      <c r="FF88" s="1" t="s">
        <v>67696</v>
      </c>
      <c r="FG88" s="1" t="s">
        <v>67697</v>
      </c>
      <c r="FH88" s="1" t="s">
        <v>67698</v>
      </c>
      <c r="FI88" s="1" t="s">
        <v>67699</v>
      </c>
      <c r="FJ88" s="1" t="s">
        <v>67700</v>
      </c>
      <c r="FK88" s="1" t="s">
        <v>67701</v>
      </c>
      <c r="FL88" s="1" t="s">
        <v>67702</v>
      </c>
      <c r="FM88" s="1" t="s">
        <v>67703</v>
      </c>
      <c r="FN88" s="1" t="s">
        <v>67704</v>
      </c>
      <c r="FO88" s="1" t="s">
        <v>67705</v>
      </c>
      <c r="FP88" s="1" t="s">
        <v>67706</v>
      </c>
      <c r="FQ88" s="1" t="s">
        <v>67707</v>
      </c>
      <c r="FR88" s="1" t="s">
        <v>67708</v>
      </c>
      <c r="FS88" s="1" t="s">
        <v>67709</v>
      </c>
      <c r="FT88" s="1" t="s">
        <v>67710</v>
      </c>
      <c r="FU88" s="1" t="s">
        <v>67711</v>
      </c>
      <c r="FV88" s="1" t="s">
        <v>67712</v>
      </c>
      <c r="FW88" s="1" t="s">
        <v>67713</v>
      </c>
      <c r="FX88" s="1" t="s">
        <v>67714</v>
      </c>
      <c r="FY88" s="1" t="s">
        <v>67715</v>
      </c>
      <c r="FZ88" s="1" t="s">
        <v>67716</v>
      </c>
      <c r="GA88" s="1" t="s">
        <v>67717</v>
      </c>
      <c r="GB88" s="1" t="s">
        <v>67718</v>
      </c>
      <c r="GC88" s="1" t="s">
        <v>67719</v>
      </c>
      <c r="GD88" s="1" t="s">
        <v>67720</v>
      </c>
      <c r="GE88" s="1" t="s">
        <v>67721</v>
      </c>
      <c r="GF88" s="1" t="s">
        <v>67722</v>
      </c>
      <c r="GG88" s="1" t="s">
        <v>67723</v>
      </c>
      <c r="GH88" s="1" t="s">
        <v>67724</v>
      </c>
      <c r="GI88" s="1" t="s">
        <v>67725</v>
      </c>
      <c r="GJ88" s="1" t="s">
        <v>67726</v>
      </c>
      <c r="GK88" s="1" t="s">
        <v>67727</v>
      </c>
      <c r="GL88" s="1" t="s">
        <v>67728</v>
      </c>
      <c r="GM88" s="1" t="s">
        <v>67729</v>
      </c>
      <c r="GN88" s="1" t="s">
        <v>67730</v>
      </c>
      <c r="GO88" s="1" t="s">
        <v>67731</v>
      </c>
      <c r="GP88" s="1" t="s">
        <v>67732</v>
      </c>
      <c r="GQ88" s="1" t="s">
        <v>67733</v>
      </c>
      <c r="GR88" s="1" t="s">
        <v>67734</v>
      </c>
      <c r="GS88" s="1" t="s">
        <v>67735</v>
      </c>
      <c r="GT88" s="1" t="s">
        <v>67736</v>
      </c>
      <c r="GU88" s="1" t="s">
        <v>67737</v>
      </c>
      <c r="GV88" s="1" t="s">
        <v>67738</v>
      </c>
      <c r="GW88" s="1" t="s">
        <v>67739</v>
      </c>
      <c r="GX88" s="1" t="s">
        <v>67740</v>
      </c>
      <c r="GY88" s="1" t="s">
        <v>67741</v>
      </c>
      <c r="GZ88" s="1" t="s">
        <v>67742</v>
      </c>
      <c r="HA88" s="1" t="s">
        <v>67743</v>
      </c>
      <c r="HB88" s="1" t="s">
        <v>67744</v>
      </c>
      <c r="HC88" s="1" t="s">
        <v>67745</v>
      </c>
      <c r="HD88" s="1" t="s">
        <v>67746</v>
      </c>
      <c r="HE88" s="1" t="s">
        <v>67747</v>
      </c>
      <c r="HF88" s="1" t="s">
        <v>67748</v>
      </c>
      <c r="HG88" s="1" t="s">
        <v>67749</v>
      </c>
      <c r="HH88" s="1" t="s">
        <v>67750</v>
      </c>
      <c r="HI88" s="1" t="s">
        <v>67751</v>
      </c>
      <c r="HJ88" s="1" t="s">
        <v>67752</v>
      </c>
      <c r="HK88" s="1" t="s">
        <v>67753</v>
      </c>
      <c r="HL88" s="1" t="s">
        <v>67754</v>
      </c>
      <c r="HM88" s="1" t="s">
        <v>67755</v>
      </c>
      <c r="HN88" s="1" t="s">
        <v>67756</v>
      </c>
      <c r="HO88" s="1" t="s">
        <v>67757</v>
      </c>
      <c r="HP88" s="1" t="s">
        <v>67758</v>
      </c>
      <c r="HQ88" s="1" t="s">
        <v>67759</v>
      </c>
      <c r="HR88" s="1" t="s">
        <v>67760</v>
      </c>
      <c r="HS88" s="1" t="s">
        <v>67761</v>
      </c>
      <c r="HT88" s="1" t="s">
        <v>67762</v>
      </c>
      <c r="HU88" s="1" t="s">
        <v>67763</v>
      </c>
      <c r="HV88" s="1" t="s">
        <v>67764</v>
      </c>
      <c r="HW88" s="1" t="s">
        <v>67765</v>
      </c>
      <c r="HX88" s="1" t="s">
        <v>67766</v>
      </c>
      <c r="HY88" s="1" t="s">
        <v>67767</v>
      </c>
      <c r="HZ88" s="1" t="s">
        <v>67768</v>
      </c>
      <c r="IA88" s="1" t="s">
        <v>67769</v>
      </c>
      <c r="IB88" s="1" t="s">
        <v>67770</v>
      </c>
      <c r="IC88" s="1" t="s">
        <v>67771</v>
      </c>
      <c r="ID88" s="1" t="s">
        <v>67772</v>
      </c>
      <c r="IE88" s="1" t="s">
        <v>67773</v>
      </c>
      <c r="IF88" s="1" t="s">
        <v>67774</v>
      </c>
      <c r="IG88" s="1" t="s">
        <v>67775</v>
      </c>
      <c r="IH88" s="1" t="s">
        <v>67776</v>
      </c>
      <c r="II88" s="1" t="s">
        <v>67777</v>
      </c>
      <c r="IJ88" s="1" t="s">
        <v>67778</v>
      </c>
      <c r="IK88" s="1" t="s">
        <v>67779</v>
      </c>
      <c r="IL88" s="1" t="s">
        <v>67780</v>
      </c>
      <c r="IM88" s="1" t="s">
        <v>67781</v>
      </c>
      <c r="IN88" s="1" t="s">
        <v>67782</v>
      </c>
      <c r="IO88" s="1" t="s">
        <v>67783</v>
      </c>
      <c r="IP88" s="1" t="s">
        <v>67784</v>
      </c>
      <c r="IQ88" s="1" t="s">
        <v>67785</v>
      </c>
      <c r="IR88" s="1" t="s">
        <v>67786</v>
      </c>
      <c r="IS88" s="1" t="s">
        <v>67787</v>
      </c>
      <c r="IT88" s="1" t="s">
        <v>67788</v>
      </c>
      <c r="IU88" s="1" t="s">
        <v>67789</v>
      </c>
      <c r="IV88" s="1" t="s">
        <v>67790</v>
      </c>
      <c r="IW88" s="1" t="s">
        <v>67791</v>
      </c>
      <c r="IX88" s="1" t="s">
        <v>67792</v>
      </c>
      <c r="IY88" s="1" t="s">
        <v>67793</v>
      </c>
      <c r="IZ88" s="1" t="s">
        <v>67794</v>
      </c>
      <c r="JA88" s="1" t="s">
        <v>67795</v>
      </c>
      <c r="JB88" s="1" t="s">
        <v>67796</v>
      </c>
      <c r="JC88" s="1" t="s">
        <v>67797</v>
      </c>
      <c r="JD88" s="1" t="s">
        <v>67798</v>
      </c>
      <c r="JE88" s="1" t="s">
        <v>67799</v>
      </c>
      <c r="JF88" s="1" t="s">
        <v>67800</v>
      </c>
      <c r="JG88" s="1" t="s">
        <v>67801</v>
      </c>
      <c r="JH88" s="1" t="s">
        <v>67802</v>
      </c>
      <c r="JI88" s="1" t="s">
        <v>67803</v>
      </c>
      <c r="JJ88" s="1" t="s">
        <v>67804</v>
      </c>
      <c r="JK88" s="1" t="s">
        <v>67805</v>
      </c>
      <c r="JL88" s="1" t="s">
        <v>67806</v>
      </c>
      <c r="JM88" s="1" t="s">
        <v>67807</v>
      </c>
      <c r="JN88" s="1" t="s">
        <v>67808</v>
      </c>
      <c r="JO88" s="1" t="s">
        <v>67809</v>
      </c>
      <c r="JP88" s="1" t="s">
        <v>67810</v>
      </c>
      <c r="JQ88" s="1" t="s">
        <v>67811</v>
      </c>
      <c r="JR88" s="1" t="s">
        <v>67812</v>
      </c>
      <c r="JS88" s="1" t="s">
        <v>67813</v>
      </c>
      <c r="JT88" s="1" t="s">
        <v>67814</v>
      </c>
      <c r="JU88" s="1" t="s">
        <v>67815</v>
      </c>
      <c r="JV88" s="1" t="s">
        <v>67816</v>
      </c>
      <c r="JW88" s="1" t="s">
        <v>67817</v>
      </c>
      <c r="JX88" s="1" t="s">
        <v>67818</v>
      </c>
      <c r="JY88" s="1" t="s">
        <v>67819</v>
      </c>
      <c r="JZ88" s="1" t="s">
        <v>67820</v>
      </c>
      <c r="KA88" s="1" t="s">
        <v>67821</v>
      </c>
      <c r="KB88" s="1" t="s">
        <v>67822</v>
      </c>
      <c r="KC88" s="1" t="s">
        <v>67823</v>
      </c>
      <c r="KD88" s="1" t="s">
        <v>67824</v>
      </c>
      <c r="KE88" s="1" t="s">
        <v>67825</v>
      </c>
      <c r="KF88" s="1" t="s">
        <v>67826</v>
      </c>
      <c r="KG88" s="1" t="s">
        <v>67827</v>
      </c>
      <c r="KH88" s="1" t="s">
        <v>67828</v>
      </c>
      <c r="KI88" s="1" t="s">
        <v>67829</v>
      </c>
      <c r="KJ88" s="1" t="s">
        <v>67830</v>
      </c>
      <c r="KK88" s="1" t="s">
        <v>67831</v>
      </c>
      <c r="KL88" s="1" t="s">
        <v>67832</v>
      </c>
      <c r="KM88" s="1" t="s">
        <v>67833</v>
      </c>
      <c r="KN88" s="1" t="s">
        <v>67834</v>
      </c>
      <c r="KO88" s="1" t="s">
        <v>67835</v>
      </c>
      <c r="KP88" s="1" t="s">
        <v>67836</v>
      </c>
      <c r="KQ88" s="1" t="s">
        <v>67837</v>
      </c>
      <c r="KR88" s="1" t="s">
        <v>67838</v>
      </c>
      <c r="KS88" s="1" t="s">
        <v>67839</v>
      </c>
      <c r="KT88" s="1" t="s">
        <v>67840</v>
      </c>
      <c r="KU88" s="1" t="s">
        <v>67841</v>
      </c>
      <c r="KV88" s="1" t="s">
        <v>67842</v>
      </c>
      <c r="KW88" s="1" t="s">
        <v>67843</v>
      </c>
      <c r="KX88" s="1" t="s">
        <v>67844</v>
      </c>
      <c r="KY88" s="1" t="s">
        <v>67845</v>
      </c>
      <c r="KZ88" s="1" t="s">
        <v>67846</v>
      </c>
      <c r="LA88" s="1" t="s">
        <v>67847</v>
      </c>
      <c r="LB88" s="1" t="s">
        <v>67848</v>
      </c>
      <c r="LC88" s="1" t="s">
        <v>67849</v>
      </c>
      <c r="LD88" s="1" t="s">
        <v>67850</v>
      </c>
      <c r="LE88" s="1" t="s">
        <v>67851</v>
      </c>
      <c r="LF88" s="1" t="s">
        <v>67852</v>
      </c>
      <c r="LG88" s="1" t="s">
        <v>67853</v>
      </c>
      <c r="LH88" s="1" t="s">
        <v>67854</v>
      </c>
      <c r="LI88" s="1" t="s">
        <v>67855</v>
      </c>
      <c r="LJ88" s="1" t="s">
        <v>67856</v>
      </c>
      <c r="LK88" s="1" t="s">
        <v>67857</v>
      </c>
      <c r="LL88" s="1" t="s">
        <v>67858</v>
      </c>
      <c r="LM88" s="1" t="s">
        <v>67859</v>
      </c>
      <c r="LN88" s="1" t="s">
        <v>67860</v>
      </c>
      <c r="LO88" s="1" t="s">
        <v>67861</v>
      </c>
      <c r="LP88" s="1" t="s">
        <v>67862</v>
      </c>
      <c r="LQ88" s="1" t="s">
        <v>67863</v>
      </c>
      <c r="LR88" s="1" t="s">
        <v>67864</v>
      </c>
      <c r="LS88" s="1" t="s">
        <v>67865</v>
      </c>
      <c r="LT88" s="1" t="s">
        <v>67866</v>
      </c>
      <c r="LU88" s="1" t="s">
        <v>67867</v>
      </c>
      <c r="LV88" s="1" t="s">
        <v>67868</v>
      </c>
      <c r="LW88" s="1" t="s">
        <v>67869</v>
      </c>
      <c r="LX88" s="1" t="s">
        <v>67870</v>
      </c>
      <c r="LY88" s="1" t="s">
        <v>67871</v>
      </c>
      <c r="LZ88" s="1" t="s">
        <v>67872</v>
      </c>
      <c r="MA88" s="1" t="s">
        <v>67873</v>
      </c>
      <c r="MB88" s="1" t="s">
        <v>67874</v>
      </c>
      <c r="MC88" s="1" t="s">
        <v>67875</v>
      </c>
      <c r="MD88" s="1" t="s">
        <v>67876</v>
      </c>
      <c r="ME88" s="1" t="s">
        <v>67877</v>
      </c>
      <c r="MF88" s="1" t="s">
        <v>67878</v>
      </c>
      <c r="MG88" s="1" t="s">
        <v>67879</v>
      </c>
      <c r="MH88" s="1" t="s">
        <v>67880</v>
      </c>
      <c r="MI88" s="1" t="s">
        <v>67881</v>
      </c>
      <c r="MJ88" s="1" t="s">
        <v>67882</v>
      </c>
      <c r="MK88" s="1" t="s">
        <v>67883</v>
      </c>
      <c r="ML88" s="1" t="s">
        <v>67884</v>
      </c>
      <c r="MM88" s="1" t="s">
        <v>67885</v>
      </c>
      <c r="MN88" s="1" t="s">
        <v>67886</v>
      </c>
      <c r="MO88" s="1" t="s">
        <v>67887</v>
      </c>
      <c r="MP88" s="1" t="s">
        <v>67888</v>
      </c>
      <c r="MQ88" s="1" t="s">
        <v>67889</v>
      </c>
      <c r="MR88" s="1" t="s">
        <v>67890</v>
      </c>
      <c r="MS88" s="1" t="s">
        <v>67891</v>
      </c>
      <c r="MT88" s="1" t="s">
        <v>67892</v>
      </c>
      <c r="MU88" s="1" t="s">
        <v>67893</v>
      </c>
      <c r="MV88" s="1" t="s">
        <v>67894</v>
      </c>
      <c r="MW88" s="1" t="s">
        <v>67895</v>
      </c>
      <c r="MX88" s="1" t="s">
        <v>67896</v>
      </c>
      <c r="MY88" s="1" t="s">
        <v>67897</v>
      </c>
      <c r="MZ88" s="1" t="s">
        <v>67898</v>
      </c>
      <c r="NA88" s="1" t="s">
        <v>67899</v>
      </c>
      <c r="NB88" s="1" t="s">
        <v>67900</v>
      </c>
      <c r="NC88" s="1" t="s">
        <v>67901</v>
      </c>
      <c r="ND88" s="1" t="s">
        <v>67902</v>
      </c>
      <c r="NE88" s="1" t="s">
        <v>67903</v>
      </c>
      <c r="NF88" s="1" t="s">
        <v>67904</v>
      </c>
      <c r="NG88" s="1" t="s">
        <v>67905</v>
      </c>
      <c r="NH88" s="1" t="s">
        <v>67906</v>
      </c>
      <c r="NI88" s="1" t="s">
        <v>67907</v>
      </c>
      <c r="NJ88" s="1" t="s">
        <v>67908</v>
      </c>
      <c r="NK88" s="1" t="s">
        <v>67909</v>
      </c>
      <c r="NL88" s="1" t="s">
        <v>67910</v>
      </c>
      <c r="NM88" s="1" t="s">
        <v>67911</v>
      </c>
      <c r="NN88" s="1" t="s">
        <v>67912</v>
      </c>
      <c r="NO88" s="1" t="s">
        <v>67913</v>
      </c>
      <c r="NP88" s="1" t="s">
        <v>67914</v>
      </c>
      <c r="NQ88" s="1" t="s">
        <v>67915</v>
      </c>
      <c r="NR88" s="1" t="s">
        <v>67916</v>
      </c>
      <c r="NS88" s="1" t="s">
        <v>67917</v>
      </c>
      <c r="NT88" s="1" t="s">
        <v>67918</v>
      </c>
      <c r="NU88" s="1" t="s">
        <v>67919</v>
      </c>
      <c r="NV88" s="1" t="s">
        <v>67920</v>
      </c>
      <c r="NW88" s="1" t="s">
        <v>67921</v>
      </c>
      <c r="NX88" s="1" t="s">
        <v>67922</v>
      </c>
      <c r="NY88" s="1" t="s">
        <v>67923</v>
      </c>
      <c r="NZ88" s="1" t="s">
        <v>67924</v>
      </c>
      <c r="OA88" s="1" t="s">
        <v>67925</v>
      </c>
      <c r="OB88" s="1" t="s">
        <v>67926</v>
      </c>
      <c r="OC88" s="1" t="s">
        <v>67927</v>
      </c>
      <c r="OD88" s="1" t="s">
        <v>67928</v>
      </c>
      <c r="OE88" s="1" t="s">
        <v>67929</v>
      </c>
      <c r="OF88" s="1" t="s">
        <v>67930</v>
      </c>
      <c r="OG88" s="1" t="s">
        <v>67931</v>
      </c>
      <c r="OH88" s="1" t="s">
        <v>67932</v>
      </c>
      <c r="OI88" s="1" t="s">
        <v>67933</v>
      </c>
      <c r="OJ88" s="1" t="s">
        <v>67934</v>
      </c>
      <c r="OK88" s="1" t="s">
        <v>67935</v>
      </c>
      <c r="OL88" s="1" t="s">
        <v>67936</v>
      </c>
      <c r="OM88" s="1" t="s">
        <v>67937</v>
      </c>
      <c r="ON88" s="1" t="s">
        <v>67938</v>
      </c>
      <c r="OO88" s="1" t="s">
        <v>67939</v>
      </c>
      <c r="OP88" s="1" t="s">
        <v>67940</v>
      </c>
      <c r="OQ88" s="1" t="s">
        <v>67941</v>
      </c>
      <c r="OR88" s="1" t="s">
        <v>67942</v>
      </c>
      <c r="OS88" s="1" t="s">
        <v>67943</v>
      </c>
      <c r="OT88" s="1" t="s">
        <v>67944</v>
      </c>
      <c r="OU88" s="1" t="s">
        <v>67945</v>
      </c>
      <c r="OV88" s="1" t="s">
        <v>67946</v>
      </c>
      <c r="OW88" s="1" t="s">
        <v>67947</v>
      </c>
      <c r="OX88" s="1" t="s">
        <v>67948</v>
      </c>
      <c r="OY88" s="1" t="s">
        <v>67949</v>
      </c>
      <c r="OZ88" s="1" t="s">
        <v>67950</v>
      </c>
      <c r="PA88" s="1" t="s">
        <v>67951</v>
      </c>
      <c r="PB88" s="1" t="s">
        <v>67952</v>
      </c>
      <c r="PC88" s="1" t="s">
        <v>67953</v>
      </c>
      <c r="PD88" s="1" t="s">
        <v>67954</v>
      </c>
      <c r="PE88" s="1" t="s">
        <v>67955</v>
      </c>
      <c r="PF88" s="1" t="s">
        <v>67956</v>
      </c>
      <c r="PG88" s="1" t="s">
        <v>67957</v>
      </c>
      <c r="PH88" s="1" t="s">
        <v>67958</v>
      </c>
      <c r="PI88" s="1" t="s">
        <v>67959</v>
      </c>
      <c r="PJ88" s="1" t="s">
        <v>67960</v>
      </c>
      <c r="PK88" s="1" t="s">
        <v>67961</v>
      </c>
      <c r="PL88" s="1" t="s">
        <v>67962</v>
      </c>
      <c r="PM88" s="1" t="s">
        <v>67963</v>
      </c>
      <c r="PN88" s="1" t="s">
        <v>67964</v>
      </c>
      <c r="PO88" s="1" t="s">
        <v>67965</v>
      </c>
      <c r="PP88" s="1" t="s">
        <v>67966</v>
      </c>
      <c r="PQ88" s="1" t="s">
        <v>67967</v>
      </c>
      <c r="PR88" s="1" t="s">
        <v>67968</v>
      </c>
      <c r="PS88" s="1" t="s">
        <v>67969</v>
      </c>
      <c r="PT88" s="1" t="s">
        <v>67970</v>
      </c>
      <c r="PU88" s="1" t="s">
        <v>67971</v>
      </c>
      <c r="PV88" s="1" t="s">
        <v>67972</v>
      </c>
      <c r="PW88" s="1" t="s">
        <v>67973</v>
      </c>
      <c r="PX88" s="1" t="s">
        <v>67974</v>
      </c>
      <c r="PY88" s="1" t="s">
        <v>67975</v>
      </c>
      <c r="PZ88" s="1" t="s">
        <v>67976</v>
      </c>
      <c r="QA88" s="1" t="s">
        <v>67977</v>
      </c>
      <c r="QB88" s="1" t="s">
        <v>67978</v>
      </c>
      <c r="QC88" s="1" t="s">
        <v>67979</v>
      </c>
      <c r="QD88" s="1" t="s">
        <v>67980</v>
      </c>
      <c r="QE88" s="1" t="s">
        <v>67981</v>
      </c>
      <c r="QF88" s="1" t="s">
        <v>67982</v>
      </c>
      <c r="QG88" s="1" t="s">
        <v>67983</v>
      </c>
      <c r="QH88" s="1" t="s">
        <v>67984</v>
      </c>
      <c r="QI88" s="1" t="s">
        <v>67985</v>
      </c>
      <c r="QJ88" s="1" t="s">
        <v>67986</v>
      </c>
      <c r="QK88" s="1" t="s">
        <v>67987</v>
      </c>
      <c r="QL88" s="1" t="s">
        <v>67988</v>
      </c>
      <c r="QM88" s="1" t="s">
        <v>67989</v>
      </c>
      <c r="QN88" s="1" t="s">
        <v>67990</v>
      </c>
      <c r="QO88" s="1" t="s">
        <v>67991</v>
      </c>
      <c r="QP88" s="1" t="s">
        <v>67992</v>
      </c>
      <c r="QQ88" s="1" t="s">
        <v>67993</v>
      </c>
      <c r="QR88" s="1" t="s">
        <v>67994</v>
      </c>
      <c r="QS88" s="1" t="s">
        <v>67995</v>
      </c>
      <c r="QT88" s="1" t="s">
        <v>67996</v>
      </c>
      <c r="QU88" s="1" t="s">
        <v>67997</v>
      </c>
      <c r="QV88" s="1" t="s">
        <v>67998</v>
      </c>
      <c r="QW88" s="1" t="s">
        <v>67999</v>
      </c>
      <c r="QX88" s="1" t="s">
        <v>68000</v>
      </c>
      <c r="QY88" s="1" t="s">
        <v>68001</v>
      </c>
      <c r="QZ88" s="1" t="s">
        <v>68002</v>
      </c>
      <c r="RA88" s="1" t="s">
        <v>68003</v>
      </c>
      <c r="RB88" s="1" t="s">
        <v>68004</v>
      </c>
      <c r="RC88" s="1" t="s">
        <v>68005</v>
      </c>
      <c r="RD88" s="1" t="s">
        <v>68006</v>
      </c>
      <c r="RE88" s="1" t="s">
        <v>68007</v>
      </c>
      <c r="RF88" s="1" t="s">
        <v>68008</v>
      </c>
      <c r="RG88" s="1" t="s">
        <v>68009</v>
      </c>
      <c r="RH88" s="1" t="s">
        <v>68010</v>
      </c>
      <c r="RI88" s="1" t="s">
        <v>68011</v>
      </c>
      <c r="RJ88" s="1" t="s">
        <v>68012</v>
      </c>
      <c r="RK88" s="1" t="s">
        <v>68013</v>
      </c>
      <c r="RL88" s="1" t="s">
        <v>68014</v>
      </c>
      <c r="RM88" s="1" t="s">
        <v>68015</v>
      </c>
      <c r="RN88" s="1" t="s">
        <v>68016</v>
      </c>
      <c r="RO88" s="1" t="s">
        <v>68017</v>
      </c>
      <c r="RP88" s="1" t="s">
        <v>68018</v>
      </c>
      <c r="RQ88" s="1" t="s">
        <v>68019</v>
      </c>
      <c r="RR88" s="1" t="s">
        <v>68020</v>
      </c>
      <c r="RS88" s="1" t="s">
        <v>68021</v>
      </c>
      <c r="RT88" s="1" t="s">
        <v>68022</v>
      </c>
      <c r="RU88" s="1" t="s">
        <v>68023</v>
      </c>
      <c r="RV88" s="1" t="s">
        <v>68024</v>
      </c>
      <c r="RW88" s="1" t="s">
        <v>68025</v>
      </c>
      <c r="RX88" s="1" t="s">
        <v>68026</v>
      </c>
      <c r="RY88" s="1" t="s">
        <v>68027</v>
      </c>
      <c r="RZ88" s="1" t="s">
        <v>68028</v>
      </c>
      <c r="SA88" s="1" t="s">
        <v>68029</v>
      </c>
      <c r="SB88" s="1" t="s">
        <v>68030</v>
      </c>
      <c r="SC88" s="1" t="s">
        <v>68031</v>
      </c>
      <c r="SD88" s="1" t="s">
        <v>68032</v>
      </c>
      <c r="SE88" s="1" t="s">
        <v>68033</v>
      </c>
      <c r="SF88" s="1" t="s">
        <v>68034</v>
      </c>
      <c r="SG88" s="1" t="s">
        <v>68035</v>
      </c>
      <c r="SH88" s="1" t="s">
        <v>68036</v>
      </c>
      <c r="SI88" s="1" t="s">
        <v>68037</v>
      </c>
      <c r="SJ88" s="1" t="s">
        <v>68038</v>
      </c>
      <c r="SK88" s="1" t="s">
        <v>68039</v>
      </c>
      <c r="SL88" s="1" t="s">
        <v>68040</v>
      </c>
      <c r="SM88" s="1" t="s">
        <v>68041</v>
      </c>
      <c r="SN88" s="1" t="s">
        <v>68042</v>
      </c>
      <c r="SO88" s="1" t="s">
        <v>68043</v>
      </c>
      <c r="SP88" s="1" t="s">
        <v>68044</v>
      </c>
      <c r="SQ88" s="1" t="s">
        <v>68045</v>
      </c>
      <c r="SR88" s="1" t="s">
        <v>68046</v>
      </c>
      <c r="SS88" s="1" t="s">
        <v>68047</v>
      </c>
      <c r="ST88" s="1" t="s">
        <v>68048</v>
      </c>
      <c r="SU88" s="1" t="s">
        <v>68049</v>
      </c>
      <c r="SV88" s="1" t="s">
        <v>68050</v>
      </c>
      <c r="SW88" s="1" t="s">
        <v>68051</v>
      </c>
      <c r="SX88" s="1" t="s">
        <v>68052</v>
      </c>
      <c r="SY88" s="1" t="s">
        <v>68053</v>
      </c>
      <c r="SZ88" s="1" t="s">
        <v>68054</v>
      </c>
      <c r="TA88" s="1" t="s">
        <v>68055</v>
      </c>
      <c r="TB88" s="1" t="s">
        <v>68056</v>
      </c>
      <c r="TC88" s="1" t="s">
        <v>68057</v>
      </c>
      <c r="TD88" s="1" t="s">
        <v>68058</v>
      </c>
      <c r="TE88" s="1" t="s">
        <v>68059</v>
      </c>
      <c r="TF88" s="1" t="s">
        <v>68060</v>
      </c>
      <c r="TG88" s="1" t="s">
        <v>68061</v>
      </c>
      <c r="TH88" s="1" t="s">
        <v>68062</v>
      </c>
      <c r="TI88" s="1" t="s">
        <v>68063</v>
      </c>
      <c r="TJ88" s="1" t="s">
        <v>68064</v>
      </c>
      <c r="TK88" s="1" t="s">
        <v>68065</v>
      </c>
      <c r="TL88" s="1" t="s">
        <v>68066</v>
      </c>
      <c r="TM88" s="1" t="s">
        <v>68067</v>
      </c>
      <c r="TN88" s="1" t="s">
        <v>68068</v>
      </c>
      <c r="TO88" s="1" t="s">
        <v>68069</v>
      </c>
      <c r="TP88" s="1" t="s">
        <v>68070</v>
      </c>
      <c r="TQ88" s="1" t="s">
        <v>68071</v>
      </c>
      <c r="TR88" s="1" t="s">
        <v>68072</v>
      </c>
      <c r="TS88" s="1" t="s">
        <v>68073</v>
      </c>
      <c r="TT88" s="1" t="s">
        <v>68074</v>
      </c>
      <c r="TU88" s="1" t="s">
        <v>68075</v>
      </c>
      <c r="TV88" s="1" t="s">
        <v>68076</v>
      </c>
      <c r="TW88" s="1" t="s">
        <v>68077</v>
      </c>
      <c r="TX88" s="1" t="s">
        <v>68078</v>
      </c>
      <c r="TY88" s="1" t="s">
        <v>68079</v>
      </c>
      <c r="TZ88" s="1" t="s">
        <v>68080</v>
      </c>
      <c r="UA88" s="1" t="s">
        <v>68081</v>
      </c>
      <c r="UB88" s="1" t="s">
        <v>68082</v>
      </c>
      <c r="UC88" s="1" t="s">
        <v>68083</v>
      </c>
      <c r="UD88" s="1" t="s">
        <v>68084</v>
      </c>
      <c r="UE88" s="1" t="s">
        <v>68085</v>
      </c>
      <c r="UF88" s="1" t="s">
        <v>68086</v>
      </c>
      <c r="UG88" s="1" t="s">
        <v>68087</v>
      </c>
      <c r="UH88" s="1" t="s">
        <v>68088</v>
      </c>
      <c r="UI88" s="1" t="s">
        <v>68089</v>
      </c>
      <c r="UJ88" s="1" t="s">
        <v>68090</v>
      </c>
      <c r="UK88" s="1" t="s">
        <v>68091</v>
      </c>
      <c r="UL88" s="1" t="s">
        <v>68092</v>
      </c>
      <c r="UM88" s="1" t="s">
        <v>68093</v>
      </c>
      <c r="UN88" s="1" t="s">
        <v>68094</v>
      </c>
      <c r="UO88" s="1" t="s">
        <v>68095</v>
      </c>
      <c r="UP88" s="1" t="s">
        <v>68096</v>
      </c>
      <c r="UQ88" s="1" t="s">
        <v>68097</v>
      </c>
      <c r="UR88" s="1" t="s">
        <v>68098</v>
      </c>
      <c r="US88" s="1" t="s">
        <v>68099</v>
      </c>
      <c r="UT88" s="1" t="s">
        <v>68100</v>
      </c>
      <c r="UU88" s="1" t="s">
        <v>68101</v>
      </c>
      <c r="UV88" s="1" t="s">
        <v>68102</v>
      </c>
      <c r="UW88" s="1" t="s">
        <v>68103</v>
      </c>
      <c r="UX88" s="1" t="s">
        <v>68104</v>
      </c>
      <c r="UY88" s="1" t="s">
        <v>68105</v>
      </c>
      <c r="UZ88" s="1" t="s">
        <v>68106</v>
      </c>
      <c r="VA88" s="1" t="s">
        <v>68107</v>
      </c>
      <c r="VB88" s="1" t="s">
        <v>68108</v>
      </c>
      <c r="VC88" s="1" t="s">
        <v>68109</v>
      </c>
      <c r="VD88" s="1" t="s">
        <v>68110</v>
      </c>
      <c r="VE88" s="1" t="s">
        <v>68111</v>
      </c>
      <c r="VF88" s="1" t="s">
        <v>68112</v>
      </c>
      <c r="VG88" s="1" t="s">
        <v>68113</v>
      </c>
      <c r="VH88" s="1" t="s">
        <v>68114</v>
      </c>
      <c r="VI88" s="1" t="s">
        <v>68115</v>
      </c>
      <c r="VJ88" s="1" t="s">
        <v>68116</v>
      </c>
      <c r="VK88" s="1" t="s">
        <v>68117</v>
      </c>
      <c r="VL88" s="1" t="s">
        <v>68118</v>
      </c>
      <c r="VM88" s="1" t="s">
        <v>68119</v>
      </c>
      <c r="VN88" s="1" t="s">
        <v>68120</v>
      </c>
      <c r="VO88" s="1" t="s">
        <v>68121</v>
      </c>
      <c r="VP88" s="1" t="s">
        <v>68122</v>
      </c>
      <c r="VQ88" s="1" t="s">
        <v>68123</v>
      </c>
      <c r="VR88" s="1" t="s">
        <v>68124</v>
      </c>
      <c r="VS88" s="1" t="s">
        <v>68125</v>
      </c>
      <c r="VT88" s="1" t="s">
        <v>68126</v>
      </c>
      <c r="VU88" s="1" t="s">
        <v>68127</v>
      </c>
      <c r="VV88" s="1" t="s">
        <v>68128</v>
      </c>
      <c r="VW88" s="1" t="s">
        <v>68129</v>
      </c>
      <c r="VX88" s="1" t="s">
        <v>68130</v>
      </c>
      <c r="VY88" s="1" t="s">
        <v>68131</v>
      </c>
      <c r="VZ88" s="1" t="s">
        <v>68132</v>
      </c>
      <c r="WA88" s="1" t="s">
        <v>68133</v>
      </c>
      <c r="WB88" s="1" t="s">
        <v>68134</v>
      </c>
      <c r="WC88" s="1" t="s">
        <v>68135</v>
      </c>
      <c r="WD88" s="1" t="s">
        <v>68136</v>
      </c>
      <c r="WE88" s="1" t="s">
        <v>68137</v>
      </c>
      <c r="WF88" s="1" t="s">
        <v>68138</v>
      </c>
      <c r="WG88" s="1" t="s">
        <v>68139</v>
      </c>
      <c r="WH88" s="1" t="s">
        <v>68140</v>
      </c>
      <c r="WI88" s="1" t="s">
        <v>68141</v>
      </c>
      <c r="WJ88" s="1" t="s">
        <v>68142</v>
      </c>
      <c r="WK88" s="1" t="s">
        <v>68143</v>
      </c>
      <c r="WL88" s="1" t="s">
        <v>68144</v>
      </c>
      <c r="WM88" s="1" t="s">
        <v>68145</v>
      </c>
      <c r="WN88" s="1" t="s">
        <v>68146</v>
      </c>
      <c r="WO88" s="1" t="s">
        <v>68147</v>
      </c>
      <c r="WP88" s="1" t="s">
        <v>68148</v>
      </c>
      <c r="WQ88" s="1" t="s">
        <v>68149</v>
      </c>
      <c r="WR88" s="1" t="s">
        <v>68150</v>
      </c>
      <c r="WS88" s="1" t="s">
        <v>68151</v>
      </c>
      <c r="WT88" s="1" t="s">
        <v>68152</v>
      </c>
      <c r="WU88" s="1" t="s">
        <v>68153</v>
      </c>
      <c r="WV88" s="1" t="s">
        <v>68154</v>
      </c>
      <c r="WW88" s="1" t="s">
        <v>68155</v>
      </c>
      <c r="WX88" s="1" t="s">
        <v>68156</v>
      </c>
      <c r="WY88" s="1" t="s">
        <v>68157</v>
      </c>
      <c r="WZ88" s="1" t="s">
        <v>68158</v>
      </c>
      <c r="XA88" s="1" t="s">
        <v>68159</v>
      </c>
      <c r="XB88" s="1" t="s">
        <v>68160</v>
      </c>
      <c r="XC88" s="1" t="s">
        <v>68161</v>
      </c>
      <c r="XD88" s="1" t="s">
        <v>68162</v>
      </c>
      <c r="XE88" s="1" t="s">
        <v>68163</v>
      </c>
      <c r="XF88" s="1" t="s">
        <v>68164</v>
      </c>
      <c r="XG88" s="1" t="s">
        <v>68165</v>
      </c>
      <c r="XH88" s="1" t="s">
        <v>68166</v>
      </c>
      <c r="XI88" s="1" t="s">
        <v>68167</v>
      </c>
      <c r="XJ88" s="1" t="s">
        <v>68168</v>
      </c>
      <c r="XK88" s="1" t="s">
        <v>68169</v>
      </c>
      <c r="XL88" s="1" t="s">
        <v>68170</v>
      </c>
      <c r="XM88" s="1" t="s">
        <v>68171</v>
      </c>
      <c r="XN88" s="1" t="s">
        <v>68172</v>
      </c>
      <c r="XO88" s="1" t="s">
        <v>68173</v>
      </c>
      <c r="XP88" s="1" t="s">
        <v>68174</v>
      </c>
      <c r="XQ88" s="1" t="s">
        <v>68175</v>
      </c>
      <c r="XR88" s="1" t="s">
        <v>68176</v>
      </c>
      <c r="XS88" s="1" t="s">
        <v>68177</v>
      </c>
      <c r="XT88" s="1" t="s">
        <v>68178</v>
      </c>
      <c r="XU88" s="1" t="s">
        <v>68179</v>
      </c>
      <c r="XV88" s="1" t="s">
        <v>68180</v>
      </c>
      <c r="XW88" s="1" t="s">
        <v>68181</v>
      </c>
      <c r="XX88" s="1" t="s">
        <v>68182</v>
      </c>
      <c r="XY88" s="1" t="s">
        <v>68183</v>
      </c>
      <c r="XZ88" s="1" t="s">
        <v>68184</v>
      </c>
      <c r="YA88" s="1" t="s">
        <v>68185</v>
      </c>
      <c r="YB88" s="1" t="s">
        <v>68186</v>
      </c>
      <c r="YC88" s="1" t="s">
        <v>68187</v>
      </c>
      <c r="YD88" s="1" t="s">
        <v>68188</v>
      </c>
      <c r="YE88" s="1" t="s">
        <v>68189</v>
      </c>
      <c r="YF88" s="1" t="s">
        <v>68190</v>
      </c>
      <c r="YG88" s="1" t="s">
        <v>68191</v>
      </c>
      <c r="YH88" s="1" t="s">
        <v>68192</v>
      </c>
      <c r="YI88" s="1" t="s">
        <v>68193</v>
      </c>
      <c r="YJ88" s="1" t="s">
        <v>68194</v>
      </c>
      <c r="YK88" s="1" t="s">
        <v>68195</v>
      </c>
      <c r="YL88" s="1" t="s">
        <v>68196</v>
      </c>
      <c r="YM88" s="1" t="s">
        <v>68197</v>
      </c>
      <c r="YN88" s="1" t="s">
        <v>68198</v>
      </c>
      <c r="YO88" s="1" t="s">
        <v>68199</v>
      </c>
      <c r="YP88" s="1" t="s">
        <v>68200</v>
      </c>
      <c r="YQ88" s="1" t="s">
        <v>68201</v>
      </c>
      <c r="YR88" s="1" t="s">
        <v>68202</v>
      </c>
      <c r="YS88" s="1" t="s">
        <v>68203</v>
      </c>
      <c r="YT88" s="1" t="s">
        <v>68204</v>
      </c>
      <c r="YU88" s="1" t="s">
        <v>68205</v>
      </c>
      <c r="YV88" s="1" t="s">
        <v>68206</v>
      </c>
      <c r="YW88" s="1" t="s">
        <v>68207</v>
      </c>
      <c r="YX88" s="1" t="s">
        <v>68208</v>
      </c>
      <c r="YY88" s="1" t="s">
        <v>68209</v>
      </c>
      <c r="YZ88" s="1" t="s">
        <v>68210</v>
      </c>
      <c r="ZA88" s="1" t="s">
        <v>68211</v>
      </c>
      <c r="ZB88" s="1" t="s">
        <v>68212</v>
      </c>
      <c r="ZC88" s="1" t="s">
        <v>68213</v>
      </c>
      <c r="ZD88" s="1" t="s">
        <v>68214</v>
      </c>
      <c r="ZE88" s="1" t="s">
        <v>68215</v>
      </c>
      <c r="ZF88" s="1" t="s">
        <v>68216</v>
      </c>
      <c r="ZG88" s="1" t="s">
        <v>68217</v>
      </c>
      <c r="ZH88" s="1" t="s">
        <v>68218</v>
      </c>
      <c r="ZI88" s="1" t="s">
        <v>68219</v>
      </c>
      <c r="ZJ88" s="1" t="s">
        <v>68220</v>
      </c>
      <c r="ZK88" s="1" t="s">
        <v>68221</v>
      </c>
      <c r="ZL88" s="1" t="s">
        <v>68222</v>
      </c>
      <c r="ZM88" s="1" t="s">
        <v>68223</v>
      </c>
      <c r="ZN88" s="1" t="s">
        <v>68224</v>
      </c>
      <c r="ZO88" s="1" t="s">
        <v>68225</v>
      </c>
      <c r="ZP88" s="1" t="s">
        <v>68226</v>
      </c>
      <c r="ZQ88" s="1" t="s">
        <v>68227</v>
      </c>
      <c r="ZR88" s="1" t="s">
        <v>68228</v>
      </c>
      <c r="ZS88" s="1" t="s">
        <v>68229</v>
      </c>
      <c r="ZT88" s="1" t="s">
        <v>68230</v>
      </c>
      <c r="ZU88" s="1" t="s">
        <v>68231</v>
      </c>
      <c r="ZV88" s="1" t="s">
        <v>68232</v>
      </c>
      <c r="ZW88" s="1" t="s">
        <v>68233</v>
      </c>
      <c r="ZX88" s="1" t="s">
        <v>68234</v>
      </c>
      <c r="ZY88" s="1" t="s">
        <v>68235</v>
      </c>
      <c r="ZZ88" s="1" t="s">
        <v>68236</v>
      </c>
      <c r="AAA88" s="1" t="s">
        <v>68237</v>
      </c>
      <c r="AAB88" s="1" t="s">
        <v>68238</v>
      </c>
      <c r="AAC88" s="1" t="s">
        <v>68239</v>
      </c>
      <c r="AAD88" s="1" t="s">
        <v>68240</v>
      </c>
      <c r="AAE88" s="1" t="s">
        <v>68241</v>
      </c>
      <c r="AAF88" s="1" t="s">
        <v>68242</v>
      </c>
      <c r="AAG88" s="1" t="s">
        <v>68243</v>
      </c>
      <c r="AAH88" s="1" t="s">
        <v>68244</v>
      </c>
      <c r="AAI88" s="1" t="s">
        <v>68245</v>
      </c>
      <c r="AAJ88" s="1" t="s">
        <v>68246</v>
      </c>
      <c r="AAK88" s="1" t="s">
        <v>68247</v>
      </c>
      <c r="AAL88" s="1" t="s">
        <v>68248</v>
      </c>
      <c r="AAM88" s="1" t="s">
        <v>68249</v>
      </c>
      <c r="AAN88" s="1" t="s">
        <v>68250</v>
      </c>
      <c r="AAO88" s="1" t="s">
        <v>68251</v>
      </c>
      <c r="AAP88" s="1" t="s">
        <v>68252</v>
      </c>
      <c r="AAQ88" s="1" t="s">
        <v>68253</v>
      </c>
      <c r="AAR88" s="1" t="s">
        <v>68254</v>
      </c>
      <c r="AAS88" s="1" t="s">
        <v>68255</v>
      </c>
      <c r="AAT88" s="1" t="s">
        <v>68256</v>
      </c>
      <c r="AAU88" s="1" t="s">
        <v>68257</v>
      </c>
      <c r="AAV88" s="1" t="s">
        <v>68258</v>
      </c>
      <c r="AAW88" s="1" t="s">
        <v>68259</v>
      </c>
      <c r="AAX88" s="1" t="s">
        <v>68260</v>
      </c>
      <c r="AAY88" s="1" t="s">
        <v>68261</v>
      </c>
      <c r="AAZ88" s="1" t="s">
        <v>68262</v>
      </c>
      <c r="ABA88" s="1" t="s">
        <v>68263</v>
      </c>
      <c r="ABB88" s="1" t="s">
        <v>68264</v>
      </c>
      <c r="ABC88" s="1" t="s">
        <v>68265</v>
      </c>
      <c r="ABD88" s="1" t="s">
        <v>68266</v>
      </c>
      <c r="ABE88" s="1" t="s">
        <v>68267</v>
      </c>
      <c r="ABF88" s="1" t="s">
        <v>68268</v>
      </c>
      <c r="ABG88" s="1" t="s">
        <v>68269</v>
      </c>
      <c r="ABH88" s="1" t="s">
        <v>68270</v>
      </c>
      <c r="ABI88" s="1" t="s">
        <v>68271</v>
      </c>
      <c r="ABJ88" s="1" t="s">
        <v>68272</v>
      </c>
      <c r="ABK88" s="1" t="s">
        <v>68273</v>
      </c>
      <c r="ABL88" s="1" t="s">
        <v>68274</v>
      </c>
      <c r="ABM88" s="1" t="s">
        <v>68275</v>
      </c>
      <c r="ABN88" s="1" t="s">
        <v>68276</v>
      </c>
      <c r="ABO88" s="1" t="s">
        <v>68277</v>
      </c>
      <c r="ABP88" s="1" t="s">
        <v>68278</v>
      </c>
      <c r="ABQ88" s="1" t="s">
        <v>68279</v>
      </c>
      <c r="ABR88" s="1" t="s">
        <v>68280</v>
      </c>
      <c r="ABS88" s="1" t="s">
        <v>68281</v>
      </c>
      <c r="ABT88" s="1" t="s">
        <v>68282</v>
      </c>
      <c r="ABU88" s="1" t="s">
        <v>68283</v>
      </c>
      <c r="ABV88" s="1" t="s">
        <v>68284</v>
      </c>
      <c r="ABW88" s="1" t="s">
        <v>68285</v>
      </c>
      <c r="ABX88" s="1" t="s">
        <v>68286</v>
      </c>
      <c r="ABY88" s="1" t="s">
        <v>68287</v>
      </c>
      <c r="ABZ88" s="1" t="s">
        <v>68288</v>
      </c>
      <c r="ACA88" s="1" t="s">
        <v>68289</v>
      </c>
      <c r="ACB88" s="1" t="s">
        <v>68290</v>
      </c>
      <c r="ACC88" s="1" t="s">
        <v>68291</v>
      </c>
      <c r="ACD88" s="1" t="s">
        <v>68292</v>
      </c>
      <c r="ACE88" s="1" t="s">
        <v>68293</v>
      </c>
      <c r="ACF88" s="1" t="s">
        <v>68294</v>
      </c>
      <c r="ACG88" s="1" t="s">
        <v>68295</v>
      </c>
      <c r="ACH88" s="1" t="s">
        <v>68296</v>
      </c>
      <c r="ACI88" s="1" t="s">
        <v>68297</v>
      </c>
      <c r="ACJ88" s="1" t="s">
        <v>68298</v>
      </c>
      <c r="ACK88" s="1" t="s">
        <v>68299</v>
      </c>
      <c r="ACL88" s="1" t="s">
        <v>68300</v>
      </c>
      <c r="ACM88" s="1" t="s">
        <v>68301</v>
      </c>
      <c r="ACN88" s="1" t="s">
        <v>68302</v>
      </c>
      <c r="ACO88" s="1" t="s">
        <v>68303</v>
      </c>
      <c r="ACP88" s="1" t="s">
        <v>68304</v>
      </c>
      <c r="ACQ88" s="1" t="s">
        <v>68305</v>
      </c>
      <c r="ACR88" s="1" t="s">
        <v>68306</v>
      </c>
      <c r="ACS88" s="1" t="s">
        <v>68307</v>
      </c>
      <c r="ACT88" s="1" t="s">
        <v>68308</v>
      </c>
      <c r="ACU88" s="1" t="s">
        <v>68309</v>
      </c>
      <c r="ACV88" s="1" t="s">
        <v>68310</v>
      </c>
      <c r="ACW88" s="1" t="s">
        <v>23</v>
      </c>
      <c r="ACX88" s="1" t="s">
        <v>6310</v>
      </c>
    </row>
    <row r="89" spans="1:778" x14ac:dyDescent="0.2">
      <c r="A89" s="1" t="s">
        <v>29</v>
      </c>
      <c r="B89" s="1" t="s">
        <v>68311</v>
      </c>
      <c r="C89" s="1" t="s">
        <v>68312</v>
      </c>
      <c r="D89" s="1" t="s">
        <v>68313</v>
      </c>
      <c r="E89" s="1" t="s">
        <v>68314</v>
      </c>
      <c r="F89" s="1" t="s">
        <v>68315</v>
      </c>
      <c r="G89" s="1" t="s">
        <v>68316</v>
      </c>
      <c r="H89" s="1" t="s">
        <v>68317</v>
      </c>
      <c r="I89" s="1" t="s">
        <v>68318</v>
      </c>
      <c r="J89" s="1" t="s">
        <v>68319</v>
      </c>
      <c r="K89" s="1" t="s">
        <v>68320</v>
      </c>
      <c r="L89" s="1" t="s">
        <v>68321</v>
      </c>
      <c r="M89" s="1" t="s">
        <v>68322</v>
      </c>
      <c r="N89" s="1" t="s">
        <v>68323</v>
      </c>
      <c r="O89" s="1" t="s">
        <v>68324</v>
      </c>
      <c r="P89" s="1" t="s">
        <v>68325</v>
      </c>
      <c r="Q89" s="1" t="s">
        <v>68326</v>
      </c>
      <c r="R89" s="1" t="s">
        <v>68327</v>
      </c>
      <c r="S89" s="1" t="s">
        <v>68328</v>
      </c>
      <c r="T89" s="1" t="s">
        <v>68329</v>
      </c>
      <c r="U89" s="1" t="s">
        <v>68330</v>
      </c>
      <c r="V89" s="1" t="s">
        <v>68331</v>
      </c>
      <c r="W89" s="1" t="s">
        <v>68332</v>
      </c>
      <c r="X89" s="1" t="s">
        <v>68333</v>
      </c>
      <c r="Y89" s="1" t="s">
        <v>68334</v>
      </c>
      <c r="Z89" s="1" t="s">
        <v>68335</v>
      </c>
      <c r="AA89" s="1" t="s">
        <v>68336</v>
      </c>
      <c r="AB89" s="1" t="s">
        <v>68337</v>
      </c>
      <c r="AC89" s="1" t="s">
        <v>68338</v>
      </c>
      <c r="AD89" s="1" t="s">
        <v>68339</v>
      </c>
      <c r="AE89" s="1" t="s">
        <v>68340</v>
      </c>
      <c r="AF89" s="1" t="s">
        <v>68341</v>
      </c>
      <c r="AG89" s="1" t="s">
        <v>68342</v>
      </c>
      <c r="AH89" s="1" t="s">
        <v>68343</v>
      </c>
      <c r="AI89" s="1" t="s">
        <v>68344</v>
      </c>
      <c r="AJ89" s="1" t="s">
        <v>68345</v>
      </c>
      <c r="AK89" s="1" t="s">
        <v>68346</v>
      </c>
      <c r="AL89" s="1" t="s">
        <v>68347</v>
      </c>
      <c r="AM89" s="1" t="s">
        <v>68348</v>
      </c>
      <c r="AN89" s="1" t="s">
        <v>68349</v>
      </c>
      <c r="AO89" s="1" t="s">
        <v>68350</v>
      </c>
      <c r="AP89" s="1" t="s">
        <v>68351</v>
      </c>
      <c r="AQ89" s="1" t="s">
        <v>68352</v>
      </c>
      <c r="AR89" s="1" t="s">
        <v>68353</v>
      </c>
      <c r="AS89" s="1" t="s">
        <v>68354</v>
      </c>
      <c r="AT89" s="1" t="s">
        <v>68355</v>
      </c>
      <c r="AU89" s="1" t="s">
        <v>68356</v>
      </c>
      <c r="AV89" s="1" t="s">
        <v>68357</v>
      </c>
      <c r="AW89" s="1" t="s">
        <v>68358</v>
      </c>
      <c r="AX89" s="1" t="s">
        <v>68359</v>
      </c>
      <c r="AY89" s="1" t="s">
        <v>68360</v>
      </c>
      <c r="AZ89" s="1" t="s">
        <v>68361</v>
      </c>
      <c r="BA89" s="1" t="s">
        <v>68362</v>
      </c>
      <c r="BB89" s="1" t="s">
        <v>68363</v>
      </c>
      <c r="BC89" s="1" t="s">
        <v>68364</v>
      </c>
      <c r="BD89" s="1" t="s">
        <v>68365</v>
      </c>
      <c r="BE89" s="1" t="s">
        <v>68366</v>
      </c>
      <c r="BF89" s="1" t="s">
        <v>68367</v>
      </c>
      <c r="BG89" s="1" t="s">
        <v>68368</v>
      </c>
      <c r="BH89" s="1" t="s">
        <v>68369</v>
      </c>
      <c r="BI89" s="1" t="s">
        <v>68370</v>
      </c>
      <c r="BJ89" s="1" t="s">
        <v>68371</v>
      </c>
      <c r="BK89" s="1" t="s">
        <v>68372</v>
      </c>
      <c r="BL89" s="1" t="s">
        <v>68373</v>
      </c>
      <c r="BM89" s="1" t="s">
        <v>68374</v>
      </c>
      <c r="BN89" s="1" t="s">
        <v>68375</v>
      </c>
      <c r="BO89" s="1" t="s">
        <v>68376</v>
      </c>
      <c r="BP89" s="1" t="s">
        <v>68377</v>
      </c>
      <c r="BQ89" s="1" t="s">
        <v>68378</v>
      </c>
      <c r="BR89" s="1" t="s">
        <v>68379</v>
      </c>
      <c r="BS89" s="1" t="s">
        <v>68380</v>
      </c>
      <c r="BT89" s="1" t="s">
        <v>68381</v>
      </c>
      <c r="BU89" s="1" t="s">
        <v>68382</v>
      </c>
      <c r="BV89" s="1" t="s">
        <v>68383</v>
      </c>
      <c r="BW89" s="1" t="s">
        <v>68384</v>
      </c>
      <c r="BX89" s="1" t="s">
        <v>68385</v>
      </c>
      <c r="BY89" s="1" t="s">
        <v>68386</v>
      </c>
      <c r="BZ89" s="1" t="s">
        <v>68387</v>
      </c>
      <c r="CA89" s="1" t="s">
        <v>68388</v>
      </c>
      <c r="CB89" s="1" t="s">
        <v>68389</v>
      </c>
      <c r="CC89" s="1" t="s">
        <v>68390</v>
      </c>
      <c r="CD89" s="1" t="s">
        <v>68391</v>
      </c>
      <c r="CE89" s="1" t="s">
        <v>68392</v>
      </c>
      <c r="CF89" s="1" t="s">
        <v>68393</v>
      </c>
      <c r="CG89" s="1" t="s">
        <v>68394</v>
      </c>
      <c r="CH89" s="1" t="s">
        <v>68395</v>
      </c>
      <c r="CI89" s="1" t="s">
        <v>68396</v>
      </c>
      <c r="CJ89" s="1" t="s">
        <v>68397</v>
      </c>
      <c r="CK89" s="1" t="s">
        <v>68398</v>
      </c>
      <c r="CL89" s="1" t="s">
        <v>68399</v>
      </c>
      <c r="CM89" s="1" t="s">
        <v>68400</v>
      </c>
      <c r="CN89" s="1" t="s">
        <v>68401</v>
      </c>
      <c r="CO89" s="1" t="s">
        <v>68402</v>
      </c>
      <c r="CP89" s="1" t="s">
        <v>68403</v>
      </c>
      <c r="CQ89" s="1" t="s">
        <v>68404</v>
      </c>
      <c r="CR89" s="1" t="s">
        <v>68405</v>
      </c>
      <c r="CS89" s="1" t="s">
        <v>68406</v>
      </c>
      <c r="CT89" s="1" t="s">
        <v>68407</v>
      </c>
      <c r="CU89" s="1" t="s">
        <v>68408</v>
      </c>
      <c r="CV89" s="1" t="s">
        <v>68409</v>
      </c>
      <c r="CW89" s="1" t="s">
        <v>68410</v>
      </c>
      <c r="CX89" s="1" t="s">
        <v>68411</v>
      </c>
      <c r="CY89" s="1" t="s">
        <v>68412</v>
      </c>
      <c r="CZ89" s="1" t="s">
        <v>68413</v>
      </c>
      <c r="DA89" s="1" t="s">
        <v>68414</v>
      </c>
      <c r="DB89" s="1" t="s">
        <v>68415</v>
      </c>
      <c r="DC89" s="1" t="s">
        <v>68416</v>
      </c>
      <c r="DD89" s="1" t="s">
        <v>68417</v>
      </c>
      <c r="DE89" s="1" t="s">
        <v>68418</v>
      </c>
      <c r="DF89" s="1" t="s">
        <v>68419</v>
      </c>
      <c r="DG89" s="1" t="s">
        <v>68420</v>
      </c>
      <c r="DH89" s="1" t="s">
        <v>68421</v>
      </c>
      <c r="DI89" s="1" t="s">
        <v>68422</v>
      </c>
      <c r="DJ89" s="1" t="s">
        <v>68423</v>
      </c>
      <c r="DK89" s="1" t="s">
        <v>68424</v>
      </c>
      <c r="DL89" s="1" t="s">
        <v>68425</v>
      </c>
      <c r="DM89" s="1" t="s">
        <v>68426</v>
      </c>
      <c r="DN89" s="1" t="s">
        <v>68427</v>
      </c>
      <c r="DO89" s="1" t="s">
        <v>68428</v>
      </c>
      <c r="DP89" s="1" t="s">
        <v>68429</v>
      </c>
      <c r="DQ89" s="1" t="s">
        <v>68430</v>
      </c>
      <c r="DR89" s="1" t="s">
        <v>68431</v>
      </c>
      <c r="DS89" s="1" t="s">
        <v>68432</v>
      </c>
      <c r="DT89" s="1" t="s">
        <v>68433</v>
      </c>
      <c r="DU89" s="1" t="s">
        <v>68434</v>
      </c>
      <c r="DV89" s="1" t="s">
        <v>68435</v>
      </c>
      <c r="DW89" s="1" t="s">
        <v>68436</v>
      </c>
      <c r="DX89" s="1" t="s">
        <v>68437</v>
      </c>
      <c r="DY89" s="1" t="s">
        <v>68438</v>
      </c>
      <c r="DZ89" s="1" t="s">
        <v>68439</v>
      </c>
      <c r="EA89" s="1" t="s">
        <v>68440</v>
      </c>
      <c r="EB89" s="1" t="s">
        <v>68441</v>
      </c>
      <c r="EC89" s="1" t="s">
        <v>68442</v>
      </c>
      <c r="ED89" s="1" t="s">
        <v>68443</v>
      </c>
      <c r="EE89" s="1" t="s">
        <v>68444</v>
      </c>
      <c r="EF89" s="1" t="s">
        <v>68445</v>
      </c>
      <c r="EG89" s="1" t="s">
        <v>68446</v>
      </c>
      <c r="EH89" s="1" t="s">
        <v>68447</v>
      </c>
      <c r="EI89" s="1" t="s">
        <v>68448</v>
      </c>
      <c r="EJ89" s="1" t="s">
        <v>68449</v>
      </c>
      <c r="EK89" s="1" t="s">
        <v>68450</v>
      </c>
      <c r="EL89" s="1" t="s">
        <v>68451</v>
      </c>
      <c r="EM89" s="1" t="s">
        <v>68452</v>
      </c>
      <c r="EN89" s="1" t="s">
        <v>68453</v>
      </c>
      <c r="EO89" s="1" t="s">
        <v>68454</v>
      </c>
      <c r="EP89" s="1" t="s">
        <v>68455</v>
      </c>
      <c r="EQ89" s="1" t="s">
        <v>68456</v>
      </c>
      <c r="ER89" s="1" t="s">
        <v>68457</v>
      </c>
      <c r="ES89" s="1" t="s">
        <v>68458</v>
      </c>
      <c r="ET89" s="1" t="s">
        <v>68459</v>
      </c>
      <c r="EU89" s="1" t="s">
        <v>68460</v>
      </c>
      <c r="EV89" s="1" t="s">
        <v>68461</v>
      </c>
      <c r="EW89" s="1" t="s">
        <v>68462</v>
      </c>
      <c r="EX89" s="1" t="s">
        <v>68463</v>
      </c>
      <c r="EY89" s="1" t="s">
        <v>68464</v>
      </c>
      <c r="EZ89" s="1" t="s">
        <v>68465</v>
      </c>
      <c r="FA89" s="1" t="s">
        <v>68466</v>
      </c>
      <c r="FB89" s="1" t="s">
        <v>68467</v>
      </c>
      <c r="FC89" s="1" t="s">
        <v>68468</v>
      </c>
      <c r="FD89" s="1" t="s">
        <v>68469</v>
      </c>
      <c r="FE89" s="1" t="s">
        <v>68470</v>
      </c>
      <c r="FF89" s="1" t="s">
        <v>68471</v>
      </c>
      <c r="FG89" s="1" t="s">
        <v>68472</v>
      </c>
      <c r="FH89" s="1" t="s">
        <v>68473</v>
      </c>
      <c r="FI89" s="1" t="s">
        <v>68474</v>
      </c>
      <c r="FJ89" s="1" t="s">
        <v>68475</v>
      </c>
      <c r="FK89" s="1" t="s">
        <v>68476</v>
      </c>
      <c r="FL89" s="1" t="s">
        <v>68477</v>
      </c>
      <c r="FM89" s="1" t="s">
        <v>68478</v>
      </c>
      <c r="FN89" s="1" t="s">
        <v>68479</v>
      </c>
      <c r="FO89" s="1" t="s">
        <v>68480</v>
      </c>
      <c r="FP89" s="1" t="s">
        <v>68481</v>
      </c>
      <c r="FQ89" s="1" t="s">
        <v>68482</v>
      </c>
      <c r="FR89" s="1" t="s">
        <v>68483</v>
      </c>
      <c r="FS89" s="1" t="s">
        <v>68484</v>
      </c>
      <c r="FT89" s="1" t="s">
        <v>68485</v>
      </c>
      <c r="FU89" s="1" t="s">
        <v>68486</v>
      </c>
      <c r="FV89" s="1" t="s">
        <v>68487</v>
      </c>
      <c r="FW89" s="1" t="s">
        <v>68488</v>
      </c>
      <c r="FX89" s="1" t="s">
        <v>68489</v>
      </c>
      <c r="FY89" s="1" t="s">
        <v>68490</v>
      </c>
      <c r="FZ89" s="1" t="s">
        <v>68491</v>
      </c>
      <c r="GA89" s="1" t="s">
        <v>68492</v>
      </c>
      <c r="GB89" s="1" t="s">
        <v>68493</v>
      </c>
      <c r="GC89" s="1" t="s">
        <v>68494</v>
      </c>
      <c r="GD89" s="1" t="s">
        <v>68495</v>
      </c>
      <c r="GE89" s="1" t="s">
        <v>68496</v>
      </c>
      <c r="GF89" s="1" t="s">
        <v>68497</v>
      </c>
      <c r="GG89" s="1" t="s">
        <v>68498</v>
      </c>
      <c r="GH89" s="1" t="s">
        <v>68499</v>
      </c>
      <c r="GI89" s="1" t="s">
        <v>68500</v>
      </c>
      <c r="GJ89" s="1" t="s">
        <v>68501</v>
      </c>
      <c r="GK89" s="1" t="s">
        <v>68502</v>
      </c>
      <c r="GL89" s="1" t="s">
        <v>68503</v>
      </c>
      <c r="GM89" s="1" t="s">
        <v>68504</v>
      </c>
      <c r="GN89" s="1" t="s">
        <v>68505</v>
      </c>
      <c r="GO89" s="1" t="s">
        <v>68506</v>
      </c>
      <c r="GP89" s="1" t="s">
        <v>68507</v>
      </c>
      <c r="GQ89" s="1" t="s">
        <v>68508</v>
      </c>
      <c r="GR89" s="1" t="s">
        <v>68509</v>
      </c>
      <c r="GS89" s="1" t="s">
        <v>68510</v>
      </c>
      <c r="GT89" s="1" t="s">
        <v>68511</v>
      </c>
      <c r="GU89" s="1" t="s">
        <v>68512</v>
      </c>
      <c r="GV89" s="1" t="s">
        <v>68513</v>
      </c>
      <c r="GW89" s="1" t="s">
        <v>68514</v>
      </c>
      <c r="GX89" s="1" t="s">
        <v>68515</v>
      </c>
      <c r="GY89" s="1" t="s">
        <v>68516</v>
      </c>
      <c r="GZ89" s="1" t="s">
        <v>68517</v>
      </c>
      <c r="HA89" s="1" t="s">
        <v>68518</v>
      </c>
      <c r="HB89" s="1" t="s">
        <v>68519</v>
      </c>
      <c r="HC89" s="1" t="s">
        <v>68520</v>
      </c>
      <c r="HD89" s="1" t="s">
        <v>68521</v>
      </c>
      <c r="HE89" s="1" t="s">
        <v>68522</v>
      </c>
      <c r="HF89" s="1" t="s">
        <v>68523</v>
      </c>
      <c r="HG89" s="1" t="s">
        <v>68524</v>
      </c>
      <c r="HH89" s="1" t="s">
        <v>68525</v>
      </c>
      <c r="HI89" s="1" t="s">
        <v>68526</v>
      </c>
      <c r="HJ89" s="1" t="s">
        <v>68527</v>
      </c>
      <c r="HK89" s="1" t="s">
        <v>68528</v>
      </c>
      <c r="HL89" s="1" t="s">
        <v>68529</v>
      </c>
      <c r="HM89" s="1" t="s">
        <v>68530</v>
      </c>
      <c r="HN89" s="1" t="s">
        <v>68531</v>
      </c>
      <c r="HO89" s="1" t="s">
        <v>68532</v>
      </c>
      <c r="HP89" s="1" t="s">
        <v>68533</v>
      </c>
      <c r="HQ89" s="1" t="s">
        <v>68534</v>
      </c>
      <c r="HR89" s="1" t="s">
        <v>68535</v>
      </c>
      <c r="HS89" s="1" t="s">
        <v>68536</v>
      </c>
      <c r="HT89" s="1" t="s">
        <v>68537</v>
      </c>
      <c r="HU89" s="1" t="s">
        <v>68538</v>
      </c>
      <c r="HV89" s="1" t="s">
        <v>68539</v>
      </c>
      <c r="HW89" s="1" t="s">
        <v>68540</v>
      </c>
      <c r="HX89" s="1" t="s">
        <v>68541</v>
      </c>
      <c r="HY89" s="1" t="s">
        <v>68542</v>
      </c>
      <c r="HZ89" s="1" t="s">
        <v>68543</v>
      </c>
      <c r="IA89" s="1" t="s">
        <v>68544</v>
      </c>
      <c r="IB89" s="1" t="s">
        <v>68545</v>
      </c>
      <c r="IC89" s="1" t="s">
        <v>68546</v>
      </c>
      <c r="ID89" s="1" t="s">
        <v>68547</v>
      </c>
      <c r="IE89" s="1" t="s">
        <v>68548</v>
      </c>
      <c r="IF89" s="1" t="s">
        <v>68549</v>
      </c>
      <c r="IG89" s="1" t="s">
        <v>68550</v>
      </c>
      <c r="IH89" s="1" t="s">
        <v>68551</v>
      </c>
      <c r="II89" s="1" t="s">
        <v>68552</v>
      </c>
      <c r="IJ89" s="1" t="s">
        <v>68553</v>
      </c>
      <c r="IK89" s="1" t="s">
        <v>68554</v>
      </c>
      <c r="IL89" s="1" t="s">
        <v>68555</v>
      </c>
      <c r="IM89" s="1" t="s">
        <v>68556</v>
      </c>
      <c r="IN89" s="1" t="s">
        <v>68557</v>
      </c>
      <c r="IO89" s="1" t="s">
        <v>68558</v>
      </c>
      <c r="IP89" s="1" t="s">
        <v>68559</v>
      </c>
      <c r="IQ89" s="1" t="s">
        <v>68560</v>
      </c>
      <c r="IR89" s="1" t="s">
        <v>68561</v>
      </c>
      <c r="IS89" s="1" t="s">
        <v>68562</v>
      </c>
      <c r="IT89" s="1" t="s">
        <v>68563</v>
      </c>
      <c r="IU89" s="1" t="s">
        <v>68564</v>
      </c>
      <c r="IV89" s="1" t="s">
        <v>68565</v>
      </c>
      <c r="IW89" s="1" t="s">
        <v>68566</v>
      </c>
      <c r="IX89" s="1" t="s">
        <v>68567</v>
      </c>
      <c r="IY89" s="1" t="s">
        <v>68568</v>
      </c>
      <c r="IZ89" s="1" t="s">
        <v>68569</v>
      </c>
      <c r="JA89" s="1" t="s">
        <v>68570</v>
      </c>
      <c r="JB89" s="1" t="s">
        <v>68571</v>
      </c>
      <c r="JC89" s="1" t="s">
        <v>68572</v>
      </c>
      <c r="JD89" s="1" t="s">
        <v>68573</v>
      </c>
      <c r="JE89" s="1" t="s">
        <v>68574</v>
      </c>
      <c r="JF89" s="1" t="s">
        <v>68575</v>
      </c>
      <c r="JG89" s="1" t="s">
        <v>68576</v>
      </c>
      <c r="JH89" s="1" t="s">
        <v>68577</v>
      </c>
      <c r="JI89" s="1" t="s">
        <v>68578</v>
      </c>
      <c r="JJ89" s="1" t="s">
        <v>68579</v>
      </c>
      <c r="JK89" s="1" t="s">
        <v>68580</v>
      </c>
      <c r="JL89" s="1" t="s">
        <v>68581</v>
      </c>
      <c r="JM89" s="1" t="s">
        <v>68582</v>
      </c>
      <c r="JN89" s="1" t="s">
        <v>68583</v>
      </c>
      <c r="JO89" s="1" t="s">
        <v>68584</v>
      </c>
      <c r="JP89" s="1" t="s">
        <v>68585</v>
      </c>
      <c r="JQ89" s="1" t="s">
        <v>68586</v>
      </c>
      <c r="JR89" s="1" t="s">
        <v>68587</v>
      </c>
      <c r="JS89" s="1" t="s">
        <v>68588</v>
      </c>
      <c r="JT89" s="1" t="s">
        <v>68589</v>
      </c>
      <c r="JU89" s="1" t="s">
        <v>68590</v>
      </c>
      <c r="JV89" s="1" t="s">
        <v>68591</v>
      </c>
      <c r="JW89" s="1" t="s">
        <v>68592</v>
      </c>
      <c r="JX89" s="1" t="s">
        <v>68593</v>
      </c>
      <c r="JY89" s="1" t="s">
        <v>68594</v>
      </c>
      <c r="JZ89" s="1" t="s">
        <v>68595</v>
      </c>
      <c r="KA89" s="1" t="s">
        <v>68596</v>
      </c>
      <c r="KB89" s="1" t="s">
        <v>68597</v>
      </c>
      <c r="KC89" s="1" t="s">
        <v>68598</v>
      </c>
      <c r="KD89" s="1" t="s">
        <v>68599</v>
      </c>
      <c r="KE89" s="1" t="s">
        <v>68600</v>
      </c>
      <c r="KF89" s="1" t="s">
        <v>68601</v>
      </c>
      <c r="KG89" s="1" t="s">
        <v>68602</v>
      </c>
      <c r="KH89" s="1" t="s">
        <v>68603</v>
      </c>
      <c r="KI89" s="1" t="s">
        <v>68604</v>
      </c>
      <c r="KJ89" s="1" t="s">
        <v>68605</v>
      </c>
      <c r="KK89" s="1" t="s">
        <v>68606</v>
      </c>
      <c r="KL89" s="1" t="s">
        <v>68607</v>
      </c>
      <c r="KM89" s="1" t="s">
        <v>68608</v>
      </c>
      <c r="KN89" s="1" t="s">
        <v>68609</v>
      </c>
      <c r="KO89" s="1" t="s">
        <v>68610</v>
      </c>
      <c r="KP89" s="1" t="s">
        <v>68611</v>
      </c>
      <c r="KQ89" s="1" t="s">
        <v>68612</v>
      </c>
      <c r="KR89" s="1" t="s">
        <v>68613</v>
      </c>
      <c r="KS89" s="1" t="s">
        <v>68614</v>
      </c>
      <c r="KT89" s="1" t="s">
        <v>68615</v>
      </c>
      <c r="KU89" s="1" t="s">
        <v>68616</v>
      </c>
      <c r="KV89" s="1" t="s">
        <v>68617</v>
      </c>
      <c r="KW89" s="1" t="s">
        <v>68618</v>
      </c>
      <c r="KX89" s="1" t="s">
        <v>68619</v>
      </c>
      <c r="KY89" s="1" t="s">
        <v>68620</v>
      </c>
      <c r="KZ89" s="1" t="s">
        <v>68621</v>
      </c>
      <c r="LA89" s="1" t="s">
        <v>68622</v>
      </c>
      <c r="LB89" s="1" t="s">
        <v>68623</v>
      </c>
      <c r="LC89" s="1" t="s">
        <v>68624</v>
      </c>
      <c r="LD89" s="1" t="s">
        <v>68625</v>
      </c>
      <c r="LE89" s="1" t="s">
        <v>68626</v>
      </c>
      <c r="LF89" s="1" t="s">
        <v>68627</v>
      </c>
      <c r="LG89" s="1" t="s">
        <v>68628</v>
      </c>
      <c r="LH89" s="1" t="s">
        <v>68629</v>
      </c>
      <c r="LI89" s="1" t="s">
        <v>68630</v>
      </c>
      <c r="LJ89" s="1" t="s">
        <v>68631</v>
      </c>
      <c r="LK89" s="1" t="s">
        <v>68632</v>
      </c>
      <c r="LL89" s="1" t="s">
        <v>68633</v>
      </c>
      <c r="LM89" s="1" t="s">
        <v>68634</v>
      </c>
      <c r="LN89" s="1" t="s">
        <v>68635</v>
      </c>
      <c r="LO89" s="1" t="s">
        <v>68636</v>
      </c>
      <c r="LP89" s="1" t="s">
        <v>68637</v>
      </c>
      <c r="LQ89" s="1" t="s">
        <v>68638</v>
      </c>
      <c r="LR89" s="1" t="s">
        <v>68639</v>
      </c>
      <c r="LS89" s="1" t="s">
        <v>68640</v>
      </c>
      <c r="LT89" s="1" t="s">
        <v>68641</v>
      </c>
      <c r="LU89" s="1" t="s">
        <v>68642</v>
      </c>
      <c r="LV89" s="1" t="s">
        <v>68643</v>
      </c>
      <c r="LW89" s="1" t="s">
        <v>68644</v>
      </c>
      <c r="LX89" s="1" t="s">
        <v>68645</v>
      </c>
      <c r="LY89" s="1" t="s">
        <v>68646</v>
      </c>
      <c r="LZ89" s="1" t="s">
        <v>68647</v>
      </c>
      <c r="MA89" s="1" t="s">
        <v>68648</v>
      </c>
      <c r="MB89" s="1" t="s">
        <v>68649</v>
      </c>
      <c r="MC89" s="1" t="s">
        <v>68650</v>
      </c>
      <c r="MD89" s="1" t="s">
        <v>68651</v>
      </c>
      <c r="ME89" s="1" t="s">
        <v>68652</v>
      </c>
      <c r="MF89" s="1" t="s">
        <v>68653</v>
      </c>
      <c r="MG89" s="1" t="s">
        <v>68654</v>
      </c>
      <c r="MH89" s="1" t="s">
        <v>68655</v>
      </c>
      <c r="MI89" s="1" t="s">
        <v>68656</v>
      </c>
      <c r="MJ89" s="1" t="s">
        <v>68657</v>
      </c>
      <c r="MK89" s="1" t="s">
        <v>68658</v>
      </c>
      <c r="ML89" s="1" t="s">
        <v>68659</v>
      </c>
      <c r="MM89" s="1" t="s">
        <v>68660</v>
      </c>
      <c r="MN89" s="1" t="s">
        <v>68661</v>
      </c>
      <c r="MO89" s="1" t="s">
        <v>68662</v>
      </c>
      <c r="MP89" s="1" t="s">
        <v>68663</v>
      </c>
      <c r="MQ89" s="1" t="s">
        <v>68664</v>
      </c>
      <c r="MR89" s="1" t="s">
        <v>68665</v>
      </c>
      <c r="MS89" s="1" t="s">
        <v>68666</v>
      </c>
      <c r="MT89" s="1" t="s">
        <v>68667</v>
      </c>
      <c r="MU89" s="1" t="s">
        <v>68668</v>
      </c>
      <c r="MV89" s="1" t="s">
        <v>68669</v>
      </c>
      <c r="MW89" s="1" t="s">
        <v>68670</v>
      </c>
      <c r="MX89" s="1" t="s">
        <v>68671</v>
      </c>
      <c r="MY89" s="1" t="s">
        <v>68672</v>
      </c>
      <c r="MZ89" s="1" t="s">
        <v>68673</v>
      </c>
      <c r="NA89" s="1" t="s">
        <v>68674</v>
      </c>
      <c r="NB89" s="1" t="s">
        <v>68675</v>
      </c>
      <c r="NC89" s="1" t="s">
        <v>68676</v>
      </c>
      <c r="ND89" s="1" t="s">
        <v>68677</v>
      </c>
      <c r="NE89" s="1" t="s">
        <v>68678</v>
      </c>
      <c r="NF89" s="1" t="s">
        <v>68679</v>
      </c>
      <c r="NG89" s="1" t="s">
        <v>68680</v>
      </c>
      <c r="NH89" s="1" t="s">
        <v>68681</v>
      </c>
      <c r="NI89" s="1" t="s">
        <v>68682</v>
      </c>
      <c r="NJ89" s="1" t="s">
        <v>68683</v>
      </c>
      <c r="NK89" s="1" t="s">
        <v>68684</v>
      </c>
      <c r="NL89" s="1" t="s">
        <v>68685</v>
      </c>
      <c r="NM89" s="1" t="s">
        <v>68686</v>
      </c>
      <c r="NN89" s="1" t="s">
        <v>68687</v>
      </c>
      <c r="NO89" s="1" t="s">
        <v>68688</v>
      </c>
      <c r="NP89" s="1" t="s">
        <v>68689</v>
      </c>
      <c r="NQ89" s="1" t="s">
        <v>68690</v>
      </c>
      <c r="NR89" s="1" t="s">
        <v>68691</v>
      </c>
      <c r="NS89" s="1" t="s">
        <v>68692</v>
      </c>
      <c r="NT89" s="1" t="s">
        <v>68693</v>
      </c>
      <c r="NU89" s="1" t="s">
        <v>68694</v>
      </c>
      <c r="NV89" s="1" t="s">
        <v>68695</v>
      </c>
      <c r="NW89" s="1" t="s">
        <v>68696</v>
      </c>
      <c r="NX89" s="1" t="s">
        <v>68697</v>
      </c>
      <c r="NY89" s="1" t="s">
        <v>68698</v>
      </c>
      <c r="NZ89" s="1" t="s">
        <v>68699</v>
      </c>
      <c r="OA89" s="1" t="s">
        <v>68700</v>
      </c>
      <c r="OB89" s="1" t="s">
        <v>68701</v>
      </c>
      <c r="OC89" s="1" t="s">
        <v>68702</v>
      </c>
      <c r="OD89" s="1" t="s">
        <v>68703</v>
      </c>
      <c r="OE89" s="1" t="s">
        <v>68704</v>
      </c>
      <c r="OF89" s="1" t="s">
        <v>68705</v>
      </c>
      <c r="OG89" s="1" t="s">
        <v>68706</v>
      </c>
      <c r="OH89" s="1" t="s">
        <v>68707</v>
      </c>
      <c r="OI89" s="1" t="s">
        <v>68708</v>
      </c>
      <c r="OJ89" s="1" t="s">
        <v>68709</v>
      </c>
      <c r="OK89" s="1" t="s">
        <v>68710</v>
      </c>
      <c r="OL89" s="1" t="s">
        <v>68711</v>
      </c>
      <c r="OM89" s="1" t="s">
        <v>68712</v>
      </c>
      <c r="ON89" s="1" t="s">
        <v>68713</v>
      </c>
      <c r="OO89" s="1" t="s">
        <v>68714</v>
      </c>
      <c r="OP89" s="1" t="s">
        <v>68715</v>
      </c>
      <c r="OQ89" s="1" t="s">
        <v>68716</v>
      </c>
      <c r="OR89" s="1" t="s">
        <v>68717</v>
      </c>
      <c r="OS89" s="1" t="s">
        <v>68718</v>
      </c>
      <c r="OT89" s="1" t="s">
        <v>68719</v>
      </c>
      <c r="OU89" s="1" t="s">
        <v>68720</v>
      </c>
      <c r="OV89" s="1" t="s">
        <v>68721</v>
      </c>
      <c r="OW89" s="1" t="s">
        <v>68722</v>
      </c>
      <c r="OX89" s="1" t="s">
        <v>68723</v>
      </c>
      <c r="OY89" s="1" t="s">
        <v>68724</v>
      </c>
      <c r="OZ89" s="1" t="s">
        <v>68725</v>
      </c>
      <c r="PA89" s="1" t="s">
        <v>68726</v>
      </c>
      <c r="PB89" s="1" t="s">
        <v>68727</v>
      </c>
      <c r="PC89" s="1" t="s">
        <v>68728</v>
      </c>
      <c r="PD89" s="1" t="s">
        <v>68729</v>
      </c>
      <c r="PE89" s="1" t="s">
        <v>68730</v>
      </c>
      <c r="PF89" s="1" t="s">
        <v>68731</v>
      </c>
      <c r="PG89" s="1" t="s">
        <v>68732</v>
      </c>
      <c r="PH89" s="1" t="s">
        <v>68733</v>
      </c>
      <c r="PI89" s="1" t="s">
        <v>68734</v>
      </c>
      <c r="PJ89" s="1" t="s">
        <v>68735</v>
      </c>
      <c r="PK89" s="1" t="s">
        <v>68736</v>
      </c>
      <c r="PL89" s="1" t="s">
        <v>68737</v>
      </c>
      <c r="PM89" s="1" t="s">
        <v>68738</v>
      </c>
      <c r="PN89" s="1" t="s">
        <v>68739</v>
      </c>
      <c r="PO89" s="1" t="s">
        <v>68740</v>
      </c>
      <c r="PP89" s="1" t="s">
        <v>68741</v>
      </c>
      <c r="PQ89" s="1" t="s">
        <v>68742</v>
      </c>
      <c r="PR89" s="1" t="s">
        <v>68743</v>
      </c>
      <c r="PS89" s="1" t="s">
        <v>68744</v>
      </c>
      <c r="PT89" s="1" t="s">
        <v>68745</v>
      </c>
      <c r="PU89" s="1" t="s">
        <v>68746</v>
      </c>
      <c r="PV89" s="1" t="s">
        <v>68747</v>
      </c>
      <c r="PW89" s="1" t="s">
        <v>68748</v>
      </c>
      <c r="PX89" s="1" t="s">
        <v>68749</v>
      </c>
      <c r="PY89" s="1" t="s">
        <v>68750</v>
      </c>
      <c r="PZ89" s="1" t="s">
        <v>68751</v>
      </c>
      <c r="QA89" s="1" t="s">
        <v>68752</v>
      </c>
      <c r="QB89" s="1" t="s">
        <v>68753</v>
      </c>
      <c r="QC89" s="1" t="s">
        <v>68754</v>
      </c>
      <c r="QD89" s="1" t="s">
        <v>68755</v>
      </c>
      <c r="QE89" s="1" t="s">
        <v>68756</v>
      </c>
      <c r="QF89" s="1" t="s">
        <v>68757</v>
      </c>
      <c r="QG89" s="1" t="s">
        <v>68758</v>
      </c>
      <c r="QH89" s="1" t="s">
        <v>68759</v>
      </c>
      <c r="QI89" s="1" t="s">
        <v>68760</v>
      </c>
      <c r="QJ89" s="1" t="s">
        <v>68761</v>
      </c>
      <c r="QK89" s="1" t="s">
        <v>68762</v>
      </c>
      <c r="QL89" s="1" t="s">
        <v>68763</v>
      </c>
      <c r="QM89" s="1" t="s">
        <v>68764</v>
      </c>
      <c r="QN89" s="1" t="s">
        <v>68765</v>
      </c>
      <c r="QO89" s="1" t="s">
        <v>68766</v>
      </c>
      <c r="QP89" s="1" t="s">
        <v>68767</v>
      </c>
      <c r="QQ89" s="1" t="s">
        <v>68768</v>
      </c>
      <c r="QR89" s="1" t="s">
        <v>68769</v>
      </c>
      <c r="QS89" s="1" t="s">
        <v>68770</v>
      </c>
      <c r="QT89" s="1" t="s">
        <v>68771</v>
      </c>
      <c r="QU89" s="1" t="s">
        <v>68772</v>
      </c>
      <c r="QV89" s="1" t="s">
        <v>68773</v>
      </c>
      <c r="QW89" s="1" t="s">
        <v>68774</v>
      </c>
      <c r="QX89" s="1" t="s">
        <v>68775</v>
      </c>
      <c r="QY89" s="1" t="s">
        <v>68776</v>
      </c>
      <c r="QZ89" s="1" t="s">
        <v>68777</v>
      </c>
      <c r="RA89" s="1" t="s">
        <v>68778</v>
      </c>
      <c r="RB89" s="1" t="s">
        <v>68779</v>
      </c>
      <c r="RC89" s="1" t="s">
        <v>68780</v>
      </c>
      <c r="RD89" s="1" t="s">
        <v>68781</v>
      </c>
      <c r="RE89" s="1" t="s">
        <v>68782</v>
      </c>
      <c r="RF89" s="1" t="s">
        <v>68783</v>
      </c>
      <c r="RG89" s="1" t="s">
        <v>68784</v>
      </c>
      <c r="RH89" s="1" t="s">
        <v>68785</v>
      </c>
      <c r="RI89" s="1" t="s">
        <v>68786</v>
      </c>
      <c r="RJ89" s="1" t="s">
        <v>68787</v>
      </c>
      <c r="RK89" s="1" t="s">
        <v>68788</v>
      </c>
      <c r="RL89" s="1" t="s">
        <v>68789</v>
      </c>
      <c r="RM89" s="1" t="s">
        <v>68790</v>
      </c>
      <c r="RN89" s="1" t="s">
        <v>68791</v>
      </c>
      <c r="RO89" s="1" t="s">
        <v>68792</v>
      </c>
      <c r="RP89" s="1" t="s">
        <v>68793</v>
      </c>
      <c r="RQ89" s="1" t="s">
        <v>68794</v>
      </c>
      <c r="RR89" s="1" t="s">
        <v>68795</v>
      </c>
      <c r="RS89" s="1" t="s">
        <v>68796</v>
      </c>
      <c r="RT89" s="1" t="s">
        <v>68797</v>
      </c>
      <c r="RU89" s="1" t="s">
        <v>68798</v>
      </c>
      <c r="RV89" s="1" t="s">
        <v>68799</v>
      </c>
      <c r="RW89" s="1" t="s">
        <v>68800</v>
      </c>
      <c r="RX89" s="1" t="s">
        <v>68801</v>
      </c>
      <c r="RY89" s="1" t="s">
        <v>68802</v>
      </c>
      <c r="RZ89" s="1" t="s">
        <v>68803</v>
      </c>
      <c r="SA89" s="1" t="s">
        <v>68804</v>
      </c>
      <c r="SB89" s="1" t="s">
        <v>68805</v>
      </c>
      <c r="SC89" s="1" t="s">
        <v>68806</v>
      </c>
      <c r="SD89" s="1" t="s">
        <v>68807</v>
      </c>
      <c r="SE89" s="1" t="s">
        <v>68808</v>
      </c>
      <c r="SF89" s="1" t="s">
        <v>68809</v>
      </c>
      <c r="SG89" s="1" t="s">
        <v>68810</v>
      </c>
      <c r="SH89" s="1" t="s">
        <v>68811</v>
      </c>
      <c r="SI89" s="1" t="s">
        <v>68812</v>
      </c>
      <c r="SJ89" s="1" t="s">
        <v>68813</v>
      </c>
      <c r="SK89" s="1" t="s">
        <v>68814</v>
      </c>
      <c r="SL89" s="1" t="s">
        <v>68815</v>
      </c>
      <c r="SM89" s="1" t="s">
        <v>68816</v>
      </c>
      <c r="SN89" s="1" t="s">
        <v>68817</v>
      </c>
      <c r="SO89" s="1" t="s">
        <v>68818</v>
      </c>
      <c r="SP89" s="1" t="s">
        <v>68819</v>
      </c>
      <c r="SQ89" s="1" t="s">
        <v>68820</v>
      </c>
      <c r="SR89" s="1" t="s">
        <v>68821</v>
      </c>
      <c r="SS89" s="1" t="s">
        <v>68822</v>
      </c>
      <c r="ST89" s="1" t="s">
        <v>68823</v>
      </c>
      <c r="SU89" s="1" t="s">
        <v>68824</v>
      </c>
      <c r="SV89" s="1" t="s">
        <v>68825</v>
      </c>
      <c r="SW89" s="1" t="s">
        <v>68826</v>
      </c>
      <c r="SX89" s="1" t="s">
        <v>68827</v>
      </c>
      <c r="SY89" s="1" t="s">
        <v>68828</v>
      </c>
      <c r="SZ89" s="1" t="s">
        <v>68829</v>
      </c>
      <c r="TA89" s="1" t="s">
        <v>68830</v>
      </c>
      <c r="TB89" s="1" t="s">
        <v>68831</v>
      </c>
      <c r="TC89" s="1" t="s">
        <v>68832</v>
      </c>
      <c r="TD89" s="1" t="s">
        <v>68833</v>
      </c>
      <c r="TE89" s="1" t="s">
        <v>68834</v>
      </c>
      <c r="TF89" s="1" t="s">
        <v>68835</v>
      </c>
      <c r="TG89" s="1" t="s">
        <v>68836</v>
      </c>
      <c r="TH89" s="1" t="s">
        <v>68837</v>
      </c>
      <c r="TI89" s="1" t="s">
        <v>68838</v>
      </c>
      <c r="TJ89" s="1" t="s">
        <v>68839</v>
      </c>
      <c r="TK89" s="1" t="s">
        <v>68840</v>
      </c>
      <c r="TL89" s="1" t="s">
        <v>68841</v>
      </c>
      <c r="TM89" s="1" t="s">
        <v>68842</v>
      </c>
      <c r="TN89" s="1" t="s">
        <v>68843</v>
      </c>
      <c r="TO89" s="1" t="s">
        <v>68844</v>
      </c>
      <c r="TP89" s="1" t="s">
        <v>68845</v>
      </c>
      <c r="TQ89" s="1" t="s">
        <v>68846</v>
      </c>
      <c r="TR89" s="1" t="s">
        <v>68847</v>
      </c>
      <c r="TS89" s="1" t="s">
        <v>68848</v>
      </c>
      <c r="TT89" s="1" t="s">
        <v>68849</v>
      </c>
      <c r="TU89" s="1" t="s">
        <v>68850</v>
      </c>
      <c r="TV89" s="1" t="s">
        <v>68851</v>
      </c>
      <c r="TW89" s="1" t="s">
        <v>68852</v>
      </c>
      <c r="TX89" s="1" t="s">
        <v>68853</v>
      </c>
      <c r="TY89" s="1" t="s">
        <v>68854</v>
      </c>
      <c r="TZ89" s="1" t="s">
        <v>68855</v>
      </c>
      <c r="UA89" s="1" t="s">
        <v>68856</v>
      </c>
      <c r="UB89" s="1" t="s">
        <v>68857</v>
      </c>
      <c r="UC89" s="1" t="s">
        <v>68858</v>
      </c>
      <c r="UD89" s="1" t="s">
        <v>68859</v>
      </c>
      <c r="UE89" s="1" t="s">
        <v>68860</v>
      </c>
      <c r="UF89" s="1" t="s">
        <v>68861</v>
      </c>
      <c r="UG89" s="1" t="s">
        <v>68862</v>
      </c>
      <c r="UH89" s="1" t="s">
        <v>68863</v>
      </c>
      <c r="UI89" s="1" t="s">
        <v>68864</v>
      </c>
      <c r="UJ89" s="1" t="s">
        <v>68865</v>
      </c>
      <c r="UK89" s="1" t="s">
        <v>68866</v>
      </c>
      <c r="UL89" s="1" t="s">
        <v>68867</v>
      </c>
      <c r="UM89" s="1" t="s">
        <v>68868</v>
      </c>
      <c r="UN89" s="1" t="s">
        <v>68869</v>
      </c>
      <c r="UO89" s="1" t="s">
        <v>68870</v>
      </c>
      <c r="UP89" s="1" t="s">
        <v>68871</v>
      </c>
      <c r="UQ89" s="1" t="s">
        <v>68872</v>
      </c>
      <c r="UR89" s="1" t="s">
        <v>68873</v>
      </c>
      <c r="US89" s="1" t="s">
        <v>68874</v>
      </c>
      <c r="UT89" s="1" t="s">
        <v>68875</v>
      </c>
      <c r="UU89" s="1" t="s">
        <v>68876</v>
      </c>
      <c r="UV89" s="1" t="s">
        <v>68877</v>
      </c>
      <c r="UW89" s="1" t="s">
        <v>68878</v>
      </c>
      <c r="UX89" s="1" t="s">
        <v>68879</v>
      </c>
      <c r="UY89" s="1" t="s">
        <v>68880</v>
      </c>
      <c r="UZ89" s="1" t="s">
        <v>68881</v>
      </c>
      <c r="VA89" s="1" t="s">
        <v>68882</v>
      </c>
      <c r="VB89" s="1" t="s">
        <v>68883</v>
      </c>
      <c r="VC89" s="1" t="s">
        <v>68884</v>
      </c>
      <c r="VD89" s="1" t="s">
        <v>68885</v>
      </c>
      <c r="VE89" s="1" t="s">
        <v>68886</v>
      </c>
      <c r="VF89" s="1" t="s">
        <v>68887</v>
      </c>
      <c r="VG89" s="1" t="s">
        <v>68888</v>
      </c>
      <c r="VH89" s="1" t="s">
        <v>68889</v>
      </c>
      <c r="VI89" s="1" t="s">
        <v>68890</v>
      </c>
      <c r="VJ89" s="1" t="s">
        <v>68891</v>
      </c>
      <c r="VK89" s="1" t="s">
        <v>68892</v>
      </c>
      <c r="VL89" s="1" t="s">
        <v>68893</v>
      </c>
      <c r="VM89" s="1" t="s">
        <v>68894</v>
      </c>
      <c r="VN89" s="1" t="s">
        <v>68895</v>
      </c>
      <c r="VO89" s="1" t="s">
        <v>68896</v>
      </c>
      <c r="VP89" s="1" t="s">
        <v>68897</v>
      </c>
      <c r="VQ89" s="1" t="s">
        <v>68898</v>
      </c>
      <c r="VR89" s="1" t="s">
        <v>68899</v>
      </c>
      <c r="VS89" s="1" t="s">
        <v>68900</v>
      </c>
      <c r="VT89" s="1" t="s">
        <v>68901</v>
      </c>
      <c r="VU89" s="1" t="s">
        <v>68902</v>
      </c>
      <c r="VV89" s="1" t="s">
        <v>68903</v>
      </c>
      <c r="VW89" s="1" t="s">
        <v>68904</v>
      </c>
      <c r="VX89" s="1" t="s">
        <v>68905</v>
      </c>
      <c r="VY89" s="1" t="s">
        <v>68906</v>
      </c>
      <c r="VZ89" s="1" t="s">
        <v>68907</v>
      </c>
      <c r="WA89" s="1" t="s">
        <v>68908</v>
      </c>
      <c r="WB89" s="1" t="s">
        <v>68909</v>
      </c>
      <c r="WC89" s="1" t="s">
        <v>68910</v>
      </c>
      <c r="WD89" s="1" t="s">
        <v>68911</v>
      </c>
      <c r="WE89" s="1" t="s">
        <v>68912</v>
      </c>
      <c r="WF89" s="1" t="s">
        <v>68913</v>
      </c>
      <c r="WG89" s="1" t="s">
        <v>68914</v>
      </c>
      <c r="WH89" s="1" t="s">
        <v>68915</v>
      </c>
      <c r="WI89" s="1" t="s">
        <v>68916</v>
      </c>
      <c r="WJ89" s="1" t="s">
        <v>68917</v>
      </c>
      <c r="WK89" s="1" t="s">
        <v>68918</v>
      </c>
      <c r="WL89" s="1" t="s">
        <v>68919</v>
      </c>
      <c r="WM89" s="1" t="s">
        <v>68920</v>
      </c>
      <c r="WN89" s="1" t="s">
        <v>68921</v>
      </c>
      <c r="WO89" s="1" t="s">
        <v>68922</v>
      </c>
      <c r="WP89" s="1" t="s">
        <v>68923</v>
      </c>
      <c r="WQ89" s="1" t="s">
        <v>68924</v>
      </c>
      <c r="WR89" s="1" t="s">
        <v>68925</v>
      </c>
      <c r="WS89" s="1" t="s">
        <v>68926</v>
      </c>
      <c r="WT89" s="1" t="s">
        <v>68927</v>
      </c>
      <c r="WU89" s="1" t="s">
        <v>68928</v>
      </c>
      <c r="WV89" s="1" t="s">
        <v>68929</v>
      </c>
      <c r="WW89" s="1" t="s">
        <v>68930</v>
      </c>
      <c r="WX89" s="1" t="s">
        <v>68931</v>
      </c>
      <c r="WY89" s="1" t="s">
        <v>68932</v>
      </c>
      <c r="WZ89" s="1" t="s">
        <v>68933</v>
      </c>
      <c r="XA89" s="1" t="s">
        <v>68934</v>
      </c>
      <c r="XB89" s="1" t="s">
        <v>68935</v>
      </c>
      <c r="XC89" s="1" t="s">
        <v>68936</v>
      </c>
      <c r="XD89" s="1" t="s">
        <v>68937</v>
      </c>
      <c r="XE89" s="1" t="s">
        <v>68938</v>
      </c>
      <c r="XF89" s="1" t="s">
        <v>68939</v>
      </c>
      <c r="XG89" s="1" t="s">
        <v>68940</v>
      </c>
      <c r="XH89" s="1" t="s">
        <v>68941</v>
      </c>
      <c r="XI89" s="1" t="s">
        <v>68942</v>
      </c>
      <c r="XJ89" s="1" t="s">
        <v>68943</v>
      </c>
      <c r="XK89" s="1" t="s">
        <v>68944</v>
      </c>
      <c r="XL89" s="1" t="s">
        <v>68945</v>
      </c>
      <c r="XM89" s="1" t="s">
        <v>68946</v>
      </c>
      <c r="XN89" s="1" t="s">
        <v>68947</v>
      </c>
      <c r="XO89" s="1" t="s">
        <v>68948</v>
      </c>
      <c r="XP89" s="1" t="s">
        <v>68949</v>
      </c>
      <c r="XQ89" s="1" t="s">
        <v>68950</v>
      </c>
      <c r="XR89" s="1" t="s">
        <v>68951</v>
      </c>
      <c r="XS89" s="1" t="s">
        <v>68952</v>
      </c>
      <c r="XT89" s="1" t="s">
        <v>68953</v>
      </c>
      <c r="XU89" s="1" t="s">
        <v>68954</v>
      </c>
      <c r="XV89" s="1" t="s">
        <v>68955</v>
      </c>
      <c r="XW89" s="1" t="s">
        <v>68956</v>
      </c>
      <c r="XX89" s="1" t="s">
        <v>68957</v>
      </c>
      <c r="XY89" s="1" t="s">
        <v>68958</v>
      </c>
      <c r="XZ89" s="1" t="s">
        <v>68959</v>
      </c>
      <c r="YA89" s="1" t="s">
        <v>68960</v>
      </c>
      <c r="YB89" s="1" t="s">
        <v>68961</v>
      </c>
      <c r="YC89" s="1" t="s">
        <v>68962</v>
      </c>
      <c r="YD89" s="1" t="s">
        <v>68963</v>
      </c>
      <c r="YE89" s="1" t="s">
        <v>68964</v>
      </c>
      <c r="YF89" s="1" t="s">
        <v>68965</v>
      </c>
      <c r="YG89" s="1" t="s">
        <v>68966</v>
      </c>
      <c r="YH89" s="1" t="s">
        <v>68967</v>
      </c>
      <c r="YI89" s="1" t="s">
        <v>68968</v>
      </c>
      <c r="YJ89" s="1" t="s">
        <v>68969</v>
      </c>
      <c r="YK89" s="1" t="s">
        <v>68970</v>
      </c>
      <c r="YL89" s="1" t="s">
        <v>68971</v>
      </c>
      <c r="YM89" s="1" t="s">
        <v>68972</v>
      </c>
      <c r="YN89" s="1" t="s">
        <v>68973</v>
      </c>
      <c r="YO89" s="1" t="s">
        <v>68974</v>
      </c>
      <c r="YP89" s="1" t="s">
        <v>68975</v>
      </c>
      <c r="YQ89" s="1" t="s">
        <v>68976</v>
      </c>
      <c r="YR89" s="1" t="s">
        <v>68977</v>
      </c>
      <c r="YS89" s="1" t="s">
        <v>68978</v>
      </c>
      <c r="YT89" s="1" t="s">
        <v>68979</v>
      </c>
      <c r="YU89" s="1" t="s">
        <v>68980</v>
      </c>
      <c r="YV89" s="1" t="s">
        <v>68981</v>
      </c>
      <c r="YW89" s="1" t="s">
        <v>68982</v>
      </c>
      <c r="YX89" s="1" t="s">
        <v>68983</v>
      </c>
      <c r="YY89" s="1" t="s">
        <v>68984</v>
      </c>
      <c r="YZ89" s="1" t="s">
        <v>68985</v>
      </c>
      <c r="ZA89" s="1" t="s">
        <v>68986</v>
      </c>
      <c r="ZB89" s="1" t="s">
        <v>68987</v>
      </c>
      <c r="ZC89" s="1" t="s">
        <v>68988</v>
      </c>
      <c r="ZD89" s="1" t="s">
        <v>68989</v>
      </c>
      <c r="ZE89" s="1" t="s">
        <v>68990</v>
      </c>
      <c r="ZF89" s="1" t="s">
        <v>68991</v>
      </c>
      <c r="ZG89" s="1" t="s">
        <v>68992</v>
      </c>
      <c r="ZH89" s="1" t="s">
        <v>68993</v>
      </c>
      <c r="ZI89" s="1" t="s">
        <v>68994</v>
      </c>
      <c r="ZJ89" s="1" t="s">
        <v>68995</v>
      </c>
      <c r="ZK89" s="1" t="s">
        <v>68996</v>
      </c>
      <c r="ZL89" s="1" t="s">
        <v>68997</v>
      </c>
      <c r="ZM89" s="1" t="s">
        <v>68998</v>
      </c>
      <c r="ZN89" s="1" t="s">
        <v>68999</v>
      </c>
      <c r="ZO89" s="1" t="s">
        <v>69000</v>
      </c>
      <c r="ZP89" s="1" t="s">
        <v>69001</v>
      </c>
      <c r="ZQ89" s="1" t="s">
        <v>69002</v>
      </c>
      <c r="ZR89" s="1" t="s">
        <v>69003</v>
      </c>
      <c r="ZS89" s="1" t="s">
        <v>69004</v>
      </c>
      <c r="ZT89" s="1" t="s">
        <v>69005</v>
      </c>
      <c r="ZU89" s="1" t="s">
        <v>69006</v>
      </c>
      <c r="ZV89" s="1" t="s">
        <v>69007</v>
      </c>
      <c r="ZW89" s="1" t="s">
        <v>69008</v>
      </c>
      <c r="ZX89" s="1" t="s">
        <v>69009</v>
      </c>
      <c r="ZY89" s="1" t="s">
        <v>69010</v>
      </c>
      <c r="ZZ89" s="1" t="s">
        <v>69011</v>
      </c>
      <c r="AAA89" s="1" t="s">
        <v>69012</v>
      </c>
      <c r="AAB89" s="1" t="s">
        <v>69013</v>
      </c>
      <c r="AAC89" s="1" t="s">
        <v>69014</v>
      </c>
      <c r="AAD89" s="1" t="s">
        <v>69015</v>
      </c>
      <c r="AAE89" s="1" t="s">
        <v>69016</v>
      </c>
      <c r="AAF89" s="1" t="s">
        <v>69017</v>
      </c>
      <c r="AAG89" s="1" t="s">
        <v>69018</v>
      </c>
      <c r="AAH89" s="1" t="s">
        <v>69019</v>
      </c>
      <c r="AAI89" s="1" t="s">
        <v>69020</v>
      </c>
      <c r="AAJ89" s="1" t="s">
        <v>69021</v>
      </c>
      <c r="AAK89" s="1" t="s">
        <v>69022</v>
      </c>
      <c r="AAL89" s="1" t="s">
        <v>69023</v>
      </c>
      <c r="AAM89" s="1" t="s">
        <v>69024</v>
      </c>
      <c r="AAN89" s="1" t="s">
        <v>69025</v>
      </c>
      <c r="AAO89" s="1" t="s">
        <v>69026</v>
      </c>
      <c r="AAP89" s="1" t="s">
        <v>69027</v>
      </c>
      <c r="AAQ89" s="1" t="s">
        <v>69028</v>
      </c>
      <c r="AAR89" s="1" t="s">
        <v>69029</v>
      </c>
      <c r="AAS89" s="1" t="s">
        <v>69030</v>
      </c>
      <c r="AAT89" s="1" t="s">
        <v>69031</v>
      </c>
      <c r="AAU89" s="1" t="s">
        <v>69032</v>
      </c>
      <c r="AAV89" s="1" t="s">
        <v>69033</v>
      </c>
      <c r="AAW89" s="1" t="s">
        <v>69034</v>
      </c>
      <c r="AAX89" s="1" t="s">
        <v>69035</v>
      </c>
      <c r="AAY89" s="1" t="s">
        <v>69036</v>
      </c>
      <c r="AAZ89" s="1" t="s">
        <v>69037</v>
      </c>
      <c r="ABA89" s="1" t="s">
        <v>69038</v>
      </c>
      <c r="ABB89" s="1" t="s">
        <v>69039</v>
      </c>
      <c r="ABC89" s="1" t="s">
        <v>69040</v>
      </c>
      <c r="ABD89" s="1" t="s">
        <v>69041</v>
      </c>
      <c r="ABE89" s="1" t="s">
        <v>69042</v>
      </c>
      <c r="ABF89" s="1" t="s">
        <v>69043</v>
      </c>
      <c r="ABG89" s="1" t="s">
        <v>69044</v>
      </c>
      <c r="ABH89" s="1" t="s">
        <v>69045</v>
      </c>
      <c r="ABI89" s="1" t="s">
        <v>69046</v>
      </c>
      <c r="ABJ89" s="1" t="s">
        <v>69047</v>
      </c>
      <c r="ABK89" s="1" t="s">
        <v>69048</v>
      </c>
      <c r="ABL89" s="1" t="s">
        <v>69049</v>
      </c>
      <c r="ABM89" s="1" t="s">
        <v>69050</v>
      </c>
      <c r="ABN89" s="1" t="s">
        <v>69051</v>
      </c>
      <c r="ABO89" s="1" t="s">
        <v>69052</v>
      </c>
      <c r="ABP89" s="1" t="s">
        <v>69053</v>
      </c>
      <c r="ABQ89" s="1" t="s">
        <v>69054</v>
      </c>
      <c r="ABR89" s="1" t="s">
        <v>69055</v>
      </c>
      <c r="ABS89" s="1" t="s">
        <v>69056</v>
      </c>
      <c r="ABT89" s="1" t="s">
        <v>69057</v>
      </c>
      <c r="ABU89" s="1" t="s">
        <v>69058</v>
      </c>
      <c r="ABV89" s="1" t="s">
        <v>69059</v>
      </c>
      <c r="ABW89" s="1" t="s">
        <v>69060</v>
      </c>
      <c r="ABX89" s="1" t="s">
        <v>69061</v>
      </c>
      <c r="ABY89" s="1" t="s">
        <v>69062</v>
      </c>
      <c r="ABZ89" s="1" t="s">
        <v>69063</v>
      </c>
      <c r="ACA89" s="1" t="s">
        <v>69064</v>
      </c>
      <c r="ACB89" s="1" t="s">
        <v>69065</v>
      </c>
      <c r="ACC89" s="1" t="s">
        <v>69066</v>
      </c>
      <c r="ACD89" s="1" t="s">
        <v>69067</v>
      </c>
      <c r="ACE89" s="1" t="s">
        <v>69068</v>
      </c>
      <c r="ACF89" s="1" t="s">
        <v>69069</v>
      </c>
      <c r="ACG89" s="1" t="s">
        <v>69070</v>
      </c>
      <c r="ACH89" s="1" t="s">
        <v>69071</v>
      </c>
      <c r="ACI89" s="1" t="s">
        <v>69072</v>
      </c>
      <c r="ACJ89" s="1" t="s">
        <v>69073</v>
      </c>
      <c r="ACK89" s="1" t="s">
        <v>69074</v>
      </c>
      <c r="ACL89" s="1" t="s">
        <v>69075</v>
      </c>
      <c r="ACM89" s="1" t="s">
        <v>69076</v>
      </c>
      <c r="ACN89" s="1" t="s">
        <v>69077</v>
      </c>
      <c r="ACO89" s="1" t="s">
        <v>69078</v>
      </c>
      <c r="ACP89" s="1" t="s">
        <v>69079</v>
      </c>
      <c r="ACQ89" s="1" t="s">
        <v>69080</v>
      </c>
      <c r="ACR89" s="1" t="s">
        <v>69081</v>
      </c>
      <c r="ACS89" s="1" t="s">
        <v>69082</v>
      </c>
      <c r="ACT89" s="1" t="s">
        <v>69083</v>
      </c>
      <c r="ACU89" s="1" t="s">
        <v>69084</v>
      </c>
      <c r="ACV89" s="1" t="s">
        <v>69085</v>
      </c>
      <c r="ACW89" s="1" t="s">
        <v>12</v>
      </c>
      <c r="ACX89" s="1" t="s">
        <v>1500</v>
      </c>
    </row>
    <row r="90" spans="1:778" x14ac:dyDescent="0.2">
      <c r="A90" s="1" t="s">
        <v>19</v>
      </c>
      <c r="B90" s="1" t="s">
        <v>69086</v>
      </c>
      <c r="C90" s="1" t="s">
        <v>69087</v>
      </c>
      <c r="D90" s="1" t="s">
        <v>69088</v>
      </c>
      <c r="E90" s="1" t="s">
        <v>69089</v>
      </c>
      <c r="F90" s="1" t="s">
        <v>69090</v>
      </c>
      <c r="G90" s="1" t="s">
        <v>69091</v>
      </c>
      <c r="H90" s="1" t="s">
        <v>69092</v>
      </c>
      <c r="I90" s="1" t="s">
        <v>69093</v>
      </c>
      <c r="J90" s="1" t="s">
        <v>69094</v>
      </c>
      <c r="K90" s="1" t="s">
        <v>69095</v>
      </c>
      <c r="L90" s="1" t="s">
        <v>69096</v>
      </c>
      <c r="M90" s="1" t="s">
        <v>69097</v>
      </c>
      <c r="N90" s="1" t="s">
        <v>69098</v>
      </c>
      <c r="O90" s="1" t="s">
        <v>69099</v>
      </c>
      <c r="P90" s="1" t="s">
        <v>69100</v>
      </c>
      <c r="Q90" s="1" t="s">
        <v>69101</v>
      </c>
      <c r="R90" s="1" t="s">
        <v>69102</v>
      </c>
      <c r="S90" s="1" t="s">
        <v>69103</v>
      </c>
      <c r="T90" s="1" t="s">
        <v>69104</v>
      </c>
      <c r="U90" s="1" t="s">
        <v>69105</v>
      </c>
      <c r="V90" s="1" t="s">
        <v>69106</v>
      </c>
      <c r="W90" s="1" t="s">
        <v>69107</v>
      </c>
      <c r="X90" s="1" t="s">
        <v>69108</v>
      </c>
      <c r="Y90" s="1" t="s">
        <v>69109</v>
      </c>
      <c r="Z90" s="1" t="s">
        <v>69110</v>
      </c>
      <c r="AA90" s="1" t="s">
        <v>69111</v>
      </c>
      <c r="AB90" s="1" t="s">
        <v>69112</v>
      </c>
      <c r="AC90" s="1" t="s">
        <v>69113</v>
      </c>
      <c r="AD90" s="1" t="s">
        <v>69114</v>
      </c>
      <c r="AE90" s="1" t="s">
        <v>69115</v>
      </c>
      <c r="AF90" s="1" t="s">
        <v>69116</v>
      </c>
      <c r="AG90" s="1" t="s">
        <v>69117</v>
      </c>
      <c r="AH90" s="1" t="s">
        <v>69118</v>
      </c>
      <c r="AI90" s="1" t="s">
        <v>69119</v>
      </c>
      <c r="AJ90" s="1" t="s">
        <v>69120</v>
      </c>
      <c r="AK90" s="1" t="s">
        <v>69121</v>
      </c>
      <c r="AL90" s="1" t="s">
        <v>69122</v>
      </c>
      <c r="AM90" s="1" t="s">
        <v>69123</v>
      </c>
      <c r="AN90" s="1" t="s">
        <v>69124</v>
      </c>
      <c r="AO90" s="1" t="s">
        <v>69125</v>
      </c>
      <c r="AP90" s="1" t="s">
        <v>69126</v>
      </c>
      <c r="AQ90" s="1" t="s">
        <v>69127</v>
      </c>
      <c r="AR90" s="1" t="s">
        <v>69128</v>
      </c>
      <c r="AS90" s="1" t="s">
        <v>69129</v>
      </c>
      <c r="AT90" s="1" t="s">
        <v>69130</v>
      </c>
      <c r="AU90" s="1" t="s">
        <v>69131</v>
      </c>
      <c r="AV90" s="1" t="s">
        <v>69132</v>
      </c>
      <c r="AW90" s="1" t="s">
        <v>69133</v>
      </c>
      <c r="AX90" s="1" t="s">
        <v>69134</v>
      </c>
      <c r="AY90" s="1" t="s">
        <v>69135</v>
      </c>
      <c r="AZ90" s="1" t="s">
        <v>69136</v>
      </c>
      <c r="BA90" s="1" t="s">
        <v>69137</v>
      </c>
      <c r="BB90" s="1" t="s">
        <v>69138</v>
      </c>
      <c r="BC90" s="1" t="s">
        <v>69139</v>
      </c>
      <c r="BD90" s="1" t="s">
        <v>69140</v>
      </c>
      <c r="BE90" s="1" t="s">
        <v>69141</v>
      </c>
      <c r="BF90" s="1" t="s">
        <v>69142</v>
      </c>
      <c r="BG90" s="1" t="s">
        <v>69143</v>
      </c>
      <c r="BH90" s="1" t="s">
        <v>69144</v>
      </c>
      <c r="BI90" s="1" t="s">
        <v>69145</v>
      </c>
      <c r="BJ90" s="1" t="s">
        <v>69146</v>
      </c>
      <c r="BK90" s="1" t="s">
        <v>69147</v>
      </c>
      <c r="BL90" s="1" t="s">
        <v>69148</v>
      </c>
      <c r="BM90" s="1" t="s">
        <v>69149</v>
      </c>
      <c r="BN90" s="1" t="s">
        <v>69150</v>
      </c>
      <c r="BO90" s="1" t="s">
        <v>69151</v>
      </c>
      <c r="BP90" s="1" t="s">
        <v>69152</v>
      </c>
      <c r="BQ90" s="1" t="s">
        <v>69153</v>
      </c>
      <c r="BR90" s="1" t="s">
        <v>69154</v>
      </c>
      <c r="BS90" s="1" t="s">
        <v>69155</v>
      </c>
      <c r="BT90" s="1" t="s">
        <v>69156</v>
      </c>
      <c r="BU90" s="1" t="s">
        <v>69157</v>
      </c>
      <c r="BV90" s="1" t="s">
        <v>69158</v>
      </c>
      <c r="BW90" s="1" t="s">
        <v>69159</v>
      </c>
      <c r="BX90" s="1" t="s">
        <v>69160</v>
      </c>
      <c r="BY90" s="1" t="s">
        <v>69161</v>
      </c>
      <c r="BZ90" s="1" t="s">
        <v>69162</v>
      </c>
      <c r="CA90" s="1" t="s">
        <v>69163</v>
      </c>
      <c r="CB90" s="1" t="s">
        <v>69164</v>
      </c>
      <c r="CC90" s="1" t="s">
        <v>69165</v>
      </c>
      <c r="CD90" s="1" t="s">
        <v>69166</v>
      </c>
      <c r="CE90" s="1" t="s">
        <v>69167</v>
      </c>
      <c r="CF90" s="1" t="s">
        <v>69168</v>
      </c>
      <c r="CG90" s="1" t="s">
        <v>69169</v>
      </c>
      <c r="CH90" s="1" t="s">
        <v>69170</v>
      </c>
      <c r="CI90" s="1" t="s">
        <v>69171</v>
      </c>
      <c r="CJ90" s="1" t="s">
        <v>69172</v>
      </c>
      <c r="CK90" s="1" t="s">
        <v>69173</v>
      </c>
      <c r="CL90" s="1" t="s">
        <v>69174</v>
      </c>
      <c r="CM90" s="1" t="s">
        <v>69175</v>
      </c>
      <c r="CN90" s="1" t="s">
        <v>69176</v>
      </c>
      <c r="CO90" s="1" t="s">
        <v>69177</v>
      </c>
      <c r="CP90" s="1" t="s">
        <v>69178</v>
      </c>
      <c r="CQ90" s="1" t="s">
        <v>69179</v>
      </c>
      <c r="CR90" s="1" t="s">
        <v>69180</v>
      </c>
      <c r="CS90" s="1" t="s">
        <v>69181</v>
      </c>
      <c r="CT90" s="1" t="s">
        <v>69182</v>
      </c>
      <c r="CU90" s="1" t="s">
        <v>69183</v>
      </c>
      <c r="CV90" s="1" t="s">
        <v>69184</v>
      </c>
      <c r="CW90" s="1" t="s">
        <v>69185</v>
      </c>
      <c r="CX90" s="1" t="s">
        <v>69186</v>
      </c>
      <c r="CY90" s="1" t="s">
        <v>69187</v>
      </c>
      <c r="CZ90" s="1" t="s">
        <v>69188</v>
      </c>
      <c r="DA90" s="1" t="s">
        <v>69189</v>
      </c>
      <c r="DB90" s="1" t="s">
        <v>69190</v>
      </c>
      <c r="DC90" s="1" t="s">
        <v>69191</v>
      </c>
      <c r="DD90" s="1" t="s">
        <v>69192</v>
      </c>
      <c r="DE90" s="1" t="s">
        <v>69193</v>
      </c>
      <c r="DF90" s="1" t="s">
        <v>69194</v>
      </c>
      <c r="DG90" s="1" t="s">
        <v>69195</v>
      </c>
      <c r="DH90" s="1" t="s">
        <v>69196</v>
      </c>
      <c r="DI90" s="1" t="s">
        <v>69197</v>
      </c>
      <c r="DJ90" s="1" t="s">
        <v>69198</v>
      </c>
      <c r="DK90" s="1" t="s">
        <v>69199</v>
      </c>
      <c r="DL90" s="1" t="s">
        <v>69200</v>
      </c>
      <c r="DM90" s="1" t="s">
        <v>69201</v>
      </c>
      <c r="DN90" s="1" t="s">
        <v>69202</v>
      </c>
      <c r="DO90" s="1" t="s">
        <v>69203</v>
      </c>
      <c r="DP90" s="1" t="s">
        <v>69204</v>
      </c>
      <c r="DQ90" s="1" t="s">
        <v>69205</v>
      </c>
      <c r="DR90" s="1" t="s">
        <v>69206</v>
      </c>
      <c r="DS90" s="1" t="s">
        <v>69207</v>
      </c>
      <c r="DT90" s="1" t="s">
        <v>69208</v>
      </c>
      <c r="DU90" s="1" t="s">
        <v>69209</v>
      </c>
      <c r="DV90" s="1" t="s">
        <v>69210</v>
      </c>
      <c r="DW90" s="1" t="s">
        <v>69211</v>
      </c>
      <c r="DX90" s="1" t="s">
        <v>69212</v>
      </c>
      <c r="DY90" s="1" t="s">
        <v>69213</v>
      </c>
      <c r="DZ90" s="1" t="s">
        <v>69214</v>
      </c>
      <c r="EA90" s="1" t="s">
        <v>69215</v>
      </c>
      <c r="EB90" s="1" t="s">
        <v>69216</v>
      </c>
      <c r="EC90" s="1" t="s">
        <v>69217</v>
      </c>
      <c r="ED90" s="1" t="s">
        <v>69218</v>
      </c>
      <c r="EE90" s="1" t="s">
        <v>69219</v>
      </c>
      <c r="EF90" s="1" t="s">
        <v>69220</v>
      </c>
      <c r="EG90" s="1" t="s">
        <v>69221</v>
      </c>
      <c r="EH90" s="1" t="s">
        <v>69222</v>
      </c>
      <c r="EI90" s="1" t="s">
        <v>69223</v>
      </c>
      <c r="EJ90" s="1" t="s">
        <v>69224</v>
      </c>
      <c r="EK90" s="1" t="s">
        <v>69225</v>
      </c>
      <c r="EL90" s="1" t="s">
        <v>69226</v>
      </c>
      <c r="EM90" s="1" t="s">
        <v>69227</v>
      </c>
      <c r="EN90" s="1" t="s">
        <v>69228</v>
      </c>
      <c r="EO90" s="1" t="s">
        <v>69229</v>
      </c>
      <c r="EP90" s="1" t="s">
        <v>69230</v>
      </c>
      <c r="EQ90" s="1" t="s">
        <v>69231</v>
      </c>
      <c r="ER90" s="1" t="s">
        <v>69232</v>
      </c>
      <c r="ES90" s="1" t="s">
        <v>69233</v>
      </c>
      <c r="ET90" s="1" t="s">
        <v>69234</v>
      </c>
      <c r="EU90" s="1" t="s">
        <v>69235</v>
      </c>
      <c r="EV90" s="1" t="s">
        <v>69236</v>
      </c>
      <c r="EW90" s="1" t="s">
        <v>69237</v>
      </c>
      <c r="EX90" s="1" t="s">
        <v>69238</v>
      </c>
      <c r="EY90" s="1" t="s">
        <v>69239</v>
      </c>
      <c r="EZ90" s="1" t="s">
        <v>69240</v>
      </c>
      <c r="FA90" s="1" t="s">
        <v>69241</v>
      </c>
      <c r="FB90" s="1" t="s">
        <v>69242</v>
      </c>
      <c r="FC90" s="1" t="s">
        <v>69243</v>
      </c>
      <c r="FD90" s="1" t="s">
        <v>69244</v>
      </c>
      <c r="FE90" s="1" t="s">
        <v>69245</v>
      </c>
      <c r="FF90" s="1" t="s">
        <v>69246</v>
      </c>
      <c r="FG90" s="1" t="s">
        <v>69247</v>
      </c>
      <c r="FH90" s="1" t="s">
        <v>69248</v>
      </c>
      <c r="FI90" s="1" t="s">
        <v>69249</v>
      </c>
      <c r="FJ90" s="1" t="s">
        <v>69250</v>
      </c>
      <c r="FK90" s="1" t="s">
        <v>69251</v>
      </c>
      <c r="FL90" s="1" t="s">
        <v>69252</v>
      </c>
      <c r="FM90" s="1" t="s">
        <v>69253</v>
      </c>
      <c r="FN90" s="1" t="s">
        <v>69254</v>
      </c>
      <c r="FO90" s="1" t="s">
        <v>69255</v>
      </c>
      <c r="FP90" s="1" t="s">
        <v>69256</v>
      </c>
      <c r="FQ90" s="1" t="s">
        <v>69257</v>
      </c>
      <c r="FR90" s="1" t="s">
        <v>69258</v>
      </c>
      <c r="FS90" s="1" t="s">
        <v>69259</v>
      </c>
      <c r="FT90" s="1" t="s">
        <v>69260</v>
      </c>
      <c r="FU90" s="1" t="s">
        <v>69261</v>
      </c>
      <c r="FV90" s="1" t="s">
        <v>69262</v>
      </c>
      <c r="FW90" s="1" t="s">
        <v>69263</v>
      </c>
      <c r="FX90" s="1" t="s">
        <v>69264</v>
      </c>
      <c r="FY90" s="1" t="s">
        <v>69265</v>
      </c>
      <c r="FZ90" s="1" t="s">
        <v>69266</v>
      </c>
      <c r="GA90" s="1" t="s">
        <v>69267</v>
      </c>
      <c r="GB90" s="1" t="s">
        <v>69268</v>
      </c>
      <c r="GC90" s="1" t="s">
        <v>69269</v>
      </c>
      <c r="GD90" s="1" t="s">
        <v>69270</v>
      </c>
      <c r="GE90" s="1" t="s">
        <v>69271</v>
      </c>
      <c r="GF90" s="1" t="s">
        <v>69272</v>
      </c>
      <c r="GG90" s="1" t="s">
        <v>69273</v>
      </c>
      <c r="GH90" s="1" t="s">
        <v>69274</v>
      </c>
      <c r="GI90" s="1" t="s">
        <v>69275</v>
      </c>
      <c r="GJ90" s="1" t="s">
        <v>69276</v>
      </c>
      <c r="GK90" s="1" t="s">
        <v>69277</v>
      </c>
      <c r="GL90" s="1" t="s">
        <v>69278</v>
      </c>
      <c r="GM90" s="1" t="s">
        <v>69279</v>
      </c>
      <c r="GN90" s="1" t="s">
        <v>69280</v>
      </c>
      <c r="GO90" s="1" t="s">
        <v>69281</v>
      </c>
      <c r="GP90" s="1" t="s">
        <v>69282</v>
      </c>
      <c r="GQ90" s="1" t="s">
        <v>69283</v>
      </c>
      <c r="GR90" s="1" t="s">
        <v>69284</v>
      </c>
      <c r="GS90" s="1" t="s">
        <v>69285</v>
      </c>
      <c r="GT90" s="1" t="s">
        <v>69286</v>
      </c>
      <c r="GU90" s="1" t="s">
        <v>69287</v>
      </c>
      <c r="GV90" s="1" t="s">
        <v>69288</v>
      </c>
      <c r="GW90" s="1" t="s">
        <v>69289</v>
      </c>
      <c r="GX90" s="1" t="s">
        <v>69290</v>
      </c>
      <c r="GY90" s="1" t="s">
        <v>69291</v>
      </c>
      <c r="GZ90" s="1" t="s">
        <v>69292</v>
      </c>
      <c r="HA90" s="1" t="s">
        <v>69293</v>
      </c>
      <c r="HB90" s="1" t="s">
        <v>69294</v>
      </c>
      <c r="HC90" s="1" t="s">
        <v>69295</v>
      </c>
      <c r="HD90" s="1" t="s">
        <v>69296</v>
      </c>
      <c r="HE90" s="1" t="s">
        <v>69297</v>
      </c>
      <c r="HF90" s="1" t="s">
        <v>69298</v>
      </c>
      <c r="HG90" s="1" t="s">
        <v>69299</v>
      </c>
      <c r="HH90" s="1" t="s">
        <v>69300</v>
      </c>
      <c r="HI90" s="1" t="s">
        <v>69301</v>
      </c>
      <c r="HJ90" s="1" t="s">
        <v>69302</v>
      </c>
      <c r="HK90" s="1" t="s">
        <v>69303</v>
      </c>
      <c r="HL90" s="1" t="s">
        <v>69304</v>
      </c>
      <c r="HM90" s="1" t="s">
        <v>69305</v>
      </c>
      <c r="HN90" s="1" t="s">
        <v>69306</v>
      </c>
      <c r="HO90" s="1" t="s">
        <v>69307</v>
      </c>
      <c r="HP90" s="1" t="s">
        <v>69308</v>
      </c>
      <c r="HQ90" s="1" t="s">
        <v>69309</v>
      </c>
      <c r="HR90" s="1" t="s">
        <v>69310</v>
      </c>
      <c r="HS90" s="1" t="s">
        <v>69311</v>
      </c>
      <c r="HT90" s="1" t="s">
        <v>69312</v>
      </c>
      <c r="HU90" s="1" t="s">
        <v>69313</v>
      </c>
      <c r="HV90" s="1" t="s">
        <v>69314</v>
      </c>
      <c r="HW90" s="1" t="s">
        <v>69315</v>
      </c>
      <c r="HX90" s="1" t="s">
        <v>69316</v>
      </c>
      <c r="HY90" s="1" t="s">
        <v>69317</v>
      </c>
      <c r="HZ90" s="1" t="s">
        <v>69318</v>
      </c>
      <c r="IA90" s="1" t="s">
        <v>69319</v>
      </c>
      <c r="IB90" s="1" t="s">
        <v>69320</v>
      </c>
      <c r="IC90" s="1" t="s">
        <v>69321</v>
      </c>
      <c r="ID90" s="1" t="s">
        <v>69322</v>
      </c>
      <c r="IE90" s="1" t="s">
        <v>69323</v>
      </c>
      <c r="IF90" s="1" t="s">
        <v>69324</v>
      </c>
      <c r="IG90" s="1" t="s">
        <v>69325</v>
      </c>
      <c r="IH90" s="1" t="s">
        <v>69326</v>
      </c>
      <c r="II90" s="1" t="s">
        <v>69327</v>
      </c>
      <c r="IJ90" s="1" t="s">
        <v>69328</v>
      </c>
      <c r="IK90" s="1" t="s">
        <v>69329</v>
      </c>
      <c r="IL90" s="1" t="s">
        <v>69330</v>
      </c>
      <c r="IM90" s="1" t="s">
        <v>69331</v>
      </c>
      <c r="IN90" s="1" t="s">
        <v>69332</v>
      </c>
      <c r="IO90" s="1" t="s">
        <v>69333</v>
      </c>
      <c r="IP90" s="1" t="s">
        <v>69334</v>
      </c>
      <c r="IQ90" s="1" t="s">
        <v>69335</v>
      </c>
      <c r="IR90" s="1" t="s">
        <v>69336</v>
      </c>
      <c r="IS90" s="1" t="s">
        <v>69337</v>
      </c>
      <c r="IT90" s="1" t="s">
        <v>69338</v>
      </c>
      <c r="IU90" s="1" t="s">
        <v>69339</v>
      </c>
      <c r="IV90" s="1" t="s">
        <v>69340</v>
      </c>
      <c r="IW90" s="1" t="s">
        <v>69341</v>
      </c>
      <c r="IX90" s="1" t="s">
        <v>69342</v>
      </c>
      <c r="IY90" s="1" t="s">
        <v>69343</v>
      </c>
      <c r="IZ90" s="1" t="s">
        <v>69344</v>
      </c>
      <c r="JA90" s="1" t="s">
        <v>69345</v>
      </c>
      <c r="JB90" s="1" t="s">
        <v>69346</v>
      </c>
      <c r="JC90" s="1" t="s">
        <v>69347</v>
      </c>
      <c r="JD90" s="1" t="s">
        <v>69348</v>
      </c>
      <c r="JE90" s="1" t="s">
        <v>69349</v>
      </c>
      <c r="JF90" s="1" t="s">
        <v>69350</v>
      </c>
      <c r="JG90" s="1" t="s">
        <v>69351</v>
      </c>
      <c r="JH90" s="1" t="s">
        <v>69352</v>
      </c>
      <c r="JI90" s="1" t="s">
        <v>69353</v>
      </c>
      <c r="JJ90" s="1" t="s">
        <v>69354</v>
      </c>
      <c r="JK90" s="1" t="s">
        <v>69355</v>
      </c>
      <c r="JL90" s="1" t="s">
        <v>69356</v>
      </c>
      <c r="JM90" s="1" t="s">
        <v>69357</v>
      </c>
      <c r="JN90" s="1" t="s">
        <v>69358</v>
      </c>
      <c r="JO90" s="1" t="s">
        <v>69359</v>
      </c>
      <c r="JP90" s="1" t="s">
        <v>69360</v>
      </c>
      <c r="JQ90" s="1" t="s">
        <v>69361</v>
      </c>
      <c r="JR90" s="1" t="s">
        <v>69362</v>
      </c>
      <c r="JS90" s="1" t="s">
        <v>69363</v>
      </c>
      <c r="JT90" s="1" t="s">
        <v>69364</v>
      </c>
      <c r="JU90" s="1" t="s">
        <v>69365</v>
      </c>
      <c r="JV90" s="1" t="s">
        <v>69366</v>
      </c>
      <c r="JW90" s="1" t="s">
        <v>69367</v>
      </c>
      <c r="JX90" s="1" t="s">
        <v>69368</v>
      </c>
      <c r="JY90" s="1" t="s">
        <v>69369</v>
      </c>
      <c r="JZ90" s="1" t="s">
        <v>69370</v>
      </c>
      <c r="KA90" s="1" t="s">
        <v>69371</v>
      </c>
      <c r="KB90" s="1" t="s">
        <v>69372</v>
      </c>
      <c r="KC90" s="1" t="s">
        <v>69373</v>
      </c>
      <c r="KD90" s="1" t="s">
        <v>69374</v>
      </c>
      <c r="KE90" s="1" t="s">
        <v>69375</v>
      </c>
      <c r="KF90" s="1" t="s">
        <v>69376</v>
      </c>
      <c r="KG90" s="1" t="s">
        <v>69377</v>
      </c>
      <c r="KH90" s="1" t="s">
        <v>69378</v>
      </c>
      <c r="KI90" s="1" t="s">
        <v>69379</v>
      </c>
      <c r="KJ90" s="1" t="s">
        <v>69380</v>
      </c>
      <c r="KK90" s="1" t="s">
        <v>69381</v>
      </c>
      <c r="KL90" s="1" t="s">
        <v>69382</v>
      </c>
      <c r="KM90" s="1" t="s">
        <v>69383</v>
      </c>
      <c r="KN90" s="1" t="s">
        <v>69384</v>
      </c>
      <c r="KO90" s="1" t="s">
        <v>69385</v>
      </c>
      <c r="KP90" s="1" t="s">
        <v>69386</v>
      </c>
      <c r="KQ90" s="1" t="s">
        <v>69387</v>
      </c>
      <c r="KR90" s="1" t="s">
        <v>69388</v>
      </c>
      <c r="KS90" s="1" t="s">
        <v>69389</v>
      </c>
      <c r="KT90" s="1" t="s">
        <v>69390</v>
      </c>
      <c r="KU90" s="1" t="s">
        <v>69391</v>
      </c>
      <c r="KV90" s="1" t="s">
        <v>69392</v>
      </c>
      <c r="KW90" s="1" t="s">
        <v>69393</v>
      </c>
      <c r="KX90" s="1" t="s">
        <v>69394</v>
      </c>
      <c r="KY90" s="1" t="s">
        <v>69395</v>
      </c>
      <c r="KZ90" s="1" t="s">
        <v>69396</v>
      </c>
      <c r="LA90" s="1" t="s">
        <v>69397</v>
      </c>
      <c r="LB90" s="1" t="s">
        <v>69398</v>
      </c>
      <c r="LC90" s="1" t="s">
        <v>69399</v>
      </c>
      <c r="LD90" s="1" t="s">
        <v>69400</v>
      </c>
      <c r="LE90" s="1" t="s">
        <v>69401</v>
      </c>
      <c r="LF90" s="1" t="s">
        <v>69402</v>
      </c>
      <c r="LG90" s="1" t="s">
        <v>69403</v>
      </c>
      <c r="LH90" s="1" t="s">
        <v>69404</v>
      </c>
      <c r="LI90" s="1" t="s">
        <v>69405</v>
      </c>
      <c r="LJ90" s="1" t="s">
        <v>69406</v>
      </c>
      <c r="LK90" s="1" t="s">
        <v>69407</v>
      </c>
      <c r="LL90" s="1" t="s">
        <v>69408</v>
      </c>
      <c r="LM90" s="1" t="s">
        <v>69409</v>
      </c>
      <c r="LN90" s="1" t="s">
        <v>69410</v>
      </c>
      <c r="LO90" s="1" t="s">
        <v>69411</v>
      </c>
      <c r="LP90" s="1" t="s">
        <v>69412</v>
      </c>
      <c r="LQ90" s="1" t="s">
        <v>69413</v>
      </c>
      <c r="LR90" s="1" t="s">
        <v>69414</v>
      </c>
      <c r="LS90" s="1" t="s">
        <v>69415</v>
      </c>
      <c r="LT90" s="1" t="s">
        <v>69416</v>
      </c>
      <c r="LU90" s="1" t="s">
        <v>69417</v>
      </c>
      <c r="LV90" s="1" t="s">
        <v>69418</v>
      </c>
      <c r="LW90" s="1" t="s">
        <v>69419</v>
      </c>
      <c r="LX90" s="1" t="s">
        <v>69420</v>
      </c>
      <c r="LY90" s="1" t="s">
        <v>69421</v>
      </c>
      <c r="LZ90" s="1" t="s">
        <v>69422</v>
      </c>
      <c r="MA90" s="1" t="s">
        <v>69423</v>
      </c>
      <c r="MB90" s="1" t="s">
        <v>69424</v>
      </c>
      <c r="MC90" s="1" t="s">
        <v>69425</v>
      </c>
      <c r="MD90" s="1" t="s">
        <v>69426</v>
      </c>
      <c r="ME90" s="1" t="s">
        <v>69427</v>
      </c>
      <c r="MF90" s="1" t="s">
        <v>69428</v>
      </c>
      <c r="MG90" s="1" t="s">
        <v>69429</v>
      </c>
      <c r="MH90" s="1" t="s">
        <v>69430</v>
      </c>
      <c r="MI90" s="1" t="s">
        <v>69431</v>
      </c>
      <c r="MJ90" s="1" t="s">
        <v>69432</v>
      </c>
      <c r="MK90" s="1" t="s">
        <v>69433</v>
      </c>
      <c r="ML90" s="1" t="s">
        <v>69434</v>
      </c>
      <c r="MM90" s="1" t="s">
        <v>69435</v>
      </c>
      <c r="MN90" s="1" t="s">
        <v>69436</v>
      </c>
      <c r="MO90" s="1" t="s">
        <v>69437</v>
      </c>
      <c r="MP90" s="1" t="s">
        <v>69438</v>
      </c>
      <c r="MQ90" s="1" t="s">
        <v>69439</v>
      </c>
      <c r="MR90" s="1" t="s">
        <v>69440</v>
      </c>
      <c r="MS90" s="1" t="s">
        <v>69441</v>
      </c>
      <c r="MT90" s="1" t="s">
        <v>69442</v>
      </c>
      <c r="MU90" s="1" t="s">
        <v>69443</v>
      </c>
      <c r="MV90" s="1" t="s">
        <v>69444</v>
      </c>
      <c r="MW90" s="1" t="s">
        <v>69445</v>
      </c>
      <c r="MX90" s="1" t="s">
        <v>69446</v>
      </c>
      <c r="MY90" s="1" t="s">
        <v>69447</v>
      </c>
      <c r="MZ90" s="1" t="s">
        <v>69448</v>
      </c>
      <c r="NA90" s="1" t="s">
        <v>69449</v>
      </c>
      <c r="NB90" s="1" t="s">
        <v>69450</v>
      </c>
      <c r="NC90" s="1" t="s">
        <v>69451</v>
      </c>
      <c r="ND90" s="1" t="s">
        <v>69452</v>
      </c>
      <c r="NE90" s="1" t="s">
        <v>69453</v>
      </c>
      <c r="NF90" s="1" t="s">
        <v>69454</v>
      </c>
      <c r="NG90" s="1" t="s">
        <v>69455</v>
      </c>
      <c r="NH90" s="1" t="s">
        <v>69456</v>
      </c>
      <c r="NI90" s="1" t="s">
        <v>69457</v>
      </c>
      <c r="NJ90" s="1" t="s">
        <v>69458</v>
      </c>
      <c r="NK90" s="1" t="s">
        <v>69459</v>
      </c>
      <c r="NL90" s="1" t="s">
        <v>69460</v>
      </c>
      <c r="NM90" s="1" t="s">
        <v>69461</v>
      </c>
      <c r="NN90" s="1" t="s">
        <v>69462</v>
      </c>
      <c r="NO90" s="1" t="s">
        <v>69463</v>
      </c>
      <c r="NP90" s="1" t="s">
        <v>69464</v>
      </c>
      <c r="NQ90" s="1" t="s">
        <v>69465</v>
      </c>
      <c r="NR90" s="1" t="s">
        <v>69466</v>
      </c>
      <c r="NS90" s="1" t="s">
        <v>69467</v>
      </c>
      <c r="NT90" s="1" t="s">
        <v>69468</v>
      </c>
      <c r="NU90" s="1" t="s">
        <v>69469</v>
      </c>
      <c r="NV90" s="1" t="s">
        <v>69470</v>
      </c>
      <c r="NW90" s="1" t="s">
        <v>69471</v>
      </c>
      <c r="NX90" s="1" t="s">
        <v>69472</v>
      </c>
      <c r="NY90" s="1" t="s">
        <v>69473</v>
      </c>
      <c r="NZ90" s="1" t="s">
        <v>69474</v>
      </c>
      <c r="OA90" s="1" t="s">
        <v>69475</v>
      </c>
      <c r="OB90" s="1" t="s">
        <v>69476</v>
      </c>
      <c r="OC90" s="1" t="s">
        <v>69477</v>
      </c>
      <c r="OD90" s="1" t="s">
        <v>69478</v>
      </c>
      <c r="OE90" s="1" t="s">
        <v>69479</v>
      </c>
      <c r="OF90" s="1" t="s">
        <v>69480</v>
      </c>
      <c r="OG90" s="1" t="s">
        <v>69481</v>
      </c>
      <c r="OH90" s="1" t="s">
        <v>69482</v>
      </c>
      <c r="OI90" s="1" t="s">
        <v>69483</v>
      </c>
      <c r="OJ90" s="1" t="s">
        <v>69484</v>
      </c>
      <c r="OK90" s="1" t="s">
        <v>69485</v>
      </c>
      <c r="OL90" s="1" t="s">
        <v>69486</v>
      </c>
      <c r="OM90" s="1" t="s">
        <v>69487</v>
      </c>
      <c r="ON90" s="1" t="s">
        <v>69488</v>
      </c>
      <c r="OO90" s="1" t="s">
        <v>69489</v>
      </c>
      <c r="OP90" s="1" t="s">
        <v>69490</v>
      </c>
      <c r="OQ90" s="1" t="s">
        <v>69491</v>
      </c>
      <c r="OR90" s="1" t="s">
        <v>69492</v>
      </c>
      <c r="OS90" s="1" t="s">
        <v>69493</v>
      </c>
      <c r="OT90" s="1" t="s">
        <v>69494</v>
      </c>
      <c r="OU90" s="1" t="s">
        <v>69495</v>
      </c>
      <c r="OV90" s="1" t="s">
        <v>69496</v>
      </c>
      <c r="OW90" s="1" t="s">
        <v>69497</v>
      </c>
      <c r="OX90" s="1" t="s">
        <v>69498</v>
      </c>
      <c r="OY90" s="1" t="s">
        <v>69499</v>
      </c>
      <c r="OZ90" s="1" t="s">
        <v>69500</v>
      </c>
      <c r="PA90" s="1" t="s">
        <v>69501</v>
      </c>
      <c r="PB90" s="1" t="s">
        <v>69502</v>
      </c>
      <c r="PC90" s="1" t="s">
        <v>69503</v>
      </c>
      <c r="PD90" s="1" t="s">
        <v>69504</v>
      </c>
      <c r="PE90" s="1" t="s">
        <v>69505</v>
      </c>
      <c r="PF90" s="1" t="s">
        <v>69506</v>
      </c>
      <c r="PG90" s="1" t="s">
        <v>69507</v>
      </c>
      <c r="PH90" s="1" t="s">
        <v>69508</v>
      </c>
      <c r="PI90" s="1" t="s">
        <v>69509</v>
      </c>
      <c r="PJ90" s="1" t="s">
        <v>69510</v>
      </c>
      <c r="PK90" s="1" t="s">
        <v>69511</v>
      </c>
      <c r="PL90" s="1" t="s">
        <v>69512</v>
      </c>
      <c r="PM90" s="1" t="s">
        <v>69513</v>
      </c>
      <c r="PN90" s="1" t="s">
        <v>69514</v>
      </c>
      <c r="PO90" s="1" t="s">
        <v>69515</v>
      </c>
      <c r="PP90" s="1" t="s">
        <v>69516</v>
      </c>
      <c r="PQ90" s="1" t="s">
        <v>69517</v>
      </c>
      <c r="PR90" s="1" t="s">
        <v>69518</v>
      </c>
      <c r="PS90" s="1" t="s">
        <v>69519</v>
      </c>
      <c r="PT90" s="1" t="s">
        <v>69520</v>
      </c>
      <c r="PU90" s="1" t="s">
        <v>69521</v>
      </c>
      <c r="PV90" s="1" t="s">
        <v>69522</v>
      </c>
      <c r="PW90" s="1" t="s">
        <v>69523</v>
      </c>
      <c r="PX90" s="1" t="s">
        <v>69524</v>
      </c>
      <c r="PY90" s="1" t="s">
        <v>69525</v>
      </c>
      <c r="PZ90" s="1" t="s">
        <v>69526</v>
      </c>
      <c r="QA90" s="1" t="s">
        <v>69527</v>
      </c>
      <c r="QB90" s="1" t="s">
        <v>69528</v>
      </c>
      <c r="QC90" s="1" t="s">
        <v>69529</v>
      </c>
      <c r="QD90" s="1" t="s">
        <v>69530</v>
      </c>
      <c r="QE90" s="1" t="s">
        <v>69531</v>
      </c>
      <c r="QF90" s="1" t="s">
        <v>69532</v>
      </c>
      <c r="QG90" s="1" t="s">
        <v>69533</v>
      </c>
      <c r="QH90" s="1" t="s">
        <v>69534</v>
      </c>
      <c r="QI90" s="1" t="s">
        <v>69535</v>
      </c>
      <c r="QJ90" s="1" t="s">
        <v>69536</v>
      </c>
      <c r="QK90" s="1" t="s">
        <v>69537</v>
      </c>
      <c r="QL90" s="1" t="s">
        <v>69538</v>
      </c>
      <c r="QM90" s="1" t="s">
        <v>69539</v>
      </c>
      <c r="QN90" s="1" t="s">
        <v>69540</v>
      </c>
      <c r="QO90" s="1" t="s">
        <v>69541</v>
      </c>
      <c r="QP90" s="1" t="s">
        <v>69542</v>
      </c>
      <c r="QQ90" s="1" t="s">
        <v>69543</v>
      </c>
      <c r="QR90" s="1" t="s">
        <v>69544</v>
      </c>
      <c r="QS90" s="1" t="s">
        <v>69545</v>
      </c>
      <c r="QT90" s="1" t="s">
        <v>69546</v>
      </c>
      <c r="QU90" s="1" t="s">
        <v>69547</v>
      </c>
      <c r="QV90" s="1" t="s">
        <v>69548</v>
      </c>
      <c r="QW90" s="1" t="s">
        <v>69549</v>
      </c>
      <c r="QX90" s="1" t="s">
        <v>69550</v>
      </c>
      <c r="QY90" s="1" t="s">
        <v>69551</v>
      </c>
      <c r="QZ90" s="1" t="s">
        <v>69552</v>
      </c>
      <c r="RA90" s="1" t="s">
        <v>69553</v>
      </c>
      <c r="RB90" s="1" t="s">
        <v>69554</v>
      </c>
      <c r="RC90" s="1" t="s">
        <v>69555</v>
      </c>
      <c r="RD90" s="1" t="s">
        <v>69556</v>
      </c>
      <c r="RE90" s="1" t="s">
        <v>69557</v>
      </c>
      <c r="RF90" s="1" t="s">
        <v>69558</v>
      </c>
      <c r="RG90" s="1" t="s">
        <v>69559</v>
      </c>
      <c r="RH90" s="1" t="s">
        <v>69560</v>
      </c>
      <c r="RI90" s="1" t="s">
        <v>69561</v>
      </c>
      <c r="RJ90" s="1" t="s">
        <v>69562</v>
      </c>
      <c r="RK90" s="1" t="s">
        <v>69563</v>
      </c>
      <c r="RL90" s="1" t="s">
        <v>69564</v>
      </c>
      <c r="RM90" s="1" t="s">
        <v>69565</v>
      </c>
      <c r="RN90" s="1" t="s">
        <v>69566</v>
      </c>
      <c r="RO90" s="1" t="s">
        <v>69567</v>
      </c>
      <c r="RP90" s="1" t="s">
        <v>69568</v>
      </c>
      <c r="RQ90" s="1" t="s">
        <v>69569</v>
      </c>
      <c r="RR90" s="1" t="s">
        <v>69570</v>
      </c>
      <c r="RS90" s="1" t="s">
        <v>69571</v>
      </c>
      <c r="RT90" s="1" t="s">
        <v>69572</v>
      </c>
      <c r="RU90" s="1" t="s">
        <v>69573</v>
      </c>
      <c r="RV90" s="1" t="s">
        <v>69574</v>
      </c>
      <c r="RW90" s="1" t="s">
        <v>69575</v>
      </c>
      <c r="RX90" s="1" t="s">
        <v>69576</v>
      </c>
      <c r="RY90" s="1" t="s">
        <v>69577</v>
      </c>
      <c r="RZ90" s="1" t="s">
        <v>69578</v>
      </c>
      <c r="SA90" s="1" t="s">
        <v>69579</v>
      </c>
      <c r="SB90" s="1" t="s">
        <v>69580</v>
      </c>
      <c r="SC90" s="1" t="s">
        <v>69581</v>
      </c>
      <c r="SD90" s="1" t="s">
        <v>69582</v>
      </c>
      <c r="SE90" s="1" t="s">
        <v>69583</v>
      </c>
      <c r="SF90" s="1" t="s">
        <v>69584</v>
      </c>
      <c r="SG90" s="1" t="s">
        <v>69585</v>
      </c>
      <c r="SH90" s="1" t="s">
        <v>69586</v>
      </c>
      <c r="SI90" s="1" t="s">
        <v>69587</v>
      </c>
      <c r="SJ90" s="1" t="s">
        <v>69588</v>
      </c>
      <c r="SK90" s="1" t="s">
        <v>69589</v>
      </c>
      <c r="SL90" s="1" t="s">
        <v>69590</v>
      </c>
      <c r="SM90" s="1" t="s">
        <v>69591</v>
      </c>
      <c r="SN90" s="1" t="s">
        <v>69592</v>
      </c>
      <c r="SO90" s="1" t="s">
        <v>69593</v>
      </c>
      <c r="SP90" s="1" t="s">
        <v>69594</v>
      </c>
      <c r="SQ90" s="1" t="s">
        <v>69595</v>
      </c>
      <c r="SR90" s="1" t="s">
        <v>69596</v>
      </c>
      <c r="SS90" s="1" t="s">
        <v>69597</v>
      </c>
      <c r="ST90" s="1" t="s">
        <v>69598</v>
      </c>
      <c r="SU90" s="1" t="s">
        <v>69599</v>
      </c>
      <c r="SV90" s="1" t="s">
        <v>69600</v>
      </c>
      <c r="SW90" s="1" t="s">
        <v>69601</v>
      </c>
      <c r="SX90" s="1" t="s">
        <v>69602</v>
      </c>
      <c r="SY90" s="1" t="s">
        <v>69603</v>
      </c>
      <c r="SZ90" s="1" t="s">
        <v>69604</v>
      </c>
      <c r="TA90" s="1" t="s">
        <v>69605</v>
      </c>
      <c r="TB90" s="1" t="s">
        <v>69606</v>
      </c>
      <c r="TC90" s="1" t="s">
        <v>69607</v>
      </c>
      <c r="TD90" s="1" t="s">
        <v>69608</v>
      </c>
      <c r="TE90" s="1" t="s">
        <v>69609</v>
      </c>
      <c r="TF90" s="1" t="s">
        <v>69610</v>
      </c>
      <c r="TG90" s="1" t="s">
        <v>69611</v>
      </c>
      <c r="TH90" s="1" t="s">
        <v>69612</v>
      </c>
      <c r="TI90" s="1" t="s">
        <v>69613</v>
      </c>
      <c r="TJ90" s="1" t="s">
        <v>69614</v>
      </c>
      <c r="TK90" s="1" t="s">
        <v>69615</v>
      </c>
      <c r="TL90" s="1" t="s">
        <v>69616</v>
      </c>
      <c r="TM90" s="1" t="s">
        <v>69617</v>
      </c>
      <c r="TN90" s="1" t="s">
        <v>69618</v>
      </c>
      <c r="TO90" s="1" t="s">
        <v>69619</v>
      </c>
      <c r="TP90" s="1" t="s">
        <v>69620</v>
      </c>
      <c r="TQ90" s="1" t="s">
        <v>69621</v>
      </c>
      <c r="TR90" s="1" t="s">
        <v>69622</v>
      </c>
      <c r="TS90" s="1" t="s">
        <v>69623</v>
      </c>
      <c r="TT90" s="1" t="s">
        <v>69624</v>
      </c>
      <c r="TU90" s="1" t="s">
        <v>69625</v>
      </c>
      <c r="TV90" s="1" t="s">
        <v>69626</v>
      </c>
      <c r="TW90" s="1" t="s">
        <v>69627</v>
      </c>
      <c r="TX90" s="1" t="s">
        <v>69628</v>
      </c>
      <c r="TY90" s="1" t="s">
        <v>69629</v>
      </c>
      <c r="TZ90" s="1" t="s">
        <v>69630</v>
      </c>
      <c r="UA90" s="1" t="s">
        <v>69631</v>
      </c>
      <c r="UB90" s="1" t="s">
        <v>69632</v>
      </c>
      <c r="UC90" s="1" t="s">
        <v>69633</v>
      </c>
      <c r="UD90" s="1" t="s">
        <v>69634</v>
      </c>
      <c r="UE90" s="1" t="s">
        <v>69635</v>
      </c>
      <c r="UF90" s="1" t="s">
        <v>69636</v>
      </c>
      <c r="UG90" s="1" t="s">
        <v>69637</v>
      </c>
      <c r="UH90" s="1" t="s">
        <v>69638</v>
      </c>
      <c r="UI90" s="1" t="s">
        <v>69639</v>
      </c>
      <c r="UJ90" s="1" t="s">
        <v>69640</v>
      </c>
      <c r="UK90" s="1" t="s">
        <v>69641</v>
      </c>
      <c r="UL90" s="1" t="s">
        <v>69642</v>
      </c>
      <c r="UM90" s="1" t="s">
        <v>69643</v>
      </c>
      <c r="UN90" s="1" t="s">
        <v>69644</v>
      </c>
      <c r="UO90" s="1" t="s">
        <v>69645</v>
      </c>
      <c r="UP90" s="1" t="s">
        <v>69646</v>
      </c>
      <c r="UQ90" s="1" t="s">
        <v>69647</v>
      </c>
      <c r="UR90" s="1" t="s">
        <v>69648</v>
      </c>
      <c r="US90" s="1" t="s">
        <v>69649</v>
      </c>
      <c r="UT90" s="1" t="s">
        <v>69650</v>
      </c>
      <c r="UU90" s="1" t="s">
        <v>69651</v>
      </c>
      <c r="UV90" s="1" t="s">
        <v>69652</v>
      </c>
      <c r="UW90" s="1" t="s">
        <v>69653</v>
      </c>
      <c r="UX90" s="1" t="s">
        <v>69654</v>
      </c>
      <c r="UY90" s="1" t="s">
        <v>69655</v>
      </c>
      <c r="UZ90" s="1" t="s">
        <v>69656</v>
      </c>
      <c r="VA90" s="1" t="s">
        <v>69657</v>
      </c>
      <c r="VB90" s="1" t="s">
        <v>69658</v>
      </c>
      <c r="VC90" s="1" t="s">
        <v>69659</v>
      </c>
      <c r="VD90" s="1" t="s">
        <v>69660</v>
      </c>
      <c r="VE90" s="1" t="s">
        <v>69661</v>
      </c>
      <c r="VF90" s="1" t="s">
        <v>69662</v>
      </c>
      <c r="VG90" s="1" t="s">
        <v>69663</v>
      </c>
      <c r="VH90" s="1" t="s">
        <v>69664</v>
      </c>
      <c r="VI90" s="1" t="s">
        <v>69665</v>
      </c>
      <c r="VJ90" s="1" t="s">
        <v>69666</v>
      </c>
      <c r="VK90" s="1" t="s">
        <v>69667</v>
      </c>
      <c r="VL90" s="1" t="s">
        <v>69668</v>
      </c>
      <c r="VM90" s="1" t="s">
        <v>69669</v>
      </c>
      <c r="VN90" s="1" t="s">
        <v>69670</v>
      </c>
      <c r="VO90" s="1" t="s">
        <v>69671</v>
      </c>
      <c r="VP90" s="1" t="s">
        <v>69672</v>
      </c>
      <c r="VQ90" s="1" t="s">
        <v>69673</v>
      </c>
      <c r="VR90" s="1" t="s">
        <v>69674</v>
      </c>
      <c r="VS90" s="1" t="s">
        <v>69675</v>
      </c>
      <c r="VT90" s="1" t="s">
        <v>69676</v>
      </c>
      <c r="VU90" s="1" t="s">
        <v>69677</v>
      </c>
      <c r="VV90" s="1" t="s">
        <v>69678</v>
      </c>
      <c r="VW90" s="1" t="s">
        <v>69679</v>
      </c>
      <c r="VX90" s="1" t="s">
        <v>69680</v>
      </c>
      <c r="VY90" s="1" t="s">
        <v>69681</v>
      </c>
      <c r="VZ90" s="1" t="s">
        <v>69682</v>
      </c>
      <c r="WA90" s="1" t="s">
        <v>69683</v>
      </c>
      <c r="WB90" s="1" t="s">
        <v>69684</v>
      </c>
      <c r="WC90" s="1" t="s">
        <v>69685</v>
      </c>
      <c r="WD90" s="1" t="s">
        <v>69686</v>
      </c>
      <c r="WE90" s="1" t="s">
        <v>69687</v>
      </c>
      <c r="WF90" s="1" t="s">
        <v>69688</v>
      </c>
      <c r="WG90" s="1" t="s">
        <v>69689</v>
      </c>
      <c r="WH90" s="1" t="s">
        <v>69690</v>
      </c>
      <c r="WI90" s="1" t="s">
        <v>69691</v>
      </c>
      <c r="WJ90" s="1" t="s">
        <v>69692</v>
      </c>
      <c r="WK90" s="1" t="s">
        <v>69693</v>
      </c>
      <c r="WL90" s="1" t="s">
        <v>69694</v>
      </c>
      <c r="WM90" s="1" t="s">
        <v>69695</v>
      </c>
      <c r="WN90" s="1" t="s">
        <v>69696</v>
      </c>
      <c r="WO90" s="1" t="s">
        <v>69697</v>
      </c>
      <c r="WP90" s="1" t="s">
        <v>69698</v>
      </c>
      <c r="WQ90" s="1" t="s">
        <v>69699</v>
      </c>
      <c r="WR90" s="1" t="s">
        <v>69700</v>
      </c>
      <c r="WS90" s="1" t="s">
        <v>69701</v>
      </c>
      <c r="WT90" s="1" t="s">
        <v>69702</v>
      </c>
      <c r="WU90" s="1" t="s">
        <v>69703</v>
      </c>
      <c r="WV90" s="1" t="s">
        <v>69704</v>
      </c>
      <c r="WW90" s="1" t="s">
        <v>69705</v>
      </c>
      <c r="WX90" s="1" t="s">
        <v>69706</v>
      </c>
      <c r="WY90" s="1" t="s">
        <v>69707</v>
      </c>
      <c r="WZ90" s="1" t="s">
        <v>69708</v>
      </c>
      <c r="XA90" s="1" t="s">
        <v>69709</v>
      </c>
      <c r="XB90" s="1" t="s">
        <v>69710</v>
      </c>
      <c r="XC90" s="1" t="s">
        <v>69711</v>
      </c>
      <c r="XD90" s="1" t="s">
        <v>69712</v>
      </c>
      <c r="XE90" s="1" t="s">
        <v>69713</v>
      </c>
      <c r="XF90" s="1" t="s">
        <v>69714</v>
      </c>
      <c r="XG90" s="1" t="s">
        <v>69715</v>
      </c>
      <c r="XH90" s="1" t="s">
        <v>69716</v>
      </c>
      <c r="XI90" s="1" t="s">
        <v>69717</v>
      </c>
      <c r="XJ90" s="1" t="s">
        <v>69718</v>
      </c>
      <c r="XK90" s="1" t="s">
        <v>69719</v>
      </c>
      <c r="XL90" s="1" t="s">
        <v>69720</v>
      </c>
      <c r="XM90" s="1" t="s">
        <v>69721</v>
      </c>
      <c r="XN90" s="1" t="s">
        <v>69722</v>
      </c>
      <c r="XO90" s="1" t="s">
        <v>69723</v>
      </c>
      <c r="XP90" s="1" t="s">
        <v>69724</v>
      </c>
      <c r="XQ90" s="1" t="s">
        <v>69725</v>
      </c>
      <c r="XR90" s="1" t="s">
        <v>69726</v>
      </c>
      <c r="XS90" s="1" t="s">
        <v>69727</v>
      </c>
      <c r="XT90" s="1" t="s">
        <v>69728</v>
      </c>
      <c r="XU90" s="1" t="s">
        <v>69729</v>
      </c>
      <c r="XV90" s="1" t="s">
        <v>69730</v>
      </c>
      <c r="XW90" s="1" t="s">
        <v>69731</v>
      </c>
      <c r="XX90" s="1" t="s">
        <v>69732</v>
      </c>
      <c r="XY90" s="1" t="s">
        <v>69733</v>
      </c>
      <c r="XZ90" s="1" t="s">
        <v>69734</v>
      </c>
      <c r="YA90" s="1" t="s">
        <v>69735</v>
      </c>
      <c r="YB90" s="1" t="s">
        <v>69736</v>
      </c>
      <c r="YC90" s="1" t="s">
        <v>69737</v>
      </c>
      <c r="YD90" s="1" t="s">
        <v>69738</v>
      </c>
      <c r="YE90" s="1" t="s">
        <v>69739</v>
      </c>
      <c r="YF90" s="1" t="s">
        <v>69740</v>
      </c>
      <c r="YG90" s="1" t="s">
        <v>69741</v>
      </c>
      <c r="YH90" s="1" t="s">
        <v>69742</v>
      </c>
      <c r="YI90" s="1" t="s">
        <v>69743</v>
      </c>
      <c r="YJ90" s="1" t="s">
        <v>69744</v>
      </c>
      <c r="YK90" s="1" t="s">
        <v>69745</v>
      </c>
      <c r="YL90" s="1" t="s">
        <v>69746</v>
      </c>
      <c r="YM90" s="1" t="s">
        <v>69747</v>
      </c>
      <c r="YN90" s="1" t="s">
        <v>69748</v>
      </c>
      <c r="YO90" s="1" t="s">
        <v>69749</v>
      </c>
      <c r="YP90" s="1" t="s">
        <v>69750</v>
      </c>
      <c r="YQ90" s="1" t="s">
        <v>69751</v>
      </c>
      <c r="YR90" s="1" t="s">
        <v>69752</v>
      </c>
      <c r="YS90" s="1" t="s">
        <v>69753</v>
      </c>
      <c r="YT90" s="1" t="s">
        <v>69754</v>
      </c>
      <c r="YU90" s="1" t="s">
        <v>69755</v>
      </c>
      <c r="YV90" s="1" t="s">
        <v>69756</v>
      </c>
      <c r="YW90" s="1" t="s">
        <v>69757</v>
      </c>
      <c r="YX90" s="1" t="s">
        <v>69758</v>
      </c>
      <c r="YY90" s="1" t="s">
        <v>69759</v>
      </c>
      <c r="YZ90" s="1" t="s">
        <v>69760</v>
      </c>
      <c r="ZA90" s="1" t="s">
        <v>69761</v>
      </c>
      <c r="ZB90" s="1" t="s">
        <v>69762</v>
      </c>
      <c r="ZC90" s="1" t="s">
        <v>69763</v>
      </c>
      <c r="ZD90" s="1" t="s">
        <v>69764</v>
      </c>
      <c r="ZE90" s="1" t="s">
        <v>69765</v>
      </c>
      <c r="ZF90" s="1" t="s">
        <v>69766</v>
      </c>
      <c r="ZG90" s="1" t="s">
        <v>69767</v>
      </c>
      <c r="ZH90" s="1" t="s">
        <v>69768</v>
      </c>
      <c r="ZI90" s="1" t="s">
        <v>69769</v>
      </c>
      <c r="ZJ90" s="1" t="s">
        <v>69770</v>
      </c>
      <c r="ZK90" s="1" t="s">
        <v>69771</v>
      </c>
      <c r="ZL90" s="1" t="s">
        <v>69772</v>
      </c>
      <c r="ZM90" s="1" t="s">
        <v>69773</v>
      </c>
      <c r="ZN90" s="1" t="s">
        <v>69774</v>
      </c>
      <c r="ZO90" s="1" t="s">
        <v>69775</v>
      </c>
      <c r="ZP90" s="1" t="s">
        <v>69776</v>
      </c>
      <c r="ZQ90" s="1" t="s">
        <v>69777</v>
      </c>
      <c r="ZR90" s="1" t="s">
        <v>69778</v>
      </c>
      <c r="ZS90" s="1" t="s">
        <v>69779</v>
      </c>
      <c r="ZT90" s="1" t="s">
        <v>69780</v>
      </c>
      <c r="ZU90" s="1" t="s">
        <v>69781</v>
      </c>
      <c r="ZV90" s="1" t="s">
        <v>69782</v>
      </c>
      <c r="ZW90" s="1" t="s">
        <v>69783</v>
      </c>
      <c r="ZX90" s="1" t="s">
        <v>69784</v>
      </c>
      <c r="ZY90" s="1" t="s">
        <v>69785</v>
      </c>
      <c r="ZZ90" s="1" t="s">
        <v>69786</v>
      </c>
      <c r="AAA90" s="1" t="s">
        <v>69787</v>
      </c>
      <c r="AAB90" s="1" t="s">
        <v>69788</v>
      </c>
      <c r="AAC90" s="1" t="s">
        <v>69789</v>
      </c>
      <c r="AAD90" s="1" t="s">
        <v>69790</v>
      </c>
      <c r="AAE90" s="1" t="s">
        <v>69791</v>
      </c>
      <c r="AAF90" s="1" t="s">
        <v>69792</v>
      </c>
      <c r="AAG90" s="1" t="s">
        <v>69793</v>
      </c>
      <c r="AAH90" s="1" t="s">
        <v>69794</v>
      </c>
      <c r="AAI90" s="1" t="s">
        <v>69795</v>
      </c>
      <c r="AAJ90" s="1" t="s">
        <v>69796</v>
      </c>
      <c r="AAK90" s="1" t="s">
        <v>69797</v>
      </c>
      <c r="AAL90" s="1" t="s">
        <v>69798</v>
      </c>
      <c r="AAM90" s="1" t="s">
        <v>69799</v>
      </c>
      <c r="AAN90" s="1" t="s">
        <v>69800</v>
      </c>
      <c r="AAO90" s="1" t="s">
        <v>69801</v>
      </c>
      <c r="AAP90" s="1" t="s">
        <v>69802</v>
      </c>
      <c r="AAQ90" s="1" t="s">
        <v>69803</v>
      </c>
      <c r="AAR90" s="1" t="s">
        <v>69804</v>
      </c>
      <c r="AAS90" s="1" t="s">
        <v>69805</v>
      </c>
      <c r="AAT90" s="1" t="s">
        <v>69806</v>
      </c>
      <c r="AAU90" s="1" t="s">
        <v>69807</v>
      </c>
      <c r="AAV90" s="1" t="s">
        <v>69808</v>
      </c>
      <c r="AAW90" s="1" t="s">
        <v>69809</v>
      </c>
      <c r="AAX90" s="1" t="s">
        <v>69810</v>
      </c>
      <c r="AAY90" s="1" t="s">
        <v>69811</v>
      </c>
      <c r="AAZ90" s="1" t="s">
        <v>69812</v>
      </c>
      <c r="ABA90" s="1" t="s">
        <v>69813</v>
      </c>
      <c r="ABB90" s="1" t="s">
        <v>69814</v>
      </c>
      <c r="ABC90" s="1" t="s">
        <v>69815</v>
      </c>
      <c r="ABD90" s="1" t="s">
        <v>69816</v>
      </c>
      <c r="ABE90" s="1" t="s">
        <v>69817</v>
      </c>
      <c r="ABF90" s="1" t="s">
        <v>69818</v>
      </c>
      <c r="ABG90" s="1" t="s">
        <v>69819</v>
      </c>
      <c r="ABH90" s="1" t="s">
        <v>69820</v>
      </c>
      <c r="ABI90" s="1" t="s">
        <v>69821</v>
      </c>
      <c r="ABJ90" s="1" t="s">
        <v>69822</v>
      </c>
      <c r="ABK90" s="1" t="s">
        <v>69823</v>
      </c>
      <c r="ABL90" s="1" t="s">
        <v>69824</v>
      </c>
      <c r="ABM90" s="1" t="s">
        <v>69825</v>
      </c>
      <c r="ABN90" s="1" t="s">
        <v>69826</v>
      </c>
      <c r="ABO90" s="1" t="s">
        <v>69827</v>
      </c>
      <c r="ABP90" s="1" t="s">
        <v>69828</v>
      </c>
      <c r="ABQ90" s="1" t="s">
        <v>69829</v>
      </c>
      <c r="ABR90" s="1" t="s">
        <v>69830</v>
      </c>
      <c r="ABS90" s="1" t="s">
        <v>69831</v>
      </c>
      <c r="ABT90" s="1" t="s">
        <v>69832</v>
      </c>
      <c r="ABU90" s="1" t="s">
        <v>69833</v>
      </c>
      <c r="ABV90" s="1" t="s">
        <v>69834</v>
      </c>
      <c r="ABW90" s="1" t="s">
        <v>69835</v>
      </c>
      <c r="ABX90" s="1" t="s">
        <v>69836</v>
      </c>
      <c r="ABY90" s="1" t="s">
        <v>69837</v>
      </c>
      <c r="ABZ90" s="1" t="s">
        <v>69838</v>
      </c>
      <c r="ACA90" s="1" t="s">
        <v>69839</v>
      </c>
      <c r="ACB90" s="1" t="s">
        <v>69840</v>
      </c>
      <c r="ACC90" s="1" t="s">
        <v>69841</v>
      </c>
      <c r="ACD90" s="1" t="s">
        <v>69842</v>
      </c>
      <c r="ACE90" s="1" t="s">
        <v>69843</v>
      </c>
      <c r="ACF90" s="1" t="s">
        <v>69844</v>
      </c>
      <c r="ACG90" s="1" t="s">
        <v>69845</v>
      </c>
      <c r="ACH90" s="1" t="s">
        <v>69846</v>
      </c>
      <c r="ACI90" s="1" t="s">
        <v>69847</v>
      </c>
      <c r="ACJ90" s="1" t="s">
        <v>69848</v>
      </c>
      <c r="ACK90" s="1" t="s">
        <v>69849</v>
      </c>
      <c r="ACL90" s="1" t="s">
        <v>69850</v>
      </c>
      <c r="ACM90" s="1" t="s">
        <v>69851</v>
      </c>
      <c r="ACN90" s="1" t="s">
        <v>69852</v>
      </c>
      <c r="ACO90" s="1" t="s">
        <v>69853</v>
      </c>
      <c r="ACP90" s="1" t="s">
        <v>69854</v>
      </c>
      <c r="ACQ90" s="1" t="s">
        <v>69855</v>
      </c>
      <c r="ACR90" s="1" t="s">
        <v>69856</v>
      </c>
      <c r="ACS90" s="1" t="s">
        <v>69857</v>
      </c>
      <c r="ACT90" s="1" t="s">
        <v>69858</v>
      </c>
      <c r="ACU90" s="1" t="s">
        <v>69859</v>
      </c>
      <c r="ACV90" s="1" t="s">
        <v>69860</v>
      </c>
      <c r="ACW90" s="1" t="s">
        <v>6</v>
      </c>
      <c r="ACX90" s="1" t="s">
        <v>1501</v>
      </c>
    </row>
    <row r="91" spans="1:778" x14ac:dyDescent="0.2">
      <c r="A91" s="1" t="s">
        <v>46</v>
      </c>
      <c r="B91" s="1" t="s">
        <v>69861</v>
      </c>
      <c r="C91" s="1" t="s">
        <v>69862</v>
      </c>
      <c r="D91" s="1" t="s">
        <v>69863</v>
      </c>
      <c r="E91" s="1" t="s">
        <v>69864</v>
      </c>
      <c r="F91" s="1" t="s">
        <v>69865</v>
      </c>
      <c r="G91" s="1" t="s">
        <v>69866</v>
      </c>
      <c r="H91" s="1" t="s">
        <v>69867</v>
      </c>
      <c r="I91" s="1" t="s">
        <v>69868</v>
      </c>
      <c r="J91" s="1" t="s">
        <v>69869</v>
      </c>
      <c r="K91" s="1" t="s">
        <v>69870</v>
      </c>
      <c r="L91" s="1" t="s">
        <v>69871</v>
      </c>
      <c r="M91" s="1" t="s">
        <v>69872</v>
      </c>
      <c r="N91" s="1" t="s">
        <v>69873</v>
      </c>
      <c r="O91" s="1" t="s">
        <v>69874</v>
      </c>
      <c r="P91" s="1" t="s">
        <v>69875</v>
      </c>
      <c r="Q91" s="1" t="s">
        <v>69876</v>
      </c>
      <c r="R91" s="1" t="s">
        <v>69877</v>
      </c>
      <c r="S91" s="1" t="s">
        <v>69878</v>
      </c>
      <c r="T91" s="1" t="s">
        <v>69879</v>
      </c>
      <c r="U91" s="1" t="s">
        <v>69880</v>
      </c>
      <c r="V91" s="1" t="s">
        <v>69881</v>
      </c>
      <c r="W91" s="1" t="s">
        <v>69882</v>
      </c>
      <c r="X91" s="1" t="s">
        <v>69883</v>
      </c>
      <c r="Y91" s="1" t="s">
        <v>69884</v>
      </c>
      <c r="Z91" s="1" t="s">
        <v>69885</v>
      </c>
      <c r="AA91" s="1" t="s">
        <v>69886</v>
      </c>
      <c r="AB91" s="1" t="s">
        <v>69887</v>
      </c>
      <c r="AC91" s="1" t="s">
        <v>69888</v>
      </c>
      <c r="AD91" s="1" t="s">
        <v>69889</v>
      </c>
      <c r="AE91" s="1" t="s">
        <v>69890</v>
      </c>
      <c r="AF91" s="1" t="s">
        <v>69891</v>
      </c>
      <c r="AG91" s="1" t="s">
        <v>69892</v>
      </c>
      <c r="AH91" s="1" t="s">
        <v>69893</v>
      </c>
      <c r="AI91" s="1" t="s">
        <v>69894</v>
      </c>
      <c r="AJ91" s="1" t="s">
        <v>69895</v>
      </c>
      <c r="AK91" s="1" t="s">
        <v>69896</v>
      </c>
      <c r="AL91" s="1" t="s">
        <v>69897</v>
      </c>
      <c r="AM91" s="1" t="s">
        <v>69898</v>
      </c>
      <c r="AN91" s="1" t="s">
        <v>69899</v>
      </c>
      <c r="AO91" s="1" t="s">
        <v>69900</v>
      </c>
      <c r="AP91" s="1" t="s">
        <v>69901</v>
      </c>
      <c r="AQ91" s="1" t="s">
        <v>69902</v>
      </c>
      <c r="AR91" s="1" t="s">
        <v>69903</v>
      </c>
      <c r="AS91" s="1" t="s">
        <v>69904</v>
      </c>
      <c r="AT91" s="1" t="s">
        <v>69905</v>
      </c>
      <c r="AU91" s="1" t="s">
        <v>69906</v>
      </c>
      <c r="AV91" s="1" t="s">
        <v>69907</v>
      </c>
      <c r="AW91" s="1" t="s">
        <v>69908</v>
      </c>
      <c r="AX91" s="1" t="s">
        <v>69909</v>
      </c>
      <c r="AY91" s="1" t="s">
        <v>69910</v>
      </c>
      <c r="AZ91" s="1" t="s">
        <v>69911</v>
      </c>
      <c r="BA91" s="1" t="s">
        <v>69912</v>
      </c>
      <c r="BB91" s="1" t="s">
        <v>69913</v>
      </c>
      <c r="BC91" s="1" t="s">
        <v>69914</v>
      </c>
      <c r="BD91" s="1" t="s">
        <v>69915</v>
      </c>
      <c r="BE91" s="1" t="s">
        <v>69916</v>
      </c>
      <c r="BF91" s="1" t="s">
        <v>69917</v>
      </c>
      <c r="BG91" s="1" t="s">
        <v>69918</v>
      </c>
      <c r="BH91" s="1" t="s">
        <v>69919</v>
      </c>
      <c r="BI91" s="1" t="s">
        <v>69920</v>
      </c>
      <c r="BJ91" s="1" t="s">
        <v>69921</v>
      </c>
      <c r="BK91" s="1" t="s">
        <v>69922</v>
      </c>
      <c r="BL91" s="1" t="s">
        <v>69923</v>
      </c>
      <c r="BM91" s="1" t="s">
        <v>69924</v>
      </c>
      <c r="BN91" s="1" t="s">
        <v>69925</v>
      </c>
      <c r="BO91" s="1" t="s">
        <v>69926</v>
      </c>
      <c r="BP91" s="1" t="s">
        <v>69927</v>
      </c>
      <c r="BQ91" s="1" t="s">
        <v>69928</v>
      </c>
      <c r="BR91" s="1" t="s">
        <v>69929</v>
      </c>
      <c r="BS91" s="1" t="s">
        <v>69930</v>
      </c>
      <c r="BT91" s="1" t="s">
        <v>69931</v>
      </c>
      <c r="BU91" s="1" t="s">
        <v>69932</v>
      </c>
      <c r="BV91" s="1" t="s">
        <v>69933</v>
      </c>
      <c r="BW91" s="1" t="s">
        <v>69934</v>
      </c>
      <c r="BX91" s="1" t="s">
        <v>69935</v>
      </c>
      <c r="BY91" s="1" t="s">
        <v>69936</v>
      </c>
      <c r="BZ91" s="1" t="s">
        <v>69937</v>
      </c>
      <c r="CA91" s="1" t="s">
        <v>69938</v>
      </c>
      <c r="CB91" s="1" t="s">
        <v>69939</v>
      </c>
      <c r="CC91" s="1" t="s">
        <v>69940</v>
      </c>
      <c r="CD91" s="1" t="s">
        <v>69941</v>
      </c>
      <c r="CE91" s="1" t="s">
        <v>69942</v>
      </c>
      <c r="CF91" s="1" t="s">
        <v>69943</v>
      </c>
      <c r="CG91" s="1" t="s">
        <v>69944</v>
      </c>
      <c r="CH91" s="1" t="s">
        <v>69945</v>
      </c>
      <c r="CI91" s="1" t="s">
        <v>69946</v>
      </c>
      <c r="CJ91" s="1" t="s">
        <v>69947</v>
      </c>
      <c r="CK91" s="1" t="s">
        <v>69948</v>
      </c>
      <c r="CL91" s="1" t="s">
        <v>69949</v>
      </c>
      <c r="CM91" s="1" t="s">
        <v>69950</v>
      </c>
      <c r="CN91" s="1" t="s">
        <v>69951</v>
      </c>
      <c r="CO91" s="1" t="s">
        <v>69952</v>
      </c>
      <c r="CP91" s="1" t="s">
        <v>69953</v>
      </c>
      <c r="CQ91" s="1" t="s">
        <v>69954</v>
      </c>
      <c r="CR91" s="1" t="s">
        <v>69955</v>
      </c>
      <c r="CS91" s="1" t="s">
        <v>69956</v>
      </c>
      <c r="CT91" s="1" t="s">
        <v>69957</v>
      </c>
      <c r="CU91" s="1" t="s">
        <v>69958</v>
      </c>
      <c r="CV91" s="1" t="s">
        <v>69959</v>
      </c>
      <c r="CW91" s="1" t="s">
        <v>69960</v>
      </c>
      <c r="CX91" s="1" t="s">
        <v>69961</v>
      </c>
      <c r="CY91" s="1" t="s">
        <v>69962</v>
      </c>
      <c r="CZ91" s="1" t="s">
        <v>69963</v>
      </c>
      <c r="DA91" s="1" t="s">
        <v>69964</v>
      </c>
      <c r="DB91" s="1" t="s">
        <v>69965</v>
      </c>
      <c r="DC91" s="1" t="s">
        <v>69966</v>
      </c>
      <c r="DD91" s="1" t="s">
        <v>69967</v>
      </c>
      <c r="DE91" s="1" t="s">
        <v>69968</v>
      </c>
      <c r="DF91" s="1" t="s">
        <v>69969</v>
      </c>
      <c r="DG91" s="1" t="s">
        <v>69970</v>
      </c>
      <c r="DH91" s="1" t="s">
        <v>69971</v>
      </c>
      <c r="DI91" s="1" t="s">
        <v>69972</v>
      </c>
      <c r="DJ91" s="1" t="s">
        <v>69973</v>
      </c>
      <c r="DK91" s="1" t="s">
        <v>69974</v>
      </c>
      <c r="DL91" s="1" t="s">
        <v>69975</v>
      </c>
      <c r="DM91" s="1" t="s">
        <v>69976</v>
      </c>
      <c r="DN91" s="1" t="s">
        <v>69977</v>
      </c>
      <c r="DO91" s="1" t="s">
        <v>69978</v>
      </c>
      <c r="DP91" s="1" t="s">
        <v>69979</v>
      </c>
      <c r="DQ91" s="1" t="s">
        <v>69980</v>
      </c>
      <c r="DR91" s="1" t="s">
        <v>69981</v>
      </c>
      <c r="DS91" s="1" t="s">
        <v>69982</v>
      </c>
      <c r="DT91" s="1" t="s">
        <v>69983</v>
      </c>
      <c r="DU91" s="1" t="s">
        <v>69984</v>
      </c>
      <c r="DV91" s="1" t="s">
        <v>69985</v>
      </c>
      <c r="DW91" s="1" t="s">
        <v>69986</v>
      </c>
      <c r="DX91" s="1" t="s">
        <v>69987</v>
      </c>
      <c r="DY91" s="1" t="s">
        <v>69988</v>
      </c>
      <c r="DZ91" s="1" t="s">
        <v>69989</v>
      </c>
      <c r="EA91" s="1" t="s">
        <v>69990</v>
      </c>
      <c r="EB91" s="1" t="s">
        <v>69991</v>
      </c>
      <c r="EC91" s="1" t="s">
        <v>69992</v>
      </c>
      <c r="ED91" s="1" t="s">
        <v>69993</v>
      </c>
      <c r="EE91" s="1" t="s">
        <v>69994</v>
      </c>
      <c r="EF91" s="1" t="s">
        <v>69995</v>
      </c>
      <c r="EG91" s="1" t="s">
        <v>69996</v>
      </c>
      <c r="EH91" s="1" t="s">
        <v>69997</v>
      </c>
      <c r="EI91" s="1" t="s">
        <v>69998</v>
      </c>
      <c r="EJ91" s="1" t="s">
        <v>69999</v>
      </c>
      <c r="EK91" s="1" t="s">
        <v>70000</v>
      </c>
      <c r="EL91" s="1" t="s">
        <v>70001</v>
      </c>
      <c r="EM91" s="1" t="s">
        <v>70002</v>
      </c>
      <c r="EN91" s="1" t="s">
        <v>70003</v>
      </c>
      <c r="EO91" s="1" t="s">
        <v>70004</v>
      </c>
      <c r="EP91" s="1" t="s">
        <v>70005</v>
      </c>
      <c r="EQ91" s="1" t="s">
        <v>70006</v>
      </c>
      <c r="ER91" s="1" t="s">
        <v>70007</v>
      </c>
      <c r="ES91" s="1" t="s">
        <v>70008</v>
      </c>
      <c r="ET91" s="1" t="s">
        <v>70009</v>
      </c>
      <c r="EU91" s="1" t="s">
        <v>70010</v>
      </c>
      <c r="EV91" s="1" t="s">
        <v>70011</v>
      </c>
      <c r="EW91" s="1" t="s">
        <v>70012</v>
      </c>
      <c r="EX91" s="1" t="s">
        <v>70013</v>
      </c>
      <c r="EY91" s="1" t="s">
        <v>70014</v>
      </c>
      <c r="EZ91" s="1" t="s">
        <v>70015</v>
      </c>
      <c r="FA91" s="1" t="s">
        <v>70016</v>
      </c>
      <c r="FB91" s="1" t="s">
        <v>70017</v>
      </c>
      <c r="FC91" s="1" t="s">
        <v>70018</v>
      </c>
      <c r="FD91" s="1" t="s">
        <v>70019</v>
      </c>
      <c r="FE91" s="1" t="s">
        <v>70020</v>
      </c>
      <c r="FF91" s="1" t="s">
        <v>70021</v>
      </c>
      <c r="FG91" s="1" t="s">
        <v>70022</v>
      </c>
      <c r="FH91" s="1" t="s">
        <v>70023</v>
      </c>
      <c r="FI91" s="1" t="s">
        <v>70024</v>
      </c>
      <c r="FJ91" s="1" t="s">
        <v>70025</v>
      </c>
      <c r="FK91" s="1" t="s">
        <v>70026</v>
      </c>
      <c r="FL91" s="1" t="s">
        <v>70027</v>
      </c>
      <c r="FM91" s="1" t="s">
        <v>70028</v>
      </c>
      <c r="FN91" s="1" t="s">
        <v>70029</v>
      </c>
      <c r="FO91" s="1" t="s">
        <v>70030</v>
      </c>
      <c r="FP91" s="1" t="s">
        <v>70031</v>
      </c>
      <c r="FQ91" s="1" t="s">
        <v>70032</v>
      </c>
      <c r="FR91" s="1" t="s">
        <v>70033</v>
      </c>
      <c r="FS91" s="1" t="s">
        <v>70034</v>
      </c>
      <c r="FT91" s="1" t="s">
        <v>70035</v>
      </c>
      <c r="FU91" s="1" t="s">
        <v>70036</v>
      </c>
      <c r="FV91" s="1" t="s">
        <v>70037</v>
      </c>
      <c r="FW91" s="1" t="s">
        <v>70038</v>
      </c>
      <c r="FX91" s="1" t="s">
        <v>70039</v>
      </c>
      <c r="FY91" s="1" t="s">
        <v>70040</v>
      </c>
      <c r="FZ91" s="1" t="s">
        <v>70041</v>
      </c>
      <c r="GA91" s="1" t="s">
        <v>70042</v>
      </c>
      <c r="GB91" s="1" t="s">
        <v>70043</v>
      </c>
      <c r="GC91" s="1" t="s">
        <v>70044</v>
      </c>
      <c r="GD91" s="1" t="s">
        <v>70045</v>
      </c>
      <c r="GE91" s="1" t="s">
        <v>70046</v>
      </c>
      <c r="GF91" s="1" t="s">
        <v>70047</v>
      </c>
      <c r="GG91" s="1" t="s">
        <v>70048</v>
      </c>
      <c r="GH91" s="1" t="s">
        <v>70049</v>
      </c>
      <c r="GI91" s="1" t="s">
        <v>70050</v>
      </c>
      <c r="GJ91" s="1" t="s">
        <v>70051</v>
      </c>
      <c r="GK91" s="1" t="s">
        <v>70052</v>
      </c>
      <c r="GL91" s="1" t="s">
        <v>70053</v>
      </c>
      <c r="GM91" s="1" t="s">
        <v>70054</v>
      </c>
      <c r="GN91" s="1" t="s">
        <v>70055</v>
      </c>
      <c r="GO91" s="1" t="s">
        <v>70056</v>
      </c>
      <c r="GP91" s="1" t="s">
        <v>70057</v>
      </c>
      <c r="GQ91" s="1" t="s">
        <v>70058</v>
      </c>
      <c r="GR91" s="1" t="s">
        <v>70059</v>
      </c>
      <c r="GS91" s="1" t="s">
        <v>70060</v>
      </c>
      <c r="GT91" s="1" t="s">
        <v>70061</v>
      </c>
      <c r="GU91" s="1" t="s">
        <v>70062</v>
      </c>
      <c r="GV91" s="1" t="s">
        <v>70063</v>
      </c>
      <c r="GW91" s="1" t="s">
        <v>70064</v>
      </c>
      <c r="GX91" s="1" t="s">
        <v>70065</v>
      </c>
      <c r="GY91" s="1" t="s">
        <v>70066</v>
      </c>
      <c r="GZ91" s="1" t="s">
        <v>70067</v>
      </c>
      <c r="HA91" s="1" t="s">
        <v>70068</v>
      </c>
      <c r="HB91" s="1" t="s">
        <v>70069</v>
      </c>
      <c r="HC91" s="1" t="s">
        <v>70070</v>
      </c>
      <c r="HD91" s="1" t="s">
        <v>70071</v>
      </c>
      <c r="HE91" s="1" t="s">
        <v>70072</v>
      </c>
      <c r="HF91" s="1" t="s">
        <v>70073</v>
      </c>
      <c r="HG91" s="1" t="s">
        <v>70074</v>
      </c>
      <c r="HH91" s="1" t="s">
        <v>70075</v>
      </c>
      <c r="HI91" s="1" t="s">
        <v>70076</v>
      </c>
      <c r="HJ91" s="1" t="s">
        <v>70077</v>
      </c>
      <c r="HK91" s="1" t="s">
        <v>70078</v>
      </c>
      <c r="HL91" s="1" t="s">
        <v>70079</v>
      </c>
      <c r="HM91" s="1" t="s">
        <v>70080</v>
      </c>
      <c r="HN91" s="1" t="s">
        <v>70081</v>
      </c>
      <c r="HO91" s="1" t="s">
        <v>70082</v>
      </c>
      <c r="HP91" s="1" t="s">
        <v>70083</v>
      </c>
      <c r="HQ91" s="1" t="s">
        <v>70084</v>
      </c>
      <c r="HR91" s="1" t="s">
        <v>70085</v>
      </c>
      <c r="HS91" s="1" t="s">
        <v>70086</v>
      </c>
      <c r="HT91" s="1" t="s">
        <v>70087</v>
      </c>
      <c r="HU91" s="1" t="s">
        <v>70088</v>
      </c>
      <c r="HV91" s="1" t="s">
        <v>70089</v>
      </c>
      <c r="HW91" s="1" t="s">
        <v>70090</v>
      </c>
      <c r="HX91" s="1" t="s">
        <v>70091</v>
      </c>
      <c r="HY91" s="1" t="s">
        <v>70092</v>
      </c>
      <c r="HZ91" s="1" t="s">
        <v>70093</v>
      </c>
      <c r="IA91" s="1" t="s">
        <v>70094</v>
      </c>
      <c r="IB91" s="1" t="s">
        <v>70095</v>
      </c>
      <c r="IC91" s="1" t="s">
        <v>70096</v>
      </c>
      <c r="ID91" s="1" t="s">
        <v>70097</v>
      </c>
      <c r="IE91" s="1" t="s">
        <v>70098</v>
      </c>
      <c r="IF91" s="1" t="s">
        <v>70099</v>
      </c>
      <c r="IG91" s="1" t="s">
        <v>70100</v>
      </c>
      <c r="IH91" s="1" t="s">
        <v>70101</v>
      </c>
      <c r="II91" s="1" t="s">
        <v>70102</v>
      </c>
      <c r="IJ91" s="1" t="s">
        <v>70103</v>
      </c>
      <c r="IK91" s="1" t="s">
        <v>70104</v>
      </c>
      <c r="IL91" s="1" t="s">
        <v>70105</v>
      </c>
      <c r="IM91" s="1" t="s">
        <v>70106</v>
      </c>
      <c r="IN91" s="1" t="s">
        <v>70107</v>
      </c>
      <c r="IO91" s="1" t="s">
        <v>70108</v>
      </c>
      <c r="IP91" s="1" t="s">
        <v>70109</v>
      </c>
      <c r="IQ91" s="1" t="s">
        <v>70110</v>
      </c>
      <c r="IR91" s="1" t="s">
        <v>70111</v>
      </c>
      <c r="IS91" s="1" t="s">
        <v>70112</v>
      </c>
      <c r="IT91" s="1" t="s">
        <v>70113</v>
      </c>
      <c r="IU91" s="1" t="s">
        <v>70114</v>
      </c>
      <c r="IV91" s="1" t="s">
        <v>70115</v>
      </c>
      <c r="IW91" s="1" t="s">
        <v>70116</v>
      </c>
      <c r="IX91" s="1" t="s">
        <v>70117</v>
      </c>
      <c r="IY91" s="1" t="s">
        <v>70118</v>
      </c>
      <c r="IZ91" s="1" t="s">
        <v>70119</v>
      </c>
      <c r="JA91" s="1" t="s">
        <v>70120</v>
      </c>
      <c r="JB91" s="1" t="s">
        <v>70121</v>
      </c>
      <c r="JC91" s="1" t="s">
        <v>70122</v>
      </c>
      <c r="JD91" s="1" t="s">
        <v>70123</v>
      </c>
      <c r="JE91" s="1" t="s">
        <v>70124</v>
      </c>
      <c r="JF91" s="1" t="s">
        <v>70125</v>
      </c>
      <c r="JG91" s="1" t="s">
        <v>70126</v>
      </c>
      <c r="JH91" s="1" t="s">
        <v>70127</v>
      </c>
      <c r="JI91" s="1" t="s">
        <v>70128</v>
      </c>
      <c r="JJ91" s="1" t="s">
        <v>70129</v>
      </c>
      <c r="JK91" s="1" t="s">
        <v>70130</v>
      </c>
      <c r="JL91" s="1" t="s">
        <v>70131</v>
      </c>
      <c r="JM91" s="1" t="s">
        <v>70132</v>
      </c>
      <c r="JN91" s="1" t="s">
        <v>70133</v>
      </c>
      <c r="JO91" s="1" t="s">
        <v>70134</v>
      </c>
      <c r="JP91" s="1" t="s">
        <v>70135</v>
      </c>
      <c r="JQ91" s="1" t="s">
        <v>70136</v>
      </c>
      <c r="JR91" s="1" t="s">
        <v>70137</v>
      </c>
      <c r="JS91" s="1" t="s">
        <v>70138</v>
      </c>
      <c r="JT91" s="1" t="s">
        <v>70139</v>
      </c>
      <c r="JU91" s="1" t="s">
        <v>70140</v>
      </c>
      <c r="JV91" s="1" t="s">
        <v>70141</v>
      </c>
      <c r="JW91" s="1" t="s">
        <v>70142</v>
      </c>
      <c r="JX91" s="1" t="s">
        <v>70143</v>
      </c>
      <c r="JY91" s="1" t="s">
        <v>70144</v>
      </c>
      <c r="JZ91" s="1" t="s">
        <v>70145</v>
      </c>
      <c r="KA91" s="1" t="s">
        <v>70146</v>
      </c>
      <c r="KB91" s="1" t="s">
        <v>70147</v>
      </c>
      <c r="KC91" s="1" t="s">
        <v>70148</v>
      </c>
      <c r="KD91" s="1" t="s">
        <v>70149</v>
      </c>
      <c r="KE91" s="1" t="s">
        <v>70150</v>
      </c>
      <c r="KF91" s="1" t="s">
        <v>70151</v>
      </c>
      <c r="KG91" s="1" t="s">
        <v>70152</v>
      </c>
      <c r="KH91" s="1" t="s">
        <v>70153</v>
      </c>
      <c r="KI91" s="1" t="s">
        <v>70154</v>
      </c>
      <c r="KJ91" s="1" t="s">
        <v>70155</v>
      </c>
      <c r="KK91" s="1" t="s">
        <v>70156</v>
      </c>
      <c r="KL91" s="1" t="s">
        <v>70157</v>
      </c>
      <c r="KM91" s="1" t="s">
        <v>70158</v>
      </c>
      <c r="KN91" s="1" t="s">
        <v>70159</v>
      </c>
      <c r="KO91" s="1" t="s">
        <v>70160</v>
      </c>
      <c r="KP91" s="1" t="s">
        <v>70161</v>
      </c>
      <c r="KQ91" s="1" t="s">
        <v>70162</v>
      </c>
      <c r="KR91" s="1" t="s">
        <v>70163</v>
      </c>
      <c r="KS91" s="1" t="s">
        <v>70164</v>
      </c>
      <c r="KT91" s="1" t="s">
        <v>70165</v>
      </c>
      <c r="KU91" s="1" t="s">
        <v>70166</v>
      </c>
      <c r="KV91" s="1" t="s">
        <v>70167</v>
      </c>
      <c r="KW91" s="1" t="s">
        <v>70168</v>
      </c>
      <c r="KX91" s="1" t="s">
        <v>70169</v>
      </c>
      <c r="KY91" s="1" t="s">
        <v>70170</v>
      </c>
      <c r="KZ91" s="1" t="s">
        <v>70171</v>
      </c>
      <c r="LA91" s="1" t="s">
        <v>70172</v>
      </c>
      <c r="LB91" s="1" t="s">
        <v>70173</v>
      </c>
      <c r="LC91" s="1" t="s">
        <v>70174</v>
      </c>
      <c r="LD91" s="1" t="s">
        <v>70175</v>
      </c>
      <c r="LE91" s="1" t="s">
        <v>70176</v>
      </c>
      <c r="LF91" s="1" t="s">
        <v>70177</v>
      </c>
      <c r="LG91" s="1" t="s">
        <v>70178</v>
      </c>
      <c r="LH91" s="1" t="s">
        <v>70179</v>
      </c>
      <c r="LI91" s="1" t="s">
        <v>70180</v>
      </c>
      <c r="LJ91" s="1" t="s">
        <v>70181</v>
      </c>
      <c r="LK91" s="1" t="s">
        <v>70182</v>
      </c>
      <c r="LL91" s="1" t="s">
        <v>70183</v>
      </c>
      <c r="LM91" s="1" t="s">
        <v>70184</v>
      </c>
      <c r="LN91" s="1" t="s">
        <v>70185</v>
      </c>
      <c r="LO91" s="1" t="s">
        <v>70186</v>
      </c>
      <c r="LP91" s="1" t="s">
        <v>70187</v>
      </c>
      <c r="LQ91" s="1" t="s">
        <v>70188</v>
      </c>
      <c r="LR91" s="1" t="s">
        <v>70189</v>
      </c>
      <c r="LS91" s="1" t="s">
        <v>70190</v>
      </c>
      <c r="LT91" s="1" t="s">
        <v>70191</v>
      </c>
      <c r="LU91" s="1" t="s">
        <v>70192</v>
      </c>
      <c r="LV91" s="1" t="s">
        <v>70193</v>
      </c>
      <c r="LW91" s="1" t="s">
        <v>70194</v>
      </c>
      <c r="LX91" s="1" t="s">
        <v>70195</v>
      </c>
      <c r="LY91" s="1" t="s">
        <v>70196</v>
      </c>
      <c r="LZ91" s="1" t="s">
        <v>70197</v>
      </c>
      <c r="MA91" s="1" t="s">
        <v>70198</v>
      </c>
      <c r="MB91" s="1" t="s">
        <v>70199</v>
      </c>
      <c r="MC91" s="1" t="s">
        <v>70200</v>
      </c>
      <c r="MD91" s="1" t="s">
        <v>70201</v>
      </c>
      <c r="ME91" s="1" t="s">
        <v>70202</v>
      </c>
      <c r="MF91" s="1" t="s">
        <v>70203</v>
      </c>
      <c r="MG91" s="1" t="s">
        <v>70204</v>
      </c>
      <c r="MH91" s="1" t="s">
        <v>70205</v>
      </c>
      <c r="MI91" s="1" t="s">
        <v>70206</v>
      </c>
      <c r="MJ91" s="1" t="s">
        <v>70207</v>
      </c>
      <c r="MK91" s="1" t="s">
        <v>70208</v>
      </c>
      <c r="ML91" s="1" t="s">
        <v>70209</v>
      </c>
      <c r="MM91" s="1" t="s">
        <v>70210</v>
      </c>
      <c r="MN91" s="1" t="s">
        <v>70211</v>
      </c>
      <c r="MO91" s="1" t="s">
        <v>70212</v>
      </c>
      <c r="MP91" s="1" t="s">
        <v>70213</v>
      </c>
      <c r="MQ91" s="1" t="s">
        <v>70214</v>
      </c>
      <c r="MR91" s="1" t="s">
        <v>70215</v>
      </c>
      <c r="MS91" s="1" t="s">
        <v>70216</v>
      </c>
      <c r="MT91" s="1" t="s">
        <v>70217</v>
      </c>
      <c r="MU91" s="1" t="s">
        <v>70218</v>
      </c>
      <c r="MV91" s="1" t="s">
        <v>70219</v>
      </c>
      <c r="MW91" s="1" t="s">
        <v>70220</v>
      </c>
      <c r="MX91" s="1" t="s">
        <v>70221</v>
      </c>
      <c r="MY91" s="1" t="s">
        <v>70222</v>
      </c>
      <c r="MZ91" s="1" t="s">
        <v>70223</v>
      </c>
      <c r="NA91" s="1" t="s">
        <v>70224</v>
      </c>
      <c r="NB91" s="1" t="s">
        <v>70225</v>
      </c>
      <c r="NC91" s="1" t="s">
        <v>70226</v>
      </c>
      <c r="ND91" s="1" t="s">
        <v>70227</v>
      </c>
      <c r="NE91" s="1" t="s">
        <v>70228</v>
      </c>
      <c r="NF91" s="1" t="s">
        <v>70229</v>
      </c>
      <c r="NG91" s="1" t="s">
        <v>70230</v>
      </c>
      <c r="NH91" s="1" t="s">
        <v>70231</v>
      </c>
      <c r="NI91" s="1" t="s">
        <v>70232</v>
      </c>
      <c r="NJ91" s="1" t="s">
        <v>70233</v>
      </c>
      <c r="NK91" s="1" t="s">
        <v>70234</v>
      </c>
      <c r="NL91" s="1" t="s">
        <v>70235</v>
      </c>
      <c r="NM91" s="1" t="s">
        <v>70236</v>
      </c>
      <c r="NN91" s="1" t="s">
        <v>70237</v>
      </c>
      <c r="NO91" s="1" t="s">
        <v>70238</v>
      </c>
      <c r="NP91" s="1" t="s">
        <v>70239</v>
      </c>
      <c r="NQ91" s="1" t="s">
        <v>70240</v>
      </c>
      <c r="NR91" s="1" t="s">
        <v>70241</v>
      </c>
      <c r="NS91" s="1" t="s">
        <v>70242</v>
      </c>
      <c r="NT91" s="1" t="s">
        <v>70243</v>
      </c>
      <c r="NU91" s="1" t="s">
        <v>70244</v>
      </c>
      <c r="NV91" s="1" t="s">
        <v>70245</v>
      </c>
      <c r="NW91" s="1" t="s">
        <v>70246</v>
      </c>
      <c r="NX91" s="1" t="s">
        <v>70247</v>
      </c>
      <c r="NY91" s="1" t="s">
        <v>70248</v>
      </c>
      <c r="NZ91" s="1" t="s">
        <v>70249</v>
      </c>
      <c r="OA91" s="1" t="s">
        <v>70250</v>
      </c>
      <c r="OB91" s="1" t="s">
        <v>70251</v>
      </c>
      <c r="OC91" s="1" t="s">
        <v>70252</v>
      </c>
      <c r="OD91" s="1" t="s">
        <v>70253</v>
      </c>
      <c r="OE91" s="1" t="s">
        <v>70254</v>
      </c>
      <c r="OF91" s="1" t="s">
        <v>70255</v>
      </c>
      <c r="OG91" s="1" t="s">
        <v>70256</v>
      </c>
      <c r="OH91" s="1" t="s">
        <v>70257</v>
      </c>
      <c r="OI91" s="1" t="s">
        <v>70258</v>
      </c>
      <c r="OJ91" s="1" t="s">
        <v>70259</v>
      </c>
      <c r="OK91" s="1" t="s">
        <v>70260</v>
      </c>
      <c r="OL91" s="1" t="s">
        <v>70261</v>
      </c>
      <c r="OM91" s="1" t="s">
        <v>70262</v>
      </c>
      <c r="ON91" s="1" t="s">
        <v>70263</v>
      </c>
      <c r="OO91" s="1" t="s">
        <v>70264</v>
      </c>
      <c r="OP91" s="1" t="s">
        <v>70265</v>
      </c>
      <c r="OQ91" s="1" t="s">
        <v>70266</v>
      </c>
      <c r="OR91" s="1" t="s">
        <v>70267</v>
      </c>
      <c r="OS91" s="1" t="s">
        <v>70268</v>
      </c>
      <c r="OT91" s="1" t="s">
        <v>70269</v>
      </c>
      <c r="OU91" s="1" t="s">
        <v>70270</v>
      </c>
      <c r="OV91" s="1" t="s">
        <v>70271</v>
      </c>
      <c r="OW91" s="1" t="s">
        <v>70272</v>
      </c>
      <c r="OX91" s="1" t="s">
        <v>70273</v>
      </c>
      <c r="OY91" s="1" t="s">
        <v>70274</v>
      </c>
      <c r="OZ91" s="1" t="s">
        <v>70275</v>
      </c>
      <c r="PA91" s="1" t="s">
        <v>70276</v>
      </c>
      <c r="PB91" s="1" t="s">
        <v>70277</v>
      </c>
      <c r="PC91" s="1" t="s">
        <v>70278</v>
      </c>
      <c r="PD91" s="1" t="s">
        <v>70279</v>
      </c>
      <c r="PE91" s="1" t="s">
        <v>70280</v>
      </c>
      <c r="PF91" s="1" t="s">
        <v>70281</v>
      </c>
      <c r="PG91" s="1" t="s">
        <v>70282</v>
      </c>
      <c r="PH91" s="1" t="s">
        <v>70283</v>
      </c>
      <c r="PI91" s="1" t="s">
        <v>70284</v>
      </c>
      <c r="PJ91" s="1" t="s">
        <v>70285</v>
      </c>
      <c r="PK91" s="1" t="s">
        <v>70286</v>
      </c>
      <c r="PL91" s="1" t="s">
        <v>70287</v>
      </c>
      <c r="PM91" s="1" t="s">
        <v>70288</v>
      </c>
      <c r="PN91" s="1" t="s">
        <v>70289</v>
      </c>
      <c r="PO91" s="1" t="s">
        <v>70290</v>
      </c>
      <c r="PP91" s="1" t="s">
        <v>70291</v>
      </c>
      <c r="PQ91" s="1" t="s">
        <v>70292</v>
      </c>
      <c r="PR91" s="1" t="s">
        <v>70293</v>
      </c>
      <c r="PS91" s="1" t="s">
        <v>70294</v>
      </c>
      <c r="PT91" s="1" t="s">
        <v>70295</v>
      </c>
      <c r="PU91" s="1" t="s">
        <v>70296</v>
      </c>
      <c r="PV91" s="1" t="s">
        <v>70297</v>
      </c>
      <c r="PW91" s="1" t="s">
        <v>70298</v>
      </c>
      <c r="PX91" s="1" t="s">
        <v>70299</v>
      </c>
      <c r="PY91" s="1" t="s">
        <v>70300</v>
      </c>
      <c r="PZ91" s="1" t="s">
        <v>70301</v>
      </c>
      <c r="QA91" s="1" t="s">
        <v>70302</v>
      </c>
      <c r="QB91" s="1" t="s">
        <v>70303</v>
      </c>
      <c r="QC91" s="1" t="s">
        <v>70304</v>
      </c>
      <c r="QD91" s="1" t="s">
        <v>70305</v>
      </c>
      <c r="QE91" s="1" t="s">
        <v>70306</v>
      </c>
      <c r="QF91" s="1" t="s">
        <v>70307</v>
      </c>
      <c r="QG91" s="1" t="s">
        <v>70308</v>
      </c>
      <c r="QH91" s="1" t="s">
        <v>70309</v>
      </c>
      <c r="QI91" s="1" t="s">
        <v>70310</v>
      </c>
      <c r="QJ91" s="1" t="s">
        <v>70311</v>
      </c>
      <c r="QK91" s="1" t="s">
        <v>70312</v>
      </c>
      <c r="QL91" s="1" t="s">
        <v>70313</v>
      </c>
      <c r="QM91" s="1" t="s">
        <v>70314</v>
      </c>
      <c r="QN91" s="1" t="s">
        <v>70315</v>
      </c>
      <c r="QO91" s="1" t="s">
        <v>70316</v>
      </c>
      <c r="QP91" s="1" t="s">
        <v>70317</v>
      </c>
      <c r="QQ91" s="1" t="s">
        <v>70318</v>
      </c>
      <c r="QR91" s="1" t="s">
        <v>70319</v>
      </c>
      <c r="QS91" s="1" t="s">
        <v>70320</v>
      </c>
      <c r="QT91" s="1" t="s">
        <v>70321</v>
      </c>
      <c r="QU91" s="1" t="s">
        <v>70322</v>
      </c>
      <c r="QV91" s="1" t="s">
        <v>70323</v>
      </c>
      <c r="QW91" s="1" t="s">
        <v>70324</v>
      </c>
      <c r="QX91" s="1" t="s">
        <v>70325</v>
      </c>
      <c r="QY91" s="1" t="s">
        <v>70326</v>
      </c>
      <c r="QZ91" s="1" t="s">
        <v>70327</v>
      </c>
      <c r="RA91" s="1" t="s">
        <v>70328</v>
      </c>
      <c r="RB91" s="1" t="s">
        <v>70329</v>
      </c>
      <c r="RC91" s="1" t="s">
        <v>70330</v>
      </c>
      <c r="RD91" s="1" t="s">
        <v>70331</v>
      </c>
      <c r="RE91" s="1" t="s">
        <v>70332</v>
      </c>
      <c r="RF91" s="1" t="s">
        <v>70333</v>
      </c>
      <c r="RG91" s="1" t="s">
        <v>70334</v>
      </c>
      <c r="RH91" s="1" t="s">
        <v>70335</v>
      </c>
      <c r="RI91" s="1" t="s">
        <v>70336</v>
      </c>
      <c r="RJ91" s="1" t="s">
        <v>70337</v>
      </c>
      <c r="RK91" s="1" t="s">
        <v>70338</v>
      </c>
      <c r="RL91" s="1" t="s">
        <v>70339</v>
      </c>
      <c r="RM91" s="1" t="s">
        <v>70340</v>
      </c>
      <c r="RN91" s="1" t="s">
        <v>70341</v>
      </c>
      <c r="RO91" s="1" t="s">
        <v>70342</v>
      </c>
      <c r="RP91" s="1" t="s">
        <v>70343</v>
      </c>
      <c r="RQ91" s="1" t="s">
        <v>70344</v>
      </c>
      <c r="RR91" s="1" t="s">
        <v>70345</v>
      </c>
      <c r="RS91" s="1" t="s">
        <v>70346</v>
      </c>
      <c r="RT91" s="1" t="s">
        <v>70347</v>
      </c>
      <c r="RU91" s="1" t="s">
        <v>70348</v>
      </c>
      <c r="RV91" s="1" t="s">
        <v>70349</v>
      </c>
      <c r="RW91" s="1" t="s">
        <v>70350</v>
      </c>
      <c r="RX91" s="1" t="s">
        <v>70351</v>
      </c>
      <c r="RY91" s="1" t="s">
        <v>70352</v>
      </c>
      <c r="RZ91" s="1" t="s">
        <v>70353</v>
      </c>
      <c r="SA91" s="1" t="s">
        <v>70354</v>
      </c>
      <c r="SB91" s="1" t="s">
        <v>70355</v>
      </c>
      <c r="SC91" s="1" t="s">
        <v>70356</v>
      </c>
      <c r="SD91" s="1" t="s">
        <v>70357</v>
      </c>
      <c r="SE91" s="1" t="s">
        <v>70358</v>
      </c>
      <c r="SF91" s="1" t="s">
        <v>70359</v>
      </c>
      <c r="SG91" s="1" t="s">
        <v>70360</v>
      </c>
      <c r="SH91" s="1" t="s">
        <v>70361</v>
      </c>
      <c r="SI91" s="1" t="s">
        <v>70362</v>
      </c>
      <c r="SJ91" s="1" t="s">
        <v>70363</v>
      </c>
      <c r="SK91" s="1" t="s">
        <v>70364</v>
      </c>
      <c r="SL91" s="1" t="s">
        <v>70365</v>
      </c>
      <c r="SM91" s="1" t="s">
        <v>70366</v>
      </c>
      <c r="SN91" s="1" t="s">
        <v>70367</v>
      </c>
      <c r="SO91" s="1" t="s">
        <v>70368</v>
      </c>
      <c r="SP91" s="1" t="s">
        <v>70369</v>
      </c>
      <c r="SQ91" s="1" t="s">
        <v>70370</v>
      </c>
      <c r="SR91" s="1" t="s">
        <v>70371</v>
      </c>
      <c r="SS91" s="1" t="s">
        <v>70372</v>
      </c>
      <c r="ST91" s="1" t="s">
        <v>70373</v>
      </c>
      <c r="SU91" s="1" t="s">
        <v>70374</v>
      </c>
      <c r="SV91" s="1" t="s">
        <v>70375</v>
      </c>
      <c r="SW91" s="1" t="s">
        <v>70376</v>
      </c>
      <c r="SX91" s="1" t="s">
        <v>70377</v>
      </c>
      <c r="SY91" s="1" t="s">
        <v>70378</v>
      </c>
      <c r="SZ91" s="1" t="s">
        <v>70379</v>
      </c>
      <c r="TA91" s="1" t="s">
        <v>70380</v>
      </c>
      <c r="TB91" s="1" t="s">
        <v>70381</v>
      </c>
      <c r="TC91" s="1" t="s">
        <v>70382</v>
      </c>
      <c r="TD91" s="1" t="s">
        <v>70383</v>
      </c>
      <c r="TE91" s="1" t="s">
        <v>70384</v>
      </c>
      <c r="TF91" s="1" t="s">
        <v>70385</v>
      </c>
      <c r="TG91" s="1" t="s">
        <v>70386</v>
      </c>
      <c r="TH91" s="1" t="s">
        <v>70387</v>
      </c>
      <c r="TI91" s="1" t="s">
        <v>70388</v>
      </c>
      <c r="TJ91" s="1" t="s">
        <v>70389</v>
      </c>
      <c r="TK91" s="1" t="s">
        <v>70390</v>
      </c>
      <c r="TL91" s="1" t="s">
        <v>70391</v>
      </c>
      <c r="TM91" s="1" t="s">
        <v>70392</v>
      </c>
      <c r="TN91" s="1" t="s">
        <v>70393</v>
      </c>
      <c r="TO91" s="1" t="s">
        <v>70394</v>
      </c>
      <c r="TP91" s="1" t="s">
        <v>70395</v>
      </c>
      <c r="TQ91" s="1" t="s">
        <v>70396</v>
      </c>
      <c r="TR91" s="1" t="s">
        <v>70397</v>
      </c>
      <c r="TS91" s="1" t="s">
        <v>70398</v>
      </c>
      <c r="TT91" s="1" t="s">
        <v>70399</v>
      </c>
      <c r="TU91" s="1" t="s">
        <v>70400</v>
      </c>
      <c r="TV91" s="1" t="s">
        <v>70401</v>
      </c>
      <c r="TW91" s="1" t="s">
        <v>70402</v>
      </c>
      <c r="TX91" s="1" t="s">
        <v>70403</v>
      </c>
      <c r="TY91" s="1" t="s">
        <v>70404</v>
      </c>
      <c r="TZ91" s="1" t="s">
        <v>70405</v>
      </c>
      <c r="UA91" s="1" t="s">
        <v>70406</v>
      </c>
      <c r="UB91" s="1" t="s">
        <v>70407</v>
      </c>
      <c r="UC91" s="1" t="s">
        <v>70408</v>
      </c>
      <c r="UD91" s="1" t="s">
        <v>70409</v>
      </c>
      <c r="UE91" s="1" t="s">
        <v>70410</v>
      </c>
      <c r="UF91" s="1" t="s">
        <v>70411</v>
      </c>
      <c r="UG91" s="1" t="s">
        <v>70412</v>
      </c>
      <c r="UH91" s="1" t="s">
        <v>70413</v>
      </c>
      <c r="UI91" s="1" t="s">
        <v>70414</v>
      </c>
      <c r="UJ91" s="1" t="s">
        <v>70415</v>
      </c>
      <c r="UK91" s="1" t="s">
        <v>70416</v>
      </c>
      <c r="UL91" s="1" t="s">
        <v>70417</v>
      </c>
      <c r="UM91" s="1" t="s">
        <v>70418</v>
      </c>
      <c r="UN91" s="1" t="s">
        <v>70419</v>
      </c>
      <c r="UO91" s="1" t="s">
        <v>70420</v>
      </c>
      <c r="UP91" s="1" t="s">
        <v>70421</v>
      </c>
      <c r="UQ91" s="1" t="s">
        <v>70422</v>
      </c>
      <c r="UR91" s="1" t="s">
        <v>70423</v>
      </c>
      <c r="US91" s="1" t="s">
        <v>70424</v>
      </c>
      <c r="UT91" s="1" t="s">
        <v>70425</v>
      </c>
      <c r="UU91" s="1" t="s">
        <v>70426</v>
      </c>
      <c r="UV91" s="1" t="s">
        <v>70427</v>
      </c>
      <c r="UW91" s="1" t="s">
        <v>70428</v>
      </c>
      <c r="UX91" s="1" t="s">
        <v>70429</v>
      </c>
      <c r="UY91" s="1" t="s">
        <v>70430</v>
      </c>
      <c r="UZ91" s="1" t="s">
        <v>70431</v>
      </c>
      <c r="VA91" s="1" t="s">
        <v>70432</v>
      </c>
      <c r="VB91" s="1" t="s">
        <v>70433</v>
      </c>
      <c r="VC91" s="1" t="s">
        <v>70434</v>
      </c>
      <c r="VD91" s="1" t="s">
        <v>70435</v>
      </c>
      <c r="VE91" s="1" t="s">
        <v>70436</v>
      </c>
      <c r="VF91" s="1" t="s">
        <v>70437</v>
      </c>
      <c r="VG91" s="1" t="s">
        <v>70438</v>
      </c>
      <c r="VH91" s="1" t="s">
        <v>70439</v>
      </c>
      <c r="VI91" s="1" t="s">
        <v>70440</v>
      </c>
      <c r="VJ91" s="1" t="s">
        <v>70441</v>
      </c>
      <c r="VK91" s="1" t="s">
        <v>70442</v>
      </c>
      <c r="VL91" s="1" t="s">
        <v>70443</v>
      </c>
      <c r="VM91" s="1" t="s">
        <v>70444</v>
      </c>
      <c r="VN91" s="1" t="s">
        <v>70445</v>
      </c>
      <c r="VO91" s="1" t="s">
        <v>70446</v>
      </c>
      <c r="VP91" s="1" t="s">
        <v>70447</v>
      </c>
      <c r="VQ91" s="1" t="s">
        <v>70448</v>
      </c>
      <c r="VR91" s="1" t="s">
        <v>70449</v>
      </c>
      <c r="VS91" s="1" t="s">
        <v>70450</v>
      </c>
      <c r="VT91" s="1" t="s">
        <v>70451</v>
      </c>
      <c r="VU91" s="1" t="s">
        <v>70452</v>
      </c>
      <c r="VV91" s="1" t="s">
        <v>70453</v>
      </c>
      <c r="VW91" s="1" t="s">
        <v>70454</v>
      </c>
      <c r="VX91" s="1" t="s">
        <v>70455</v>
      </c>
      <c r="VY91" s="1" t="s">
        <v>70456</v>
      </c>
      <c r="VZ91" s="1" t="s">
        <v>70457</v>
      </c>
      <c r="WA91" s="1" t="s">
        <v>70458</v>
      </c>
      <c r="WB91" s="1" t="s">
        <v>70459</v>
      </c>
      <c r="WC91" s="1" t="s">
        <v>70460</v>
      </c>
      <c r="WD91" s="1" t="s">
        <v>70461</v>
      </c>
      <c r="WE91" s="1" t="s">
        <v>70462</v>
      </c>
      <c r="WF91" s="1" t="s">
        <v>70463</v>
      </c>
      <c r="WG91" s="1" t="s">
        <v>70464</v>
      </c>
      <c r="WH91" s="1" t="s">
        <v>70465</v>
      </c>
      <c r="WI91" s="1" t="s">
        <v>70466</v>
      </c>
      <c r="WJ91" s="1" t="s">
        <v>70467</v>
      </c>
      <c r="WK91" s="1" t="s">
        <v>70468</v>
      </c>
      <c r="WL91" s="1" t="s">
        <v>70469</v>
      </c>
      <c r="WM91" s="1" t="s">
        <v>70470</v>
      </c>
      <c r="WN91" s="1" t="s">
        <v>70471</v>
      </c>
      <c r="WO91" s="1" t="s">
        <v>70472</v>
      </c>
      <c r="WP91" s="1" t="s">
        <v>70473</v>
      </c>
      <c r="WQ91" s="1" t="s">
        <v>70474</v>
      </c>
      <c r="WR91" s="1" t="s">
        <v>70475</v>
      </c>
      <c r="WS91" s="1" t="s">
        <v>70476</v>
      </c>
      <c r="WT91" s="1" t="s">
        <v>70477</v>
      </c>
      <c r="WU91" s="1" t="s">
        <v>70478</v>
      </c>
      <c r="WV91" s="1" t="s">
        <v>70479</v>
      </c>
      <c r="WW91" s="1" t="s">
        <v>70480</v>
      </c>
      <c r="WX91" s="1" t="s">
        <v>70481</v>
      </c>
      <c r="WY91" s="1" t="s">
        <v>70482</v>
      </c>
      <c r="WZ91" s="1" t="s">
        <v>70483</v>
      </c>
      <c r="XA91" s="1" t="s">
        <v>70484</v>
      </c>
      <c r="XB91" s="1" t="s">
        <v>70485</v>
      </c>
      <c r="XC91" s="1" t="s">
        <v>70486</v>
      </c>
      <c r="XD91" s="1" t="s">
        <v>70487</v>
      </c>
      <c r="XE91" s="1" t="s">
        <v>70488</v>
      </c>
      <c r="XF91" s="1" t="s">
        <v>70489</v>
      </c>
      <c r="XG91" s="1" t="s">
        <v>70490</v>
      </c>
      <c r="XH91" s="1" t="s">
        <v>70491</v>
      </c>
      <c r="XI91" s="1" t="s">
        <v>70492</v>
      </c>
      <c r="XJ91" s="1" t="s">
        <v>70493</v>
      </c>
      <c r="XK91" s="1" t="s">
        <v>70494</v>
      </c>
      <c r="XL91" s="1" t="s">
        <v>70495</v>
      </c>
      <c r="XM91" s="1" t="s">
        <v>70496</v>
      </c>
      <c r="XN91" s="1" t="s">
        <v>70497</v>
      </c>
      <c r="XO91" s="1" t="s">
        <v>70498</v>
      </c>
      <c r="XP91" s="1" t="s">
        <v>70499</v>
      </c>
      <c r="XQ91" s="1" t="s">
        <v>70500</v>
      </c>
      <c r="XR91" s="1" t="s">
        <v>70501</v>
      </c>
      <c r="XS91" s="1" t="s">
        <v>70502</v>
      </c>
      <c r="XT91" s="1" t="s">
        <v>70503</v>
      </c>
      <c r="XU91" s="1" t="s">
        <v>70504</v>
      </c>
      <c r="XV91" s="1" t="s">
        <v>70505</v>
      </c>
      <c r="XW91" s="1" t="s">
        <v>70506</v>
      </c>
      <c r="XX91" s="1" t="s">
        <v>70507</v>
      </c>
      <c r="XY91" s="1" t="s">
        <v>70508</v>
      </c>
      <c r="XZ91" s="1" t="s">
        <v>70509</v>
      </c>
      <c r="YA91" s="1" t="s">
        <v>70510</v>
      </c>
      <c r="YB91" s="1" t="s">
        <v>70511</v>
      </c>
      <c r="YC91" s="1" t="s">
        <v>70512</v>
      </c>
      <c r="YD91" s="1" t="s">
        <v>70513</v>
      </c>
      <c r="YE91" s="1" t="s">
        <v>70514</v>
      </c>
      <c r="YF91" s="1" t="s">
        <v>70515</v>
      </c>
      <c r="YG91" s="1" t="s">
        <v>70516</v>
      </c>
      <c r="YH91" s="1" t="s">
        <v>70517</v>
      </c>
      <c r="YI91" s="1" t="s">
        <v>70518</v>
      </c>
      <c r="YJ91" s="1" t="s">
        <v>70519</v>
      </c>
      <c r="YK91" s="1" t="s">
        <v>70520</v>
      </c>
      <c r="YL91" s="1" t="s">
        <v>70521</v>
      </c>
      <c r="YM91" s="1" t="s">
        <v>70522</v>
      </c>
      <c r="YN91" s="1" t="s">
        <v>70523</v>
      </c>
      <c r="YO91" s="1" t="s">
        <v>70524</v>
      </c>
      <c r="YP91" s="1" t="s">
        <v>70525</v>
      </c>
      <c r="YQ91" s="1" t="s">
        <v>70526</v>
      </c>
      <c r="YR91" s="1" t="s">
        <v>70527</v>
      </c>
      <c r="YS91" s="1" t="s">
        <v>70528</v>
      </c>
      <c r="YT91" s="1" t="s">
        <v>70529</v>
      </c>
      <c r="YU91" s="1" t="s">
        <v>70530</v>
      </c>
      <c r="YV91" s="1" t="s">
        <v>70531</v>
      </c>
      <c r="YW91" s="1" t="s">
        <v>70532</v>
      </c>
      <c r="YX91" s="1" t="s">
        <v>70533</v>
      </c>
      <c r="YY91" s="1" t="s">
        <v>70534</v>
      </c>
      <c r="YZ91" s="1" t="s">
        <v>70535</v>
      </c>
      <c r="ZA91" s="1" t="s">
        <v>70536</v>
      </c>
      <c r="ZB91" s="1" t="s">
        <v>70537</v>
      </c>
      <c r="ZC91" s="1" t="s">
        <v>70538</v>
      </c>
      <c r="ZD91" s="1" t="s">
        <v>70539</v>
      </c>
      <c r="ZE91" s="1" t="s">
        <v>70540</v>
      </c>
      <c r="ZF91" s="1" t="s">
        <v>70541</v>
      </c>
      <c r="ZG91" s="1" t="s">
        <v>70542</v>
      </c>
      <c r="ZH91" s="1" t="s">
        <v>70543</v>
      </c>
      <c r="ZI91" s="1" t="s">
        <v>70544</v>
      </c>
      <c r="ZJ91" s="1" t="s">
        <v>70545</v>
      </c>
      <c r="ZK91" s="1" t="s">
        <v>70546</v>
      </c>
      <c r="ZL91" s="1" t="s">
        <v>70547</v>
      </c>
      <c r="ZM91" s="1" t="s">
        <v>70548</v>
      </c>
      <c r="ZN91" s="1" t="s">
        <v>70549</v>
      </c>
      <c r="ZO91" s="1" t="s">
        <v>70550</v>
      </c>
      <c r="ZP91" s="1" t="s">
        <v>70551</v>
      </c>
      <c r="ZQ91" s="1" t="s">
        <v>70552</v>
      </c>
      <c r="ZR91" s="1" t="s">
        <v>70553</v>
      </c>
      <c r="ZS91" s="1" t="s">
        <v>70554</v>
      </c>
      <c r="ZT91" s="1" t="s">
        <v>70555</v>
      </c>
      <c r="ZU91" s="1" t="s">
        <v>70556</v>
      </c>
      <c r="ZV91" s="1" t="s">
        <v>70557</v>
      </c>
      <c r="ZW91" s="1" t="s">
        <v>70558</v>
      </c>
      <c r="ZX91" s="1" t="s">
        <v>70559</v>
      </c>
      <c r="ZY91" s="1" t="s">
        <v>70560</v>
      </c>
      <c r="ZZ91" s="1" t="s">
        <v>70561</v>
      </c>
      <c r="AAA91" s="1" t="s">
        <v>70562</v>
      </c>
      <c r="AAB91" s="1" t="s">
        <v>70563</v>
      </c>
      <c r="AAC91" s="1" t="s">
        <v>70564</v>
      </c>
      <c r="AAD91" s="1" t="s">
        <v>70565</v>
      </c>
      <c r="AAE91" s="1" t="s">
        <v>70566</v>
      </c>
      <c r="AAF91" s="1" t="s">
        <v>70567</v>
      </c>
      <c r="AAG91" s="1" t="s">
        <v>70568</v>
      </c>
      <c r="AAH91" s="1" t="s">
        <v>70569</v>
      </c>
      <c r="AAI91" s="1" t="s">
        <v>70570</v>
      </c>
      <c r="AAJ91" s="1" t="s">
        <v>70571</v>
      </c>
      <c r="AAK91" s="1" t="s">
        <v>70572</v>
      </c>
      <c r="AAL91" s="1" t="s">
        <v>70573</v>
      </c>
      <c r="AAM91" s="1" t="s">
        <v>70574</v>
      </c>
      <c r="AAN91" s="1" t="s">
        <v>70575</v>
      </c>
      <c r="AAO91" s="1" t="s">
        <v>70576</v>
      </c>
      <c r="AAP91" s="1" t="s">
        <v>70577</v>
      </c>
      <c r="AAQ91" s="1" t="s">
        <v>70578</v>
      </c>
      <c r="AAR91" s="1" t="s">
        <v>70579</v>
      </c>
      <c r="AAS91" s="1" t="s">
        <v>70580</v>
      </c>
      <c r="AAT91" s="1" t="s">
        <v>70581</v>
      </c>
      <c r="AAU91" s="1" t="s">
        <v>70582</v>
      </c>
      <c r="AAV91" s="1" t="s">
        <v>70583</v>
      </c>
      <c r="AAW91" s="1" t="s">
        <v>70584</v>
      </c>
      <c r="AAX91" s="1" t="s">
        <v>70585</v>
      </c>
      <c r="AAY91" s="1" t="s">
        <v>70586</v>
      </c>
      <c r="AAZ91" s="1" t="s">
        <v>70587</v>
      </c>
      <c r="ABA91" s="1" t="s">
        <v>70588</v>
      </c>
      <c r="ABB91" s="1" t="s">
        <v>70589</v>
      </c>
      <c r="ABC91" s="1" t="s">
        <v>70590</v>
      </c>
      <c r="ABD91" s="1" t="s">
        <v>70591</v>
      </c>
      <c r="ABE91" s="1" t="s">
        <v>70592</v>
      </c>
      <c r="ABF91" s="1" t="s">
        <v>70593</v>
      </c>
      <c r="ABG91" s="1" t="s">
        <v>70594</v>
      </c>
      <c r="ABH91" s="1" t="s">
        <v>70595</v>
      </c>
      <c r="ABI91" s="1" t="s">
        <v>70596</v>
      </c>
      <c r="ABJ91" s="1" t="s">
        <v>70597</v>
      </c>
      <c r="ABK91" s="1" t="s">
        <v>70598</v>
      </c>
      <c r="ABL91" s="1" t="s">
        <v>70599</v>
      </c>
      <c r="ABM91" s="1" t="s">
        <v>70600</v>
      </c>
      <c r="ABN91" s="1" t="s">
        <v>70601</v>
      </c>
      <c r="ABO91" s="1" t="s">
        <v>70602</v>
      </c>
      <c r="ABP91" s="1" t="s">
        <v>70603</v>
      </c>
      <c r="ABQ91" s="1" t="s">
        <v>70604</v>
      </c>
      <c r="ABR91" s="1" t="s">
        <v>70605</v>
      </c>
      <c r="ABS91" s="1" t="s">
        <v>70606</v>
      </c>
      <c r="ABT91" s="1" t="s">
        <v>70607</v>
      </c>
      <c r="ABU91" s="1" t="s">
        <v>70608</v>
      </c>
      <c r="ABV91" s="1" t="s">
        <v>70609</v>
      </c>
      <c r="ABW91" s="1" t="s">
        <v>70610</v>
      </c>
      <c r="ABX91" s="1" t="s">
        <v>70611</v>
      </c>
      <c r="ABY91" s="1" t="s">
        <v>70612</v>
      </c>
      <c r="ABZ91" s="1" t="s">
        <v>70613</v>
      </c>
      <c r="ACA91" s="1" t="s">
        <v>70614</v>
      </c>
      <c r="ACB91" s="1" t="s">
        <v>70615</v>
      </c>
      <c r="ACC91" s="1" t="s">
        <v>70616</v>
      </c>
      <c r="ACD91" s="1" t="s">
        <v>70617</v>
      </c>
      <c r="ACE91" s="1" t="s">
        <v>70618</v>
      </c>
      <c r="ACF91" s="1" t="s">
        <v>70619</v>
      </c>
      <c r="ACG91" s="1" t="s">
        <v>70620</v>
      </c>
      <c r="ACH91" s="1" t="s">
        <v>70621</v>
      </c>
      <c r="ACI91" s="1" t="s">
        <v>70622</v>
      </c>
      <c r="ACJ91" s="1" t="s">
        <v>70623</v>
      </c>
      <c r="ACK91" s="1" t="s">
        <v>70624</v>
      </c>
      <c r="ACL91" s="1" t="s">
        <v>70625</v>
      </c>
      <c r="ACM91" s="1" t="s">
        <v>70626</v>
      </c>
      <c r="ACN91" s="1" t="s">
        <v>70627</v>
      </c>
      <c r="ACO91" s="1" t="s">
        <v>70628</v>
      </c>
      <c r="ACP91" s="1" t="s">
        <v>70629</v>
      </c>
      <c r="ACQ91" s="1" t="s">
        <v>70630</v>
      </c>
      <c r="ACR91" s="1" t="s">
        <v>70631</v>
      </c>
      <c r="ACS91" s="1" t="s">
        <v>70632</v>
      </c>
      <c r="ACT91" s="1" t="s">
        <v>70633</v>
      </c>
      <c r="ACU91" s="1" t="s">
        <v>70634</v>
      </c>
      <c r="ACV91" s="1" t="s">
        <v>70635</v>
      </c>
      <c r="ACW91" s="1" t="s">
        <v>12</v>
      </c>
      <c r="ACX91" s="1" t="s">
        <v>1500</v>
      </c>
    </row>
  </sheetData>
  <pageMargins left="0.7" right="0.7" top="0.75" bottom="0.75" header="0.3" footer="0.3"/>
  <tableParts count="1">
    <tablePart r:id="rId1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DAEF97F9-F41B-5B4B-84DB-EBC2289992ED}">
          <xm:f>'cluster_average_return_Cluster'!1:1048576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4420-B80D-0E4F-ADEA-8167B883B70B}">
  <dimension ref="A1:J13"/>
  <sheetViews>
    <sheetView workbookViewId="0">
      <selection activeCell="B14" sqref="B14"/>
    </sheetView>
  </sheetViews>
  <sheetFormatPr baseColWidth="10" defaultRowHeight="16" x14ac:dyDescent="0.2"/>
  <cols>
    <col min="1" max="1" width="27.33203125" customWidth="1"/>
  </cols>
  <sheetData>
    <row r="1" spans="1:10" x14ac:dyDescent="0.2">
      <c r="A1" s="5"/>
      <c r="B1" s="5" t="s">
        <v>70636</v>
      </c>
      <c r="C1" s="5" t="s">
        <v>70637</v>
      </c>
      <c r="D1" s="5" t="s">
        <v>70638</v>
      </c>
      <c r="E1" s="5" t="s">
        <v>70639</v>
      </c>
      <c r="F1" s="5" t="s">
        <v>70640</v>
      </c>
      <c r="G1" s="5" t="s">
        <v>70641</v>
      </c>
      <c r="H1" s="5" t="s">
        <v>70642</v>
      </c>
      <c r="I1" s="5" t="s">
        <v>70643</v>
      </c>
      <c r="J1" s="5" t="s">
        <v>70644</v>
      </c>
    </row>
    <row r="2" spans="1:10" x14ac:dyDescent="0.2">
      <c r="A2" s="3" t="s">
        <v>70636</v>
      </c>
      <c r="B2" s="3">
        <v>1</v>
      </c>
      <c r="C2" s="3"/>
      <c r="D2" s="3"/>
      <c r="E2" s="3"/>
      <c r="F2" s="3"/>
      <c r="G2" s="3"/>
      <c r="H2" s="3"/>
      <c r="I2" s="3"/>
      <c r="J2" s="3"/>
    </row>
    <row r="3" spans="1:10" x14ac:dyDescent="0.2">
      <c r="A3" s="3" t="s">
        <v>70637</v>
      </c>
      <c r="B3" s="3">
        <v>-0.39260859223910843</v>
      </c>
      <c r="C3" s="3">
        <v>1</v>
      </c>
      <c r="D3" s="3"/>
      <c r="E3" s="3"/>
      <c r="F3" s="3"/>
      <c r="G3" s="3"/>
      <c r="H3" s="3"/>
      <c r="I3" s="3"/>
      <c r="J3" s="3"/>
    </row>
    <row r="4" spans="1:10" x14ac:dyDescent="0.2">
      <c r="A4" s="3" t="s">
        <v>70638</v>
      </c>
      <c r="B4" s="3">
        <v>-0.10694157707060493</v>
      </c>
      <c r="C4" s="3">
        <v>-0.19237030519101034</v>
      </c>
      <c r="D4" s="3">
        <v>1</v>
      </c>
      <c r="E4" s="3"/>
      <c r="F4" s="3"/>
      <c r="G4" s="3"/>
      <c r="H4" s="3"/>
      <c r="I4" s="3"/>
      <c r="J4" s="3"/>
    </row>
    <row r="5" spans="1:10" x14ac:dyDescent="0.2">
      <c r="A5" s="3" t="s">
        <v>70639</v>
      </c>
      <c r="B5" s="3">
        <v>0.11727257140622804</v>
      </c>
      <c r="C5" s="3">
        <v>0.10879736351303278</v>
      </c>
      <c r="D5" s="3">
        <v>-0.64833168306551592</v>
      </c>
      <c r="E5" s="3">
        <v>1</v>
      </c>
      <c r="F5" s="3"/>
      <c r="G5" s="3"/>
      <c r="H5" s="3"/>
      <c r="I5" s="3"/>
      <c r="J5" s="3"/>
    </row>
    <row r="6" spans="1:10" x14ac:dyDescent="0.2">
      <c r="A6" s="3" t="s">
        <v>70640</v>
      </c>
      <c r="B6" s="3">
        <v>-0.36086830946924631</v>
      </c>
      <c r="C6" s="3">
        <v>-2.1748112371683956E-4</v>
      </c>
      <c r="D6" s="3">
        <v>5.2501404660160601E-2</v>
      </c>
      <c r="E6" s="3">
        <v>-0.12778832353319219</v>
      </c>
      <c r="F6" s="3">
        <v>1</v>
      </c>
      <c r="G6" s="3"/>
      <c r="H6" s="3"/>
      <c r="I6" s="3"/>
      <c r="J6" s="3"/>
    </row>
    <row r="7" spans="1:10" x14ac:dyDescent="0.2">
      <c r="A7" s="3" t="s">
        <v>70641</v>
      </c>
      <c r="B7" s="3">
        <v>3.626211038628388E-2</v>
      </c>
      <c r="C7" s="3">
        <v>-0.19994253058383324</v>
      </c>
      <c r="D7" s="3">
        <v>-0.24311910858154734</v>
      </c>
      <c r="E7" s="3">
        <v>0.24117900914090684</v>
      </c>
      <c r="F7" s="3">
        <v>-0.46944683670688342</v>
      </c>
      <c r="G7" s="3">
        <v>1</v>
      </c>
      <c r="H7" s="3"/>
      <c r="I7" s="3"/>
      <c r="J7" s="3"/>
    </row>
    <row r="8" spans="1:10" x14ac:dyDescent="0.2">
      <c r="A8" s="3" t="s">
        <v>70642</v>
      </c>
      <c r="B8" s="3">
        <v>-0.24515331163471163</v>
      </c>
      <c r="C8" s="3">
        <v>-0.19486936229437407</v>
      </c>
      <c r="D8" s="3">
        <v>-0.23553279713846775</v>
      </c>
      <c r="E8" s="3">
        <v>0.18992865678798257</v>
      </c>
      <c r="F8" s="3">
        <v>-8.5343781912712607E-2</v>
      </c>
      <c r="G8" s="3">
        <v>-0.29516224667926461</v>
      </c>
      <c r="H8" s="3">
        <v>1</v>
      </c>
      <c r="I8" s="3"/>
      <c r="J8" s="3"/>
    </row>
    <row r="9" spans="1:10" x14ac:dyDescent="0.2">
      <c r="A9" s="3" t="s">
        <v>70643</v>
      </c>
      <c r="B9" s="3">
        <v>0.168480701185273</v>
      </c>
      <c r="C9" s="3">
        <v>-0.22619696459150582</v>
      </c>
      <c r="D9" s="3">
        <v>-2.4600758227339425E-2</v>
      </c>
      <c r="E9" s="3">
        <v>-0.58350357890632498</v>
      </c>
      <c r="F9" s="3">
        <v>-0.11764142663376301</v>
      </c>
      <c r="G9" s="3">
        <v>-2.5729062393765097E-2</v>
      </c>
      <c r="H9" s="3">
        <v>5.8663542783442463E-2</v>
      </c>
      <c r="I9" s="3">
        <v>1</v>
      </c>
      <c r="J9" s="3"/>
    </row>
    <row r="10" spans="1:10" ht="17" thickBot="1" x14ac:dyDescent="0.25">
      <c r="A10" s="4" t="s">
        <v>70644</v>
      </c>
      <c r="B10" s="4">
        <v>6.5986734869913688E-2</v>
      </c>
      <c r="C10" s="4">
        <v>-8.1946992056049286E-2</v>
      </c>
      <c r="D10" s="4">
        <v>-0.32463776841607556</v>
      </c>
      <c r="E10" s="4">
        <v>-2.6822925911873477E-2</v>
      </c>
      <c r="F10" s="4">
        <v>-0.10054163516054511</v>
      </c>
      <c r="G10" s="4">
        <v>0.11352470154717161</v>
      </c>
      <c r="H10" s="4">
        <v>0.2142031773391076</v>
      </c>
      <c r="I10" s="4">
        <v>-4.8999122812987336E-2</v>
      </c>
      <c r="J10" s="4">
        <v>1</v>
      </c>
    </row>
    <row r="11" spans="1:10" x14ac:dyDescent="0.2">
      <c r="B11">
        <f>SUM(B3:B10)</f>
        <v>-0.71756967256597259</v>
      </c>
      <c r="C11">
        <f>SUM(C4:C10)</f>
        <v>-0.78674627232745675</v>
      </c>
      <c r="D11">
        <f>SUM(D5:D10)</f>
        <v>-1.4237207107687853</v>
      </c>
      <c r="E11">
        <f>SUM(E6:E10)</f>
        <v>-0.3070071624225012</v>
      </c>
      <c r="F11">
        <f>SUM(F7:F10)</f>
        <v>-0.77297368041390413</v>
      </c>
      <c r="G11">
        <f>SUM(G8:G10)</f>
        <v>-0.20736660752585812</v>
      </c>
      <c r="H11">
        <f>SUM(H9:H10)</f>
        <v>0.27286672012255009</v>
      </c>
      <c r="I11">
        <f>SUM(I10)</f>
        <v>-4.8999122812987336E-2</v>
      </c>
    </row>
    <row r="13" spans="1:10" x14ac:dyDescent="0.2">
      <c r="B13">
        <f>SUM(B11:I11)/8</f>
        <v>-0.49893956358936442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6ECB-DAFA-C142-92EA-8DD16A3F158E}">
  <dimension ref="A1:ACV22"/>
  <sheetViews>
    <sheetView workbookViewId="0">
      <selection activeCell="A22" sqref="A22:XFD22"/>
    </sheetView>
  </sheetViews>
  <sheetFormatPr baseColWidth="10" defaultRowHeight="16" x14ac:dyDescent="0.2"/>
  <cols>
    <col min="1" max="1" width="20.6640625" customWidth="1"/>
    <col min="2" max="2" width="22.6640625" bestFit="1" customWidth="1"/>
    <col min="3" max="3" width="21.6640625" bestFit="1" customWidth="1"/>
    <col min="4" max="4" width="22.6640625" bestFit="1" customWidth="1"/>
    <col min="5" max="5" width="22" bestFit="1" customWidth="1"/>
    <col min="6" max="6" width="21.6640625" bestFit="1" customWidth="1"/>
    <col min="7" max="8" width="22" bestFit="1" customWidth="1"/>
    <col min="9" max="10" width="22.6640625" bestFit="1" customWidth="1"/>
    <col min="11" max="11" width="23.6640625" bestFit="1" customWidth="1"/>
    <col min="12" max="13" width="21.6640625" bestFit="1" customWidth="1"/>
    <col min="14" max="15" width="22.6640625" bestFit="1" customWidth="1"/>
    <col min="16" max="16" width="22" bestFit="1" customWidth="1"/>
    <col min="17" max="17" width="21.6640625" bestFit="1" customWidth="1"/>
    <col min="18" max="18" width="23" bestFit="1" customWidth="1"/>
    <col min="19" max="19" width="22.6640625" bestFit="1" customWidth="1"/>
    <col min="20" max="20" width="22" bestFit="1" customWidth="1"/>
    <col min="21" max="23" width="22.6640625" bestFit="1" customWidth="1"/>
    <col min="24" max="24" width="22" bestFit="1" customWidth="1"/>
    <col min="25" max="25" width="22.6640625" bestFit="1" customWidth="1"/>
    <col min="26" max="26" width="21.6640625" bestFit="1" customWidth="1"/>
    <col min="27" max="27" width="23" bestFit="1" customWidth="1"/>
    <col min="28" max="28" width="22.6640625" bestFit="1" customWidth="1"/>
    <col min="29" max="30" width="21.6640625" bestFit="1" customWidth="1"/>
    <col min="31" max="31" width="22" bestFit="1" customWidth="1"/>
    <col min="32" max="32" width="23.6640625" bestFit="1" customWidth="1"/>
    <col min="33" max="33" width="22.6640625" bestFit="1" customWidth="1"/>
    <col min="34" max="34" width="22" bestFit="1" customWidth="1"/>
    <col min="35" max="39" width="22.6640625" bestFit="1" customWidth="1"/>
    <col min="40" max="40" width="23.6640625" bestFit="1" customWidth="1"/>
    <col min="41" max="44" width="22.6640625" bestFit="1" customWidth="1"/>
    <col min="45" max="45" width="23.6640625" bestFit="1" customWidth="1"/>
    <col min="46" max="51" width="22.6640625" bestFit="1" customWidth="1"/>
    <col min="52" max="53" width="22" bestFit="1" customWidth="1"/>
    <col min="54" max="54" width="23.6640625" bestFit="1" customWidth="1"/>
    <col min="55" max="55" width="21.6640625" bestFit="1" customWidth="1"/>
    <col min="56" max="58" width="22.6640625" bestFit="1" customWidth="1"/>
    <col min="59" max="59" width="21.6640625" bestFit="1" customWidth="1"/>
    <col min="60" max="60" width="23.6640625" bestFit="1" customWidth="1"/>
    <col min="61" max="61" width="22.6640625" bestFit="1" customWidth="1"/>
    <col min="62" max="62" width="22" bestFit="1" customWidth="1"/>
    <col min="63" max="63" width="22.6640625" bestFit="1" customWidth="1"/>
    <col min="64" max="64" width="22" bestFit="1" customWidth="1"/>
    <col min="65" max="67" width="22.6640625" bestFit="1" customWidth="1"/>
    <col min="68" max="68" width="22" bestFit="1" customWidth="1"/>
    <col min="69" max="70" width="22.6640625" bestFit="1" customWidth="1"/>
    <col min="71" max="71" width="22" bestFit="1" customWidth="1"/>
    <col min="72" max="72" width="23.6640625" bestFit="1" customWidth="1"/>
    <col min="73" max="73" width="22" bestFit="1" customWidth="1"/>
    <col min="74" max="75" width="22.6640625" bestFit="1" customWidth="1"/>
    <col min="76" max="76" width="23.6640625" bestFit="1" customWidth="1"/>
    <col min="77" max="78" width="22.6640625" bestFit="1" customWidth="1"/>
    <col min="79" max="81" width="23" bestFit="1" customWidth="1"/>
    <col min="82" max="86" width="22.6640625" bestFit="1" customWidth="1"/>
    <col min="87" max="88" width="22" bestFit="1" customWidth="1"/>
    <col min="89" max="92" width="22.6640625" bestFit="1" customWidth="1"/>
    <col min="93" max="93" width="21.6640625" bestFit="1" customWidth="1"/>
    <col min="94" max="97" width="22.6640625" bestFit="1" customWidth="1"/>
    <col min="98" max="98" width="22" bestFit="1" customWidth="1"/>
    <col min="99" max="99" width="21.6640625" bestFit="1" customWidth="1"/>
    <col min="100" max="102" width="22.6640625" bestFit="1" customWidth="1"/>
    <col min="103" max="103" width="21.6640625" bestFit="1" customWidth="1"/>
    <col min="104" max="104" width="22" bestFit="1" customWidth="1"/>
    <col min="105" max="106" width="22.6640625" bestFit="1" customWidth="1"/>
    <col min="107" max="107" width="23" bestFit="1" customWidth="1"/>
    <col min="108" max="108" width="22.6640625" bestFit="1" customWidth="1"/>
    <col min="109" max="109" width="22" bestFit="1" customWidth="1"/>
    <col min="110" max="112" width="22.6640625" bestFit="1" customWidth="1"/>
    <col min="113" max="113" width="21.6640625" bestFit="1" customWidth="1"/>
    <col min="114" max="115" width="22" bestFit="1" customWidth="1"/>
    <col min="116" max="121" width="22.6640625" bestFit="1" customWidth="1"/>
    <col min="122" max="122" width="23.6640625" bestFit="1" customWidth="1"/>
    <col min="123" max="124" width="22.6640625" bestFit="1" customWidth="1"/>
    <col min="125" max="125" width="23" bestFit="1" customWidth="1"/>
    <col min="126" max="128" width="22.6640625" bestFit="1" customWidth="1"/>
    <col min="129" max="129" width="22" bestFit="1" customWidth="1"/>
    <col min="130" max="130" width="23.33203125" bestFit="1" customWidth="1"/>
    <col min="131" max="131" width="22" bestFit="1" customWidth="1"/>
    <col min="132" max="132" width="22.6640625" bestFit="1" customWidth="1"/>
    <col min="133" max="133" width="21.6640625" bestFit="1" customWidth="1"/>
    <col min="134" max="134" width="22" bestFit="1" customWidth="1"/>
    <col min="135" max="135" width="22.6640625" bestFit="1" customWidth="1"/>
    <col min="136" max="136" width="22" bestFit="1" customWidth="1"/>
    <col min="137" max="137" width="22.6640625" bestFit="1" customWidth="1"/>
    <col min="138" max="138" width="21.6640625" bestFit="1" customWidth="1"/>
    <col min="139" max="140" width="22.6640625" bestFit="1" customWidth="1"/>
    <col min="141" max="141" width="23.6640625" bestFit="1" customWidth="1"/>
    <col min="142" max="142" width="23" bestFit="1" customWidth="1"/>
    <col min="143" max="147" width="22.6640625" bestFit="1" customWidth="1"/>
    <col min="148" max="148" width="22" bestFit="1" customWidth="1"/>
    <col min="149" max="153" width="22.6640625" bestFit="1" customWidth="1"/>
    <col min="154" max="154" width="21.6640625" bestFit="1" customWidth="1"/>
    <col min="155" max="156" width="22" bestFit="1" customWidth="1"/>
    <col min="157" max="159" width="22.6640625" bestFit="1" customWidth="1"/>
    <col min="160" max="160" width="23.6640625" bestFit="1" customWidth="1"/>
    <col min="161" max="162" width="22.6640625" bestFit="1" customWidth="1"/>
    <col min="163" max="163" width="23.6640625" bestFit="1" customWidth="1"/>
    <col min="164" max="164" width="23" bestFit="1" customWidth="1"/>
    <col min="165" max="165" width="21.6640625" bestFit="1" customWidth="1"/>
    <col min="166" max="166" width="22.6640625" bestFit="1" customWidth="1"/>
    <col min="167" max="167" width="22" bestFit="1" customWidth="1"/>
    <col min="168" max="168" width="22.6640625" bestFit="1" customWidth="1"/>
    <col min="169" max="169" width="23.6640625" bestFit="1" customWidth="1"/>
    <col min="170" max="176" width="22.6640625" bestFit="1" customWidth="1"/>
    <col min="177" max="177" width="22" bestFit="1" customWidth="1"/>
    <col min="178" max="178" width="22.6640625" bestFit="1" customWidth="1"/>
    <col min="179" max="179" width="23.6640625" bestFit="1" customWidth="1"/>
    <col min="180" max="180" width="22.6640625" bestFit="1" customWidth="1"/>
    <col min="181" max="181" width="23.33203125" bestFit="1" customWidth="1"/>
    <col min="182" max="184" width="22.6640625" bestFit="1" customWidth="1"/>
    <col min="185" max="186" width="22" bestFit="1" customWidth="1"/>
    <col min="187" max="190" width="22.6640625" bestFit="1" customWidth="1"/>
    <col min="191" max="191" width="21.6640625" bestFit="1" customWidth="1"/>
    <col min="192" max="192" width="22.6640625" bestFit="1" customWidth="1"/>
    <col min="193" max="193" width="21.6640625" bestFit="1" customWidth="1"/>
    <col min="194" max="195" width="22.6640625" bestFit="1" customWidth="1"/>
    <col min="196" max="196" width="22" bestFit="1" customWidth="1"/>
    <col min="197" max="197" width="21.6640625" bestFit="1" customWidth="1"/>
    <col min="198" max="198" width="22" bestFit="1" customWidth="1"/>
    <col min="199" max="199" width="22.6640625" bestFit="1" customWidth="1"/>
    <col min="200" max="200" width="23" bestFit="1" customWidth="1"/>
    <col min="201" max="201" width="21.6640625" bestFit="1" customWidth="1"/>
    <col min="202" max="202" width="23.6640625" bestFit="1" customWidth="1"/>
    <col min="203" max="204" width="22.6640625" bestFit="1" customWidth="1"/>
    <col min="205" max="205" width="23.6640625" bestFit="1" customWidth="1"/>
    <col min="206" max="207" width="22.6640625" bestFit="1" customWidth="1"/>
    <col min="208" max="209" width="22" bestFit="1" customWidth="1"/>
    <col min="210" max="214" width="22.6640625" bestFit="1" customWidth="1"/>
    <col min="215" max="215" width="23" bestFit="1" customWidth="1"/>
    <col min="216" max="216" width="22" bestFit="1" customWidth="1"/>
    <col min="217" max="217" width="22.6640625" bestFit="1" customWidth="1"/>
    <col min="218" max="218" width="23" bestFit="1" customWidth="1"/>
    <col min="219" max="219" width="21.6640625" bestFit="1" customWidth="1"/>
    <col min="220" max="222" width="22.6640625" bestFit="1" customWidth="1"/>
    <col min="223" max="223" width="23.6640625" bestFit="1" customWidth="1"/>
    <col min="224" max="224" width="22" bestFit="1" customWidth="1"/>
    <col min="225" max="226" width="22.6640625" bestFit="1" customWidth="1"/>
    <col min="227" max="227" width="22" bestFit="1" customWidth="1"/>
    <col min="228" max="228" width="22.6640625" bestFit="1" customWidth="1"/>
    <col min="229" max="229" width="21.6640625" bestFit="1" customWidth="1"/>
    <col min="230" max="231" width="22" bestFit="1" customWidth="1"/>
    <col min="232" max="232" width="23" bestFit="1" customWidth="1"/>
    <col min="233" max="234" width="21.6640625" bestFit="1" customWidth="1"/>
    <col min="235" max="235" width="22" bestFit="1" customWidth="1"/>
    <col min="236" max="236" width="21.6640625" bestFit="1" customWidth="1"/>
    <col min="237" max="239" width="22.6640625" bestFit="1" customWidth="1"/>
    <col min="240" max="240" width="22" bestFit="1" customWidth="1"/>
    <col min="241" max="241" width="21.6640625" bestFit="1" customWidth="1"/>
    <col min="242" max="242" width="23" bestFit="1" customWidth="1"/>
    <col min="243" max="243" width="22" bestFit="1" customWidth="1"/>
    <col min="244" max="244" width="22.6640625" bestFit="1" customWidth="1"/>
    <col min="245" max="245" width="22" bestFit="1" customWidth="1"/>
    <col min="246" max="246" width="22.6640625" bestFit="1" customWidth="1"/>
    <col min="247" max="247" width="21.6640625" bestFit="1" customWidth="1"/>
    <col min="248" max="248" width="22.6640625" bestFit="1" customWidth="1"/>
    <col min="249" max="249" width="21.6640625" bestFit="1" customWidth="1"/>
    <col min="250" max="251" width="22.6640625" bestFit="1" customWidth="1"/>
    <col min="252" max="252" width="21.6640625" bestFit="1" customWidth="1"/>
    <col min="253" max="253" width="22" bestFit="1" customWidth="1"/>
    <col min="254" max="255" width="21.6640625" bestFit="1" customWidth="1"/>
    <col min="256" max="256" width="22" bestFit="1" customWidth="1"/>
    <col min="257" max="257" width="23.6640625" bestFit="1" customWidth="1"/>
    <col min="258" max="259" width="22.6640625" bestFit="1" customWidth="1"/>
    <col min="260" max="262" width="21.6640625" bestFit="1" customWidth="1"/>
    <col min="263" max="264" width="22.6640625" bestFit="1" customWidth="1"/>
    <col min="265" max="265" width="21.6640625" bestFit="1" customWidth="1"/>
    <col min="266" max="267" width="22.6640625" bestFit="1" customWidth="1"/>
    <col min="268" max="269" width="21.6640625" bestFit="1" customWidth="1"/>
    <col min="270" max="270" width="22.6640625" bestFit="1" customWidth="1"/>
    <col min="271" max="271" width="22" bestFit="1" customWidth="1"/>
    <col min="272" max="273" width="21.6640625" bestFit="1" customWidth="1"/>
    <col min="274" max="275" width="22.6640625" bestFit="1" customWidth="1"/>
    <col min="276" max="276" width="23.6640625" bestFit="1" customWidth="1"/>
    <col min="277" max="277" width="21.6640625" bestFit="1" customWidth="1"/>
    <col min="278" max="278" width="22.6640625" bestFit="1" customWidth="1"/>
    <col min="279" max="279" width="21.6640625" bestFit="1" customWidth="1"/>
    <col min="280" max="280" width="22.6640625" bestFit="1" customWidth="1"/>
    <col min="281" max="281" width="21.6640625" bestFit="1" customWidth="1"/>
    <col min="282" max="282" width="22.6640625" bestFit="1" customWidth="1"/>
    <col min="283" max="283" width="21.6640625" bestFit="1" customWidth="1"/>
    <col min="284" max="285" width="22.6640625" bestFit="1" customWidth="1"/>
    <col min="286" max="286" width="22" bestFit="1" customWidth="1"/>
    <col min="287" max="287" width="21.6640625" bestFit="1" customWidth="1"/>
    <col min="288" max="288" width="22" bestFit="1" customWidth="1"/>
    <col min="289" max="289" width="21.6640625" bestFit="1" customWidth="1"/>
    <col min="290" max="290" width="22" bestFit="1" customWidth="1"/>
    <col min="291" max="291" width="21.6640625" bestFit="1" customWidth="1"/>
    <col min="292" max="293" width="22.6640625" bestFit="1" customWidth="1"/>
    <col min="294" max="297" width="22" bestFit="1" customWidth="1"/>
    <col min="298" max="298" width="22.6640625" bestFit="1" customWidth="1"/>
    <col min="299" max="299" width="21.6640625" bestFit="1" customWidth="1"/>
    <col min="300" max="300" width="22.6640625" bestFit="1" customWidth="1"/>
    <col min="301" max="303" width="22" bestFit="1" customWidth="1"/>
    <col min="304" max="304" width="21.6640625" bestFit="1" customWidth="1"/>
    <col min="305" max="305" width="22.6640625" bestFit="1" customWidth="1"/>
    <col min="306" max="306" width="22" bestFit="1" customWidth="1"/>
    <col min="307" max="307" width="23.6640625" bestFit="1" customWidth="1"/>
    <col min="308" max="310" width="21.6640625" bestFit="1" customWidth="1"/>
    <col min="311" max="311" width="22.6640625" bestFit="1" customWidth="1"/>
    <col min="312" max="312" width="22" bestFit="1" customWidth="1"/>
    <col min="313" max="314" width="22.6640625" bestFit="1" customWidth="1"/>
    <col min="315" max="315" width="21.6640625" bestFit="1" customWidth="1"/>
    <col min="316" max="316" width="22" bestFit="1" customWidth="1"/>
    <col min="317" max="317" width="22.6640625" bestFit="1" customWidth="1"/>
    <col min="318" max="321" width="22" bestFit="1" customWidth="1"/>
    <col min="322" max="323" width="22.6640625" bestFit="1" customWidth="1"/>
    <col min="324" max="324" width="21.6640625" bestFit="1" customWidth="1"/>
    <col min="325" max="325" width="22.6640625" bestFit="1" customWidth="1"/>
    <col min="326" max="326" width="23" bestFit="1" customWidth="1"/>
    <col min="327" max="329" width="22" bestFit="1" customWidth="1"/>
    <col min="330" max="330" width="21.6640625" bestFit="1" customWidth="1"/>
    <col min="331" max="331" width="22.6640625" bestFit="1" customWidth="1"/>
    <col min="332" max="332" width="21.6640625" bestFit="1" customWidth="1"/>
    <col min="333" max="333" width="22.6640625" bestFit="1" customWidth="1"/>
    <col min="334" max="334" width="21.6640625" bestFit="1" customWidth="1"/>
    <col min="335" max="335" width="22.6640625" bestFit="1" customWidth="1"/>
    <col min="336" max="336" width="21.6640625" bestFit="1" customWidth="1"/>
    <col min="337" max="337" width="22" bestFit="1" customWidth="1"/>
    <col min="338" max="338" width="22.6640625" bestFit="1" customWidth="1"/>
    <col min="339" max="339" width="20.83203125" bestFit="1" customWidth="1"/>
    <col min="340" max="340" width="22" bestFit="1" customWidth="1"/>
    <col min="341" max="341" width="21.6640625" bestFit="1" customWidth="1"/>
    <col min="342" max="342" width="22.6640625" bestFit="1" customWidth="1"/>
    <col min="343" max="343" width="22" bestFit="1" customWidth="1"/>
    <col min="344" max="344" width="21.6640625" bestFit="1" customWidth="1"/>
    <col min="345" max="347" width="22.6640625" bestFit="1" customWidth="1"/>
    <col min="348" max="348" width="23" bestFit="1" customWidth="1"/>
    <col min="349" max="349" width="22" bestFit="1" customWidth="1"/>
    <col min="350" max="350" width="21.6640625" bestFit="1" customWidth="1"/>
    <col min="351" max="351" width="22.6640625" bestFit="1" customWidth="1"/>
    <col min="352" max="352" width="22" bestFit="1" customWidth="1"/>
    <col min="353" max="353" width="22.6640625" bestFit="1" customWidth="1"/>
    <col min="354" max="354" width="22" bestFit="1" customWidth="1"/>
    <col min="355" max="357" width="21.6640625" bestFit="1" customWidth="1"/>
    <col min="358" max="358" width="22" bestFit="1" customWidth="1"/>
    <col min="359" max="360" width="22.6640625" bestFit="1" customWidth="1"/>
    <col min="361" max="362" width="21.6640625" bestFit="1" customWidth="1"/>
    <col min="363" max="363" width="22.6640625" bestFit="1" customWidth="1"/>
    <col min="364" max="364" width="22.33203125" bestFit="1" customWidth="1"/>
    <col min="365" max="365" width="22.6640625" bestFit="1" customWidth="1"/>
    <col min="366" max="366" width="21.6640625" bestFit="1" customWidth="1"/>
    <col min="367" max="369" width="22.6640625" bestFit="1" customWidth="1"/>
    <col min="370" max="370" width="22" bestFit="1" customWidth="1"/>
    <col min="371" max="371" width="21.6640625" bestFit="1" customWidth="1"/>
    <col min="372" max="372" width="22.6640625" bestFit="1" customWidth="1"/>
    <col min="373" max="374" width="21.6640625" bestFit="1" customWidth="1"/>
    <col min="375" max="377" width="22.6640625" bestFit="1" customWidth="1"/>
    <col min="378" max="378" width="23.6640625" bestFit="1" customWidth="1"/>
    <col min="379" max="379" width="21.6640625" bestFit="1" customWidth="1"/>
    <col min="380" max="380" width="22.6640625" bestFit="1" customWidth="1"/>
    <col min="381" max="381" width="21.6640625" bestFit="1" customWidth="1"/>
    <col min="382" max="382" width="22" bestFit="1" customWidth="1"/>
    <col min="383" max="383" width="22.6640625" bestFit="1" customWidth="1"/>
    <col min="384" max="384" width="22" bestFit="1" customWidth="1"/>
    <col min="385" max="385" width="21.6640625" bestFit="1" customWidth="1"/>
    <col min="386" max="386" width="22" bestFit="1" customWidth="1"/>
    <col min="387" max="387" width="22.6640625" bestFit="1" customWidth="1"/>
    <col min="388" max="388" width="21.6640625" bestFit="1" customWidth="1"/>
    <col min="389" max="389" width="22.6640625" bestFit="1" customWidth="1"/>
    <col min="390" max="390" width="22" bestFit="1" customWidth="1"/>
    <col min="391" max="395" width="21.6640625" bestFit="1" customWidth="1"/>
    <col min="396" max="396" width="22" bestFit="1" customWidth="1"/>
    <col min="397" max="397" width="23" bestFit="1" customWidth="1"/>
    <col min="398" max="398" width="22.6640625" bestFit="1" customWidth="1"/>
    <col min="399" max="399" width="21.6640625" bestFit="1" customWidth="1"/>
    <col min="400" max="400" width="22" bestFit="1" customWidth="1"/>
    <col min="401" max="401" width="23" bestFit="1" customWidth="1"/>
    <col min="402" max="403" width="22.6640625" bestFit="1" customWidth="1"/>
    <col min="404" max="404" width="21.6640625" bestFit="1" customWidth="1"/>
    <col min="405" max="405" width="22" bestFit="1" customWidth="1"/>
    <col min="406" max="406" width="23.6640625" bestFit="1" customWidth="1"/>
    <col min="407" max="407" width="22" bestFit="1" customWidth="1"/>
    <col min="408" max="408" width="22.6640625" bestFit="1" customWidth="1"/>
    <col min="409" max="409" width="22" bestFit="1" customWidth="1"/>
    <col min="410" max="410" width="23.6640625" bestFit="1" customWidth="1"/>
    <col min="411" max="411" width="21.6640625" bestFit="1" customWidth="1"/>
    <col min="412" max="412" width="22.6640625" bestFit="1" customWidth="1"/>
    <col min="413" max="413" width="21.6640625" bestFit="1" customWidth="1"/>
    <col min="414" max="415" width="22.6640625" bestFit="1" customWidth="1"/>
    <col min="416" max="416" width="23.6640625" bestFit="1" customWidth="1"/>
    <col min="417" max="417" width="22.6640625" bestFit="1" customWidth="1"/>
    <col min="418" max="418" width="21.6640625" bestFit="1" customWidth="1"/>
    <col min="419" max="419" width="22" bestFit="1" customWidth="1"/>
    <col min="420" max="420" width="22.6640625" bestFit="1" customWidth="1"/>
    <col min="421" max="422" width="23" bestFit="1" customWidth="1"/>
    <col min="423" max="423" width="22.6640625" bestFit="1" customWidth="1"/>
    <col min="424" max="424" width="22" bestFit="1" customWidth="1"/>
    <col min="425" max="426" width="22.6640625" bestFit="1" customWidth="1"/>
    <col min="427" max="427" width="21.6640625" bestFit="1" customWidth="1"/>
    <col min="428" max="428" width="22.6640625" bestFit="1" customWidth="1"/>
    <col min="429" max="430" width="21.6640625" bestFit="1" customWidth="1"/>
    <col min="431" max="432" width="22.6640625" bestFit="1" customWidth="1"/>
    <col min="433" max="433" width="21.6640625" bestFit="1" customWidth="1"/>
    <col min="434" max="435" width="22.6640625" bestFit="1" customWidth="1"/>
    <col min="436" max="437" width="21.6640625" bestFit="1" customWidth="1"/>
    <col min="438" max="440" width="22.6640625" bestFit="1" customWidth="1"/>
    <col min="441" max="441" width="23" bestFit="1" customWidth="1"/>
    <col min="442" max="442" width="23.6640625" bestFit="1" customWidth="1"/>
    <col min="443" max="446" width="22" bestFit="1" customWidth="1"/>
    <col min="447" max="447" width="23" bestFit="1" customWidth="1"/>
    <col min="448" max="448" width="21.6640625" bestFit="1" customWidth="1"/>
    <col min="449" max="451" width="22.6640625" bestFit="1" customWidth="1"/>
    <col min="452" max="452" width="21.6640625" bestFit="1" customWidth="1"/>
    <col min="453" max="453" width="22.6640625" bestFit="1" customWidth="1"/>
    <col min="454" max="454" width="21.6640625" bestFit="1" customWidth="1"/>
    <col min="455" max="455" width="23" bestFit="1" customWidth="1"/>
    <col min="456" max="456" width="22.6640625" bestFit="1" customWidth="1"/>
    <col min="457" max="459" width="22" bestFit="1" customWidth="1"/>
    <col min="460" max="462" width="22.6640625" bestFit="1" customWidth="1"/>
    <col min="463" max="463" width="21.6640625" bestFit="1" customWidth="1"/>
    <col min="464" max="464" width="22.6640625" bestFit="1" customWidth="1"/>
    <col min="465" max="467" width="21.6640625" bestFit="1" customWidth="1"/>
    <col min="468" max="469" width="22.6640625" bestFit="1" customWidth="1"/>
    <col min="470" max="470" width="23.6640625" bestFit="1" customWidth="1"/>
    <col min="471" max="471" width="23" bestFit="1" customWidth="1"/>
    <col min="472" max="472" width="21.6640625" bestFit="1" customWidth="1"/>
    <col min="473" max="476" width="22" bestFit="1" customWidth="1"/>
    <col min="477" max="477" width="21.6640625" bestFit="1" customWidth="1"/>
    <col min="478" max="479" width="22.6640625" bestFit="1" customWidth="1"/>
    <col min="480" max="480" width="22" bestFit="1" customWidth="1"/>
    <col min="481" max="481" width="21.6640625" bestFit="1" customWidth="1"/>
    <col min="482" max="482" width="22" bestFit="1" customWidth="1"/>
    <col min="483" max="483" width="23" bestFit="1" customWidth="1"/>
    <col min="484" max="484" width="23.6640625" bestFit="1" customWidth="1"/>
    <col min="485" max="486" width="22.6640625" bestFit="1" customWidth="1"/>
    <col min="487" max="488" width="21.6640625" bestFit="1" customWidth="1"/>
    <col min="489" max="489" width="22.6640625" bestFit="1" customWidth="1"/>
    <col min="490" max="490" width="22" bestFit="1" customWidth="1"/>
    <col min="491" max="491" width="21.6640625" bestFit="1" customWidth="1"/>
    <col min="492" max="492" width="22.6640625" bestFit="1" customWidth="1"/>
    <col min="493" max="493" width="23.6640625" bestFit="1" customWidth="1"/>
    <col min="494" max="496" width="22.6640625" bestFit="1" customWidth="1"/>
    <col min="497" max="497" width="23.6640625" bestFit="1" customWidth="1"/>
    <col min="498" max="499" width="22.6640625" bestFit="1" customWidth="1"/>
    <col min="500" max="501" width="21.6640625" bestFit="1" customWidth="1"/>
    <col min="502" max="502" width="23.6640625" bestFit="1" customWidth="1"/>
    <col min="503" max="503" width="21.6640625" bestFit="1" customWidth="1"/>
    <col min="504" max="504" width="20.83203125" bestFit="1" customWidth="1"/>
    <col min="505" max="506" width="21.6640625" bestFit="1" customWidth="1"/>
    <col min="507" max="507" width="20.83203125" bestFit="1" customWidth="1"/>
    <col min="508" max="508" width="21.6640625" bestFit="1" customWidth="1"/>
    <col min="509" max="509" width="22" bestFit="1" customWidth="1"/>
    <col min="510" max="511" width="21.6640625" bestFit="1" customWidth="1"/>
    <col min="512" max="512" width="22" bestFit="1" customWidth="1"/>
    <col min="513" max="513" width="22.6640625" bestFit="1" customWidth="1"/>
    <col min="514" max="519" width="21.6640625" bestFit="1" customWidth="1"/>
    <col min="520" max="520" width="22.6640625" bestFit="1" customWidth="1"/>
    <col min="521" max="523" width="22" bestFit="1" customWidth="1"/>
    <col min="524" max="524" width="21.6640625" bestFit="1" customWidth="1"/>
    <col min="525" max="525" width="22" bestFit="1" customWidth="1"/>
    <col min="526" max="528" width="22.6640625" bestFit="1" customWidth="1"/>
    <col min="529" max="529" width="22" bestFit="1" customWidth="1"/>
    <col min="530" max="530" width="21.6640625" bestFit="1" customWidth="1"/>
    <col min="531" max="534" width="22.6640625" bestFit="1" customWidth="1"/>
    <col min="535" max="535" width="22" bestFit="1" customWidth="1"/>
    <col min="536" max="536" width="21.6640625" bestFit="1" customWidth="1"/>
    <col min="537" max="537" width="22.6640625" bestFit="1" customWidth="1"/>
    <col min="538" max="539" width="22" bestFit="1" customWidth="1"/>
    <col min="540" max="540" width="21.6640625" bestFit="1" customWidth="1"/>
    <col min="541" max="541" width="22.6640625" bestFit="1" customWidth="1"/>
    <col min="542" max="542" width="22" bestFit="1" customWidth="1"/>
    <col min="543" max="543" width="22.6640625" bestFit="1" customWidth="1"/>
    <col min="544" max="546" width="22" bestFit="1" customWidth="1"/>
    <col min="547" max="548" width="22.6640625" bestFit="1" customWidth="1"/>
    <col min="549" max="549" width="21.6640625" bestFit="1" customWidth="1"/>
    <col min="550" max="550" width="22.6640625" bestFit="1" customWidth="1"/>
    <col min="551" max="551" width="21.6640625" bestFit="1" customWidth="1"/>
    <col min="552" max="552" width="22.6640625" bestFit="1" customWidth="1"/>
    <col min="553" max="553" width="21.6640625" bestFit="1" customWidth="1"/>
    <col min="554" max="554" width="23.6640625" bestFit="1" customWidth="1"/>
    <col min="555" max="558" width="22" bestFit="1" customWidth="1"/>
    <col min="559" max="559" width="22.6640625" bestFit="1" customWidth="1"/>
    <col min="560" max="560" width="22" bestFit="1" customWidth="1"/>
    <col min="561" max="561" width="21.6640625" bestFit="1" customWidth="1"/>
    <col min="562" max="562" width="22" bestFit="1" customWidth="1"/>
    <col min="563" max="563" width="22.6640625" bestFit="1" customWidth="1"/>
    <col min="564" max="564" width="21.6640625" bestFit="1" customWidth="1"/>
    <col min="565" max="565" width="22.6640625" bestFit="1" customWidth="1"/>
    <col min="566" max="566" width="22" bestFit="1" customWidth="1"/>
    <col min="567" max="568" width="22.6640625" bestFit="1" customWidth="1"/>
    <col min="569" max="569" width="22" bestFit="1" customWidth="1"/>
    <col min="570" max="570" width="22.6640625" bestFit="1" customWidth="1"/>
    <col min="571" max="571" width="21.6640625" bestFit="1" customWidth="1"/>
    <col min="572" max="572" width="22.6640625" bestFit="1" customWidth="1"/>
    <col min="573" max="573" width="22" bestFit="1" customWidth="1"/>
    <col min="574" max="574" width="22.6640625" bestFit="1" customWidth="1"/>
    <col min="575" max="575" width="23.6640625" bestFit="1" customWidth="1"/>
    <col min="576" max="577" width="22" bestFit="1" customWidth="1"/>
    <col min="578" max="578" width="21.6640625" bestFit="1" customWidth="1"/>
    <col min="579" max="581" width="22.6640625" bestFit="1" customWidth="1"/>
    <col min="582" max="583" width="22" bestFit="1" customWidth="1"/>
    <col min="584" max="584" width="22.6640625" bestFit="1" customWidth="1"/>
    <col min="585" max="585" width="21.6640625" bestFit="1" customWidth="1"/>
    <col min="586" max="586" width="22" bestFit="1" customWidth="1"/>
    <col min="587" max="589" width="22.6640625" bestFit="1" customWidth="1"/>
    <col min="590" max="590" width="23.6640625" bestFit="1" customWidth="1"/>
    <col min="591" max="591" width="22.6640625" bestFit="1" customWidth="1"/>
    <col min="592" max="592" width="21.6640625" bestFit="1" customWidth="1"/>
    <col min="593" max="593" width="23.6640625" bestFit="1" customWidth="1"/>
    <col min="594" max="595" width="22.6640625" bestFit="1" customWidth="1"/>
    <col min="596" max="596" width="22" bestFit="1" customWidth="1"/>
    <col min="597" max="598" width="22.6640625" bestFit="1" customWidth="1"/>
    <col min="599" max="599" width="23" bestFit="1" customWidth="1"/>
    <col min="600" max="600" width="22" bestFit="1" customWidth="1"/>
    <col min="601" max="603" width="22.6640625" bestFit="1" customWidth="1"/>
    <col min="604" max="604" width="21.6640625" bestFit="1" customWidth="1"/>
    <col min="605" max="605" width="22" bestFit="1" customWidth="1"/>
    <col min="606" max="607" width="21.6640625" bestFit="1" customWidth="1"/>
    <col min="608" max="610" width="22.6640625" bestFit="1" customWidth="1"/>
    <col min="611" max="611" width="22" bestFit="1" customWidth="1"/>
    <col min="612" max="612" width="22.6640625" bestFit="1" customWidth="1"/>
    <col min="613" max="613" width="22" bestFit="1" customWidth="1"/>
    <col min="614" max="614" width="22.6640625" bestFit="1" customWidth="1"/>
    <col min="615" max="615" width="23" bestFit="1" customWidth="1"/>
    <col min="616" max="616" width="21.6640625" bestFit="1" customWidth="1"/>
    <col min="617" max="617" width="22.6640625" bestFit="1" customWidth="1"/>
    <col min="618" max="618" width="22" bestFit="1" customWidth="1"/>
    <col min="619" max="620" width="22.6640625" bestFit="1" customWidth="1"/>
    <col min="621" max="621" width="21.6640625" bestFit="1" customWidth="1"/>
    <col min="622" max="622" width="23.6640625" bestFit="1" customWidth="1"/>
    <col min="623" max="623" width="22" bestFit="1" customWidth="1"/>
    <col min="624" max="624" width="21.6640625" bestFit="1" customWidth="1"/>
    <col min="625" max="625" width="22.6640625" bestFit="1" customWidth="1"/>
    <col min="626" max="626" width="21.6640625" bestFit="1" customWidth="1"/>
    <col min="627" max="627" width="22.6640625" bestFit="1" customWidth="1"/>
    <col min="628" max="628" width="21.6640625" bestFit="1" customWidth="1"/>
    <col min="629" max="629" width="22.6640625" bestFit="1" customWidth="1"/>
    <col min="630" max="631" width="22" bestFit="1" customWidth="1"/>
    <col min="632" max="632" width="21.6640625" bestFit="1" customWidth="1"/>
    <col min="633" max="633" width="22" bestFit="1" customWidth="1"/>
    <col min="634" max="634" width="21.6640625" bestFit="1" customWidth="1"/>
    <col min="635" max="635" width="22" bestFit="1" customWidth="1"/>
    <col min="636" max="636" width="21.6640625" bestFit="1" customWidth="1"/>
    <col min="637" max="637" width="22.6640625" bestFit="1" customWidth="1"/>
    <col min="638" max="640" width="22" bestFit="1" customWidth="1"/>
    <col min="641" max="641" width="23" bestFit="1" customWidth="1"/>
    <col min="642" max="642" width="21.6640625" bestFit="1" customWidth="1"/>
    <col min="643" max="643" width="23.6640625" bestFit="1" customWidth="1"/>
    <col min="644" max="644" width="22.6640625" bestFit="1" customWidth="1"/>
    <col min="645" max="645" width="21.6640625" bestFit="1" customWidth="1"/>
    <col min="646" max="646" width="22" bestFit="1" customWidth="1"/>
    <col min="647" max="647" width="22.6640625" bestFit="1" customWidth="1"/>
    <col min="648" max="648" width="22" bestFit="1" customWidth="1"/>
    <col min="649" max="649" width="21.6640625" bestFit="1" customWidth="1"/>
    <col min="650" max="650" width="22" bestFit="1" customWidth="1"/>
    <col min="651" max="651" width="22.6640625" bestFit="1" customWidth="1"/>
    <col min="652" max="654" width="21.6640625" bestFit="1" customWidth="1"/>
    <col min="655" max="656" width="22.6640625" bestFit="1" customWidth="1"/>
    <col min="657" max="657" width="23.6640625" bestFit="1" customWidth="1"/>
    <col min="658" max="658" width="21.6640625" bestFit="1" customWidth="1"/>
    <col min="659" max="659" width="22" bestFit="1" customWidth="1"/>
    <col min="660" max="661" width="21.6640625" bestFit="1" customWidth="1"/>
    <col min="662" max="665" width="22" bestFit="1" customWidth="1"/>
    <col min="666" max="666" width="22.6640625" bestFit="1" customWidth="1"/>
    <col min="667" max="668" width="22" bestFit="1" customWidth="1"/>
    <col min="669" max="669" width="21.6640625" bestFit="1" customWidth="1"/>
    <col min="670" max="670" width="22.6640625" bestFit="1" customWidth="1"/>
    <col min="671" max="671" width="22" bestFit="1" customWidth="1"/>
    <col min="672" max="672" width="22.6640625" bestFit="1" customWidth="1"/>
    <col min="673" max="673" width="22" bestFit="1" customWidth="1"/>
    <col min="674" max="674" width="21.6640625" bestFit="1" customWidth="1"/>
    <col min="675" max="675" width="22" bestFit="1" customWidth="1"/>
    <col min="676" max="676" width="23.6640625" bestFit="1" customWidth="1"/>
    <col min="677" max="677" width="23" bestFit="1" customWidth="1"/>
    <col min="678" max="678" width="21.6640625" bestFit="1" customWidth="1"/>
    <col min="679" max="681" width="22.6640625" bestFit="1" customWidth="1"/>
    <col min="682" max="682" width="22" bestFit="1" customWidth="1"/>
    <col min="683" max="684" width="22.6640625" bestFit="1" customWidth="1"/>
    <col min="685" max="686" width="22" bestFit="1" customWidth="1"/>
    <col min="687" max="689" width="22.6640625" bestFit="1" customWidth="1"/>
    <col min="690" max="691" width="22" bestFit="1" customWidth="1"/>
    <col min="692" max="693" width="22.6640625" bestFit="1" customWidth="1"/>
    <col min="694" max="694" width="22" bestFit="1" customWidth="1"/>
    <col min="695" max="697" width="22.6640625" bestFit="1" customWidth="1"/>
    <col min="698" max="698" width="21.6640625" bestFit="1" customWidth="1"/>
    <col min="699" max="699" width="22.6640625" bestFit="1" customWidth="1"/>
    <col min="700" max="700" width="21.6640625" bestFit="1" customWidth="1"/>
    <col min="701" max="701" width="22.6640625" bestFit="1" customWidth="1"/>
    <col min="702" max="702" width="21.6640625" bestFit="1" customWidth="1"/>
    <col min="703" max="703" width="22.33203125" bestFit="1" customWidth="1"/>
    <col min="704" max="704" width="23.6640625" bestFit="1" customWidth="1"/>
    <col min="705" max="706" width="22.6640625" bestFit="1" customWidth="1"/>
    <col min="707" max="707" width="22" bestFit="1" customWidth="1"/>
    <col min="708" max="709" width="22.6640625" bestFit="1" customWidth="1"/>
    <col min="710" max="711" width="22" bestFit="1" customWidth="1"/>
    <col min="712" max="713" width="22.6640625" bestFit="1" customWidth="1"/>
    <col min="714" max="715" width="22" bestFit="1" customWidth="1"/>
    <col min="716" max="716" width="22.6640625" bestFit="1" customWidth="1"/>
    <col min="717" max="717" width="21.6640625" bestFit="1" customWidth="1"/>
    <col min="718" max="723" width="22.6640625" bestFit="1" customWidth="1"/>
    <col min="724" max="724" width="21.6640625" bestFit="1" customWidth="1"/>
    <col min="725" max="725" width="22" bestFit="1" customWidth="1"/>
    <col min="726" max="726" width="21.6640625" bestFit="1" customWidth="1"/>
    <col min="727" max="727" width="22.6640625" bestFit="1" customWidth="1"/>
    <col min="728" max="728" width="22" bestFit="1" customWidth="1"/>
    <col min="729" max="731" width="22.6640625" bestFit="1" customWidth="1"/>
    <col min="732" max="732" width="21.6640625" bestFit="1" customWidth="1"/>
    <col min="733" max="733" width="22" bestFit="1" customWidth="1"/>
    <col min="734" max="736" width="22.6640625" bestFit="1" customWidth="1"/>
    <col min="737" max="737" width="23" bestFit="1" customWidth="1"/>
    <col min="738" max="738" width="22" bestFit="1" customWidth="1"/>
    <col min="739" max="740" width="22.6640625" bestFit="1" customWidth="1"/>
    <col min="741" max="741" width="22" bestFit="1" customWidth="1"/>
    <col min="742" max="742" width="23" bestFit="1" customWidth="1"/>
    <col min="743" max="747" width="22.6640625" bestFit="1" customWidth="1"/>
    <col min="748" max="749" width="22" bestFit="1" customWidth="1"/>
    <col min="750" max="752" width="22.6640625" bestFit="1" customWidth="1"/>
    <col min="753" max="753" width="22" bestFit="1" customWidth="1"/>
    <col min="754" max="756" width="22.6640625" bestFit="1" customWidth="1"/>
    <col min="757" max="757" width="22" bestFit="1" customWidth="1"/>
    <col min="758" max="758" width="22.6640625" bestFit="1" customWidth="1"/>
    <col min="759" max="759" width="21.6640625" bestFit="1" customWidth="1"/>
    <col min="760" max="760" width="22" bestFit="1" customWidth="1"/>
    <col min="761" max="761" width="23" bestFit="1" customWidth="1"/>
    <col min="762" max="763" width="22.6640625" bestFit="1" customWidth="1"/>
    <col min="764" max="765" width="22" bestFit="1" customWidth="1"/>
    <col min="766" max="766" width="21.6640625" bestFit="1" customWidth="1"/>
    <col min="767" max="767" width="22.6640625" bestFit="1" customWidth="1"/>
    <col min="768" max="768" width="21.6640625" bestFit="1" customWidth="1"/>
    <col min="769" max="769" width="22.6640625" bestFit="1" customWidth="1"/>
    <col min="770" max="771" width="22" bestFit="1" customWidth="1"/>
    <col min="772" max="773" width="23.6640625" bestFit="1" customWidth="1"/>
    <col min="774" max="776" width="22.6640625" bestFit="1" customWidth="1"/>
  </cols>
  <sheetData>
    <row r="1" spans="1:776" x14ac:dyDescent="0.2">
      <c r="A1" t="s">
        <v>0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151</v>
      </c>
      <c r="BH1" t="s">
        <v>152</v>
      </c>
      <c r="BI1" t="s">
        <v>153</v>
      </c>
      <c r="BJ1" t="s">
        <v>154</v>
      </c>
      <c r="BK1" t="s">
        <v>155</v>
      </c>
      <c r="BL1" t="s">
        <v>156</v>
      </c>
      <c r="BM1" t="s">
        <v>157</v>
      </c>
      <c r="BN1" t="s">
        <v>158</v>
      </c>
      <c r="BO1" t="s">
        <v>159</v>
      </c>
      <c r="BP1" t="s">
        <v>160</v>
      </c>
      <c r="BQ1" t="s">
        <v>161</v>
      </c>
      <c r="BR1" t="s">
        <v>162</v>
      </c>
      <c r="BS1" t="s">
        <v>163</v>
      </c>
      <c r="BT1" t="s">
        <v>164</v>
      </c>
      <c r="BU1" t="s">
        <v>165</v>
      </c>
      <c r="BV1" t="s">
        <v>166</v>
      </c>
      <c r="BW1" t="s">
        <v>167</v>
      </c>
      <c r="BX1" t="s">
        <v>168</v>
      </c>
      <c r="BY1" t="s">
        <v>169</v>
      </c>
      <c r="BZ1" t="s">
        <v>170</v>
      </c>
      <c r="CA1" t="s">
        <v>171</v>
      </c>
      <c r="CB1" t="s">
        <v>172</v>
      </c>
      <c r="CC1" t="s">
        <v>173</v>
      </c>
      <c r="CD1" t="s">
        <v>174</v>
      </c>
      <c r="CE1" t="s">
        <v>175</v>
      </c>
      <c r="CF1" t="s">
        <v>176</v>
      </c>
      <c r="CG1" t="s">
        <v>177</v>
      </c>
      <c r="CH1" t="s">
        <v>178</v>
      </c>
      <c r="CI1" t="s">
        <v>179</v>
      </c>
      <c r="CJ1" t="s">
        <v>180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191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212</v>
      </c>
      <c r="DQ1" t="s">
        <v>213</v>
      </c>
      <c r="DR1" t="s">
        <v>214</v>
      </c>
      <c r="DS1" t="s">
        <v>215</v>
      </c>
      <c r="DT1" t="s">
        <v>216</v>
      </c>
      <c r="DU1" t="s">
        <v>217</v>
      </c>
      <c r="DV1" t="s">
        <v>218</v>
      </c>
      <c r="DW1" t="s">
        <v>219</v>
      </c>
      <c r="DX1" t="s">
        <v>220</v>
      </c>
      <c r="DY1" t="s">
        <v>221</v>
      </c>
      <c r="DZ1" t="s">
        <v>222</v>
      </c>
      <c r="EA1" t="s">
        <v>223</v>
      </c>
      <c r="EB1" t="s">
        <v>224</v>
      </c>
      <c r="EC1" t="s">
        <v>225</v>
      </c>
      <c r="ED1" t="s">
        <v>226</v>
      </c>
      <c r="EE1" t="s">
        <v>227</v>
      </c>
      <c r="EF1" t="s">
        <v>228</v>
      </c>
      <c r="EG1" t="s">
        <v>229</v>
      </c>
      <c r="EH1" t="s">
        <v>230</v>
      </c>
      <c r="EI1" t="s">
        <v>231</v>
      </c>
      <c r="EJ1" t="s">
        <v>232</v>
      </c>
      <c r="EK1" t="s">
        <v>233</v>
      </c>
      <c r="EL1" t="s">
        <v>234</v>
      </c>
      <c r="EM1" t="s">
        <v>235</v>
      </c>
      <c r="EN1" t="s">
        <v>236</v>
      </c>
      <c r="EO1" t="s">
        <v>237</v>
      </c>
      <c r="EP1" t="s">
        <v>238</v>
      </c>
      <c r="EQ1" t="s">
        <v>239</v>
      </c>
      <c r="ER1" t="s">
        <v>240</v>
      </c>
      <c r="ES1" t="s">
        <v>241</v>
      </c>
      <c r="ET1" t="s">
        <v>242</v>
      </c>
      <c r="EU1" t="s">
        <v>243</v>
      </c>
      <c r="EV1" t="s">
        <v>244</v>
      </c>
      <c r="EW1" t="s">
        <v>245</v>
      </c>
      <c r="EX1" t="s">
        <v>246</v>
      </c>
      <c r="EY1" t="s">
        <v>247</v>
      </c>
      <c r="EZ1" t="s">
        <v>248</v>
      </c>
      <c r="FA1" t="s">
        <v>249</v>
      </c>
      <c r="FB1" t="s">
        <v>250</v>
      </c>
      <c r="FC1" t="s">
        <v>251</v>
      </c>
      <c r="FD1" t="s">
        <v>252</v>
      </c>
      <c r="FE1" t="s">
        <v>253</v>
      </c>
      <c r="FF1" t="s">
        <v>254</v>
      </c>
      <c r="FG1" t="s">
        <v>255</v>
      </c>
      <c r="FH1" t="s">
        <v>256</v>
      </c>
      <c r="FI1" t="s">
        <v>257</v>
      </c>
      <c r="FJ1" t="s">
        <v>258</v>
      </c>
      <c r="FK1" t="s">
        <v>259</v>
      </c>
      <c r="FL1" t="s">
        <v>260</v>
      </c>
      <c r="FM1" t="s">
        <v>261</v>
      </c>
      <c r="FN1" t="s">
        <v>262</v>
      </c>
      <c r="FO1" t="s">
        <v>263</v>
      </c>
      <c r="FP1" t="s">
        <v>264</v>
      </c>
      <c r="FQ1" t="s">
        <v>265</v>
      </c>
      <c r="FR1" t="s">
        <v>266</v>
      </c>
      <c r="FS1" t="s">
        <v>267</v>
      </c>
      <c r="FT1" t="s">
        <v>268</v>
      </c>
      <c r="FU1" t="s">
        <v>269</v>
      </c>
      <c r="FV1" t="s">
        <v>270</v>
      </c>
      <c r="FW1" t="s">
        <v>271</v>
      </c>
      <c r="FX1" t="s">
        <v>272</v>
      </c>
      <c r="FY1" t="s">
        <v>273</v>
      </c>
      <c r="FZ1" t="s">
        <v>274</v>
      </c>
      <c r="GA1" t="s">
        <v>275</v>
      </c>
      <c r="GB1" t="s">
        <v>276</v>
      </c>
      <c r="GC1" t="s">
        <v>277</v>
      </c>
      <c r="GD1" t="s">
        <v>278</v>
      </c>
      <c r="GE1" t="s">
        <v>279</v>
      </c>
      <c r="GF1" t="s">
        <v>280</v>
      </c>
      <c r="GG1" t="s">
        <v>281</v>
      </c>
      <c r="GH1" t="s">
        <v>282</v>
      </c>
      <c r="GI1" t="s">
        <v>283</v>
      </c>
      <c r="GJ1" t="s">
        <v>284</v>
      </c>
      <c r="GK1" t="s">
        <v>285</v>
      </c>
      <c r="GL1" t="s">
        <v>286</v>
      </c>
      <c r="GM1" t="s">
        <v>287</v>
      </c>
      <c r="GN1" t="s">
        <v>288</v>
      </c>
      <c r="GO1" t="s">
        <v>289</v>
      </c>
      <c r="GP1" t="s">
        <v>290</v>
      </c>
      <c r="GQ1" t="s">
        <v>291</v>
      </c>
      <c r="GR1" t="s">
        <v>292</v>
      </c>
      <c r="GS1" t="s">
        <v>293</v>
      </c>
      <c r="GT1" t="s">
        <v>294</v>
      </c>
      <c r="GU1" t="s">
        <v>295</v>
      </c>
      <c r="GV1" t="s">
        <v>296</v>
      </c>
      <c r="GW1" t="s">
        <v>297</v>
      </c>
      <c r="GX1" t="s">
        <v>298</v>
      </c>
      <c r="GY1" t="s">
        <v>299</v>
      </c>
      <c r="GZ1" t="s">
        <v>300</v>
      </c>
      <c r="HA1" t="s">
        <v>301</v>
      </c>
      <c r="HB1" t="s">
        <v>302</v>
      </c>
      <c r="HC1" t="s">
        <v>303</v>
      </c>
      <c r="HD1" t="s">
        <v>304</v>
      </c>
      <c r="HE1" t="s">
        <v>305</v>
      </c>
      <c r="HF1" t="s">
        <v>306</v>
      </c>
      <c r="HG1" t="s">
        <v>307</v>
      </c>
      <c r="HH1" t="s">
        <v>308</v>
      </c>
      <c r="HI1" t="s">
        <v>309</v>
      </c>
      <c r="HJ1" t="s">
        <v>310</v>
      </c>
      <c r="HK1" t="s">
        <v>311</v>
      </c>
      <c r="HL1" t="s">
        <v>312</v>
      </c>
      <c r="HM1" t="s">
        <v>313</v>
      </c>
      <c r="HN1" t="s">
        <v>314</v>
      </c>
      <c r="HO1" t="s">
        <v>315</v>
      </c>
      <c r="HP1" t="s">
        <v>316</v>
      </c>
      <c r="HQ1" t="s">
        <v>317</v>
      </c>
      <c r="HR1" t="s">
        <v>318</v>
      </c>
      <c r="HS1" t="s">
        <v>319</v>
      </c>
      <c r="HT1" t="s">
        <v>320</v>
      </c>
      <c r="HU1" t="s">
        <v>321</v>
      </c>
      <c r="HV1" t="s">
        <v>322</v>
      </c>
      <c r="HW1" t="s">
        <v>323</v>
      </c>
      <c r="HX1" t="s">
        <v>324</v>
      </c>
      <c r="HY1" t="s">
        <v>325</v>
      </c>
      <c r="HZ1" t="s">
        <v>326</v>
      </c>
      <c r="IA1" t="s">
        <v>327</v>
      </c>
      <c r="IB1" t="s">
        <v>328</v>
      </c>
      <c r="IC1" t="s">
        <v>329</v>
      </c>
      <c r="ID1" t="s">
        <v>330</v>
      </c>
      <c r="IE1" t="s">
        <v>331</v>
      </c>
      <c r="IF1" t="s">
        <v>332</v>
      </c>
      <c r="IG1" t="s">
        <v>333</v>
      </c>
      <c r="IH1" t="s">
        <v>334</v>
      </c>
      <c r="II1" t="s">
        <v>335</v>
      </c>
      <c r="IJ1" t="s">
        <v>336</v>
      </c>
      <c r="IK1" t="s">
        <v>337</v>
      </c>
      <c r="IL1" t="s">
        <v>338</v>
      </c>
      <c r="IM1" t="s">
        <v>339</v>
      </c>
      <c r="IN1" t="s">
        <v>340</v>
      </c>
      <c r="IO1" t="s">
        <v>341</v>
      </c>
      <c r="IP1" t="s">
        <v>342</v>
      </c>
      <c r="IQ1" t="s">
        <v>343</v>
      </c>
      <c r="IR1" t="s">
        <v>344</v>
      </c>
      <c r="IS1" t="s">
        <v>345</v>
      </c>
      <c r="IT1" t="s">
        <v>346</v>
      </c>
      <c r="IU1" t="s">
        <v>347</v>
      </c>
      <c r="IV1" t="s">
        <v>348</v>
      </c>
      <c r="IW1" t="s">
        <v>349</v>
      </c>
      <c r="IX1" t="s">
        <v>350</v>
      </c>
      <c r="IY1" t="s">
        <v>351</v>
      </c>
      <c r="IZ1" t="s">
        <v>352</v>
      </c>
      <c r="JA1" t="s">
        <v>353</v>
      </c>
      <c r="JB1" t="s">
        <v>354</v>
      </c>
      <c r="JC1" t="s">
        <v>355</v>
      </c>
      <c r="JD1" t="s">
        <v>356</v>
      </c>
      <c r="JE1" t="s">
        <v>357</v>
      </c>
      <c r="JF1" t="s">
        <v>358</v>
      </c>
      <c r="JG1" t="s">
        <v>359</v>
      </c>
      <c r="JH1" t="s">
        <v>360</v>
      </c>
      <c r="JI1" t="s">
        <v>361</v>
      </c>
      <c r="JJ1" t="s">
        <v>362</v>
      </c>
      <c r="JK1" t="s">
        <v>363</v>
      </c>
      <c r="JL1" t="s">
        <v>364</v>
      </c>
      <c r="JM1" t="s">
        <v>365</v>
      </c>
      <c r="JN1" t="s">
        <v>366</v>
      </c>
      <c r="JO1" t="s">
        <v>367</v>
      </c>
      <c r="JP1" t="s">
        <v>368</v>
      </c>
      <c r="JQ1" t="s">
        <v>369</v>
      </c>
      <c r="JR1" t="s">
        <v>370</v>
      </c>
      <c r="JS1" t="s">
        <v>371</v>
      </c>
      <c r="JT1" t="s">
        <v>372</v>
      </c>
      <c r="JU1" t="s">
        <v>373</v>
      </c>
      <c r="JV1" t="s">
        <v>374</v>
      </c>
      <c r="JW1" t="s">
        <v>375</v>
      </c>
      <c r="JX1" t="s">
        <v>376</v>
      </c>
      <c r="JY1" t="s">
        <v>377</v>
      </c>
      <c r="JZ1" t="s">
        <v>378</v>
      </c>
      <c r="KA1" t="s">
        <v>379</v>
      </c>
      <c r="KB1" t="s">
        <v>380</v>
      </c>
      <c r="KC1" t="s">
        <v>381</v>
      </c>
      <c r="KD1" t="s">
        <v>382</v>
      </c>
      <c r="KE1" t="s">
        <v>383</v>
      </c>
      <c r="KF1" t="s">
        <v>384</v>
      </c>
      <c r="KG1" t="s">
        <v>385</v>
      </c>
      <c r="KH1" t="s">
        <v>386</v>
      </c>
      <c r="KI1" t="s">
        <v>387</v>
      </c>
      <c r="KJ1" t="s">
        <v>388</v>
      </c>
      <c r="KK1" t="s">
        <v>389</v>
      </c>
      <c r="KL1" t="s">
        <v>390</v>
      </c>
      <c r="KM1" t="s">
        <v>391</v>
      </c>
      <c r="KN1" t="s">
        <v>392</v>
      </c>
      <c r="KO1" t="s">
        <v>393</v>
      </c>
      <c r="KP1" t="s">
        <v>394</v>
      </c>
      <c r="KQ1" t="s">
        <v>395</v>
      </c>
      <c r="KR1" t="s">
        <v>396</v>
      </c>
      <c r="KS1" t="s">
        <v>397</v>
      </c>
      <c r="KT1" t="s">
        <v>398</v>
      </c>
      <c r="KU1" t="s">
        <v>399</v>
      </c>
      <c r="KV1" t="s">
        <v>400</v>
      </c>
      <c r="KW1" t="s">
        <v>401</v>
      </c>
      <c r="KX1" t="s">
        <v>402</v>
      </c>
      <c r="KY1" t="s">
        <v>403</v>
      </c>
      <c r="KZ1" t="s">
        <v>404</v>
      </c>
      <c r="LA1" t="s">
        <v>405</v>
      </c>
      <c r="LB1" t="s">
        <v>406</v>
      </c>
      <c r="LC1" t="s">
        <v>407</v>
      </c>
      <c r="LD1" t="s">
        <v>408</v>
      </c>
      <c r="LE1" t="s">
        <v>409</v>
      </c>
      <c r="LF1" t="s">
        <v>410</v>
      </c>
      <c r="LG1" t="s">
        <v>411</v>
      </c>
      <c r="LH1" t="s">
        <v>412</v>
      </c>
      <c r="LI1" t="s">
        <v>413</v>
      </c>
      <c r="LJ1" t="s">
        <v>414</v>
      </c>
      <c r="LK1" t="s">
        <v>415</v>
      </c>
      <c r="LL1" t="s">
        <v>416</v>
      </c>
      <c r="LM1" t="s">
        <v>417</v>
      </c>
      <c r="LN1" t="s">
        <v>418</v>
      </c>
      <c r="LO1" t="s">
        <v>419</v>
      </c>
      <c r="LP1" t="s">
        <v>420</v>
      </c>
      <c r="LQ1" t="s">
        <v>421</v>
      </c>
      <c r="LR1" t="s">
        <v>422</v>
      </c>
      <c r="LS1" t="s">
        <v>423</v>
      </c>
      <c r="LT1" t="s">
        <v>424</v>
      </c>
      <c r="LU1" t="s">
        <v>425</v>
      </c>
      <c r="LV1" t="s">
        <v>426</v>
      </c>
      <c r="LW1" t="s">
        <v>427</v>
      </c>
      <c r="LX1" t="s">
        <v>428</v>
      </c>
      <c r="LY1" t="s">
        <v>429</v>
      </c>
      <c r="LZ1" t="s">
        <v>430</v>
      </c>
      <c r="MA1" t="s">
        <v>431</v>
      </c>
      <c r="MB1" t="s">
        <v>432</v>
      </c>
      <c r="MC1" t="s">
        <v>433</v>
      </c>
      <c r="MD1" t="s">
        <v>434</v>
      </c>
      <c r="ME1" t="s">
        <v>435</v>
      </c>
      <c r="MF1" t="s">
        <v>436</v>
      </c>
      <c r="MG1" t="s">
        <v>437</v>
      </c>
      <c r="MH1" t="s">
        <v>438</v>
      </c>
      <c r="MI1" t="s">
        <v>439</v>
      </c>
      <c r="MJ1" t="s">
        <v>440</v>
      </c>
      <c r="MK1" t="s">
        <v>441</v>
      </c>
      <c r="ML1" t="s">
        <v>442</v>
      </c>
      <c r="MM1" t="s">
        <v>443</v>
      </c>
      <c r="MN1" t="s">
        <v>444</v>
      </c>
      <c r="MO1" t="s">
        <v>445</v>
      </c>
      <c r="MP1" t="s">
        <v>446</v>
      </c>
      <c r="MQ1" t="s">
        <v>447</v>
      </c>
      <c r="MR1" t="s">
        <v>448</v>
      </c>
      <c r="MS1" t="s">
        <v>449</v>
      </c>
      <c r="MT1" t="s">
        <v>450</v>
      </c>
      <c r="MU1" t="s">
        <v>451</v>
      </c>
      <c r="MV1" t="s">
        <v>452</v>
      </c>
      <c r="MW1" t="s">
        <v>453</v>
      </c>
      <c r="MX1" t="s">
        <v>454</v>
      </c>
      <c r="MY1" t="s">
        <v>455</v>
      </c>
      <c r="MZ1" t="s">
        <v>456</v>
      </c>
      <c r="NA1" t="s">
        <v>457</v>
      </c>
      <c r="NB1" t="s">
        <v>458</v>
      </c>
      <c r="NC1" t="s">
        <v>459</v>
      </c>
      <c r="ND1" t="s">
        <v>460</v>
      </c>
      <c r="NE1" t="s">
        <v>461</v>
      </c>
      <c r="NF1" t="s">
        <v>462</v>
      </c>
      <c r="NG1" t="s">
        <v>463</v>
      </c>
      <c r="NH1" t="s">
        <v>464</v>
      </c>
      <c r="NI1" t="s">
        <v>465</v>
      </c>
      <c r="NJ1" t="s">
        <v>466</v>
      </c>
      <c r="NK1" t="s">
        <v>467</v>
      </c>
      <c r="NL1" t="s">
        <v>468</v>
      </c>
      <c r="NM1" t="s">
        <v>469</v>
      </c>
      <c r="NN1" t="s">
        <v>470</v>
      </c>
      <c r="NO1" t="s">
        <v>471</v>
      </c>
      <c r="NP1" t="s">
        <v>472</v>
      </c>
      <c r="NQ1" t="s">
        <v>473</v>
      </c>
      <c r="NR1" t="s">
        <v>474</v>
      </c>
      <c r="NS1" t="s">
        <v>475</v>
      </c>
      <c r="NT1" t="s">
        <v>476</v>
      </c>
      <c r="NU1" t="s">
        <v>477</v>
      </c>
      <c r="NV1" t="s">
        <v>478</v>
      </c>
      <c r="NW1" t="s">
        <v>479</v>
      </c>
      <c r="NX1" t="s">
        <v>480</v>
      </c>
      <c r="NY1" t="s">
        <v>481</v>
      </c>
      <c r="NZ1" t="s">
        <v>482</v>
      </c>
      <c r="OA1" t="s">
        <v>483</v>
      </c>
      <c r="OB1" t="s">
        <v>484</v>
      </c>
      <c r="OC1" t="s">
        <v>485</v>
      </c>
      <c r="OD1" t="s">
        <v>486</v>
      </c>
      <c r="OE1" t="s">
        <v>487</v>
      </c>
      <c r="OF1" t="s">
        <v>488</v>
      </c>
      <c r="OG1" t="s">
        <v>489</v>
      </c>
      <c r="OH1" t="s">
        <v>490</v>
      </c>
      <c r="OI1" t="s">
        <v>491</v>
      </c>
      <c r="OJ1" t="s">
        <v>492</v>
      </c>
      <c r="OK1" t="s">
        <v>493</v>
      </c>
      <c r="OL1" t="s">
        <v>494</v>
      </c>
      <c r="OM1" t="s">
        <v>495</v>
      </c>
      <c r="ON1" t="s">
        <v>496</v>
      </c>
      <c r="OO1" t="s">
        <v>497</v>
      </c>
      <c r="OP1" t="s">
        <v>498</v>
      </c>
      <c r="OQ1" t="s">
        <v>499</v>
      </c>
      <c r="OR1" t="s">
        <v>500</v>
      </c>
      <c r="OS1" t="s">
        <v>501</v>
      </c>
      <c r="OT1" t="s">
        <v>502</v>
      </c>
      <c r="OU1" t="s">
        <v>503</v>
      </c>
      <c r="OV1" t="s">
        <v>504</v>
      </c>
      <c r="OW1" t="s">
        <v>505</v>
      </c>
      <c r="OX1" t="s">
        <v>506</v>
      </c>
      <c r="OY1" t="s">
        <v>507</v>
      </c>
      <c r="OZ1" t="s">
        <v>508</v>
      </c>
      <c r="PA1" t="s">
        <v>509</v>
      </c>
      <c r="PB1" t="s">
        <v>510</v>
      </c>
      <c r="PC1" t="s">
        <v>511</v>
      </c>
      <c r="PD1" t="s">
        <v>512</v>
      </c>
      <c r="PE1" t="s">
        <v>513</v>
      </c>
      <c r="PF1" t="s">
        <v>514</v>
      </c>
      <c r="PG1" t="s">
        <v>515</v>
      </c>
      <c r="PH1" t="s">
        <v>516</v>
      </c>
      <c r="PI1" t="s">
        <v>517</v>
      </c>
      <c r="PJ1" t="s">
        <v>518</v>
      </c>
      <c r="PK1" t="s">
        <v>519</v>
      </c>
      <c r="PL1" t="s">
        <v>520</v>
      </c>
      <c r="PM1" t="s">
        <v>521</v>
      </c>
      <c r="PN1" t="s">
        <v>522</v>
      </c>
      <c r="PO1" t="s">
        <v>523</v>
      </c>
      <c r="PP1" t="s">
        <v>524</v>
      </c>
      <c r="PQ1" t="s">
        <v>525</v>
      </c>
      <c r="PR1" t="s">
        <v>526</v>
      </c>
      <c r="PS1" t="s">
        <v>527</v>
      </c>
      <c r="PT1" t="s">
        <v>528</v>
      </c>
      <c r="PU1" t="s">
        <v>529</v>
      </c>
      <c r="PV1" t="s">
        <v>530</v>
      </c>
      <c r="PW1" t="s">
        <v>531</v>
      </c>
      <c r="PX1" t="s">
        <v>532</v>
      </c>
      <c r="PY1" t="s">
        <v>533</v>
      </c>
      <c r="PZ1" t="s">
        <v>534</v>
      </c>
      <c r="QA1" t="s">
        <v>535</v>
      </c>
      <c r="QB1" t="s">
        <v>536</v>
      </c>
      <c r="QC1" t="s">
        <v>537</v>
      </c>
      <c r="QD1" t="s">
        <v>538</v>
      </c>
      <c r="QE1" t="s">
        <v>539</v>
      </c>
      <c r="QF1" t="s">
        <v>540</v>
      </c>
      <c r="QG1" t="s">
        <v>541</v>
      </c>
      <c r="QH1" t="s">
        <v>542</v>
      </c>
      <c r="QI1" t="s">
        <v>543</v>
      </c>
      <c r="QJ1" t="s">
        <v>544</v>
      </c>
      <c r="QK1" t="s">
        <v>545</v>
      </c>
      <c r="QL1" t="s">
        <v>546</v>
      </c>
      <c r="QM1" t="s">
        <v>547</v>
      </c>
      <c r="QN1" t="s">
        <v>548</v>
      </c>
      <c r="QO1" t="s">
        <v>549</v>
      </c>
      <c r="QP1" t="s">
        <v>550</v>
      </c>
      <c r="QQ1" t="s">
        <v>551</v>
      </c>
      <c r="QR1" t="s">
        <v>552</v>
      </c>
      <c r="QS1" t="s">
        <v>553</v>
      </c>
      <c r="QT1" t="s">
        <v>554</v>
      </c>
      <c r="QU1" t="s">
        <v>555</v>
      </c>
      <c r="QV1" t="s">
        <v>556</v>
      </c>
      <c r="QW1" t="s">
        <v>557</v>
      </c>
      <c r="QX1" t="s">
        <v>558</v>
      </c>
      <c r="QY1" t="s">
        <v>559</v>
      </c>
      <c r="QZ1" t="s">
        <v>560</v>
      </c>
      <c r="RA1" t="s">
        <v>561</v>
      </c>
      <c r="RB1" t="s">
        <v>562</v>
      </c>
      <c r="RC1" t="s">
        <v>563</v>
      </c>
      <c r="RD1" t="s">
        <v>564</v>
      </c>
      <c r="RE1" t="s">
        <v>565</v>
      </c>
      <c r="RF1" t="s">
        <v>566</v>
      </c>
      <c r="RG1" t="s">
        <v>567</v>
      </c>
      <c r="RH1" t="s">
        <v>568</v>
      </c>
      <c r="RI1" t="s">
        <v>569</v>
      </c>
      <c r="RJ1" t="s">
        <v>570</v>
      </c>
      <c r="RK1" t="s">
        <v>571</v>
      </c>
      <c r="RL1" t="s">
        <v>572</v>
      </c>
      <c r="RM1" t="s">
        <v>573</v>
      </c>
      <c r="RN1" t="s">
        <v>574</v>
      </c>
      <c r="RO1" t="s">
        <v>575</v>
      </c>
      <c r="RP1" t="s">
        <v>576</v>
      </c>
      <c r="RQ1" t="s">
        <v>577</v>
      </c>
      <c r="RR1" t="s">
        <v>578</v>
      </c>
      <c r="RS1" t="s">
        <v>579</v>
      </c>
      <c r="RT1" t="s">
        <v>580</v>
      </c>
      <c r="RU1" t="s">
        <v>581</v>
      </c>
      <c r="RV1" t="s">
        <v>582</v>
      </c>
      <c r="RW1" t="s">
        <v>583</v>
      </c>
      <c r="RX1" t="s">
        <v>584</v>
      </c>
      <c r="RY1" t="s">
        <v>585</v>
      </c>
      <c r="RZ1" t="s">
        <v>586</v>
      </c>
      <c r="SA1" t="s">
        <v>587</v>
      </c>
      <c r="SB1" t="s">
        <v>588</v>
      </c>
      <c r="SC1" t="s">
        <v>589</v>
      </c>
      <c r="SD1" t="s">
        <v>590</v>
      </c>
      <c r="SE1" t="s">
        <v>591</v>
      </c>
      <c r="SF1" t="s">
        <v>592</v>
      </c>
      <c r="SG1" t="s">
        <v>593</v>
      </c>
      <c r="SH1" t="s">
        <v>594</v>
      </c>
      <c r="SI1" t="s">
        <v>595</v>
      </c>
      <c r="SJ1" t="s">
        <v>596</v>
      </c>
      <c r="SK1" t="s">
        <v>597</v>
      </c>
      <c r="SL1" t="s">
        <v>598</v>
      </c>
      <c r="SM1" t="s">
        <v>599</v>
      </c>
      <c r="SN1" t="s">
        <v>600</v>
      </c>
      <c r="SO1" t="s">
        <v>601</v>
      </c>
      <c r="SP1" t="s">
        <v>602</v>
      </c>
      <c r="SQ1" t="s">
        <v>603</v>
      </c>
      <c r="SR1" t="s">
        <v>604</v>
      </c>
      <c r="SS1" t="s">
        <v>605</v>
      </c>
      <c r="ST1" t="s">
        <v>606</v>
      </c>
      <c r="SU1" t="s">
        <v>607</v>
      </c>
      <c r="SV1" t="s">
        <v>608</v>
      </c>
      <c r="SW1" t="s">
        <v>609</v>
      </c>
      <c r="SX1" t="s">
        <v>610</v>
      </c>
      <c r="SY1" t="s">
        <v>611</v>
      </c>
      <c r="SZ1" t="s">
        <v>612</v>
      </c>
      <c r="TA1" t="s">
        <v>613</v>
      </c>
      <c r="TB1" t="s">
        <v>614</v>
      </c>
      <c r="TC1" t="s">
        <v>615</v>
      </c>
      <c r="TD1" t="s">
        <v>616</v>
      </c>
      <c r="TE1" t="s">
        <v>617</v>
      </c>
      <c r="TF1" t="s">
        <v>618</v>
      </c>
      <c r="TG1" t="s">
        <v>619</v>
      </c>
      <c r="TH1" t="s">
        <v>620</v>
      </c>
      <c r="TI1" t="s">
        <v>621</v>
      </c>
      <c r="TJ1" t="s">
        <v>622</v>
      </c>
      <c r="TK1" t="s">
        <v>623</v>
      </c>
      <c r="TL1" t="s">
        <v>624</v>
      </c>
      <c r="TM1" t="s">
        <v>625</v>
      </c>
      <c r="TN1" t="s">
        <v>626</v>
      </c>
      <c r="TO1" t="s">
        <v>627</v>
      </c>
      <c r="TP1" t="s">
        <v>628</v>
      </c>
      <c r="TQ1" t="s">
        <v>629</v>
      </c>
      <c r="TR1" t="s">
        <v>630</v>
      </c>
      <c r="TS1" t="s">
        <v>631</v>
      </c>
      <c r="TT1" t="s">
        <v>632</v>
      </c>
      <c r="TU1" t="s">
        <v>633</v>
      </c>
      <c r="TV1" t="s">
        <v>634</v>
      </c>
      <c r="TW1" t="s">
        <v>635</v>
      </c>
      <c r="TX1" t="s">
        <v>636</v>
      </c>
      <c r="TY1" t="s">
        <v>637</v>
      </c>
      <c r="TZ1" t="s">
        <v>638</v>
      </c>
      <c r="UA1" t="s">
        <v>639</v>
      </c>
      <c r="UB1" t="s">
        <v>640</v>
      </c>
      <c r="UC1" t="s">
        <v>641</v>
      </c>
      <c r="UD1" t="s">
        <v>642</v>
      </c>
      <c r="UE1" t="s">
        <v>643</v>
      </c>
      <c r="UF1" t="s">
        <v>644</v>
      </c>
      <c r="UG1" t="s">
        <v>645</v>
      </c>
      <c r="UH1" t="s">
        <v>646</v>
      </c>
      <c r="UI1" t="s">
        <v>647</v>
      </c>
      <c r="UJ1" t="s">
        <v>648</v>
      </c>
      <c r="UK1" t="s">
        <v>649</v>
      </c>
      <c r="UL1" t="s">
        <v>650</v>
      </c>
      <c r="UM1" t="s">
        <v>651</v>
      </c>
      <c r="UN1" t="s">
        <v>652</v>
      </c>
      <c r="UO1" t="s">
        <v>653</v>
      </c>
      <c r="UP1" t="s">
        <v>654</v>
      </c>
      <c r="UQ1" t="s">
        <v>655</v>
      </c>
      <c r="UR1" t="s">
        <v>656</v>
      </c>
      <c r="US1" t="s">
        <v>657</v>
      </c>
      <c r="UT1" t="s">
        <v>658</v>
      </c>
      <c r="UU1" t="s">
        <v>659</v>
      </c>
      <c r="UV1" t="s">
        <v>660</v>
      </c>
      <c r="UW1" t="s">
        <v>661</v>
      </c>
      <c r="UX1" t="s">
        <v>662</v>
      </c>
      <c r="UY1" t="s">
        <v>663</v>
      </c>
      <c r="UZ1" t="s">
        <v>664</v>
      </c>
      <c r="VA1" t="s">
        <v>665</v>
      </c>
      <c r="VB1" t="s">
        <v>666</v>
      </c>
      <c r="VC1" t="s">
        <v>667</v>
      </c>
      <c r="VD1" t="s">
        <v>668</v>
      </c>
      <c r="VE1" t="s">
        <v>669</v>
      </c>
      <c r="VF1" t="s">
        <v>670</v>
      </c>
      <c r="VG1" t="s">
        <v>671</v>
      </c>
      <c r="VH1" t="s">
        <v>672</v>
      </c>
      <c r="VI1" t="s">
        <v>673</v>
      </c>
      <c r="VJ1" t="s">
        <v>674</v>
      </c>
      <c r="VK1" t="s">
        <v>675</v>
      </c>
      <c r="VL1" t="s">
        <v>676</v>
      </c>
      <c r="VM1" t="s">
        <v>677</v>
      </c>
      <c r="VN1" t="s">
        <v>678</v>
      </c>
      <c r="VO1" t="s">
        <v>679</v>
      </c>
      <c r="VP1" t="s">
        <v>680</v>
      </c>
      <c r="VQ1" t="s">
        <v>681</v>
      </c>
      <c r="VR1" t="s">
        <v>682</v>
      </c>
      <c r="VS1" t="s">
        <v>683</v>
      </c>
      <c r="VT1" t="s">
        <v>684</v>
      </c>
      <c r="VU1" t="s">
        <v>685</v>
      </c>
      <c r="VV1" t="s">
        <v>686</v>
      </c>
      <c r="VW1" t="s">
        <v>687</v>
      </c>
      <c r="VX1" t="s">
        <v>688</v>
      </c>
      <c r="VY1" t="s">
        <v>689</v>
      </c>
      <c r="VZ1" t="s">
        <v>690</v>
      </c>
      <c r="WA1" t="s">
        <v>691</v>
      </c>
      <c r="WB1" t="s">
        <v>692</v>
      </c>
      <c r="WC1" t="s">
        <v>693</v>
      </c>
      <c r="WD1" t="s">
        <v>694</v>
      </c>
      <c r="WE1" t="s">
        <v>695</v>
      </c>
      <c r="WF1" t="s">
        <v>696</v>
      </c>
      <c r="WG1" t="s">
        <v>697</v>
      </c>
      <c r="WH1" t="s">
        <v>698</v>
      </c>
      <c r="WI1" t="s">
        <v>699</v>
      </c>
      <c r="WJ1" t="s">
        <v>700</v>
      </c>
      <c r="WK1" t="s">
        <v>701</v>
      </c>
      <c r="WL1" t="s">
        <v>702</v>
      </c>
      <c r="WM1" t="s">
        <v>703</v>
      </c>
      <c r="WN1" t="s">
        <v>704</v>
      </c>
      <c r="WO1" t="s">
        <v>705</v>
      </c>
      <c r="WP1" t="s">
        <v>706</v>
      </c>
      <c r="WQ1" t="s">
        <v>707</v>
      </c>
      <c r="WR1" t="s">
        <v>708</v>
      </c>
      <c r="WS1" t="s">
        <v>709</v>
      </c>
      <c r="WT1" t="s">
        <v>710</v>
      </c>
      <c r="WU1" t="s">
        <v>711</v>
      </c>
      <c r="WV1" t="s">
        <v>712</v>
      </c>
      <c r="WW1" t="s">
        <v>713</v>
      </c>
      <c r="WX1" t="s">
        <v>714</v>
      </c>
      <c r="WY1" t="s">
        <v>715</v>
      </c>
      <c r="WZ1" t="s">
        <v>716</v>
      </c>
      <c r="XA1" t="s">
        <v>717</v>
      </c>
      <c r="XB1" t="s">
        <v>718</v>
      </c>
      <c r="XC1" t="s">
        <v>719</v>
      </c>
      <c r="XD1" t="s">
        <v>720</v>
      </c>
      <c r="XE1" t="s">
        <v>721</v>
      </c>
      <c r="XF1" t="s">
        <v>722</v>
      </c>
      <c r="XG1" t="s">
        <v>723</v>
      </c>
      <c r="XH1" t="s">
        <v>724</v>
      </c>
      <c r="XI1" t="s">
        <v>725</v>
      </c>
      <c r="XJ1" t="s">
        <v>726</v>
      </c>
      <c r="XK1" t="s">
        <v>727</v>
      </c>
      <c r="XL1" t="s">
        <v>728</v>
      </c>
      <c r="XM1" t="s">
        <v>729</v>
      </c>
      <c r="XN1" t="s">
        <v>730</v>
      </c>
      <c r="XO1" t="s">
        <v>731</v>
      </c>
      <c r="XP1" t="s">
        <v>732</v>
      </c>
      <c r="XQ1" t="s">
        <v>733</v>
      </c>
      <c r="XR1" t="s">
        <v>734</v>
      </c>
      <c r="XS1" t="s">
        <v>735</v>
      </c>
      <c r="XT1" t="s">
        <v>736</v>
      </c>
      <c r="XU1" t="s">
        <v>737</v>
      </c>
      <c r="XV1" t="s">
        <v>738</v>
      </c>
      <c r="XW1" t="s">
        <v>739</v>
      </c>
      <c r="XX1" t="s">
        <v>740</v>
      </c>
      <c r="XY1" t="s">
        <v>741</v>
      </c>
      <c r="XZ1" t="s">
        <v>742</v>
      </c>
      <c r="YA1" t="s">
        <v>743</v>
      </c>
      <c r="YB1" t="s">
        <v>744</v>
      </c>
      <c r="YC1" t="s">
        <v>745</v>
      </c>
      <c r="YD1" t="s">
        <v>746</v>
      </c>
      <c r="YE1" t="s">
        <v>747</v>
      </c>
      <c r="YF1" t="s">
        <v>748</v>
      </c>
      <c r="YG1" t="s">
        <v>749</v>
      </c>
      <c r="YH1" t="s">
        <v>750</v>
      </c>
      <c r="YI1" t="s">
        <v>751</v>
      </c>
      <c r="YJ1" t="s">
        <v>752</v>
      </c>
      <c r="YK1" t="s">
        <v>753</v>
      </c>
      <c r="YL1" t="s">
        <v>754</v>
      </c>
      <c r="YM1" t="s">
        <v>755</v>
      </c>
      <c r="YN1" t="s">
        <v>756</v>
      </c>
      <c r="YO1" t="s">
        <v>757</v>
      </c>
      <c r="YP1" t="s">
        <v>758</v>
      </c>
      <c r="YQ1" t="s">
        <v>759</v>
      </c>
      <c r="YR1" t="s">
        <v>760</v>
      </c>
      <c r="YS1" t="s">
        <v>761</v>
      </c>
      <c r="YT1" t="s">
        <v>762</v>
      </c>
      <c r="YU1" t="s">
        <v>763</v>
      </c>
      <c r="YV1" t="s">
        <v>764</v>
      </c>
      <c r="YW1" t="s">
        <v>765</v>
      </c>
      <c r="YX1" t="s">
        <v>766</v>
      </c>
      <c r="YY1" t="s">
        <v>767</v>
      </c>
      <c r="YZ1" t="s">
        <v>768</v>
      </c>
      <c r="ZA1" t="s">
        <v>769</v>
      </c>
      <c r="ZB1" t="s">
        <v>770</v>
      </c>
      <c r="ZC1" t="s">
        <v>771</v>
      </c>
      <c r="ZD1" t="s">
        <v>772</v>
      </c>
      <c r="ZE1" t="s">
        <v>773</v>
      </c>
      <c r="ZF1" t="s">
        <v>774</v>
      </c>
      <c r="ZG1" t="s">
        <v>775</v>
      </c>
      <c r="ZH1" t="s">
        <v>776</v>
      </c>
      <c r="ZI1" t="s">
        <v>777</v>
      </c>
      <c r="ZJ1" t="s">
        <v>778</v>
      </c>
      <c r="ZK1" t="s">
        <v>779</v>
      </c>
      <c r="ZL1" t="s">
        <v>780</v>
      </c>
      <c r="ZM1" t="s">
        <v>781</v>
      </c>
      <c r="ZN1" t="s">
        <v>782</v>
      </c>
      <c r="ZO1" t="s">
        <v>783</v>
      </c>
      <c r="ZP1" t="s">
        <v>784</v>
      </c>
      <c r="ZQ1" t="s">
        <v>785</v>
      </c>
      <c r="ZR1" t="s">
        <v>786</v>
      </c>
      <c r="ZS1" t="s">
        <v>787</v>
      </c>
      <c r="ZT1" t="s">
        <v>788</v>
      </c>
      <c r="ZU1" t="s">
        <v>789</v>
      </c>
      <c r="ZV1" t="s">
        <v>790</v>
      </c>
      <c r="ZW1" t="s">
        <v>791</v>
      </c>
      <c r="ZX1" t="s">
        <v>792</v>
      </c>
      <c r="ZY1" t="s">
        <v>793</v>
      </c>
      <c r="ZZ1" t="s">
        <v>794</v>
      </c>
      <c r="AAA1" t="s">
        <v>1509</v>
      </c>
      <c r="AAB1" t="s">
        <v>1510</v>
      </c>
      <c r="AAC1" t="s">
        <v>1511</v>
      </c>
      <c r="AAD1" t="s">
        <v>1512</v>
      </c>
      <c r="AAE1" t="s">
        <v>1513</v>
      </c>
      <c r="AAF1" t="s">
        <v>1514</v>
      </c>
      <c r="AAG1" t="s">
        <v>1515</v>
      </c>
      <c r="AAH1" t="s">
        <v>1516</v>
      </c>
      <c r="AAI1" t="s">
        <v>1517</v>
      </c>
      <c r="AAJ1" t="s">
        <v>1518</v>
      </c>
      <c r="AAK1" t="s">
        <v>1519</v>
      </c>
      <c r="AAL1" t="s">
        <v>1520</v>
      </c>
      <c r="AAM1" t="s">
        <v>1521</v>
      </c>
      <c r="AAN1" t="s">
        <v>1522</v>
      </c>
      <c r="AAO1" t="s">
        <v>1523</v>
      </c>
      <c r="AAP1" t="s">
        <v>1524</v>
      </c>
      <c r="AAQ1" t="s">
        <v>1525</v>
      </c>
      <c r="AAR1" t="s">
        <v>1526</v>
      </c>
      <c r="AAS1" t="s">
        <v>1527</v>
      </c>
      <c r="AAT1" t="s">
        <v>1528</v>
      </c>
      <c r="AAU1" t="s">
        <v>1529</v>
      </c>
      <c r="AAV1" t="s">
        <v>1530</v>
      </c>
      <c r="AAW1" t="s">
        <v>1531</v>
      </c>
      <c r="AAX1" t="s">
        <v>1532</v>
      </c>
      <c r="AAY1" t="s">
        <v>1533</v>
      </c>
      <c r="AAZ1" t="s">
        <v>1534</v>
      </c>
      <c r="ABA1" t="s">
        <v>1535</v>
      </c>
      <c r="ABB1" t="s">
        <v>1536</v>
      </c>
      <c r="ABC1" t="s">
        <v>1537</v>
      </c>
      <c r="ABD1" t="s">
        <v>1538</v>
      </c>
      <c r="ABE1" t="s">
        <v>1539</v>
      </c>
      <c r="ABF1" t="s">
        <v>1540</v>
      </c>
      <c r="ABG1" t="s">
        <v>1541</v>
      </c>
      <c r="ABH1" t="s">
        <v>1542</v>
      </c>
      <c r="ABI1" t="s">
        <v>1543</v>
      </c>
      <c r="ABJ1" t="s">
        <v>1544</v>
      </c>
      <c r="ABK1" t="s">
        <v>1545</v>
      </c>
      <c r="ABL1" t="s">
        <v>1546</v>
      </c>
      <c r="ABM1" t="s">
        <v>1547</v>
      </c>
      <c r="ABN1" t="s">
        <v>1548</v>
      </c>
      <c r="ABO1" t="s">
        <v>1549</v>
      </c>
      <c r="ABP1" t="s">
        <v>1550</v>
      </c>
      <c r="ABQ1" t="s">
        <v>1551</v>
      </c>
      <c r="ABR1" t="s">
        <v>1552</v>
      </c>
      <c r="ABS1" t="s">
        <v>1553</v>
      </c>
      <c r="ABT1" t="s">
        <v>1554</v>
      </c>
      <c r="ABU1" t="s">
        <v>1555</v>
      </c>
      <c r="ABV1" t="s">
        <v>1556</v>
      </c>
      <c r="ABW1" t="s">
        <v>1557</v>
      </c>
      <c r="ABX1" t="s">
        <v>1558</v>
      </c>
      <c r="ABY1" t="s">
        <v>1559</v>
      </c>
      <c r="ABZ1" t="s">
        <v>1560</v>
      </c>
      <c r="ACA1" t="s">
        <v>1561</v>
      </c>
      <c r="ACB1" t="s">
        <v>1562</v>
      </c>
      <c r="ACC1" t="s">
        <v>1563</v>
      </c>
      <c r="ACD1" t="s">
        <v>1564</v>
      </c>
      <c r="ACE1" t="s">
        <v>1565</v>
      </c>
      <c r="ACF1" t="s">
        <v>1566</v>
      </c>
      <c r="ACG1" t="s">
        <v>1567</v>
      </c>
      <c r="ACH1" t="s">
        <v>1568</v>
      </c>
      <c r="ACI1" t="s">
        <v>1569</v>
      </c>
      <c r="ACJ1" t="s">
        <v>1570</v>
      </c>
      <c r="ACK1" t="s">
        <v>1571</v>
      </c>
      <c r="ACL1" t="s">
        <v>1572</v>
      </c>
      <c r="ACM1" t="s">
        <v>1573</v>
      </c>
      <c r="ACN1" t="s">
        <v>1574</v>
      </c>
      <c r="ACO1" t="s">
        <v>1575</v>
      </c>
      <c r="ACP1" t="s">
        <v>1576</v>
      </c>
      <c r="ACQ1" t="s">
        <v>1577</v>
      </c>
      <c r="ACR1" t="s">
        <v>1578</v>
      </c>
      <c r="ACS1" t="s">
        <v>1579</v>
      </c>
      <c r="ACT1" t="s">
        <v>1580</v>
      </c>
      <c r="ACU1" t="s">
        <v>1581</v>
      </c>
      <c r="ACV1" t="s">
        <v>1582</v>
      </c>
    </row>
    <row r="2" spans="1:776" x14ac:dyDescent="0.2">
      <c r="A2" s="1" t="s">
        <v>1496</v>
      </c>
      <c r="B2" s="1" t="s">
        <v>796</v>
      </c>
      <c r="C2" s="1" t="s">
        <v>797</v>
      </c>
      <c r="D2" s="1" t="s">
        <v>798</v>
      </c>
      <c r="E2" s="1" t="s">
        <v>799</v>
      </c>
      <c r="F2" s="1" t="s">
        <v>800</v>
      </c>
      <c r="G2" s="1" t="s">
        <v>801</v>
      </c>
      <c r="H2" s="1" t="s">
        <v>802</v>
      </c>
      <c r="I2" s="1" t="s">
        <v>803</v>
      </c>
      <c r="J2" s="1" t="s">
        <v>804</v>
      </c>
      <c r="K2" s="1" t="s">
        <v>805</v>
      </c>
      <c r="L2" s="1" t="s">
        <v>806</v>
      </c>
      <c r="M2" s="1" t="s">
        <v>807</v>
      </c>
      <c r="N2" s="1" t="s">
        <v>808</v>
      </c>
      <c r="O2" s="1" t="s">
        <v>809</v>
      </c>
      <c r="P2" s="1" t="s">
        <v>810</v>
      </c>
      <c r="Q2" s="1" t="s">
        <v>811</v>
      </c>
      <c r="R2" s="1" t="s">
        <v>812</v>
      </c>
      <c r="S2" s="1" t="s">
        <v>813</v>
      </c>
      <c r="T2" s="1" t="s">
        <v>814</v>
      </c>
      <c r="U2" s="1" t="s">
        <v>815</v>
      </c>
      <c r="V2" s="1" t="s">
        <v>816</v>
      </c>
      <c r="W2" s="1" t="s">
        <v>817</v>
      </c>
      <c r="X2" s="1" t="s">
        <v>818</v>
      </c>
      <c r="Y2" s="1" t="s">
        <v>819</v>
      </c>
      <c r="Z2" s="1" t="s">
        <v>820</v>
      </c>
      <c r="AA2" s="1" t="s">
        <v>821</v>
      </c>
      <c r="AB2" s="1" t="s">
        <v>822</v>
      </c>
      <c r="AC2" s="1" t="s">
        <v>823</v>
      </c>
      <c r="AD2" s="1" t="s">
        <v>824</v>
      </c>
      <c r="AE2" s="1" t="s">
        <v>825</v>
      </c>
      <c r="AF2" s="1" t="s">
        <v>826</v>
      </c>
      <c r="AG2" s="1" t="s">
        <v>827</v>
      </c>
      <c r="AH2" s="1" t="s">
        <v>828</v>
      </c>
      <c r="AI2" s="1" t="s">
        <v>829</v>
      </c>
      <c r="AJ2" s="1" t="s">
        <v>830</v>
      </c>
      <c r="AK2" s="1" t="s">
        <v>831</v>
      </c>
      <c r="AL2" s="1" t="s">
        <v>832</v>
      </c>
      <c r="AM2" s="1" t="s">
        <v>833</v>
      </c>
      <c r="AN2" s="1" t="s">
        <v>834</v>
      </c>
      <c r="AO2" s="1" t="s">
        <v>835</v>
      </c>
      <c r="AP2" s="1" t="s">
        <v>836</v>
      </c>
      <c r="AQ2" s="1" t="s">
        <v>837</v>
      </c>
      <c r="AR2" s="1" t="s">
        <v>838</v>
      </c>
      <c r="AS2" s="1" t="s">
        <v>839</v>
      </c>
      <c r="AT2" s="1" t="s">
        <v>840</v>
      </c>
      <c r="AU2" s="1" t="s">
        <v>841</v>
      </c>
      <c r="AV2" s="1" t="s">
        <v>842</v>
      </c>
      <c r="AW2" s="1" t="s">
        <v>843</v>
      </c>
      <c r="AX2" s="1" t="s">
        <v>844</v>
      </c>
      <c r="AY2" s="1" t="s">
        <v>845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965</v>
      </c>
      <c r="FP2" s="1" t="s">
        <v>966</v>
      </c>
      <c r="FQ2" s="1" t="s">
        <v>967</v>
      </c>
      <c r="FR2" s="1" t="s">
        <v>968</v>
      </c>
      <c r="FS2" s="1" t="s">
        <v>969</v>
      </c>
      <c r="FT2" s="1" t="s">
        <v>970</v>
      </c>
      <c r="FU2" s="1" t="s">
        <v>971</v>
      </c>
      <c r="FV2" s="1" t="s">
        <v>972</v>
      </c>
      <c r="FW2" s="1" t="s">
        <v>973</v>
      </c>
      <c r="FX2" s="1" t="s">
        <v>974</v>
      </c>
      <c r="FY2" s="1" t="s">
        <v>975</v>
      </c>
      <c r="FZ2" s="1" t="s">
        <v>976</v>
      </c>
      <c r="GA2" s="1" t="s">
        <v>977</v>
      </c>
      <c r="GB2" s="1" t="s">
        <v>978</v>
      </c>
      <c r="GC2" s="1" t="s">
        <v>979</v>
      </c>
      <c r="GD2" s="1" t="s">
        <v>980</v>
      </c>
      <c r="GE2" s="1" t="s">
        <v>981</v>
      </c>
      <c r="GF2" s="1" t="s">
        <v>982</v>
      </c>
      <c r="GG2" s="1" t="s">
        <v>983</v>
      </c>
      <c r="GH2" s="1" t="s">
        <v>984</v>
      </c>
      <c r="GI2" s="1" t="s">
        <v>985</v>
      </c>
      <c r="GJ2" s="1" t="s">
        <v>986</v>
      </c>
      <c r="GK2" s="1" t="s">
        <v>987</v>
      </c>
      <c r="GL2" s="1" t="s">
        <v>988</v>
      </c>
      <c r="GM2" s="1" t="s">
        <v>989</v>
      </c>
      <c r="GN2" s="1" t="s">
        <v>990</v>
      </c>
      <c r="GO2" s="1" t="s">
        <v>991</v>
      </c>
      <c r="GP2" s="1" t="s">
        <v>992</v>
      </c>
      <c r="GQ2" s="1" t="s">
        <v>993</v>
      </c>
      <c r="GR2" s="1" t="s">
        <v>994</v>
      </c>
      <c r="GS2" s="1" t="s">
        <v>995</v>
      </c>
      <c r="GT2" s="1" t="s">
        <v>996</v>
      </c>
      <c r="GU2" s="1" t="s">
        <v>997</v>
      </c>
      <c r="GV2" s="1" t="s">
        <v>998</v>
      </c>
      <c r="GW2" s="1" t="s">
        <v>999</v>
      </c>
      <c r="GX2" s="1" t="s">
        <v>1000</v>
      </c>
      <c r="GY2" s="1" t="s">
        <v>1001</v>
      </c>
      <c r="GZ2" s="1" t="s">
        <v>1002</v>
      </c>
      <c r="HA2" s="1" t="s">
        <v>1003</v>
      </c>
      <c r="HB2" s="1" t="s">
        <v>1004</v>
      </c>
      <c r="HC2" s="1" t="s">
        <v>1005</v>
      </c>
      <c r="HD2" s="1" t="s">
        <v>1006</v>
      </c>
      <c r="HE2" s="1" t="s">
        <v>1007</v>
      </c>
      <c r="HF2" s="1" t="s">
        <v>1008</v>
      </c>
      <c r="HG2" s="1" t="s">
        <v>1009</v>
      </c>
      <c r="HH2" s="1" t="s">
        <v>1010</v>
      </c>
      <c r="HI2" s="1" t="s">
        <v>1011</v>
      </c>
      <c r="HJ2" s="1" t="s">
        <v>1012</v>
      </c>
      <c r="HK2" s="1" t="s">
        <v>1013</v>
      </c>
      <c r="HL2" s="1" t="s">
        <v>1014</v>
      </c>
      <c r="HM2" s="1" t="s">
        <v>1015</v>
      </c>
      <c r="HN2" s="1" t="s">
        <v>1016</v>
      </c>
      <c r="HO2" s="1" t="s">
        <v>1017</v>
      </c>
      <c r="HP2" s="1" t="s">
        <v>1018</v>
      </c>
      <c r="HQ2" s="1" t="s">
        <v>1019</v>
      </c>
      <c r="HR2" s="1" t="s">
        <v>1020</v>
      </c>
      <c r="HS2" s="1" t="s">
        <v>1021</v>
      </c>
      <c r="HT2" s="1" t="s">
        <v>1022</v>
      </c>
      <c r="HU2" s="1" t="s">
        <v>1023</v>
      </c>
      <c r="HV2" s="1" t="s">
        <v>1024</v>
      </c>
      <c r="HW2" s="1" t="s">
        <v>1025</v>
      </c>
      <c r="HX2" s="1" t="s">
        <v>1026</v>
      </c>
      <c r="HY2" s="1" t="s">
        <v>1027</v>
      </c>
      <c r="HZ2" s="1" t="s">
        <v>1028</v>
      </c>
      <c r="IA2" s="1" t="s">
        <v>1029</v>
      </c>
      <c r="IB2" s="1" t="s">
        <v>1030</v>
      </c>
      <c r="IC2" s="1" t="s">
        <v>1031</v>
      </c>
      <c r="ID2" s="1" t="s">
        <v>1032</v>
      </c>
      <c r="IE2" s="1" t="s">
        <v>1033</v>
      </c>
      <c r="IF2" s="1" t="s">
        <v>1034</v>
      </c>
      <c r="IG2" s="1" t="s">
        <v>1035</v>
      </c>
      <c r="IH2" s="1" t="s">
        <v>1036</v>
      </c>
      <c r="II2" s="1" t="s">
        <v>1037</v>
      </c>
      <c r="IJ2" s="1" t="s">
        <v>1038</v>
      </c>
      <c r="IK2" s="1" t="s">
        <v>1039</v>
      </c>
      <c r="IL2" s="1" t="s">
        <v>1040</v>
      </c>
      <c r="IM2" s="1" t="s">
        <v>1041</v>
      </c>
      <c r="IN2" s="1" t="s">
        <v>1042</v>
      </c>
      <c r="IO2" s="1" t="s">
        <v>1043</v>
      </c>
      <c r="IP2" s="1" t="s">
        <v>1044</v>
      </c>
      <c r="IQ2" s="1" t="s">
        <v>1045</v>
      </c>
      <c r="IR2" s="1" t="s">
        <v>1046</v>
      </c>
      <c r="IS2" s="1" t="s">
        <v>1047</v>
      </c>
      <c r="IT2" s="1" t="s">
        <v>1048</v>
      </c>
      <c r="IU2" s="1" t="s">
        <v>1049</v>
      </c>
      <c r="IV2" s="1" t="s">
        <v>1050</v>
      </c>
      <c r="IW2" s="1" t="s">
        <v>1051</v>
      </c>
      <c r="IX2" s="1" t="s">
        <v>1052</v>
      </c>
      <c r="IY2" s="1" t="s">
        <v>1053</v>
      </c>
      <c r="IZ2" s="1" t="s">
        <v>1054</v>
      </c>
      <c r="JA2" s="1" t="s">
        <v>1055</v>
      </c>
      <c r="JB2" s="1" t="s">
        <v>1056</v>
      </c>
      <c r="JC2" s="1" t="s">
        <v>1057</v>
      </c>
      <c r="JD2" s="1" t="s">
        <v>1058</v>
      </c>
      <c r="JE2" s="1" t="s">
        <v>1059</v>
      </c>
      <c r="JF2" s="1" t="s">
        <v>1060</v>
      </c>
      <c r="JG2" s="1" t="s">
        <v>1061</v>
      </c>
      <c r="JH2" s="1" t="s">
        <v>1062</v>
      </c>
      <c r="JI2" s="1" t="s">
        <v>1063</v>
      </c>
      <c r="JJ2" s="1" t="s">
        <v>1064</v>
      </c>
      <c r="JK2" s="1" t="s">
        <v>1065</v>
      </c>
      <c r="JL2" s="1" t="s">
        <v>1066</v>
      </c>
      <c r="JM2" s="1" t="s">
        <v>1067</v>
      </c>
      <c r="JN2" s="1" t="s">
        <v>1068</v>
      </c>
      <c r="JO2" s="1" t="s">
        <v>1069</v>
      </c>
      <c r="JP2" s="1" t="s">
        <v>1070</v>
      </c>
      <c r="JQ2" s="1" t="s">
        <v>1071</v>
      </c>
      <c r="JR2" s="1" t="s">
        <v>1072</v>
      </c>
      <c r="JS2" s="1" t="s">
        <v>1073</v>
      </c>
      <c r="JT2" s="1" t="s">
        <v>1074</v>
      </c>
      <c r="JU2" s="1" t="s">
        <v>1075</v>
      </c>
      <c r="JV2" s="1" t="s">
        <v>1076</v>
      </c>
      <c r="JW2" s="1" t="s">
        <v>1077</v>
      </c>
      <c r="JX2" s="1" t="s">
        <v>1078</v>
      </c>
      <c r="JY2" s="1" t="s">
        <v>1079</v>
      </c>
      <c r="JZ2" s="1" t="s">
        <v>1080</v>
      </c>
      <c r="KA2" s="1" t="s">
        <v>1081</v>
      </c>
      <c r="KB2" s="1" t="s">
        <v>1082</v>
      </c>
      <c r="KC2" s="1" t="s">
        <v>1083</v>
      </c>
      <c r="KD2" s="1" t="s">
        <v>1084</v>
      </c>
      <c r="KE2" s="1" t="s">
        <v>1085</v>
      </c>
      <c r="KF2" s="1" t="s">
        <v>1086</v>
      </c>
      <c r="KG2" s="1" t="s">
        <v>1087</v>
      </c>
      <c r="KH2" s="1" t="s">
        <v>1088</v>
      </c>
      <c r="KI2" s="1" t="s">
        <v>1089</v>
      </c>
      <c r="KJ2" s="1" t="s">
        <v>1090</v>
      </c>
      <c r="KK2" s="1" t="s">
        <v>1091</v>
      </c>
      <c r="KL2" s="1" t="s">
        <v>1092</v>
      </c>
      <c r="KM2" s="1" t="s">
        <v>1093</v>
      </c>
      <c r="KN2" s="1" t="s">
        <v>1094</v>
      </c>
      <c r="KO2" s="1" t="s">
        <v>1095</v>
      </c>
      <c r="KP2" s="1" t="s">
        <v>1096</v>
      </c>
      <c r="KQ2" s="1" t="s">
        <v>1097</v>
      </c>
      <c r="KR2" s="1" t="s">
        <v>1098</v>
      </c>
      <c r="KS2" s="1" t="s">
        <v>1099</v>
      </c>
      <c r="KT2" s="1" t="s">
        <v>1100</v>
      </c>
      <c r="KU2" s="1" t="s">
        <v>1101</v>
      </c>
      <c r="KV2" s="1" t="s">
        <v>1102</v>
      </c>
      <c r="KW2" s="1" t="s">
        <v>1103</v>
      </c>
      <c r="KX2" s="1" t="s">
        <v>1104</v>
      </c>
      <c r="KY2" s="1" t="s">
        <v>1105</v>
      </c>
      <c r="KZ2" s="1" t="s">
        <v>1106</v>
      </c>
      <c r="LA2" s="1" t="s">
        <v>1107</v>
      </c>
      <c r="LB2" s="1" t="s">
        <v>1108</v>
      </c>
      <c r="LC2" s="1" t="s">
        <v>1109</v>
      </c>
      <c r="LD2" s="1" t="s">
        <v>1110</v>
      </c>
      <c r="LE2" s="1" t="s">
        <v>1111</v>
      </c>
      <c r="LF2" s="1" t="s">
        <v>1112</v>
      </c>
      <c r="LG2" s="1" t="s">
        <v>1113</v>
      </c>
      <c r="LH2" s="1" t="s">
        <v>1114</v>
      </c>
      <c r="LI2" s="1" t="s">
        <v>1115</v>
      </c>
      <c r="LJ2" s="1" t="s">
        <v>1116</v>
      </c>
      <c r="LK2" s="1" t="s">
        <v>1117</v>
      </c>
      <c r="LL2" s="1" t="s">
        <v>1118</v>
      </c>
      <c r="LM2" s="1" t="s">
        <v>1119</v>
      </c>
      <c r="LN2" s="1" t="s">
        <v>1120</v>
      </c>
      <c r="LO2" s="1" t="s">
        <v>1121</v>
      </c>
      <c r="LP2" s="1" t="s">
        <v>1122</v>
      </c>
      <c r="LQ2" s="1" t="s">
        <v>1123</v>
      </c>
      <c r="LR2" s="1" t="s">
        <v>1124</v>
      </c>
      <c r="LS2" s="1" t="s">
        <v>1125</v>
      </c>
      <c r="LT2" s="1" t="s">
        <v>1126</v>
      </c>
      <c r="LU2" s="1" t="s">
        <v>1127</v>
      </c>
      <c r="LV2" s="1" t="s">
        <v>1128</v>
      </c>
      <c r="LW2" s="1" t="s">
        <v>1129</v>
      </c>
      <c r="LX2" s="1" t="s">
        <v>1130</v>
      </c>
      <c r="LY2" s="1" t="s">
        <v>1131</v>
      </c>
      <c r="LZ2" s="1" t="s">
        <v>1132</v>
      </c>
      <c r="MA2" s="1" t="s">
        <v>1133</v>
      </c>
      <c r="MB2" s="1" t="s">
        <v>1134</v>
      </c>
      <c r="MC2" s="1" t="s">
        <v>1135</v>
      </c>
      <c r="MD2" s="1" t="s">
        <v>1136</v>
      </c>
      <c r="ME2" s="1" t="s">
        <v>1137</v>
      </c>
      <c r="MF2" s="1" t="s">
        <v>1138</v>
      </c>
      <c r="MG2" s="1" t="s">
        <v>1139</v>
      </c>
      <c r="MH2" s="1" t="s">
        <v>1140</v>
      </c>
      <c r="MI2" s="1" t="s">
        <v>1141</v>
      </c>
      <c r="MJ2" s="1" t="s">
        <v>1142</v>
      </c>
      <c r="MK2" s="1" t="s">
        <v>1143</v>
      </c>
      <c r="ML2" s="1" t="s">
        <v>1144</v>
      </c>
      <c r="MM2" s="1" t="s">
        <v>1145</v>
      </c>
      <c r="MN2" s="1" t="s">
        <v>1146</v>
      </c>
      <c r="MO2" s="1" t="s">
        <v>1147</v>
      </c>
      <c r="MP2" s="1" t="s">
        <v>1148</v>
      </c>
      <c r="MQ2" s="1" t="s">
        <v>1149</v>
      </c>
      <c r="MR2" s="1" t="s">
        <v>1150</v>
      </c>
      <c r="MS2" s="1" t="s">
        <v>1151</v>
      </c>
      <c r="MT2" s="1" t="s">
        <v>1152</v>
      </c>
      <c r="MU2" s="1" t="s">
        <v>1153</v>
      </c>
      <c r="MV2" s="1" t="s">
        <v>1154</v>
      </c>
      <c r="MW2" s="1" t="s">
        <v>1155</v>
      </c>
      <c r="MX2" s="1" t="s">
        <v>1156</v>
      </c>
      <c r="MY2" s="1" t="s">
        <v>1157</v>
      </c>
      <c r="MZ2" s="1" t="s">
        <v>1158</v>
      </c>
      <c r="NA2" s="1" t="s">
        <v>1159</v>
      </c>
      <c r="NB2" s="1" t="s">
        <v>1160</v>
      </c>
      <c r="NC2" s="1" t="s">
        <v>1161</v>
      </c>
      <c r="ND2" s="1" t="s">
        <v>1162</v>
      </c>
      <c r="NE2" s="1" t="s">
        <v>1163</v>
      </c>
      <c r="NF2" s="1" t="s">
        <v>1164</v>
      </c>
      <c r="NG2" s="1" t="s">
        <v>1165</v>
      </c>
      <c r="NH2" s="1" t="s">
        <v>1166</v>
      </c>
      <c r="NI2" s="1" t="s">
        <v>1167</v>
      </c>
      <c r="NJ2" s="1" t="s">
        <v>1168</v>
      </c>
      <c r="NK2" s="1" t="s">
        <v>1169</v>
      </c>
      <c r="NL2" s="1" t="s">
        <v>1170</v>
      </c>
      <c r="NM2" s="1" t="s">
        <v>1171</v>
      </c>
      <c r="NN2" s="1" t="s">
        <v>1172</v>
      </c>
      <c r="NO2" s="1" t="s">
        <v>1173</v>
      </c>
      <c r="NP2" s="1" t="s">
        <v>1174</v>
      </c>
      <c r="NQ2" s="1" t="s">
        <v>1175</v>
      </c>
      <c r="NR2" s="1" t="s">
        <v>1176</v>
      </c>
      <c r="NS2" s="1" t="s">
        <v>1177</v>
      </c>
      <c r="NT2" s="1" t="s">
        <v>1178</v>
      </c>
      <c r="NU2" s="1" t="s">
        <v>1179</v>
      </c>
      <c r="NV2" s="1" t="s">
        <v>1180</v>
      </c>
      <c r="NW2" s="1" t="s">
        <v>1181</v>
      </c>
      <c r="NX2" s="1" t="s">
        <v>1182</v>
      </c>
      <c r="NY2" s="1" t="s">
        <v>1183</v>
      </c>
      <c r="NZ2" s="1" t="s">
        <v>1184</v>
      </c>
      <c r="OA2" s="1" t="s">
        <v>1185</v>
      </c>
      <c r="OB2" s="1" t="s">
        <v>1186</v>
      </c>
      <c r="OC2" s="1" t="s">
        <v>1187</v>
      </c>
      <c r="OD2" s="1" t="s">
        <v>1188</v>
      </c>
      <c r="OE2" s="1" t="s">
        <v>1189</v>
      </c>
      <c r="OF2" s="1" t="s">
        <v>1190</v>
      </c>
      <c r="OG2" s="1" t="s">
        <v>1191</v>
      </c>
      <c r="OH2" s="1" t="s">
        <v>1192</v>
      </c>
      <c r="OI2" s="1" t="s">
        <v>1193</v>
      </c>
      <c r="OJ2" s="1" t="s">
        <v>1194</v>
      </c>
      <c r="OK2" s="1" t="s">
        <v>1195</v>
      </c>
      <c r="OL2" s="1" t="s">
        <v>1196</v>
      </c>
      <c r="OM2" s="1" t="s">
        <v>1197</v>
      </c>
      <c r="ON2" s="1" t="s">
        <v>1198</v>
      </c>
      <c r="OO2" s="1" t="s">
        <v>1199</v>
      </c>
      <c r="OP2" s="1" t="s">
        <v>1200</v>
      </c>
      <c r="OQ2" s="1" t="s">
        <v>1201</v>
      </c>
      <c r="OR2" s="1" t="s">
        <v>1202</v>
      </c>
      <c r="OS2" s="1" t="s">
        <v>1203</v>
      </c>
      <c r="OT2" s="1" t="s">
        <v>1204</v>
      </c>
      <c r="OU2" s="1" t="s">
        <v>1205</v>
      </c>
      <c r="OV2" s="1" t="s">
        <v>1206</v>
      </c>
      <c r="OW2" s="1" t="s">
        <v>1207</v>
      </c>
      <c r="OX2" s="1" t="s">
        <v>1208</v>
      </c>
      <c r="OY2" s="1" t="s">
        <v>1209</v>
      </c>
      <c r="OZ2" s="1" t="s">
        <v>1210</v>
      </c>
      <c r="PA2" s="1" t="s">
        <v>1211</v>
      </c>
      <c r="PB2" s="1" t="s">
        <v>1212</v>
      </c>
      <c r="PC2" s="1" t="s">
        <v>1213</v>
      </c>
      <c r="PD2" s="1" t="s">
        <v>1214</v>
      </c>
      <c r="PE2" s="1" t="s">
        <v>1215</v>
      </c>
      <c r="PF2" s="1" t="s">
        <v>1216</v>
      </c>
      <c r="PG2" s="1" t="s">
        <v>1217</v>
      </c>
      <c r="PH2" s="1" t="s">
        <v>1218</v>
      </c>
      <c r="PI2" s="1" t="s">
        <v>1219</v>
      </c>
      <c r="PJ2" s="1" t="s">
        <v>1220</v>
      </c>
      <c r="PK2" s="1" t="s">
        <v>1221</v>
      </c>
      <c r="PL2" s="1" t="s">
        <v>1222</v>
      </c>
      <c r="PM2" s="1" t="s">
        <v>1223</v>
      </c>
      <c r="PN2" s="1" t="s">
        <v>1224</v>
      </c>
      <c r="PO2" s="1" t="s">
        <v>1225</v>
      </c>
      <c r="PP2" s="1" t="s">
        <v>1226</v>
      </c>
      <c r="PQ2" s="1" t="s">
        <v>1227</v>
      </c>
      <c r="PR2" s="1" t="s">
        <v>1228</v>
      </c>
      <c r="PS2" s="1" t="s">
        <v>1229</v>
      </c>
      <c r="PT2" s="1" t="s">
        <v>1230</v>
      </c>
      <c r="PU2" s="1" t="s">
        <v>1231</v>
      </c>
      <c r="PV2" s="1" t="s">
        <v>1232</v>
      </c>
      <c r="PW2" s="1" t="s">
        <v>1233</v>
      </c>
      <c r="PX2" s="1" t="s">
        <v>1234</v>
      </c>
      <c r="PY2" s="1" t="s">
        <v>1235</v>
      </c>
      <c r="PZ2" s="1" t="s">
        <v>1236</v>
      </c>
      <c r="QA2" s="1" t="s">
        <v>1237</v>
      </c>
      <c r="QB2" s="1" t="s">
        <v>1238</v>
      </c>
      <c r="QC2" s="1" t="s">
        <v>1239</v>
      </c>
      <c r="QD2" s="1" t="s">
        <v>1240</v>
      </c>
      <c r="QE2" s="1" t="s">
        <v>1241</v>
      </c>
      <c r="QF2" s="1" t="s">
        <v>1242</v>
      </c>
      <c r="QG2" s="1" t="s">
        <v>1243</v>
      </c>
      <c r="QH2" s="1" t="s">
        <v>1244</v>
      </c>
      <c r="QI2" s="1" t="s">
        <v>1245</v>
      </c>
      <c r="QJ2" s="1" t="s">
        <v>1246</v>
      </c>
      <c r="QK2" s="1" t="s">
        <v>1247</v>
      </c>
      <c r="QL2" s="1" t="s">
        <v>1248</v>
      </c>
      <c r="QM2" s="1" t="s">
        <v>1249</v>
      </c>
      <c r="QN2" s="1" t="s">
        <v>1250</v>
      </c>
      <c r="QO2" s="1" t="s">
        <v>1251</v>
      </c>
      <c r="QP2" s="1" t="s">
        <v>1252</v>
      </c>
      <c r="QQ2" s="1" t="s">
        <v>1253</v>
      </c>
      <c r="QR2" s="1" t="s">
        <v>1254</v>
      </c>
      <c r="QS2" s="1" t="s">
        <v>1255</v>
      </c>
      <c r="QT2" s="1" t="s">
        <v>1256</v>
      </c>
      <c r="QU2" s="1" t="s">
        <v>1257</v>
      </c>
      <c r="QV2" s="1" t="s">
        <v>1258</v>
      </c>
      <c r="QW2" s="1" t="s">
        <v>1259</v>
      </c>
      <c r="QX2" s="1" t="s">
        <v>1260</v>
      </c>
      <c r="QY2" s="1" t="s">
        <v>1261</v>
      </c>
      <c r="QZ2" s="1" t="s">
        <v>1262</v>
      </c>
      <c r="RA2" s="1" t="s">
        <v>1263</v>
      </c>
      <c r="RB2" s="1" t="s">
        <v>1264</v>
      </c>
      <c r="RC2" s="1" t="s">
        <v>1265</v>
      </c>
      <c r="RD2" s="1" t="s">
        <v>1266</v>
      </c>
      <c r="RE2" s="1" t="s">
        <v>1267</v>
      </c>
      <c r="RF2" s="1" t="s">
        <v>1268</v>
      </c>
      <c r="RG2" s="1" t="s">
        <v>1269</v>
      </c>
      <c r="RH2" s="1" t="s">
        <v>1270</v>
      </c>
      <c r="RI2" s="1" t="s">
        <v>1271</v>
      </c>
      <c r="RJ2" s="1" t="s">
        <v>1272</v>
      </c>
      <c r="RK2" s="1" t="s">
        <v>1273</v>
      </c>
      <c r="RL2" s="1" t="s">
        <v>1274</v>
      </c>
      <c r="RM2" s="1" t="s">
        <v>1275</v>
      </c>
      <c r="RN2" s="1" t="s">
        <v>1276</v>
      </c>
      <c r="RO2" s="1" t="s">
        <v>1277</v>
      </c>
      <c r="RP2" s="1" t="s">
        <v>1278</v>
      </c>
      <c r="RQ2" s="1" t="s">
        <v>1279</v>
      </c>
      <c r="RR2" s="1" t="s">
        <v>1280</v>
      </c>
      <c r="RS2" s="1" t="s">
        <v>1281</v>
      </c>
      <c r="RT2" s="1" t="s">
        <v>1282</v>
      </c>
      <c r="RU2" s="1" t="s">
        <v>1283</v>
      </c>
      <c r="RV2" s="1" t="s">
        <v>1284</v>
      </c>
      <c r="RW2" s="1" t="s">
        <v>1285</v>
      </c>
      <c r="RX2" s="1" t="s">
        <v>1286</v>
      </c>
      <c r="RY2" s="1" t="s">
        <v>1287</v>
      </c>
      <c r="RZ2" s="1" t="s">
        <v>1288</v>
      </c>
      <c r="SA2" s="1" t="s">
        <v>1289</v>
      </c>
      <c r="SB2" s="1" t="s">
        <v>1290</v>
      </c>
      <c r="SC2" s="1" t="s">
        <v>1291</v>
      </c>
      <c r="SD2" s="1" t="s">
        <v>1292</v>
      </c>
      <c r="SE2" s="1" t="s">
        <v>1293</v>
      </c>
      <c r="SF2" s="1" t="s">
        <v>1294</v>
      </c>
      <c r="SG2" s="1" t="s">
        <v>1295</v>
      </c>
      <c r="SH2" s="1" t="s">
        <v>1296</v>
      </c>
      <c r="SI2" s="1" t="s">
        <v>1297</v>
      </c>
      <c r="SJ2" s="1" t="s">
        <v>1298</v>
      </c>
      <c r="SK2" s="1" t="s">
        <v>1299</v>
      </c>
      <c r="SL2" s="1" t="s">
        <v>1300</v>
      </c>
      <c r="SM2" s="1" t="s">
        <v>1301</v>
      </c>
      <c r="SN2" s="1" t="s">
        <v>1302</v>
      </c>
      <c r="SO2" s="1" t="s">
        <v>1303</v>
      </c>
      <c r="SP2" s="1" t="s">
        <v>1304</v>
      </c>
      <c r="SQ2" s="1" t="s">
        <v>1305</v>
      </c>
      <c r="SR2" s="1" t="s">
        <v>1306</v>
      </c>
      <c r="SS2" s="1" t="s">
        <v>1307</v>
      </c>
      <c r="ST2" s="1" t="s">
        <v>1308</v>
      </c>
      <c r="SU2" s="1" t="s">
        <v>1309</v>
      </c>
      <c r="SV2" s="1" t="s">
        <v>1310</v>
      </c>
      <c r="SW2" s="1" t="s">
        <v>1311</v>
      </c>
      <c r="SX2" s="1" t="s">
        <v>1312</v>
      </c>
      <c r="SY2" s="1" t="s">
        <v>1313</v>
      </c>
      <c r="SZ2" s="1" t="s">
        <v>1314</v>
      </c>
      <c r="TA2" s="1" t="s">
        <v>1315</v>
      </c>
      <c r="TB2" s="1" t="s">
        <v>1316</v>
      </c>
      <c r="TC2" s="1" t="s">
        <v>1317</v>
      </c>
      <c r="TD2" s="1" t="s">
        <v>1318</v>
      </c>
      <c r="TE2" s="1" t="s">
        <v>1319</v>
      </c>
      <c r="TF2" s="1" t="s">
        <v>1320</v>
      </c>
      <c r="TG2" s="1" t="s">
        <v>1321</v>
      </c>
      <c r="TH2" s="1" t="s">
        <v>1322</v>
      </c>
      <c r="TI2" s="1" t="s">
        <v>1323</v>
      </c>
      <c r="TJ2" s="1" t="s">
        <v>1324</v>
      </c>
      <c r="TK2" s="1" t="s">
        <v>1325</v>
      </c>
      <c r="TL2" s="1" t="s">
        <v>1326</v>
      </c>
      <c r="TM2" s="1" t="s">
        <v>1327</v>
      </c>
      <c r="TN2" s="1" t="s">
        <v>1328</v>
      </c>
      <c r="TO2" s="1" t="s">
        <v>1329</v>
      </c>
      <c r="TP2" s="1" t="s">
        <v>1330</v>
      </c>
      <c r="TQ2" s="1" t="s">
        <v>1331</v>
      </c>
      <c r="TR2" s="1" t="s">
        <v>1332</v>
      </c>
      <c r="TS2" s="1" t="s">
        <v>1333</v>
      </c>
      <c r="TT2" s="1" t="s">
        <v>1334</v>
      </c>
      <c r="TU2" s="1" t="s">
        <v>1335</v>
      </c>
      <c r="TV2" s="1" t="s">
        <v>1336</v>
      </c>
      <c r="TW2" s="1" t="s">
        <v>1337</v>
      </c>
      <c r="TX2" s="1" t="s">
        <v>1338</v>
      </c>
      <c r="TY2" s="1" t="s">
        <v>1339</v>
      </c>
      <c r="TZ2" s="1" t="s">
        <v>1340</v>
      </c>
      <c r="UA2" s="1" t="s">
        <v>1341</v>
      </c>
      <c r="UB2" s="1" t="s">
        <v>1342</v>
      </c>
      <c r="UC2" s="1" t="s">
        <v>1343</v>
      </c>
      <c r="UD2" s="1" t="s">
        <v>1344</v>
      </c>
      <c r="UE2" s="1" t="s">
        <v>1345</v>
      </c>
      <c r="UF2" s="1" t="s">
        <v>1346</v>
      </c>
      <c r="UG2" s="1" t="s">
        <v>1347</v>
      </c>
      <c r="UH2" s="1" t="s">
        <v>1348</v>
      </c>
      <c r="UI2" s="1" t="s">
        <v>1349</v>
      </c>
      <c r="UJ2" s="1" t="s">
        <v>1350</v>
      </c>
      <c r="UK2" s="1" t="s">
        <v>1351</v>
      </c>
      <c r="UL2" s="1" t="s">
        <v>1352</v>
      </c>
      <c r="UM2" s="1" t="s">
        <v>1353</v>
      </c>
      <c r="UN2" s="1" t="s">
        <v>1354</v>
      </c>
      <c r="UO2" s="1" t="s">
        <v>1355</v>
      </c>
      <c r="UP2" s="1" t="s">
        <v>1356</v>
      </c>
      <c r="UQ2" s="1" t="s">
        <v>1357</v>
      </c>
      <c r="UR2" s="1" t="s">
        <v>1358</v>
      </c>
      <c r="US2" s="1" t="s">
        <v>1359</v>
      </c>
      <c r="UT2" s="1" t="s">
        <v>1360</v>
      </c>
      <c r="UU2" s="1" t="s">
        <v>1361</v>
      </c>
      <c r="UV2" s="1" t="s">
        <v>1362</v>
      </c>
      <c r="UW2" s="1" t="s">
        <v>1363</v>
      </c>
      <c r="UX2" s="1" t="s">
        <v>1364</v>
      </c>
      <c r="UY2" s="1" t="s">
        <v>1365</v>
      </c>
      <c r="UZ2" s="1" t="s">
        <v>1366</v>
      </c>
      <c r="VA2" s="1" t="s">
        <v>1367</v>
      </c>
      <c r="VB2" s="1" t="s">
        <v>1368</v>
      </c>
      <c r="VC2" s="1" t="s">
        <v>1369</v>
      </c>
      <c r="VD2" s="1" t="s">
        <v>1370</v>
      </c>
      <c r="VE2" s="1" t="s">
        <v>1371</v>
      </c>
      <c r="VF2" s="1" t="s">
        <v>1372</v>
      </c>
      <c r="VG2" s="1" t="s">
        <v>1373</v>
      </c>
      <c r="VH2" s="1" t="s">
        <v>1374</v>
      </c>
      <c r="VI2" s="1" t="s">
        <v>1375</v>
      </c>
      <c r="VJ2" s="1" t="s">
        <v>1376</v>
      </c>
      <c r="VK2" s="1" t="s">
        <v>1377</v>
      </c>
      <c r="VL2" s="1" t="s">
        <v>1378</v>
      </c>
      <c r="VM2" s="1" t="s">
        <v>1379</v>
      </c>
      <c r="VN2" s="1" t="s">
        <v>1380</v>
      </c>
      <c r="VO2" s="1" t="s">
        <v>1381</v>
      </c>
      <c r="VP2" s="1" t="s">
        <v>1382</v>
      </c>
      <c r="VQ2" s="1" t="s">
        <v>1383</v>
      </c>
      <c r="VR2" s="1" t="s">
        <v>1384</v>
      </c>
      <c r="VS2" s="1" t="s">
        <v>1385</v>
      </c>
      <c r="VT2" s="1" t="s">
        <v>1386</v>
      </c>
      <c r="VU2" s="1" t="s">
        <v>1387</v>
      </c>
      <c r="VV2" s="1" t="s">
        <v>1388</v>
      </c>
      <c r="VW2" s="1" t="s">
        <v>1389</v>
      </c>
      <c r="VX2" s="1" t="s">
        <v>1390</v>
      </c>
      <c r="VY2" s="1" t="s">
        <v>1391</v>
      </c>
      <c r="VZ2" s="1" t="s">
        <v>1392</v>
      </c>
      <c r="WA2" s="1" t="s">
        <v>1393</v>
      </c>
      <c r="WB2" s="1" t="s">
        <v>1394</v>
      </c>
      <c r="WC2" s="1" t="s">
        <v>1395</v>
      </c>
      <c r="WD2" s="1" t="s">
        <v>1396</v>
      </c>
      <c r="WE2" s="1" t="s">
        <v>1397</v>
      </c>
      <c r="WF2" s="1" t="s">
        <v>1398</v>
      </c>
      <c r="WG2" s="1" t="s">
        <v>1399</v>
      </c>
      <c r="WH2" s="1" t="s">
        <v>1400</v>
      </c>
      <c r="WI2" s="1" t="s">
        <v>1401</v>
      </c>
      <c r="WJ2" s="1" t="s">
        <v>1402</v>
      </c>
      <c r="WK2" s="1" t="s">
        <v>1403</v>
      </c>
      <c r="WL2" s="1" t="s">
        <v>1404</v>
      </c>
      <c r="WM2" s="1" t="s">
        <v>1405</v>
      </c>
      <c r="WN2" s="1" t="s">
        <v>1406</v>
      </c>
      <c r="WO2" s="1" t="s">
        <v>1407</v>
      </c>
      <c r="WP2" s="1" t="s">
        <v>1408</v>
      </c>
      <c r="WQ2" s="1" t="s">
        <v>1409</v>
      </c>
      <c r="WR2" s="1" t="s">
        <v>1410</v>
      </c>
      <c r="WS2" s="1" t="s">
        <v>1411</v>
      </c>
      <c r="WT2" s="1" t="s">
        <v>1412</v>
      </c>
      <c r="WU2" s="1" t="s">
        <v>1413</v>
      </c>
      <c r="WV2" s="1" t="s">
        <v>1414</v>
      </c>
      <c r="WW2" s="1" t="s">
        <v>1415</v>
      </c>
      <c r="WX2" s="1" t="s">
        <v>1416</v>
      </c>
      <c r="WY2" s="1" t="s">
        <v>1417</v>
      </c>
      <c r="WZ2" s="1" t="s">
        <v>1418</v>
      </c>
      <c r="XA2" s="1" t="s">
        <v>1419</v>
      </c>
      <c r="XB2" s="1" t="s">
        <v>1420</v>
      </c>
      <c r="XC2" s="1" t="s">
        <v>1421</v>
      </c>
      <c r="XD2" s="1" t="s">
        <v>1422</v>
      </c>
      <c r="XE2" s="1" t="s">
        <v>1423</v>
      </c>
      <c r="XF2" s="1" t="s">
        <v>1424</v>
      </c>
      <c r="XG2" s="1" t="s">
        <v>1425</v>
      </c>
      <c r="XH2" s="1" t="s">
        <v>1426</v>
      </c>
      <c r="XI2" s="1" t="s">
        <v>1427</v>
      </c>
      <c r="XJ2" s="1" t="s">
        <v>1428</v>
      </c>
      <c r="XK2" s="1" t="s">
        <v>1429</v>
      </c>
      <c r="XL2" s="1" t="s">
        <v>1430</v>
      </c>
      <c r="XM2" s="1" t="s">
        <v>1431</v>
      </c>
      <c r="XN2" s="1" t="s">
        <v>1432</v>
      </c>
      <c r="XO2" s="1" t="s">
        <v>1433</v>
      </c>
      <c r="XP2" s="1" t="s">
        <v>1434</v>
      </c>
      <c r="XQ2" s="1" t="s">
        <v>1435</v>
      </c>
      <c r="XR2" s="1" t="s">
        <v>1436</v>
      </c>
      <c r="XS2" s="1" t="s">
        <v>1437</v>
      </c>
      <c r="XT2" s="1" t="s">
        <v>1438</v>
      </c>
      <c r="XU2" s="1" t="s">
        <v>1439</v>
      </c>
      <c r="XV2" s="1" t="s">
        <v>1440</v>
      </c>
      <c r="XW2" s="1" t="s">
        <v>1441</v>
      </c>
      <c r="XX2" s="1" t="s">
        <v>1442</v>
      </c>
      <c r="XY2" s="1" t="s">
        <v>1443</v>
      </c>
      <c r="XZ2" s="1" t="s">
        <v>1444</v>
      </c>
      <c r="YA2" s="1" t="s">
        <v>1445</v>
      </c>
      <c r="YB2" s="1" t="s">
        <v>1446</v>
      </c>
      <c r="YC2" s="1" t="s">
        <v>1447</v>
      </c>
      <c r="YD2" s="1" t="s">
        <v>1448</v>
      </c>
      <c r="YE2" s="1" t="s">
        <v>1449</v>
      </c>
      <c r="YF2" s="1" t="s">
        <v>1450</v>
      </c>
      <c r="YG2" s="1" t="s">
        <v>1451</v>
      </c>
      <c r="YH2" s="1" t="s">
        <v>1452</v>
      </c>
      <c r="YI2" s="1" t="s">
        <v>1453</v>
      </c>
      <c r="YJ2" s="1" t="s">
        <v>1454</v>
      </c>
      <c r="YK2" s="1" t="s">
        <v>1455</v>
      </c>
      <c r="YL2" s="1" t="s">
        <v>1456</v>
      </c>
      <c r="YM2" s="1" t="s">
        <v>1457</v>
      </c>
      <c r="YN2" s="1" t="s">
        <v>1458</v>
      </c>
      <c r="YO2" s="1" t="s">
        <v>1459</v>
      </c>
      <c r="YP2" s="1" t="s">
        <v>1460</v>
      </c>
      <c r="YQ2" s="1" t="s">
        <v>1461</v>
      </c>
      <c r="YR2" s="1" t="s">
        <v>1462</v>
      </c>
      <c r="YS2" s="1" t="s">
        <v>1463</v>
      </c>
      <c r="YT2" s="1" t="s">
        <v>1464</v>
      </c>
      <c r="YU2" s="1" t="s">
        <v>1465</v>
      </c>
      <c r="YV2" s="1" t="s">
        <v>1466</v>
      </c>
      <c r="YW2" s="1" t="s">
        <v>1467</v>
      </c>
      <c r="YX2" s="1" t="s">
        <v>1468</v>
      </c>
      <c r="YY2" s="1" t="s">
        <v>1469</v>
      </c>
      <c r="YZ2" s="1" t="s">
        <v>1470</v>
      </c>
      <c r="ZA2" s="1" t="s">
        <v>1471</v>
      </c>
      <c r="ZB2" s="1" t="s">
        <v>1472</v>
      </c>
      <c r="ZC2" s="1" t="s">
        <v>1473</v>
      </c>
      <c r="ZD2" s="1" t="s">
        <v>1474</v>
      </c>
      <c r="ZE2" s="1" t="s">
        <v>1475</v>
      </c>
      <c r="ZF2" s="1" t="s">
        <v>1476</v>
      </c>
      <c r="ZG2" s="1" t="s">
        <v>1477</v>
      </c>
      <c r="ZH2" s="1" t="s">
        <v>1478</v>
      </c>
      <c r="ZI2" s="1" t="s">
        <v>1479</v>
      </c>
      <c r="ZJ2" s="1" t="s">
        <v>1480</v>
      </c>
      <c r="ZK2" s="1" t="s">
        <v>1481</v>
      </c>
      <c r="ZL2" s="1" t="s">
        <v>1482</v>
      </c>
      <c r="ZM2" s="1" t="s">
        <v>1483</v>
      </c>
      <c r="ZN2" s="1" t="s">
        <v>1484</v>
      </c>
      <c r="ZO2" s="1" t="s">
        <v>1485</v>
      </c>
      <c r="ZP2" s="1" t="s">
        <v>1486</v>
      </c>
      <c r="ZQ2" s="1" t="s">
        <v>1487</v>
      </c>
      <c r="ZR2" s="1" t="s">
        <v>1488</v>
      </c>
      <c r="ZS2" s="1" t="s">
        <v>1489</v>
      </c>
      <c r="ZT2" s="1" t="s">
        <v>1490</v>
      </c>
      <c r="ZU2" s="1" t="s">
        <v>1491</v>
      </c>
      <c r="ZV2" s="1" t="s">
        <v>1492</v>
      </c>
      <c r="ZW2" s="1" t="s">
        <v>1493</v>
      </c>
      <c r="ZX2" s="1" t="s">
        <v>1494</v>
      </c>
      <c r="ZY2" s="1" t="s">
        <v>1495</v>
      </c>
      <c r="ZZ2" s="1" t="s">
        <v>1585</v>
      </c>
      <c r="AAA2" s="1" t="s">
        <v>1586</v>
      </c>
      <c r="AAB2" s="1" t="s">
        <v>1587</v>
      </c>
      <c r="AAC2" s="1" t="s">
        <v>1588</v>
      </c>
      <c r="AAD2" s="1" t="s">
        <v>1589</v>
      </c>
      <c r="AAE2" s="1" t="s">
        <v>1590</v>
      </c>
      <c r="AAF2" s="1" t="s">
        <v>1591</v>
      </c>
      <c r="AAG2" s="1" t="s">
        <v>1592</v>
      </c>
      <c r="AAH2" s="1" t="s">
        <v>1593</v>
      </c>
      <c r="AAI2" s="1" t="s">
        <v>1594</v>
      </c>
      <c r="AAJ2" s="1" t="s">
        <v>1595</v>
      </c>
      <c r="AAK2" s="1" t="s">
        <v>1596</v>
      </c>
      <c r="AAL2" s="1" t="s">
        <v>1597</v>
      </c>
      <c r="AAM2" s="1" t="s">
        <v>1598</v>
      </c>
      <c r="AAN2" s="1" t="s">
        <v>1599</v>
      </c>
      <c r="AAO2" s="1" t="s">
        <v>1600</v>
      </c>
      <c r="AAP2" s="1" t="s">
        <v>1601</v>
      </c>
      <c r="AAQ2" s="1" t="s">
        <v>1602</v>
      </c>
      <c r="AAR2" s="1" t="s">
        <v>1603</v>
      </c>
      <c r="AAS2" s="1" t="s">
        <v>1604</v>
      </c>
      <c r="AAT2" s="1" t="s">
        <v>1605</v>
      </c>
      <c r="AAU2" s="1" t="s">
        <v>1606</v>
      </c>
      <c r="AAV2" s="1" t="s">
        <v>1607</v>
      </c>
      <c r="AAW2" s="1" t="s">
        <v>1608</v>
      </c>
      <c r="AAX2" s="1" t="s">
        <v>1609</v>
      </c>
      <c r="AAY2" s="1" t="s">
        <v>1610</v>
      </c>
      <c r="AAZ2" s="1" t="s">
        <v>1611</v>
      </c>
      <c r="ABA2" s="1" t="s">
        <v>1612</v>
      </c>
      <c r="ABB2" s="1" t="s">
        <v>1613</v>
      </c>
      <c r="ABC2" s="1" t="s">
        <v>1614</v>
      </c>
      <c r="ABD2" s="1" t="s">
        <v>1615</v>
      </c>
      <c r="ABE2" s="1" t="s">
        <v>1616</v>
      </c>
      <c r="ABF2" s="1" t="s">
        <v>1617</v>
      </c>
      <c r="ABG2" s="1" t="s">
        <v>1618</v>
      </c>
      <c r="ABH2" s="1" t="s">
        <v>1619</v>
      </c>
      <c r="ABI2" s="1" t="s">
        <v>1620</v>
      </c>
      <c r="ABJ2" s="1" t="s">
        <v>1621</v>
      </c>
      <c r="ABK2" s="1" t="s">
        <v>1622</v>
      </c>
      <c r="ABL2" s="1" t="s">
        <v>1623</v>
      </c>
      <c r="ABM2" s="1" t="s">
        <v>1624</v>
      </c>
      <c r="ABN2" s="1" t="s">
        <v>1625</v>
      </c>
      <c r="ABO2" s="1" t="s">
        <v>1626</v>
      </c>
      <c r="ABP2" s="1" t="s">
        <v>1627</v>
      </c>
      <c r="ABQ2" s="1" t="s">
        <v>1628</v>
      </c>
      <c r="ABR2" s="1" t="s">
        <v>1629</v>
      </c>
      <c r="ABS2" s="1" t="s">
        <v>1630</v>
      </c>
      <c r="ABT2" s="1" t="s">
        <v>1631</v>
      </c>
      <c r="ABU2" s="1" t="s">
        <v>1632</v>
      </c>
      <c r="ABV2" s="1" t="s">
        <v>1633</v>
      </c>
      <c r="ABW2" s="1" t="s">
        <v>1634</v>
      </c>
      <c r="ABX2" s="1" t="s">
        <v>1635</v>
      </c>
      <c r="ABY2" s="1" t="s">
        <v>1636</v>
      </c>
      <c r="ABZ2" s="1" t="s">
        <v>1637</v>
      </c>
      <c r="ACA2" s="1" t="s">
        <v>1638</v>
      </c>
      <c r="ACB2" s="1" t="s">
        <v>1639</v>
      </c>
      <c r="ACC2" s="1" t="s">
        <v>1640</v>
      </c>
      <c r="ACD2" s="1" t="s">
        <v>1641</v>
      </c>
      <c r="ACE2" s="1" t="s">
        <v>1642</v>
      </c>
      <c r="ACF2" s="1" t="s">
        <v>1643</v>
      </c>
      <c r="ACG2" s="1" t="s">
        <v>1644</v>
      </c>
      <c r="ACH2" s="1" t="s">
        <v>1645</v>
      </c>
      <c r="ACI2" s="1" t="s">
        <v>1646</v>
      </c>
      <c r="ACJ2" s="1" t="s">
        <v>1647</v>
      </c>
      <c r="ACK2" s="1" t="s">
        <v>1648</v>
      </c>
      <c r="ACL2" s="1" t="s">
        <v>1649</v>
      </c>
      <c r="ACM2" s="1" t="s">
        <v>1650</v>
      </c>
      <c r="ACN2" s="1" t="s">
        <v>1651</v>
      </c>
      <c r="ACO2" s="1" t="s">
        <v>1652</v>
      </c>
      <c r="ACP2" s="1" t="s">
        <v>1653</v>
      </c>
      <c r="ACQ2" s="1" t="s">
        <v>1654</v>
      </c>
      <c r="ACR2" s="1" t="s">
        <v>1655</v>
      </c>
      <c r="ACS2" s="1" t="s">
        <v>1656</v>
      </c>
      <c r="ACT2" s="1" t="s">
        <v>1657</v>
      </c>
      <c r="ACU2" s="1" t="s">
        <v>1658</v>
      </c>
      <c r="ACV2" s="1" t="s">
        <v>1659</v>
      </c>
    </row>
    <row r="3" spans="1:776" x14ac:dyDescent="0.2">
      <c r="A3" s="1" t="s">
        <v>70636</v>
      </c>
      <c r="B3" s="2">
        <f>-0.0102734054315136*(1)</f>
        <v>-1.02734054315136E-2</v>
      </c>
      <c r="C3" s="2">
        <f>-0.00690378285722011*(1)</f>
        <v>-6.9037828572201098E-3</v>
      </c>
      <c r="D3" s="2">
        <f>-0.00841514826984714*(1)</f>
        <v>-8.4151482698471402E-3</v>
      </c>
      <c r="E3" s="2">
        <f>0.00148660559985233*(1)</f>
        <v>1.4866055998523299E-3</v>
      </c>
      <c r="F3" s="2">
        <f>-0.00585901906936794*(1)</f>
        <v>-5.8590190693679402E-3</v>
      </c>
      <c r="G3" s="2">
        <f>0.00374929509488742*(1)</f>
        <v>3.7492950948874201E-3</v>
      </c>
      <c r="H3" s="2">
        <f>-0.00646084244805047*(1)</f>
        <v>-6.4608424480504696E-3</v>
      </c>
      <c r="I3" s="2">
        <f>-0.00148272928011652*(1)</f>
        <v>-1.4827292801165199E-3</v>
      </c>
      <c r="J3" s="2">
        <f>0.00701794458549179*(1)</f>
        <v>7.0179445854917904E-3</v>
      </c>
      <c r="K3" s="2">
        <f>-0.000965519269112391*(1)</f>
        <v>-9.6551926911239098E-4</v>
      </c>
      <c r="L3" s="2">
        <f>-0.00471195443465747*(1)</f>
        <v>-4.7119544346574697E-3</v>
      </c>
      <c r="M3" s="2">
        <f>-0.0059086864609261*(1)</f>
        <v>-5.9086864609261E-3</v>
      </c>
      <c r="N3" s="2">
        <f>-0.00467178966732247*(1)</f>
        <v>-4.6717896673224698E-3</v>
      </c>
      <c r="O3" s="2">
        <f>-0.00342090613534129*(1)</f>
        <v>-3.4209061353412899E-3</v>
      </c>
      <c r="P3" s="2">
        <f>0.00346784329185726*(1)</f>
        <v>3.4678432918572601E-3</v>
      </c>
      <c r="Q3" s="2">
        <f>-0.00614737694793631*(1)</f>
        <v>-6.1473769479363097E-3</v>
      </c>
      <c r="R3" s="2">
        <f>0.00261458235599847*(1)</f>
        <v>2.6145823559984701E-3</v>
      </c>
      <c r="S3" s="2">
        <f>0.00170811449498566*(1)</f>
        <v>1.70811449498566E-3</v>
      </c>
      <c r="T3" s="2">
        <f>0.00146240839529084*(1)</f>
        <v>1.4624083952908401E-3</v>
      </c>
      <c r="U3" s="2">
        <f>-0.00200703293364864*(1)</f>
        <v>-2.0070329336486399E-3</v>
      </c>
      <c r="V3" s="2">
        <f>0.0197090336894951*(1)</f>
        <v>1.9709033689495101E-2</v>
      </c>
      <c r="W3" s="2">
        <f>0.000595260613903944*(1)</f>
        <v>5.9526061390394397E-4</v>
      </c>
      <c r="X3" s="2">
        <f>0.00223278923675284*(1)</f>
        <v>2.2327892367528402E-3</v>
      </c>
      <c r="Y3" s="2">
        <f>-0.000986045643238132*(1)</f>
        <v>-9.8604564323813209E-4</v>
      </c>
      <c r="Z3" s="2">
        <f>0.0038925508713547*(1)</f>
        <v>3.8925508713547E-3</v>
      </c>
      <c r="AA3" s="2">
        <f>0.00394029195218253*(1)</f>
        <v>3.9402919521825302E-3</v>
      </c>
      <c r="AB3" s="2">
        <f>-0.00199765700769392*(1)</f>
        <v>-1.9976570076939201E-3</v>
      </c>
      <c r="AC3" s="2">
        <f>0.00237558729771949*(1)</f>
        <v>2.3755872977194899E-3</v>
      </c>
      <c r="AD3" s="2">
        <f>0.00216947070020652*(1)</f>
        <v>2.1694707002065201E-3</v>
      </c>
      <c r="AE3" s="2">
        <f>-0.00624676942395065*(1)</f>
        <v>-6.2467694239506499E-3</v>
      </c>
      <c r="AF3" s="2">
        <f>-0.000217628705220127*(1)</f>
        <v>-2.1762870522012699E-4</v>
      </c>
      <c r="AG3" s="2">
        <f>-0.0102265219547634*(1)</f>
        <v>-1.0226521954763401E-2</v>
      </c>
      <c r="AH3" s="2">
        <f>0.00102478269009947*(1)</f>
        <v>1.0247826900994701E-3</v>
      </c>
      <c r="AI3" s="2">
        <f>-0.0111695887124392*(1)</f>
        <v>-1.1169588712439201E-2</v>
      </c>
      <c r="AJ3" s="2">
        <f>0.015140777745342*(1)</f>
        <v>1.5140777745341999E-2</v>
      </c>
      <c r="AK3" s="2">
        <f>0.0143029762028249*(1)</f>
        <v>1.4302976202824899E-2</v>
      </c>
      <c r="AL3" s="2">
        <f>-0.00570701770180601*(1)</f>
        <v>-5.70701770180601E-3</v>
      </c>
      <c r="AM3" s="2">
        <f>-0.00512639221645287*(1)</f>
        <v>-5.12639221645287E-3</v>
      </c>
      <c r="AN3" s="2">
        <f>0.00577526232937712*(1)</f>
        <v>5.77526232937712E-3</v>
      </c>
      <c r="AO3" s="2">
        <f>-0.00590058441627245*(1)</f>
        <v>-5.9005844162724501E-3</v>
      </c>
      <c r="AP3" s="2">
        <f>-0.00532310338689737*(1)</f>
        <v>-5.3231033868973701E-3</v>
      </c>
      <c r="AQ3" s="2">
        <f>-0.00248408361817797*(1)</f>
        <v>-2.48408361817797E-3</v>
      </c>
      <c r="AR3" s="2">
        <f>0.00530554300382195*(1)</f>
        <v>5.3055430038219499E-3</v>
      </c>
      <c r="AS3" s="2">
        <f>0.00337632489095258*(1)</f>
        <v>3.3763248909525799E-3</v>
      </c>
      <c r="AT3" s="2">
        <f>-0.00237997004311903*(1)</f>
        <v>-2.37997004311903E-3</v>
      </c>
      <c r="AU3" s="2">
        <f>-0.014973195710148*(1)</f>
        <v>-1.4973195710147999E-2</v>
      </c>
      <c r="AV3" s="2">
        <f>-0.00295219373391764*(1)</f>
        <v>-2.9521937339176399E-3</v>
      </c>
      <c r="AW3" s="2">
        <f>-0.000810387580355211*(1)</f>
        <v>-8.1038758035521102E-4</v>
      </c>
      <c r="AX3" s="2">
        <f>0.00081569564404058*(1)</f>
        <v>8.1569564404058005E-4</v>
      </c>
      <c r="AY3" s="2">
        <f>-0.00254327133969384*(1)</f>
        <v>-2.5432713396938401E-3</v>
      </c>
      <c r="AZ3" s="2">
        <f>0.00709314669648435*(1)</f>
        <v>7.0931466964843501E-3</v>
      </c>
      <c r="BA3" s="2">
        <f>-0.00723413240347548*(1)</f>
        <v>-7.2341324034754803E-3</v>
      </c>
      <c r="BB3" s="2">
        <f>-0.00834439307715955*(1)</f>
        <v>-8.3443930771595499E-3</v>
      </c>
      <c r="BC3" s="2">
        <f>-0.00395095327481389*(1)</f>
        <v>-3.9509532748138896E-3</v>
      </c>
      <c r="BD3" s="2">
        <f>0.0175676090572103*(1)</f>
        <v>1.75676090572103E-2</v>
      </c>
      <c r="BE3" s="2">
        <f>-0.000256394791343116*(1)</f>
        <v>-2.5639479134311599E-4</v>
      </c>
      <c r="BF3" s="2">
        <f>-0.00337374100998966*(1)</f>
        <v>-3.3737410099896601E-3</v>
      </c>
      <c r="BG3" s="2">
        <f>0.00534795704230915*(1)</f>
        <v>5.3479570423091496E-3</v>
      </c>
      <c r="BH3" s="2">
        <f>0.0103298753902025*(1)</f>
        <v>1.0329875390202499E-2</v>
      </c>
      <c r="BI3" s="2">
        <f>-0.00341401382328802*(1)</f>
        <v>-3.4140138232880198E-3</v>
      </c>
      <c r="BJ3" s="2">
        <f>-0.0120098935636288*(1)</f>
        <v>-1.2009893563628801E-2</v>
      </c>
      <c r="BK3" s="2">
        <f>0.0134760461782076*(1)</f>
        <v>1.34760461782076E-2</v>
      </c>
      <c r="BL3" s="2">
        <f>0.00483526301156279*(1)</f>
        <v>4.83526301156279E-3</v>
      </c>
      <c r="BM3" s="2">
        <f>-0.000648639724404312*(1)</f>
        <v>-6.4863972440431204E-4</v>
      </c>
      <c r="BN3" s="2">
        <f>-0.00506830407883748*(1)</f>
        <v>-5.06830407883748E-3</v>
      </c>
      <c r="BO3" s="2">
        <f>0.00152916458216537*(1)</f>
        <v>1.5291645821653699E-3</v>
      </c>
      <c r="BP3" s="2">
        <f>-0.00841309853921228*(1)</f>
        <v>-8.4130985392122798E-3</v>
      </c>
      <c r="BQ3" s="2">
        <f>0.0010506057016382*(1)</f>
        <v>1.0506057016382E-3</v>
      </c>
      <c r="BR3" s="2">
        <f>0.00368932622752805*(1)</f>
        <v>3.6893262275280499E-3</v>
      </c>
      <c r="BS3" s="2">
        <f>0.000580632586263574*(1)</f>
        <v>5.8063258626357402E-4</v>
      </c>
      <c r="BT3" s="2">
        <f>0.000824293657292532*(1)</f>
        <v>8.2429365729253196E-4</v>
      </c>
      <c r="BU3" s="2">
        <f>-0.00276834736252232*(1)</f>
        <v>-2.7683473625223199E-3</v>
      </c>
      <c r="BV3" s="2">
        <f>-0.00493484531286328*(1)</f>
        <v>-4.9348453128632798E-3</v>
      </c>
      <c r="BW3" s="2">
        <f>0.00322782059515123*(1)</f>
        <v>3.2278205951512301E-3</v>
      </c>
      <c r="BX3" s="2">
        <f>-0.00310172078425958*(1)</f>
        <v>-3.1017207842595801E-3</v>
      </c>
      <c r="BY3" s="2">
        <f>0.0143603177800748*(1)</f>
        <v>1.4360317780074801E-2</v>
      </c>
      <c r="BZ3" s="2">
        <f>0.00509327062366045*(1)</f>
        <v>5.0932706236604501E-3</v>
      </c>
      <c r="CA3" s="2">
        <f>0.000288292985561847*(1)</f>
        <v>2.8829298556184697E-4</v>
      </c>
      <c r="CB3" s="2">
        <f>0.0103236784783475*(1)</f>
        <v>1.03236784783475E-2</v>
      </c>
      <c r="CC3" s="2">
        <f>0.000105683952511301*(1)</f>
        <v>1.0568395251130101E-4</v>
      </c>
      <c r="CD3" s="2">
        <f>0.00497576736670119*(1)</f>
        <v>4.9757673667011901E-3</v>
      </c>
      <c r="CE3" s="2">
        <f>-0.00364767877232979*(1)</f>
        <v>-3.6476787723297901E-3</v>
      </c>
      <c r="CF3" s="2">
        <f>0.0071715690819431*(1)</f>
        <v>7.1715690819430999E-3</v>
      </c>
      <c r="CG3" s="2">
        <f>-0.0073972003148803*(1)</f>
        <v>-7.3972003148803003E-3</v>
      </c>
      <c r="CH3" s="2">
        <f>-0.00303626887739872*(1)</f>
        <v>-3.03626887739872E-3</v>
      </c>
      <c r="CI3" s="2">
        <f>0.00299931654829725*(1)</f>
        <v>2.9993165482972502E-3</v>
      </c>
      <c r="CJ3" s="2">
        <f>0.00222267495448399*(1)</f>
        <v>2.2226749544839901E-3</v>
      </c>
      <c r="CK3" s="2">
        <f>0.00677072767508774*(1)</f>
        <v>6.7707276750877399E-3</v>
      </c>
      <c r="CL3" s="2">
        <f>-0.00294314655831953*(1)</f>
        <v>-2.9431465583195301E-3</v>
      </c>
      <c r="CM3" s="2">
        <f>0.00142095202810822*(1)</f>
        <v>1.42095202810822E-3</v>
      </c>
      <c r="CN3" s="2">
        <f>0.00159190391062318*(1)</f>
        <v>1.5919039106231799E-3</v>
      </c>
      <c r="CO3" s="2">
        <f>-0.00447880561415259*(1)</f>
        <v>-4.4788056141525897E-3</v>
      </c>
      <c r="CP3" s="2">
        <f>0.0101889787551513*(1)</f>
        <v>1.01889787551513E-2</v>
      </c>
      <c r="CQ3" s="2">
        <f>-0.00521077514212422*(1)</f>
        <v>-5.2107751421242203E-3</v>
      </c>
      <c r="CR3" s="2">
        <f>-0.0120464070602058*(1)</f>
        <v>-1.2046407060205801E-2</v>
      </c>
      <c r="CS3" s="2">
        <f>0.00406764510608447*(1)</f>
        <v>4.0676451060844701E-3</v>
      </c>
      <c r="CT3" s="2">
        <f>0.00719873873576128*(1)</f>
        <v>7.1987387357612797E-3</v>
      </c>
      <c r="CU3" s="2">
        <f>-0.00246345320365206*(1)</f>
        <v>-2.4634532036520601E-3</v>
      </c>
      <c r="CV3" s="2">
        <f>-0.0154299129885996*(1)</f>
        <v>-1.54299129885996E-2</v>
      </c>
      <c r="CW3" s="2">
        <f>0.012624579209263*(1)</f>
        <v>1.2624579209263E-2</v>
      </c>
      <c r="CX3" s="2">
        <f>-0.0176665101355136*(1)</f>
        <v>-1.76665101355136E-2</v>
      </c>
      <c r="CY3" s="2">
        <f>-0.00241773361734016*(1)</f>
        <v>-2.4177336173401599E-3</v>
      </c>
      <c r="CZ3" s="2">
        <f>-0.00387801673586169*(1)</f>
        <v>-3.8780167358616899E-3</v>
      </c>
      <c r="DA3" s="2">
        <f>-0.00298555512183116*(1)</f>
        <v>-2.9855551218311602E-3</v>
      </c>
      <c r="DB3" s="2">
        <f>0.00552353635175392*(1)</f>
        <v>5.5235363517539202E-3</v>
      </c>
      <c r="DC3" s="2">
        <f>0.00381925378637487*(1)</f>
        <v>3.8192537863748701E-3</v>
      </c>
      <c r="DD3" s="2">
        <f>-0.00867684677879899*(1)</f>
        <v>-8.6768467787989908E-3</v>
      </c>
      <c r="DE3" s="2">
        <f>-0.00145627975232449*(1)</f>
        <v>-1.45627975232449E-3</v>
      </c>
      <c r="DF3" s="2">
        <f>-0.0062746042284172*(1)</f>
        <v>-6.2746042284171997E-3</v>
      </c>
      <c r="DG3" s="2">
        <f>-0.0188511200441464*(1)</f>
        <v>-1.8851120044146401E-2</v>
      </c>
      <c r="DH3" s="2">
        <f>0.0131770848013566*(1)</f>
        <v>1.3177084801356599E-2</v>
      </c>
      <c r="DI3" s="2">
        <f>-0.00858877436542335*(1)</f>
        <v>-8.58877436542335E-3</v>
      </c>
      <c r="DJ3" s="2">
        <f>0.00944421329219007*(1)</f>
        <v>9.4442132921900707E-3</v>
      </c>
      <c r="DK3" s="2">
        <f>0.0132504319860388*(1)</f>
        <v>1.3250431986038799E-2</v>
      </c>
      <c r="DL3" s="2">
        <f>-0.0133789615980947*(1)</f>
        <v>-1.33789615980947E-2</v>
      </c>
      <c r="DM3" s="2">
        <f>0.00613279853706663*(1)</f>
        <v>6.13279853706663E-3</v>
      </c>
      <c r="DN3" s="2">
        <f>-0.00773126912726338*(1)</f>
        <v>-7.7312691272633802E-3</v>
      </c>
      <c r="DO3" s="2">
        <f>0.00726531305969047*(1)</f>
        <v>7.2653130596904703E-3</v>
      </c>
      <c r="DP3" s="2">
        <f>0.00200015199359857*(1)</f>
        <v>2.0001519935985701E-3</v>
      </c>
      <c r="DQ3" s="2">
        <f>-0.00131437668504464*(1)</f>
        <v>-1.3143766850446401E-3</v>
      </c>
      <c r="DR3" s="2">
        <f>0.00726503785420958*(1)</f>
        <v>7.26503785420958E-3</v>
      </c>
      <c r="DS3" s="2">
        <f>-0.000910171159851043*(1)</f>
        <v>-9.1017115985104298E-4</v>
      </c>
      <c r="DT3" s="2">
        <f>-0.0117393985235289*(1)</f>
        <v>-1.1739398523528901E-2</v>
      </c>
      <c r="DU3" s="2">
        <f>0.00659749062926575*(1)</f>
        <v>6.5974906292657499E-3</v>
      </c>
      <c r="DV3" s="2">
        <f>0.00756736414026874*(1)</f>
        <v>7.5673641402687402E-3</v>
      </c>
      <c r="DW3" s="2">
        <f>0.010646277105031*(1)</f>
        <v>1.0646277105031E-2</v>
      </c>
      <c r="DX3" s="2">
        <f>0.00535120929349426*(1)</f>
        <v>5.3512092934942601E-3</v>
      </c>
      <c r="DY3" s="2">
        <f>-0.00593467615538727*(1)</f>
        <v>-5.9346761553872697E-3</v>
      </c>
      <c r="DZ3" s="2">
        <f>0.00791649182829122*(1)</f>
        <v>7.9164918282912198E-3</v>
      </c>
      <c r="EA3" s="2">
        <f>0.0223068158822403*(1)</f>
        <v>2.2306815882240299E-2</v>
      </c>
      <c r="EB3" s="2">
        <f>-0.00225339288771649*(1)</f>
        <v>-2.2533928877164901E-3</v>
      </c>
      <c r="EC3" s="2">
        <f>-0.00945490196298511*(1)</f>
        <v>-9.45490196298511E-3</v>
      </c>
      <c r="ED3" s="2">
        <f>-0.0106940620457313*(1)</f>
        <v>-1.06940620457313E-2</v>
      </c>
      <c r="EE3" s="2">
        <f>0.00181627819809887*(1)</f>
        <v>1.8162781980988699E-3</v>
      </c>
      <c r="EF3" s="2">
        <f>0.0111802534717294*(1)</f>
        <v>1.11802534717294E-2</v>
      </c>
      <c r="EG3" s="2">
        <f>0.0120669758253378*(1)</f>
        <v>1.20669758253378E-2</v>
      </c>
      <c r="EH3" s="2">
        <f>-0.0089325875700652*(1)</f>
        <v>-8.9325875700652004E-3</v>
      </c>
      <c r="EI3" s="2">
        <f>-0.00306424269635727*(1)</f>
        <v>-3.06424269635727E-3</v>
      </c>
      <c r="EJ3" s="2">
        <f>0.0134748526967319*(1)</f>
        <v>1.34748526967319E-2</v>
      </c>
      <c r="EK3" s="2">
        <f>0.00975352631521574*(1)</f>
        <v>9.7535263152157391E-3</v>
      </c>
      <c r="EL3" s="2">
        <f>-0.00455978833905248*(1)</f>
        <v>-4.5597883390524801E-3</v>
      </c>
      <c r="EM3" s="2">
        <f>-0.0105248743609306*(1)</f>
        <v>-1.05248743609306E-2</v>
      </c>
      <c r="EN3" s="2">
        <f>-0.000315407388766609*(1)</f>
        <v>-3.1540738876660899E-4</v>
      </c>
      <c r="EO3" s="2">
        <f>-0.00762355336693208*(1)</f>
        <v>-7.6235533669320801E-3</v>
      </c>
      <c r="EP3" s="2">
        <f>-0.00503031113491663*(1)</f>
        <v>-5.0303111349166299E-3</v>
      </c>
      <c r="EQ3" s="2">
        <f>0.0139468564376291*(1)</f>
        <v>1.39468564376291E-2</v>
      </c>
      <c r="ER3" s="2">
        <f>-0.0182089638266866*(1)</f>
        <v>-1.8208963826686599E-2</v>
      </c>
      <c r="ES3" s="2">
        <f>-0.00735892534514025*(1)</f>
        <v>-7.3589253451402502E-3</v>
      </c>
      <c r="ET3" s="2">
        <f>-0.0000935426769621494*(1)</f>
        <v>-9.3542676962149403E-5</v>
      </c>
      <c r="EU3" s="2">
        <f>-0.0117060477453971*(1)</f>
        <v>-1.1706047745397101E-2</v>
      </c>
      <c r="EV3" s="2">
        <f>-0.00950031480277002*(1)</f>
        <v>-9.5003148027700199E-3</v>
      </c>
      <c r="EW3" s="2">
        <f>0.00311849498096706*(1)</f>
        <v>3.1184949809670601E-3</v>
      </c>
      <c r="EX3" s="2">
        <f>0.0109478949486215*(1)</f>
        <v>1.09478949486215E-2</v>
      </c>
      <c r="EY3" s="2">
        <f>-0.0141058239559105*(1)</f>
        <v>-1.41058239559105E-2</v>
      </c>
      <c r="EZ3" s="2">
        <f>0.013815165174*(1)</f>
        <v>1.3815165173999999E-2</v>
      </c>
      <c r="FA3" s="2">
        <f>-0.00829187655273767*(1)</f>
        <v>-8.29187655273767E-3</v>
      </c>
      <c r="FB3" s="2">
        <f>0.00732083770288464*(1)</f>
        <v>7.3208377028846404E-3</v>
      </c>
      <c r="FC3" s="2">
        <f>-0.00266613783622251*(1)</f>
        <v>-2.6661378362225099E-3</v>
      </c>
      <c r="FD3" s="2">
        <f>-0.000206556661187146*(1)</f>
        <v>-2.0655666118714599E-4</v>
      </c>
      <c r="FE3" s="2">
        <f>0.0129766691988927*(1)</f>
        <v>1.2976669198892701E-2</v>
      </c>
      <c r="FF3" s="2">
        <f>-0.000915280467837566*(1)</f>
        <v>-9.1528046783756597E-4</v>
      </c>
      <c r="FG3" s="2">
        <f>-0.0109045864861921*(1)</f>
        <v>-1.09045864861921E-2</v>
      </c>
      <c r="FH3" s="2">
        <f>0.00916318857694316*(1)</f>
        <v>9.1631885769431608E-3</v>
      </c>
      <c r="FI3" s="2">
        <f>-0.0084210108134871*(1)</f>
        <v>-8.4210108134871002E-3</v>
      </c>
      <c r="FJ3" s="2">
        <f>0.00535208102893222*(1)</f>
        <v>5.3520810289322202E-3</v>
      </c>
      <c r="FK3" s="2">
        <f>-0.00520469209887692*(1)</f>
        <v>-5.20469209887692E-3</v>
      </c>
      <c r="FL3" s="2">
        <f>-0.00192983379194298*(1)</f>
        <v>-1.9298337919429801E-3</v>
      </c>
      <c r="FM3" s="2">
        <f>0.00256859682573812*(1)</f>
        <v>2.5685968257381201E-3</v>
      </c>
      <c r="FN3" s="2">
        <f>0.0170140115222055*(1)</f>
        <v>1.70140115222055E-2</v>
      </c>
      <c r="FO3" s="2">
        <f>-0.0067883752320455*(1)</f>
        <v>-6.7883752320455001E-3</v>
      </c>
      <c r="FP3" s="2">
        <f>0.00819899280294176*(1)</f>
        <v>8.1989928029417604E-3</v>
      </c>
      <c r="FQ3" s="2">
        <f>-0.00163625124793606*(1)</f>
        <v>-1.6362512479360599E-3</v>
      </c>
      <c r="FR3" s="2">
        <f>-0.00745445662215747*(1)</f>
        <v>-7.4544566221574696E-3</v>
      </c>
      <c r="FS3" s="2">
        <f>-0.0112882576404755*(1)</f>
        <v>-1.12882576404755E-2</v>
      </c>
      <c r="FT3" s="2">
        <f>0.00496302508546466*(1)</f>
        <v>4.9630250854646599E-3</v>
      </c>
      <c r="FU3" s="2">
        <f>0.0052067961680309*(1)</f>
        <v>5.2067961680308996E-3</v>
      </c>
      <c r="FV3" s="2">
        <f>-0.0129555188779904*(1)</f>
        <v>-1.29555188779904E-2</v>
      </c>
      <c r="FW3" s="2">
        <f>-0.00023043463827607*(1)</f>
        <v>-2.3043463827607E-4</v>
      </c>
      <c r="FX3" s="2">
        <f>0.00120168827598366*(1)</f>
        <v>1.20168827598366E-3</v>
      </c>
      <c r="FY3" s="2">
        <f>0.00836738528983927*(1)</f>
        <v>8.3673852898392704E-3</v>
      </c>
      <c r="FZ3" s="2">
        <f>-0.0127336890694825*(1)</f>
        <v>-1.2733689069482501E-2</v>
      </c>
      <c r="GA3" s="2">
        <f>-0.00117418771608645*(1)</f>
        <v>-1.17418771608645E-3</v>
      </c>
      <c r="GB3" s="2">
        <f>0.00357547734820536*(1)</f>
        <v>3.57547734820536E-3</v>
      </c>
      <c r="GC3" s="2">
        <f>-0.00787332354472338*(1)</f>
        <v>-7.8733235447233808E-3</v>
      </c>
      <c r="GD3" s="2">
        <f>-0.0130692658972813*(1)</f>
        <v>-1.30692658972813E-2</v>
      </c>
      <c r="GE3" s="2">
        <f>0.0321954228941886*(1)</f>
        <v>3.2195422894188599E-2</v>
      </c>
      <c r="GF3" s="2">
        <f>-0.00574974415300209*(1)</f>
        <v>-5.7497441530020904E-3</v>
      </c>
      <c r="GG3" s="2">
        <f>0.00981749824052759*(1)</f>
        <v>9.8174982405275901E-3</v>
      </c>
      <c r="GH3" s="2">
        <f>0.0122272689527384*(1)</f>
        <v>1.22272689527384E-2</v>
      </c>
      <c r="GI3" s="2">
        <f>0.0125133224045343*(1)</f>
        <v>1.25133224045343E-2</v>
      </c>
      <c r="GJ3" s="2">
        <f>-0.00212985501927237*(1)</f>
        <v>-2.1298550192723701E-3</v>
      </c>
      <c r="GK3" s="2">
        <f>0.00520008499610577*(1)</f>
        <v>5.2000849961057697E-3</v>
      </c>
      <c r="GL3" s="2">
        <f>0.010650834309221*(1)</f>
        <v>1.0650834309220999E-2</v>
      </c>
      <c r="GM3" s="2">
        <f>0.00052644041925701*(1)</f>
        <v>5.2644041925700995E-4</v>
      </c>
      <c r="GN3" s="2">
        <f>0.00431244664790672*(1)</f>
        <v>4.3124466479067198E-3</v>
      </c>
      <c r="GO3" s="2">
        <f>0.00319907914011524*(1)</f>
        <v>3.1990791401152398E-3</v>
      </c>
      <c r="GP3" s="2">
        <f>0.000575101169708681*(1)</f>
        <v>5.7510116970868098E-4</v>
      </c>
      <c r="GQ3" s="2">
        <f>-0.00625993524565486*(1)</f>
        <v>-6.2599352456548596E-3</v>
      </c>
      <c r="GR3" s="2">
        <f>-0.00907944660146397*(1)</f>
        <v>-9.0794466014639703E-3</v>
      </c>
      <c r="GS3" s="2">
        <f>0.00821700235288591*(1)</f>
        <v>8.2170023528859108E-3</v>
      </c>
      <c r="GT3" s="2">
        <f>-0.0193792219564959*(1)</f>
        <v>-1.9379221956495898E-2</v>
      </c>
      <c r="GU3" s="2">
        <f>0.00535179930079823*(1)</f>
        <v>5.35179930079823E-3</v>
      </c>
      <c r="GV3" s="2">
        <f>-0.00148779509746203*(1)</f>
        <v>-1.4877950974620301E-3</v>
      </c>
      <c r="GW3" s="2">
        <f>0.00618946756391966*(1)</f>
        <v>6.1894675639196598E-3</v>
      </c>
      <c r="GX3" s="2">
        <f>-0.00198902822113251*(1)</f>
        <v>-1.9890282211325102E-3</v>
      </c>
      <c r="GY3" s="2">
        <f>-0.000504539894050269*(1)</f>
        <v>-5.0453989405026896E-4</v>
      </c>
      <c r="GZ3" s="2">
        <f>0.00199159337579178*(1)</f>
        <v>1.9915933757917799E-3</v>
      </c>
      <c r="HA3" s="2">
        <f>0.0005877019771537*(1)</f>
        <v>5.8770197715370001E-4</v>
      </c>
      <c r="HB3" s="2">
        <f>-0.00307736622834874*(1)</f>
        <v>-3.0773662283487399E-3</v>
      </c>
      <c r="HC3" s="2">
        <f>-0.00542028180851231*(1)</f>
        <v>-5.4202818085123099E-3</v>
      </c>
      <c r="HD3" s="2">
        <f>0.00229614107486615*(1)</f>
        <v>2.29614107486615E-3</v>
      </c>
      <c r="HE3" s="2">
        <f>-0.00932775974618392*(1)</f>
        <v>-9.3277597461839199E-3</v>
      </c>
      <c r="HF3" s="2">
        <f>-0.000835192202590335*(1)</f>
        <v>-8.3519220259033503E-4</v>
      </c>
      <c r="HG3" s="2">
        <f>0.000662389866218847*(1)</f>
        <v>6.6238986621884697E-4</v>
      </c>
      <c r="HH3" s="2">
        <f>0.00279921802821508*(1)</f>
        <v>2.79921802821508E-3</v>
      </c>
      <c r="HI3" s="2">
        <f>-0.00843333013479614*(1)</f>
        <v>-8.4333301347961406E-3</v>
      </c>
      <c r="HJ3" s="2">
        <f>0.000286379172234523*(1)</f>
        <v>2.8637917223452299E-4</v>
      </c>
      <c r="HK3" s="2">
        <f>-0.00533235718144132*(1)</f>
        <v>-5.3323571814413197E-3</v>
      </c>
      <c r="HL3" s="2">
        <f>-0.0047959926040045*(1)</f>
        <v>-4.7959926040044999E-3</v>
      </c>
      <c r="HM3" s="2">
        <f>-0.00442977966922571*(1)</f>
        <v>-4.4297796692257096E-3</v>
      </c>
      <c r="HN3" s="2">
        <f>0.00985884760188537*(1)</f>
        <v>9.8588476018853701E-3</v>
      </c>
      <c r="HO3" s="2">
        <f>-0.0000280491172331448*(1)</f>
        <v>-2.8049117233144801E-5</v>
      </c>
      <c r="HP3" s="2">
        <f>0.0120996056102927*(1)</f>
        <v>1.2099605610292699E-2</v>
      </c>
      <c r="HQ3" s="2">
        <f>-0.00553850077073531*(1)</f>
        <v>-5.5385007707353098E-3</v>
      </c>
      <c r="HR3" s="2">
        <f>0.0101874013014203*(1)</f>
        <v>1.0187401301420301E-2</v>
      </c>
      <c r="HS3" s="2">
        <f>0.0163652254808818*(1)</f>
        <v>1.63652254808818E-2</v>
      </c>
      <c r="HT3" s="2">
        <f>0.0029374743894858*(1)</f>
        <v>2.9374743894858002E-3</v>
      </c>
      <c r="HU3" s="2">
        <f>-0.00646297119877168*(1)</f>
        <v>-6.4629711987716802E-3</v>
      </c>
      <c r="HV3" s="2">
        <f>0.00462083202094531*(1)</f>
        <v>4.6208320209453098E-3</v>
      </c>
      <c r="HW3" s="2">
        <f>0.000999360062336164*(1)</f>
        <v>9.9936006233616393E-4</v>
      </c>
      <c r="HX3" s="2">
        <f>-0.00489281025825078*(1)</f>
        <v>-4.8928102582507802E-3</v>
      </c>
      <c r="HY3" s="2">
        <f>0.00644823964804468*(1)</f>
        <v>6.4482396480446801E-3</v>
      </c>
      <c r="HZ3" s="2">
        <f>0.00466896469979168*(1)</f>
        <v>4.6689646997916797E-3</v>
      </c>
      <c r="IA3" s="2">
        <f>0.00230038500853674*(1)</f>
        <v>2.3003850085367402E-3</v>
      </c>
      <c r="IB3" s="2">
        <f>-0.00587124874316358*(1)</f>
        <v>-5.8712487431635801E-3</v>
      </c>
      <c r="IC3" s="2">
        <f>0.00556516567854908*(1)</f>
        <v>5.5651656785490802E-3</v>
      </c>
      <c r="ID3" s="2">
        <f>-0.00342935232936738*(1)</f>
        <v>-3.4293523293673798E-3</v>
      </c>
      <c r="IE3" s="2">
        <f>-0.00896061817210918*(1)</f>
        <v>-8.9606181721091794E-3</v>
      </c>
      <c r="IF3" s="2">
        <f>-0.00440655879886191*(1)</f>
        <v>-4.4065587988619103E-3</v>
      </c>
      <c r="IG3" s="2">
        <f>-0.00289918052737981*(1)</f>
        <v>-2.8991805273798099E-3</v>
      </c>
      <c r="IH3" s="2">
        <f>-0.000865035580088364*(1)</f>
        <v>-8.6503558008836396E-4</v>
      </c>
      <c r="II3" s="2">
        <f>0.00983746033088383*(1)</f>
        <v>9.83746033088383E-3</v>
      </c>
      <c r="IJ3" s="2">
        <f>0.00562989421460877*(1)</f>
        <v>5.6298942146087699E-3</v>
      </c>
      <c r="IK3" s="2">
        <f>0.011973103266837*(1)</f>
        <v>1.1973103266836999E-2</v>
      </c>
      <c r="IL3" s="2">
        <f>0.0175963839945005*(1)</f>
        <v>1.7596383994500499E-2</v>
      </c>
      <c r="IM3" s="2">
        <f>-0.00918499266341122*(1)</f>
        <v>-9.1849926634112195E-3</v>
      </c>
      <c r="IN3" s="2">
        <f>0.00225131869812375*(1)</f>
        <v>2.2513186981237502E-3</v>
      </c>
      <c r="IO3" s="2">
        <f>0.00397116574604573*(1)</f>
        <v>3.97116574604573E-3</v>
      </c>
      <c r="IP3" s="2">
        <f>-0.00659582472597762*(1)</f>
        <v>-6.5958247259776202E-3</v>
      </c>
      <c r="IQ3" s="2">
        <f>-0.00126124726324994*(1)</f>
        <v>-1.2612472632499399E-3</v>
      </c>
      <c r="IR3" s="2">
        <f>-0.0201793047399706*(1)</f>
        <v>-2.0179304739970601E-2</v>
      </c>
      <c r="IS3" s="2">
        <f>0.000308567674225017*(1)</f>
        <v>3.0856767422501701E-4</v>
      </c>
      <c r="IT3" s="2">
        <f>-0.00976839502348375*(1)</f>
        <v>-9.7683950234837506E-3</v>
      </c>
      <c r="IU3" s="2">
        <f>0.010241602135506*(1)</f>
        <v>1.0241602135505999E-2</v>
      </c>
      <c r="IV3" s="2">
        <f>-0.00960758258128186*(1)</f>
        <v>-9.6075825812818594E-3</v>
      </c>
      <c r="IW3" s="2">
        <f>-0.011266141712981*(1)</f>
        <v>-1.1266141712980999E-2</v>
      </c>
      <c r="IX3" s="2">
        <f>0.0101012829182408*(1)</f>
        <v>1.0101282918240801E-2</v>
      </c>
      <c r="IY3" s="2">
        <f>0.00282789163314934*(1)</f>
        <v>2.8278916331493402E-3</v>
      </c>
      <c r="IZ3" s="2">
        <f>0.00420269097950899*(1)</f>
        <v>4.2026909795089898E-3</v>
      </c>
      <c r="JA3" s="2">
        <f>-0.011223799123631*(1)</f>
        <v>-1.1223799123631001E-2</v>
      </c>
      <c r="JB3" s="2">
        <f>-0.0121523086908895*(1)</f>
        <v>-1.2152308690889501E-2</v>
      </c>
      <c r="JC3" s="2">
        <f>-0.0146261340334664*(1)</f>
        <v>-1.46261340334664E-2</v>
      </c>
      <c r="JD3" s="2">
        <f>0.000624535720011023*(1)</f>
        <v>6.2453572001102298E-4</v>
      </c>
      <c r="JE3" s="2">
        <f>-0.0046444928652226*(1)</f>
        <v>-4.6444928652226002E-3</v>
      </c>
      <c r="JF3" s="2">
        <f>-0.00439680670713405*(1)</f>
        <v>-4.3968067071340497E-3</v>
      </c>
      <c r="JG3" s="2">
        <f>0.00797547173750932*(1)</f>
        <v>7.9754717375093206E-3</v>
      </c>
      <c r="JH3" s="2">
        <f>-0.016632811694279*(1)</f>
        <v>-1.6632811694279E-2</v>
      </c>
      <c r="JI3" s="2">
        <f>-0.0113988069431341*(1)</f>
        <v>-1.13988069431341E-2</v>
      </c>
      <c r="JJ3" s="2">
        <f>0.0230758374351185*(1)</f>
        <v>2.3075837435118499E-2</v>
      </c>
      <c r="JK3" s="2">
        <f>-0.0169966618242733*(1)</f>
        <v>-1.6996661824273299E-2</v>
      </c>
      <c r="JL3" s="2">
        <f>0.0148809308700634*(1)</f>
        <v>1.48809308700634E-2</v>
      </c>
      <c r="JM3" s="2">
        <f>0.00447531965146213*(1)</f>
        <v>4.4753196514621301E-3</v>
      </c>
      <c r="JN3" s="2">
        <f>-0.00271158900685269*(1)</f>
        <v>-2.7115890068526898E-3</v>
      </c>
      <c r="JO3" s="2">
        <f>0.00332329435502426*(1)</f>
        <v>3.3232943550242601E-3</v>
      </c>
      <c r="JP3" s="2">
        <f>-0.00627998014482977*(1)</f>
        <v>-6.2799801448297698E-3</v>
      </c>
      <c r="JQ3" s="2">
        <f>-0.00934046352663878*(1)</f>
        <v>-9.3404635266387797E-3</v>
      </c>
      <c r="JR3" s="2">
        <f>-0.0215273007865476*(1)</f>
        <v>-2.1527300786547601E-2</v>
      </c>
      <c r="JS3" s="2">
        <f>0.0263841537833733*(1)</f>
        <v>2.6384153783373301E-2</v>
      </c>
      <c r="JT3" s="2">
        <f>-0.0120341081355642*(1)</f>
        <v>-1.20341081355642E-2</v>
      </c>
      <c r="JU3" s="2">
        <f>-0.0167836773993558*(1)</f>
        <v>-1.6783677399355799E-2</v>
      </c>
      <c r="JV3" s="2">
        <f>-0.032099799101349*(1)</f>
        <v>-3.2099799101348997E-2</v>
      </c>
      <c r="JW3" s="2">
        <f>0.0155979267363209*(1)</f>
        <v>1.55979267363209E-2</v>
      </c>
      <c r="JX3" s="2">
        <f>0.0263889254907413*(1)</f>
        <v>2.6388925490741299E-2</v>
      </c>
      <c r="JY3" s="2">
        <f>-0.0199855140321189*(1)</f>
        <v>-1.9985514032118901E-2</v>
      </c>
      <c r="JZ3" s="2">
        <f>0.00371839017831945*(1)</f>
        <v>3.7183901783194502E-3</v>
      </c>
      <c r="KA3" s="2">
        <f>0.00736378612957117*(1)</f>
        <v>7.3637861295711704E-3</v>
      </c>
      <c r="KB3" s="2">
        <f>0.0261841590898165*(1)</f>
        <v>2.61841590898165E-2</v>
      </c>
      <c r="KC3" s="2">
        <f>0.0311855670962959*(1)</f>
        <v>3.1185567096295899E-2</v>
      </c>
      <c r="KD3" s="2">
        <f>-0.00216564057457918*(1)</f>
        <v>-2.1656405745791802E-3</v>
      </c>
      <c r="KE3" s="2">
        <f>0.00517321455243021*(1)</f>
        <v>5.1732145524302098E-3</v>
      </c>
      <c r="KF3" s="2">
        <f>-0.00818711085200572*(1)</f>
        <v>-8.1871108520057204E-3</v>
      </c>
      <c r="KG3" s="2">
        <f>-0.0043965929854825*(1)</f>
        <v>-4.3965929854824998E-3</v>
      </c>
      <c r="KH3" s="2">
        <f>0.00141161476584095*(1)</f>
        <v>1.41161476584095E-3</v>
      </c>
      <c r="KI3" s="2">
        <f>-0.0153045985721831*(1)</f>
        <v>-1.53045985721831E-2</v>
      </c>
      <c r="KJ3" s="2">
        <f>0.0277986313329092*(1)</f>
        <v>2.7798631332909201E-2</v>
      </c>
      <c r="KK3" s="2">
        <f>-0.00982160441080258*(1)</f>
        <v>-9.8216044108025806E-3</v>
      </c>
      <c r="KL3" s="2">
        <f>0.0110047966268757*(1)</f>
        <v>1.10047966268757E-2</v>
      </c>
      <c r="KM3" s="2">
        <f>-0.0137844136216151*(1)</f>
        <v>-1.37844136216151E-2</v>
      </c>
      <c r="KN3" s="2">
        <f>0.00606928701919227*(1)</f>
        <v>6.0692870191922698E-3</v>
      </c>
      <c r="KO3" s="2">
        <f>0.00268022719773444*(1)</f>
        <v>2.6802271977344398E-3</v>
      </c>
      <c r="KP3" s="2">
        <f>-0.00934341846544416*(1)</f>
        <v>-9.3434184654441598E-3</v>
      </c>
      <c r="KQ3" s="2">
        <f>-0.019220493685358*(1)</f>
        <v>-1.9220493685358001E-2</v>
      </c>
      <c r="KR3" s="2">
        <f>-0.00847828108320177*(1)</f>
        <v>-8.4782810832017708E-3</v>
      </c>
      <c r="KS3" s="2">
        <f>-0.00707312475237259*(1)</f>
        <v>-7.0731247523725897E-3</v>
      </c>
      <c r="KT3" s="2">
        <f>0.0166305576952797*(1)</f>
        <v>1.6630557695279699E-2</v>
      </c>
      <c r="KU3" s="2">
        <f>0.0220111285424716*(1)</f>
        <v>2.20111285424716E-2</v>
      </c>
      <c r="KV3" s="2">
        <f>-0.01102387923018*(1)</f>
        <v>-1.102387923018E-2</v>
      </c>
      <c r="KW3" s="2">
        <f>-0.00531333889460282*(1)</f>
        <v>-5.3133388946028197E-3</v>
      </c>
      <c r="KX3" s="2">
        <f>0.0153569601722719*(1)</f>
        <v>1.5356960172271899E-2</v>
      </c>
      <c r="KY3" s="2">
        <f>-0.00240005515765043*(1)</f>
        <v>-2.4000551576504299E-3</v>
      </c>
      <c r="KZ3" s="2">
        <f>0.00302089305811873*(1)</f>
        <v>3.0208930581187301E-3</v>
      </c>
      <c r="LA3" s="2">
        <f>0.0125856191838847*(1)</f>
        <v>1.25856191838847E-2</v>
      </c>
      <c r="LB3" s="2">
        <f>0.0147100520413192*(1)</f>
        <v>1.4710052041319199E-2</v>
      </c>
      <c r="LC3" s="2">
        <f>0.00950612239012075*(1)</f>
        <v>9.5061223901207505E-3</v>
      </c>
      <c r="LD3" s="2">
        <f>0.0133692599392947*(1)</f>
        <v>1.3369259939294701E-2</v>
      </c>
      <c r="LE3" s="2">
        <f>0.011243303653655*(1)</f>
        <v>1.1243303653655E-2</v>
      </c>
      <c r="LF3" s="2">
        <f>-0.0106174890785199*(1)</f>
        <v>-1.06174890785199E-2</v>
      </c>
      <c r="LG3" s="2">
        <f>-0.0220576784657718*(1)</f>
        <v>-2.20576784657718E-2</v>
      </c>
      <c r="LH3" s="2">
        <f>0.00382127655289868*(1)</f>
        <v>3.8212765528986802E-3</v>
      </c>
      <c r="LI3" s="2">
        <f>0.00991509437646683*(1)</f>
        <v>9.9150943764668292E-3</v>
      </c>
      <c r="LJ3" s="2">
        <f>-0.00586471674231045*(1)</f>
        <v>-5.8647167423104499E-3</v>
      </c>
      <c r="LK3" s="2">
        <f>0.0140026611699935*(1)</f>
        <v>1.40026611699935E-2</v>
      </c>
      <c r="LL3" s="2">
        <f>-0.0134747973268273*(1)</f>
        <v>-1.34747973268273E-2</v>
      </c>
      <c r="LM3" s="2">
        <f>0.0070169486240449*(1)</f>
        <v>7.0169486240449002E-3</v>
      </c>
      <c r="LN3" s="2">
        <f>-0.0190427633340425*(1)</f>
        <v>-1.9042763334042499E-2</v>
      </c>
      <c r="LO3" s="2">
        <f>0.0117197022404369*(1)</f>
        <v>1.17197022404369E-2</v>
      </c>
      <c r="LP3" s="2">
        <f>0.00350475642390032*(1)</f>
        <v>3.5047564239003202E-3</v>
      </c>
      <c r="LQ3" s="2">
        <f>0.0128959845402974*(1)</f>
        <v>1.28959845402974E-2</v>
      </c>
      <c r="LR3" s="2">
        <f>-0.0100461579447161*(1)</f>
        <v>-1.00461579447161E-2</v>
      </c>
      <c r="LS3" s="2">
        <f>-0.000271154988443475*(1)</f>
        <v>-2.7115498844347498E-4</v>
      </c>
      <c r="LT3" s="2">
        <f>-0.0033328279004883*(1)</f>
        <v>-3.3328279004882998E-3</v>
      </c>
      <c r="LU3" s="2">
        <f>0.00336012343708857*(1)</f>
        <v>3.3601234370885702E-3</v>
      </c>
      <c r="LV3" s="2">
        <f>0.00409670546743196*(1)</f>
        <v>4.0967054674319603E-3</v>
      </c>
      <c r="LW3" s="2">
        <f>-0.00914917503698579*(1)</f>
        <v>-9.1491750369857901E-3</v>
      </c>
      <c r="LX3" s="2">
        <f>0.00242551821922652*(1)</f>
        <v>2.42551821922652E-3</v>
      </c>
      <c r="LY3" s="2">
        <f>0.00963383732605676*(1)</f>
        <v>9.6338373260567607E-3</v>
      </c>
      <c r="LZ3" s="2">
        <f>0.0068026693719007*(1)</f>
        <v>6.8026693719007002E-3</v>
      </c>
      <c r="MA3" s="2">
        <f>-0.0106934296876156*(1)</f>
        <v>-1.0693429687615601E-2</v>
      </c>
      <c r="MB3" s="2">
        <f>-0.0111704991917238*(1)</f>
        <v>-1.11704991917238E-2</v>
      </c>
      <c r="MC3" s="2">
        <f>-0.01239764289189*(1)</f>
        <v>-1.239764289189E-2</v>
      </c>
      <c r="MD3" s="2">
        <f>-0.000842385291680296*(1)</f>
        <v>-8.4238529168029598E-4</v>
      </c>
      <c r="ME3" s="2">
        <f>0.0140159272299257*(1)</f>
        <v>1.4015927229925699E-2</v>
      </c>
      <c r="MF3" s="2">
        <f>0.00591386563904095*(1)</f>
        <v>5.9138656390409503E-3</v>
      </c>
      <c r="MG3" s="2">
        <f>-0.00382054108686429*(1)</f>
        <v>-3.8205410868642898E-3</v>
      </c>
      <c r="MH3" s="2">
        <f>0.000907619217360251*(1)</f>
        <v>9.0761921736025103E-4</v>
      </c>
      <c r="MI3" s="2">
        <f>-0.00349839047100467*(1)</f>
        <v>-3.4983904710046698E-3</v>
      </c>
      <c r="MJ3" s="2">
        <f>0.0141224861609233*(1)</f>
        <v>1.4122486160923301E-2</v>
      </c>
      <c r="MK3" s="2">
        <f>0.00346730239191047*(1)</f>
        <v>3.46730239191047E-3</v>
      </c>
      <c r="ML3" s="2">
        <f>-0.0301508797659818*(1)</f>
        <v>-3.0150879765981801E-2</v>
      </c>
      <c r="MM3" s="2">
        <f>0.00351626325015414*(1)</f>
        <v>3.51626325015414E-3</v>
      </c>
      <c r="MN3" s="2">
        <f>0.0283540187539076*(1)</f>
        <v>2.8354018753907601E-2</v>
      </c>
      <c r="MO3" s="2">
        <f>-0.00969585507927921*(1)</f>
        <v>-9.6958550792792097E-3</v>
      </c>
      <c r="MP3" s="2">
        <f>-0.0070726356169707*(1)</f>
        <v>-7.0726356169707001E-3</v>
      </c>
      <c r="MQ3" s="2">
        <f>-0.00854004965631455*(1)</f>
        <v>-8.5400496563145505E-3</v>
      </c>
      <c r="MR3" s="2">
        <f>0.0111712108925776*(1)</f>
        <v>1.1171210892577599E-2</v>
      </c>
      <c r="MS3" s="2">
        <f>-0.0085925648464993*(1)</f>
        <v>-8.5925648464992999E-3</v>
      </c>
      <c r="MT3" s="2">
        <f>0.0224735895133677*(1)</f>
        <v>2.2473589513367701E-2</v>
      </c>
      <c r="MU3" s="2">
        <f>-0.00922437753009156*(1)</f>
        <v>-9.2243775300915598E-3</v>
      </c>
      <c r="MV3" s="2">
        <f>-0.0155045148391376*(1)</f>
        <v>-1.55045148391376E-2</v>
      </c>
      <c r="MW3" s="2">
        <f>-0.00655063816509737*(1)</f>
        <v>-6.5506381650973699E-3</v>
      </c>
      <c r="MX3" s="2">
        <f>0.0048895967849547*(1)</f>
        <v>4.8895967849546997E-3</v>
      </c>
      <c r="MY3" s="2">
        <f>-0.0023704107906091*(1)</f>
        <v>-2.3704107906091002E-3</v>
      </c>
      <c r="MZ3" s="2">
        <f>-0.00802104336364977*(1)</f>
        <v>-8.0210433636497703E-3</v>
      </c>
      <c r="NA3" s="2">
        <f>0.0085181823270954*(1)</f>
        <v>8.5181823270954003E-3</v>
      </c>
      <c r="NB3" s="2">
        <f>0.00653621269205874*(1)</f>
        <v>6.5362126920587398E-3</v>
      </c>
      <c r="NC3" s="2">
        <f>0.00471782463755838*(1)</f>
        <v>4.71782463755838E-3</v>
      </c>
      <c r="ND3" s="2">
        <f>-0.00289338683292461*(1)</f>
        <v>-2.8933868329246099E-3</v>
      </c>
      <c r="NE3" s="2">
        <f>0.00596259621192555*(1)</f>
        <v>5.9625962119255497E-3</v>
      </c>
      <c r="NF3" s="2">
        <f>0.000475746863773518*(1)</f>
        <v>4.7574686377351803E-4</v>
      </c>
      <c r="NG3" s="2">
        <f>0.0102833236146727*(1)</f>
        <v>1.02833236146727E-2</v>
      </c>
      <c r="NH3" s="2">
        <f>-0.00534433633700785*(1)</f>
        <v>-5.3443363370078503E-3</v>
      </c>
      <c r="NI3" s="2">
        <f>-0.00894265174885721*(1)</f>
        <v>-8.94265174885721E-3</v>
      </c>
      <c r="NJ3" s="2">
        <f>-0.0217713822907563*(1)</f>
        <v>-2.17713822907563E-2</v>
      </c>
      <c r="NK3" s="2">
        <f>0.00960975654587835*(1)</f>
        <v>9.60975654587835E-3</v>
      </c>
      <c r="NL3" s="2">
        <f>-0.00759090018671346*(1)</f>
        <v>-7.59090018671346E-3</v>
      </c>
      <c r="NM3" s="2">
        <f>0.0115359203948525*(1)</f>
        <v>1.15359203948525E-2</v>
      </c>
      <c r="NN3" s="2">
        <f>0.00714208017482193*(1)</f>
        <v>7.1420801748219298E-3</v>
      </c>
      <c r="NO3" s="2">
        <f>-0.00462933853474122*(1)</f>
        <v>-4.6293385347412203E-3</v>
      </c>
      <c r="NP3" s="2">
        <f>-0.00774337699309826*(1)</f>
        <v>-7.7433769930982596E-3</v>
      </c>
      <c r="NQ3" s="2">
        <f>0.00734567255677236*(1)</f>
        <v>7.3456725567723601E-3</v>
      </c>
      <c r="NR3" s="2">
        <f>0.0121001409777631*(1)</f>
        <v>1.21001409777631E-2</v>
      </c>
      <c r="NS3" s="2">
        <f>0.0165829052627161*(1)</f>
        <v>1.6582905262716101E-2</v>
      </c>
      <c r="NT3" s="2">
        <f>0.00137032345479274*(1)</f>
        <v>1.37032345479274E-3</v>
      </c>
      <c r="NU3" s="2">
        <f>0.0139846414910246*(1)</f>
        <v>1.39846414910246E-2</v>
      </c>
      <c r="NV3" s="2">
        <f>-0.0111229734460449*(1)</f>
        <v>-1.11229734460449E-2</v>
      </c>
      <c r="NW3" s="2">
        <f>0.0117120912387023*(1)</f>
        <v>1.17120912387023E-2</v>
      </c>
      <c r="NX3" s="2">
        <f>0.0235721582814402*(1)</f>
        <v>2.35721582814402E-2</v>
      </c>
      <c r="NY3" s="2">
        <f>0.0131802071125152*(1)</f>
        <v>1.31802071125152E-2</v>
      </c>
      <c r="NZ3" s="2">
        <f>-0.0105459539555279*(1)</f>
        <v>-1.05459539555279E-2</v>
      </c>
      <c r="OA3" s="2">
        <f>-0.00702985406194746*(1)</f>
        <v>-7.0298540619474596E-3</v>
      </c>
      <c r="OB3" s="2">
        <f>0.018636439144143*(1)</f>
        <v>1.8636439144143001E-2</v>
      </c>
      <c r="OC3" s="2">
        <f>0.0253630913464298*(1)</f>
        <v>2.5363091346429799E-2</v>
      </c>
      <c r="OD3" s="2">
        <f>-0.00490226688645879*(1)</f>
        <v>-4.9022668864587898E-3</v>
      </c>
      <c r="OE3" s="2">
        <f>-0.00765149476904515*(1)</f>
        <v>-7.6514947690451496E-3</v>
      </c>
      <c r="OF3" s="2">
        <f>0.0506178916072194*(1)</f>
        <v>5.0617891607219398E-2</v>
      </c>
      <c r="OG3" s="2">
        <f>0.000110053757385552*(1)</f>
        <v>1.1005375738555201E-4</v>
      </c>
      <c r="OH3" s="2">
        <f>-0.00302329045411329*(1)</f>
        <v>-3.02329045411329E-3</v>
      </c>
      <c r="OI3" s="2">
        <f>-0.010982655591697*(1)</f>
        <v>-1.0982655591697E-2</v>
      </c>
      <c r="OJ3" s="2">
        <f>0.0079736720078137*(1)</f>
        <v>7.9736720078137004E-3</v>
      </c>
      <c r="OK3" s="2">
        <f>0.00730340646394768*(1)</f>
        <v>7.3034064639476799E-3</v>
      </c>
      <c r="OL3" s="2">
        <f>-0.0120799301666277*(1)</f>
        <v>-1.20799301666277E-2</v>
      </c>
      <c r="OM3" s="2">
        <f>-0.0139771878636614*(1)</f>
        <v>-1.39771878636614E-2</v>
      </c>
      <c r="ON3" s="2">
        <f>-0.00183886841235379*(1)</f>
        <v>-1.83886841235379E-3</v>
      </c>
      <c r="OO3" s="2">
        <f>-0.00782549169771154*(1)</f>
        <v>-7.82549169771154E-3</v>
      </c>
      <c r="OP3" s="2">
        <f>-0.0184685560025794*(1)</f>
        <v>-1.8468556002579399E-2</v>
      </c>
      <c r="OQ3" s="2">
        <f>0.0029623961074936*(1)</f>
        <v>2.9623961074935999E-3</v>
      </c>
      <c r="OR3" s="2">
        <f>-0.00147926956704023*(1)</f>
        <v>-1.4792695670402299E-3</v>
      </c>
      <c r="OS3" s="2">
        <f>-0.0355738402276103*(1)</f>
        <v>-3.5573840227610301E-2</v>
      </c>
      <c r="OT3" s="2">
        <f>0.00146994094786889*(1)</f>
        <v>1.46994094786889E-3</v>
      </c>
      <c r="OU3" s="2">
        <f>-0.00356764129858692*(1)</f>
        <v>-3.5676412985869198E-3</v>
      </c>
      <c r="OV3" s="2">
        <f>-0.0125996616443602*(1)</f>
        <v>-1.25996616443602E-2</v>
      </c>
      <c r="OW3" s="2">
        <f>-0.00586572618750316*(1)</f>
        <v>-5.8657261875031596E-3</v>
      </c>
      <c r="OX3" s="2">
        <f>0.0153292741642958*(1)</f>
        <v>1.53292741642958E-2</v>
      </c>
      <c r="OY3" s="2">
        <f>-0.00555552843611439*(1)</f>
        <v>-5.5555284361143899E-3</v>
      </c>
      <c r="OZ3" s="2">
        <f>0.00661476385726128*(1)</f>
        <v>6.6147638572612803E-3</v>
      </c>
      <c r="PA3" s="2">
        <f>0.00488955468958422*(1)</f>
        <v>4.8895546895842204E-3</v>
      </c>
      <c r="PB3" s="2">
        <f>0.0056328795102823*(1)</f>
        <v>5.6328795102823003E-3</v>
      </c>
      <c r="PC3" s="2">
        <f>0.0220956314790275*(1)</f>
        <v>2.2095631479027499E-2</v>
      </c>
      <c r="PD3" s="2">
        <f>-0.00460945127828796*(1)</f>
        <v>-4.60945127828796E-3</v>
      </c>
      <c r="PE3" s="2">
        <f>-0.0210705968570869*(1)</f>
        <v>-2.1070596857086898E-2</v>
      </c>
      <c r="PF3" s="2">
        <f>-0.0201807191081332*(1)</f>
        <v>-2.01807191081332E-2</v>
      </c>
      <c r="PG3" s="2">
        <f>0.0204191961153697*(1)</f>
        <v>2.04191961153697E-2</v>
      </c>
      <c r="PH3" s="2">
        <f>0.0107241531099799*(1)</f>
        <v>1.07241531099799E-2</v>
      </c>
      <c r="PI3" s="2">
        <f>-0.00278546263377175*(1)</f>
        <v>-2.7854626337717502E-3</v>
      </c>
      <c r="PJ3" s="2">
        <f>-0.00226283756528364*(1)</f>
        <v>-2.26283756528364E-3</v>
      </c>
      <c r="PK3" s="2">
        <f>0.0223708069653939*(1)</f>
        <v>2.23708069653939E-2</v>
      </c>
      <c r="PL3" s="2">
        <f>-0.0128619150662189*(1)</f>
        <v>-1.28619150662189E-2</v>
      </c>
      <c r="PM3" s="2">
        <f>-0.0222417908033489*(1)</f>
        <v>-2.2241790803348899E-2</v>
      </c>
      <c r="PN3" s="2">
        <f>0.0182062846817997*(1)</f>
        <v>1.82062846817997E-2</v>
      </c>
      <c r="PO3" s="2">
        <f>-0.00176105458532327*(1)</f>
        <v>-1.7610545853232701E-3</v>
      </c>
      <c r="PP3" s="2">
        <f>-0.000936067149007079*(1)</f>
        <v>-9.3606714900707898E-4</v>
      </c>
      <c r="PQ3" s="2">
        <f>0.027441340315183*(1)</f>
        <v>2.7441340315182999E-2</v>
      </c>
      <c r="PR3" s="2">
        <f>-0.00362848647804058*(1)</f>
        <v>-3.62848647804058E-3</v>
      </c>
      <c r="PS3" s="2">
        <f>0.0156786863484835*(1)</f>
        <v>1.56786863484835E-2</v>
      </c>
      <c r="PT3" s="2">
        <f>-0.00554122909531208*(1)</f>
        <v>-5.5412290953120802E-3</v>
      </c>
      <c r="PU3" s="2">
        <f>0.00522291762728585*(1)</f>
        <v>5.2229176272858497E-3</v>
      </c>
      <c r="PV3" s="2">
        <f>-0.00246873945490021*(1)</f>
        <v>-2.4687394549002101E-3</v>
      </c>
      <c r="PW3" s="2">
        <f>0.014664127566344*(1)</f>
        <v>1.4664127566344E-2</v>
      </c>
      <c r="PX3" s="2">
        <f>0.00199984599132787*(1)</f>
        <v>1.9998459913278701E-3</v>
      </c>
      <c r="PY3" s="2">
        <f>0.00750153468416758*(1)</f>
        <v>7.50153468416758E-3</v>
      </c>
      <c r="PZ3" s="2">
        <f>-0.00118198424359172*(1)</f>
        <v>-1.18198424359172E-3</v>
      </c>
      <c r="QA3" s="2">
        <f>0.00198862740820015*(1)</f>
        <v>1.9886274082001501E-3</v>
      </c>
      <c r="QB3" s="2">
        <f>0.00079192268667385*(1)</f>
        <v>7.9192268667384997E-4</v>
      </c>
      <c r="QC3" s="2">
        <f>0.0158232440633407*(1)</f>
        <v>1.5823244063340701E-2</v>
      </c>
      <c r="QD3" s="2">
        <f>-0.00267643131510924*(1)</f>
        <v>-2.6764313151092399E-3</v>
      </c>
      <c r="QE3" s="2">
        <f>-0.00448378622583172*(1)</f>
        <v>-4.4837862258317197E-3</v>
      </c>
      <c r="QF3" s="2">
        <f>-0.00526471140355632*(1)</f>
        <v>-5.2647114035563203E-3</v>
      </c>
      <c r="QG3" s="2">
        <f>0.00971661788381955*(1)</f>
        <v>9.7166178838195508E-3</v>
      </c>
      <c r="QH3" s="2">
        <f>-0.00213919851828584*(1)</f>
        <v>-2.1391985182858402E-3</v>
      </c>
      <c r="QI3" s="2">
        <f>-0.01400680153366*(1)</f>
        <v>-1.4006801533659999E-2</v>
      </c>
      <c r="QJ3" s="2">
        <f>0.010403714039187*(1)</f>
        <v>1.0403714039187001E-2</v>
      </c>
      <c r="QK3" s="2">
        <f>-0.00377131982753899*(1)</f>
        <v>-3.77131982753899E-3</v>
      </c>
      <c r="QL3" s="2">
        <f>0.00500238824313903*(1)</f>
        <v>5.0023882431390297E-3</v>
      </c>
      <c r="QM3" s="2">
        <f>0.0240146374316544*(1)</f>
        <v>2.4014637431654402E-2</v>
      </c>
      <c r="QN3" s="2">
        <f>-0.00344024741230383*(1)</f>
        <v>-3.44024741230383E-3</v>
      </c>
      <c r="QO3" s="2">
        <f>0.00192204982433122*(1)</f>
        <v>1.9220498243312199E-3</v>
      </c>
      <c r="QP3" s="2">
        <f>-0.00413719057410055*(1)</f>
        <v>-4.1371905741005499E-3</v>
      </c>
      <c r="QQ3" s="2">
        <f>0.000298088436921022*(1)</f>
        <v>2.98088436921022E-4</v>
      </c>
      <c r="QR3" s="2">
        <f>0.00687707618506006*(1)</f>
        <v>6.8770761850600604E-3</v>
      </c>
      <c r="QS3" s="2">
        <f>-0.0123119006797979*(1)</f>
        <v>-1.2311900679797899E-2</v>
      </c>
      <c r="QT3" s="2">
        <f>-0.00246092549458537*(1)</f>
        <v>-2.4609254945853701E-3</v>
      </c>
      <c r="QU3" s="2">
        <f>0.0210042492337218*(1)</f>
        <v>2.1004249233721801E-2</v>
      </c>
      <c r="QV3" s="2">
        <f>-0.00659479939459385*(1)</f>
        <v>-6.5947993945938499E-3</v>
      </c>
      <c r="QW3" s="2">
        <f>0.00594022305651388*(1)</f>
        <v>5.9402230565138801E-3</v>
      </c>
      <c r="QX3" s="2">
        <f>0.0137716189901429*(1)</f>
        <v>1.3771618990142899E-2</v>
      </c>
      <c r="QY3" s="2">
        <f>-0.00438697559516499*(1)</f>
        <v>-4.3869755951649898E-3</v>
      </c>
      <c r="QZ3" s="2">
        <f>-0.00695756488844805*(1)</f>
        <v>-6.9575648884480498E-3</v>
      </c>
      <c r="RA3" s="2">
        <f>-0.00167513887505817*(1)</f>
        <v>-1.6751388750581701E-3</v>
      </c>
      <c r="RB3" s="2">
        <f>0.00150846208549071*(1)</f>
        <v>1.5084620854907099E-3</v>
      </c>
      <c r="RC3" s="2">
        <f>-0.0222957257541854*(1)</f>
        <v>-2.2295725754185401E-2</v>
      </c>
      <c r="RD3" s="2">
        <f>0.00488964888051105*(1)</f>
        <v>4.8896488805110503E-3</v>
      </c>
      <c r="RE3" s="2">
        <f>-0.0153065658491926*(1)</f>
        <v>-1.5306565849192599E-2</v>
      </c>
      <c r="RF3" s="2">
        <f>0.016672472534748*(1)</f>
        <v>1.6672472534748E-2</v>
      </c>
      <c r="RG3" s="2">
        <f>0.00810732992980899*(1)</f>
        <v>8.1073299298089901E-3</v>
      </c>
      <c r="RH3" s="2">
        <f>0.00401070938315716*(1)</f>
        <v>4.01070938315716E-3</v>
      </c>
      <c r="RI3" s="2">
        <f>0.00845179534400808*(1)</f>
        <v>8.4517953440080805E-3</v>
      </c>
      <c r="RJ3" s="2">
        <f>0.00347231618721156*(1)</f>
        <v>3.4723161872115601E-3</v>
      </c>
      <c r="RK3" s="2">
        <f>0.000976635562147931*(1)</f>
        <v>9.7663556214793107E-4</v>
      </c>
      <c r="RL3" s="2">
        <f>0.00254179961401332*(1)</f>
        <v>2.5417996140133202E-3</v>
      </c>
      <c r="RM3" s="2">
        <f>0.0051857893510201*(1)</f>
        <v>5.1857893510200998E-3</v>
      </c>
      <c r="RN3" s="2">
        <f>0.00732132130207621*(1)</f>
        <v>7.32132130207621E-3</v>
      </c>
      <c r="RO3" s="2">
        <f>0.00259943818310882*(1)</f>
        <v>2.5994381831088201E-3</v>
      </c>
      <c r="RP3" s="2">
        <f>-0.0026403148380384*(1)</f>
        <v>-2.6403148380383999E-3</v>
      </c>
      <c r="RQ3" s="2">
        <f>-0.00437602506644161*(1)</f>
        <v>-4.3760250664416104E-3</v>
      </c>
      <c r="RR3" s="2">
        <f>0.0166067791280812*(1)</f>
        <v>1.66067791280812E-2</v>
      </c>
      <c r="RS3" s="2">
        <f>0.00519417274155519*(1)</f>
        <v>5.19417274155519E-3</v>
      </c>
      <c r="RT3" s="2">
        <f>-0.00353843830595231*(1)</f>
        <v>-3.53843830595231E-3</v>
      </c>
      <c r="RU3" s="2">
        <f>-0.0337216118627483*(1)</f>
        <v>-3.3721611862748302E-2</v>
      </c>
      <c r="RV3" s="2">
        <f>0.00272951196197291*(1)</f>
        <v>2.7295119619729102E-3</v>
      </c>
      <c r="RW3" s="2">
        <f>0.0196291837214848*(1)</f>
        <v>1.96291837214848E-2</v>
      </c>
      <c r="RX3" s="2">
        <f>0.000551069999641745*(1)</f>
        <v>5.5106999964174498E-4</v>
      </c>
      <c r="RY3" s="2">
        <f>0.00555192575202906*(1)</f>
        <v>5.5519257520290598E-3</v>
      </c>
      <c r="RZ3" s="2">
        <f>0.00589051013441872*(1)</f>
        <v>5.8905101344187199E-3</v>
      </c>
      <c r="SA3" s="2">
        <f>-0.0101914887540687*(1)</f>
        <v>-1.01914887540687E-2</v>
      </c>
      <c r="SB3" s="2">
        <f>-0.00113827354653291*(1)</f>
        <v>-1.1382735465329101E-3</v>
      </c>
      <c r="SC3" s="2">
        <f>-0.00535071006896552*(1)</f>
        <v>-5.3507100689655198E-3</v>
      </c>
      <c r="SD3" s="2">
        <f>-0.00999355447840025*(1)</f>
        <v>-9.9935544784002499E-3</v>
      </c>
      <c r="SE3" s="2">
        <f>0.0278486176700852*(1)</f>
        <v>2.7848617670085202E-2</v>
      </c>
      <c r="SF3" s="2">
        <f>0.0106266811444889*(1)</f>
        <v>1.0626681144488901E-2</v>
      </c>
      <c r="SG3" s="2">
        <f>-0.00458248316389898*(1)</f>
        <v>-4.5824831638989804E-3</v>
      </c>
      <c r="SH3" s="2">
        <f>0.000431222356928973*(1)</f>
        <v>4.3122235692897302E-4</v>
      </c>
      <c r="SI3" s="2">
        <f>-0.00714728165956013*(1)</f>
        <v>-7.1472816595601297E-3</v>
      </c>
      <c r="SJ3" s="2">
        <f>0.0244427560167854*(1)</f>
        <v>2.4442756016785399E-2</v>
      </c>
      <c r="SK3" s="2">
        <f>-0.0496242390077155*(1)</f>
        <v>-4.9624239007715502E-2</v>
      </c>
      <c r="SL3" s="2">
        <f>-0.00800794056557602*(1)</f>
        <v>-8.0079405655760199E-3</v>
      </c>
      <c r="SM3" s="2">
        <f>0.00866543382737357*(1)</f>
        <v>8.6654338273735709E-3</v>
      </c>
      <c r="SN3" s="2">
        <f>0.0116900880983376*(1)</f>
        <v>1.16900880983376E-2</v>
      </c>
      <c r="SO3" s="2">
        <f>-0.00923707834839068*(1)</f>
        <v>-9.2370783483906801E-3</v>
      </c>
      <c r="SP3" s="2">
        <f>0.0507941577464186*(1)</f>
        <v>5.07941577464186E-2</v>
      </c>
      <c r="SQ3" s="2">
        <f>0.0217164711752223*(1)</f>
        <v>2.17164711752223E-2</v>
      </c>
      <c r="SR3" s="2">
        <f>0.00308744899426591*(1)</f>
        <v>3.0874489942659101E-3</v>
      </c>
      <c r="SS3" s="2">
        <f>-0.0244878735204635*(1)</f>
        <v>-2.4487873520463499E-2</v>
      </c>
      <c r="ST3" s="2">
        <f>0.028078635247149*(1)</f>
        <v>2.8078635247149E-2</v>
      </c>
      <c r="SU3" s="2">
        <f>0.00712788081296018*(1)</f>
        <v>7.1278808129601797E-3</v>
      </c>
      <c r="SV3" s="2">
        <f>-0.0396142371005502*(1)</f>
        <v>-3.9614237100550197E-2</v>
      </c>
      <c r="SW3" s="2">
        <f>-0.0158616325863464*(1)</f>
        <v>-1.5861632586346399E-2</v>
      </c>
      <c r="SX3" s="2">
        <f>-0.0168485128730277*(1)</f>
        <v>-1.6848512873027702E-2</v>
      </c>
      <c r="SY3" s="2">
        <f>-0.0117924821612614*(1)</f>
        <v>-1.17924821612614E-2</v>
      </c>
      <c r="SZ3" s="2">
        <f>-0.00801699725139163*(1)</f>
        <v>-8.0169972513916294E-3</v>
      </c>
      <c r="TA3" s="2">
        <f>0.0386636057079471*(1)</f>
        <v>3.86636057079471E-2</v>
      </c>
      <c r="TB3" s="2">
        <f>0.00659138683443135*(1)</f>
        <v>6.5913868344313498E-3</v>
      </c>
      <c r="TC3" s="2">
        <f>0.0115570793269996*(1)</f>
        <v>1.1557079326999601E-2</v>
      </c>
      <c r="TD3" s="2">
        <f>-0.00418521360511486*(1)</f>
        <v>-4.1852136051148603E-3</v>
      </c>
      <c r="TE3" s="2">
        <f>-0.0109598252071265*(1)</f>
        <v>-1.0959825207126499E-2</v>
      </c>
      <c r="TF3" s="2">
        <f>0.000587793291483744*(1)</f>
        <v>5.8779329148374402E-4</v>
      </c>
      <c r="TG3" s="2">
        <f>0.0190707104005515*(1)</f>
        <v>1.9070710400551499E-2</v>
      </c>
      <c r="TH3" s="2">
        <f>-0.00368473942705246*(1)</f>
        <v>-3.68473942705246E-3</v>
      </c>
      <c r="TI3" s="2">
        <f>-0.0114077760594989*(1)</f>
        <v>-1.14077760594989E-2</v>
      </c>
      <c r="TJ3" s="2">
        <f>0.0171569841128927*(1)</f>
        <v>1.7156984112892699E-2</v>
      </c>
      <c r="TK3" s="2">
        <f>-0.0190121899622088*(1)</f>
        <v>-1.9012189962208801E-2</v>
      </c>
      <c r="TL3" s="2">
        <f>-0.00874314074448125*(1)</f>
        <v>-8.7431407444812492E-3</v>
      </c>
      <c r="TM3" s="2">
        <f>0.0406828828199185*(1)</f>
        <v>4.0682882819918498E-2</v>
      </c>
      <c r="TN3" s="2">
        <f>-0.0338654055161719*(1)</f>
        <v>-3.3865405516171898E-2</v>
      </c>
      <c r="TO3" s="2">
        <f>-0.00383900827370365*(1)</f>
        <v>-3.8390082737036501E-3</v>
      </c>
      <c r="TP3" s="2">
        <f>0.0205291293566806*(1)</f>
        <v>2.0529129356680598E-2</v>
      </c>
      <c r="TQ3" s="2">
        <f>-0.032040712185214*(1)</f>
        <v>-3.2040712185214003E-2</v>
      </c>
      <c r="TR3" s="2">
        <f>0.00237491519550904*(1)</f>
        <v>2.37491519550904E-3</v>
      </c>
      <c r="TS3" s="2">
        <f>0.0291031500196926*(1)</f>
        <v>2.9103150019692599E-2</v>
      </c>
      <c r="TT3" s="2">
        <f>-0.00830485393155181*(1)</f>
        <v>-8.3048539315518106E-3</v>
      </c>
      <c r="TU3" s="2">
        <f>-0.000789432400520596*(1)</f>
        <v>-7.8943240052059603E-4</v>
      </c>
      <c r="TV3" s="2">
        <f>-0.00903708302800044*(1)</f>
        <v>-9.0370830280004401E-3</v>
      </c>
      <c r="TW3" s="2">
        <f>0.00398956849148352*(1)</f>
        <v>3.9895684914835203E-3</v>
      </c>
      <c r="TX3" s="2">
        <f>0.0241300258310661*(1)</f>
        <v>2.4130025831066101E-2</v>
      </c>
      <c r="TY3" s="2">
        <f>-0.00228445480698769*(1)</f>
        <v>-2.2844548069876902E-3</v>
      </c>
      <c r="TZ3" s="2">
        <f>0.00267691153585552*(1)</f>
        <v>2.6769115358555198E-3</v>
      </c>
      <c r="UA3" s="2">
        <f>-0.00381780717453239*(1)</f>
        <v>-3.8178071745323902E-3</v>
      </c>
      <c r="UB3" s="2">
        <f>-0.0212858059580132*(1)</f>
        <v>-2.1285805958013201E-2</v>
      </c>
      <c r="UC3" s="2">
        <f>-0.0103440904453354*(1)</f>
        <v>-1.0344090445335401E-2</v>
      </c>
      <c r="UD3" s="2">
        <f>0.00581009487130101*(1)</f>
        <v>5.8100948713010097E-3</v>
      </c>
      <c r="UE3" s="2">
        <f>0.0105029868878091*(1)</f>
        <v>1.0502986887809099E-2</v>
      </c>
      <c r="UF3" s="2">
        <f>-0.00941471185241449*(1)</f>
        <v>-9.4147118524144906E-3</v>
      </c>
      <c r="UG3" s="2">
        <f>-0.0132453449582505*(1)</f>
        <v>-1.3245344958250501E-2</v>
      </c>
      <c r="UH3" s="2">
        <f>-0.0140130705775985*(1)</f>
        <v>-1.4013070577598499E-2</v>
      </c>
      <c r="UI3" s="2">
        <f>0.00383974439089627*(1)</f>
        <v>3.8397443908962702E-3</v>
      </c>
      <c r="UJ3" s="2">
        <f>0.00426931738415449*(1)</f>
        <v>4.2693173841544902E-3</v>
      </c>
      <c r="UK3" s="2">
        <f>-0.0361289045334923*(1)</f>
        <v>-3.6128904533492302E-2</v>
      </c>
      <c r="UL3" s="2">
        <f>0.00132458906320403*(1)</f>
        <v>1.32458906320403E-3</v>
      </c>
      <c r="UM3" s="2">
        <f>0.0048234695591898*(1)</f>
        <v>4.8234695591897999E-3</v>
      </c>
      <c r="UN3" s="2">
        <f>-0.00752704165658836*(1)</f>
        <v>-7.52704165658836E-3</v>
      </c>
      <c r="UO3" s="2">
        <f>0.00673748407797152*(1)</f>
        <v>6.73748407797152E-3</v>
      </c>
      <c r="UP3" s="2">
        <f>-0.0193390737453253*(1)</f>
        <v>-1.93390737453253E-2</v>
      </c>
      <c r="UQ3" s="2">
        <f>-0.00315486841841151*(1)</f>
        <v>-3.1548684184115102E-3</v>
      </c>
      <c r="UR3" s="2">
        <f>0.0307757742260957*(1)</f>
        <v>3.07757742260957E-2</v>
      </c>
      <c r="US3" s="2">
        <f>-0.00213749682407301*(1)</f>
        <v>-2.1374968240730099E-3</v>
      </c>
      <c r="UT3" s="2">
        <f>0.0208425090141159*(1)</f>
        <v>2.0842509014115902E-2</v>
      </c>
      <c r="UU3" s="2">
        <f>0.0106366982770718*(1)</f>
        <v>1.06366982770718E-2</v>
      </c>
      <c r="UV3" s="2">
        <f>-0.00122898975070282*(1)</f>
        <v>-1.22898975070282E-3</v>
      </c>
      <c r="UW3" s="2">
        <f>-0.0116522182661392*(1)</f>
        <v>-1.16522182661392E-2</v>
      </c>
      <c r="UX3" s="2">
        <f>-0.0291220025549148*(1)</f>
        <v>-2.9122002554914799E-2</v>
      </c>
      <c r="UY3" s="2">
        <f>0.00803685518478766*(1)</f>
        <v>8.0368551847876599E-3</v>
      </c>
      <c r="UZ3" s="2">
        <f>-0.00517786055796666*(1)</f>
        <v>-5.1778605579666601E-3</v>
      </c>
      <c r="VA3" s="2">
        <f>0.00463703834568239*(1)</f>
        <v>4.6370383456823903E-3</v>
      </c>
      <c r="VB3" s="2">
        <f>-0.0083848505913151*(1)</f>
        <v>-8.3848505913151003E-3</v>
      </c>
      <c r="VC3" s="2">
        <f>-0.0023019429240016*(1)</f>
        <v>-2.3019429240016E-3</v>
      </c>
      <c r="VD3" s="2">
        <f>0.00665434409814536*(1)</f>
        <v>6.6543440981453603E-3</v>
      </c>
      <c r="VE3" s="2">
        <f>0.0162062970169365*(1)</f>
        <v>1.6206297016936499E-2</v>
      </c>
      <c r="VF3" s="2">
        <f>-0.0173615243218425*(1)</f>
        <v>-1.73615243218425E-2</v>
      </c>
      <c r="VG3" s="2">
        <f>0.0094601692362681*(1)</f>
        <v>9.4601692362680997E-3</v>
      </c>
      <c r="VH3" s="2">
        <f>0.0101860032281173*(1)</f>
        <v>1.01860032281173E-2</v>
      </c>
      <c r="VI3" s="2">
        <f>-0.013291625606984*(1)</f>
        <v>-1.3291625606983999E-2</v>
      </c>
      <c r="VJ3" s="2">
        <f>-0.00645657740944138*(1)</f>
        <v>-6.4565774094413799E-3</v>
      </c>
      <c r="VK3" s="2">
        <f>0.000797050320155186*(1)</f>
        <v>7.9705032015518599E-4</v>
      </c>
      <c r="VL3" s="2">
        <f>0.00431567659613008*(1)</f>
        <v>4.3156765961300803E-3</v>
      </c>
      <c r="VM3" s="2">
        <f>0.0328618379623183*(1)</f>
        <v>3.2861837962318299E-2</v>
      </c>
      <c r="VN3" s="2">
        <f>-0.0183904575384263*(1)</f>
        <v>-1.8390457538426299E-2</v>
      </c>
      <c r="VO3" s="2">
        <f>-0.0126002734018379*(1)</f>
        <v>-1.26002734018379E-2</v>
      </c>
      <c r="VP3" s="2">
        <f>-0.00326422350650978*(1)</f>
        <v>-3.26422350650978E-3</v>
      </c>
      <c r="VQ3" s="2">
        <f>-0.00813559535748335*(1)</f>
        <v>-8.1355953574833492E-3</v>
      </c>
      <c r="VR3" s="2">
        <f>-0.00023338365235417*(1)</f>
        <v>-2.3338365235416999E-4</v>
      </c>
      <c r="VS3" s="2">
        <f>-0.00258974739407534*(1)</f>
        <v>-2.58974739407534E-3</v>
      </c>
      <c r="VT3" s="2">
        <f>0.00970023764111177*(1)</f>
        <v>9.70023764111177E-3</v>
      </c>
      <c r="VU3" s="2">
        <f>-0.0222058197727148*(1)</f>
        <v>-2.22058197727148E-2</v>
      </c>
      <c r="VV3" s="2">
        <f>0.0132199532042196*(1)</f>
        <v>1.3219953204219601E-2</v>
      </c>
      <c r="VW3" s="2">
        <f>-0.000925915886986889*(1)</f>
        <v>-9.2591588698688902E-4</v>
      </c>
      <c r="VX3" s="2">
        <f>0.00332927731843089*(1)</f>
        <v>3.32927731843089E-3</v>
      </c>
      <c r="VY3" s="2">
        <f>0.00109374612717868*(1)</f>
        <v>1.09374612717868E-3</v>
      </c>
      <c r="VZ3" s="2">
        <f>-0.00102598125107923*(1)</f>
        <v>-1.0259812510792299E-3</v>
      </c>
      <c r="WA3" s="2">
        <f>0.0169751115704736*(1)</f>
        <v>1.69751115704736E-2</v>
      </c>
      <c r="WB3" s="2">
        <f>0.00708106842628283*(1)</f>
        <v>7.0810684262828296E-3</v>
      </c>
      <c r="WC3" s="2">
        <f>-0.00461702442024726*(1)</f>
        <v>-4.6170244202472597E-3</v>
      </c>
      <c r="WD3" s="2">
        <f>0.00955607385610652*(1)</f>
        <v>9.5560738561065207E-3</v>
      </c>
      <c r="WE3" s="2">
        <f>-0.00230703570377697*(1)</f>
        <v>-2.3070357037769701E-3</v>
      </c>
      <c r="WF3" s="2">
        <f>0.0271868386851956*(1)</f>
        <v>2.71868386851956E-2</v>
      </c>
      <c r="WG3" s="2">
        <f>0.00552562043366072*(1)</f>
        <v>5.5256204336607204E-3</v>
      </c>
      <c r="WH3" s="2">
        <f>0.00883022213229655*(1)</f>
        <v>8.8302221322965491E-3</v>
      </c>
      <c r="WI3" s="2">
        <f>0.0106301026166501*(1)</f>
        <v>1.06301026166501E-2</v>
      </c>
      <c r="WJ3" s="2">
        <f>0.00683903563093723*(1)</f>
        <v>6.8390356309372298E-3</v>
      </c>
      <c r="WK3" s="2">
        <f>-0.00803748409291087*(1)</f>
        <v>-8.0374840929108692E-3</v>
      </c>
      <c r="WL3" s="2">
        <f>-0.00176491051476223*(1)</f>
        <v>-1.76491051476223E-3</v>
      </c>
      <c r="WM3" s="2">
        <f>0.00421908785138543*(1)</f>
        <v>4.2190878513854299E-3</v>
      </c>
      <c r="WN3" s="2">
        <f>-0.0180264565956847*(1)</f>
        <v>-1.8026456595684699E-2</v>
      </c>
      <c r="WO3" s="2">
        <f>-0.0105742926052204*(1)</f>
        <v>-1.0574292605220401E-2</v>
      </c>
      <c r="WP3" s="2">
        <f>-0.00143933851718473*(1)</f>
        <v>-1.43933851718473E-3</v>
      </c>
      <c r="WQ3" s="2">
        <f>-0.00479808736551023*(1)</f>
        <v>-4.7980873655102301E-3</v>
      </c>
      <c r="WR3" s="2">
        <f>-0.00498694830610699*(1)</f>
        <v>-4.9869483061069902E-3</v>
      </c>
      <c r="WS3" s="2">
        <f>-0.0104220073421728*(1)</f>
        <v>-1.0422007342172799E-2</v>
      </c>
      <c r="WT3" s="2">
        <f>0.00631846369871513*(1)</f>
        <v>6.3184636987151299E-3</v>
      </c>
      <c r="WU3" s="2">
        <f>0.00118347053582767*(1)</f>
        <v>1.18347053582767E-3</v>
      </c>
      <c r="WV3" s="2">
        <f>-0.00105713035343081*(1)</f>
        <v>-1.0571303534308101E-3</v>
      </c>
      <c r="WW3" s="2">
        <f>-0.0225484470360051*(1)</f>
        <v>-2.2548447036005101E-2</v>
      </c>
      <c r="WX3" s="2">
        <f>0.0139554299381673*(1)</f>
        <v>1.3955429938167299E-2</v>
      </c>
      <c r="WY3" s="2">
        <f>0.00699393535199545*(1)</f>
        <v>6.9939353519954499E-3</v>
      </c>
      <c r="WZ3" s="2">
        <f>-0.0249825178452311*(1)</f>
        <v>-2.49825178452311E-2</v>
      </c>
      <c r="XA3" s="2">
        <f>-0.00235450023270503*(1)</f>
        <v>-2.35450023270503E-3</v>
      </c>
      <c r="XB3" s="2">
        <f>-0.0113896723041513*(1)</f>
        <v>-1.13896723041513E-2</v>
      </c>
      <c r="XC3" s="2">
        <f>-0.00100439452127423*(1)</f>
        <v>-1.00439452127423E-3</v>
      </c>
      <c r="XD3" s="2">
        <f>-0.00363675570713238*(1)</f>
        <v>-3.6367557071323802E-3</v>
      </c>
      <c r="XE3" s="2">
        <f>0.0124933036438233*(1)</f>
        <v>1.2493303643823299E-2</v>
      </c>
      <c r="XF3" s="2">
        <f>0.00324211128577947*(1)</f>
        <v>3.2421112857794702E-3</v>
      </c>
      <c r="XG3" s="2">
        <f>-0.0108197228371848*(1)</f>
        <v>-1.0819722837184799E-2</v>
      </c>
      <c r="XH3" s="2">
        <f>0.0133321748147512*(1)</f>
        <v>1.3332174814751199E-2</v>
      </c>
      <c r="XI3" s="2">
        <f>-0.0230480092562045*(1)</f>
        <v>-2.30480092562045E-2</v>
      </c>
      <c r="XJ3" s="2">
        <f>-0.00803086956684995*(1)</f>
        <v>-8.0308695668499502E-3</v>
      </c>
      <c r="XK3" s="2">
        <f>0.00309803044234133*(1)</f>
        <v>3.0980304423413301E-3</v>
      </c>
      <c r="XL3" s="2">
        <f>0.00543974034281878*(1)</f>
        <v>5.4397403428187796E-3</v>
      </c>
      <c r="XM3" s="2">
        <f>0.00725539387421097*(1)</f>
        <v>7.2553938742109698E-3</v>
      </c>
      <c r="XN3" s="2">
        <f>-0.0125310930280103*(1)</f>
        <v>-1.2531093028010301E-2</v>
      </c>
      <c r="XO3" s="2">
        <f>0.00238847255622253*(1)</f>
        <v>2.3884725562225298E-3</v>
      </c>
      <c r="XP3" s="2">
        <f>0.0225738208291064*(1)</f>
        <v>2.25738208291064E-2</v>
      </c>
      <c r="XQ3" s="2">
        <f>0.0097455324992478*(1)</f>
        <v>9.7455324992478005E-3</v>
      </c>
      <c r="XR3" s="2">
        <f>0.0029770909864261*(1)</f>
        <v>2.9770909864261E-3</v>
      </c>
      <c r="XS3" s="2">
        <f>0.000614811534686926*(1)</f>
        <v>6.1481153468692597E-4</v>
      </c>
      <c r="XT3" s="2">
        <f>-0.00270113112567568*(1)</f>
        <v>-2.7011311256756802E-3</v>
      </c>
      <c r="XU3" s="2">
        <f>0.00818771891316053*(1)</f>
        <v>8.1877189131605299E-3</v>
      </c>
      <c r="XV3" s="2">
        <f>-0.0226202597304412*(1)</f>
        <v>-2.2620259730441201E-2</v>
      </c>
      <c r="XW3" s="2">
        <f>-0.00141916455162542*(1)</f>
        <v>-1.4191645516254199E-3</v>
      </c>
      <c r="XX3" s="2">
        <f>-0.0141850634845618*(1)</f>
        <v>-1.41850634845618E-2</v>
      </c>
      <c r="XY3" s="2">
        <f>0.0220977223769186*(1)</f>
        <v>2.2097722376918601E-2</v>
      </c>
      <c r="XZ3" s="2">
        <f>-0.00926721665883727*(1)</f>
        <v>-9.2672166588372695E-3</v>
      </c>
      <c r="YA3" s="2">
        <f>0.00693134532427448*(1)</f>
        <v>6.9313453242744799E-3</v>
      </c>
      <c r="YB3" s="2">
        <f>0.0110289913504824*(1)</f>
        <v>1.10289913504824E-2</v>
      </c>
      <c r="YC3" s="2">
        <f>-0.00473191786634877*(1)</f>
        <v>-4.73191786634877E-3</v>
      </c>
      <c r="YD3" s="2">
        <f>0.00596749423819133*(1)</f>
        <v>5.9674942381913298E-3</v>
      </c>
      <c r="YE3" s="2">
        <f>0.0129203047642195*(1)</f>
        <v>1.2920304764219501E-2</v>
      </c>
      <c r="YF3" s="2">
        <f>-0.015362890322822*(1)</f>
        <v>-1.5362890322822001E-2</v>
      </c>
      <c r="YG3" s="2">
        <f>-0.00717847953171382*(1)</f>
        <v>-7.1784795317138203E-3</v>
      </c>
      <c r="YH3" s="2">
        <f>0.0130976464483517*(1)</f>
        <v>1.30976464483517E-2</v>
      </c>
      <c r="YI3" s="2">
        <f>0.00283079875259881*(1)</f>
        <v>2.8307987525988099E-3</v>
      </c>
      <c r="YJ3" s="2">
        <f>0.0192745252346066*(1)</f>
        <v>1.9274525234606599E-2</v>
      </c>
      <c r="YK3" s="2">
        <f>-0.00926774078966335*(1)</f>
        <v>-9.2677407896633503E-3</v>
      </c>
      <c r="YL3" s="2">
        <f>0.00354248376073956*(1)</f>
        <v>3.5424837607395598E-3</v>
      </c>
      <c r="YM3" s="2">
        <f>0.000431823305104331*(1)</f>
        <v>4.3182330510433098E-4</v>
      </c>
      <c r="YN3" s="2">
        <f>0.00102429723503953*(1)</f>
        <v>1.0242972350395299E-3</v>
      </c>
      <c r="YO3" s="2">
        <f>0.0062915389656299*(1)</f>
        <v>6.2915389656299E-3</v>
      </c>
      <c r="YP3" s="2">
        <f>-0.00713646334429802*(1)</f>
        <v>-7.1364633442980198E-3</v>
      </c>
      <c r="YQ3" s="2">
        <f>0.00483044541073589*(1)</f>
        <v>4.8304454107358898E-3</v>
      </c>
      <c r="YR3" s="2">
        <f>0.00235354371345648*(1)</f>
        <v>2.3535437134564801E-3</v>
      </c>
      <c r="YS3" s="2">
        <f>-0.00637523672540126*(1)</f>
        <v>-6.3752367254012602E-3</v>
      </c>
      <c r="YT3" s="2">
        <f>0.00447550670051868*(1)</f>
        <v>4.4755067005186801E-3</v>
      </c>
      <c r="YU3" s="2">
        <f>0.00087258445165074*(1)</f>
        <v>8.7258445165073995E-4</v>
      </c>
      <c r="YV3" s="2">
        <f>0.00198993376879612*(1)</f>
        <v>1.9899337687961198E-3</v>
      </c>
      <c r="YW3" s="2">
        <f>0.0225222940517242*(1)</f>
        <v>2.25222940517242E-2</v>
      </c>
      <c r="YX3" s="2">
        <f>-0.00857940636098675*(1)</f>
        <v>-8.5794063609867504E-3</v>
      </c>
      <c r="YY3" s="2">
        <f>0.00437646430677341*(1)</f>
        <v>4.3764643067734097E-3</v>
      </c>
      <c r="YZ3" s="2">
        <f>-0.00559500847986451*(1)</f>
        <v>-5.5950084798645104E-3</v>
      </c>
      <c r="ZA3" s="2">
        <f>0.00883919742025434*(1)</f>
        <v>8.83919742025434E-3</v>
      </c>
      <c r="ZB3" s="2">
        <f>0.015937096562244*(1)</f>
        <v>1.5937096562243999E-2</v>
      </c>
      <c r="ZC3" s="2">
        <f>0.00763091495257292*(1)</f>
        <v>7.6309149525729198E-3</v>
      </c>
      <c r="ZD3" s="2">
        <f>0.000757987164532946*(1)</f>
        <v>7.5798716453294598E-4</v>
      </c>
      <c r="ZE3" s="2">
        <f>-0.00429878878459765*(1)</f>
        <v>-4.2987887845976503E-3</v>
      </c>
      <c r="ZF3" s="2">
        <f>-0.00423572931618311*(1)</f>
        <v>-4.2357293161831098E-3</v>
      </c>
      <c r="ZG3" s="2">
        <f>-0.0114761781767085*(1)</f>
        <v>-1.14761781767085E-2</v>
      </c>
      <c r="ZH3" s="2">
        <f>0.018208728284776*(1)</f>
        <v>1.8208728284775998E-2</v>
      </c>
      <c r="ZI3" s="2">
        <f>-0.0064034260879375*(1)</f>
        <v>-6.4034260879375004E-3</v>
      </c>
      <c r="ZJ3" s="2">
        <f>0.00617306057535273*(1)</f>
        <v>6.17306057535273E-3</v>
      </c>
      <c r="ZK3" s="2">
        <f>-0.0127774489234147*(1)</f>
        <v>-1.2777448923414699E-2</v>
      </c>
      <c r="ZL3" s="2">
        <f>0.0153783380131128*(1)</f>
        <v>1.5378338013112801E-2</v>
      </c>
      <c r="ZM3" s="2">
        <f>-0.0192349858269204*(1)</f>
        <v>-1.92349858269204E-2</v>
      </c>
      <c r="ZN3" s="2">
        <f>0.00810220304765248*(1)</f>
        <v>8.1022030476524797E-3</v>
      </c>
      <c r="ZO3" s="2">
        <f>0.0156749006218119*(1)</f>
        <v>1.5674900621811899E-2</v>
      </c>
      <c r="ZP3" s="2">
        <f>0.00695127003101229*(1)</f>
        <v>6.9512700310122898E-3</v>
      </c>
      <c r="ZQ3" s="2">
        <f>-0.0168676438569757*(1)</f>
        <v>-1.68676438569757E-2</v>
      </c>
      <c r="ZR3" s="2">
        <f>0.0126493818633406*(1)</f>
        <v>1.26493818633406E-2</v>
      </c>
      <c r="ZS3" s="2">
        <f>-0.0124757894130524*(1)</f>
        <v>-1.2475789413052401E-2</v>
      </c>
      <c r="ZT3" s="2">
        <f>0.0058855221847357*(1)</f>
        <v>5.8855221847356996E-3</v>
      </c>
      <c r="ZU3" s="2">
        <f>-0.0138601378431999*(1)</f>
        <v>-1.38601378431999E-2</v>
      </c>
      <c r="ZV3" s="2">
        <f>-0.00885861883354887*(1)</f>
        <v>-8.8586188335488692E-3</v>
      </c>
      <c r="ZW3" s="2">
        <f>-0.0185185734283582*(1)</f>
        <v>-1.85185734283582E-2</v>
      </c>
      <c r="ZX3" s="2">
        <f>0.0067960402753901*(1)</f>
        <v>6.7960402753901002E-3</v>
      </c>
      <c r="ZY3" s="2">
        <f>-0.00210607753905437*(1)</f>
        <v>-2.1060775390543702E-3</v>
      </c>
      <c r="ZZ3" s="2">
        <f>0.00595028435678967*(1)</f>
        <v>5.95028435678967E-3</v>
      </c>
      <c r="AAA3" s="2">
        <f>-0.0121298631312924*(1)</f>
        <v>-1.21298631312924E-2</v>
      </c>
      <c r="AAB3" s="2">
        <f>0.00297996283500349*(1)</f>
        <v>2.97996283500349E-3</v>
      </c>
      <c r="AAC3" s="2">
        <f>-0.00657190141373095*(1)</f>
        <v>-6.5719014137309503E-3</v>
      </c>
      <c r="AAD3" s="2">
        <f>0.00206083587557149*(1)</f>
        <v>2.0608358755714899E-3</v>
      </c>
      <c r="AAE3" s="2">
        <f>-0.00637223328048405*(1)</f>
        <v>-6.3722332804840498E-3</v>
      </c>
      <c r="AAF3" s="2">
        <f>-0.0117813697202343*(1)</f>
        <v>-1.1781369720234299E-2</v>
      </c>
      <c r="AAG3" s="2">
        <f>0.00633515739352455*(1)</f>
        <v>6.3351573935245499E-3</v>
      </c>
      <c r="AAH3" s="2">
        <f>-0.00104762818274064*(1)</f>
        <v>-1.04762818274064E-3</v>
      </c>
      <c r="AAI3" s="2">
        <f>0.0149467874849401*(1)</f>
        <v>1.49467874849401E-2</v>
      </c>
      <c r="AAJ3" s="2">
        <f>0.00290097937736785*(1)</f>
        <v>2.9009793773678498E-3</v>
      </c>
      <c r="AAK3" s="2">
        <f>-0.0101341005514256*(1)</f>
        <v>-1.01341005514256E-2</v>
      </c>
      <c r="AAL3" s="2">
        <f>-0.0107370703073834*(1)</f>
        <v>-1.07370703073834E-2</v>
      </c>
      <c r="AAM3" s="2">
        <f>-0.00857032520171618*(1)</f>
        <v>-8.5703252017161804E-3</v>
      </c>
      <c r="AAN3" s="2">
        <f>0.0101234500220043*(1)</f>
        <v>1.01234500220043E-2</v>
      </c>
      <c r="AAO3" s="2">
        <f>0.00511964817050415*(1)</f>
        <v>5.1196481705041499E-3</v>
      </c>
      <c r="AAP3" s="2">
        <f>0.0122829882893554*(1)</f>
        <v>1.2282988289355401E-2</v>
      </c>
      <c r="AAQ3" s="2">
        <f>0.00173649084202719*(1)</f>
        <v>1.73649084202719E-3</v>
      </c>
      <c r="AAR3" s="2">
        <f>0.00223479756080476*(1)</f>
        <v>2.23479756080476E-3</v>
      </c>
      <c r="AAS3" s="2">
        <f>0.00722556900643808*(1)</f>
        <v>7.2255690064380804E-3</v>
      </c>
      <c r="AAT3" s="2">
        <f>0.0151836994264375*(1)</f>
        <v>1.51836994264375E-2</v>
      </c>
      <c r="AAU3" s="2">
        <f>-0.00291347371971424*(1)</f>
        <v>-2.9134737197142398E-3</v>
      </c>
      <c r="AAV3" s="2">
        <f>-0.0139308233363582*(1)</f>
        <v>-1.39308233363582E-2</v>
      </c>
      <c r="AAW3" s="2">
        <f>-0.00740408127900745*(1)</f>
        <v>-7.4040812790074498E-3</v>
      </c>
      <c r="AAX3" s="2">
        <f>0.0384622504362531*(1)</f>
        <v>3.84622504362531E-2</v>
      </c>
      <c r="AAY3" s="2">
        <f>0.0203023450154972*(1)</f>
        <v>2.03023450154972E-2</v>
      </c>
      <c r="AAZ3" s="2">
        <f>-0.00797936596604457*(1)</f>
        <v>-7.9793659660445694E-3</v>
      </c>
      <c r="ABA3" s="2">
        <f>-0.00274641439757049*(1)</f>
        <v>-2.74641439757049E-3</v>
      </c>
      <c r="ABB3" s="2">
        <f>-0.00371622645863842*(1)</f>
        <v>-3.7162264586384202E-3</v>
      </c>
      <c r="ABC3" s="2">
        <f>-0.00177047588355391*(1)</f>
        <v>-1.77047588355391E-3</v>
      </c>
      <c r="ABD3" s="2">
        <f>0.0119158687810632*(1)</f>
        <v>1.19158687810632E-2</v>
      </c>
      <c r="ABE3" s="2">
        <f>0.000383239630273118*(1)</f>
        <v>3.8323963027311799E-4</v>
      </c>
      <c r="ABF3" s="2">
        <f>-0.00176879101457428*(1)</f>
        <v>-1.76879101457428E-3</v>
      </c>
      <c r="ABG3" s="2">
        <f>0.012243437195985*(1)</f>
        <v>1.2243437195985E-2</v>
      </c>
      <c r="ABH3" s="2">
        <f>-0.00407941429130979*(1)</f>
        <v>-4.0794142913097896E-3</v>
      </c>
      <c r="ABI3" s="2">
        <f>0.000805510072393078*(1)</f>
        <v>8.0551007239307803E-4</v>
      </c>
      <c r="ABJ3" s="2">
        <f>-0.00524883844798082*(1)</f>
        <v>-5.2488384479808196E-3</v>
      </c>
      <c r="ABK3" s="2">
        <f>-0.00866008641897592*(1)</f>
        <v>-8.6600864189759208E-3</v>
      </c>
      <c r="ABL3" s="2">
        <f>0.00973010419276943*(1)</f>
        <v>9.7301041927694305E-3</v>
      </c>
      <c r="ABM3" s="2">
        <f>0.00118357200501056*(1)</f>
        <v>1.18357200501056E-3</v>
      </c>
      <c r="ABN3" s="2">
        <f>-0.00723967131625038*(1)</f>
        <v>-7.2396713162503797E-3</v>
      </c>
      <c r="ABO3" s="2">
        <f>0.00188400544061451*(1)</f>
        <v>1.8840054406145099E-3</v>
      </c>
      <c r="ABP3" s="2">
        <f>0.0317461292938306*(1)</f>
        <v>3.1746129293830597E-2</v>
      </c>
      <c r="ABQ3" s="2">
        <f>-0.00371721213230012*(1)</f>
        <v>-3.7172121323001202E-3</v>
      </c>
      <c r="ABR3" s="2">
        <f>0.0050609238861403*(1)</f>
        <v>5.0609238861403002E-3</v>
      </c>
      <c r="ABS3" s="2">
        <f>0.00399090540791223*(1)</f>
        <v>3.9909054079122304E-3</v>
      </c>
      <c r="ABT3" s="2">
        <f>0.00101285889993006*(1)</f>
        <v>1.0128588999300601E-3</v>
      </c>
      <c r="ABU3" s="2">
        <f>0.00653456094984659*(1)</f>
        <v>6.5345609498465903E-3</v>
      </c>
      <c r="ABV3" s="2">
        <f>-0.0129493484606134*(1)</f>
        <v>-1.2949348460613399E-2</v>
      </c>
      <c r="ABW3" s="2">
        <f>0.0147505804864572*(1)</f>
        <v>1.47505804864572E-2</v>
      </c>
      <c r="ABX3" s="2">
        <f>0.0010126107792654*(1)</f>
        <v>1.0126107792654E-3</v>
      </c>
      <c r="ABY3" s="2">
        <f>-0.0127056702112595*(1)</f>
        <v>-1.27056702112595E-2</v>
      </c>
      <c r="ABZ3" s="2">
        <f>-0.00439574861076638*(1)</f>
        <v>-4.3957486107663798E-3</v>
      </c>
      <c r="ACA3" s="2">
        <f>-0.000813520040099501*(1)</f>
        <v>-8.1352004009950095E-4</v>
      </c>
      <c r="ACB3" s="2">
        <f>0.0000773315001686009*(1)</f>
        <v>7.7331500168600895E-5</v>
      </c>
      <c r="ACC3" s="2">
        <f>0.00257778086122237*(1)</f>
        <v>2.5777808612223699E-3</v>
      </c>
      <c r="ACD3" s="2">
        <f>-0.00730490511132068*(1)</f>
        <v>-7.3049051113206797E-3</v>
      </c>
      <c r="ACE3" s="2">
        <f>0.00453004253313713*(1)</f>
        <v>4.5300425331371297E-3</v>
      </c>
      <c r="ACF3" s="2">
        <f>0.0247357582752738*(1)</f>
        <v>2.47357582752738E-2</v>
      </c>
      <c r="ACG3" s="2">
        <f>-0.00989824975912865*(1)</f>
        <v>-9.8982497591286502E-3</v>
      </c>
      <c r="ACH3" s="2">
        <f>0.00798973010563875*(1)</f>
        <v>7.9897301056387499E-3</v>
      </c>
      <c r="ACI3" s="2">
        <f>0.00899807216119936*(1)</f>
        <v>8.9980721611993605E-3</v>
      </c>
      <c r="ACJ3" s="2">
        <f>0.00250205785821436*(1)</f>
        <v>2.5020578582143601E-3</v>
      </c>
      <c r="ACK3" s="2">
        <f>0.00751163555214043*(1)</f>
        <v>7.5116355521404297E-3</v>
      </c>
      <c r="ACL3" s="2">
        <f>0.0134488441756232*(1)</f>
        <v>1.34488441756232E-2</v>
      </c>
      <c r="ACM3" s="2">
        <f>0.00663166032430748*(1)</f>
        <v>6.6316603243074803E-3</v>
      </c>
      <c r="ACN3" s="2">
        <f>-0.0284601612152334*(1)</f>
        <v>-2.8460161215233402E-2</v>
      </c>
      <c r="ACO3" s="2">
        <f>0.0158060721648109*(1)</f>
        <v>1.5806072164810898E-2</v>
      </c>
      <c r="ACP3" s="2">
        <f>0.00287518195825516*(1)</f>
        <v>2.8751819582551602E-3</v>
      </c>
      <c r="ACQ3" s="2">
        <f>0.0139564084296879*(1)</f>
        <v>1.39564084296879E-2</v>
      </c>
      <c r="ACR3" s="2">
        <f>-0.00190230495864299*(1)</f>
        <v>-1.9023049586429899E-3</v>
      </c>
      <c r="ACS3" s="2">
        <f>0.00308187269947076*(1)</f>
        <v>3.0818726994707602E-3</v>
      </c>
      <c r="ACT3" s="2">
        <f>-0.00178554785968344*(1)</f>
        <v>-1.7855478596834401E-3</v>
      </c>
      <c r="ACU3" s="2">
        <f>0.00120691356859301*(1)</f>
        <v>1.2069135685930099E-3</v>
      </c>
      <c r="ACV3" s="2">
        <f>-0.00643656787535713*(1)</f>
        <v>-6.4365678753571303E-3</v>
      </c>
    </row>
    <row r="4" spans="1:776" x14ac:dyDescent="0.2">
      <c r="A4" s="1" t="s">
        <v>70637</v>
      </c>
      <c r="B4" s="2">
        <f>0.0129492274427345*(1)</f>
        <v>1.2949227442734501E-2</v>
      </c>
      <c r="C4" s="2">
        <f>0.0126919976547245*(1)</f>
        <v>1.26919976547245E-2</v>
      </c>
      <c r="D4" s="2">
        <f>0.00139640157239332*(1)</f>
        <v>1.39640157239332E-3</v>
      </c>
      <c r="E4" s="2">
        <f>0.00500177738929093*(1)</f>
        <v>5.00177738929093E-3</v>
      </c>
      <c r="F4" s="2">
        <f>-0.00559450057530617*(1)</f>
        <v>-5.5945005753061704E-3</v>
      </c>
      <c r="G4" s="2">
        <f>-0.0134393676169113*(1)</f>
        <v>-1.34393676169113E-2</v>
      </c>
      <c r="H4" s="2">
        <f>-0.00173044156251417*(1)</f>
        <v>-1.7304415625141701E-3</v>
      </c>
      <c r="I4" s="2">
        <f>0.0051152209328144*(1)</f>
        <v>5.1152209328143997E-3</v>
      </c>
      <c r="J4" s="2">
        <f>0.0078551700891822*(1)</f>
        <v>7.8551700891821997E-3</v>
      </c>
      <c r="K4" s="2">
        <f>-0.00348002843614847*(1)</f>
        <v>-3.4800284361484698E-3</v>
      </c>
      <c r="L4" s="2">
        <f>0.00234825775637338*(1)</f>
        <v>2.34825775637338E-3</v>
      </c>
      <c r="M4" s="2">
        <f>-0.00585801713905233*(1)</f>
        <v>-5.8580171390523296E-3</v>
      </c>
      <c r="N4" s="2">
        <f>0.00127547092267925*(1)</f>
        <v>1.27547092267925E-3</v>
      </c>
      <c r="O4" s="2">
        <f>-0.00360396565040309*(1)</f>
        <v>-3.6039656504030901E-3</v>
      </c>
      <c r="P4" s="2">
        <f>0.0000609413218724164*(1)</f>
        <v>6.09413218724164E-5</v>
      </c>
      <c r="Q4" s="2">
        <f>0.00513648833782289*(1)</f>
        <v>5.1364883378228901E-3</v>
      </c>
      <c r="R4" s="2">
        <f>-0.0000811034533503698*(1)</f>
        <v>-8.1103453350369803E-5</v>
      </c>
      <c r="S4" s="2">
        <f>-0.00536589102093191*(1)</f>
        <v>-5.3658910209319101E-3</v>
      </c>
      <c r="T4" s="2">
        <f>0.00215440909397249*(1)</f>
        <v>2.1544090939724899E-3</v>
      </c>
      <c r="U4" s="2">
        <f>0.00462366258719679*(1)</f>
        <v>4.6236625871967901E-3</v>
      </c>
      <c r="V4" s="2">
        <f>0.0125724807973754*(1)</f>
        <v>1.2572480797375401E-2</v>
      </c>
      <c r="W4" s="2">
        <f>-0.0110537674914144*(1)</f>
        <v>-1.10537674914144E-2</v>
      </c>
      <c r="X4" s="2">
        <f>0.00592941254774008*(1)</f>
        <v>5.9294125477400801E-3</v>
      </c>
      <c r="Y4" s="2">
        <f>-0.00351976853209575*(1)</f>
        <v>-3.5197685320957502E-3</v>
      </c>
      <c r="Z4" s="2">
        <f>-0.00193328898119351*(1)</f>
        <v>-1.9332889811935099E-3</v>
      </c>
      <c r="AA4" s="2">
        <f>0.00553095451353113*(1)</f>
        <v>5.5309545135311302E-3</v>
      </c>
      <c r="AB4" s="2">
        <f>-0.000683778893521728*(1)</f>
        <v>-6.8377889352172797E-4</v>
      </c>
      <c r="AC4" s="2">
        <f>-0.00324087135694455*(1)</f>
        <v>-3.2408713569445501E-3</v>
      </c>
      <c r="AD4" s="2">
        <f>-0.00830236900423548*(1)</f>
        <v>-8.3023690042354804E-3</v>
      </c>
      <c r="AE4" s="2">
        <f>-0.00560660346042327*(1)</f>
        <v>-5.6066034604232698E-3</v>
      </c>
      <c r="AF4" s="2">
        <f>-0.00400675611662664*(1)</f>
        <v>-4.00675611662664E-3</v>
      </c>
      <c r="AG4" s="2">
        <f>-0.00113226751774301*(1)</f>
        <v>-1.1322675177430101E-3</v>
      </c>
      <c r="AH4" s="2">
        <f>0.000584880190750126*(1)</f>
        <v>5.8488019075012595E-4</v>
      </c>
      <c r="AI4" s="2">
        <f>0.0130213227637089*(1)</f>
        <v>1.30213227637089E-2</v>
      </c>
      <c r="AJ4" s="2">
        <f>-0.0148713299415641*(1)</f>
        <v>-1.48713299415641E-2</v>
      </c>
      <c r="AK4" s="2">
        <f>-0.00315870777169477*(1)</f>
        <v>-3.1587077716947699E-3</v>
      </c>
      <c r="AL4" s="2">
        <f>-0.00189887279424967*(1)</f>
        <v>-1.89887279424967E-3</v>
      </c>
      <c r="AM4" s="2">
        <f>0.00107359350072505*(1)</f>
        <v>1.07359350072505E-3</v>
      </c>
      <c r="AN4" s="2">
        <f>-0.00385780736998825*(1)</f>
        <v>-3.8578073699882501E-3</v>
      </c>
      <c r="AO4" s="2">
        <f>0.00154706585282088*(1)</f>
        <v>1.5470658528208799E-3</v>
      </c>
      <c r="AP4" s="2">
        <f>0.00145844803921853*(1)</f>
        <v>1.4584480392185299E-3</v>
      </c>
      <c r="AQ4" s="2">
        <f>0.0106603188866528*(1)</f>
        <v>1.06603188866528E-2</v>
      </c>
      <c r="AR4" s="2">
        <f>0.000687508092259871*(1)</f>
        <v>6.8750809225987105E-4</v>
      </c>
      <c r="AS4" s="2">
        <f>-0.00261975112281812*(1)</f>
        <v>-2.6197511228181198E-3</v>
      </c>
      <c r="AT4" s="2">
        <f>0.00664574493270559*(1)</f>
        <v>6.6457449327055901E-3</v>
      </c>
      <c r="AU4" s="2">
        <f>0.00794150913157555*(1)</f>
        <v>7.9415091315755502E-3</v>
      </c>
      <c r="AV4" s="2">
        <f>0.00170419202015882*(1)</f>
        <v>1.7041920201588199E-3</v>
      </c>
      <c r="AW4" s="2">
        <f>-0.00423848455031796*(1)</f>
        <v>-4.2384845503179603E-3</v>
      </c>
      <c r="AX4" s="2">
        <f>-0.00788472489319336*(1)</f>
        <v>-7.8847248931933605E-3</v>
      </c>
      <c r="AY4" s="2">
        <f>-0.00532623168790974*(1)</f>
        <v>-5.3262316879097403E-3</v>
      </c>
      <c r="AZ4" s="2">
        <f>0.00241310859802897*(1)</f>
        <v>2.4131085980289698E-3</v>
      </c>
      <c r="BA4" s="2">
        <f>0.00423464458934616*(1)</f>
        <v>4.2346445893461596E-3</v>
      </c>
      <c r="BB4" s="2">
        <f>0.00153247572491636*(1)</f>
        <v>1.53247572491636E-3</v>
      </c>
      <c r="BC4" s="2">
        <f>0.00945383515534839*(1)</f>
        <v>9.4538351553483894E-3</v>
      </c>
      <c r="BD4" s="2">
        <f>-0.0157782703530882*(1)</f>
        <v>-1.5778270353088202E-2</v>
      </c>
      <c r="BE4" s="2">
        <f>-0.000588438056087172*(1)</f>
        <v>-5.8843805608717195E-4</v>
      </c>
      <c r="BF4" s="2">
        <f>-0.0062973680390853*(1)</f>
        <v>-6.2973680390853003E-3</v>
      </c>
      <c r="BG4" s="2">
        <f>-0.0117754475380118*(1)</f>
        <v>-1.17754475380118E-2</v>
      </c>
      <c r="BH4" s="2">
        <f>-0.000263627244004629*(1)</f>
        <v>-2.63627244004629E-4</v>
      </c>
      <c r="BI4" s="2">
        <f>-0.00376521084562569*(1)</f>
        <v>-3.7652108456256899E-3</v>
      </c>
      <c r="BJ4" s="2">
        <f>0.00447673442958846*(1)</f>
        <v>4.4767344295884599E-3</v>
      </c>
      <c r="BK4" s="2">
        <f>-0.000507183090722362*(1)</f>
        <v>-5.0718309072236205E-4</v>
      </c>
      <c r="BL4" s="2">
        <f>-0.00886236612602363*(1)</f>
        <v>-8.8623661260236308E-3</v>
      </c>
      <c r="BM4" s="2">
        <f>-0.0080057600567549*(1)</f>
        <v>-8.0057600567549E-3</v>
      </c>
      <c r="BN4" s="2">
        <f>-0.00394251895870782*(1)</f>
        <v>-3.9425189587078196E-3</v>
      </c>
      <c r="BO4" s="2">
        <f>-0.00749337768066092*(1)</f>
        <v>-7.4933776806609198E-3</v>
      </c>
      <c r="BP4" s="2">
        <f>0.0102318448027314*(1)</f>
        <v>1.0231844802731401E-2</v>
      </c>
      <c r="BQ4" s="2">
        <f>-0.00421549487014423*(1)</f>
        <v>-4.2154948701442303E-3</v>
      </c>
      <c r="BR4" s="2">
        <f>0.00109597422330387*(1)</f>
        <v>1.09597422330387E-3</v>
      </c>
      <c r="BS4" s="2">
        <f>0.00397908329689684*(1)</f>
        <v>3.97908329689684E-3</v>
      </c>
      <c r="BT4" s="2">
        <f>-0.00583610805631552*(1)</f>
        <v>-5.8361080563155204E-3</v>
      </c>
      <c r="BU4" s="2">
        <f>0.00554204560416955*(1)</f>
        <v>5.5420456041695501E-3</v>
      </c>
      <c r="BV4" s="2">
        <f>0.00503063785138354*(1)</f>
        <v>5.0306378513835402E-3</v>
      </c>
      <c r="BW4" s="2">
        <f>-0.00102119254016184*(1)</f>
        <v>-1.0211925401618399E-3</v>
      </c>
      <c r="BX4" s="2">
        <f>-0.000281539448231468*(1)</f>
        <v>-2.8153944823146798E-4</v>
      </c>
      <c r="BY4" s="2">
        <f>-0.0101598116119088*(1)</f>
        <v>-1.0159811611908799E-2</v>
      </c>
      <c r="BZ4" s="2">
        <f>-0.000331340173919107*(1)</f>
        <v>-3.3134017391910699E-4</v>
      </c>
      <c r="CA4" s="2">
        <f>-0.00122948952610469*(1)</f>
        <v>-1.22948952610469E-3</v>
      </c>
      <c r="CB4" s="2">
        <f>-0.00248404453779365*(1)</f>
        <v>-2.4840445377936498E-3</v>
      </c>
      <c r="CC4" s="2">
        <f>0.00927568029461268*(1)</f>
        <v>9.2756802946126794E-3</v>
      </c>
      <c r="CD4" s="2">
        <f>0.00378967246190481*(1)</f>
        <v>3.78967246190481E-3</v>
      </c>
      <c r="CE4" s="2">
        <f>-0.00111919972919975*(1)</f>
        <v>-1.11919972919975E-3</v>
      </c>
      <c r="CF4" s="2">
        <f>-0.00379897298566757*(1)</f>
        <v>-3.79897298566757E-3</v>
      </c>
      <c r="CG4" s="2">
        <f>-0.0035331043792276*(1)</f>
        <v>-3.5331043792275999E-3</v>
      </c>
      <c r="CH4" s="2">
        <f>0.0112174190873645*(1)</f>
        <v>1.12174190873645E-2</v>
      </c>
      <c r="CI4" s="2">
        <f>-0.00302300961026689*(1)</f>
        <v>-3.0230096102668901E-3</v>
      </c>
      <c r="CJ4" s="2">
        <f>0.00398908206864504*(1)</f>
        <v>3.9890820686450399E-3</v>
      </c>
      <c r="CK4" s="2">
        <f>0.00288648544930428*(1)</f>
        <v>2.8864854493042798E-3</v>
      </c>
      <c r="CL4" s="2">
        <f>-0.00431989795640697*(1)</f>
        <v>-4.3198979564069697E-3</v>
      </c>
      <c r="CM4" s="2">
        <f>0.00213782684880243*(1)</f>
        <v>2.13782684880243E-3</v>
      </c>
      <c r="CN4" s="2">
        <f>-0.00581914482247764*(1)</f>
        <v>-5.8191448224776399E-3</v>
      </c>
      <c r="CO4" s="2">
        <f>0.0000756959931128465*(1)</f>
        <v>7.5695993112846502E-5</v>
      </c>
      <c r="CP4" s="2">
        <f>-0.000139702435878644*(1)</f>
        <v>-1.3970243587864401E-4</v>
      </c>
      <c r="CQ4" s="2">
        <f>0.00438872756752225*(1)</f>
        <v>4.3887275675222499E-3</v>
      </c>
      <c r="CR4" s="2">
        <f>0.00183564587605477*(1)</f>
        <v>1.8356458760547701E-3</v>
      </c>
      <c r="CS4" s="2">
        <f>0.00653382593607008*(1)</f>
        <v>6.53382593607008E-3</v>
      </c>
      <c r="CT4" s="2">
        <f>-0.00878069128703015*(1)</f>
        <v>-8.7806912870301498E-3</v>
      </c>
      <c r="CU4" s="2">
        <f>-0.014561706462705*(1)</f>
        <v>-1.4561706462705E-2</v>
      </c>
      <c r="CV4" s="2">
        <f>-0.000768584464683528*(1)</f>
        <v>-7.6858446468352798E-4</v>
      </c>
      <c r="CW4" s="2">
        <f>0.00222557263754938*(1)</f>
        <v>2.2255726375493799E-3</v>
      </c>
      <c r="CX4" s="2">
        <f>0.00974311205972127*(1)</f>
        <v>9.7431120597212695E-3</v>
      </c>
      <c r="CY4" s="2">
        <f>-0.00877195463981513*(1)</f>
        <v>-8.7719546398151299E-3</v>
      </c>
      <c r="CZ4" s="2">
        <f>0.00547600251914041*(1)</f>
        <v>5.4760025191404101E-3</v>
      </c>
      <c r="DA4" s="2">
        <f>-0.0089462392832316*(1)</f>
        <v>-8.9462392832315996E-3</v>
      </c>
      <c r="DB4" s="2">
        <f>-0.00349972682364941*(1)</f>
        <v>-3.4997268236494098E-3</v>
      </c>
      <c r="DC4" s="2">
        <f>0.00815784601945964*(1)</f>
        <v>8.1578460194596403E-3</v>
      </c>
      <c r="DD4" s="2">
        <f>0.000488621426338449*(1)</f>
        <v>4.8862142633844898E-4</v>
      </c>
      <c r="DE4" s="2">
        <f>0.00551338269700316*(1)</f>
        <v>5.5133826970031599E-3</v>
      </c>
      <c r="DF4" s="2">
        <f>0.00169821270504792*(1)</f>
        <v>1.6982127050479199E-3</v>
      </c>
      <c r="DG4" s="2">
        <f>0.0079905489691737*(1)</f>
        <v>7.9905489691736997E-3</v>
      </c>
      <c r="DH4" s="2">
        <f>-0.00231528932505896*(1)</f>
        <v>-2.3152893250589601E-3</v>
      </c>
      <c r="DI4" s="2">
        <f>0.00967510993815557*(1)</f>
        <v>9.67510993815557E-3</v>
      </c>
      <c r="DJ4" s="2">
        <f>-0.00971387918671767*(1)</f>
        <v>-9.7138791867176708E-3</v>
      </c>
      <c r="DK4" s="2">
        <f>-0.00455323996065814*(1)</f>
        <v>-4.5532399606581404E-3</v>
      </c>
      <c r="DL4" s="2">
        <f>0.0047954402746383*(1)</f>
        <v>4.7954402746382997E-3</v>
      </c>
      <c r="DM4" s="2">
        <f>-0.000846117264041135*(1)</f>
        <v>-8.4611726404113495E-4</v>
      </c>
      <c r="DN4" s="2">
        <f>-0.00568249153405197*(1)</f>
        <v>-5.6824915340519698E-3</v>
      </c>
      <c r="DO4" s="2">
        <f>0.00327596892905584*(1)</f>
        <v>3.2759689290558398E-3</v>
      </c>
      <c r="DP4" s="2">
        <f>0.0109066994540648*(1)</f>
        <v>1.09066994540648E-2</v>
      </c>
      <c r="DQ4" s="2">
        <f>-0.00916983004667762*(1)</f>
        <v>-9.1698300466776204E-3</v>
      </c>
      <c r="DR4" s="2">
        <f>-0.000210897828725068*(1)</f>
        <v>-2.1089782872506799E-4</v>
      </c>
      <c r="DS4" s="2">
        <f>0.000699839531344749*(1)</f>
        <v>6.9983953134474897E-4</v>
      </c>
      <c r="DT4" s="2">
        <f>-0.00123190823010308*(1)</f>
        <v>-1.2319082301030799E-3</v>
      </c>
      <c r="DU4" s="2">
        <f>-0.00936006690242158*(1)</f>
        <v>-9.3600669024215804E-3</v>
      </c>
      <c r="DV4" s="2">
        <f>0.00160162397840702*(1)</f>
        <v>1.6016239784070201E-3</v>
      </c>
      <c r="DW4" s="2">
        <f>0.0061305859223348*(1)</f>
        <v>6.1305859223347997E-3</v>
      </c>
      <c r="DX4" s="2">
        <f>0.00161483813571644*(1)</f>
        <v>1.61483813571644E-3</v>
      </c>
      <c r="DY4" s="2">
        <f>-0.00938717566324833*(1)</f>
        <v>-9.3871756632483306E-3</v>
      </c>
      <c r="DZ4" s="2">
        <f>0.00382084926297533*(1)</f>
        <v>3.8208492629753302E-3</v>
      </c>
      <c r="EA4" s="2">
        <f>0.00997693060181859*(1)</f>
        <v>9.9769306018185899E-3</v>
      </c>
      <c r="EB4" s="2">
        <f>-0.0030414980256705*(1)</f>
        <v>-3.0414980256705001E-3</v>
      </c>
      <c r="EC4" s="2">
        <f>0.00554037587711864*(1)</f>
        <v>5.54037587711864E-3</v>
      </c>
      <c r="ED4" s="2">
        <f>-0.00327225562673518*(1)</f>
        <v>-3.2722556267351802E-3</v>
      </c>
      <c r="EE4" s="2">
        <f>0.00179505220455063*(1)</f>
        <v>1.79505220455063E-3</v>
      </c>
      <c r="EF4" s="2">
        <f>0.00559564675117095*(1)</f>
        <v>5.5956467511709502E-3</v>
      </c>
      <c r="EG4" s="2">
        <f>0.00393526887025332*(1)</f>
        <v>3.9352688702533204E-3</v>
      </c>
      <c r="EH4" s="2">
        <f>0.00375758832426372*(1)</f>
        <v>3.7575883242637201E-3</v>
      </c>
      <c r="EI4" s="2">
        <f>-0.00643694141433885*(1)</f>
        <v>-6.4369414143388504E-3</v>
      </c>
      <c r="EJ4" s="2">
        <f>-0.000671154387453893*(1)</f>
        <v>-6.7115438745389295E-4</v>
      </c>
      <c r="EK4" s="2">
        <f>0.0073735718722932*(1)</f>
        <v>7.3735718722932001E-3</v>
      </c>
      <c r="EL4" s="2">
        <f>0.0104250929315145*(1)</f>
        <v>1.04250929315145E-2</v>
      </c>
      <c r="EM4" s="2">
        <f>0.00166088517526809*(1)</f>
        <v>1.6608851752680899E-3</v>
      </c>
      <c r="EN4" s="2">
        <f>-0.00743319032482803*(1)</f>
        <v>-7.43319032482803E-3</v>
      </c>
      <c r="EO4" s="2">
        <f>-0.00744586417397649*(1)</f>
        <v>-7.4458641739764903E-3</v>
      </c>
      <c r="EP4" s="2">
        <f>0.00902793279481643*(1)</f>
        <v>9.0279327948164304E-3</v>
      </c>
      <c r="EQ4" s="2">
        <f>-0.00139044436166359*(1)</f>
        <v>-1.3904443616635899E-3</v>
      </c>
      <c r="ER4" s="2">
        <f>0.00596797611717876*(1)</f>
        <v>5.9679761171787596E-3</v>
      </c>
      <c r="ES4" s="2">
        <f>0.00680836457867144*(1)</f>
        <v>6.8083645786714397E-3</v>
      </c>
      <c r="ET4" s="2">
        <f>0.0132913048451063*(1)</f>
        <v>1.3291304845106299E-2</v>
      </c>
      <c r="EU4" s="2">
        <f>0.00876456773392968*(1)</f>
        <v>8.7645677339296801E-3</v>
      </c>
      <c r="EV4" s="2">
        <f>0.00351443123592978*(1)</f>
        <v>3.5144312359297802E-3</v>
      </c>
      <c r="EW4" s="2">
        <f>0.0187178121009076*(1)</f>
        <v>1.8717812100907599E-2</v>
      </c>
      <c r="EX4" s="2">
        <f>-0.0124434157407835*(1)</f>
        <v>-1.24434157407835E-2</v>
      </c>
      <c r="EY4" s="2">
        <f>0.0124702977214261*(1)</f>
        <v>1.2470297721426099E-2</v>
      </c>
      <c r="EZ4" s="2">
        <f>-0.00738282833847492*(1)</f>
        <v>-7.3828283384749201E-3</v>
      </c>
      <c r="FA4" s="2">
        <f>0.00333411380284092*(1)</f>
        <v>3.3341138028409201E-3</v>
      </c>
      <c r="FB4" s="2">
        <f>0.0020108214698588*(1)</f>
        <v>2.0108214698588002E-3</v>
      </c>
      <c r="FC4" s="2">
        <f>0.00664698502995408*(1)</f>
        <v>6.6469850299540802E-3</v>
      </c>
      <c r="FD4" s="2">
        <f>0.00906465929678004*(1)</f>
        <v>9.0646592967800407E-3</v>
      </c>
      <c r="FE4" s="2">
        <f>-0.00578115985977575*(1)</f>
        <v>-5.7811598597757499E-3</v>
      </c>
      <c r="FF4" s="2">
        <f>0.00188209409884614*(1)</f>
        <v>1.88209409884614E-3</v>
      </c>
      <c r="FG4" s="2">
        <f>-0.000147080419642857*(1)</f>
        <v>-1.4708041964285701E-4</v>
      </c>
      <c r="FH4" s="2">
        <f>-0.00406566164519236*(1)</f>
        <v>-4.0656616451923604E-3</v>
      </c>
      <c r="FI4" s="2">
        <f>-0.00549239690642198*(1)</f>
        <v>-5.4923969064219801E-3</v>
      </c>
      <c r="FJ4" s="2">
        <f>-0.0044214788118499*(1)</f>
        <v>-4.4214788118499002E-3</v>
      </c>
      <c r="FK4" s="2">
        <f>0.0140624239768375*(1)</f>
        <v>1.4062423976837501E-2</v>
      </c>
      <c r="FL4" s="2">
        <f>0.00573189513272554*(1)</f>
        <v>5.7318951327255396E-3</v>
      </c>
      <c r="FM4" s="2">
        <f>-0.0001855604497703*(1)</f>
        <v>-1.855604497703E-4</v>
      </c>
      <c r="FN4" s="2">
        <f>-0.00719772323777728*(1)</f>
        <v>-7.1977232377772801E-3</v>
      </c>
      <c r="FO4" s="2">
        <f>0.000953482894727875*(1)</f>
        <v>9.5348289472787498E-4</v>
      </c>
      <c r="FP4" s="2">
        <f>-0.00364199793593772*(1)</f>
        <v>-3.6419979359377198E-3</v>
      </c>
      <c r="FQ4" s="2">
        <f>0.00786373834132287*(1)</f>
        <v>7.8637383413228696E-3</v>
      </c>
      <c r="FR4" s="2">
        <f>0.00234399912633973*(1)</f>
        <v>2.3439991263397302E-3</v>
      </c>
      <c r="FS4" s="2">
        <f>0.00532788326632083*(1)</f>
        <v>5.3278832663208302E-3</v>
      </c>
      <c r="FT4" s="2">
        <f>-0.00190741676596954*(1)</f>
        <v>-1.9074167659695401E-3</v>
      </c>
      <c r="FU4" s="2">
        <f>0.000621121301835365*(1)</f>
        <v>6.2112130183536495E-4</v>
      </c>
      <c r="FV4" s="2">
        <f>0.0108663050675521*(1)</f>
        <v>1.0866305067552101E-2</v>
      </c>
      <c r="FW4" s="2">
        <f>-0.010533045168922*(1)</f>
        <v>-1.0533045168921999E-2</v>
      </c>
      <c r="FX4" s="2">
        <f>-0.00369627578709655*(1)</f>
        <v>-3.69627578709655E-3</v>
      </c>
      <c r="FY4" s="2">
        <f>-0.0000166525175135838*(1)</f>
        <v>-1.6652517513583801E-5</v>
      </c>
      <c r="FZ4" s="2">
        <f>0.0136793437485548*(1)</f>
        <v>1.36793437485548E-2</v>
      </c>
      <c r="GA4" s="2">
        <f>-0.0076401119312905*(1)</f>
        <v>-7.6401119312905002E-3</v>
      </c>
      <c r="GB4" s="2">
        <f>-0.00415412921728038*(1)</f>
        <v>-4.1541292172803798E-3</v>
      </c>
      <c r="GC4" s="2">
        <f>0.00108614226150435*(1)</f>
        <v>1.0861422615043501E-3</v>
      </c>
      <c r="GD4" s="2">
        <f>0.00966257434972723*(1)</f>
        <v>9.66257434972723E-3</v>
      </c>
      <c r="GE4" s="2">
        <f>-0.00347031894027409*(1)</f>
        <v>-3.4703189402740899E-3</v>
      </c>
      <c r="GF4" s="2">
        <f>-0.00864800101083691*(1)</f>
        <v>-8.6480010108369101E-3</v>
      </c>
      <c r="GG4" s="2">
        <f>-0.00124709817463241*(1)</f>
        <v>-1.24709817463241E-3</v>
      </c>
      <c r="GH4" s="2">
        <f>0.00225539040250067*(1)</f>
        <v>2.2553904025006699E-3</v>
      </c>
      <c r="GI4" s="2">
        <f>-0.00408278530445211*(1)</f>
        <v>-4.0827853044521096E-3</v>
      </c>
      <c r="GJ4" s="2">
        <f>0.00236820099660626*(1)</f>
        <v>2.3682009966062602E-3</v>
      </c>
      <c r="GK4" s="2">
        <f>-0.007975451397654*(1)</f>
        <v>-7.9754513976539997E-3</v>
      </c>
      <c r="GL4" s="2">
        <f>0.0140750763064349*(1)</f>
        <v>1.4075076306434901E-2</v>
      </c>
      <c r="GM4" s="2">
        <f>-0.00501520613297219*(1)</f>
        <v>-5.01520613297219E-3</v>
      </c>
      <c r="GN4" s="2">
        <f>0.00791962151206394*(1)</f>
        <v>7.9196215120639398E-3</v>
      </c>
      <c r="GO4" s="2">
        <f>-0.00142406134645503*(1)</f>
        <v>-1.4240613464550299E-3</v>
      </c>
      <c r="GP4" s="2">
        <f>0.00830198938652101*(1)</f>
        <v>8.3019893865210106E-3</v>
      </c>
      <c r="GQ4" s="2">
        <f>0.00628445343534442*(1)</f>
        <v>6.28445343534442E-3</v>
      </c>
      <c r="GR4" s="2">
        <f>-0.00402798198316736*(1)</f>
        <v>-4.0279819831673599E-3</v>
      </c>
      <c r="GS4" s="2">
        <f>-0.00825273252780542*(1)</f>
        <v>-8.2527325278054196E-3</v>
      </c>
      <c r="GT4" s="2">
        <f>0.0114934072228274*(1)</f>
        <v>1.14934072228274E-2</v>
      </c>
      <c r="GU4" s="2">
        <f>-0.00229979188181033*(1)</f>
        <v>-2.2997918818103299E-3</v>
      </c>
      <c r="GV4" s="2">
        <f>-0.00355008426386722*(1)</f>
        <v>-3.55008426386722E-3</v>
      </c>
      <c r="GW4" s="2">
        <f>-0.000542944592232623*(1)</f>
        <v>-5.4294459223262303E-4</v>
      </c>
      <c r="GX4" s="2">
        <f>-0.00234133056898747*(1)</f>
        <v>-2.34133056898747E-3</v>
      </c>
      <c r="GY4" s="2">
        <f>-0.00694723833564066*(1)</f>
        <v>-6.9472383356406599E-3</v>
      </c>
      <c r="GZ4" s="2">
        <f>-0.00586841674026056*(1)</f>
        <v>-5.8684167402605599E-3</v>
      </c>
      <c r="HA4" s="2">
        <f>0.00203250557339419*(1)</f>
        <v>2.0325055733941902E-3</v>
      </c>
      <c r="HB4" s="2">
        <f>-0.00831320018060317*(1)</f>
        <v>-8.3132001806031693E-3</v>
      </c>
      <c r="HC4" s="2">
        <f>0.00320109541845828*(1)</f>
        <v>3.2010954184582799E-3</v>
      </c>
      <c r="HD4" s="2">
        <f>0.00466109043069117*(1)</f>
        <v>4.6610904306911699E-3</v>
      </c>
      <c r="HE4" s="2">
        <f>0.00397312066010651*(1)</f>
        <v>3.9731206601065104E-3</v>
      </c>
      <c r="HF4" s="2">
        <f>0.00160773908027647*(1)</f>
        <v>1.6077390802764701E-3</v>
      </c>
      <c r="HG4" s="2">
        <f>-0.00120861815876106*(1)</f>
        <v>-1.2086181587610599E-3</v>
      </c>
      <c r="HH4" s="2">
        <f>0.0167342127640025*(1)</f>
        <v>1.6734212764002498E-2</v>
      </c>
      <c r="HI4" s="2">
        <f>0.00192717685836458*(1)</f>
        <v>1.92717685836458E-3</v>
      </c>
      <c r="HJ4" s="2">
        <f>-0.00117286464387682*(1)</f>
        <v>-1.1728646438768199E-3</v>
      </c>
      <c r="HK4" s="2">
        <f>0.00429420109667955*(1)</f>
        <v>4.2942010966795499E-3</v>
      </c>
      <c r="HL4" s="2">
        <f>0.00925786969438008*(1)</f>
        <v>9.2578696943800796E-3</v>
      </c>
      <c r="HM4" s="2">
        <f>0.00145337207293666*(1)</f>
        <v>1.4533720729366601E-3</v>
      </c>
      <c r="HN4" s="2">
        <f>-0.0169720970525367*(1)</f>
        <v>-1.6972097052536699E-2</v>
      </c>
      <c r="HO4" s="2">
        <f>0.00342746682777608*(1)</f>
        <v>3.42746682777608E-3</v>
      </c>
      <c r="HP4" s="2">
        <f>-0.0160153512862643*(1)</f>
        <v>-1.6015351286264301E-2</v>
      </c>
      <c r="HQ4" s="2">
        <f>-0.0063671298939891*(1)</f>
        <v>-6.3671298939890998E-3</v>
      </c>
      <c r="HR4" s="2">
        <f>-0.00603340246355717*(1)</f>
        <v>-6.0334024635571703E-3</v>
      </c>
      <c r="HS4" s="2">
        <f>-0.01302678141091*(1)</f>
        <v>-1.302678141091E-2</v>
      </c>
      <c r="HT4" s="2">
        <f>-0.00523630633043002*(1)</f>
        <v>-5.2363063304300198E-3</v>
      </c>
      <c r="HU4" s="2">
        <f>0.0140181660811296*(1)</f>
        <v>1.40181660811296E-2</v>
      </c>
      <c r="HV4" s="2">
        <f>-0.0107162173114941*(1)</f>
        <v>-1.07162173114941E-2</v>
      </c>
      <c r="HW4" s="2">
        <f>-0.00517297292849987*(1)</f>
        <v>-5.1729729284998704E-3</v>
      </c>
      <c r="HX4" s="2">
        <f>0.00460496018911148*(1)</f>
        <v>4.6049601891114799E-3</v>
      </c>
      <c r="HY4" s="2">
        <f>0.00298945565690247*(1)</f>
        <v>2.9894556569024702E-3</v>
      </c>
      <c r="HZ4" s="2">
        <f>-0.0116450528662301*(1)</f>
        <v>-1.1645052866230099E-2</v>
      </c>
      <c r="IA4" s="2">
        <f>-0.00356515757308424*(1)</f>
        <v>-3.56515757308424E-3</v>
      </c>
      <c r="IB4" s="2">
        <f>-0.00784725369618039*(1)</f>
        <v>-7.8472536961803896E-3</v>
      </c>
      <c r="IC4" s="2">
        <f>-0.00165863972884391*(1)</f>
        <v>-1.6586397288439101E-3</v>
      </c>
      <c r="ID4" s="2">
        <f>0.000901646487047797*(1)</f>
        <v>9.0164648704779704E-4</v>
      </c>
      <c r="IE4" s="2">
        <f>-0.00677617423194149*(1)</f>
        <v>-6.7761742319414897E-3</v>
      </c>
      <c r="IF4" s="2">
        <f>0.00745197142044495*(1)</f>
        <v>7.4519714204449496E-3</v>
      </c>
      <c r="IG4" s="2">
        <f>-0.0130083890934667*(1)</f>
        <v>-1.30083890934667E-2</v>
      </c>
      <c r="IH4" s="2">
        <f>-0.000371302755978232*(1)</f>
        <v>-3.71302755978232E-4</v>
      </c>
      <c r="II4" s="2">
        <f>0.0000691829712304518*(1)</f>
        <v>6.9182971230451806E-5</v>
      </c>
      <c r="IJ4" s="2">
        <f>-0.00638011095263241*(1)</f>
        <v>-6.3801109526324101E-3</v>
      </c>
      <c r="IK4" s="2">
        <f>0.000658063351585379*(1)</f>
        <v>6.5806335158537905E-4</v>
      </c>
      <c r="IL4" s="2">
        <f>0.00505470603687578*(1)</f>
        <v>5.0547060368757802E-3</v>
      </c>
      <c r="IM4" s="2">
        <f>-0.00811748626612813*(1)</f>
        <v>-8.1174862661281301E-3</v>
      </c>
      <c r="IN4" s="2">
        <f>0.00125789717285103*(1)</f>
        <v>1.2578971728510299E-3</v>
      </c>
      <c r="IO4" s="2">
        <f>-0.00970695954444108*(1)</f>
        <v>-9.7069595444410801E-3</v>
      </c>
      <c r="IP4" s="2">
        <f>0.00769486128563134*(1)</f>
        <v>7.6948612856313396E-3</v>
      </c>
      <c r="IQ4" s="2">
        <f>0.00650800109852972*(1)</f>
        <v>6.5080010985297202E-3</v>
      </c>
      <c r="IR4" s="2">
        <f>-0.00328178233841103*(1)</f>
        <v>-3.2817823384110301E-3</v>
      </c>
      <c r="IS4" s="2">
        <f>0.00491713398614431*(1)</f>
        <v>4.9171339861443101E-3</v>
      </c>
      <c r="IT4" s="2">
        <f>0.0116548657674523*(1)</f>
        <v>1.16548657674523E-2</v>
      </c>
      <c r="IU4" s="2">
        <f>0.00415019179842881*(1)</f>
        <v>4.1501917984288102E-3</v>
      </c>
      <c r="IV4" s="2">
        <f>-0.0088950328749697*(1)</f>
        <v>-8.8950328749696998E-3</v>
      </c>
      <c r="IW4" s="2">
        <f>0.00603466361738136*(1)</f>
        <v>6.0346636173813596E-3</v>
      </c>
      <c r="IX4" s="2">
        <f>0.00234353252571347*(1)</f>
        <v>2.3435325257134699E-3</v>
      </c>
      <c r="IY4" s="2">
        <f>0.0100030302704082*(1)</f>
        <v>1.0003030270408201E-2</v>
      </c>
      <c r="IZ4" s="2">
        <f>-0.00454782284598096*(1)</f>
        <v>-4.5478228459809597E-3</v>
      </c>
      <c r="JA4" s="2">
        <f>-0.0117643600841852*(1)</f>
        <v>-1.17643600841852E-2</v>
      </c>
      <c r="JB4" s="2">
        <f>0.0177087817359445*(1)</f>
        <v>1.77087817359445E-2</v>
      </c>
      <c r="JC4" s="2">
        <f>0.00771537374240074*(1)</f>
        <v>7.71537374240074E-3</v>
      </c>
      <c r="JD4" s="2">
        <f>-0.00183586651457097*(1)</f>
        <v>-1.8358665145709701E-3</v>
      </c>
      <c r="JE4" s="2">
        <f>0.00588114442970665*(1)</f>
        <v>5.8811444297066501E-3</v>
      </c>
      <c r="JF4" s="2">
        <f>-0.00302470253253115*(1)</f>
        <v>-3.02470253253115E-3</v>
      </c>
      <c r="JG4" s="2">
        <f>-0.000681323501441581*(1)</f>
        <v>-6.8132350144158103E-4</v>
      </c>
      <c r="JH4" s="2">
        <f>0.0118770272506141*(1)</f>
        <v>1.1877027250614101E-2</v>
      </c>
      <c r="JI4" s="2">
        <f>-0.00886006516221541*(1)</f>
        <v>-8.8600651622154098E-3</v>
      </c>
      <c r="JJ4" s="2">
        <f>-0.00515460577714877*(1)</f>
        <v>-5.1546057771487703E-3</v>
      </c>
      <c r="JK4" s="2">
        <f>0.0107951808457396*(1)</f>
        <v>1.07951808457396E-2</v>
      </c>
      <c r="JL4" s="2">
        <f>-0.0180036806468093*(1)</f>
        <v>-1.8003680646809302E-2</v>
      </c>
      <c r="JM4" s="2">
        <f>-0.0173614506765444*(1)</f>
        <v>-1.7361450676544401E-2</v>
      </c>
      <c r="JN4" s="2">
        <f>0.0108463667905495*(1)</f>
        <v>1.0846366790549501E-2</v>
      </c>
      <c r="JO4" s="2">
        <f>-0.000364523865082657*(1)</f>
        <v>-3.6452386508265699E-4</v>
      </c>
      <c r="JP4" s="2">
        <f>0.00250334285954514*(1)</f>
        <v>2.5033428595451399E-3</v>
      </c>
      <c r="JQ4" s="2">
        <f>-0.00792046619272022*(1)</f>
        <v>-7.9204661927202193E-3</v>
      </c>
      <c r="JR4" s="2">
        <f>0.00301870713934302*(1)</f>
        <v>3.01870713934302E-3</v>
      </c>
      <c r="JS4" s="2">
        <f>-0.00670763544868912*(1)</f>
        <v>-6.7076354486891197E-3</v>
      </c>
      <c r="JT4" s="2">
        <f>-0.00266819994099482*(1)</f>
        <v>-2.6681999409948198E-3</v>
      </c>
      <c r="JU4" s="2">
        <f>0.0157619921991302*(1)</f>
        <v>1.5761992199130201E-2</v>
      </c>
      <c r="JV4" s="2">
        <f>0.0120188803293465*(1)</f>
        <v>1.2018880329346501E-2</v>
      </c>
      <c r="JW4" s="2">
        <f>-0.0183543304570844*(1)</f>
        <v>-1.83543304570844E-2</v>
      </c>
      <c r="JX4" s="2">
        <f>-0.000673889685817314*(1)</f>
        <v>-6.7388968581731396E-4</v>
      </c>
      <c r="JY4" s="2">
        <f>0.00464379085610406*(1)</f>
        <v>4.6437908561040601E-3</v>
      </c>
      <c r="JZ4" s="2">
        <f>0.00359029757848858*(1)</f>
        <v>3.5902975784885801E-3</v>
      </c>
      <c r="KA4" s="2">
        <f>-0.00469753948657519*(1)</f>
        <v>-4.6975394865751896E-3</v>
      </c>
      <c r="KB4" s="2">
        <f>-0.0246756895353099*(1)</f>
        <v>-2.4675689535309901E-2</v>
      </c>
      <c r="KC4" s="2">
        <f>-0.0108337670040974*(1)</f>
        <v>-1.0833767004097401E-2</v>
      </c>
      <c r="KD4" s="2">
        <f>-0.00712486912513029*(1)</f>
        <v>-7.1248691251302896E-3</v>
      </c>
      <c r="KE4" s="2">
        <f>0.00751543152404999*(1)</f>
        <v>7.5154315240499904E-3</v>
      </c>
      <c r="KF4" s="2">
        <f>-0.0108012471513068*(1)</f>
        <v>-1.08012471513068E-2</v>
      </c>
      <c r="KG4" s="2">
        <f>0.0091101886191854*(1)</f>
        <v>9.1101886191854008E-3</v>
      </c>
      <c r="KH4" s="2">
        <f>-0.00220298134022493*(1)</f>
        <v>-2.2029813402249299E-3</v>
      </c>
      <c r="KI4" s="2">
        <f>0.00166837018799054*(1)</f>
        <v>1.66837018799054E-3</v>
      </c>
      <c r="KJ4" s="2">
        <f>-0.0225698431080714*(1)</f>
        <v>-2.2569843108071402E-2</v>
      </c>
      <c r="KK4" s="2">
        <f>0.00342073456432359*(1)</f>
        <v>3.42073456432359E-3</v>
      </c>
      <c r="KL4" s="2">
        <f>-0.000930402795495392*(1)</f>
        <v>-9.3040279549539198E-4</v>
      </c>
      <c r="KM4" s="2">
        <f>0.00274921573363731*(1)</f>
        <v>2.7492157336373099E-3</v>
      </c>
      <c r="KN4" s="2">
        <f>0.00349158264940813*(1)</f>
        <v>3.4915826494081302E-3</v>
      </c>
      <c r="KO4" s="2">
        <f>0.00253796888197235*(1)</f>
        <v>2.53796888197235E-3</v>
      </c>
      <c r="KP4" s="2">
        <f>-0.00520135336137749*(1)</f>
        <v>-5.2013533613774901E-3</v>
      </c>
      <c r="KQ4" s="2">
        <f>0.000638993591356668*(1)</f>
        <v>6.3899359135666798E-4</v>
      </c>
      <c r="KR4" s="2">
        <f>0.00950006138906264*(1)</f>
        <v>9.5000613890626404E-3</v>
      </c>
      <c r="KS4" s="2">
        <f>0.000959686161280304*(1)</f>
        <v>9.5968616128030396E-4</v>
      </c>
      <c r="KT4" s="2">
        <f>-0.0151713342040116*(1)</f>
        <v>-1.5171334204011599E-2</v>
      </c>
      <c r="KU4" s="2">
        <f>-0.000464478462507289*(1)</f>
        <v>-4.6447846250728903E-4</v>
      </c>
      <c r="KV4" s="2">
        <f>0.0102064209874153*(1)</f>
        <v>1.02064209874153E-2</v>
      </c>
      <c r="KW4" s="2">
        <f>0.014818588988795*(1)</f>
        <v>1.4818588988795E-2</v>
      </c>
      <c r="KX4" s="2">
        <f>-0.000790410904351052*(1)</f>
        <v>-7.9041090435105201E-4</v>
      </c>
      <c r="KY4" s="2">
        <f>-0.00186418796117033*(1)</f>
        <v>-1.86418796117033E-3</v>
      </c>
      <c r="KZ4" s="2">
        <f>0.00438948773504668*(1)</f>
        <v>4.3894877350466798E-3</v>
      </c>
      <c r="LA4" s="2">
        <f>-0.0200154055823181*(1)</f>
        <v>-2.00154055823181E-2</v>
      </c>
      <c r="LB4" s="2">
        <f>-0.00086332837824193*(1)</f>
        <v>-8.6332837824192998E-4</v>
      </c>
      <c r="LC4" s="2">
        <f>-0.00953184965366761*(1)</f>
        <v>-9.5318496536676098E-3</v>
      </c>
      <c r="LD4" s="2">
        <f>0.00223964641855369*(1)</f>
        <v>2.2396464185536901E-3</v>
      </c>
      <c r="LE4" s="2">
        <f>-0.00153484374300797*(1)</f>
        <v>-1.53484374300797E-3</v>
      </c>
      <c r="LF4" s="2">
        <f>0.00668972265605873*(1)</f>
        <v>6.6897226560587303E-3</v>
      </c>
      <c r="LG4" s="2">
        <f>0.0104760775211721*(1)</f>
        <v>1.0476077521172101E-2</v>
      </c>
      <c r="LH4" s="2">
        <f>0.0140895552923953*(1)</f>
        <v>1.4089555292395301E-2</v>
      </c>
      <c r="LI4" s="2">
        <f>-0.00407644210047347*(1)</f>
        <v>-4.0764421004734703E-3</v>
      </c>
      <c r="LJ4" s="2">
        <f>0.00969102627661406*(1)</f>
        <v>9.6910262766140599E-3</v>
      </c>
      <c r="LK4" s="2">
        <f>-0.0134048532330181*(1)</f>
        <v>-1.3404853233018099E-2</v>
      </c>
      <c r="LL4" s="2">
        <f>-0.00414592284758153*(1)</f>
        <v>-4.1459228475815299E-3</v>
      </c>
      <c r="LM4" s="2">
        <f>-0.0038909100526303*(1)</f>
        <v>-3.8909100526302999E-3</v>
      </c>
      <c r="LN4" s="2">
        <f>0.000365438271190985*(1)</f>
        <v>3.6543827119098503E-4</v>
      </c>
      <c r="LO4" s="2">
        <f>-0.0111736445239254*(1)</f>
        <v>-1.11736445239254E-2</v>
      </c>
      <c r="LP4" s="2">
        <f>0.00396343152880305*(1)</f>
        <v>3.9634315288030499E-3</v>
      </c>
      <c r="LQ4" s="2">
        <f>0.00510555358654473*(1)</f>
        <v>5.10555358654473E-3</v>
      </c>
      <c r="LR4" s="2">
        <f>-0.00974696758072038*(1)</f>
        <v>-9.7469675807203802E-3</v>
      </c>
      <c r="LS4" s="2">
        <f>0.00778873772271928*(1)</f>
        <v>7.7887377227192798E-3</v>
      </c>
      <c r="LT4" s="2">
        <f>-0.00834789596425309*(1)</f>
        <v>-8.3478959642530898E-3</v>
      </c>
      <c r="LU4" s="2">
        <f>0.00082178323167762*(1)</f>
        <v>8.2178323167761999E-4</v>
      </c>
      <c r="LV4" s="2">
        <f>-0.00491846688364908*(1)</f>
        <v>-4.9184668836490799E-3</v>
      </c>
      <c r="LW4" s="2">
        <f>0.0166384514508264*(1)</f>
        <v>1.6638451450826399E-2</v>
      </c>
      <c r="LX4" s="2">
        <f>-0.00369613786270706*(1)</f>
        <v>-3.6961378627070598E-3</v>
      </c>
      <c r="LY4" s="2">
        <f>0.000963252524101173*(1)</f>
        <v>9.63252524101173E-4</v>
      </c>
      <c r="LZ4" s="2">
        <f>-0.00414687441280123*(1)</f>
        <v>-4.1468744128012299E-3</v>
      </c>
      <c r="MA4" s="2">
        <f>-0.0150880008574359*(1)</f>
        <v>-1.5088000857435901E-2</v>
      </c>
      <c r="MB4" s="2">
        <f>0.00221171259311303*(1)</f>
        <v>2.2117125931130298E-3</v>
      </c>
      <c r="MC4" s="2">
        <f>-0.00455217357987169*(1)</f>
        <v>-4.5521735798716902E-3</v>
      </c>
      <c r="MD4" s="2">
        <f>0.0114098778101779*(1)</f>
        <v>1.1409877810177899E-2</v>
      </c>
      <c r="ME4" s="2">
        <f>-0.0113428022119251*(1)</f>
        <v>-1.13428022119251E-2</v>
      </c>
      <c r="MF4" s="2">
        <f>-0.00928001405125082*(1)</f>
        <v>-9.2800140512508192E-3</v>
      </c>
      <c r="MG4" s="2">
        <f>0.00428526579352047*(1)</f>
        <v>4.2852657935204697E-3</v>
      </c>
      <c r="MH4" s="2">
        <f>-0.00906480229781484*(1)</f>
        <v>-9.0648022978148408E-3</v>
      </c>
      <c r="MI4" s="2">
        <f>-0.000256042820031192*(1)</f>
        <v>-2.5604282003119198E-4</v>
      </c>
      <c r="MJ4" s="2">
        <f>-0.0195705927725726*(1)</f>
        <v>-1.9570592772572601E-2</v>
      </c>
      <c r="MK4" s="2">
        <f>0.00237381171113903*(1)</f>
        <v>2.37381171113903E-3</v>
      </c>
      <c r="ML4" s="2">
        <f>0.00457700484244847*(1)</f>
        <v>4.5770048424484703E-3</v>
      </c>
      <c r="MM4" s="2">
        <f>-0.0158184559050265*(1)</f>
        <v>-1.58184559050265E-2</v>
      </c>
      <c r="MN4" s="2">
        <f>-0.0105543463947521*(1)</f>
        <v>-1.05543463947521E-2</v>
      </c>
      <c r="MO4" s="2">
        <f>0.0023417229059932*(1)</f>
        <v>2.3417229059931998E-3</v>
      </c>
      <c r="MP4" s="2">
        <f>0.00915228392989751*(1)</f>
        <v>9.1522839298975103E-3</v>
      </c>
      <c r="MQ4" s="2">
        <f>0.0120404426293591*(1)</f>
        <v>1.20404426293591E-2</v>
      </c>
      <c r="MR4" s="2">
        <f>0.0019055516974562*(1)</f>
        <v>1.9055516974561999E-3</v>
      </c>
      <c r="MS4" s="2">
        <f>-0.00396355737147064*(1)</f>
        <v>-3.9635573714706402E-3</v>
      </c>
      <c r="MT4" s="2">
        <f>0.00127161833664906*(1)</f>
        <v>1.2716183366490599E-3</v>
      </c>
      <c r="MU4" s="2">
        <f>0.00222226208706152*(1)</f>
        <v>2.2222620870615199E-3</v>
      </c>
      <c r="MV4" s="2">
        <f>-0.000751512479247899*(1)</f>
        <v>-7.5151247924789904E-4</v>
      </c>
      <c r="MW4" s="2">
        <f>0.0129658155020084*(1)</f>
        <v>1.29658155020084E-2</v>
      </c>
      <c r="MX4" s="2">
        <f>-0.008780169842575*(1)</f>
        <v>-8.7801698425750002E-3</v>
      </c>
      <c r="MY4" s="2">
        <f>-0.00489688871198059*(1)</f>
        <v>-4.8968887119805902E-3</v>
      </c>
      <c r="MZ4" s="2">
        <f>0.00463091882857162*(1)</f>
        <v>4.6309188285716197E-3</v>
      </c>
      <c r="NA4" s="2">
        <f>-0.011032078089712*(1)</f>
        <v>-1.1032078089712001E-2</v>
      </c>
      <c r="NB4" s="2">
        <f>-0.0147097888410429*(1)</f>
        <v>-1.47097888410429E-2</v>
      </c>
      <c r="NC4" s="2">
        <f>-0.00984370061527271*(1)</f>
        <v>-9.8437006152727099E-3</v>
      </c>
      <c r="ND4" s="2">
        <f>-0.00414053524987843*(1)</f>
        <v>-4.1405352498784303E-3</v>
      </c>
      <c r="NE4" s="2">
        <f>0.0052065013845895*(1)</f>
        <v>5.2065013845894997E-3</v>
      </c>
      <c r="NF4" s="2">
        <f>0.00423053596791689*(1)</f>
        <v>4.2305359679168904E-3</v>
      </c>
      <c r="NG4" s="2">
        <f>-0.00910908790031093*(1)</f>
        <v>-9.1090879003109301E-3</v>
      </c>
      <c r="NH4" s="2">
        <f>0.00214434914748402*(1)</f>
        <v>2.14434914748402E-3</v>
      </c>
      <c r="NI4" s="2">
        <f>-0.00484485736396116*(1)</f>
        <v>-4.84485736396116E-3</v>
      </c>
      <c r="NJ4" s="2">
        <f>-0.003933217051752*(1)</f>
        <v>-3.9332170517520004E-3</v>
      </c>
      <c r="NK4" s="2">
        <f>-0.00114195885068738*(1)</f>
        <v>-1.1419588506873799E-3</v>
      </c>
      <c r="NL4" s="2">
        <f>-0.00500925065507055*(1)</f>
        <v>-5.0092506550705497E-3</v>
      </c>
      <c r="NM4" s="2">
        <f>-0.00976434260516778*(1)</f>
        <v>-9.7643426051677792E-3</v>
      </c>
      <c r="NN4" s="2">
        <f>-0.00129561975546691*(1)</f>
        <v>-1.29561975546691E-3</v>
      </c>
      <c r="NO4" s="2">
        <f>0.00417307134826559*(1)</f>
        <v>4.1730713482655904E-3</v>
      </c>
      <c r="NP4" s="2">
        <f>0.00133444894828593*(1)</f>
        <v>1.33444894828593E-3</v>
      </c>
      <c r="NQ4" s="2">
        <f>-0.00550317901796261*(1)</f>
        <v>-5.5031790179626101E-3</v>
      </c>
      <c r="NR4" s="2">
        <f>-0.00780536350263312*(1)</f>
        <v>-7.8053635026331201E-3</v>
      </c>
      <c r="NS4" s="2">
        <f>-0.0309434244595086*(1)</f>
        <v>-3.0943424459508598E-2</v>
      </c>
      <c r="NT4" s="2">
        <f>-0.0088132470780486*(1)</f>
        <v>-8.8132470780486003E-3</v>
      </c>
      <c r="NU4" s="2">
        <f>-0.00299969674588513*(1)</f>
        <v>-2.9996967458851302E-3</v>
      </c>
      <c r="NV4" s="2">
        <f>0.0112867102834646*(1)</f>
        <v>1.1286710283464599E-2</v>
      </c>
      <c r="NW4" s="2">
        <f>-0.00179195586526767*(1)</f>
        <v>-1.79195586526767E-3</v>
      </c>
      <c r="NX4" s="2">
        <f>-0.00448883710565332*(1)</f>
        <v>-4.4888371056533202E-3</v>
      </c>
      <c r="NY4" s="2">
        <f>-0.00242866487857348*(1)</f>
        <v>-2.4286648785734801E-3</v>
      </c>
      <c r="NZ4" s="2">
        <f>0.000654454629427196*(1)</f>
        <v>6.5445462942719597E-4</v>
      </c>
      <c r="OA4" s="2">
        <f>0.0187946850455318*(1)</f>
        <v>1.8794685045531799E-2</v>
      </c>
      <c r="OB4" s="2">
        <f>-0.00658619454406057*(1)</f>
        <v>-6.5861945440605701E-3</v>
      </c>
      <c r="OC4" s="2">
        <f>0.000485276937418166*(1)</f>
        <v>4.8527693741816602E-4</v>
      </c>
      <c r="OD4" s="2">
        <f>0.0288574142220041*(1)</f>
        <v>2.8857414222004101E-2</v>
      </c>
      <c r="OE4" s="2">
        <f>-0.00953293059949619*(1)</f>
        <v>-9.5329305994961908E-3</v>
      </c>
      <c r="OF4" s="2">
        <f>0.00978595526451242*(1)</f>
        <v>9.7859552645124196E-3</v>
      </c>
      <c r="OG4" s="2">
        <f>0.00589622374804144*(1)</f>
        <v>5.8962237480414403E-3</v>
      </c>
      <c r="OH4" s="2">
        <f>0.000407382081807217*(1)</f>
        <v>4.07382081807217E-4</v>
      </c>
      <c r="OI4" s="2">
        <f>0.00372978247615646*(1)</f>
        <v>3.7297824761564598E-3</v>
      </c>
      <c r="OJ4" s="2">
        <f>-0.0077198096541739*(1)</f>
        <v>-7.7198096541739002E-3</v>
      </c>
      <c r="OK4" s="2">
        <f>0.00321150624530198*(1)</f>
        <v>3.2115062453019799E-3</v>
      </c>
      <c r="OL4" s="2">
        <f>0.0140535854905656*(1)</f>
        <v>1.4053585490565601E-2</v>
      </c>
      <c r="OM4" s="2">
        <f>-0.0188173762991357*(1)</f>
        <v>-1.8817376299135699E-2</v>
      </c>
      <c r="ON4" s="2">
        <f>-0.0108068589208883*(1)</f>
        <v>-1.08068589208883E-2</v>
      </c>
      <c r="OO4" s="2">
        <f>-0.0055992261638747*(1)</f>
        <v>-5.5992261638747E-3</v>
      </c>
      <c r="OP4" s="2">
        <f>0.00365126065895946*(1)</f>
        <v>3.6512606589594598E-3</v>
      </c>
      <c r="OQ4" s="2">
        <f>0.012851293917299*(1)</f>
        <v>1.2851293917299E-2</v>
      </c>
      <c r="OR4" s="2">
        <f>-0.000526282753432359*(1)</f>
        <v>-5.2628275343235902E-4</v>
      </c>
      <c r="OS4" s="2">
        <f>0.013329521861219*(1)</f>
        <v>1.3329521861218999E-2</v>
      </c>
      <c r="OT4" s="2">
        <f>0.0023774248949825*(1)</f>
        <v>2.3774248949824999E-3</v>
      </c>
      <c r="OU4" s="2">
        <f>-0.0106212464210674*(1)</f>
        <v>-1.0621246421067401E-2</v>
      </c>
      <c r="OV4" s="2">
        <f>-0.0146867304020891*(1)</f>
        <v>-1.46867304020891E-2</v>
      </c>
      <c r="OW4" s="2">
        <f>-0.00216095281680867*(1)</f>
        <v>-2.16095281680867E-3</v>
      </c>
      <c r="OX4" s="2">
        <f>-0.00369038704685448*(1)</f>
        <v>-3.6903870468544802E-3</v>
      </c>
      <c r="OY4" s="2">
        <f>-0.00130131428899142*(1)</f>
        <v>-1.30131428899142E-3</v>
      </c>
      <c r="OZ4" s="2">
        <f>-0.00425274560299746*(1)</f>
        <v>-4.2527456029974597E-3</v>
      </c>
      <c r="PA4" s="2">
        <f>-0.00180218631272869*(1)</f>
        <v>-1.8021863127286901E-3</v>
      </c>
      <c r="PB4" s="2">
        <f>0.0042466428083345*(1)</f>
        <v>4.2466428083345002E-3</v>
      </c>
      <c r="PC4" s="2">
        <f>-0.00478062557386022*(1)</f>
        <v>-4.7806255738602199E-3</v>
      </c>
      <c r="PD4" s="2">
        <f>0.00771565250886228*(1)</f>
        <v>7.7156525088622804E-3</v>
      </c>
      <c r="PE4" s="2">
        <f>-0.0117751045087389*(1)</f>
        <v>-1.17751045087389E-2</v>
      </c>
      <c r="PF4" s="2">
        <f>0.000449517847326702*(1)</f>
        <v>4.4951784732670199E-4</v>
      </c>
      <c r="PG4" s="2">
        <f>-0.00515397908568916*(1)</f>
        <v>-5.1539790856891601E-3</v>
      </c>
      <c r="PH4" s="2">
        <f>-0.00314094070688134*(1)</f>
        <v>-3.14094070688134E-3</v>
      </c>
      <c r="PI4" s="2">
        <f>0.0054322027177687*(1)</f>
        <v>5.4322027177687001E-3</v>
      </c>
      <c r="PJ4" s="2">
        <f>-0.0142285673009329*(1)</f>
        <v>-1.4228567300932899E-2</v>
      </c>
      <c r="PK4" s="2">
        <f>-0.00695888695205111*(1)</f>
        <v>-6.9588869520511099E-3</v>
      </c>
      <c r="PL4" s="2">
        <f>0.00923699662742112*(1)</f>
        <v>9.2369966274211193E-3</v>
      </c>
      <c r="PM4" s="2">
        <f>0.0190601379432743*(1)</f>
        <v>1.90601379432743E-2</v>
      </c>
      <c r="PN4" s="2">
        <f>-0.014169250211963*(1)</f>
        <v>-1.4169250211963001E-2</v>
      </c>
      <c r="PO4" s="2">
        <f>0.00288629398448168*(1)</f>
        <v>2.88629398448168E-3</v>
      </c>
      <c r="PP4" s="2">
        <f>-0.000623712194891835*(1)</f>
        <v>-6.2371219489183499E-4</v>
      </c>
      <c r="PQ4" s="2">
        <f>-0.00656514379959081*(1)</f>
        <v>-6.5651437995908101E-3</v>
      </c>
      <c r="PR4" s="2">
        <f>-0.00376049524964644*(1)</f>
        <v>-3.7604952496464398E-3</v>
      </c>
      <c r="PS4" s="2">
        <f>-0.00178817271666907*(1)</f>
        <v>-1.78817271666907E-3</v>
      </c>
      <c r="PT4" s="2">
        <f>0.00398005673333204*(1)</f>
        <v>3.9800567333320401E-3</v>
      </c>
      <c r="PU4" s="2">
        <f>0.00430252491241739*(1)</f>
        <v>4.3025249124173902E-3</v>
      </c>
      <c r="PV4" s="2">
        <f>0.00218336546194957*(1)</f>
        <v>2.1833654619495698E-3</v>
      </c>
      <c r="PW4" s="2">
        <f>-0.00597580301431405*(1)</f>
        <v>-5.97580301431405E-3</v>
      </c>
      <c r="PX4" s="2">
        <f>-0.00554915181511798*(1)</f>
        <v>-5.5491518151179796E-3</v>
      </c>
      <c r="PY4" s="2">
        <f>0.000310609451549001*(1)</f>
        <v>3.1060945154900098E-4</v>
      </c>
      <c r="PZ4" s="2">
        <f>0.00633717392329699*(1)</f>
        <v>6.3371739232969898E-3</v>
      </c>
      <c r="QA4" s="2">
        <f>-0.00896903997620939*(1)</f>
        <v>-8.9690399762093892E-3</v>
      </c>
      <c r="QB4" s="2">
        <f>0.0157073566788288*(1)</f>
        <v>1.5707356678828801E-2</v>
      </c>
      <c r="QC4" s="2">
        <f>-0.00463245154156496*(1)</f>
        <v>-4.6324515415649596E-3</v>
      </c>
      <c r="QD4" s="2">
        <f>0.00248310004404044*(1)</f>
        <v>2.4831000440404399E-3</v>
      </c>
      <c r="QE4" s="2">
        <f>0.000181347338246169*(1)</f>
        <v>1.81347338246169E-4</v>
      </c>
      <c r="QF4" s="2">
        <f>-0.0165467896653154*(1)</f>
        <v>-1.6546789665315399E-2</v>
      </c>
      <c r="QG4" s="2">
        <f>0.00332028163059014*(1)</f>
        <v>3.32028163059014E-3</v>
      </c>
      <c r="QH4" s="2">
        <f>-0.00805962894761794*(1)</f>
        <v>-8.05962894761794E-3</v>
      </c>
      <c r="QI4" s="2">
        <f>0.00260383407205534*(1)</f>
        <v>2.6038340720553402E-3</v>
      </c>
      <c r="QJ4" s="2">
        <f>0.0038355066923489*(1)</f>
        <v>3.8355066923488998E-3</v>
      </c>
      <c r="QK4" s="2">
        <f>0.00636244131771796*(1)</f>
        <v>6.3624413177179604E-3</v>
      </c>
      <c r="QL4" s="2">
        <f>-0.0178417832853065*(1)</f>
        <v>-1.7841783285306501E-2</v>
      </c>
      <c r="QM4" s="2">
        <f>0.000283377252670718*(1)</f>
        <v>2.8337725267071797E-4</v>
      </c>
      <c r="QN4" s="2">
        <f>-0.00537914017163645*(1)</f>
        <v>-5.37914017163645E-3</v>
      </c>
      <c r="QO4" s="2">
        <f>0.0123566909849707*(1)</f>
        <v>1.2356690984970701E-2</v>
      </c>
      <c r="QP4" s="2">
        <f>0.00470409863231731*(1)</f>
        <v>4.7040986323173099E-3</v>
      </c>
      <c r="QQ4" s="2">
        <f>0.00563587234086217*(1)</f>
        <v>5.6358723408621702E-3</v>
      </c>
      <c r="QR4" s="2">
        <f>0.00129298591213139*(1)</f>
        <v>1.2929859121313899E-3</v>
      </c>
      <c r="QS4" s="2">
        <f>0.00644746435078176*(1)</f>
        <v>6.4474643507817604E-3</v>
      </c>
      <c r="QT4" s="2">
        <f>0.00967814266766245*(1)</f>
        <v>9.6781426676624503E-3</v>
      </c>
      <c r="QU4" s="2">
        <f>-0.0170576236064299*(1)</f>
        <v>-1.70576236064299E-2</v>
      </c>
      <c r="QV4" s="2">
        <f>-0.00156783898862697*(1)</f>
        <v>-1.56783898862697E-3</v>
      </c>
      <c r="QW4" s="2">
        <f>-0.0159194529379442*(1)</f>
        <v>-1.5919452937944199E-2</v>
      </c>
      <c r="QX4" s="2">
        <f>-0.0129043723356821*(1)</f>
        <v>-1.2904372335682099E-2</v>
      </c>
      <c r="QY4" s="2">
        <f>0.0100070132677387*(1)</f>
        <v>1.00070132677387E-2</v>
      </c>
      <c r="QZ4" s="2">
        <f>-0.0047092214963745*(1)</f>
        <v>-4.7092214963745001E-3</v>
      </c>
      <c r="RA4" s="2">
        <f>0.0042081956003394*(1)</f>
        <v>4.2081956003394002E-3</v>
      </c>
      <c r="RB4" s="2">
        <f>-0.010869882562743*(1)</f>
        <v>-1.0869882562743001E-2</v>
      </c>
      <c r="RC4" s="2">
        <f>0.000177300232122733*(1)</f>
        <v>1.7730023212273301E-4</v>
      </c>
      <c r="RD4" s="2">
        <f>0.0159745478805912*(1)</f>
        <v>1.5974547880591199E-2</v>
      </c>
      <c r="RE4" s="2">
        <f>0.0066761060944568*(1)</f>
        <v>6.6761060944568002E-3</v>
      </c>
      <c r="RF4" s="2">
        <f>-0.0144666223157263*(1)</f>
        <v>-1.4466622315726299E-2</v>
      </c>
      <c r="RG4" s="2">
        <f>0.00311681232102665*(1)</f>
        <v>3.1168123210266502E-3</v>
      </c>
      <c r="RH4" s="2">
        <f>0.00234975060557112*(1)</f>
        <v>2.34975060557112E-3</v>
      </c>
      <c r="RI4" s="2">
        <f>0.00680294533908839*(1)</f>
        <v>6.8029453390883897E-3</v>
      </c>
      <c r="RJ4" s="2">
        <f>-0.0114267319588441*(1)</f>
        <v>-1.14267319588441E-2</v>
      </c>
      <c r="RK4" s="2">
        <f>-0.00385760960428501*(1)</f>
        <v>-3.8576096042850102E-3</v>
      </c>
      <c r="RL4" s="2">
        <f>0.0102197110182866*(1)</f>
        <v>1.0219711018286601E-2</v>
      </c>
      <c r="RM4" s="2">
        <f>0.00618496375534539*(1)</f>
        <v>6.1849637553453903E-3</v>
      </c>
      <c r="RN4" s="2">
        <f>-0.01831147286885*(1)</f>
        <v>-1.8311472868850001E-2</v>
      </c>
      <c r="RO4" s="2">
        <f>0.000335883349578459*(1)</f>
        <v>3.3588334957845899E-4</v>
      </c>
      <c r="RP4" s="2">
        <f>0.00534012744640278*(1)</f>
        <v>5.3401274464027803E-3</v>
      </c>
      <c r="RQ4" s="2">
        <f>-0.00100129773726352*(1)</f>
        <v>-1.0012977372635199E-3</v>
      </c>
      <c r="RR4" s="2">
        <f>-0.00417382736774956*(1)</f>
        <v>-4.1738273677495597E-3</v>
      </c>
      <c r="RS4" s="2">
        <f>-0.00682449966221489*(1)</f>
        <v>-6.8244996622148901E-3</v>
      </c>
      <c r="RT4" s="2">
        <f>0.00105440225755406*(1)</f>
        <v>1.05440225755406E-3</v>
      </c>
      <c r="RU4" s="2">
        <f>0.0119124694000221*(1)</f>
        <v>1.1912469400022101E-2</v>
      </c>
      <c r="RV4" s="2">
        <f>-0.012911468514933*(1)</f>
        <v>-1.2911468514933E-2</v>
      </c>
      <c r="RW4" s="2">
        <f>-0.013853735159692*(1)</f>
        <v>-1.3853735159692E-2</v>
      </c>
      <c r="RX4" s="2">
        <f>-0.000976921558776318*(1)</f>
        <v>-9.7692155877631792E-4</v>
      </c>
      <c r="RY4" s="2">
        <f>-0.00917303204679319*(1)</f>
        <v>-9.1730320467931902E-3</v>
      </c>
      <c r="RZ4" s="2">
        <f>-0.00782450902709685*(1)</f>
        <v>-7.8245090270968494E-3</v>
      </c>
      <c r="SA4" s="2">
        <f>0.0086748435941278*(1)</f>
        <v>8.6748435941278006E-3</v>
      </c>
      <c r="SB4" s="2">
        <f>0.00037164254250392*(1)</f>
        <v>3.7164254250391998E-4</v>
      </c>
      <c r="SC4" s="2">
        <f>0.0102232688828123*(1)</f>
        <v>1.02232688828123E-2</v>
      </c>
      <c r="SD4" s="2">
        <f>0.0120805048256456*(1)</f>
        <v>1.2080504825645599E-2</v>
      </c>
      <c r="SE4" s="2">
        <f>-0.00528752423710591*(1)</f>
        <v>-5.2875242371059096E-3</v>
      </c>
      <c r="SF4" s="2">
        <f>-0.00153696998347389*(1)</f>
        <v>-1.53696998347389E-3</v>
      </c>
      <c r="SG4" s="2">
        <f>-0.00412707801640454*(1)</f>
        <v>-4.1270780164045402E-3</v>
      </c>
      <c r="SH4" s="2">
        <f>-0.000219447261375523*(1)</f>
        <v>-2.1944726137552301E-4</v>
      </c>
      <c r="SI4" s="2">
        <f>0.0199955663500579*(1)</f>
        <v>1.9995566350057899E-2</v>
      </c>
      <c r="SJ4" s="2">
        <f>0.0136963885904805*(1)</f>
        <v>1.36963885904805E-2</v>
      </c>
      <c r="SK4" s="2">
        <f>0.0530991906289627*(1)</f>
        <v>5.3099190628962699E-2</v>
      </c>
      <c r="SL4" s="2">
        <f>-0.00433640682231706*(1)</f>
        <v>-4.33640682231706E-3</v>
      </c>
      <c r="SM4" s="2">
        <f>0.045679356358582*(1)</f>
        <v>4.5679356358582002E-2</v>
      </c>
      <c r="SN4" s="2">
        <f>-0.0341475040780767*(1)</f>
        <v>-3.41475040780767E-2</v>
      </c>
      <c r="SO4" s="2">
        <f>-0.0157932918617829*(1)</f>
        <v>-1.5793291861782899E-2</v>
      </c>
      <c r="SP4" s="2">
        <f>0.00766874926731421*(1)</f>
        <v>7.6687492673142097E-3</v>
      </c>
      <c r="SQ4" s="2">
        <f>-0.0355060606054265*(1)</f>
        <v>-3.55060606054265E-2</v>
      </c>
      <c r="SR4" s="2">
        <f>0.00592874099342096*(1)</f>
        <v>5.9287409934209601E-3</v>
      </c>
      <c r="SS4" s="2">
        <f>0.0113880298590651*(1)</f>
        <v>1.1388029859065099E-2</v>
      </c>
      <c r="ST4" s="2">
        <f>-0.0369091812387572*(1)</f>
        <v>-3.6909181238757201E-2</v>
      </c>
      <c r="SU4" s="2">
        <f>-0.00243091863624985*(1)</f>
        <v>-2.4309186362498499E-3</v>
      </c>
      <c r="SV4" s="2">
        <f>-0.0255705982798349*(1)</f>
        <v>-2.5570598279834902E-2</v>
      </c>
      <c r="SW4" s="2">
        <f>0.015480046252421*(1)</f>
        <v>1.5480046252421E-2</v>
      </c>
      <c r="SX4" s="2">
        <f>0.00830974272969927*(1)</f>
        <v>8.3097427296992699E-3</v>
      </c>
      <c r="SY4" s="2">
        <f>0.0404986928671634*(1)</f>
        <v>4.0498692867163399E-2</v>
      </c>
      <c r="SZ4" s="2">
        <f>0.00200373559477364*(1)</f>
        <v>2.00373559477364E-3</v>
      </c>
      <c r="TA4" s="2">
        <f>-0.0124317778642009*(1)</f>
        <v>-1.24317778642009E-2</v>
      </c>
      <c r="TB4" s="2">
        <f>-0.0106866507839202*(1)</f>
        <v>-1.06866507839202E-2</v>
      </c>
      <c r="TC4" s="2">
        <f>0.0123004635216466*(1)</f>
        <v>1.23004635216466E-2</v>
      </c>
      <c r="TD4" s="2">
        <f>-0.000994789585959844*(1)</f>
        <v>-9.9478958595984406E-4</v>
      </c>
      <c r="TE4" s="2">
        <f>0.00525356005782114*(1)</f>
        <v>5.2535600578211402E-3</v>
      </c>
      <c r="TF4" s="2">
        <f>0.00677952568413572*(1)</f>
        <v>6.7795256841357201E-3</v>
      </c>
      <c r="TG4" s="2">
        <f>-0.000509604299551496*(1)</f>
        <v>-5.09604299551496E-4</v>
      </c>
      <c r="TH4" s="2">
        <f>0.00744345682055156*(1)</f>
        <v>7.4434568205515601E-3</v>
      </c>
      <c r="TI4" s="2">
        <f>0.00208309959624397*(1)</f>
        <v>2.0830995962439701E-3</v>
      </c>
      <c r="TJ4" s="2">
        <f>-0.0244280569367552*(1)</f>
        <v>-2.4428056936755201E-2</v>
      </c>
      <c r="TK4" s="2">
        <f>0.0117888035809553*(1)</f>
        <v>1.17888035809553E-2</v>
      </c>
      <c r="TL4" s="2">
        <f>0.0246885913956575*(1)</f>
        <v>2.4688591395657499E-2</v>
      </c>
      <c r="TM4" s="2">
        <f>-0.0199008684733272*(1)</f>
        <v>-1.9900868473327199E-2</v>
      </c>
      <c r="TN4" s="2">
        <f>0.0207238077816934*(1)</f>
        <v>2.0723807781693401E-2</v>
      </c>
      <c r="TO4" s="2">
        <f>0.00146128992437808*(1)</f>
        <v>1.4612899243780801E-3</v>
      </c>
      <c r="TP4" s="2">
        <f>-0.0165583619373772*(1)</f>
        <v>-1.6558361937377201E-2</v>
      </c>
      <c r="TQ4" s="2">
        <f>0.0334965306161442*(1)</f>
        <v>3.3496530616144202E-2</v>
      </c>
      <c r="TR4" s="2">
        <f>-0.0125096862758149*(1)</f>
        <v>-1.2509686275814899E-2</v>
      </c>
      <c r="TS4" s="2">
        <f>-0.0255925772758409*(1)</f>
        <v>-2.5592577275840901E-2</v>
      </c>
      <c r="TT4" s="2">
        <f>0.00784621333093324*(1)</f>
        <v>7.8462133309332403E-3</v>
      </c>
      <c r="TU4" s="2">
        <f>-0.0247345575433316*(1)</f>
        <v>-2.4734557543331599E-2</v>
      </c>
      <c r="TV4" s="2">
        <f>-0.030107466399592*(1)</f>
        <v>-3.0107466399592001E-2</v>
      </c>
      <c r="TW4" s="2">
        <f>-0.0114662030922512*(1)</f>
        <v>-1.1466203092251199E-2</v>
      </c>
      <c r="TX4" s="2">
        <f>-0.00964793264341159*(1)</f>
        <v>-9.6479326434115893E-3</v>
      </c>
      <c r="TY4" s="2">
        <f>0.00215499061989215*(1)</f>
        <v>2.1549906198921501E-3</v>
      </c>
      <c r="TZ4" s="2">
        <f>0.00182658435721478*(1)</f>
        <v>1.8265843572147799E-3</v>
      </c>
      <c r="UA4" s="2">
        <f>0.00710500311836448*(1)</f>
        <v>7.10500311836448E-3</v>
      </c>
      <c r="UB4" s="2">
        <f>-0.00101056823377124*(1)</f>
        <v>-1.0105682337712401E-3</v>
      </c>
      <c r="UC4" s="2">
        <f>0.00327480605985639*(1)</f>
        <v>3.2748060598563901E-3</v>
      </c>
      <c r="UD4" s="2">
        <f>0.00232396418339197*(1)</f>
        <v>2.32396418339197E-3</v>
      </c>
      <c r="UE4" s="2">
        <f>0.00421126166528151*(1)</f>
        <v>4.2112616652815096E-3</v>
      </c>
      <c r="UF4" s="2">
        <f>-0.00142744616459556*(1)</f>
        <v>-1.42744616459556E-3</v>
      </c>
      <c r="UG4" s="2">
        <f>0.00686958605409683*(1)</f>
        <v>6.8695860540968299E-3</v>
      </c>
      <c r="UH4" s="2">
        <f>-0.00021063300980852*(1)</f>
        <v>-2.1063300980851999E-4</v>
      </c>
      <c r="UI4" s="2">
        <f>-0.0165765710669305*(1)</f>
        <v>-1.6576571066930501E-2</v>
      </c>
      <c r="UJ4" s="2">
        <f>0.000587846289049308*(1)</f>
        <v>5.8784628904930798E-4</v>
      </c>
      <c r="UK4" s="2">
        <f>0.0168620566837938*(1)</f>
        <v>1.68620566837938E-2</v>
      </c>
      <c r="UL4" s="2">
        <f>-0.00682342080289443*(1)</f>
        <v>-6.8234208028944299E-3</v>
      </c>
      <c r="UM4" s="2">
        <f>-0.00442899929758727*(1)</f>
        <v>-4.4289992975872702E-3</v>
      </c>
      <c r="UN4" s="2">
        <f>0.00478540646919792*(1)</f>
        <v>4.78540646919792E-3</v>
      </c>
      <c r="UO4" s="2">
        <f>-0.00851091807373154*(1)</f>
        <v>-8.5109180737315392E-3</v>
      </c>
      <c r="UP4" s="2">
        <f>0.00757864327829242*(1)</f>
        <v>7.5786432782924198E-3</v>
      </c>
      <c r="UQ4" s="2">
        <f>-0.0015735774443858*(1)</f>
        <v>-1.5735774443857999E-3</v>
      </c>
      <c r="UR4" s="2">
        <f>-0.00868763516923157*(1)</f>
        <v>-8.6876351692315706E-3</v>
      </c>
      <c r="US4" s="2">
        <f>0.00964740008917132*(1)</f>
        <v>9.6474000891713201E-3</v>
      </c>
      <c r="UT4" s="2">
        <f>0.00326740710740564*(1)</f>
        <v>3.2674071074056399E-3</v>
      </c>
      <c r="UU4" s="2">
        <f>-0.00356136987513715*(1)</f>
        <v>-3.5613698751371498E-3</v>
      </c>
      <c r="UV4" s="2">
        <f>0.00206633671466189*(1)</f>
        <v>2.0663367146618902E-3</v>
      </c>
      <c r="UW4" s="2">
        <f>-0.00560253139169216*(1)</f>
        <v>-5.6025313916921596E-3</v>
      </c>
      <c r="UX4" s="2">
        <f>0.00518407235710498*(1)</f>
        <v>5.1840723571049798E-3</v>
      </c>
      <c r="UY4" s="2">
        <f>-0.0102295645099836*(1)</f>
        <v>-1.0229564509983601E-2</v>
      </c>
      <c r="UZ4" s="2">
        <f>-0.00394393643237782*(1)</f>
        <v>-3.9439364323778196E-3</v>
      </c>
      <c r="VA4" s="2">
        <f>-0.0133114830439426*(1)</f>
        <v>-1.33114830439426E-2</v>
      </c>
      <c r="VB4" s="2">
        <f>0.0238054399944452*(1)</f>
        <v>2.3805439994445201E-2</v>
      </c>
      <c r="VC4" s="2">
        <f>-0.00717025258635158*(1)</f>
        <v>-7.1702525863515804E-3</v>
      </c>
      <c r="VD4" s="2">
        <f>-0.00889916609775402*(1)</f>
        <v>-8.8991660977540202E-3</v>
      </c>
      <c r="VE4" s="2">
        <f>0.00575207886807554*(1)</f>
        <v>5.7520788680755401E-3</v>
      </c>
      <c r="VF4" s="2">
        <f>0.00438723657751582*(1)</f>
        <v>4.38723657751582E-3</v>
      </c>
      <c r="VG4" s="2">
        <f>0.0122505841097111*(1)</f>
        <v>1.22505841097111E-2</v>
      </c>
      <c r="VH4" s="2">
        <f>-0.00219207845958095*(1)</f>
        <v>-2.1920784595809502E-3</v>
      </c>
      <c r="VI4" s="2">
        <f>0.0173530964436332*(1)</f>
        <v>1.7353096443633202E-2</v>
      </c>
      <c r="VJ4" s="2">
        <f>0.00713882399164486*(1)</f>
        <v>7.1388239916448598E-3</v>
      </c>
      <c r="VK4" s="2">
        <f>0.00360727312564339*(1)</f>
        <v>3.60727312564339E-3</v>
      </c>
      <c r="VL4" s="2">
        <f>0.0126748842946403*(1)</f>
        <v>1.2674884294640301E-2</v>
      </c>
      <c r="VM4" s="2">
        <f>-0.00712508624335858*(1)</f>
        <v>-7.1250862433585799E-3</v>
      </c>
      <c r="VN4" s="2">
        <f>0.00369995899328362*(1)</f>
        <v>3.69995899328362E-3</v>
      </c>
      <c r="VO4" s="2">
        <f>0.0129320621607624*(1)</f>
        <v>1.2932062160762399E-2</v>
      </c>
      <c r="VP4" s="2">
        <f>0.0107518383271676*(1)</f>
        <v>1.07518383271676E-2</v>
      </c>
      <c r="VQ4" s="2">
        <f>0.0136094664619989*(1)</f>
        <v>1.36094664619989E-2</v>
      </c>
      <c r="VR4" s="2">
        <f>0.00131595943002874*(1)</f>
        <v>1.3159594300287401E-3</v>
      </c>
      <c r="VS4" s="2">
        <f>-0.0218096802777009*(1)</f>
        <v>-2.1809680277700898E-2</v>
      </c>
      <c r="VT4" s="2">
        <f>-0.00880137358374171*(1)</f>
        <v>-8.8013735837417107E-3</v>
      </c>
      <c r="VU4" s="2">
        <f>-0.000352039906469845*(1)</f>
        <v>-3.52039906469845E-4</v>
      </c>
      <c r="VV4" s="2">
        <f>-0.00242811392912523*(1)</f>
        <v>-2.4281139291252299E-3</v>
      </c>
      <c r="VW4" s="2">
        <f>-0.00751012733635487*(1)</f>
        <v>-7.5101273363548703E-3</v>
      </c>
      <c r="VX4" s="2">
        <f>0.0148064651770024*(1)</f>
        <v>1.48064651770024E-2</v>
      </c>
      <c r="VY4" s="2">
        <f>-0.00226806296928844*(1)</f>
        <v>-2.2680629692884398E-3</v>
      </c>
      <c r="VZ4" s="2">
        <f>0.000736731336525802*(1)</f>
        <v>7.3673133652580203E-4</v>
      </c>
      <c r="WA4" s="2">
        <f>-0.018183363232665*(1)</f>
        <v>-1.8183363232664999E-2</v>
      </c>
      <c r="WB4" s="2">
        <f>-0.0161285171560638*(1)</f>
        <v>-1.6128517156063799E-2</v>
      </c>
      <c r="WC4" s="2">
        <f>-0.00288832989960553*(1)</f>
        <v>-2.8883298996055301E-3</v>
      </c>
      <c r="WD4" s="2">
        <f>-0.00406634864116918*(1)</f>
        <v>-4.0663486411691803E-3</v>
      </c>
      <c r="WE4" s="2">
        <f>0.00266839007201139*(1)</f>
        <v>2.66839007201139E-3</v>
      </c>
      <c r="WF4" s="2">
        <f>-0.0281369903253883*(1)</f>
        <v>-2.81369903253883E-2</v>
      </c>
      <c r="WG4" s="2">
        <f>0.000754533468063796*(1)</f>
        <v>7.54533468063796E-4</v>
      </c>
      <c r="WH4" s="2">
        <f>-0.00791925228516898*(1)</f>
        <v>-7.9192522851689803E-3</v>
      </c>
      <c r="WI4" s="2">
        <f>-0.0226155684148526*(1)</f>
        <v>-2.2615568414852599E-2</v>
      </c>
      <c r="WJ4" s="2">
        <f>0.0121583399595354*(1)</f>
        <v>1.21583399595354E-2</v>
      </c>
      <c r="WK4" s="2">
        <f>0.0204269286041014*(1)</f>
        <v>2.0426928604101401E-2</v>
      </c>
      <c r="WL4" s="2">
        <f>-0.00949232051392281*(1)</f>
        <v>-9.4923205139228108E-3</v>
      </c>
      <c r="WM4" s="2">
        <f>0.00619939189017045*(1)</f>
        <v>6.1993918901704498E-3</v>
      </c>
      <c r="WN4" s="2">
        <f>-0.00551949066985628*(1)</f>
        <v>-5.51949066985628E-3</v>
      </c>
      <c r="WO4" s="2">
        <f>0.0069986545988987*(1)</f>
        <v>6.9986545988986997E-3</v>
      </c>
      <c r="WP4" s="2">
        <f>0.00228269682539017*(1)</f>
        <v>2.2826968253901701E-3</v>
      </c>
      <c r="WQ4" s="2">
        <f>0.000460216190026673*(1)</f>
        <v>4.60216190026673E-4</v>
      </c>
      <c r="WR4" s="2">
        <f>0.00998375381463024*(1)</f>
        <v>9.9837538146302397E-3</v>
      </c>
      <c r="WS4" s="2">
        <f>-0.00390182593090334*(1)</f>
        <v>-3.9018259309033399E-3</v>
      </c>
      <c r="WT4" s="2">
        <f>-0.0058472573257685*(1)</f>
        <v>-5.8472573257684997E-3</v>
      </c>
      <c r="WU4" s="2">
        <f>-0.0112658491764024*(1)</f>
        <v>-1.1265849176402399E-2</v>
      </c>
      <c r="WV4" s="2">
        <f>-0.00828260628671818*(1)</f>
        <v>-8.2826062867181801E-3</v>
      </c>
      <c r="WW4" s="2">
        <f>-0.00398044505098296*(1)</f>
        <v>-3.98044505098296E-3</v>
      </c>
      <c r="WX4" s="2">
        <f>-0.00456720267142076*(1)</f>
        <v>-4.5672026714207604E-3</v>
      </c>
      <c r="WY4" s="2">
        <f>-0.00838050295337349*(1)</f>
        <v>-8.3805029533734893E-3</v>
      </c>
      <c r="WZ4" s="2">
        <f>0.027140629613273*(1)</f>
        <v>2.7140629613273001E-2</v>
      </c>
      <c r="XA4" s="2">
        <f>-0.0105604972724963*(1)</f>
        <v>-1.05604972724963E-2</v>
      </c>
      <c r="XB4" s="2">
        <f>0.0156932257681622*(1)</f>
        <v>1.5693225768162199E-2</v>
      </c>
      <c r="XC4" s="2">
        <f>-0.00302675942554532*(1)</f>
        <v>-3.0267594255453199E-3</v>
      </c>
      <c r="XD4" s="2">
        <f>-0.00903963048992401*(1)</f>
        <v>-9.0396304899240092E-3</v>
      </c>
      <c r="XE4" s="2">
        <f>0.000418450402618948*(1)</f>
        <v>4.1845040261894801E-4</v>
      </c>
      <c r="XF4" s="2">
        <f>0.00189936650606866*(1)</f>
        <v>1.8993665060686601E-3</v>
      </c>
      <c r="XG4" s="2">
        <f>-0.018177549621157*(1)</f>
        <v>-1.8177549621156999E-2</v>
      </c>
      <c r="XH4" s="2">
        <f>-0.00198540832534933*(1)</f>
        <v>-1.9854083253493301E-3</v>
      </c>
      <c r="XI4" s="2">
        <f>0.00636187699780018*(1)</f>
        <v>6.36187699780018E-3</v>
      </c>
      <c r="XJ4" s="2">
        <f>-0.00524945310570998*(1)</f>
        <v>-5.2494531057099801E-3</v>
      </c>
      <c r="XK4" s="2">
        <f>0.00313716395420901*(1)</f>
        <v>3.1371639542090101E-3</v>
      </c>
      <c r="XL4" s="2">
        <f>0.0143354093513569*(1)</f>
        <v>1.4335409351356901E-2</v>
      </c>
      <c r="XM4" s="2">
        <f>-0.00481462618192727*(1)</f>
        <v>-4.8146261819272699E-3</v>
      </c>
      <c r="XN4" s="2">
        <f>0.000975783897148825*(1)</f>
        <v>9.7578389714882499E-4</v>
      </c>
      <c r="XO4" s="2">
        <f>-0.00265641794527545*(1)</f>
        <v>-2.6564179452754498E-3</v>
      </c>
      <c r="XP4" s="2">
        <f>-0.0131177932061872*(1)</f>
        <v>-1.31177932061872E-2</v>
      </c>
      <c r="XQ4" s="2">
        <f>0.000429716537267766*(1)</f>
        <v>4.2971653726776599E-4</v>
      </c>
      <c r="XR4" s="2">
        <f>-0.0125837105058176*(1)</f>
        <v>-1.2583710505817599E-2</v>
      </c>
      <c r="XS4" s="2">
        <f>-0.000128933608092903*(1)</f>
        <v>-1.2893360809290301E-4</v>
      </c>
      <c r="XT4" s="2">
        <f>-0.0139048132333271*(1)</f>
        <v>-1.3904813233327099E-2</v>
      </c>
      <c r="XU4" s="2">
        <f>-0.00466197374038812*(1)</f>
        <v>-4.6619737403881204E-3</v>
      </c>
      <c r="XV4" s="2">
        <f>0.00316877162816947*(1)</f>
        <v>3.1687716281694699E-3</v>
      </c>
      <c r="XW4" s="2">
        <f>-0.00641086316210325*(1)</f>
        <v>-6.4108631621032502E-3</v>
      </c>
      <c r="XX4" s="2">
        <f>0.0025631786149819*(1)</f>
        <v>2.5631786149819002E-3</v>
      </c>
      <c r="XY4" s="2">
        <f>-0.0109349234600344*(1)</f>
        <v>-1.09349234600344E-2</v>
      </c>
      <c r="XZ4" s="2">
        <f>0.00645352088103098*(1)</f>
        <v>6.4535208810309799E-3</v>
      </c>
      <c r="YA4" s="2">
        <f>-0.00139340694828929*(1)</f>
        <v>-1.39340694828929E-3</v>
      </c>
      <c r="YB4" s="2">
        <f>-0.00489558961895212*(1)</f>
        <v>-4.8955896189521201E-3</v>
      </c>
      <c r="YC4" s="2">
        <f>-0.00755236538949861*(1)</f>
        <v>-7.5523653894986097E-3</v>
      </c>
      <c r="YD4" s="2">
        <f>0.0134713377170018*(1)</f>
        <v>1.34713377170018E-2</v>
      </c>
      <c r="YE4" s="2">
        <f>-0.00700412523985861*(1)</f>
        <v>-7.0041252398586103E-3</v>
      </c>
      <c r="YF4" s="2">
        <f>0.0142372101429769*(1)</f>
        <v>1.42372101429769E-2</v>
      </c>
      <c r="YG4" s="2">
        <f>0.00591043319936192*(1)</f>
        <v>5.9104331993619199E-3</v>
      </c>
      <c r="YH4" s="2">
        <f>0.0254203536977186*(1)</f>
        <v>2.5420353697718601E-2</v>
      </c>
      <c r="YI4" s="2">
        <f>0.00323573322475881*(1)</f>
        <v>3.2357332247588098E-3</v>
      </c>
      <c r="YJ4" s="2">
        <f>0.00846372568602367*(1)</f>
        <v>8.4637256860236702E-3</v>
      </c>
      <c r="YK4" s="2">
        <f>0.0032102494722461*(1)</f>
        <v>3.2102494722461E-3</v>
      </c>
      <c r="YL4" s="2">
        <f>0.00219698995356831*(1)</f>
        <v>2.1969899535683101E-3</v>
      </c>
      <c r="YM4" s="2">
        <f>0.00752730786552933*(1)</f>
        <v>7.5273078655293301E-3</v>
      </c>
      <c r="YN4" s="2">
        <f>0.00223382272022652*(1)</f>
        <v>2.2338227202265198E-3</v>
      </c>
      <c r="YO4" s="2">
        <f>-0.0203874600212095*(1)</f>
        <v>-2.0387460021209499E-2</v>
      </c>
      <c r="YP4" s="2">
        <f>0.00859539823921057*(1)</f>
        <v>8.5953982392105704E-3</v>
      </c>
      <c r="YQ4" s="2">
        <f>0.000883376329882057*(1)</f>
        <v>8.8337632988205695E-4</v>
      </c>
      <c r="YR4" s="2">
        <f>0.00276887680702263*(1)</f>
        <v>2.7688768070226301E-3</v>
      </c>
      <c r="YS4" s="2">
        <f>-0.00462734217179669*(1)</f>
        <v>-4.6273421717966902E-3</v>
      </c>
      <c r="YT4" s="2">
        <f>-0.00588985057273843*(1)</f>
        <v>-5.8898505727384299E-3</v>
      </c>
      <c r="YU4" s="2">
        <f>0.00652113371217372*(1)</f>
        <v>6.5211337121737203E-3</v>
      </c>
      <c r="YV4" s="2">
        <f>0.0282529782772568*(1)</f>
        <v>2.8252978277256799E-2</v>
      </c>
      <c r="YW4" s="2">
        <f>-0.0191701856811674*(1)</f>
        <v>-1.91701856811674E-2</v>
      </c>
      <c r="YX4" s="2">
        <f>0.0188019777704246*(1)</f>
        <v>1.88019777704246E-2</v>
      </c>
      <c r="YY4" s="2">
        <f>-0.00204087480013672*(1)</f>
        <v>-2.0408748001367201E-3</v>
      </c>
      <c r="YZ4" s="2">
        <f>-0.000305212673002897*(1)</f>
        <v>-3.0521267300289697E-4</v>
      </c>
      <c r="ZA4" s="2">
        <f>-0.00660846740224502*(1)</f>
        <v>-6.6084674022450201E-3</v>
      </c>
      <c r="ZB4" s="2">
        <f>-0.0149322015443948*(1)</f>
        <v>-1.4932201544394799E-2</v>
      </c>
      <c r="ZC4" s="2">
        <f>-0.00123604916094624*(1)</f>
        <v>-1.23604916094624E-3</v>
      </c>
      <c r="ZD4" s="2">
        <f>-0.0131687620881055*(1)</f>
        <v>-1.3168762088105501E-2</v>
      </c>
      <c r="ZE4" s="2">
        <f>-0.00054416104370715*(1)</f>
        <v>-5.4416104370715002E-4</v>
      </c>
      <c r="ZF4" s="2">
        <f>0.00413685440880154*(1)</f>
        <v>4.1368544088015401E-3</v>
      </c>
      <c r="ZG4" s="2">
        <f>0.0160267794381421*(1)</f>
        <v>1.60267794381421E-2</v>
      </c>
      <c r="ZH4" s="2">
        <f>-0.0114896931400995*(1)</f>
        <v>-1.14896931400995E-2</v>
      </c>
      <c r="ZI4" s="2">
        <f>-0.00459259650859795*(1)</f>
        <v>-4.5925965085979502E-3</v>
      </c>
      <c r="ZJ4" s="2">
        <f>0.00715208588344714*(1)</f>
        <v>7.15208588344714E-3</v>
      </c>
      <c r="ZK4" s="2">
        <f>-0.00522172341874992*(1)</f>
        <v>-5.2217234187499203E-3</v>
      </c>
      <c r="ZL4" s="2">
        <f>-0.00565788575891767*(1)</f>
        <v>-5.6578857589176697E-3</v>
      </c>
      <c r="ZM4" s="2">
        <f>-0.00377139352779401*(1)</f>
        <v>-3.7713935277940099E-3</v>
      </c>
      <c r="ZN4" s="2">
        <f>0.011589137356523*(1)</f>
        <v>1.1589137356523E-2</v>
      </c>
      <c r="ZO4" s="2">
        <f>-0.0123918914283238*(1)</f>
        <v>-1.23918914283238E-2</v>
      </c>
      <c r="ZP4" s="2">
        <f>0.00638812536985679*(1)</f>
        <v>6.3881253698567899E-3</v>
      </c>
      <c r="ZQ4" s="2">
        <f>-0.00090812649370911*(1)</f>
        <v>-9.0812649370911004E-4</v>
      </c>
      <c r="ZR4" s="2">
        <f>-0.0214427204259274*(1)</f>
        <v>-2.1442720425927399E-2</v>
      </c>
      <c r="ZS4" s="2">
        <f>0.00352325712932953*(1)</f>
        <v>3.5232571293295298E-3</v>
      </c>
      <c r="ZT4" s="2">
        <f>-0.00712622435262327*(1)</f>
        <v>-7.1262243526232696E-3</v>
      </c>
      <c r="ZU4" s="2">
        <f>0.00267430244065289*(1)</f>
        <v>2.67430244065289E-3</v>
      </c>
      <c r="ZV4" s="2">
        <f>0.0041910481089007*(1)</f>
        <v>4.1910481089007003E-3</v>
      </c>
      <c r="ZW4" s="2">
        <f>-0.00367738263259266*(1)</f>
        <v>-3.67738263259266E-3</v>
      </c>
      <c r="ZX4" s="2">
        <f>0.00849077122329776*(1)</f>
        <v>8.4907712232977599E-3</v>
      </c>
      <c r="ZY4" s="2">
        <f>0.0138358931487774*(1)</f>
        <v>1.38358931487774E-2</v>
      </c>
      <c r="ZZ4" s="2">
        <f>-0.0138483832360599*(1)</f>
        <v>-1.38483832360599E-2</v>
      </c>
      <c r="AAA4" s="2">
        <f>0.0109602074091475*(1)</f>
        <v>1.09602074091475E-2</v>
      </c>
      <c r="AAB4" s="2">
        <f>0.0085991629804399*(1)</f>
        <v>8.5991629804398999E-3</v>
      </c>
      <c r="AAC4" s="2">
        <f>0.0102171936483793*(1)</f>
        <v>1.0217193648379299E-2</v>
      </c>
      <c r="AAD4" s="2">
        <f>-0.017476499221085*(1)</f>
        <v>-1.7476499221085001E-2</v>
      </c>
      <c r="AAE4" s="2">
        <f>-0.0121503260820558*(1)</f>
        <v>-1.2150326082055799E-2</v>
      </c>
      <c r="AAF4" s="2">
        <f>0.0105439867508657*(1)</f>
        <v>1.0543986750865699E-2</v>
      </c>
      <c r="AAG4" s="2">
        <f>-0.00658126281416016*(1)</f>
        <v>-6.5812628141601603E-3</v>
      </c>
      <c r="AAH4" s="2">
        <f>0.00158662809809972*(1)</f>
        <v>1.5866280980997201E-3</v>
      </c>
      <c r="AAI4" s="2">
        <f>0.0053901997589932*(1)</f>
        <v>5.3901997589931999E-3</v>
      </c>
      <c r="AAJ4" s="2">
        <f>-0.010847862824316*(1)</f>
        <v>-1.0847862824316001E-2</v>
      </c>
      <c r="AAK4" s="2">
        <f>0.00979226769303771*(1)</f>
        <v>9.7922676930377092E-3</v>
      </c>
      <c r="AAL4" s="2">
        <f>-0.00268303161181919*(1)</f>
        <v>-2.6830316118191901E-3</v>
      </c>
      <c r="AAM4" s="2">
        <f>0.00814950581918957*(1)</f>
        <v>8.1495058191895699E-3</v>
      </c>
      <c r="AAN4" s="2">
        <f>-0.0131887957500996*(1)</f>
        <v>-1.31887957500996E-2</v>
      </c>
      <c r="AAO4" s="2">
        <f>-0.00457232221151128*(1)</f>
        <v>-4.57232221151128E-3</v>
      </c>
      <c r="AAP4" s="2">
        <f>-0.0033496990278406*(1)</f>
        <v>-3.3496990278405999E-3</v>
      </c>
      <c r="AAQ4" s="2">
        <f>-0.00664609759323431*(1)</f>
        <v>-6.6460975932343099E-3</v>
      </c>
      <c r="AAR4" s="2">
        <f>-0.00949006261418536*(1)</f>
        <v>-9.4900626141853593E-3</v>
      </c>
      <c r="AAS4" s="2">
        <f>-0.000906924197402805*(1)</f>
        <v>-9.0692419740280496E-4</v>
      </c>
      <c r="AAT4" s="2">
        <f>-0.0173930145558069*(1)</f>
        <v>-1.7393014555806899E-2</v>
      </c>
      <c r="AAU4" s="2">
        <f>0.00989744485920817*(1)</f>
        <v>9.8974448592081699E-3</v>
      </c>
      <c r="AAV4" s="2">
        <f>0.0144491483232653*(1)</f>
        <v>1.44491483232653E-2</v>
      </c>
      <c r="AAW4" s="2">
        <f>-0.00803705198785311*(1)</f>
        <v>-8.03705198785311E-3</v>
      </c>
      <c r="AAX4" s="2">
        <f>-0.00915350014982129*(1)</f>
        <v>-9.1535001498212892E-3</v>
      </c>
      <c r="AAY4" s="2">
        <f>0.00212084743632656*(1)</f>
        <v>2.1208474363265599E-3</v>
      </c>
      <c r="AAZ4" s="2">
        <f>0.0040051259902168*(1)</f>
        <v>4.0051259902168001E-3</v>
      </c>
      <c r="ABA4" s="2">
        <f>-0.0111313062857665*(1)</f>
        <v>-1.11313062857665E-2</v>
      </c>
      <c r="ABB4" s="2">
        <f>-0.00299034297273669*(1)</f>
        <v>-2.9903429727366898E-3</v>
      </c>
      <c r="ABC4" s="2">
        <f>0.00307076316831772*(1)</f>
        <v>3.0707631683177198E-3</v>
      </c>
      <c r="ABD4" s="2">
        <f>-0.00247883677916503*(1)</f>
        <v>-2.4788367791650301E-3</v>
      </c>
      <c r="ABE4" s="2">
        <f>0.00217797711536222*(1)</f>
        <v>2.17797711536222E-3</v>
      </c>
      <c r="ABF4" s="2">
        <f>0.00114783933873525*(1)</f>
        <v>1.14783933873525E-3</v>
      </c>
      <c r="ABG4" s="2">
        <f>-0.000737822294948623*(1)</f>
        <v>-7.3782229494862299E-4</v>
      </c>
      <c r="ABH4" s="2">
        <f>0.0101169303557286*(1)</f>
        <v>1.0116930355728601E-2</v>
      </c>
      <c r="ABI4" s="2">
        <f>0.000347539450533785*(1)</f>
        <v>3.4753945053378498E-4</v>
      </c>
      <c r="ABJ4" s="2">
        <f>0.00192349123729822*(1)</f>
        <v>1.92349123729822E-3</v>
      </c>
      <c r="ABK4" s="2">
        <f>-0.0044953162091118*(1)</f>
        <v>-4.4953162091118E-3</v>
      </c>
      <c r="ABL4" s="2">
        <f>0.002097323355624*(1)</f>
        <v>2.0973233556240002E-3</v>
      </c>
      <c r="ABM4" s="2">
        <f>-0.00592160347560317*(1)</f>
        <v>-5.9216034756031698E-3</v>
      </c>
      <c r="ABN4" s="2">
        <f>0.000354919240277618*(1)</f>
        <v>3.5491924027761799E-4</v>
      </c>
      <c r="ABO4" s="2">
        <f>0.00114076349825142*(1)</f>
        <v>1.1407634982514201E-3</v>
      </c>
      <c r="ABP4" s="2">
        <f>-0.00796329253246944*(1)</f>
        <v>-7.9632925324694404E-3</v>
      </c>
      <c r="ABQ4" s="2">
        <f>-0.00127551691773854*(1)</f>
        <v>-1.2755169177385401E-3</v>
      </c>
      <c r="ABR4" s="2">
        <f>-0.00101149857955023*(1)</f>
        <v>-1.0114985795502301E-3</v>
      </c>
      <c r="ABS4" s="2">
        <f>-0.00262974150019423*(1)</f>
        <v>-2.6297415001942299E-3</v>
      </c>
      <c r="ABT4" s="2">
        <f>0.000695829029445298*(1)</f>
        <v>6.95829029445298E-4</v>
      </c>
      <c r="ABU4" s="2">
        <f>-0.00292254278899528*(1)</f>
        <v>-2.9225427889952799E-3</v>
      </c>
      <c r="ABV4" s="2">
        <f>0.00671758752573053*(1)</f>
        <v>6.71758752573053E-3</v>
      </c>
      <c r="ABW4" s="2">
        <f>-0.00593919757329062*(1)</f>
        <v>-5.9391975732906201E-3</v>
      </c>
      <c r="ABX4" s="2">
        <f>-0.00145563932767119*(1)</f>
        <v>-1.45563932767119E-3</v>
      </c>
      <c r="ABY4" s="2">
        <f>0.00621602202546158*(1)</f>
        <v>6.2160220254615798E-3</v>
      </c>
      <c r="ABZ4" s="2">
        <f>0.00733115707849151*(1)</f>
        <v>7.3311570784915098E-3</v>
      </c>
      <c r="ACA4" s="2">
        <f>-0.000957661811066769*(1)</f>
        <v>-9.5766181106676904E-4</v>
      </c>
      <c r="ACB4" s="2">
        <f>0.00619705536582774*(1)</f>
        <v>6.1970553658277404E-3</v>
      </c>
      <c r="ACC4" s="2">
        <f>0.000498804459597932*(1)</f>
        <v>4.9880445959793202E-4</v>
      </c>
      <c r="ACD4" s="2">
        <f>0.0270779803087861*(1)</f>
        <v>2.7077980308786099E-2</v>
      </c>
      <c r="ACE4" s="2">
        <f>-0.0102989308932666*(1)</f>
        <v>-1.0298930893266601E-2</v>
      </c>
      <c r="ACF4" s="2">
        <f>-0.00670596347191977*(1)</f>
        <v>-6.7059634719197703E-3</v>
      </c>
      <c r="ACG4" s="2">
        <f>-0.00663472557873971*(1)</f>
        <v>-6.63472557873971E-3</v>
      </c>
      <c r="ACH4" s="2">
        <f>-0.000875912537773982*(1)</f>
        <v>-8.7591253777398199E-4</v>
      </c>
      <c r="ACI4" s="2">
        <f>0.00149619299690724*(1)</f>
        <v>1.4961929969072401E-3</v>
      </c>
      <c r="ACJ4" s="2">
        <f>0.0024433203446221*(1)</f>
        <v>2.4433203446221001E-3</v>
      </c>
      <c r="ACK4" s="2">
        <f>0.00113409581924369*(1)</f>
        <v>1.1340958192436899E-3</v>
      </c>
      <c r="ACL4" s="2">
        <f>0.0102034482130634*(1)</f>
        <v>1.0203448213063401E-2</v>
      </c>
      <c r="ACM4" s="2">
        <f>0.0115475184966747*(1)</f>
        <v>1.1547518496674699E-2</v>
      </c>
      <c r="ACN4" s="2">
        <f>0.0176851344343421*(1)</f>
        <v>1.7685134434342099E-2</v>
      </c>
      <c r="ACO4" s="2">
        <f>-0.0201750495851081*(1)</f>
        <v>-2.0175049585108101E-2</v>
      </c>
      <c r="ACP4" s="2">
        <f>-0.00373310637731024*(1)</f>
        <v>-3.7331063773102398E-3</v>
      </c>
      <c r="ACQ4" s="2">
        <f>-0.0123330336899616*(1)</f>
        <v>-1.23330336899616E-2</v>
      </c>
      <c r="ACR4" s="2">
        <f>0.0144616329934567*(1)</f>
        <v>1.4461632993456699E-2</v>
      </c>
      <c r="ACS4" s="2">
        <f>0.00737625567479531*(1)</f>
        <v>7.3762556747953099E-3</v>
      </c>
      <c r="ACT4" s="2">
        <f>-0.0113999758858316*(1)</f>
        <v>-1.13999758858316E-2</v>
      </c>
      <c r="ACU4" s="2">
        <f>-0.00213684666351495*(1)</f>
        <v>-2.13684666351495E-3</v>
      </c>
      <c r="ACV4" s="2">
        <f>-0.00398605472371168*(1)</f>
        <v>-3.9860547237116802E-3</v>
      </c>
    </row>
    <row r="5" spans="1:776" x14ac:dyDescent="0.2">
      <c r="A5" s="1" t="s">
        <v>70638</v>
      </c>
      <c r="B5" s="2">
        <f>0.00617607995107199*(1)</f>
        <v>6.1760799510719904E-3</v>
      </c>
      <c r="C5" s="2">
        <f>-0.0163889961727621*(1)</f>
        <v>-1.6388996172762099E-2</v>
      </c>
      <c r="D5" s="2">
        <f>-0.0197030508261792*(1)</f>
        <v>-1.9703050826179201E-2</v>
      </c>
      <c r="E5" s="2">
        <f>-0.00977428006614272*(1)</f>
        <v>-9.7742800661427195E-3</v>
      </c>
      <c r="F5" s="2">
        <f>-0.0150480472811681*(1)</f>
        <v>-1.5048047281168099E-2</v>
      </c>
      <c r="G5" s="2">
        <f>0.042900680226781*(1)</f>
        <v>4.2900680226781E-2</v>
      </c>
      <c r="H5" s="2">
        <f>-0.0203457471626002*(1)</f>
        <v>-2.0345747162600201E-2</v>
      </c>
      <c r="I5" s="2">
        <f>0.00883422529886482*(1)</f>
        <v>8.8342252988648194E-3</v>
      </c>
      <c r="J5" s="2">
        <f>-0.0128436744993323*(1)</f>
        <v>-1.2843674499332301E-2</v>
      </c>
      <c r="K5" s="2">
        <f>0.00435145436064539*(1)</f>
        <v>4.3514543606453897E-3</v>
      </c>
      <c r="L5" s="2">
        <f>0.0173926524273267*(1)</f>
        <v>1.73926524273267E-2</v>
      </c>
      <c r="M5" s="2">
        <f>0.0220790101388868*(1)</f>
        <v>2.2079010138886801E-2</v>
      </c>
      <c r="N5" s="2">
        <f>0.0136961083001804*(1)</f>
        <v>1.36961083001804E-2</v>
      </c>
      <c r="O5" s="2">
        <f>-0.00511545704365498*(1)</f>
        <v>-5.1154570436549801E-3</v>
      </c>
      <c r="P5" s="2">
        <f>0.0170040470134455*(1)</f>
        <v>1.7004047013445499E-2</v>
      </c>
      <c r="Q5" s="2">
        <f>-0.00566068074713854*(1)</f>
        <v>-5.6606807471385398E-3</v>
      </c>
      <c r="R5" s="2">
        <f>-0.00656115358039698*(1)</f>
        <v>-6.5611535803969797E-3</v>
      </c>
      <c r="S5" s="2">
        <f>-0.00530318098651454*(1)</f>
        <v>-5.3031809865145404E-3</v>
      </c>
      <c r="T5" s="2">
        <f>0.00789336971924161*(1)</f>
        <v>7.8933697192416098E-3</v>
      </c>
      <c r="U5" s="2">
        <f>0.00304744086216635*(1)</f>
        <v>3.0474408621663498E-3</v>
      </c>
      <c r="V5" s="2">
        <f>-0.00106057629196331*(1)</f>
        <v>-1.06057629196331E-3</v>
      </c>
      <c r="W5" s="2">
        <f>0.0166563238901*(1)</f>
        <v>1.6656323890100001E-2</v>
      </c>
      <c r="X5" s="2">
        <f>-0.00489152405680633*(1)</f>
        <v>-4.89152405680633E-3</v>
      </c>
      <c r="Y5" s="2">
        <f>0.0279474502383653*(1)</f>
        <v>2.7947450238365298E-2</v>
      </c>
      <c r="Z5" s="2">
        <f>0.0135127234463105*(1)</f>
        <v>1.35127234463105E-2</v>
      </c>
      <c r="AA5" s="2">
        <f>0.011180475616409*(1)</f>
        <v>1.1180475616409001E-2</v>
      </c>
      <c r="AB5" s="2">
        <f>-0.00263172376208254*(1)</f>
        <v>-2.6317237620825402E-3</v>
      </c>
      <c r="AC5" s="2">
        <f>0.0289371208748137*(1)</f>
        <v>2.8937120874813701E-2</v>
      </c>
      <c r="AD5" s="2">
        <f>0.0203375041096885*(1)</f>
        <v>2.0337504109688501E-2</v>
      </c>
      <c r="AE5" s="2">
        <f>-0.0265959623639531*(1)</f>
        <v>-2.6595962363953101E-2</v>
      </c>
      <c r="AF5" s="2">
        <f>-0.0111755856341835*(1)</f>
        <v>-1.1175585634183499E-2</v>
      </c>
      <c r="AG5" s="2">
        <f>0.012267113280411*(1)</f>
        <v>1.2267113280411E-2</v>
      </c>
      <c r="AH5" s="2">
        <f>-0.0238226687384519*(1)</f>
        <v>-2.3822668738451899E-2</v>
      </c>
      <c r="AI5" s="2">
        <f>0.000425664215445428*(1)</f>
        <v>4.2566421544542801E-4</v>
      </c>
      <c r="AJ5" s="2">
        <f>0.0012177894682812*(1)</f>
        <v>1.2177894682812E-3</v>
      </c>
      <c r="AK5" s="2">
        <f>0.0176759031507003*(1)</f>
        <v>1.7675903150700299E-2</v>
      </c>
      <c r="AL5" s="2">
        <f>0.00783730146149214*(1)</f>
        <v>7.8373014614921393E-3</v>
      </c>
      <c r="AM5" s="2">
        <f>-0.00697617128653283*(1)</f>
        <v>-6.9761712865328302E-3</v>
      </c>
      <c r="AN5" s="2">
        <f>-0.00835651282297203*(1)</f>
        <v>-8.3565128229720308E-3</v>
      </c>
      <c r="AO5" s="2">
        <f>-0.00166637810122057*(1)</f>
        <v>-1.6663781012205699E-3</v>
      </c>
      <c r="AP5" s="2">
        <f>-0.00694433285280425*(1)</f>
        <v>-6.9443328528042501E-3</v>
      </c>
      <c r="AQ5" s="2">
        <f>-0.0100040163576328*(1)</f>
        <v>-1.0004016357632799E-2</v>
      </c>
      <c r="AR5" s="2">
        <f>-0.0043472852210502*(1)</f>
        <v>-4.3472852210502001E-3</v>
      </c>
      <c r="AS5" s="2">
        <f>0.00522682737860991*(1)</f>
        <v>5.2268273786099098E-3</v>
      </c>
      <c r="AT5" s="2">
        <f>-0.0235220934685658*(1)</f>
        <v>-2.3522093468565802E-2</v>
      </c>
      <c r="AU5" s="2">
        <f>0.0184452555501353*(1)</f>
        <v>1.8445255550135299E-2</v>
      </c>
      <c r="AV5" s="2">
        <f>0.00953058420385806*(1)</f>
        <v>9.5305842038580606E-3</v>
      </c>
      <c r="AW5" s="2">
        <f>0.0129055136526362*(1)</f>
        <v>1.2905513652636201E-2</v>
      </c>
      <c r="AX5" s="2">
        <f>0.0235974505140641*(1)</f>
        <v>2.3597450514064099E-2</v>
      </c>
      <c r="AY5" s="2">
        <f>0.00893446964260557*(1)</f>
        <v>8.9344696426055699E-3</v>
      </c>
      <c r="AZ5" s="2">
        <f>-0.0113201094666704*(1)</f>
        <v>-1.13201094666704E-2</v>
      </c>
      <c r="BA5" s="2">
        <f>0.00900205215081631*(1)</f>
        <v>9.0020521508163108E-3</v>
      </c>
      <c r="BB5" s="2">
        <f>0.00479562917348888*(1)</f>
        <v>4.7956291734888804E-3</v>
      </c>
      <c r="BC5" s="2">
        <f>-0.0446664999313505*(1)</f>
        <v>-4.4666499931350502E-2</v>
      </c>
      <c r="BD5" s="2">
        <f>0.00570376071148439*(1)</f>
        <v>5.7037607114843901E-3</v>
      </c>
      <c r="BE5" s="2">
        <f>-0.0335957487774392*(1)</f>
        <v>-3.3595748777439198E-2</v>
      </c>
      <c r="BF5" s="2">
        <f>0.0231827935180327*(1)</f>
        <v>2.31827935180327E-2</v>
      </c>
      <c r="BG5" s="2">
        <f>0.0126643117079154*(1)</f>
        <v>1.2664311707915399E-2</v>
      </c>
      <c r="BH5" s="2">
        <f>-0.0112041284311102*(1)</f>
        <v>-1.12041284311102E-2</v>
      </c>
      <c r="BI5" s="2">
        <f>0.0101666494934295*(1)</f>
        <v>1.01666494934295E-2</v>
      </c>
      <c r="BJ5" s="2">
        <f>-0.0231124400004054*(1)</f>
        <v>-2.3112440000405399E-2</v>
      </c>
      <c r="BK5" s="2">
        <f>-0.0215496560908111*(1)</f>
        <v>-2.1549656090811099E-2</v>
      </c>
      <c r="BL5" s="2">
        <f>0.0217762637036666*(1)</f>
        <v>2.1776263703666601E-2</v>
      </c>
      <c r="BM5" s="2">
        <f>0.0259142351141734*(1)</f>
        <v>2.5914235114173401E-2</v>
      </c>
      <c r="BN5" s="2">
        <f>-0.0301168156769995*(1)</f>
        <v>-3.01168156769995E-2</v>
      </c>
      <c r="BO5" s="2">
        <f>0.00405851479007241*(1)</f>
        <v>4.0585147900724103E-3</v>
      </c>
      <c r="BP5" s="2">
        <f>0.00146720409174386*(1)</f>
        <v>1.4672040917438601E-3</v>
      </c>
      <c r="BQ5" s="2">
        <f>0.00292946516789832*(1)</f>
        <v>2.9294651678983198E-3</v>
      </c>
      <c r="BR5" s="2">
        <f>0.000490927381339418*(1)</f>
        <v>4.9092738133941799E-4</v>
      </c>
      <c r="BS5" s="2">
        <f>-0.0137771943282601*(1)</f>
        <v>-1.3777194328260099E-2</v>
      </c>
      <c r="BT5" s="2">
        <f>-0.0036402683401836*(1)</f>
        <v>-3.6402683401835999E-3</v>
      </c>
      <c r="BU5" s="2">
        <f>-0.0115482115682962*(1)</f>
        <v>-1.1548211568296199E-2</v>
      </c>
      <c r="BV5" s="2">
        <f>0.0000136456602608443*(1)</f>
        <v>1.36456602608443E-5</v>
      </c>
      <c r="BW5" s="2">
        <f>0.00453688608299211*(1)</f>
        <v>4.5368860829921101E-3</v>
      </c>
      <c r="BX5" s="2">
        <f>0.0024764028857455*(1)</f>
        <v>2.4764028857454999E-3</v>
      </c>
      <c r="BY5" s="2">
        <f>0.014375742881885*(1)</f>
        <v>1.4375742881884999E-2</v>
      </c>
      <c r="BZ5" s="2">
        <f>0.000952880298401894*(1)</f>
        <v>9.5288029840189404E-4</v>
      </c>
      <c r="CA5" s="2">
        <f>0.0193208345104446*(1)</f>
        <v>1.9320834510444598E-2</v>
      </c>
      <c r="CB5" s="2">
        <f>0.00452471316182288*(1)</f>
        <v>4.5247131618228803E-3</v>
      </c>
      <c r="CC5" s="2">
        <f>0.0216810344367345*(1)</f>
        <v>2.1681034436734501E-2</v>
      </c>
      <c r="CD5" s="2">
        <f>-0.00628744754594298*(1)</f>
        <v>-6.2874475459429799E-3</v>
      </c>
      <c r="CE5" s="2">
        <f>-0.0191167773253045*(1)</f>
        <v>-1.91167773253045E-2</v>
      </c>
      <c r="CF5" s="2">
        <f>-0.000699389644060068*(1)</f>
        <v>-6.99389644060068E-4</v>
      </c>
      <c r="CG5" s="2">
        <f>0.0197594647625591*(1)</f>
        <v>1.97594647625591E-2</v>
      </c>
      <c r="CH5" s="2">
        <f>-0.0221543264328715*(1)</f>
        <v>-2.2154326432871501E-2</v>
      </c>
      <c r="CI5" s="2">
        <f>0.0157473712694494*(1)</f>
        <v>1.57473712694494E-2</v>
      </c>
      <c r="CJ5" s="2">
        <f>-0.0325807843257878*(1)</f>
        <v>-3.2580784325787801E-2</v>
      </c>
      <c r="CK5" s="2">
        <f>-0.000539084097338257*(1)</f>
        <v>-5.3908409733825703E-4</v>
      </c>
      <c r="CL5" s="2">
        <f>0.0117141560307852*(1)</f>
        <v>1.1714156030785201E-2</v>
      </c>
      <c r="CM5" s="2">
        <f>0.000707057196540165*(1)</f>
        <v>7.0705719654016498E-4</v>
      </c>
      <c r="CN5" s="2">
        <f>0.0224738794413244*(1)</f>
        <v>2.2473879441324399E-2</v>
      </c>
      <c r="CO5" s="2">
        <f>-0.0100298776976241*(1)</f>
        <v>-1.00298776976241E-2</v>
      </c>
      <c r="CP5" s="2">
        <f>-0.00828100779573929*(1)</f>
        <v>-8.2810077957392904E-3</v>
      </c>
      <c r="CQ5" s="2">
        <f>-0.0177635856295143*(1)</f>
        <v>-1.77635856295143E-2</v>
      </c>
      <c r="CR5" s="2">
        <f>-0.0173220500634179*(1)</f>
        <v>-1.7322050063417901E-2</v>
      </c>
      <c r="CS5" s="2">
        <f>-0.00260903965754662*(1)</f>
        <v>-2.6090396575466201E-3</v>
      </c>
      <c r="CT5" s="2">
        <f>0.0036947509137386*(1)</f>
        <v>3.6947509137386001E-3</v>
      </c>
      <c r="CU5" s="2">
        <f>0.0144654420611444*(1)</f>
        <v>1.4465442061144401E-2</v>
      </c>
      <c r="CV5" s="2">
        <f>0.0146748488966353*(1)</f>
        <v>1.46748488966353E-2</v>
      </c>
      <c r="CW5" s="2">
        <f>-0.00969475881249174*(1)</f>
        <v>-9.6947588124917401E-3</v>
      </c>
      <c r="CX5" s="2">
        <f>0.0000914830070367293*(1)</f>
        <v>9.1483007036729304E-5</v>
      </c>
      <c r="CY5" s="2">
        <f>0.0122460258323493*(1)</f>
        <v>1.22460258323493E-2</v>
      </c>
      <c r="CZ5" s="2">
        <f>-0.029942570840166*(1)</f>
        <v>-2.9942570840166001E-2</v>
      </c>
      <c r="DA5" s="2">
        <f>0.00771954242324495*(1)</f>
        <v>7.7195424232449497E-3</v>
      </c>
      <c r="DB5" s="2">
        <f>-0.06573875788825*(1)</f>
        <v>-6.5738757888249996E-2</v>
      </c>
      <c r="DC5" s="2">
        <f>-0.0145829128867554*(1)</f>
        <v>-1.45829128867554E-2</v>
      </c>
      <c r="DD5" s="2">
        <f>0.0364435542330308*(1)</f>
        <v>3.6443554233030799E-2</v>
      </c>
      <c r="DE5" s="2">
        <f>0.00325536741458422*(1)</f>
        <v>3.2553674145842201E-3</v>
      </c>
      <c r="DF5" s="2">
        <f>-0.0278144803650742*(1)</f>
        <v>-2.7814480365074199E-2</v>
      </c>
      <c r="DG5" s="2">
        <f>-0.0389281999561662*(1)</f>
        <v>-3.8928199956166198E-2</v>
      </c>
      <c r="DH5" s="2">
        <f>0.0284096418425696*(1)</f>
        <v>2.84096418425696E-2</v>
      </c>
      <c r="DI5" s="2">
        <f>0.0385250755386023*(1)</f>
        <v>3.8525075538602301E-2</v>
      </c>
      <c r="DJ5" s="2">
        <f>-0.0177366840719379*(1)</f>
        <v>-1.7736684071937899E-2</v>
      </c>
      <c r="DK5" s="2">
        <f>-0.0203798959654659*(1)</f>
        <v>-2.03798959654659E-2</v>
      </c>
      <c r="DL5" s="2">
        <f>0.00244284207676467*(1)</f>
        <v>2.4428420767646699E-3</v>
      </c>
      <c r="DM5" s="2">
        <f>0.017291862043041*(1)</f>
        <v>1.7291862043040999E-2</v>
      </c>
      <c r="DN5" s="2">
        <f>0.0158720925291677*(1)</f>
        <v>1.58720925291677E-2</v>
      </c>
      <c r="DO5" s="2">
        <f>0.00878926235392229*(1)</f>
        <v>8.7892623539222899E-3</v>
      </c>
      <c r="DP5" s="2">
        <f>0.0107209330018549*(1)</f>
        <v>1.07209330018549E-2</v>
      </c>
      <c r="DQ5" s="2">
        <f>-0.0160869921577702*(1)</f>
        <v>-1.6086992157770201E-2</v>
      </c>
      <c r="DR5" s="2">
        <f>-0.0264967417266559*(1)</f>
        <v>-2.6496741726655899E-2</v>
      </c>
      <c r="DS5" s="2">
        <f>-0.00550731904156432*(1)</f>
        <v>-5.5073190415643198E-3</v>
      </c>
      <c r="DT5" s="2">
        <f>-0.00163966554849229*(1)</f>
        <v>-1.63966554849229E-3</v>
      </c>
      <c r="DU5" s="2">
        <f>0.000237466633787886*(1)</f>
        <v>2.37466633787886E-4</v>
      </c>
      <c r="DV5" s="2">
        <f>0.00232559984108241*(1)</f>
        <v>2.3255998410824101E-3</v>
      </c>
      <c r="DW5" s="2">
        <f>0.00588779284959383*(1)</f>
        <v>5.8877928495938304E-3</v>
      </c>
      <c r="DX5" s="2">
        <f>-0.00438930912836719*(1)</f>
        <v>-4.3893091283671902E-3</v>
      </c>
      <c r="DY5" s="2">
        <f>0.0284780916838832*(1)</f>
        <v>2.8478091683883201E-2</v>
      </c>
      <c r="DZ5" s="2">
        <f>-0.0000299210607830455*(1)</f>
        <v>-2.9921060783045501E-5</v>
      </c>
      <c r="EA5" s="2">
        <f>-0.0136235665857222*(1)</f>
        <v>-1.36235665857222E-2</v>
      </c>
      <c r="EB5" s="2">
        <f>0.00310939647877629*(1)</f>
        <v>3.1093964787762898E-3</v>
      </c>
      <c r="EC5" s="2">
        <f>0.036498234582764*(1)</f>
        <v>3.6498234582764001E-2</v>
      </c>
      <c r="ED5" s="2">
        <f>-0.00506169645695369*(1)</f>
        <v>-5.0616964569536902E-3</v>
      </c>
      <c r="EE5" s="2">
        <f>0.0145554917757652*(1)</f>
        <v>1.4555491775765201E-2</v>
      </c>
      <c r="EF5" s="2">
        <f>0.00464061048930743*(1)</f>
        <v>4.6406104893074304E-3</v>
      </c>
      <c r="EG5" s="2">
        <f>-0.00801668397091979*(1)</f>
        <v>-8.0166839709197892E-3</v>
      </c>
      <c r="EH5" s="2">
        <f>-0.0162366867712437*(1)</f>
        <v>-1.6236686771243701E-2</v>
      </c>
      <c r="EI5" s="2">
        <f>-0.00754743532207733*(1)</f>
        <v>-7.54743532207733E-3</v>
      </c>
      <c r="EJ5" s="2">
        <f>-0.0293392057377246*(1)</f>
        <v>-2.93392057377246E-2</v>
      </c>
      <c r="EK5" s="2">
        <f>0.00980820936878406*(1)</f>
        <v>9.8082093687840606E-3</v>
      </c>
      <c r="EL5" s="2">
        <f>-0.00689536992638694*(1)</f>
        <v>-6.8953699263869404E-3</v>
      </c>
      <c r="EM5" s="2">
        <f>0.0169002135565428*(1)</f>
        <v>1.6900213556542799E-2</v>
      </c>
      <c r="EN5" s="2">
        <f>0.0250835464026256*(1)</f>
        <v>2.5083546402625601E-2</v>
      </c>
      <c r="EO5" s="2">
        <f>0.00410309348506687*(1)</f>
        <v>4.1030934850668698E-3</v>
      </c>
      <c r="EP5" s="2">
        <f>0.0060215077682748*(1)</f>
        <v>6.0215077682748003E-3</v>
      </c>
      <c r="EQ5" s="2">
        <f>0.00044225711907431*(1)</f>
        <v>4.4225711907430997E-4</v>
      </c>
      <c r="ER5" s="2">
        <f>0.0195632837119058*(1)</f>
        <v>1.9563283711905799E-2</v>
      </c>
      <c r="ES5" s="2">
        <f>-0.000497948414613116*(1)</f>
        <v>-4.9794841461311599E-4</v>
      </c>
      <c r="ET5" s="2">
        <f>-0.00383662567822821*(1)</f>
        <v>-3.8366256782282099E-3</v>
      </c>
      <c r="EU5" s="2">
        <f>-0.0260056643800731*(1)</f>
        <v>-2.6005664380073099E-2</v>
      </c>
      <c r="EV5" s="2">
        <f>-0.0109612362244847*(1)</f>
        <v>-1.0961236224484701E-2</v>
      </c>
      <c r="EW5" s="2">
        <f>-0.00198181859794031*(1)</f>
        <v>-1.9818185979403099E-3</v>
      </c>
      <c r="EX5" s="2">
        <f>-0.0140651334503835*(1)</f>
        <v>-1.40651334503835E-2</v>
      </c>
      <c r="EY5" s="2">
        <f>-0.0157551045726601*(1)</f>
        <v>-1.5755104572660099E-2</v>
      </c>
      <c r="EZ5" s="2">
        <f>0.0109056003498787*(1)</f>
        <v>1.09056003498787E-2</v>
      </c>
      <c r="FA5" s="2">
        <f>-0.00125744182158974*(1)</f>
        <v>-1.25744182158974E-3</v>
      </c>
      <c r="FB5" s="2">
        <f>-0.00833502879481877*(1)</f>
        <v>-8.3350287948187694E-3</v>
      </c>
      <c r="FC5" s="2">
        <f>0.0116136952014761*(1)</f>
        <v>1.16136952014761E-2</v>
      </c>
      <c r="FD5" s="2">
        <f>0.00950688689813978*(1)</f>
        <v>9.5068868981397804E-3</v>
      </c>
      <c r="FE5" s="2">
        <f>-0.0033855788144117*(1)</f>
        <v>-3.3855788144117002E-3</v>
      </c>
      <c r="FF5" s="2">
        <f>0.0222105453481909*(1)</f>
        <v>2.2210545348190901E-2</v>
      </c>
      <c r="FG5" s="2">
        <f>-0.00468053567606421*(1)</f>
        <v>-4.6805356760642102E-3</v>
      </c>
      <c r="FH5" s="2">
        <f>0.0157567331395066*(1)</f>
        <v>1.5756733139506599E-2</v>
      </c>
      <c r="FI5" s="2">
        <f>0.00621748361428784*(1)</f>
        <v>6.2174836142878404E-3</v>
      </c>
      <c r="FJ5" s="2">
        <f>-0.00161713505903287*(1)</f>
        <v>-1.61713505903287E-3</v>
      </c>
      <c r="FK5" s="2">
        <f>-0.0182771200467695*(1)</f>
        <v>-1.8277120046769499E-2</v>
      </c>
      <c r="FL5" s="2">
        <f>0.00286063023642261*(1)</f>
        <v>2.8606302364226101E-3</v>
      </c>
      <c r="FM5" s="2">
        <f>-0.0172138489173608*(1)</f>
        <v>-1.7213848917360799E-2</v>
      </c>
      <c r="FN5" s="2">
        <f>-0.0280169131745073*(1)</f>
        <v>-2.8016913174507298E-2</v>
      </c>
      <c r="FO5" s="2">
        <f>-0.0289310854427004*(1)</f>
        <v>-2.8931085442700399E-2</v>
      </c>
      <c r="FP5" s="2">
        <f>0.00985284808561096*(1)</f>
        <v>9.8528480856109601E-3</v>
      </c>
      <c r="FQ5" s="2">
        <f>0.012489455918858*(1)</f>
        <v>1.2489455918858E-2</v>
      </c>
      <c r="FR5" s="2">
        <f>-0.032471500297215*(1)</f>
        <v>-3.2471500297215003E-2</v>
      </c>
      <c r="FS5" s="2">
        <f>-0.000644509663943319*(1)</f>
        <v>-6.4450966394331898E-4</v>
      </c>
      <c r="FT5" s="2">
        <f>0.0118179848499217*(1)</f>
        <v>1.1817984849921701E-2</v>
      </c>
      <c r="FU5" s="2">
        <f>0.0237147569718044*(1)</f>
        <v>2.3714756971804401E-2</v>
      </c>
      <c r="FV5" s="2">
        <f>0.00796872570032952*(1)</f>
        <v>7.9687257003295195E-3</v>
      </c>
      <c r="FW5" s="2">
        <f>0.00472533004769605*(1)</f>
        <v>4.72533004769605E-3</v>
      </c>
      <c r="FX5" s="2">
        <f>0.00126210958057967*(1)</f>
        <v>1.26210958057967E-3</v>
      </c>
      <c r="FY5" s="2">
        <f>-0.00418993558711548*(1)</f>
        <v>-4.18993558711548E-3</v>
      </c>
      <c r="FZ5" s="2">
        <f>0.008500386041917*(1)</f>
        <v>8.5003860419169998E-3</v>
      </c>
      <c r="GA5" s="2">
        <f>0.0412885038332509*(1)</f>
        <v>4.1288503833250903E-2</v>
      </c>
      <c r="GB5" s="2">
        <f>-0.0204431101261983*(1)</f>
        <v>-2.0443110126198299E-2</v>
      </c>
      <c r="GC5" s="2">
        <f>0.0092241981080399*(1)</f>
        <v>9.2241981080398994E-3</v>
      </c>
      <c r="GD5" s="2">
        <f>0.00846526742983049*(1)</f>
        <v>8.4652674298304892E-3</v>
      </c>
      <c r="GE5" s="2">
        <f>-0.0280768717731908*(1)</f>
        <v>-2.8076871773190799E-2</v>
      </c>
      <c r="GF5" s="2">
        <f>-0.0010128952367594*(1)</f>
        <v>-1.0128952367594E-3</v>
      </c>
      <c r="GG5" s="2">
        <f>-0.0257136596658287*(1)</f>
        <v>-2.5713659665828701E-2</v>
      </c>
      <c r="GH5" s="2">
        <f>-0.0141812544606659*(1)</f>
        <v>-1.41812544606659E-2</v>
      </c>
      <c r="GI5" s="2">
        <f>-0.0873961643405941*(1)</f>
        <v>-8.7396164340594107E-2</v>
      </c>
      <c r="GJ5" s="2">
        <f>0.0111990075838925*(1)</f>
        <v>1.1199007583892501E-2</v>
      </c>
      <c r="GK5" s="2">
        <f>0.032387619655882*(1)</f>
        <v>3.2387619655882001E-2</v>
      </c>
      <c r="GL5" s="2">
        <f>0.0054880872275779*(1)</f>
        <v>5.4880872275779001E-3</v>
      </c>
      <c r="GM5" s="2">
        <f>-0.0186288050933737*(1)</f>
        <v>-1.8628805093373699E-2</v>
      </c>
      <c r="GN5" s="2">
        <f>-0.0028239619552517*(1)</f>
        <v>-2.8239619552517001E-3</v>
      </c>
      <c r="GO5" s="2">
        <f>-0.0123212747452088*(1)</f>
        <v>-1.2321274745208799E-2</v>
      </c>
      <c r="GP5" s="2">
        <f>0.000931384375727657*(1)</f>
        <v>9.3138437572765705E-4</v>
      </c>
      <c r="GQ5" s="2">
        <f>0.000601495329417222*(1)</f>
        <v>6.0149532941722198E-4</v>
      </c>
      <c r="GR5" s="2">
        <f>0.000265268548133196*(1)</f>
        <v>2.6526854813319599E-4</v>
      </c>
      <c r="GS5" s="2">
        <f>-0.0141469173726329*(1)</f>
        <v>-1.41469173726329E-2</v>
      </c>
      <c r="GT5" s="2">
        <f>-0.00018844847618627*(1)</f>
        <v>-1.8844847618626999E-4</v>
      </c>
      <c r="GU5" s="2">
        <f>0.00337156109243425*(1)</f>
        <v>3.3715610924342498E-3</v>
      </c>
      <c r="GV5" s="2">
        <f>-0.012305780180482*(1)</f>
        <v>-1.2305780180482E-2</v>
      </c>
      <c r="GW5" s="2">
        <f>-0.000447880732262746*(1)</f>
        <v>-4.4788073226274599E-4</v>
      </c>
      <c r="GX5" s="2">
        <f>-0.00249792079291787*(1)</f>
        <v>-2.4979207929178701E-3</v>
      </c>
      <c r="GY5" s="2">
        <f>0.012639878488344*(1)</f>
        <v>1.2639878488343999E-2</v>
      </c>
      <c r="GZ5" s="2">
        <f>-0.0194949714845921*(1)</f>
        <v>-1.9494971484592099E-2</v>
      </c>
      <c r="HA5" s="2">
        <f>0.0102607316865678*(1)</f>
        <v>1.02607316865678E-2</v>
      </c>
      <c r="HB5" s="2">
        <f>0.0407116793604132*(1)</f>
        <v>4.07116793604132E-2</v>
      </c>
      <c r="HC5" s="2">
        <f>0.00127313225970243*(1)</f>
        <v>1.2731322597024301E-3</v>
      </c>
      <c r="HD5" s="2">
        <f>-0.015045772412841*(1)</f>
        <v>-1.5045772412841E-2</v>
      </c>
      <c r="HE5" s="2">
        <f>-0.00385381057430129*(1)</f>
        <v>-3.8538105743012902E-3</v>
      </c>
      <c r="HF5" s="2">
        <f>-0.00739126099730621*(1)</f>
        <v>-7.39126099730621E-3</v>
      </c>
      <c r="HG5" s="2">
        <f>-0.0155060965299266*(1)</f>
        <v>-1.55060965299266E-2</v>
      </c>
      <c r="HH5" s="2">
        <f>-0.0152144727450277*(1)</f>
        <v>-1.5214472745027701E-2</v>
      </c>
      <c r="HI5" s="2">
        <f>-0.0016606023483742*(1)</f>
        <v>-1.6606023483742001E-3</v>
      </c>
      <c r="HJ5" s="2">
        <f>0.00745396198652868*(1)</f>
        <v>7.4539619865286802E-3</v>
      </c>
      <c r="HK5" s="2">
        <f>-0.0178753972441663*(1)</f>
        <v>-1.7875397244166299E-2</v>
      </c>
      <c r="HL5" s="2">
        <f>-0.0140705894574627*(1)</f>
        <v>-1.4070589457462699E-2</v>
      </c>
      <c r="HM5" s="2">
        <f>-0.00438142688893629*(1)</f>
        <v>-4.3814268889362899E-3</v>
      </c>
      <c r="HN5" s="2">
        <f>0.0404185212229333*(1)</f>
        <v>4.0418521222933303E-2</v>
      </c>
      <c r="HO5" s="2">
        <f>-0.0298182055968373*(1)</f>
        <v>-2.9818205596837299E-2</v>
      </c>
      <c r="HP5" s="2">
        <f>-0.00967204916726423*(1)</f>
        <v>-9.6720491672642305E-3</v>
      </c>
      <c r="HQ5" s="2">
        <f>0.015602693546955*(1)</f>
        <v>1.5602693546954999E-2</v>
      </c>
      <c r="HR5" s="2">
        <f>-0.0291787756222667*(1)</f>
        <v>-2.9178775622266701E-2</v>
      </c>
      <c r="HS5" s="2">
        <f>-0.029442810347812*(1)</f>
        <v>-2.9442810347812001E-2</v>
      </c>
      <c r="HT5" s="2">
        <f>-0.000849723637818293*(1)</f>
        <v>-8.4972363781829301E-4</v>
      </c>
      <c r="HU5" s="2">
        <f>-0.0169874573692883*(1)</f>
        <v>-1.6987457369288299E-2</v>
      </c>
      <c r="HV5" s="2">
        <f>-0.0281914994337974*(1)</f>
        <v>-2.8191499433797399E-2</v>
      </c>
      <c r="HW5" s="2">
        <f>-0.00238353220219873*(1)</f>
        <v>-2.3835322021987298E-3</v>
      </c>
      <c r="HX5" s="2">
        <f>-0.00146891253655102*(1)</f>
        <v>-1.4689125365510199E-3</v>
      </c>
      <c r="HY5" s="2">
        <f>-0.00816292973779109*(1)</f>
        <v>-8.1629297377910897E-3</v>
      </c>
      <c r="HZ5" s="2">
        <f>-0.0507659060606559*(1)</f>
        <v>-5.0765906060655903E-2</v>
      </c>
      <c r="IA5" s="2">
        <f>-0.0665549552240697*(1)</f>
        <v>-6.6554955224069706E-2</v>
      </c>
      <c r="IB5" s="2">
        <f>-0.0336256328127972*(1)</f>
        <v>-3.36256328127972E-2</v>
      </c>
      <c r="IC5" s="2">
        <f>-0.00980739444180017*(1)</f>
        <v>-9.8073944418001699E-3</v>
      </c>
      <c r="ID5" s="2">
        <f>0.0240312369796769*(1)</f>
        <v>2.40312369796769E-2</v>
      </c>
      <c r="IE5" s="2">
        <f>0.0290436502563043*(1)</f>
        <v>2.9043650256304301E-2</v>
      </c>
      <c r="IF5" s="2">
        <f>0.0191562881122617*(1)</f>
        <v>1.91562881122617E-2</v>
      </c>
      <c r="IG5" s="2">
        <f>0.0103702669679126*(1)</f>
        <v>1.03702669679126E-2</v>
      </c>
      <c r="IH5" s="2">
        <f>-0.0175694928905159*(1)</f>
        <v>-1.75694928905159E-2</v>
      </c>
      <c r="II5" s="2">
        <f>-0.023557198586352*(1)</f>
        <v>-2.3557198586352E-2</v>
      </c>
      <c r="IJ5" s="2">
        <f>0.00567410984145003*(1)</f>
        <v>5.6741098414500304E-3</v>
      </c>
      <c r="IK5" s="2">
        <f>-0.0322765435654746*(1)</f>
        <v>-3.2276543565474602E-2</v>
      </c>
      <c r="IL5" s="2">
        <f>-0.0499012132528796*(1)</f>
        <v>-4.9901213252879599E-2</v>
      </c>
      <c r="IM5" s="2">
        <f>-0.0242606759456516*(1)</f>
        <v>-2.4260675945651601E-2</v>
      </c>
      <c r="IN5" s="2">
        <f>0.000129571659036422*(1)</f>
        <v>1.2957165903642199E-4</v>
      </c>
      <c r="IO5" s="2">
        <f>0.0857989308325512*(1)</f>
        <v>8.5798930832551204E-2</v>
      </c>
      <c r="IP5" s="2">
        <f>-0.00885942094551218*(1)</f>
        <v>-8.8594209455121805E-3</v>
      </c>
      <c r="IQ5" s="2">
        <f>0.0350433976271909*(1)</f>
        <v>3.50433976271909E-2</v>
      </c>
      <c r="IR5" s="2">
        <f>-0.019219409935574*(1)</f>
        <v>-1.9219409935574E-2</v>
      </c>
      <c r="IS5" s="2">
        <f>-0.0159226174098139*(1)</f>
        <v>-1.5922617409813902E-2</v>
      </c>
      <c r="IT5" s="2">
        <f>0.00565582238768064*(1)</f>
        <v>5.6558223876806398E-3</v>
      </c>
      <c r="IU5" s="2">
        <f>0.0409379303727029*(1)</f>
        <v>4.0937930372702901E-2</v>
      </c>
      <c r="IV5" s="2">
        <f>0.00822217309983594*(1)</f>
        <v>8.2221730998359392E-3</v>
      </c>
      <c r="IW5" s="2">
        <f>-0.040717310025968*(1)</f>
        <v>-4.0717310025967998E-2</v>
      </c>
      <c r="IX5" s="2">
        <f>-0.0160720296334265*(1)</f>
        <v>-1.60720296334265E-2</v>
      </c>
      <c r="IY5" s="2">
        <f>-0.0558692277188385*(1)</f>
        <v>-5.5869227718838503E-2</v>
      </c>
      <c r="IZ5" s="2">
        <f>-0.0179379690404963*(1)</f>
        <v>-1.7937969040496299E-2</v>
      </c>
      <c r="JA5" s="2">
        <f>0.00722465525960397*(1)</f>
        <v>7.2246552596039702E-3</v>
      </c>
      <c r="JB5" s="2">
        <f>-0.0524355974469211*(1)</f>
        <v>-5.2435597446921098E-2</v>
      </c>
      <c r="JC5" s="2">
        <f>0.0205270629607599*(1)</f>
        <v>2.0527062960759901E-2</v>
      </c>
      <c r="JD5" s="2">
        <f>-0.0327327618618446*(1)</f>
        <v>-3.2732761861844602E-2</v>
      </c>
      <c r="JE5" s="2">
        <f>-0.0321850484118137*(1)</f>
        <v>-3.2185048411813702E-2</v>
      </c>
      <c r="JF5" s="2">
        <f>-0.0860563717728385*(1)</f>
        <v>-8.6056371772838494E-2</v>
      </c>
      <c r="JG5" s="2">
        <f>0.0111289934016732*(1)</f>
        <v>1.11289934016732E-2</v>
      </c>
      <c r="JH5" s="2">
        <f>-0.0228378991833065*(1)</f>
        <v>-2.28378991833065E-2</v>
      </c>
      <c r="JI5" s="2">
        <f>0.0785611245056586*(1)</f>
        <v>7.8561124505658594E-2</v>
      </c>
      <c r="JJ5" s="2">
        <f>-0.0611926281227294*(1)</f>
        <v>-6.1192628122729402E-2</v>
      </c>
      <c r="JK5" s="2">
        <f>-0.0700210406448368*(1)</f>
        <v>-7.0021040644836802E-2</v>
      </c>
      <c r="JL5" s="2">
        <f>-0.0413331742143443*(1)</f>
        <v>-4.13331742143443E-2</v>
      </c>
      <c r="JM5" s="2">
        <f>0.109995881120454*(1)</f>
        <v>0.109995881120454</v>
      </c>
      <c r="JN5" s="2">
        <f>-0.0643679328321556*(1)</f>
        <v>-6.4367932832155597E-2</v>
      </c>
      <c r="JO5" s="2">
        <f>-0.0039588707927821*(1)</f>
        <v>-3.9588707927821001E-3</v>
      </c>
      <c r="JP5" s="2">
        <f>-0.053265031692346*(1)</f>
        <v>-5.3265031692345997E-2</v>
      </c>
      <c r="JQ5" s="2">
        <f>0.0263191117487025*(1)</f>
        <v>2.6319111748702499E-2</v>
      </c>
      <c r="JR5" s="2">
        <f>-0.0861483339901793*(1)</f>
        <v>-8.6148333990179293E-2</v>
      </c>
      <c r="JS5" s="2">
        <f>-0.0181233832699089*(1)</f>
        <v>-1.8123383269908901E-2</v>
      </c>
      <c r="JT5" s="2">
        <f>0.00508201572288061*(1)</f>
        <v>5.08201572288061E-3</v>
      </c>
      <c r="JU5" s="2">
        <f>-0.0398324453317935*(1)</f>
        <v>-3.9832445331793503E-2</v>
      </c>
      <c r="JV5" s="2">
        <f>-0.0657191694867453*(1)</f>
        <v>-6.5719169486745305E-2</v>
      </c>
      <c r="JW5" s="2">
        <f>-0.0319314937082043*(1)</f>
        <v>-3.1931493708204299E-2</v>
      </c>
      <c r="JX5" s="2">
        <f>0.0190162296420915*(1)</f>
        <v>1.9016229642091501E-2</v>
      </c>
      <c r="JY5" s="2">
        <f>0.0276611955528019*(1)</f>
        <v>2.7661195552801901E-2</v>
      </c>
      <c r="JZ5" s="2">
        <f>-0.123316237861487*(1)</f>
        <v>-0.123316237861487</v>
      </c>
      <c r="KA5" s="2">
        <f>-0.0474901693601858*(1)</f>
        <v>-4.7490169360185797E-2</v>
      </c>
      <c r="KB5" s="2">
        <f>0.0774177159183286*(1)</f>
        <v>7.7417715918328606E-2</v>
      </c>
      <c r="KC5" s="2">
        <f>0.0466014659921449*(1)</f>
        <v>4.6601465992144903E-2</v>
      </c>
      <c r="KD5" s="2">
        <f>0.1205368584512*(1)</f>
        <v>0.1205368584512</v>
      </c>
      <c r="KE5" s="2">
        <f>-0.0446261689647425*(1)</f>
        <v>-4.4626168964742502E-2</v>
      </c>
      <c r="KF5" s="2">
        <f>0.104588081157864*(1)</f>
        <v>0.104588081157864</v>
      </c>
      <c r="KG5" s="2">
        <f>0.0242737557699139*(1)</f>
        <v>2.4273755769913901E-2</v>
      </c>
      <c r="KH5" s="2">
        <f>0.0494723033139214*(1)</f>
        <v>4.9472303313921398E-2</v>
      </c>
      <c r="KI5" s="2">
        <f>0.0432134684076407*(1)</f>
        <v>4.3213468407640697E-2</v>
      </c>
      <c r="KJ5" s="2">
        <f>-0.0319013582880289*(1)</f>
        <v>-3.1901358288028897E-2</v>
      </c>
      <c r="KK5" s="2">
        <f>-0.0262071493290446*(1)</f>
        <v>-2.62071493290446E-2</v>
      </c>
      <c r="KL5" s="2">
        <f>0.0107072715387456*(1)</f>
        <v>1.0707271538745599E-2</v>
      </c>
      <c r="KM5" s="2">
        <f>-0.016845062969798*(1)</f>
        <v>-1.6845062969798E-2</v>
      </c>
      <c r="KN5" s="2">
        <f>0.0688297322682459*(1)</f>
        <v>6.8829732268245902E-2</v>
      </c>
      <c r="KO5" s="2">
        <f>0.0956066401506693*(1)</f>
        <v>9.5606640150669303E-2</v>
      </c>
      <c r="KP5" s="2">
        <f>-0.0176350750283838*(1)</f>
        <v>-1.7635075028383799E-2</v>
      </c>
      <c r="KQ5" s="2">
        <f>-0.061687936232299*(1)</f>
        <v>-6.1687936232298998E-2</v>
      </c>
      <c r="KR5" s="2">
        <f>-0.0551668353339298*(1)</f>
        <v>-5.5166835333929798E-2</v>
      </c>
      <c r="KS5" s="2">
        <f>0.0221078378066554*(1)</f>
        <v>2.21078378066554E-2</v>
      </c>
      <c r="KT5" s="2">
        <f>-0.00598558054717769*(1)</f>
        <v>-5.9855805471776902E-3</v>
      </c>
      <c r="KU5" s="2">
        <f>-0.0640597031886305*(1)</f>
        <v>-6.4059703188630496E-2</v>
      </c>
      <c r="KV5" s="2">
        <f>0.0355776182568879*(1)</f>
        <v>3.5577618256887898E-2</v>
      </c>
      <c r="KW5" s="2">
        <f>0.0340596933674289*(1)</f>
        <v>3.4059693367428902E-2</v>
      </c>
      <c r="KX5" s="2">
        <f>-0.0216251047490155*(1)</f>
        <v>-2.1625104749015502E-2</v>
      </c>
      <c r="KY5" s="2">
        <f>0.0275169263184298*(1)</f>
        <v>2.75169263184298E-2</v>
      </c>
      <c r="KZ5" s="2">
        <f>0.0151304230395424*(1)</f>
        <v>1.5130423039542399E-2</v>
      </c>
      <c r="LA5" s="2">
        <f>0.0684158144805391*(1)</f>
        <v>6.84158144805391E-2</v>
      </c>
      <c r="LB5" s="2">
        <f>-0.0308293203833417*(1)</f>
        <v>-3.0829320383341699E-2</v>
      </c>
      <c r="LC5" s="2">
        <f>-0.00758859445025799*(1)</f>
        <v>-7.5885944502579903E-3</v>
      </c>
      <c r="LD5" s="2">
        <f>0.00678423905909238*(1)</f>
        <v>6.7842390590923804E-3</v>
      </c>
      <c r="LE5" s="2">
        <f>-0.0137344931190523*(1)</f>
        <v>-1.37344931190523E-2</v>
      </c>
      <c r="LF5" s="2">
        <f>0.0178640227549476*(1)</f>
        <v>1.7864022754947601E-2</v>
      </c>
      <c r="LG5" s="2">
        <f>0.0166291070576028*(1)</f>
        <v>1.6629107057602802E-2</v>
      </c>
      <c r="LH5" s="2">
        <f>0.00164355421476194*(1)</f>
        <v>1.64355421476194E-3</v>
      </c>
      <c r="LI5" s="2">
        <f>0.0271301242385231*(1)</f>
        <v>2.7130124238523099E-2</v>
      </c>
      <c r="LJ5" s="2">
        <f>-0.00100072626134154*(1)</f>
        <v>-1.0007262613415399E-3</v>
      </c>
      <c r="LK5" s="2">
        <f>0.0105948088522408*(1)</f>
        <v>1.0594808852240799E-2</v>
      </c>
      <c r="LL5" s="2">
        <f>0.0383601477817569*(1)</f>
        <v>3.8360147781756899E-2</v>
      </c>
      <c r="LM5" s="2">
        <f>0.066314112534425*(1)</f>
        <v>6.6314112534424999E-2</v>
      </c>
      <c r="LN5" s="2">
        <f>0.0208104111336681*(1)</f>
        <v>2.0810411133668098E-2</v>
      </c>
      <c r="LO5" s="2">
        <f>0.001888829470382*(1)</f>
        <v>1.8888294703819999E-3</v>
      </c>
      <c r="LP5" s="2">
        <f>0.038662303303441*(1)</f>
        <v>3.8662303303440997E-2</v>
      </c>
      <c r="LQ5" s="2">
        <f>0.000595351991284035*(1)</f>
        <v>5.9535199128403504E-4</v>
      </c>
      <c r="LR5" s="2">
        <f>0.1513308203718*(1)</f>
        <v>0.15133082037180001</v>
      </c>
      <c r="LS5" s="2">
        <f>-0.040596215148115*(1)</f>
        <v>-4.0596215148114997E-2</v>
      </c>
      <c r="LT5" s="2">
        <f>0.0776283926050232*(1)</f>
        <v>7.7628392605023203E-2</v>
      </c>
      <c r="LU5" s="2">
        <f>-0.0444217627023365*(1)</f>
        <v>-4.4421762702336498E-2</v>
      </c>
      <c r="LV5" s="2">
        <f>0.0369952561834117*(1)</f>
        <v>3.69952561834117E-2</v>
      </c>
      <c r="LW5" s="2">
        <f>-0.0107967337978395*(1)</f>
        <v>-1.07967337978395E-2</v>
      </c>
      <c r="LX5" s="2">
        <f>-0.0254317350954154*(1)</f>
        <v>-2.5431735095415402E-2</v>
      </c>
      <c r="LY5" s="2">
        <f>-0.0327356681287022*(1)</f>
        <v>-3.2735668128702197E-2</v>
      </c>
      <c r="LZ5" s="2">
        <f>-0.00608383981747132*(1)</f>
        <v>-6.0838398174713204E-3</v>
      </c>
      <c r="MA5" s="2">
        <f>0.0410280555358603*(1)</f>
        <v>4.1028055535860301E-2</v>
      </c>
      <c r="MB5" s="2">
        <f>-0.0144980575659651*(1)</f>
        <v>-1.4498057565965099E-2</v>
      </c>
      <c r="MC5" s="2">
        <f>0.0719320548752904*(1)</f>
        <v>7.1932054875290405E-2</v>
      </c>
      <c r="MD5" s="2">
        <f>-0.0351041707247403*(1)</f>
        <v>-3.51041707247403E-2</v>
      </c>
      <c r="ME5" s="2">
        <f>0.00636753982880553*(1)</f>
        <v>6.3675398288055296E-3</v>
      </c>
      <c r="MF5" s="2">
        <f>-0.0103460708964437*(1)</f>
        <v>-1.0346070896443699E-2</v>
      </c>
      <c r="MG5" s="2">
        <f>-0.0200365804182*(1)</f>
        <v>-2.0036580418200001E-2</v>
      </c>
      <c r="MH5" s="2">
        <f>0.0551530067957521*(1)</f>
        <v>5.5153006795752101E-2</v>
      </c>
      <c r="MI5" s="2">
        <f>-0.0116241475483014*(1)</f>
        <v>-1.16241475483014E-2</v>
      </c>
      <c r="MJ5" s="2">
        <f>0.030974982218391*(1)</f>
        <v>3.0974982218391001E-2</v>
      </c>
      <c r="MK5" s="2">
        <f>-0.0418686186749445*(1)</f>
        <v>-4.1868618674944499E-2</v>
      </c>
      <c r="ML5" s="2">
        <f>0.0176394437448415*(1)</f>
        <v>1.7639443744841499E-2</v>
      </c>
      <c r="MM5" s="2">
        <f>0.0022801892907216*(1)</f>
        <v>2.2801892907216002E-3</v>
      </c>
      <c r="MN5" s="2">
        <f>-0.063475874266463*(1)</f>
        <v>-6.3475874266463006E-2</v>
      </c>
      <c r="MO5" s="2">
        <f>0.0118573191207354*(1)</f>
        <v>1.1857319120735401E-2</v>
      </c>
      <c r="MP5" s="2">
        <f>0.00824965568242775*(1)</f>
        <v>8.2496556824277496E-3</v>
      </c>
      <c r="MQ5" s="2">
        <f>-0.0516962119803603*(1)</f>
        <v>-5.1696211980360299E-2</v>
      </c>
      <c r="MR5" s="2">
        <f>-0.00384097238704103*(1)</f>
        <v>-3.8409723870410301E-3</v>
      </c>
      <c r="MS5" s="2">
        <f>0.0197894001759327*(1)</f>
        <v>1.9789400175932701E-2</v>
      </c>
      <c r="MT5" s="2">
        <f>-0.0188740833483427*(1)</f>
        <v>-1.8874083348342698E-2</v>
      </c>
      <c r="MU5" s="2">
        <f>-0.0114035775463807*(1)</f>
        <v>-1.1403577546380699E-2</v>
      </c>
      <c r="MV5" s="2">
        <f>0.0275213297041164*(1)</f>
        <v>2.7521329704116401E-2</v>
      </c>
      <c r="MW5" s="2">
        <f>-0.0290334860035802*(1)</f>
        <v>-2.9033486003580199E-2</v>
      </c>
      <c r="MX5" s="2">
        <f>-0.00910570427479632*(1)</f>
        <v>-9.1057042747963203E-3</v>
      </c>
      <c r="MY5" s="2">
        <f>0.0849632737763787*(1)</f>
        <v>8.4963273776378703E-2</v>
      </c>
      <c r="MZ5" s="2">
        <f>0.0211828912560139*(1)</f>
        <v>2.11828912560139E-2</v>
      </c>
      <c r="NA5" s="2">
        <f>-0.000366697883770788*(1)</f>
        <v>-3.6669788377078803E-4</v>
      </c>
      <c r="NB5" s="2">
        <f>-0.00408910452488057*(1)</f>
        <v>-4.0891045248805701E-3</v>
      </c>
      <c r="NC5" s="2">
        <f>0.0507571156985234*(1)</f>
        <v>5.0757115698523397E-2</v>
      </c>
      <c r="ND5" s="2">
        <f>0.0238163866594425*(1)</f>
        <v>2.3816386659442499E-2</v>
      </c>
      <c r="NE5" s="2">
        <f>-0.0229065126540837*(1)</f>
        <v>-2.2906512654083701E-2</v>
      </c>
      <c r="NF5" s="2">
        <f>0.00457285852436004*(1)</f>
        <v>4.5728585243600397E-3</v>
      </c>
      <c r="NG5" s="2">
        <f>0.0388014252309253*(1)</f>
        <v>3.88014252309253E-2</v>
      </c>
      <c r="NH5" s="2">
        <f>0.0104840828684448*(1)</f>
        <v>1.0484082868444799E-2</v>
      </c>
      <c r="NI5" s="2">
        <f>0.0116076751086577*(1)</f>
        <v>1.16076751086577E-2</v>
      </c>
      <c r="NJ5" s="2">
        <f>0.019352013376219*(1)</f>
        <v>1.9352013376219002E-2</v>
      </c>
      <c r="NK5" s="2">
        <f>0.0179047644529113*(1)</f>
        <v>1.7904764452911299E-2</v>
      </c>
      <c r="NL5" s="2">
        <f>0.0177514732482656*(1)</f>
        <v>1.7751473248265599E-2</v>
      </c>
      <c r="NM5" s="2">
        <f>0.0395194226809653*(1)</f>
        <v>3.9519422680965297E-2</v>
      </c>
      <c r="NN5" s="2">
        <f>0.0108932507136186*(1)</f>
        <v>1.08932507136186E-2</v>
      </c>
      <c r="NO5" s="2">
        <f>0.00674976742563699*(1)</f>
        <v>6.7497674256369903E-3</v>
      </c>
      <c r="NP5" s="2">
        <f>-0.000532547371054705*(1)</f>
        <v>-5.3254737105470505E-4</v>
      </c>
      <c r="NQ5" s="2">
        <f>0.0249598757191202*(1)</f>
        <v>2.49598757191202E-2</v>
      </c>
      <c r="NR5" s="2">
        <f>-0.0114473963653582*(1)</f>
        <v>-1.1447396365358201E-2</v>
      </c>
      <c r="NS5" s="2">
        <f>-0.015211022990692*(1)</f>
        <v>-1.5211022990692E-2</v>
      </c>
      <c r="NT5" s="2">
        <f>0.0111496897013725*(1)</f>
        <v>1.1149689701372501E-2</v>
      </c>
      <c r="NU5" s="2">
        <f>-0.0242535985785474*(1)</f>
        <v>-2.4253598578547399E-2</v>
      </c>
      <c r="NV5" s="2">
        <f>0.0357451468843896*(1)</f>
        <v>3.5745146884389602E-2</v>
      </c>
      <c r="NW5" s="2">
        <f>0.0149367238335419*(1)</f>
        <v>1.4936723833541899E-2</v>
      </c>
      <c r="NX5" s="2">
        <f>0.0118946306033195*(1)</f>
        <v>1.18946306033195E-2</v>
      </c>
      <c r="NY5" s="2">
        <f>-0.00660802469259353*(1)</f>
        <v>-6.6080246925935299E-3</v>
      </c>
      <c r="NZ5" s="2">
        <f>0.0206841913997077*(1)</f>
        <v>2.0684191399707699E-2</v>
      </c>
      <c r="OA5" s="2">
        <f>0.0320158455005361*(1)</f>
        <v>3.20158455005361E-2</v>
      </c>
      <c r="OB5" s="2">
        <f>-0.0259776854018578*(1)</f>
        <v>-2.5977685401857801E-2</v>
      </c>
      <c r="OC5" s="2">
        <f>-0.0393374351308032*(1)</f>
        <v>-3.9337435130803199E-2</v>
      </c>
      <c r="OD5" s="2">
        <f>0.0160715994114838*(1)</f>
        <v>1.6071599411483801E-2</v>
      </c>
      <c r="OE5" s="2">
        <f>-0.00612450399477746*(1)</f>
        <v>-6.12450399477746E-3</v>
      </c>
      <c r="OF5" s="2">
        <f>-0.0223845543910387*(1)</f>
        <v>-2.2384554391038699E-2</v>
      </c>
      <c r="OG5" s="2">
        <f>0.00918064932918725*(1)</f>
        <v>9.1806493291872494E-3</v>
      </c>
      <c r="OH5" s="2">
        <f>-0.0194976140495221*(1)</f>
        <v>-1.9497614049522102E-2</v>
      </c>
      <c r="OI5" s="2">
        <f>-0.0293331430954897*(1)</f>
        <v>-2.9333143095489699E-2</v>
      </c>
      <c r="OJ5" s="2">
        <f>0.0539527251129446*(1)</f>
        <v>5.3952725112944598E-2</v>
      </c>
      <c r="OK5" s="2">
        <f>-0.0513148674723779*(1)</f>
        <v>-5.1314867472377901E-2</v>
      </c>
      <c r="OL5" s="2">
        <f>0.00540416319742208*(1)</f>
        <v>5.4041631974220796E-3</v>
      </c>
      <c r="OM5" s="2">
        <f>-0.00396272255881404*(1)</f>
        <v>-3.9627225588140403E-3</v>
      </c>
      <c r="ON5" s="2">
        <f>0.0358584164314752*(1)</f>
        <v>3.58584164314752E-2</v>
      </c>
      <c r="OO5" s="2">
        <f>0.0325692650739759*(1)</f>
        <v>3.2569265073975902E-2</v>
      </c>
      <c r="OP5" s="2">
        <f>-0.0211402823620036*(1)</f>
        <v>-2.1140282362003601E-2</v>
      </c>
      <c r="OQ5" s="2">
        <f>0.00129569076567976*(1)</f>
        <v>1.29569076567976E-3</v>
      </c>
      <c r="OR5" s="2">
        <f>0.0552503701081226*(1)</f>
        <v>5.5250370108122601E-2</v>
      </c>
      <c r="OS5" s="2">
        <f>0.0413873206559712*(1)</f>
        <v>4.1387320655971199E-2</v>
      </c>
      <c r="OT5" s="2">
        <f>-0.0105448716140222*(1)</f>
        <v>-1.05448716140222E-2</v>
      </c>
      <c r="OU5" s="2">
        <f>0.0230982003639347*(1)</f>
        <v>2.3098200363934701E-2</v>
      </c>
      <c r="OV5" s="2">
        <f>0.0225194079682614*(1)</f>
        <v>2.25194079682614E-2</v>
      </c>
      <c r="OW5" s="2">
        <f>-0.0133473152723116*(1)</f>
        <v>-1.3347315272311601E-2</v>
      </c>
      <c r="OX5" s="2">
        <f>-0.0108128532376242*(1)</f>
        <v>-1.0812853237624201E-2</v>
      </c>
      <c r="OY5" s="2">
        <f>-0.00209811536830832*(1)</f>
        <v>-2.0981153683083198E-3</v>
      </c>
      <c r="OZ5" s="2">
        <f>-0.00858242166311957*(1)</f>
        <v>-8.5824216631195695E-3</v>
      </c>
      <c r="PA5" s="2">
        <f>-0.00154049023823733*(1)</f>
        <v>-1.5404902382373301E-3</v>
      </c>
      <c r="PB5" s="2">
        <f>-0.0217474498614602*(1)</f>
        <v>-2.17474498614602E-2</v>
      </c>
      <c r="PC5" s="2">
        <f>0.00363157883544097*(1)</f>
        <v>3.6315788354409702E-3</v>
      </c>
      <c r="PD5" s="2">
        <f>-0.017116922726912*(1)</f>
        <v>-1.7116922726911999E-2</v>
      </c>
      <c r="PE5" s="2">
        <f>0.0321799390704051*(1)</f>
        <v>3.2179939070405103E-2</v>
      </c>
      <c r="PF5" s="2">
        <f>0.025707672789488*(1)</f>
        <v>2.5707672789488E-2</v>
      </c>
      <c r="PG5" s="2">
        <f>-0.00429788573936101*(1)</f>
        <v>-4.2978857393610103E-3</v>
      </c>
      <c r="PH5" s="2">
        <f>-0.0154254729812199*(1)</f>
        <v>-1.54254729812199E-2</v>
      </c>
      <c r="PI5" s="2">
        <f>0.00761286034088064*(1)</f>
        <v>7.6128603408806396E-3</v>
      </c>
      <c r="PJ5" s="2">
        <f>0.0444264138647192*(1)</f>
        <v>4.4426413864719197E-2</v>
      </c>
      <c r="PK5" s="2">
        <f>-0.0189343098600168*(1)</f>
        <v>-1.8934309860016801E-2</v>
      </c>
      <c r="PL5" s="2">
        <f>0.0313507281732276*(1)</f>
        <v>3.13507281732276E-2</v>
      </c>
      <c r="PM5" s="2">
        <f>0.0127867211185182*(1)</f>
        <v>1.27867211185182E-2</v>
      </c>
      <c r="PN5" s="2">
        <f>-0.0431302171909755*(1)</f>
        <v>-4.3130217190975498E-2</v>
      </c>
      <c r="PO5" s="2">
        <f>-0.0202013858135762*(1)</f>
        <v>-2.0201385813576202E-2</v>
      </c>
      <c r="PP5" s="2">
        <f>-0.00662588051673154*(1)</f>
        <v>-6.6258805167315402E-3</v>
      </c>
      <c r="PQ5" s="2">
        <f>0.0299804105889147*(1)</f>
        <v>2.9980410588914701E-2</v>
      </c>
      <c r="PR5" s="2">
        <f>-0.0331626666373201*(1)</f>
        <v>-3.31626666373201E-2</v>
      </c>
      <c r="PS5" s="2">
        <f>0.0105278269815405*(1)</f>
        <v>1.05278269815405E-2</v>
      </c>
      <c r="PT5" s="2">
        <f>-0.0512661566756012*(1)</f>
        <v>-5.12661566756012E-2</v>
      </c>
      <c r="PU5" s="2">
        <f>-0.0270675494635064*(1)</f>
        <v>-2.70675494635064E-2</v>
      </c>
      <c r="PV5" s="2">
        <f>0.000813462943956131*(1)</f>
        <v>8.1346294395613097E-4</v>
      </c>
      <c r="PW5" s="2">
        <f>0.0271516914157188*(1)</f>
        <v>2.7151691415718798E-2</v>
      </c>
      <c r="PX5" s="2">
        <f>-0.006772137540349*(1)</f>
        <v>-6.772137540349E-3</v>
      </c>
      <c r="PY5" s="2">
        <f>0.00308804937362816*(1)</f>
        <v>3.0880493736281599E-3</v>
      </c>
      <c r="PZ5" s="2">
        <f>-0.0397904549256169*(1)</f>
        <v>-3.9790454925616899E-2</v>
      </c>
      <c r="QA5" s="2">
        <f>0.0199960520045217*(1)</f>
        <v>1.9996052004521699E-2</v>
      </c>
      <c r="QB5" s="2">
        <f>0.011381790072285*(1)</f>
        <v>1.1381790072285E-2</v>
      </c>
      <c r="QC5" s="2">
        <f>-0.00615960668519711*(1)</f>
        <v>-6.1596066851971098E-3</v>
      </c>
      <c r="QD5" s="2">
        <f>0.0289179415696682*(1)</f>
        <v>2.8917941569668201E-2</v>
      </c>
      <c r="QE5" s="2">
        <f>0.00179385855094131*(1)</f>
        <v>1.7938585509413101E-3</v>
      </c>
      <c r="QF5" s="2">
        <f>0.0305889985740022*(1)</f>
        <v>3.0588998574002199E-2</v>
      </c>
      <c r="QG5" s="2">
        <f>-0.0124922176205251*(1)</f>
        <v>-1.24922176205251E-2</v>
      </c>
      <c r="QH5" s="2">
        <f>-0.0217127663963915*(1)</f>
        <v>-2.1712766396391501E-2</v>
      </c>
      <c r="QI5" s="2">
        <f>-0.000881074721702265*(1)</f>
        <v>-8.8107472170226504E-4</v>
      </c>
      <c r="QJ5" s="2">
        <f>0.0277909797893688*(1)</f>
        <v>2.77909797893688E-2</v>
      </c>
      <c r="QK5" s="2">
        <f>0.00561003436941953*(1)</f>
        <v>5.6100343694195304E-3</v>
      </c>
      <c r="QL5" s="2">
        <f>0.0391530042838188*(1)</f>
        <v>3.91530042838188E-2</v>
      </c>
      <c r="QM5" s="2">
        <f>0.0104893311965266*(1)</f>
        <v>1.04893311965266E-2</v>
      </c>
      <c r="QN5" s="2">
        <f>0.00153606163496347*(1)</f>
        <v>1.5360616349634701E-3</v>
      </c>
      <c r="QO5" s="2">
        <f>-0.0228547484189484*(1)</f>
        <v>-2.2854748418948401E-2</v>
      </c>
      <c r="QP5" s="2">
        <f>-0.0208844455397388*(1)</f>
        <v>-2.08844455397388E-2</v>
      </c>
      <c r="QQ5" s="2">
        <f>0.00372753293596634*(1)</f>
        <v>3.72753293596634E-3</v>
      </c>
      <c r="QR5" s="2">
        <f>-0.0050130453431595*(1)</f>
        <v>-5.0130453431594998E-3</v>
      </c>
      <c r="QS5" s="2">
        <f>0.0165634726586569*(1)</f>
        <v>1.6563472658656899E-2</v>
      </c>
      <c r="QT5" s="2">
        <f>0.0163700259215952*(1)</f>
        <v>1.6370025921595199E-2</v>
      </c>
      <c r="QU5" s="2">
        <f>-0.0470735395804881*(1)</f>
        <v>-4.70735395804881E-2</v>
      </c>
      <c r="QV5" s="2">
        <f>-0.0135655076365952*(1)</f>
        <v>-1.3565507636595199E-2</v>
      </c>
      <c r="QW5" s="2">
        <f>0.00813518561280363*(1)</f>
        <v>8.1351856128036304E-3</v>
      </c>
      <c r="QX5" s="2">
        <f>-0.00841680171205961*(1)</f>
        <v>-8.4168017120596107E-3</v>
      </c>
      <c r="QY5" s="2">
        <f>-0.00450636336763889*(1)</f>
        <v>-4.50636336763889E-3</v>
      </c>
      <c r="QZ5" s="2">
        <f>-0.0178284860930268*(1)</f>
        <v>-1.7828486093026799E-2</v>
      </c>
      <c r="RA5" s="2">
        <f>-0.0156570543281406*(1)</f>
        <v>-1.5657054328140602E-2</v>
      </c>
      <c r="RB5" s="2">
        <f>-0.00350054952098306*(1)</f>
        <v>-3.50054952098306E-3</v>
      </c>
      <c r="RC5" s="2">
        <f>0.00970990258303153*(1)</f>
        <v>9.7099025830315305E-3</v>
      </c>
      <c r="RD5" s="2">
        <f>-0.0642115391600155*(1)</f>
        <v>-6.4211539160015499E-2</v>
      </c>
      <c r="RE5" s="2">
        <f>-0.0236994575723774*(1)</f>
        <v>-2.3699457572377399E-2</v>
      </c>
      <c r="RF5" s="2">
        <f>0.00228425865830114*(1)</f>
        <v>2.2842586583011401E-3</v>
      </c>
      <c r="RG5" s="2">
        <f>-0.0583281186659532*(1)</f>
        <v>-5.8328118665953201E-2</v>
      </c>
      <c r="RH5" s="2">
        <f>-0.00613504117839985*(1)</f>
        <v>-6.1350411783998504E-3</v>
      </c>
      <c r="RI5" s="2">
        <f>0.0299610747384752*(1)</f>
        <v>2.9961074738475198E-2</v>
      </c>
      <c r="RJ5" s="2">
        <f>0.0308313174452286*(1)</f>
        <v>3.0831317445228601E-2</v>
      </c>
      <c r="RK5" s="2">
        <f>-0.0339988318241898*(1)</f>
        <v>-3.39988318241898E-2</v>
      </c>
      <c r="RL5" s="2">
        <f>-0.0160884428849467*(1)</f>
        <v>-1.6088442884946701E-2</v>
      </c>
      <c r="RM5" s="2">
        <f>-0.0361155908557055*(1)</f>
        <v>-3.6115590855705502E-2</v>
      </c>
      <c r="RN5" s="2">
        <f>0.018084336103939*(1)</f>
        <v>1.8084336103938999E-2</v>
      </c>
      <c r="RO5" s="2">
        <f>-0.0285588807261559*(1)</f>
        <v>-2.8558880726155901E-2</v>
      </c>
      <c r="RP5" s="2">
        <f>-0.000327032781639163*(1)</f>
        <v>-3.27032781639163E-4</v>
      </c>
      <c r="RQ5" s="2">
        <f>0.0132985759121716*(1)</f>
        <v>1.32985759121716E-2</v>
      </c>
      <c r="RR5" s="2">
        <f>0.0270590458374704*(1)</f>
        <v>2.7059045837470399E-2</v>
      </c>
      <c r="RS5" s="2">
        <f>-0.0160318206570974*(1)</f>
        <v>-1.60318206570974E-2</v>
      </c>
      <c r="RT5" s="2">
        <f>0.010193326869013*(1)</f>
        <v>1.0193326869013E-2</v>
      </c>
      <c r="RU5" s="2">
        <f>0.00320932898604471*(1)</f>
        <v>3.2093289860447099E-3</v>
      </c>
      <c r="RV5" s="2">
        <f>-0.019831623350458*(1)</f>
        <v>-1.9831623350457999E-2</v>
      </c>
      <c r="RW5" s="2">
        <f>0.024828317322651*(1)</f>
        <v>2.4828317322650999E-2</v>
      </c>
      <c r="RX5" s="2">
        <f>-0.0340248231704431*(1)</f>
        <v>-3.40248231704431E-2</v>
      </c>
      <c r="RY5" s="2">
        <f>-0.00990959169559309*(1)</f>
        <v>-9.9095916955930907E-3</v>
      </c>
      <c r="RZ5" s="2">
        <f>-0.0076620158463549*(1)</f>
        <v>-7.6620158463548997E-3</v>
      </c>
      <c r="SA5" s="2">
        <f>0.00938572844693926*(1)</f>
        <v>9.3857284469392593E-3</v>
      </c>
      <c r="SB5" s="2">
        <f>0.0384136601631153*(1)</f>
        <v>3.8413660163115301E-2</v>
      </c>
      <c r="SC5" s="2">
        <f>-0.0374788277542995*(1)</f>
        <v>-3.7478827754299497E-2</v>
      </c>
      <c r="SD5" s="2">
        <f>-0.0239238475772931*(1)</f>
        <v>-2.39238475772931E-2</v>
      </c>
      <c r="SE5" s="2">
        <f>-0.0104185749036627*(1)</f>
        <v>-1.04185749036627E-2</v>
      </c>
      <c r="SF5" s="2">
        <f>0.0143492718493591*(1)</f>
        <v>1.4349271849359101E-2</v>
      </c>
      <c r="SG5" s="2">
        <f>-0.0336694306053087*(1)</f>
        <v>-3.3669430605308699E-2</v>
      </c>
      <c r="SH5" s="2">
        <f>-0.0136373438235752*(1)</f>
        <v>-1.3637343823575201E-2</v>
      </c>
      <c r="SI5" s="2">
        <f>-0.0603852522874296*(1)</f>
        <v>-6.0385252287429601E-2</v>
      </c>
      <c r="SJ5" s="2">
        <f>0.0138104931694011*(1)</f>
        <v>1.3810493169401101E-2</v>
      </c>
      <c r="SK5" s="2">
        <f>0.0710874615195151*(1)</f>
        <v>7.1087461519515102E-2</v>
      </c>
      <c r="SL5" s="2">
        <f>-0.0249135541072226*(1)</f>
        <v>-2.49135541072226E-2</v>
      </c>
      <c r="SM5" s="2">
        <f>0.0323524541972346*(1)</f>
        <v>3.2352454197234599E-2</v>
      </c>
      <c r="SN5" s="2">
        <f>-0.0147714046566243*(1)</f>
        <v>-1.47714046566243E-2</v>
      </c>
      <c r="SO5" s="2">
        <f>0.0069377945115398*(1)</f>
        <v>6.9377945115397998E-3</v>
      </c>
      <c r="SP5" s="2">
        <f>-0.0597448946107579*(1)</f>
        <v>-5.9744894610757902E-2</v>
      </c>
      <c r="SQ5" s="2">
        <f>0.0096556242049337*(1)</f>
        <v>9.6556242049337E-3</v>
      </c>
      <c r="SR5" s="2">
        <f>0.00866670517832745*(1)</f>
        <v>8.6667051783274503E-3</v>
      </c>
      <c r="SS5" s="2">
        <f>0.00381372492312295*(1)</f>
        <v>3.8137249231229501E-3</v>
      </c>
      <c r="ST5" s="2">
        <f>0.0449213509827311*(1)</f>
        <v>4.4921350982731097E-2</v>
      </c>
      <c r="SU5" s="2">
        <f>0.0436040373709285*(1)</f>
        <v>4.3604037370928501E-2</v>
      </c>
      <c r="SV5" s="2">
        <f>0.00945396290487703*(1)</f>
        <v>9.4539629048770307E-3</v>
      </c>
      <c r="SW5" s="2">
        <f>0.0115552436191563*(1)</f>
        <v>1.1555243619156301E-2</v>
      </c>
      <c r="SX5" s="2">
        <f>-0.02041127541325*(1)</f>
        <v>-2.041127541325E-2</v>
      </c>
      <c r="SY5" s="2">
        <f>-0.0266898669523428*(1)</f>
        <v>-2.6689866952342801E-2</v>
      </c>
      <c r="SZ5" s="2">
        <f>-0.0366516653790141*(1)</f>
        <v>-3.6651665379014098E-2</v>
      </c>
      <c r="TA5" s="2">
        <f>-0.013951700229725*(1)</f>
        <v>-1.3951700229725E-2</v>
      </c>
      <c r="TB5" s="2">
        <f>0.0228280589142924*(1)</f>
        <v>2.28280589142924E-2</v>
      </c>
      <c r="TC5" s="2">
        <f>0.000311293157791119*(1)</f>
        <v>3.1129315779111901E-4</v>
      </c>
      <c r="TD5" s="2">
        <f>0.013123662454397*(1)</f>
        <v>1.3123662454397E-2</v>
      </c>
      <c r="TE5" s="2">
        <f>0.0174034073316296*(1)</f>
        <v>1.7403407331629601E-2</v>
      </c>
      <c r="TF5" s="2">
        <f>-0.00670804234543884*(1)</f>
        <v>-6.7080423454388399E-3</v>
      </c>
      <c r="TG5" s="2">
        <f>0.0039038205093892*(1)</f>
        <v>3.9038205093892002E-3</v>
      </c>
      <c r="TH5" s="2">
        <f>-0.0171039863368083*(1)</f>
        <v>-1.7103986336808302E-2</v>
      </c>
      <c r="TI5" s="2">
        <f>0.0106357520768293*(1)</f>
        <v>1.06357520768293E-2</v>
      </c>
      <c r="TJ5" s="2">
        <f>-0.020191246483004*(1)</f>
        <v>-2.0191246483004001E-2</v>
      </c>
      <c r="TK5" s="2">
        <f>0.00351104221176095*(1)</f>
        <v>3.5110422117609502E-3</v>
      </c>
      <c r="TL5" s="2">
        <f>-0.00344832757001726*(1)</f>
        <v>-3.4483275700172601E-3</v>
      </c>
      <c r="TM5" s="2">
        <f>-0.0283875590221606*(1)</f>
        <v>-2.8387559022160599E-2</v>
      </c>
      <c r="TN5" s="2">
        <f>0.0144317375653767*(1)</f>
        <v>1.44317375653767E-2</v>
      </c>
      <c r="TO5" s="2">
        <f>0.013577323927573*(1)</f>
        <v>1.3577323927573E-2</v>
      </c>
      <c r="TP5" s="2">
        <f>-0.0113856007307694*(1)</f>
        <v>-1.1385600730769401E-2</v>
      </c>
      <c r="TQ5" s="2">
        <f>-0.000927778007458747*(1)</f>
        <v>-9.2777800745874703E-4</v>
      </c>
      <c r="TR5" s="2">
        <f>-0.0289697826370612*(1)</f>
        <v>-2.8969782637061198E-2</v>
      </c>
      <c r="TS5" s="2">
        <f>0.043376049139809*(1)</f>
        <v>4.3376049139808998E-2</v>
      </c>
      <c r="TT5" s="2">
        <f>0.00726028964242399*(1)</f>
        <v>7.2602896424239904E-3</v>
      </c>
      <c r="TU5" s="2">
        <f>0.0633514283468787*(1)</f>
        <v>6.3351428346878694E-2</v>
      </c>
      <c r="TV5" s="2">
        <f>0.047093189129271*(1)</f>
        <v>4.7093189129270997E-2</v>
      </c>
      <c r="TW5" s="2">
        <f>-0.000472402475224335*(1)</f>
        <v>-4.72402475224335E-4</v>
      </c>
      <c r="TX5" s="2">
        <f>-0.035403761661779*(1)</f>
        <v>-3.5403761661778999E-2</v>
      </c>
      <c r="TY5" s="2">
        <f>0.0106252887345254*(1)</f>
        <v>1.0625288734525401E-2</v>
      </c>
      <c r="TZ5" s="2">
        <f>-0.0070653948146872*(1)</f>
        <v>-7.0653948146871997E-3</v>
      </c>
      <c r="UA5" s="2">
        <f>0.080252899278285*(1)</f>
        <v>8.0252899278284995E-2</v>
      </c>
      <c r="UB5" s="2">
        <f>-0.00757039328585726*(1)</f>
        <v>-7.5703932858572597E-3</v>
      </c>
      <c r="UC5" s="2">
        <f>0.0104485025159259*(1)</f>
        <v>1.0448502515925899E-2</v>
      </c>
      <c r="UD5" s="2">
        <f>-0.063340068505057*(1)</f>
        <v>-6.3340068505056996E-2</v>
      </c>
      <c r="UE5" s="2">
        <f>-0.0111478686784963*(1)</f>
        <v>-1.1147868678496301E-2</v>
      </c>
      <c r="UF5" s="2">
        <f>0.0179842768886637*(1)</f>
        <v>1.7984276888663699E-2</v>
      </c>
      <c r="UG5" s="2">
        <f>0.0661632282197825*(1)</f>
        <v>6.6163228219782502E-2</v>
      </c>
      <c r="UH5" s="2">
        <f>0.00315816780878699*(1)</f>
        <v>3.15816780878699E-3</v>
      </c>
      <c r="UI5" s="2">
        <f>-0.0284255616044935*(1)</f>
        <v>-2.8425561604493499E-2</v>
      </c>
      <c r="UJ5" s="2">
        <f>-0.0146807826527627*(1)</f>
        <v>-1.46807826527627E-2</v>
      </c>
      <c r="UK5" s="2">
        <f>-0.0349188959611432*(1)</f>
        <v>-3.4918895961143198E-2</v>
      </c>
      <c r="UL5" s="2">
        <f>0.0230043699098553*(1)</f>
        <v>2.3004369909855299E-2</v>
      </c>
      <c r="UM5" s="2">
        <f>-0.018528911924923*(1)</f>
        <v>-1.8528911924923001E-2</v>
      </c>
      <c r="UN5" s="2">
        <f>0.0026895243209082*(1)</f>
        <v>2.6895243209082002E-3</v>
      </c>
      <c r="UO5" s="2">
        <f>0.00546630356040122*(1)</f>
        <v>5.4663035604012198E-3</v>
      </c>
      <c r="UP5" s="2">
        <f>0.00545146363637762*(1)</f>
        <v>5.45146363637762E-3</v>
      </c>
      <c r="UQ5" s="2">
        <f>0.00336116629551519*(1)</f>
        <v>3.3611662955151901E-3</v>
      </c>
      <c r="UR5" s="2">
        <f>0.0318070673629417*(1)</f>
        <v>3.1807067362941699E-2</v>
      </c>
      <c r="US5" s="2">
        <f>-0.00727836615432809*(1)</f>
        <v>-7.2783661543280899E-3</v>
      </c>
      <c r="UT5" s="2">
        <f>-0.0451769338405309*(1)</f>
        <v>-4.5176933840530897E-2</v>
      </c>
      <c r="UU5" s="2">
        <f>-0.00827823616906816*(1)</f>
        <v>-8.2782361690681601E-3</v>
      </c>
      <c r="UV5" s="2">
        <f>0.0135640508200106*(1)</f>
        <v>1.35640508200106E-2</v>
      </c>
      <c r="UW5" s="2">
        <f>0.00283835912444484*(1)</f>
        <v>2.8383591244448398E-3</v>
      </c>
      <c r="UX5" s="2">
        <f>0.00184319328390491*(1)</f>
        <v>1.8431932839049099E-3</v>
      </c>
      <c r="UY5" s="2">
        <f>0.0694202330475139*(1)</f>
        <v>6.9420233047513893E-2</v>
      </c>
      <c r="UZ5" s="2">
        <f>0.0139760566454535*(1)</f>
        <v>1.39760566454535E-2</v>
      </c>
      <c r="VA5" s="2">
        <f>0.0232201880855257*(1)</f>
        <v>2.32201880855257E-2</v>
      </c>
      <c r="VB5" s="2">
        <f>-0.0197500787921546*(1)</f>
        <v>-1.97500787921546E-2</v>
      </c>
      <c r="VC5" s="2">
        <f>0.0188414605305935*(1)</f>
        <v>1.8841460530593501E-2</v>
      </c>
      <c r="VD5" s="2">
        <f>0.0282915178198247*(1)</f>
        <v>2.82915178198247E-2</v>
      </c>
      <c r="VE5" s="2">
        <f>0.0217640465384063*(1)</f>
        <v>2.1764046538406301E-2</v>
      </c>
      <c r="VF5" s="2">
        <f>0.00830703358721435*(1)</f>
        <v>8.3070335872143502E-3</v>
      </c>
      <c r="VG5" s="2">
        <f>-0.0392546036142928*(1)</f>
        <v>-3.9254603614292803E-2</v>
      </c>
      <c r="VH5" s="2">
        <f>0.0276879232399338*(1)</f>
        <v>2.7687923239933802E-2</v>
      </c>
      <c r="VI5" s="2">
        <f>0.0290205025988216*(1)</f>
        <v>2.90205025988216E-2</v>
      </c>
      <c r="VJ5" s="2">
        <f>0.0467129245161208*(1)</f>
        <v>4.6712924516120802E-2</v>
      </c>
      <c r="VK5" s="2">
        <f>-0.0416580608919469*(1)</f>
        <v>-4.1658060891946902E-2</v>
      </c>
      <c r="VL5" s="2">
        <f>-0.0223224858018659*(1)</f>
        <v>-2.23224858018659E-2</v>
      </c>
      <c r="VM5" s="2">
        <f>0.0446856723457778*(1)</f>
        <v>4.4685672345777798E-2</v>
      </c>
      <c r="VN5" s="2">
        <f>-0.0293117265858953*(1)</f>
        <v>-2.9311726585895301E-2</v>
      </c>
      <c r="VO5" s="2">
        <f>0.011381131963107*(1)</f>
        <v>1.1381131963107E-2</v>
      </c>
      <c r="VP5" s="2">
        <f>-0.0465091894829487*(1)</f>
        <v>-4.6509189482948701E-2</v>
      </c>
      <c r="VQ5" s="2">
        <f>-0.00856109640179495*(1)</f>
        <v>-8.5610964017949504E-3</v>
      </c>
      <c r="VR5" s="2">
        <f>-0.0558395342761253*(1)</f>
        <v>-5.5839534276125299E-2</v>
      </c>
      <c r="VS5" s="2">
        <f>0.000508922859961337*(1)</f>
        <v>5.0892285996133704E-4</v>
      </c>
      <c r="VT5" s="2">
        <f>-0.0112289455316701*(1)</f>
        <v>-1.1228945531670099E-2</v>
      </c>
      <c r="VU5" s="2">
        <f>0.0334316090713443*(1)</f>
        <v>3.34316090713443E-2</v>
      </c>
      <c r="VV5" s="2">
        <f>-0.0182359212770848*(1)</f>
        <v>-1.8235921277084802E-2</v>
      </c>
      <c r="VW5" s="2">
        <f>0.05356645572595*(1)</f>
        <v>5.356645572595E-2</v>
      </c>
      <c r="VX5" s="2">
        <f>0.00111207055848394*(1)</f>
        <v>1.11207055848394E-3</v>
      </c>
      <c r="VY5" s="2">
        <f>-0.00149657397450607*(1)</f>
        <v>-1.49657397450607E-3</v>
      </c>
      <c r="VZ5" s="2">
        <f>-0.00112197986533714*(1)</f>
        <v>-1.12197986533714E-3</v>
      </c>
      <c r="WA5" s="2">
        <f>0.0302602333108211*(1)</f>
        <v>3.0260233310821099E-2</v>
      </c>
      <c r="WB5" s="2">
        <f>0.0142371878393136*(1)</f>
        <v>1.42371878393136E-2</v>
      </c>
      <c r="WC5" s="2">
        <f>0.00552169394418871*(1)</f>
        <v>5.5216939441887101E-3</v>
      </c>
      <c r="WD5" s="2">
        <f>0.00278842466112835*(1)</f>
        <v>2.7884246611283498E-3</v>
      </c>
      <c r="WE5" s="2">
        <f>0.033318416538721*(1)</f>
        <v>3.3318416538721002E-2</v>
      </c>
      <c r="WF5" s="2">
        <f>0.0566195995024706*(1)</f>
        <v>5.6619599502470599E-2</v>
      </c>
      <c r="WG5" s="2">
        <f>-0.0304455557311708*(1)</f>
        <v>-3.04455557311708E-2</v>
      </c>
      <c r="WH5" s="2">
        <f>0.0242637887623674*(1)</f>
        <v>2.42637887623674E-2</v>
      </c>
      <c r="WI5" s="2">
        <f>0.0758558406602832*(1)</f>
        <v>7.5855840660283197E-2</v>
      </c>
      <c r="WJ5" s="2">
        <f>-0.00297186625129468*(1)</f>
        <v>-2.97186625129468E-3</v>
      </c>
      <c r="WK5" s="2">
        <f>-0.0329855928458357*(1)</f>
        <v>-3.2985592845835701E-2</v>
      </c>
      <c r="WL5" s="2">
        <f>0.0552009948440177*(1)</f>
        <v>5.5200994844017699E-2</v>
      </c>
      <c r="WM5" s="2">
        <f>0.0308160314478655*(1)</f>
        <v>3.0816031447865499E-2</v>
      </c>
      <c r="WN5" s="2">
        <f>0.021866372483689*(1)</f>
        <v>2.1866372483689001E-2</v>
      </c>
      <c r="WO5" s="2">
        <f>0.0235024311592414*(1)</f>
        <v>2.3502431159241399E-2</v>
      </c>
      <c r="WP5" s="2">
        <f>-0.0582651507173752*(1)</f>
        <v>-5.8265150717375203E-2</v>
      </c>
      <c r="WQ5" s="2">
        <f>0.0339859921761366*(1)</f>
        <v>3.3985992176136598E-2</v>
      </c>
      <c r="WR5" s="2">
        <f>0.00766079366724829*(1)</f>
        <v>7.6607936672482904E-3</v>
      </c>
      <c r="WS5" s="2">
        <f>-0.01354995067446*(1)</f>
        <v>-1.354995067446E-2</v>
      </c>
      <c r="WT5" s="2">
        <f>0.061876687246835*(1)</f>
        <v>6.1876687246834997E-2</v>
      </c>
      <c r="WU5" s="2">
        <f>-0.00290304803774985*(1)</f>
        <v>-2.9030480377498502E-3</v>
      </c>
      <c r="WV5" s="2">
        <f>0.0405871657837066*(1)</f>
        <v>4.0587165783706601E-2</v>
      </c>
      <c r="WW5" s="2">
        <f>-0.00701317707847282*(1)</f>
        <v>-7.01317707847282E-3</v>
      </c>
      <c r="WX5" s="2">
        <f>-0.0489958553445229*(1)</f>
        <v>-4.8995855344522901E-2</v>
      </c>
      <c r="WY5" s="2">
        <f>-0.0225499518060718*(1)</f>
        <v>-2.2549951806071802E-2</v>
      </c>
      <c r="WZ5" s="2">
        <f>-0.0218082393741257*(1)</f>
        <v>-2.1808239374125699E-2</v>
      </c>
      <c r="XA5" s="2">
        <f>-0.00304512927176057*(1)</f>
        <v>-3.0451292717605699E-3</v>
      </c>
      <c r="XB5" s="2">
        <f>-0.00733786579603102*(1)</f>
        <v>-7.3378657960310196E-3</v>
      </c>
      <c r="XC5" s="2">
        <f>0.00242998160692683*(1)</f>
        <v>2.4299816069268299E-3</v>
      </c>
      <c r="XD5" s="2">
        <f>0.0515821813701793*(1)</f>
        <v>5.1582181370179302E-2</v>
      </c>
      <c r="XE5" s="2">
        <f>-0.0245035173867564*(1)</f>
        <v>-2.45035173867564E-2</v>
      </c>
      <c r="XF5" s="2">
        <f>-0.0171588859708491*(1)</f>
        <v>-1.7158885970849101E-2</v>
      </c>
      <c r="XG5" s="2">
        <f>0.0614879992599358*(1)</f>
        <v>6.1487999259935797E-2</v>
      </c>
      <c r="XH5" s="2">
        <f>0.0345334981045114*(1)</f>
        <v>3.4533498104511402E-2</v>
      </c>
      <c r="XI5" s="2">
        <f>-0.00547067674898714*(1)</f>
        <v>-5.4706767489871404E-3</v>
      </c>
      <c r="XJ5" s="2">
        <f>0.0376315341319256*(1)</f>
        <v>3.7631534131925597E-2</v>
      </c>
      <c r="XK5" s="2">
        <f>0.0270257893177806*(1)</f>
        <v>2.7025789317780598E-2</v>
      </c>
      <c r="XL5" s="2">
        <f>-0.0136551322699259*(1)</f>
        <v>-1.36551322699259E-2</v>
      </c>
      <c r="XM5" s="2">
        <f>-0.00510699094767052*(1)</f>
        <v>-5.1069909476705198E-3</v>
      </c>
      <c r="XN5" s="2">
        <f>-0.0297020143848959*(1)</f>
        <v>-2.9702014384895899E-2</v>
      </c>
      <c r="XO5" s="2">
        <f>-0.00543179559681984*(1)</f>
        <v>-5.4317955968198398E-3</v>
      </c>
      <c r="XP5" s="2">
        <f>0.0226934028794092*(1)</f>
        <v>2.26934028794092E-2</v>
      </c>
      <c r="XQ5" s="2">
        <f>-0.0613894165871097*(1)</f>
        <v>-6.1389416587109703E-2</v>
      </c>
      <c r="XR5" s="2">
        <f>0.0501149681764186*(1)</f>
        <v>5.0114968176418598E-2</v>
      </c>
      <c r="XS5" s="2">
        <f>-0.0450584074157176*(1)</f>
        <v>-4.5058407415717601E-2</v>
      </c>
      <c r="XT5" s="2">
        <f>0.0123301886336718*(1)</f>
        <v>1.23301886336718E-2</v>
      </c>
      <c r="XU5" s="2">
        <f>0.0190308817624885*(1)</f>
        <v>1.9030881762488499E-2</v>
      </c>
      <c r="XV5" s="2">
        <f>0.0336786951151823*(1)</f>
        <v>3.3678695115182303E-2</v>
      </c>
      <c r="XW5" s="2">
        <f>-0.00309765512336146*(1)</f>
        <v>-3.0976551233614599E-3</v>
      </c>
      <c r="XX5" s="2">
        <f>0.00310023710598011*(1)</f>
        <v>3.1002371059801101E-3</v>
      </c>
      <c r="XY5" s="2">
        <f>-0.0103336514852376*(1)</f>
        <v>-1.0333651485237599E-2</v>
      </c>
      <c r="XZ5" s="2">
        <f>0.00517336659767246*(1)</f>
        <v>5.1733665976724597E-3</v>
      </c>
      <c r="YA5" s="2">
        <f>-0.0336622559976986*(1)</f>
        <v>-3.3662255997698599E-2</v>
      </c>
      <c r="YB5" s="2">
        <f>-0.00586483050246783*(1)</f>
        <v>-5.8648305024678301E-3</v>
      </c>
      <c r="YC5" s="2">
        <f>0.0268693322180943*(1)</f>
        <v>2.6869332218094299E-2</v>
      </c>
      <c r="YD5" s="2">
        <f>0.00735483864185706*(1)</f>
        <v>7.3548386418570604E-3</v>
      </c>
      <c r="YE5" s="2">
        <f>-0.0168979735541027*(1)</f>
        <v>-1.6897973554102701E-2</v>
      </c>
      <c r="YF5" s="2">
        <f>-0.00227305082492975*(1)</f>
        <v>-2.2730508249297499E-3</v>
      </c>
      <c r="YG5" s="2">
        <f>-0.00034625208694199*(1)</f>
        <v>-3.4625208694198998E-4</v>
      </c>
      <c r="YH5" s="2">
        <f>-0.0102767084702749*(1)</f>
        <v>-1.02767084702749E-2</v>
      </c>
      <c r="YI5" s="2">
        <f>0.0293520954273125*(1)</f>
        <v>2.93520954273125E-2</v>
      </c>
      <c r="YJ5" s="2">
        <f>-0.0353329836795085*(1)</f>
        <v>-3.5332983679508503E-2</v>
      </c>
      <c r="YK5" s="2">
        <f>-0.04849701184244*(1)</f>
        <v>-4.8497011842439999E-2</v>
      </c>
      <c r="YL5" s="2">
        <f>-0.0162162290089727*(1)</f>
        <v>-1.62162290089727E-2</v>
      </c>
      <c r="YM5" s="2">
        <f>0.0172829597492848*(1)</f>
        <v>1.7282959749284801E-2</v>
      </c>
      <c r="YN5" s="2">
        <f>-0.0342766121573773*(1)</f>
        <v>-3.4276612157377297E-2</v>
      </c>
      <c r="YO5" s="2">
        <f>0.0189963613312923*(1)</f>
        <v>1.8996361331292299E-2</v>
      </c>
      <c r="YP5" s="2">
        <f>-0.0127524737434758*(1)</f>
        <v>-1.27524737434758E-2</v>
      </c>
      <c r="YQ5" s="2">
        <f>-0.0218867529914106*(1)</f>
        <v>-2.1886752991410598E-2</v>
      </c>
      <c r="YR5" s="2">
        <f>-0.00530982839270637*(1)</f>
        <v>-5.30982839270637E-3</v>
      </c>
      <c r="YS5" s="2">
        <f>0.0209890961537536*(1)</f>
        <v>2.0989096153753599E-2</v>
      </c>
      <c r="YT5" s="2">
        <f>0.0110684822523536*(1)</f>
        <v>1.1068482252353601E-2</v>
      </c>
      <c r="YU5" s="2">
        <f>-0.0175243033938571*(1)</f>
        <v>-1.7524303393857101E-2</v>
      </c>
      <c r="YV5" s="2">
        <f>0.0000471350267228463*(1)</f>
        <v>4.7135026722846302E-5</v>
      </c>
      <c r="YW5" s="2">
        <f>0.0021322700732093*(1)</f>
        <v>2.1322700732093001E-3</v>
      </c>
      <c r="YX5" s="2">
        <f>0.0367237588471168*(1)</f>
        <v>3.6723758847116802E-2</v>
      </c>
      <c r="YY5" s="2">
        <f>-0.0265474655873564*(1)</f>
        <v>-2.6547465587356399E-2</v>
      </c>
      <c r="YZ5" s="2">
        <f>0.0142939858566811*(1)</f>
        <v>1.42939858566811E-2</v>
      </c>
      <c r="ZA5" s="2">
        <f>-0.00449182757193029*(1)</f>
        <v>-4.4918275719302899E-3</v>
      </c>
      <c r="ZB5" s="2">
        <f>-0.021162132634545*(1)</f>
        <v>-2.1162132634545E-2</v>
      </c>
      <c r="ZC5" s="2">
        <f>-0.0122585777364943*(1)</f>
        <v>-1.2258577736494299E-2</v>
      </c>
      <c r="ZD5" s="2">
        <f>-0.00181420003568615*(1)</f>
        <v>-1.81420003568615E-3</v>
      </c>
      <c r="ZE5" s="2">
        <f>0.00935308905630299*(1)</f>
        <v>9.3530890563029902E-3</v>
      </c>
      <c r="ZF5" s="2">
        <f>0.000793036490773551*(1)</f>
        <v>7.9303649077355103E-4</v>
      </c>
      <c r="ZG5" s="2">
        <f>0.00255240498595623*(1)</f>
        <v>2.5524049859562302E-3</v>
      </c>
      <c r="ZH5" s="2">
        <f>-0.00289620679162498*(1)</f>
        <v>-2.8962067916249801E-3</v>
      </c>
      <c r="ZI5" s="2">
        <f>0.0378114148868744*(1)</f>
        <v>3.7811414886874402E-2</v>
      </c>
      <c r="ZJ5" s="2">
        <f>-0.00556222906189109*(1)</f>
        <v>-5.5622290618910896E-3</v>
      </c>
      <c r="ZK5" s="2">
        <f>0.0272792562064786*(1)</f>
        <v>2.72792562064786E-2</v>
      </c>
      <c r="ZL5" s="2">
        <f>-0.0109476035966977*(1)</f>
        <v>-1.09476035966977E-2</v>
      </c>
      <c r="ZM5" s="2">
        <f>0.0426800187729722*(1)</f>
        <v>4.26800187729722E-2</v>
      </c>
      <c r="ZN5" s="2">
        <f>0.0100093097439179*(1)</f>
        <v>1.00093097439179E-2</v>
      </c>
      <c r="ZO5" s="2">
        <f>-0.0291832254014791*(1)</f>
        <v>-2.91832254014791E-2</v>
      </c>
      <c r="ZP5" s="2">
        <f>-0.000718055441759268*(1)</f>
        <v>-7.1805544175926805E-4</v>
      </c>
      <c r="ZQ5" s="2">
        <f>0.0386778918810751*(1)</f>
        <v>3.8677891881075101E-2</v>
      </c>
      <c r="ZR5" s="2">
        <f>-0.0187742722198467*(1)</f>
        <v>-1.8774272219846701E-2</v>
      </c>
      <c r="ZS5" s="2">
        <f>-0.00621706753708258*(1)</f>
        <v>-6.2170675370825804E-3</v>
      </c>
      <c r="ZT5" s="2">
        <f>-0.00420723598243697*(1)</f>
        <v>-4.2072359824369696E-3</v>
      </c>
      <c r="ZU5" s="2">
        <f>0.016789315711895*(1)</f>
        <v>1.6789315711895E-2</v>
      </c>
      <c r="ZV5" s="2">
        <f>-0.010728668524506*(1)</f>
        <v>-1.0728668524506E-2</v>
      </c>
      <c r="ZW5" s="2">
        <f>-0.0152317269382357*(1)</f>
        <v>-1.52317269382357E-2</v>
      </c>
      <c r="ZX5" s="2">
        <f>-0.0340769282530438*(1)</f>
        <v>-3.4076928253043801E-2</v>
      </c>
      <c r="ZY5" s="2">
        <f>0.0125566517879085*(1)</f>
        <v>1.2556651787908501E-2</v>
      </c>
      <c r="ZZ5" s="2">
        <f>0.00854497444194589*(1)</f>
        <v>8.5449744419458899E-3</v>
      </c>
      <c r="AAA5" s="2">
        <f>-0.0000417011420626731*(1)</f>
        <v>-4.1701142062673101E-5</v>
      </c>
      <c r="AAB5" s="2">
        <f>-0.0102869515573454*(1)</f>
        <v>-1.02869515573454E-2</v>
      </c>
      <c r="AAC5" s="2">
        <f>-0.0158468811275202*(1)</f>
        <v>-1.5846881127520199E-2</v>
      </c>
      <c r="AAD5" s="2">
        <f>-0.0267752208881444*(1)</f>
        <v>-2.6775220888144401E-2</v>
      </c>
      <c r="AAE5" s="2">
        <f>-0.00592657999145725*(1)</f>
        <v>-5.92657999145725E-3</v>
      </c>
      <c r="AAF5" s="2">
        <f>-0.0069713275630297*(1)</f>
        <v>-6.9713275630297004E-3</v>
      </c>
      <c r="AAG5" s="2">
        <f>0.00358708162804552*(1)</f>
        <v>3.5870816280455199E-3</v>
      </c>
      <c r="AAH5" s="2">
        <f>-0.00867756547801841*(1)</f>
        <v>-8.6775654780184095E-3</v>
      </c>
      <c r="AAI5" s="2">
        <f>-0.00435848183006719*(1)</f>
        <v>-4.3584818300671903E-3</v>
      </c>
      <c r="AAJ5" s="2">
        <f>-0.0017541461208942*(1)</f>
        <v>-1.7541461208942001E-3</v>
      </c>
      <c r="AAK5" s="2">
        <f>-0.0535699196111761*(1)</f>
        <v>-5.3569919611176103E-2</v>
      </c>
      <c r="AAL5" s="2">
        <f>0.0383382273615306*(1)</f>
        <v>3.83382273615306E-2</v>
      </c>
      <c r="AAM5" s="2">
        <f>-0.01229362203544*(1)</f>
        <v>-1.229362203544E-2</v>
      </c>
      <c r="AAN5" s="2">
        <f>0.0161941667842092*(1)</f>
        <v>1.61941667842092E-2</v>
      </c>
      <c r="AAO5" s="2">
        <f>0.0282074869628409*(1)</f>
        <v>2.8207486962840901E-2</v>
      </c>
      <c r="AAP5" s="2">
        <f>0.021956498238429*(1)</f>
        <v>2.1956498238429E-2</v>
      </c>
      <c r="AAQ5" s="2">
        <f>0.0215455657977356*(1)</f>
        <v>2.1545565797735599E-2</v>
      </c>
      <c r="AAR5" s="2">
        <f>0.00450666638407943*(1)</f>
        <v>4.50666638407943E-3</v>
      </c>
      <c r="AAS5" s="2">
        <f>0.000598704426969794*(1)</f>
        <v>5.9870442696979397E-4</v>
      </c>
      <c r="AAT5" s="2">
        <f>-0.00370428282203453*(1)</f>
        <v>-3.70428282203453E-3</v>
      </c>
      <c r="AAU5" s="2">
        <f>0.0148440397625401*(1)</f>
        <v>1.48440397625401E-2</v>
      </c>
      <c r="AAV5" s="2">
        <f>0.01311265322839*(1)</f>
        <v>1.311265322839E-2</v>
      </c>
      <c r="AAW5" s="2">
        <f>-0.00694148332286733*(1)</f>
        <v>-6.9414833228673301E-3</v>
      </c>
      <c r="AAX5" s="2">
        <f>-0.0319802104117188*(1)</f>
        <v>-3.19802104117188E-2</v>
      </c>
      <c r="AAY5" s="2">
        <f>-0.043463354445042*(1)</f>
        <v>-4.3463354445041999E-2</v>
      </c>
      <c r="AAZ5" s="2">
        <f>0.00390138281518796*(1)</f>
        <v>3.9013828151879598E-3</v>
      </c>
      <c r="ABA5" s="2">
        <f>0.00837495336968379*(1)</f>
        <v>8.3749533696837897E-3</v>
      </c>
      <c r="ABB5" s="2">
        <f>-0.016507197095842*(1)</f>
        <v>-1.6507197095841999E-2</v>
      </c>
      <c r="ABC5" s="2">
        <f>-0.0307566203960842*(1)</f>
        <v>-3.0756620396084199E-2</v>
      </c>
      <c r="ABD5" s="2">
        <f>-0.0139550067306768*(1)</f>
        <v>-1.3955006730676799E-2</v>
      </c>
      <c r="ABE5" s="2">
        <f>-0.029861597553352*(1)</f>
        <v>-2.9861597553352E-2</v>
      </c>
      <c r="ABF5" s="2">
        <f>0.0000120775417261726*(1)</f>
        <v>1.2077541726172601E-5</v>
      </c>
      <c r="ABG5" s="2">
        <f>-0.0428878820990895*(1)</f>
        <v>-4.2887882099089503E-2</v>
      </c>
      <c r="ABH5" s="2">
        <f>-0.00147163639178126*(1)</f>
        <v>-1.4716363917812599E-3</v>
      </c>
      <c r="ABI5" s="2">
        <f>0.000973156626215738*(1)</f>
        <v>9.7315662621573799E-4</v>
      </c>
      <c r="ABJ5" s="2">
        <f>-0.0324028975256426*(1)</f>
        <v>-3.2402897525642599E-2</v>
      </c>
      <c r="ABK5" s="2">
        <f>0.0199666941633245*(1)</f>
        <v>1.99666941633245E-2</v>
      </c>
      <c r="ABL5" s="2">
        <f>-0.0261914746503691*(1)</f>
        <v>-2.6191474650369102E-2</v>
      </c>
      <c r="ABM5" s="2">
        <f>0.0626038722258132*(1)</f>
        <v>6.2603872225813206E-2</v>
      </c>
      <c r="ABN5" s="2">
        <f>0.0180438860886009*(1)</f>
        <v>1.8043886088600899E-2</v>
      </c>
      <c r="ABO5" s="2">
        <f>-0.0146252016991703*(1)</f>
        <v>-1.4625201699170301E-2</v>
      </c>
      <c r="ABP5" s="2">
        <f>-0.0287927086544361*(1)</f>
        <v>-2.8792708654436099E-2</v>
      </c>
      <c r="ABQ5" s="2">
        <f>-0.0109575325077071*(1)</f>
        <v>-1.0957532507707099E-2</v>
      </c>
      <c r="ABR5" s="2">
        <f>0.00650198983268104*(1)</f>
        <v>6.5019898326810401E-3</v>
      </c>
      <c r="ABS5" s="2">
        <f>0.0129596930184443*(1)</f>
        <v>1.2959693018444299E-2</v>
      </c>
      <c r="ABT5" s="2">
        <f>0.00591691719912062*(1)</f>
        <v>5.91691719912062E-3</v>
      </c>
      <c r="ABU5" s="2">
        <f>-0.0113881610061854*(1)</f>
        <v>-1.13881610061854E-2</v>
      </c>
      <c r="ABV5" s="2">
        <f>0.00747548843182022*(1)</f>
        <v>7.47548843182022E-3</v>
      </c>
      <c r="ABW5" s="2">
        <f>-0.0139554457577767*(1)</f>
        <v>-1.3955445757776699E-2</v>
      </c>
      <c r="ABX5" s="2">
        <f>-0.0139175959225457*(1)</f>
        <v>-1.3917595922545699E-2</v>
      </c>
      <c r="ABY5" s="2">
        <f>-0.00402682771935208*(1)</f>
        <v>-4.0268277193520798E-3</v>
      </c>
      <c r="ABZ5" s="2">
        <f>0.011136697934174*(1)</f>
        <v>1.1136697934174E-2</v>
      </c>
      <c r="ACA5" s="2">
        <f>0.00427756017939099*(1)</f>
        <v>4.2775601793909896E-3</v>
      </c>
      <c r="ACB5" s="2">
        <f>-0.0242077127334615*(1)</f>
        <v>-2.4207712733461499E-2</v>
      </c>
      <c r="ACC5" s="2">
        <f>0.0185630647270025*(1)</f>
        <v>1.8563064727002501E-2</v>
      </c>
      <c r="ACD5" s="2">
        <f>-0.00405060387024355*(1)</f>
        <v>-4.0506038702435498E-3</v>
      </c>
      <c r="ACE5" s="2">
        <f>-0.0174173481141143*(1)</f>
        <v>-1.7417348114114301E-2</v>
      </c>
      <c r="ACF5" s="2">
        <f>-0.0109243736481483*(1)</f>
        <v>-1.09243736481483E-2</v>
      </c>
      <c r="ACG5" s="2">
        <f>-0.0045226626409862*(1)</f>
        <v>-4.5226626409862001E-3</v>
      </c>
      <c r="ACH5" s="2">
        <f>0.00684576451897107*(1)</f>
        <v>6.84576451897107E-3</v>
      </c>
      <c r="ACI5" s="2">
        <f>-0.010013596824492*(1)</f>
        <v>-1.0013596824492E-2</v>
      </c>
      <c r="ACJ5" s="2">
        <f>-0.0456021973795737*(1)</f>
        <v>-4.5602197379573703E-2</v>
      </c>
      <c r="ACK5" s="2">
        <f>0.00128319981072168*(1)</f>
        <v>1.28319981072168E-3</v>
      </c>
      <c r="ACL5" s="2">
        <f>-0.0349659706849565*(1)</f>
        <v>-3.49659706849565E-2</v>
      </c>
      <c r="ACM5" s="2">
        <f>-0.0360014548122349*(1)</f>
        <v>-3.60014548122349E-2</v>
      </c>
      <c r="ACN5" s="2">
        <f>-0.0249205448369429*(1)</f>
        <v>-2.49205448369429E-2</v>
      </c>
      <c r="ACO5" s="2">
        <f>-0.0261319007650731*(1)</f>
        <v>-2.6131900765073102E-2</v>
      </c>
      <c r="ACP5" s="2">
        <f>-0.0176126161610231*(1)</f>
        <v>-1.7612616161023099E-2</v>
      </c>
      <c r="ACQ5" s="2">
        <f>0.0390425388173679*(1)</f>
        <v>3.9042538817367897E-2</v>
      </c>
      <c r="ACR5" s="2">
        <f>-0.0206143435595013*(1)</f>
        <v>-2.06143435595013E-2</v>
      </c>
      <c r="ACS5" s="2">
        <f>-0.0273813703413377*(1)</f>
        <v>-2.73813703413377E-2</v>
      </c>
      <c r="ACT5" s="2">
        <f>0.0204821853397262*(1)</f>
        <v>2.0482185339726199E-2</v>
      </c>
      <c r="ACU5" s="2">
        <f>-0.0361192024366778*(1)</f>
        <v>-3.6119202436677801E-2</v>
      </c>
      <c r="ACV5" s="2">
        <f>0.00706465958645047*(1)</f>
        <v>7.0646595864504698E-3</v>
      </c>
    </row>
    <row r="6" spans="1:776" x14ac:dyDescent="0.2">
      <c r="A6" s="1" t="s">
        <v>70639</v>
      </c>
      <c r="B6" s="2">
        <f>0.0103431343858468*(1)</f>
        <v>1.0343134385846799E-2</v>
      </c>
      <c r="C6" s="2">
        <f>0.0189299597656171*(1)</f>
        <v>1.8929959765617101E-2</v>
      </c>
      <c r="D6" s="2">
        <f>0.0338629179026635*(1)</f>
        <v>3.3862917902663499E-2</v>
      </c>
      <c r="E6" s="2">
        <f>0.0151077323660382*(1)</f>
        <v>1.51077323660382E-2</v>
      </c>
      <c r="F6" s="2">
        <f>0.0319890805782944*(1)</f>
        <v>3.1989080578294402E-2</v>
      </c>
      <c r="G6" s="2">
        <f>-0.0386950821785901*(1)</f>
        <v>-3.86950821785901E-2</v>
      </c>
      <c r="H6" s="2">
        <f>0.0212198073507004*(1)</f>
        <v>2.12198073507004E-2</v>
      </c>
      <c r="I6" s="2">
        <f>-0.0229429459577553*(1)</f>
        <v>-2.2942945957755301E-2</v>
      </c>
      <c r="J6" s="2">
        <f>0.0131454143609987*(1)</f>
        <v>1.3145414360998701E-2</v>
      </c>
      <c r="K6" s="2">
        <f>-0.00423193436697049*(1)</f>
        <v>-4.2319343669704901E-3</v>
      </c>
      <c r="L6" s="2">
        <f>-0.026130683909103*(1)</f>
        <v>-2.6130683909103E-2</v>
      </c>
      <c r="M6" s="2">
        <f>-0.0182510196625609*(1)</f>
        <v>-1.8251019662560899E-2</v>
      </c>
      <c r="N6" s="2">
        <f>-0.0142487508210854*(1)</f>
        <v>-1.42487508210854E-2</v>
      </c>
      <c r="O6" s="2">
        <f>0.0141639527354906*(1)</f>
        <v>1.4163952735490599E-2</v>
      </c>
      <c r="P6" s="2">
        <f>-0.00233729227735907*(1)</f>
        <v>-2.3372922773590701E-3</v>
      </c>
      <c r="Q6" s="2">
        <f>0.0100548940784003*(1)</f>
        <v>1.00548940784003E-2</v>
      </c>
      <c r="R6" s="2">
        <f>-0.0102721287302807*(1)</f>
        <v>-1.0272128730280701E-2</v>
      </c>
      <c r="S6" s="2">
        <f>0.00931123431788071*(1)</f>
        <v>9.3112343178807094E-3</v>
      </c>
      <c r="T6" s="2">
        <f>-0.0131740050189362*(1)</f>
        <v>-1.3174005018936201E-2</v>
      </c>
      <c r="U6" s="2">
        <f>0.0105899614848137*(1)</f>
        <v>1.05899614848137E-2</v>
      </c>
      <c r="V6" s="2">
        <f>-0.0034543679806883*(1)</f>
        <v>-3.4543679806883E-3</v>
      </c>
      <c r="W6" s="2">
        <f>-0.0217009537500762*(1)</f>
        <v>-2.1700953750076201E-2</v>
      </c>
      <c r="X6" s="2">
        <f>0.00603463820279681*(1)</f>
        <v>6.0346382027968099E-3</v>
      </c>
      <c r="Y6" s="2">
        <f>-0.0194190446617711*(1)</f>
        <v>-1.94190446617711E-2</v>
      </c>
      <c r="Z6" s="2">
        <f>-0.0466958579913416*(1)</f>
        <v>-4.6695857991341599E-2</v>
      </c>
      <c r="AA6" s="2">
        <f>0.0139082007414697*(1)</f>
        <v>1.3908200741469701E-2</v>
      </c>
      <c r="AB6" s="2">
        <f>0.0115264394196294*(1)</f>
        <v>1.15264394196294E-2</v>
      </c>
      <c r="AC6" s="2">
        <f>-0.0166229840211395*(1)</f>
        <v>-1.66229840211395E-2</v>
      </c>
      <c r="AD6" s="2">
        <f>-0.0215578208798307*(1)</f>
        <v>-2.15578208798307E-2</v>
      </c>
      <c r="AE6" s="2">
        <f>0.0371114331809491*(1)</f>
        <v>3.7111433180949102E-2</v>
      </c>
      <c r="AF6" s="2">
        <f>0.0150819064288804*(1)</f>
        <v>1.5081906428880401E-2</v>
      </c>
      <c r="AG6" s="2">
        <f>-0.00735093863776186*(1)</f>
        <v>-7.3509386377618603E-3</v>
      </c>
      <c r="AH6" s="2">
        <f>0.0363073768370997*(1)</f>
        <v>3.6307376837099697E-2</v>
      </c>
      <c r="AI6" s="2">
        <f>-0.000951798840901271*(1)</f>
        <v>-9.5179884090127104E-4</v>
      </c>
      <c r="AJ6" s="2">
        <f>-0.00491180774937548*(1)</f>
        <v>-4.9118077493754799E-3</v>
      </c>
      <c r="AK6" s="2">
        <f>0.000714069632708662*(1)</f>
        <v>7.1406963270866195E-4</v>
      </c>
      <c r="AL6" s="2">
        <f>0.0179566118673271*(1)</f>
        <v>1.79566118673271E-2</v>
      </c>
      <c r="AM6" s="2">
        <f>0.0107246334356818*(1)</f>
        <v>1.07246334356818E-2</v>
      </c>
      <c r="AN6" s="2">
        <f>-0.000102867107107958*(1)</f>
        <v>-1.02867107107958E-4</v>
      </c>
      <c r="AO6" s="2">
        <f>-0.0123633803785194*(1)</f>
        <v>-1.23633803785194E-2</v>
      </c>
      <c r="AP6" s="2">
        <f>-0.0119771068711676*(1)</f>
        <v>-1.1977106871167599E-2</v>
      </c>
      <c r="AQ6" s="2">
        <f>0.00583760942065368*(1)</f>
        <v>5.83760942065368E-3</v>
      </c>
      <c r="AR6" s="2">
        <f>-0.00587043276744031*(1)</f>
        <v>-5.8704327674403102E-3</v>
      </c>
      <c r="AS6" s="2">
        <f>0.000167529422841523*(1)</f>
        <v>1.67529422841523E-4</v>
      </c>
      <c r="AT6" s="2">
        <f>0.0057412734458086*(1)</f>
        <v>5.7412734458086E-3</v>
      </c>
      <c r="AU6" s="2">
        <f>-0.025613519384737*(1)</f>
        <v>-2.5613519384737E-2</v>
      </c>
      <c r="AV6" s="2">
        <f>-0.00227463492082456*(1)</f>
        <v>-2.27463492082456E-3</v>
      </c>
      <c r="AW6" s="2">
        <f>-0.00784974759334139*(1)</f>
        <v>-7.8497475933413906E-3</v>
      </c>
      <c r="AX6" s="2">
        <f>-0.0167615366386449*(1)</f>
        <v>-1.6761536638644901E-2</v>
      </c>
      <c r="AY6" s="2">
        <f>0.0225094797293944*(1)</f>
        <v>2.2509479729394401E-2</v>
      </c>
      <c r="AZ6" s="2">
        <f>0.0430582455889939*(1)</f>
        <v>4.3058245588993897E-2</v>
      </c>
      <c r="BA6" s="2">
        <f>0.000932709553226488*(1)</f>
        <v>9.3270955322648805E-4</v>
      </c>
      <c r="BB6" s="2">
        <f>-0.000460050587842966*(1)</f>
        <v>-4.6005058784296602E-4</v>
      </c>
      <c r="BC6" s="2">
        <f>0.0660485975413094*(1)</f>
        <v>6.6048597541309401E-2</v>
      </c>
      <c r="BD6" s="2">
        <f>0.0325501866551604*(1)</f>
        <v>3.25501866551604E-2</v>
      </c>
      <c r="BE6" s="2">
        <f>0.0143401750456453*(1)</f>
        <v>1.43401750456453E-2</v>
      </c>
      <c r="BF6" s="2">
        <f>-0.0184400442441195*(1)</f>
        <v>-1.8440044244119502E-2</v>
      </c>
      <c r="BG6" s="2">
        <f>0.00565203627203848*(1)</f>
        <v>5.6520362720384803E-3</v>
      </c>
      <c r="BH6" s="2">
        <f>0.0354423221409845*(1)</f>
        <v>3.54423221409845E-2</v>
      </c>
      <c r="BI6" s="2">
        <f>-0.0230735008739737*(1)</f>
        <v>-2.3073500873973699E-2</v>
      </c>
      <c r="BJ6" s="2">
        <f>0.0177126945012293*(1)</f>
        <v>1.7712694501229299E-2</v>
      </c>
      <c r="BK6" s="2">
        <f>0.0091807684256072*(1)</f>
        <v>9.1807684256071994E-3</v>
      </c>
      <c r="BL6" s="2">
        <f>-0.0182226858765785*(1)</f>
        <v>-1.82226858765785E-2</v>
      </c>
      <c r="BM6" s="2">
        <f>-0.00690224748668558*(1)</f>
        <v>-6.9022474866855801E-3</v>
      </c>
      <c r="BN6" s="2">
        <f>0.0235380050985893*(1)</f>
        <v>2.3538005098589301E-2</v>
      </c>
      <c r="BO6" s="2">
        <f>0.0115651753181596*(1)</f>
        <v>1.15651753181596E-2</v>
      </c>
      <c r="BP6" s="2">
        <f>0.0182643104085737*(1)</f>
        <v>1.8264310408573702E-2</v>
      </c>
      <c r="BQ6" s="2">
        <f>0.0116879736013235*(1)</f>
        <v>1.16879736013235E-2</v>
      </c>
      <c r="BR6" s="2">
        <f>-0.0124731807320688*(1)</f>
        <v>-1.24731807320688E-2</v>
      </c>
      <c r="BS6" s="2">
        <f>0.0193876783609572*(1)</f>
        <v>1.93876783609572E-2</v>
      </c>
      <c r="BT6" s="2">
        <f>-0.00321605097247621*(1)</f>
        <v>-3.21605097247621E-3</v>
      </c>
      <c r="BU6" s="2">
        <f>-0.00576338965683902*(1)</f>
        <v>-5.7633896568390196E-3</v>
      </c>
      <c r="BV6" s="2">
        <f>-0.00755540385138556*(1)</f>
        <v>-7.5554038513855597E-3</v>
      </c>
      <c r="BW6" s="2">
        <f>0.00524844775354314*(1)</f>
        <v>5.24844775354314E-3</v>
      </c>
      <c r="BX6" s="2">
        <f>-0.0208097609206793*(1)</f>
        <v>-2.08097609206793E-2</v>
      </c>
      <c r="BY6" s="2">
        <f>0.00271586880985013*(1)</f>
        <v>2.7158688098501299E-3</v>
      </c>
      <c r="BZ6" s="2">
        <f>-0.00224141306716263*(1)</f>
        <v>-2.2414130671626299E-3</v>
      </c>
      <c r="CA6" s="2">
        <f>-0.0381174640732706*(1)</f>
        <v>-3.8117464073270602E-2</v>
      </c>
      <c r="CB6" s="2">
        <f>0.00689841826004572*(1)</f>
        <v>6.8984182600457201E-3</v>
      </c>
      <c r="CC6" s="2">
        <f>-0.0186884898420647*(1)</f>
        <v>-1.8688489842064698E-2</v>
      </c>
      <c r="CD6" s="2">
        <f>0.0275065528624932*(1)</f>
        <v>2.7506552862493198E-2</v>
      </c>
      <c r="CE6" s="2">
        <f>-0.00462848268310127*(1)</f>
        <v>-4.6284826831012697E-3</v>
      </c>
      <c r="CF6" s="2">
        <f>-0.0228013448298399*(1)</f>
        <v>-2.2801344829839899E-2</v>
      </c>
      <c r="CG6" s="2">
        <f>-0.0285509192942617*(1)</f>
        <v>-2.8550919294261699E-2</v>
      </c>
      <c r="CH6" s="2">
        <f>0.00615133285395578*(1)</f>
        <v>6.15133285395578E-3</v>
      </c>
      <c r="CI6" s="2">
        <f>-0.0264222310708098*(1)</f>
        <v>-2.64222310708098E-2</v>
      </c>
      <c r="CJ6" s="2">
        <f>0.0189401058123855*(1)</f>
        <v>1.8940105812385501E-2</v>
      </c>
      <c r="CK6" s="2">
        <f>0.00274134776719516*(1)</f>
        <v>2.7413477671951601E-3</v>
      </c>
      <c r="CL6" s="2">
        <f>-0.0173537494210567*(1)</f>
        <v>-1.7353749421056702E-2</v>
      </c>
      <c r="CM6" s="2">
        <f>0.000680208496317097*(1)</f>
        <v>6.8020849631709698E-4</v>
      </c>
      <c r="CN6" s="2">
        <f>-0.0116418302111317*(1)</f>
        <v>-1.16418302111317E-2</v>
      </c>
      <c r="CO6" s="2">
        <f>0.0133292096014305*(1)</f>
        <v>1.3329209601430501E-2</v>
      </c>
      <c r="CP6" s="2">
        <f>0.00698154417142571*(1)</f>
        <v>6.9815441714257097E-3</v>
      </c>
      <c r="CQ6" s="2">
        <f>0.0435521355939853*(1)</f>
        <v>4.3552135593985297E-2</v>
      </c>
      <c r="CR6" s="2">
        <f>0.020955891811816*(1)</f>
        <v>2.0955891811816001E-2</v>
      </c>
      <c r="CS6" s="2">
        <f>0.0511973821326177*(1)</f>
        <v>5.1197382132617701E-2</v>
      </c>
      <c r="CT6" s="2">
        <f>0.0310509152522055*(1)</f>
        <v>3.1050915252205501E-2</v>
      </c>
      <c r="CU6" s="2">
        <f>-0.0491412130634382*(1)</f>
        <v>-4.9141213063438202E-2</v>
      </c>
      <c r="CV6" s="2">
        <f>-0.00760416564485782*(1)</f>
        <v>-7.6041656448578203E-3</v>
      </c>
      <c r="CW6" s="2">
        <f>0.00776744938645177*(1)</f>
        <v>7.7674493864517699E-3</v>
      </c>
      <c r="CX6" s="2">
        <f>-2.79538047421682E-06*(1)</f>
        <v>-2.7953804742168202E-6</v>
      </c>
      <c r="CY6" s="2">
        <f>0.0148276616345482*(1)</f>
        <v>1.4827661634548199E-2</v>
      </c>
      <c r="CZ6" s="2">
        <f>0.0135662915031959*(1)</f>
        <v>1.3566291503195899E-2</v>
      </c>
      <c r="DA6" s="2">
        <f>-0.0127169727061198*(1)</f>
        <v>-1.27169727061198E-2</v>
      </c>
      <c r="DB6" s="2">
        <f>0.0674961973101456*(1)</f>
        <v>6.7496197310145598E-2</v>
      </c>
      <c r="DC6" s="2">
        <f>0.000407461467184248*(1)</f>
        <v>4.0746146718424801E-4</v>
      </c>
      <c r="DD6" s="2">
        <f>-0.0162349945168421*(1)</f>
        <v>-1.6234994516842099E-2</v>
      </c>
      <c r="DE6" s="2">
        <f>0.00892182946899214*(1)</f>
        <v>8.9218294689921394E-3</v>
      </c>
      <c r="DF6" s="2">
        <f>-0.0235258990673526*(1)</f>
        <v>-2.3525899067352599E-2</v>
      </c>
      <c r="DG6" s="2">
        <f>-0.00634008722382237*(1)</f>
        <v>-6.3400872238223698E-3</v>
      </c>
      <c r="DH6" s="2">
        <f>-0.0184099581351051*(1)</f>
        <v>-1.8409958135105101E-2</v>
      </c>
      <c r="DI6" s="2">
        <f>-0.0417544054236653*(1)</f>
        <v>-4.1754405423665299E-2</v>
      </c>
      <c r="DJ6" s="2">
        <f>0.0425876865187168*(1)</f>
        <v>4.2587686518716798E-2</v>
      </c>
      <c r="DK6" s="2">
        <f>0.00154591843064563*(1)</f>
        <v>1.5459184306456299E-3</v>
      </c>
      <c r="DL6" s="2">
        <f>-0.00629109379910816*(1)</f>
        <v>-6.2910937991081601E-3</v>
      </c>
      <c r="DM6" s="2">
        <f>-0.00599831652826068*(1)</f>
        <v>-5.9983165282606801E-3</v>
      </c>
      <c r="DN6" s="2">
        <f>-0.0355188977738211*(1)</f>
        <v>-3.5518897773821098E-2</v>
      </c>
      <c r="DO6" s="2">
        <f>-0.00540126143095358*(1)</f>
        <v>-5.4012614309535802E-3</v>
      </c>
      <c r="DP6" s="2">
        <f>-0.001177293295236*(1)</f>
        <v>-1.177293295236E-3</v>
      </c>
      <c r="DQ6" s="2">
        <f>0.0434935411357472*(1)</f>
        <v>4.3493541135747202E-2</v>
      </c>
      <c r="DR6" s="2">
        <f>-0.00532801790731449*(1)</f>
        <v>-5.32801790731449E-3</v>
      </c>
      <c r="DS6" s="2">
        <f>-0.0226338889132151*(1)</f>
        <v>-2.2633888913215099E-2</v>
      </c>
      <c r="DT6" s="2">
        <f>0.0112006907627498*(1)</f>
        <v>1.12006907627498E-2</v>
      </c>
      <c r="DU6" s="2">
        <f>-0.042095513588942*(1)</f>
        <v>-4.2095513588942E-2</v>
      </c>
      <c r="DV6" s="2">
        <f>-0.00275966895500982*(1)</f>
        <v>-2.7596689550098202E-3</v>
      </c>
      <c r="DW6" s="2">
        <f>-0.0193280716578169*(1)</f>
        <v>-1.93280716578169E-2</v>
      </c>
      <c r="DX6" s="2">
        <f>0.0114715525373747*(1)</f>
        <v>1.14715525373747E-2</v>
      </c>
      <c r="DY6" s="2">
        <f>-0.0354197006950672*(1)</f>
        <v>-3.5419700695067197E-2</v>
      </c>
      <c r="DZ6" s="2">
        <f>-0.0187103428892726*(1)</f>
        <v>-1.8710342889272601E-2</v>
      </c>
      <c r="EA6" s="2">
        <f>0.026741915923963*(1)</f>
        <v>2.6741915923963001E-2</v>
      </c>
      <c r="EB6" s="2">
        <f>-0.00600909162574557*(1)</f>
        <v>-6.0090916257455702E-3</v>
      </c>
      <c r="EC6" s="2">
        <f>-0.0447048580683067*(1)</f>
        <v>-4.4704858068306701E-2</v>
      </c>
      <c r="ED6" s="2">
        <f>0.000716089100324548*(1)</f>
        <v>7.1608910032454798E-4</v>
      </c>
      <c r="EE6" s="2">
        <f>-0.0196062648167381*(1)</f>
        <v>-1.9606264816738099E-2</v>
      </c>
      <c r="EF6" s="2">
        <f>0.015835521045916*(1)</f>
        <v>1.5835521045915998E-2</v>
      </c>
      <c r="EG6" s="2">
        <f>-0.0182721288498753*(1)</f>
        <v>-1.8272128849875301E-2</v>
      </c>
      <c r="EH6" s="2">
        <f>0.00397477673904622*(1)</f>
        <v>3.9747767390462202E-3</v>
      </c>
      <c r="EI6" s="2">
        <f>0.0230516767968487*(1)</f>
        <v>2.3051676796848702E-2</v>
      </c>
      <c r="EJ6" s="2">
        <f>0.0403635981524564*(1)</f>
        <v>4.0363598152456402E-2</v>
      </c>
      <c r="EK6" s="2">
        <f>-0.0339878223664459*(1)</f>
        <v>-3.3987822366445902E-2</v>
      </c>
      <c r="EL6" s="2">
        <f>0.0181493904845457*(1)</f>
        <v>1.81493904845457E-2</v>
      </c>
      <c r="EM6" s="2">
        <f>-0.0279780620506436*(1)</f>
        <v>-2.7978062050643598E-2</v>
      </c>
      <c r="EN6" s="2">
        <f>0.0081943692271129*(1)</f>
        <v>8.1943692271128996E-3</v>
      </c>
      <c r="EO6" s="2">
        <f>0.00160126066540553*(1)</f>
        <v>1.6012606654055299E-3</v>
      </c>
      <c r="EP6" s="2">
        <f>-0.00357350100334666*(1)</f>
        <v>-3.5735010033466599E-3</v>
      </c>
      <c r="EQ6" s="2">
        <f>-0.00564701141740996*(1)</f>
        <v>-5.6470114174099603E-3</v>
      </c>
      <c r="ER6" s="2">
        <f>0.00273124994433848*(1)</f>
        <v>2.7312499443384801E-3</v>
      </c>
      <c r="ES6" s="2">
        <f>-0.0352873701220907*(1)</f>
        <v>-3.5287370122090697E-2</v>
      </c>
      <c r="ET6" s="2">
        <f>0.000799810666442954*(1)</f>
        <v>7.9981066644295397E-4</v>
      </c>
      <c r="EU6" s="2">
        <f>-0.00662955446318355*(1)</f>
        <v>-6.6295544631835499E-3</v>
      </c>
      <c r="EV6" s="2">
        <f>-0.017414396408135*(1)</f>
        <v>-1.7414396408135E-2</v>
      </c>
      <c r="EW6" s="2">
        <f>-0.00415907602448497*(1)</f>
        <v>-4.1590760244849699E-3</v>
      </c>
      <c r="EX6" s="2">
        <f>0.0270461576467663*(1)</f>
        <v>2.7046157646766301E-2</v>
      </c>
      <c r="EY6" s="2">
        <f>-0.033880703588368*(1)</f>
        <v>-3.3880703588367998E-2</v>
      </c>
      <c r="EZ6" s="2">
        <f>-0.0325507862332425*(1)</f>
        <v>-3.25507862332425E-2</v>
      </c>
      <c r="FA6" s="2">
        <f>0.00535233402265454*(1)</f>
        <v>5.35233402265454E-3</v>
      </c>
      <c r="FB6" s="2">
        <f>-0.000978778068898779*(1)</f>
        <v>-9.7877806889877907E-4</v>
      </c>
      <c r="FC6" s="2">
        <f>-0.0323033609690279*(1)</f>
        <v>-3.2303360969027903E-2</v>
      </c>
      <c r="FD6" s="2">
        <f>-0.0455230310609665*(1)</f>
        <v>-4.5523031060966501E-2</v>
      </c>
      <c r="FE6" s="2">
        <f>0.0399399753738621*(1)</f>
        <v>3.9939975373862097E-2</v>
      </c>
      <c r="FF6" s="2">
        <f>-0.0688506301490875*(1)</f>
        <v>-6.8850630149087502E-2</v>
      </c>
      <c r="FG6" s="2">
        <f>-0.0118568758920463*(1)</f>
        <v>-1.1856875892046301E-2</v>
      </c>
      <c r="FH6" s="2">
        <f>-0.0197597668779375*(1)</f>
        <v>-1.9759766877937499E-2</v>
      </c>
      <c r="FI6" s="2">
        <f>-0.05125068790471*(1)</f>
        <v>-5.1250687904709998E-2</v>
      </c>
      <c r="FJ6" s="2">
        <f>-0.0157602042848711*(1)</f>
        <v>-1.5760204284871099E-2</v>
      </c>
      <c r="FK6" s="2">
        <f>-0.0155884386082783*(1)</f>
        <v>-1.5588438608278301E-2</v>
      </c>
      <c r="FL6" s="2">
        <f>-0.00378345070619239*(1)</f>
        <v>-3.78345070619239E-3</v>
      </c>
      <c r="FM6" s="2">
        <f>-0.000436816098277903*(1)</f>
        <v>-4.3681609827790299E-4</v>
      </c>
      <c r="FN6" s="2">
        <f>0.0290888554859641*(1)</f>
        <v>2.9088855485964099E-2</v>
      </c>
      <c r="FO6" s="2">
        <f>0.0383045019702245*(1)</f>
        <v>3.8304501970224503E-2</v>
      </c>
      <c r="FP6" s="2">
        <f>-0.00871422049318215*(1)</f>
        <v>-8.7142204931821496E-3</v>
      </c>
      <c r="FQ6" s="2">
        <f>-0.0402374809995363*(1)</f>
        <v>-4.02374809995363E-2</v>
      </c>
      <c r="FR6" s="2">
        <f>0.035685217728447*(1)</f>
        <v>3.5685217728447002E-2</v>
      </c>
      <c r="FS6" s="2">
        <f>-0.0313786534961607*(1)</f>
        <v>-3.1378653496160702E-2</v>
      </c>
      <c r="FT6" s="2">
        <f>-0.00661721075447141*(1)</f>
        <v>-6.6172107544714099E-3</v>
      </c>
      <c r="FU6" s="2">
        <f>-0.0312184938688626*(1)</f>
        <v>-3.12184938688626E-2</v>
      </c>
      <c r="FV6" s="2">
        <f>-0.00880587574952692*(1)</f>
        <v>-8.8058757495269192E-3</v>
      </c>
      <c r="FW6" s="2">
        <f>-0.0516822692060616*(1)</f>
        <v>-5.1682269206061601E-2</v>
      </c>
      <c r="FX6" s="2">
        <f>0.000946805696439042*(1)</f>
        <v>9.4680569643904196E-4</v>
      </c>
      <c r="FY6" s="2">
        <f>0.0176211807986432*(1)</f>
        <v>1.76211807986432E-2</v>
      </c>
      <c r="FZ6" s="2">
        <f>0.00866484151025867*(1)</f>
        <v>8.6648415102586699E-3</v>
      </c>
      <c r="GA6" s="2">
        <f>-0.0198645718993073*(1)</f>
        <v>-1.98645718993073E-2</v>
      </c>
      <c r="GB6" s="2">
        <f>0.0236654026454607*(1)</f>
        <v>2.3665402645460701E-2</v>
      </c>
      <c r="GC6" s="2">
        <f>0.00461800340022356*(1)</f>
        <v>4.6180034002235599E-3</v>
      </c>
      <c r="GD6" s="2">
        <f>-0.0212505579505954*(1)</f>
        <v>-2.1250557950595401E-2</v>
      </c>
      <c r="GE6" s="2">
        <f>0.0353463552933933*(1)</f>
        <v>3.5346355293393299E-2</v>
      </c>
      <c r="GF6" s="2">
        <f>-0.00123613345554825*(1)</f>
        <v>-1.2361334555482501E-3</v>
      </c>
      <c r="GG6" s="2">
        <f>0.0041785018751657*(1)</f>
        <v>4.1785018751656997E-3</v>
      </c>
      <c r="GH6" s="2">
        <f>-0.00266537214883413*(1)</f>
        <v>-2.66537214883413E-3</v>
      </c>
      <c r="GI6" s="2">
        <f>0.0882863670415391*(1)</f>
        <v>8.8286367041539096E-2</v>
      </c>
      <c r="GJ6" s="2">
        <f>-0.0163755278894452*(1)</f>
        <v>-1.6375527889445199E-2</v>
      </c>
      <c r="GK6" s="2">
        <f>-0.0309132252781553*(1)</f>
        <v>-3.09132252781553E-2</v>
      </c>
      <c r="GL6" s="2">
        <f>-0.0394498626126515*(1)</f>
        <v>-3.9449862612651501E-2</v>
      </c>
      <c r="GM6" s="2">
        <f>0.0306258885250624*(1)</f>
        <v>3.06258885250624E-2</v>
      </c>
      <c r="GN6" s="2">
        <f>-0.0361360398736315*(1)</f>
        <v>-3.6136039873631502E-2</v>
      </c>
      <c r="GO6" s="2">
        <f>0.0358419692095488*(1)</f>
        <v>3.5841969209548803E-2</v>
      </c>
      <c r="GP6" s="2">
        <f>-0.00750034242199114*(1)</f>
        <v>-7.5003424219911401E-3</v>
      </c>
      <c r="GQ6" s="2">
        <f>-0.0309051509266627*(1)</f>
        <v>-3.0905150926662701E-2</v>
      </c>
      <c r="GR6" s="2">
        <f>-0.00695081217209767*(1)</f>
        <v>-6.9508121720976701E-3</v>
      </c>
      <c r="GS6" s="2">
        <f>-0.011755350717068*(1)</f>
        <v>-1.1755350717068E-2</v>
      </c>
      <c r="GT6" s="2">
        <f>-0.0191931443550357*(1)</f>
        <v>-1.9193144355035701E-2</v>
      </c>
      <c r="GU6" s="2">
        <f>-0.00303340642556709*(1)</f>
        <v>-3.03340642556709E-3</v>
      </c>
      <c r="GV6" s="2">
        <f>0.0277219318316436*(1)</f>
        <v>2.7721931831643599E-2</v>
      </c>
      <c r="GW6" s="2">
        <f>-0.00321506945211722*(1)</f>
        <v>-3.2150694521172201E-3</v>
      </c>
      <c r="GX6" s="2">
        <f>0.00914794105831997*(1)</f>
        <v>9.1479410583199701E-3</v>
      </c>
      <c r="GY6" s="2">
        <f>0.00698686075276102*(1)</f>
        <v>6.9868607527610203E-3</v>
      </c>
      <c r="GZ6" s="2">
        <f>0.0507425378967824*(1)</f>
        <v>5.0742537896782403E-2</v>
      </c>
      <c r="HA6" s="2">
        <f>-0.00477693526426739*(1)</f>
        <v>-4.7769352642673896E-3</v>
      </c>
      <c r="HB6" s="2">
        <f>-0.027640937644274*(1)</f>
        <v>-2.7640937644274E-2</v>
      </c>
      <c r="HC6" s="2">
        <f>0.0193994830375487*(1)</f>
        <v>1.9399483037548699E-2</v>
      </c>
      <c r="HD6" s="2">
        <f>-0.000621912651341038*(1)</f>
        <v>-6.2191265134103803E-4</v>
      </c>
      <c r="HE6" s="2">
        <f>0.00658734573745706*(1)</f>
        <v>6.5873457374570604E-3</v>
      </c>
      <c r="HF6" s="2">
        <f>0.0163251845605877*(1)</f>
        <v>1.6325184560587701E-2</v>
      </c>
      <c r="HG6" s="2">
        <f>0.0461097252833617*(1)</f>
        <v>4.6109725283361699E-2</v>
      </c>
      <c r="HH6" s="2">
        <f>-0.00822624157036872*(1)</f>
        <v>-8.2262415703687197E-3</v>
      </c>
      <c r="HI6" s="2">
        <f>-0.023104031886429*(1)</f>
        <v>-2.3104031886429E-2</v>
      </c>
      <c r="HJ6" s="2">
        <f>-0.0159661123324218*(1)</f>
        <v>-1.5966112332421799E-2</v>
      </c>
      <c r="HK6" s="2">
        <f>0.0312250825618992*(1)</f>
        <v>3.1225082561899199E-2</v>
      </c>
      <c r="HL6" s="2">
        <f>-0.0213151582370432*(1)</f>
        <v>-2.1315158237043198E-2</v>
      </c>
      <c r="HM6" s="2">
        <f>-0.00129214657644529*(1)</f>
        <v>-1.29214657644529E-3</v>
      </c>
      <c r="HN6" s="2">
        <f>-0.0398039453933205*(1)</f>
        <v>-3.9803945393320501E-2</v>
      </c>
      <c r="HO6" s="2">
        <f>-0.0095667652119972*(1)</f>
        <v>-9.5667652119972007E-3</v>
      </c>
      <c r="HP6" s="2">
        <f>-0.0101303627794065*(1)</f>
        <v>-1.01303627794065E-2</v>
      </c>
      <c r="HQ6" s="2">
        <f>0.0275737041887296*(1)</f>
        <v>2.7573704188729599E-2</v>
      </c>
      <c r="HR6" s="2">
        <f>0.0257246652811185*(1)</f>
        <v>2.5724665281118501E-2</v>
      </c>
      <c r="HS6" s="2">
        <f>0.0336266776915258*(1)</f>
        <v>3.3626677691525803E-2</v>
      </c>
      <c r="HT6" s="2">
        <f>0.0188351150241392*(1)</f>
        <v>1.8835115024139201E-2</v>
      </c>
      <c r="HU6" s="2">
        <f>0.0262110229563685*(1)</f>
        <v>2.6211022956368499E-2</v>
      </c>
      <c r="HV6" s="2">
        <f>0.039587384994154*(1)</f>
        <v>3.9587384994153998E-2</v>
      </c>
      <c r="HW6" s="2">
        <f>-0.0365556534525655*(1)</f>
        <v>-3.6555653452565499E-2</v>
      </c>
      <c r="HX6" s="2">
        <f>0.0189063159650648*(1)</f>
        <v>1.8906315965064799E-2</v>
      </c>
      <c r="HY6" s="2">
        <f>0.0103786379596413*(1)</f>
        <v>1.03786379596413E-2</v>
      </c>
      <c r="HZ6" s="2">
        <f>0.104062877775522*(1)</f>
        <v>0.10406287777552201</v>
      </c>
      <c r="IA6" s="2">
        <f>0.0766108577057769*(1)</f>
        <v>7.66108577057769E-2</v>
      </c>
      <c r="IB6" s="2">
        <f>-0.0214673721868908*(1)</f>
        <v>-2.14673721868908E-2</v>
      </c>
      <c r="IC6" s="2">
        <f>0.051161504105217*(1)</f>
        <v>5.1161504105216998E-2</v>
      </c>
      <c r="ID6" s="2">
        <f>-0.0428906008958494*(1)</f>
        <v>-4.2890600895849403E-2</v>
      </c>
      <c r="IE6" s="2">
        <f>-0.0540733954715281*(1)</f>
        <v>-5.4073395471528098E-2</v>
      </c>
      <c r="IF6" s="2">
        <f>-0.0413956953490141*(1)</f>
        <v>-4.1395695349014099E-2</v>
      </c>
      <c r="IG6" s="2">
        <f>0.0112557622056161*(1)</f>
        <v>1.12557622056161E-2</v>
      </c>
      <c r="IH6" s="2">
        <f>0.00465379862268127*(1)</f>
        <v>4.6537986226812701E-3</v>
      </c>
      <c r="II6" s="2">
        <f>-0.0099944273549534*(1)</f>
        <v>-9.9944273549534002E-3</v>
      </c>
      <c r="IJ6" s="2">
        <f>0.0478924174213482*(1)</f>
        <v>4.7892417421348199E-2</v>
      </c>
      <c r="IK6" s="2">
        <f>0.0202851942587772*(1)</f>
        <v>2.0285194258777201E-2</v>
      </c>
      <c r="IL6" s="2">
        <f>0.042343129445595*(1)</f>
        <v>4.2343129445594999E-2</v>
      </c>
      <c r="IM6" s="2">
        <f>0.0161741901498078*(1)</f>
        <v>1.61741901498078E-2</v>
      </c>
      <c r="IN6" s="2">
        <f>-0.00294751568418036*(1)</f>
        <v>-2.9475156841803599E-3</v>
      </c>
      <c r="IO6" s="2">
        <f>-0.0332276061400065*(1)</f>
        <v>-3.3227606140006499E-2</v>
      </c>
      <c r="IP6" s="2">
        <f>-0.0140789768369634*(1)</f>
        <v>-1.40789768369634E-2</v>
      </c>
      <c r="IQ6" s="2">
        <f>-0.0356179430434488*(1)</f>
        <v>-3.5617943043448799E-2</v>
      </c>
      <c r="IR6" s="2">
        <f>0.00659226602300777*(1)</f>
        <v>6.5922660230077696E-3</v>
      </c>
      <c r="IS6" s="2">
        <f>-0.0238478042936515*(1)</f>
        <v>-2.3847804293651499E-2</v>
      </c>
      <c r="IT6" s="2">
        <f>0.00451054105379841*(1)</f>
        <v>4.51054105379841E-3</v>
      </c>
      <c r="IU6" s="2">
        <f>-0.0317318418417108*(1)</f>
        <v>-3.1731841841710802E-2</v>
      </c>
      <c r="IV6" s="2">
        <f>0.00839957254408772*(1)</f>
        <v>8.3995725440877203E-3</v>
      </c>
      <c r="IW6" s="2">
        <f>0.0305880231407113*(1)</f>
        <v>3.0588023140711299E-2</v>
      </c>
      <c r="IX6" s="2">
        <f>0.00754185415739496*(1)</f>
        <v>7.5418541573949597E-3</v>
      </c>
      <c r="IY6" s="2">
        <f>0.0226858678876787*(1)</f>
        <v>2.26858678876787E-2</v>
      </c>
      <c r="IZ6" s="2">
        <f>0.0246256374795334*(1)</f>
        <v>2.4625637479533401E-2</v>
      </c>
      <c r="JA6" s="2">
        <f>-0.030970726899129*(1)</f>
        <v>-3.0970726899129001E-2</v>
      </c>
      <c r="JB6" s="2">
        <f>0.00357003163175156*(1)</f>
        <v>3.5700316317515599E-3</v>
      </c>
      <c r="JC6" s="2">
        <f>-0.0205999208288062*(1)</f>
        <v>-2.0599920828806201E-2</v>
      </c>
      <c r="JD6" s="2">
        <f>0.0294000894837888*(1)</f>
        <v>2.9400089483788801E-2</v>
      </c>
      <c r="JE6" s="2">
        <f>0.0340666312445187*(1)</f>
        <v>3.4066631244518697E-2</v>
      </c>
      <c r="JF6" s="2">
        <f>0.0864252541606477*(1)</f>
        <v>8.6425254160647696E-2</v>
      </c>
      <c r="JG6" s="2">
        <f>-0.0249581464966421*(1)</f>
        <v>-2.4958146496642099E-2</v>
      </c>
      <c r="JH6" s="2">
        <f>-0.0189081266087724*(1)</f>
        <v>-1.8908126608772401E-2</v>
      </c>
      <c r="JI6" s="2">
        <f>-0.0838446644674286*(1)</f>
        <v>-8.3844664467428595E-2</v>
      </c>
      <c r="JJ6" s="2">
        <f>0.133670740469466*(1)</f>
        <v>0.133670740469466</v>
      </c>
      <c r="JK6" s="2">
        <f>0.042951809409523*(1)</f>
        <v>4.2951809409522999E-2</v>
      </c>
      <c r="JL6" s="2">
        <f>0.0374685177272955*(1)</f>
        <v>3.7468517727295501E-2</v>
      </c>
      <c r="JM6" s="2">
        <f>-0.136005807701437*(1)</f>
        <v>-0.136005807701437</v>
      </c>
      <c r="JN6" s="2">
        <f>0.0347233719440363*(1)</f>
        <v>3.4723371944036303E-2</v>
      </c>
      <c r="JO6" s="2">
        <f>0.00449601428388296*(1)</f>
        <v>4.4960142838829601E-3</v>
      </c>
      <c r="JP6" s="2">
        <f>0.0357699571322251*(1)</f>
        <v>3.5769957132225097E-2</v>
      </c>
      <c r="JQ6" s="2">
        <f>-0.00984550754679773*(1)</f>
        <v>-9.8455075467977302E-3</v>
      </c>
      <c r="JR6" s="2">
        <f>0.0629020040371286*(1)</f>
        <v>6.2902004037128603E-2</v>
      </c>
      <c r="JS6" s="2">
        <f>0.0304272247368539*(1)</f>
        <v>3.04272247368539E-2</v>
      </c>
      <c r="JT6" s="2">
        <f>-0.0153780196318133*(1)</f>
        <v>-1.5378019631813299E-2</v>
      </c>
      <c r="JU6" s="2">
        <f>0.0643328816023795*(1)</f>
        <v>6.4332881602379502E-2</v>
      </c>
      <c r="JV6" s="2">
        <f>0.159487464946204*(1)</f>
        <v>0.159487464946204</v>
      </c>
      <c r="JW6" s="2">
        <f>0.0333275613606778*(1)</f>
        <v>3.3327561360677799E-2</v>
      </c>
      <c r="JX6" s="2">
        <f>-0.0658440770174135*(1)</f>
        <v>-6.5844077017413502E-2</v>
      </c>
      <c r="JY6" s="2">
        <f>-0.00338168097432739*(1)</f>
        <v>-3.3816809743273898E-3</v>
      </c>
      <c r="JZ6" s="2">
        <f>0.145698653004386*(1)</f>
        <v>0.145698653004386</v>
      </c>
      <c r="KA6" s="2">
        <f>0.046074013424845*(1)</f>
        <v>4.6074013424845003E-2</v>
      </c>
      <c r="KB6" s="2">
        <f>-0.0663135926320889*(1)</f>
        <v>-6.63135926320889E-2</v>
      </c>
      <c r="KC6" s="2">
        <f>-0.0675139361202377*(1)</f>
        <v>-6.7513936120237705E-2</v>
      </c>
      <c r="KD6" s="2">
        <f>-0.0761685999421472*(1)</f>
        <v>-7.6168599942147197E-2</v>
      </c>
      <c r="KE6" s="2">
        <f>0.074991293590333*(1)</f>
        <v>7.4991293590333005E-2</v>
      </c>
      <c r="KF6" s="2">
        <f>-0.0641199502111958*(1)</f>
        <v>-6.4119950211195806E-2</v>
      </c>
      <c r="KG6" s="2">
        <f>0.0442734995643775*(1)</f>
        <v>4.4273499564377497E-2</v>
      </c>
      <c r="KH6" s="2">
        <f>-0.139580235661014*(1)</f>
        <v>-0.13958023566101399</v>
      </c>
      <c r="KI6" s="2">
        <f>-0.0469528162930894*(1)</f>
        <v>-4.6952816293089401E-2</v>
      </c>
      <c r="KJ6" s="2">
        <f>0.0418547912062867*(1)</f>
        <v>4.1854791206286698E-2</v>
      </c>
      <c r="KK6" s="2">
        <f>0.00613622671841228*(1)</f>
        <v>6.13622671841228E-3</v>
      </c>
      <c r="KL6" s="2">
        <f>-0.0042550115967668*(1)</f>
        <v>-4.2550115967668004E-3</v>
      </c>
      <c r="KM6" s="2">
        <f>0.0379548728798904*(1)</f>
        <v>3.7954872879890397E-2</v>
      </c>
      <c r="KN6" s="2">
        <f>-0.0604689183323538*(1)</f>
        <v>-6.0468918332353801E-2</v>
      </c>
      <c r="KO6" s="2">
        <f>-0.0910918362183995*(1)</f>
        <v>-9.1091836218399502E-2</v>
      </c>
      <c r="KP6" s="2">
        <f>0.0251723354610933*(1)</f>
        <v>2.51723354610933E-2</v>
      </c>
      <c r="KQ6" s="2">
        <f>0.0578808038993619*(1)</f>
        <v>5.7880803899361899E-2</v>
      </c>
      <c r="KR6" s="2">
        <f>0.0290903897034956*(1)</f>
        <v>2.90903897034956E-2</v>
      </c>
      <c r="KS6" s="2">
        <f>-0.0200593691453875*(1)</f>
        <v>-2.0059369145387501E-2</v>
      </c>
      <c r="KT6" s="2">
        <f>-0.00292939637081939*(1)</f>
        <v>-2.9293963708193899E-3</v>
      </c>
      <c r="KU6" s="2">
        <f>0.0864022005190006*(1)</f>
        <v>8.6402200519000605E-2</v>
      </c>
      <c r="KV6" s="2">
        <f>0.0350494308257131*(1)</f>
        <v>3.5049430825713102E-2</v>
      </c>
      <c r="KW6" s="2">
        <f>-0.0392817263651542*(1)</f>
        <v>-3.9281726365154201E-2</v>
      </c>
      <c r="KX6" s="2">
        <f>0.0475783081536483*(1)</f>
        <v>4.7578308153648302E-2</v>
      </c>
      <c r="KY6" s="2">
        <f>-0.0512748649637366*(1)</f>
        <v>-5.1274864963736601E-2</v>
      </c>
      <c r="KZ6" s="2">
        <f>0.0402190560916642*(1)</f>
        <v>4.02190560916642E-2</v>
      </c>
      <c r="LA6" s="2">
        <f>-0.0350031550417807*(1)</f>
        <v>-3.5003155041780698E-2</v>
      </c>
      <c r="LB6" s="2">
        <f>0.0155742383429598*(1)</f>
        <v>1.55742383429598E-2</v>
      </c>
      <c r="LC6" s="2">
        <f>-0.0408613109929278*(1)</f>
        <v>-4.08613109929278E-2</v>
      </c>
      <c r="LD6" s="2">
        <f>-0.0204728466778473*(1)</f>
        <v>-2.0472846677847299E-2</v>
      </c>
      <c r="LE6" s="2">
        <f>-0.0050847501553726*(1)</f>
        <v>-5.0847501553726001E-3</v>
      </c>
      <c r="LF6" s="2">
        <f>-0.023698179821638*(1)</f>
        <v>-2.3698179821638E-2</v>
      </c>
      <c r="LG6" s="2">
        <f>0.000302625901743317*(1)</f>
        <v>3.02625901743317E-4</v>
      </c>
      <c r="LH6" s="2">
        <f>-0.0510160366024358*(1)</f>
        <v>-5.1016036602435803E-2</v>
      </c>
      <c r="LI6" s="2">
        <f>-0.0127955842573408*(1)</f>
        <v>-1.27955842573408E-2</v>
      </c>
      <c r="LJ6" s="2">
        <f>-0.004403235098957*(1)</f>
        <v>-4.4032350989569998E-3</v>
      </c>
      <c r="LK6" s="2">
        <f>-0.00215184101737366*(1)</f>
        <v>-2.1518410173736601E-3</v>
      </c>
      <c r="LL6" s="2">
        <f>-0.0401375521163339*(1)</f>
        <v>-4.0137552116333901E-2</v>
      </c>
      <c r="LM6" s="2">
        <f>-0.0260019460837225*(1)</f>
        <v>-2.6001946083722499E-2</v>
      </c>
      <c r="LN6" s="2">
        <f>-0.0365690967945779*(1)</f>
        <v>-3.6569096794577899E-2</v>
      </c>
      <c r="LO6" s="2">
        <f>0.0307059440174295*(1)</f>
        <v>3.0705944017429501E-2</v>
      </c>
      <c r="LP6" s="2">
        <f>-0.0256027249686157*(1)</f>
        <v>-2.5602724968615698E-2</v>
      </c>
      <c r="LQ6" s="2">
        <f>0.0241954890897806*(1)</f>
        <v>2.41954890897806E-2</v>
      </c>
      <c r="LR6" s="2">
        <f>-0.120080066598352*(1)</f>
        <v>-0.12008006659835201</v>
      </c>
      <c r="LS6" s="2">
        <f>0.0238358241662263*(1)</f>
        <v>2.3835824166226299E-2</v>
      </c>
      <c r="LT6" s="2">
        <f>-0.0397797951089149*(1)</f>
        <v>-3.9779795108914898E-2</v>
      </c>
      <c r="LU6" s="2">
        <f>0.0522634299785748*(1)</f>
        <v>5.2263429978574798E-2</v>
      </c>
      <c r="LV6" s="2">
        <f>-0.00810002098968719*(1)</f>
        <v>-8.1000209896871893E-3</v>
      </c>
      <c r="LW6" s="2">
        <f>-0.0306999106768348*(1)</f>
        <v>-3.06999106768348E-2</v>
      </c>
      <c r="LX6" s="2">
        <f>0.0415248899219449*(1)</f>
        <v>4.1524889921944898E-2</v>
      </c>
      <c r="LY6" s="2">
        <f>0.0459658580030931*(1)</f>
        <v>4.59658580030931E-2</v>
      </c>
      <c r="LZ6" s="2">
        <f>-0.0198375204080058*(1)</f>
        <v>-1.98375204080058E-2</v>
      </c>
      <c r="MA6" s="2">
        <f>-0.0450919494916405*(1)</f>
        <v>-4.5091949491640498E-2</v>
      </c>
      <c r="MB6" s="2">
        <f>-0.00119965008266702*(1)</f>
        <v>-1.19965008266702E-3</v>
      </c>
      <c r="MC6" s="2">
        <f>-0.07910131262825*(1)</f>
        <v>-7.9101312628250001E-2</v>
      </c>
      <c r="MD6" s="2">
        <f>0.0354846826474512*(1)</f>
        <v>3.54846826474512E-2</v>
      </c>
      <c r="ME6" s="2">
        <f>0.00424208121382349*(1)</f>
        <v>4.2420812138234901E-3</v>
      </c>
      <c r="MF6" s="2">
        <f>0.0263346290225301*(1)</f>
        <v>2.6334629022530101E-2</v>
      </c>
      <c r="MG6" s="2">
        <f>-0.00263205753894822*(1)</f>
        <v>-2.63205753894822E-3</v>
      </c>
      <c r="MH6" s="2">
        <f>-0.042426839764338*(1)</f>
        <v>-4.2426839764337997E-2</v>
      </c>
      <c r="MI6" s="2">
        <f>0.0130075858493836*(1)</f>
        <v>1.30075858493836E-2</v>
      </c>
      <c r="MJ6" s="2">
        <f>-0.017909790355399*(1)</f>
        <v>-1.7909790355399E-2</v>
      </c>
      <c r="MK6" s="2">
        <f>0.0483423405593205*(1)</f>
        <v>4.8342340559320497E-2</v>
      </c>
      <c r="ML6" s="2">
        <f>-0.0300440070047141*(1)</f>
        <v>-3.0044007004714102E-2</v>
      </c>
      <c r="MM6" s="2">
        <f>-0.0186135871294073*(1)</f>
        <v>-1.8613587129407302E-2</v>
      </c>
      <c r="MN6" s="2">
        <f>0.0598779991125571*(1)</f>
        <v>5.9877999112557097E-2</v>
      </c>
      <c r="MO6" s="2">
        <f>-0.00336772878329819*(1)</f>
        <v>-3.3677287832981902E-3</v>
      </c>
      <c r="MP6" s="2">
        <f>-0.0270176990542638*(1)</f>
        <v>-2.7017699054263801E-2</v>
      </c>
      <c r="MQ6" s="2">
        <f>0.0379562791698923*(1)</f>
        <v>3.7956279169892297E-2</v>
      </c>
      <c r="MR6" s="2">
        <f>0.012166130487871*(1)</f>
        <v>1.2166130487871E-2</v>
      </c>
      <c r="MS6" s="2">
        <f>0.0123604479541861*(1)</f>
        <v>1.23604479541861E-2</v>
      </c>
      <c r="MT6" s="2">
        <f>0.0103523768294798*(1)</f>
        <v>1.0352376829479801E-2</v>
      </c>
      <c r="MU6" s="2">
        <f>0.00635345113886409*(1)</f>
        <v>6.3534511388640899E-3</v>
      </c>
      <c r="MV6" s="2">
        <f>-0.0309001873776626*(1)</f>
        <v>-3.0900187377662602E-2</v>
      </c>
      <c r="MW6" s="2">
        <f>-0.00630414982589106*(1)</f>
        <v>-6.3041498258910597E-3</v>
      </c>
      <c r="MX6" s="2">
        <f>0.00836575300924728*(1)</f>
        <v>8.3657530092472801E-3</v>
      </c>
      <c r="MY6" s="2">
        <f>-0.0600536790893474*(1)</f>
        <v>-6.0053679089347403E-2</v>
      </c>
      <c r="MZ6" s="2">
        <f>-0.00574323234789094*(1)</f>
        <v>-5.74323234789094E-3</v>
      </c>
      <c r="NA6" s="2">
        <f>0.0230557755510947*(1)</f>
        <v>2.3055775551094702E-2</v>
      </c>
      <c r="NB6" s="2">
        <f>-0.0104073287903145*(1)</f>
        <v>-1.04073287903145E-2</v>
      </c>
      <c r="NC6" s="2">
        <f>-0.0124210429118362*(1)</f>
        <v>-1.24210429118362E-2</v>
      </c>
      <c r="ND6" s="2">
        <f>-0.0714677077625927*(1)</f>
        <v>-7.1467707762592703E-2</v>
      </c>
      <c r="NE6" s="2">
        <f>0.033560044766301*(1)</f>
        <v>3.3560044766300999E-2</v>
      </c>
      <c r="NF6" s="2">
        <f>0.0205502528750043*(1)</f>
        <v>2.05502528750043E-2</v>
      </c>
      <c r="NG6" s="2">
        <f>-0.0765731380549249*(1)</f>
        <v>-7.6573138054924897E-2</v>
      </c>
      <c r="NH6" s="2">
        <f>0.0191617640853867*(1)</f>
        <v>1.9161764085386699E-2</v>
      </c>
      <c r="NI6" s="2">
        <f>0.0171912061421011*(1)</f>
        <v>1.7191206142101099E-2</v>
      </c>
      <c r="NJ6" s="2">
        <f>0.0225627200474108*(1)</f>
        <v>2.2562720047410799E-2</v>
      </c>
      <c r="NK6" s="2">
        <f>0.00429243682502661*(1)</f>
        <v>4.2924368250266097E-3</v>
      </c>
      <c r="NL6" s="2">
        <f>-0.000913393392369756*(1)</f>
        <v>-9.1339339236975602E-4</v>
      </c>
      <c r="NM6" s="2">
        <f>-0.0425168959822197*(1)</f>
        <v>-4.25168959822197E-2</v>
      </c>
      <c r="NN6" s="2">
        <f>-0.0137669610657079*(1)</f>
        <v>-1.37669610657079E-2</v>
      </c>
      <c r="NO6" s="2">
        <f>-0.0440787870396685*(1)</f>
        <v>-4.4078787039668499E-2</v>
      </c>
      <c r="NP6" s="2">
        <f>-0.0239560687141675*(1)</f>
        <v>-2.39560687141675E-2</v>
      </c>
      <c r="NQ6" s="2">
        <f>-0.0466816974253325*(1)</f>
        <v>-4.66816974253325E-2</v>
      </c>
      <c r="NR6" s="2">
        <f>0.020999958810452*(1)</f>
        <v>2.0999958810452E-2</v>
      </c>
      <c r="NS6" s="2">
        <f>0.0500193814709587*(1)</f>
        <v>5.0019381470958697E-2</v>
      </c>
      <c r="NT6" s="2">
        <f>-0.0318315851167063*(1)</f>
        <v>-3.18315851167063E-2</v>
      </c>
      <c r="NU6" s="2">
        <f>0.0492659076909325*(1)</f>
        <v>4.9265907690932503E-2</v>
      </c>
      <c r="NV6" s="2">
        <f>-0.0190205494361162*(1)</f>
        <v>-1.90205494361162E-2</v>
      </c>
      <c r="NW6" s="2">
        <f>0.00873337146607881*(1)</f>
        <v>8.7333714660788094E-3</v>
      </c>
      <c r="NX6" s="2">
        <f>0.00777556111595409*(1)</f>
        <v>7.7755611159540904E-3</v>
      </c>
      <c r="NY6" s="2">
        <f>0.00815025659436333*(1)</f>
        <v>8.1502565943633292E-3</v>
      </c>
      <c r="NZ6" s="2">
        <f>-0.041410414013361*(1)</f>
        <v>-4.1410414013360999E-2</v>
      </c>
      <c r="OA6" s="2">
        <f>-0.0237924212512739*(1)</f>
        <v>-2.3792421251273899E-2</v>
      </c>
      <c r="OB6" s="2">
        <f>0.0137722626394868*(1)</f>
        <v>1.3772262639486801E-2</v>
      </c>
      <c r="OC6" s="2">
        <f>0.0616330791553144*(1)</f>
        <v>6.1633079155314401E-2</v>
      </c>
      <c r="OD6" s="2">
        <f>-0.0266480786364925*(1)</f>
        <v>-2.66480786364925E-2</v>
      </c>
      <c r="OE6" s="2">
        <f>0.0547600977109331*(1)</f>
        <v>5.4760097710933098E-2</v>
      </c>
      <c r="OF6" s="2">
        <f>0.000632545194044491*(1)</f>
        <v>6.3254519404449096E-4</v>
      </c>
      <c r="OG6" s="2">
        <f>-0.00369637436745005*(1)</f>
        <v>-3.6963743674500501E-3</v>
      </c>
      <c r="OH6" s="2">
        <f>0.0322933285723682*(1)</f>
        <v>3.2293328572368198E-2</v>
      </c>
      <c r="OI6" s="2">
        <f>0.0223067086231208*(1)</f>
        <v>2.2306708623120799E-2</v>
      </c>
      <c r="OJ6" s="2">
        <f>-0.0224449514857207*(1)</f>
        <v>-2.2444951485720701E-2</v>
      </c>
      <c r="OK6" s="2">
        <f>0.0728838737872937*(1)</f>
        <v>7.2883873787293704E-2</v>
      </c>
      <c r="OL6" s="2">
        <f>0.0135792710382922*(1)</f>
        <v>1.35792710382922E-2</v>
      </c>
      <c r="OM6" s="2">
        <f>-0.00136714549001386*(1)</f>
        <v>-1.3671454900138599E-3</v>
      </c>
      <c r="ON6" s="2">
        <f>-0.0118310234527594*(1)</f>
        <v>-1.1831023452759401E-2</v>
      </c>
      <c r="OO6" s="2">
        <f>-0.0324006790797427*(1)</f>
        <v>-3.24006790797427E-2</v>
      </c>
      <c r="OP6" s="2">
        <f>0.000491002108965195*(1)</f>
        <v>4.9100210896519498E-4</v>
      </c>
      <c r="OQ6" s="2">
        <f>-0.00439493429234117*(1)</f>
        <v>-4.39493429234117E-3</v>
      </c>
      <c r="OR6" s="2">
        <f>0.0134048731275325*(1)</f>
        <v>1.34048731275325E-2</v>
      </c>
      <c r="OS6" s="2">
        <f>-0.0677633962646238*(1)</f>
        <v>-6.7763396264623799E-2</v>
      </c>
      <c r="OT6" s="2">
        <f>0.0451872733041647*(1)</f>
        <v>4.51872733041647E-2</v>
      </c>
      <c r="OU6" s="2">
        <f>-0.0334327858019329*(1)</f>
        <v>-3.3432785801932902E-2</v>
      </c>
      <c r="OV6" s="2">
        <f>-0.0476120030218893*(1)</f>
        <v>-4.7612003021889303E-2</v>
      </c>
      <c r="OW6" s="2">
        <f>0.0168373059733717*(1)</f>
        <v>1.68373059733717E-2</v>
      </c>
      <c r="OX6" s="2">
        <f>0.0118475708116314*(1)</f>
        <v>1.1847570811631399E-2</v>
      </c>
      <c r="OY6" s="2">
        <f>0.0106233853189887*(1)</f>
        <v>1.0623385318988701E-2</v>
      </c>
      <c r="OZ6" s="2">
        <f>0.0103047204367452*(1)</f>
        <v>1.0304720436745201E-2</v>
      </c>
      <c r="PA6" s="2">
        <f>0.00106446238387922*(1)</f>
        <v>1.06446238387922E-3</v>
      </c>
      <c r="PB6" s="2">
        <f>0.0239102460933761*(1)</f>
        <v>2.3910246093376102E-2</v>
      </c>
      <c r="PC6" s="2">
        <f>-0.0165738064187003*(1)</f>
        <v>-1.65738064187003E-2</v>
      </c>
      <c r="PD6" s="2">
        <f>-0.0253137531705269*(1)</f>
        <v>-2.5313753170526899E-2</v>
      </c>
      <c r="PE6" s="2">
        <f>0.00462392944679331*(1)</f>
        <v>4.6239294467933104E-3</v>
      </c>
      <c r="PF6" s="2">
        <f>-0.044204923893678*(1)</f>
        <v>-4.4204923893678E-2</v>
      </c>
      <c r="PG6" s="2">
        <f>-0.00594507871150434*(1)</f>
        <v>-5.9450787115043402E-3</v>
      </c>
      <c r="PH6" s="2">
        <f>0.00560131229879328*(1)</f>
        <v>5.6013122987932798E-3</v>
      </c>
      <c r="PI6" s="2">
        <f>-0.0223560521314609*(1)</f>
        <v>-2.2356052131460899E-2</v>
      </c>
      <c r="PJ6" s="2">
        <f>0.00259377836368232*(1)</f>
        <v>2.5937783636823201E-3</v>
      </c>
      <c r="PK6" s="2">
        <f>-0.0559660035887485*(1)</f>
        <v>-5.5966003588748502E-2</v>
      </c>
      <c r="PL6" s="2">
        <f>-0.0311397985887373*(1)</f>
        <v>-3.1139798588737298E-2</v>
      </c>
      <c r="PM6" s="2">
        <f>-0.0121313196330838*(1)</f>
        <v>-1.21313196330838E-2</v>
      </c>
      <c r="PN6" s="2">
        <f>0.0696490418450626*(1)</f>
        <v>6.9649041845062598E-2</v>
      </c>
      <c r="PO6" s="2">
        <f>0.038011451208495*(1)</f>
        <v>3.8011451208495001E-2</v>
      </c>
      <c r="PP6" s="2">
        <f>0.0404914510226798*(1)</f>
        <v>4.04914510226798E-2</v>
      </c>
      <c r="PQ6" s="2">
        <f>-0.0604758845116579*(1)</f>
        <v>-6.0475884511657897E-2</v>
      </c>
      <c r="PR6" s="2">
        <f>0.0198579116547922*(1)</f>
        <v>1.9857911654792199E-2</v>
      </c>
      <c r="PS6" s="2">
        <f>-0.0125520181246088*(1)</f>
        <v>-1.2552018124608801E-2</v>
      </c>
      <c r="PT6" s="2">
        <f>0.0284084880880335*(1)</f>
        <v>2.84084880880335E-2</v>
      </c>
      <c r="PU6" s="2">
        <f>0.0114169538255989*(1)</f>
        <v>1.1416953825598901E-2</v>
      </c>
      <c r="PV6" s="2">
        <f>-0.00251607719247672*(1)</f>
        <v>-2.5160771924767201E-3</v>
      </c>
      <c r="PW6" s="2">
        <f>-0.0119013309714569*(1)</f>
        <v>-1.1901330971456899E-2</v>
      </c>
      <c r="PX6" s="2">
        <f>0.0404467570178712*(1)</f>
        <v>4.0446757017871197E-2</v>
      </c>
      <c r="PY6" s="2">
        <f>-0.00496583007679226*(1)</f>
        <v>-4.9658300767922601E-3</v>
      </c>
      <c r="PZ6" s="2">
        <f>0.0352696496641423*(1)</f>
        <v>3.5269649664142297E-2</v>
      </c>
      <c r="QA6" s="2">
        <f>-0.0310437872843269*(1)</f>
        <v>-3.1043787284326899E-2</v>
      </c>
      <c r="QB6" s="2">
        <f>-0.037367739116082*(1)</f>
        <v>-3.7367739116082002E-2</v>
      </c>
      <c r="QC6" s="2">
        <f>0.0081941216321806*(1)</f>
        <v>8.1941216321805999E-3</v>
      </c>
      <c r="QD6" s="2">
        <f>-0.0230378961439416*(1)</f>
        <v>-2.30378961439416E-2</v>
      </c>
      <c r="QE6" s="2">
        <f>-0.0755810719940311*(1)</f>
        <v>-7.5581071994031093E-2</v>
      </c>
      <c r="QF6" s="2">
        <f>-0.0249933640008466*(1)</f>
        <v>-2.4993364000846601E-2</v>
      </c>
      <c r="QG6" s="2">
        <f>0.00891799451081453*(1)</f>
        <v>8.9179945108145298E-3</v>
      </c>
      <c r="QH6" s="2">
        <f>-0.0318800263792888*(1)</f>
        <v>-3.1880026379288801E-2</v>
      </c>
      <c r="QI6" s="2">
        <f>-0.0226945089332125*(1)</f>
        <v>-2.2694508933212499E-2</v>
      </c>
      <c r="QJ6" s="2">
        <f>-0.0370913086677059*(1)</f>
        <v>-3.7091308667705901E-2</v>
      </c>
      <c r="QK6" s="2">
        <f>-0.0384267977245505*(1)</f>
        <v>-3.8426797724550502E-2</v>
      </c>
      <c r="QL6" s="2">
        <f>-0.0125132920406842*(1)</f>
        <v>-1.25132920406842E-2</v>
      </c>
      <c r="QM6" s="2">
        <f>-0.0358661749816764*(1)</f>
        <v>-3.5866174981676401E-2</v>
      </c>
      <c r="QN6" s="2">
        <f>0.0320725937956385*(1)</f>
        <v>3.2072593795638503E-2</v>
      </c>
      <c r="QO6" s="2">
        <f>0.00572338020259366*(1)</f>
        <v>5.7233802025936599E-3</v>
      </c>
      <c r="QP6" s="2">
        <f>0.00531145309769597*(1)</f>
        <v>5.3114530976959701E-3</v>
      </c>
      <c r="QQ6" s="2">
        <f>0.00671027216251145*(1)</f>
        <v>6.7102721625114502E-3</v>
      </c>
      <c r="QR6" s="2">
        <f>0.0175353448722372*(1)</f>
        <v>1.75353448722372E-2</v>
      </c>
      <c r="QS6" s="2">
        <f>-0.00173578487837163*(1)</f>
        <v>-1.73578487837163E-3</v>
      </c>
      <c r="QT6" s="2">
        <f>0.03004792301524*(1)</f>
        <v>3.0047923015240001E-2</v>
      </c>
      <c r="QU6" s="2">
        <f>0.046919430610509*(1)</f>
        <v>4.6919430610509003E-2</v>
      </c>
      <c r="QV6" s="2">
        <f>0.0173123530584144*(1)</f>
        <v>1.7312353058414401E-2</v>
      </c>
      <c r="QW6" s="2">
        <f>0.0093429880113935*(1)</f>
        <v>9.3429880113935007E-3</v>
      </c>
      <c r="QX6" s="2">
        <f>0.0219820807778427*(1)</f>
        <v>2.1982080777842701E-2</v>
      </c>
      <c r="QY6" s="2">
        <f>-0.00783700273648913*(1)</f>
        <v>-7.8370027364891293E-3</v>
      </c>
      <c r="QZ6" s="2">
        <f>-0.00674637356550878*(1)</f>
        <v>-6.7463735655087804E-3</v>
      </c>
      <c r="RA6" s="2">
        <f>0.0132581234201833*(1)</f>
        <v>1.32581234201833E-2</v>
      </c>
      <c r="RB6" s="2">
        <f>0.00836728926529989*(1)</f>
        <v>8.3672892652998897E-3</v>
      </c>
      <c r="RC6" s="2">
        <f>-0.0238108305921455*(1)</f>
        <v>-2.3810830592145501E-2</v>
      </c>
      <c r="RD6" s="2">
        <f>0.0707445450502656*(1)</f>
        <v>7.0744545050265603E-2</v>
      </c>
      <c r="RE6" s="2">
        <f>0.0231373814523922*(1)</f>
        <v>2.3137381452392199E-2</v>
      </c>
      <c r="RF6" s="2">
        <f>0.0321199314432669*(1)</f>
        <v>3.21199314432669E-2</v>
      </c>
      <c r="RG6" s="2">
        <f>0.0624263703013941*(1)</f>
        <v>6.2426370301394099E-2</v>
      </c>
      <c r="RH6" s="2">
        <f>-0.0572541746895182*(1)</f>
        <v>-5.7254174689518197E-2</v>
      </c>
      <c r="RI6" s="2">
        <f>-0.0200655843758123*(1)</f>
        <v>-2.0065584375812299E-2</v>
      </c>
      <c r="RJ6" s="2">
        <f>-0.0589256537344752*(1)</f>
        <v>-5.8925653734475197E-2</v>
      </c>
      <c r="RK6" s="2">
        <f>0.0117843879556303*(1)</f>
        <v>1.1784387955630299E-2</v>
      </c>
      <c r="RL6" s="2">
        <f>-0.0186685384424581*(1)</f>
        <v>-1.86685384424581E-2</v>
      </c>
      <c r="RM6" s="2">
        <f>-0.023012660882395*(1)</f>
        <v>-2.3012660882395002E-2</v>
      </c>
      <c r="RN6" s="2">
        <f>-0.0240520455446994*(1)</f>
        <v>-2.4052045544699401E-2</v>
      </c>
      <c r="RO6" s="2">
        <f>0.0123009843610094*(1)</f>
        <v>1.23009843610094E-2</v>
      </c>
      <c r="RP6" s="2">
        <f>0.035735123076459*(1)</f>
        <v>3.5735123076458999E-2</v>
      </c>
      <c r="RQ6" s="2">
        <f>-0.0338142233886368*(1)</f>
        <v>-3.3814223388636801E-2</v>
      </c>
      <c r="RR6" s="2">
        <f>-0.0665981809566994*(1)</f>
        <v>-6.6598180956699393E-2</v>
      </c>
      <c r="RS6" s="2">
        <f>0.0127131631326162*(1)</f>
        <v>1.2713163132616201E-2</v>
      </c>
      <c r="RT6" s="2">
        <f>-0.030615292406835*(1)</f>
        <v>-3.0615292406834999E-2</v>
      </c>
      <c r="RU6" s="2">
        <f>-0.0252181186760768*(1)</f>
        <v>-2.52181186760768E-2</v>
      </c>
      <c r="RV6" s="2">
        <f>-0.00236780482069536*(1)</f>
        <v>-2.36780482069536E-3</v>
      </c>
      <c r="RW6" s="2">
        <f>-0.0466170665834457*(1)</f>
        <v>-4.66170665834457E-2</v>
      </c>
      <c r="RX6" s="2">
        <f>0.00666394408585846*(1)</f>
        <v>6.6639440858584599E-3</v>
      </c>
      <c r="RY6" s="2">
        <f>0.0399748337740021*(1)</f>
        <v>3.99748337740021E-2</v>
      </c>
      <c r="RZ6" s="2">
        <f>0.0200152170980731*(1)</f>
        <v>2.00152170980731E-2</v>
      </c>
      <c r="SA6" s="2">
        <f>-0.049463896445145*(1)</f>
        <v>-4.9463896445144998E-2</v>
      </c>
      <c r="SB6" s="2">
        <f>-0.0587669725843092*(1)</f>
        <v>-5.8766972584309199E-2</v>
      </c>
      <c r="SC6" s="2">
        <f>0.0649093591193542*(1)</f>
        <v>6.4909359119354207E-2</v>
      </c>
      <c r="SD6" s="2">
        <f>0.0133186729178985*(1)</f>
        <v>1.33186729178985E-2</v>
      </c>
      <c r="SE6" s="2">
        <f>0.00597063770620856*(1)</f>
        <v>5.9706377062085604E-3</v>
      </c>
      <c r="SF6" s="2">
        <f>-0.0738137877645087*(1)</f>
        <v>-7.3813787764508698E-2</v>
      </c>
      <c r="SG6" s="2">
        <f>0.0690355544247432*(1)</f>
        <v>6.9035554424743198E-2</v>
      </c>
      <c r="SH6" s="2">
        <f>0.0795611365578119*(1)</f>
        <v>7.9561136557811898E-2</v>
      </c>
      <c r="SI6" s="2">
        <f>0.0491813867696387*(1)</f>
        <v>4.9181386769638701E-2</v>
      </c>
      <c r="SJ6" s="2">
        <f>0.0409651341765229*(1)</f>
        <v>4.0965134176522901E-2</v>
      </c>
      <c r="SK6" s="2">
        <f>0.0177468519105116*(1)</f>
        <v>1.7746851910511601E-2</v>
      </c>
      <c r="SL6" s="2">
        <f>-0.0530421971800776*(1)</f>
        <v>-5.3042197180077598E-2</v>
      </c>
      <c r="SM6" s="2">
        <f>-0.0513352785675639*(1)</f>
        <v>-5.1335278567563897E-2</v>
      </c>
      <c r="SN6" s="2">
        <f>-0.0282858308626746*(1)</f>
        <v>-2.82858308626746E-2</v>
      </c>
      <c r="SO6" s="2">
        <f>0.00383763646785282*(1)</f>
        <v>3.83763646785282E-3</v>
      </c>
      <c r="SP6" s="2">
        <f>0.118356349721853*(1)</f>
        <v>0.11835634972185299</v>
      </c>
      <c r="SQ6" s="2">
        <f>-0.0338255960677913*(1)</f>
        <v>-3.38255960677913E-2</v>
      </c>
      <c r="SR6" s="2">
        <f>0.0107474728150401*(1)</f>
        <v>1.0747472815040101E-2</v>
      </c>
      <c r="SS6" s="2">
        <f>-0.00180274944027596*(1)</f>
        <v>-1.80274944027596E-3</v>
      </c>
      <c r="ST6" s="2">
        <f>-0.0805895743788523*(1)</f>
        <v>-8.0589574378852294E-2</v>
      </c>
      <c r="SU6" s="2">
        <f>-0.0772480742650007*(1)</f>
        <v>-7.7248074265000702E-2</v>
      </c>
      <c r="SV6" s="2">
        <f>-0.0439846450817045*(1)</f>
        <v>-4.39846450817045E-2</v>
      </c>
      <c r="SW6" s="2">
        <f>0.0462874780050751*(1)</f>
        <v>4.62874780050751E-2</v>
      </c>
      <c r="SX6" s="2">
        <f>0.0421469626415251*(1)</f>
        <v>4.21469626415251E-2</v>
      </c>
      <c r="SY6" s="2">
        <f>0.0256973964231192*(1)</f>
        <v>2.56973964231192E-2</v>
      </c>
      <c r="SZ6" s="2">
        <f>0.0620311704087963*(1)</f>
        <v>6.2031170408796299E-2</v>
      </c>
      <c r="TA6" s="2">
        <f>0.0147634802758319*(1)</f>
        <v>1.47634802758319E-2</v>
      </c>
      <c r="TB6" s="2">
        <f>0.00574775642091095*(1)</f>
        <v>5.7477564209109499E-3</v>
      </c>
      <c r="TC6" s="2">
        <f>-0.00935889823395765*(1)</f>
        <v>-9.3588982339576493E-3</v>
      </c>
      <c r="TD6" s="2">
        <f>-0.0100800601177719*(1)</f>
        <v>-1.00800601177719E-2</v>
      </c>
      <c r="TE6" s="2">
        <f>-0.0327077434766168*(1)</f>
        <v>-3.2707743476616799E-2</v>
      </c>
      <c r="TF6" s="2">
        <f>-0.074182322919232*(1)</f>
        <v>-7.4182322919232005E-2</v>
      </c>
      <c r="TG6" s="2">
        <f>0.0248373443920324*(1)</f>
        <v>2.48373443920324E-2</v>
      </c>
      <c r="TH6" s="2">
        <f>0.0121060967077548*(1)</f>
        <v>1.2106096707754799E-2</v>
      </c>
      <c r="TI6" s="2">
        <f>-0.0666086542159878*(1)</f>
        <v>-6.66086542159878E-2</v>
      </c>
      <c r="TJ6" s="2">
        <f>0.0233117367470299*(1)</f>
        <v>2.3311736747029899E-2</v>
      </c>
      <c r="TK6" s="2">
        <f>0.00670708618323697*(1)</f>
        <v>6.70708618323697E-3</v>
      </c>
      <c r="TL6" s="2">
        <f>-0.00913847360043433*(1)</f>
        <v>-9.1384736004343301E-3</v>
      </c>
      <c r="TM6" s="2">
        <f>0.0498036926112843*(1)</f>
        <v>4.9803692611284298E-2</v>
      </c>
      <c r="TN6" s="2">
        <f>-0.0324087312290313*(1)</f>
        <v>-3.2408731229031297E-2</v>
      </c>
      <c r="TO6" s="2">
        <f>-0.0632683289306105*(1)</f>
        <v>-6.3268328930610504E-2</v>
      </c>
      <c r="TP6" s="2">
        <f>0.00529570393845263*(1)</f>
        <v>5.2957039384526304E-3</v>
      </c>
      <c r="TQ6" s="2">
        <f>0.00782207894751199*(1)</f>
        <v>7.8220789475119904E-3</v>
      </c>
      <c r="TR6" s="2">
        <f>0.0236360242540627*(1)</f>
        <v>2.36360242540627E-2</v>
      </c>
      <c r="TS6" s="2">
        <f>-0.0388523347161837*(1)</f>
        <v>-3.8852334716183698E-2</v>
      </c>
      <c r="TT6" s="2">
        <f>-0.0668859620601885*(1)</f>
        <v>-6.68859620601885E-2</v>
      </c>
      <c r="TU6" s="2">
        <f>-0.0852659000418047*(1)</f>
        <v>-8.5265900041804704E-2</v>
      </c>
      <c r="TV6" s="2">
        <f>-0.00393463931133624*(1)</f>
        <v>-3.93463931133624E-3</v>
      </c>
      <c r="TW6" s="2">
        <f>-0.0327929083754721*(1)</f>
        <v>-3.27929083754721E-2</v>
      </c>
      <c r="TX6" s="2">
        <f>0.0191449241962333*(1)</f>
        <v>1.9144924196233301E-2</v>
      </c>
      <c r="TY6" s="2">
        <f>-0.00669074905021183*(1)</f>
        <v>-6.6907490502118297E-3</v>
      </c>
      <c r="TZ6" s="2">
        <f>-0.0138747943995695*(1)</f>
        <v>-1.38747943995695E-2</v>
      </c>
      <c r="UA6" s="2">
        <f>-0.064120193634283*(1)</f>
        <v>-6.4120193634282993E-2</v>
      </c>
      <c r="UB6" s="2">
        <f>-0.0210765259424061*(1)</f>
        <v>-2.10765259424061E-2</v>
      </c>
      <c r="UC6" s="2">
        <f>-0.0218818208886142*(1)</f>
        <v>-2.1881820888614199E-2</v>
      </c>
      <c r="UD6" s="2">
        <f>0.100649931919704*(1)</f>
        <v>0.10064993191970401</v>
      </c>
      <c r="UE6" s="2">
        <f>-0.0486441943585508*(1)</f>
        <v>-4.8644194358550802E-2</v>
      </c>
      <c r="UF6" s="2">
        <f>-0.0292738192856983*(1)</f>
        <v>-2.9273819285698301E-2</v>
      </c>
      <c r="UG6" s="2">
        <f>-0.11961759545206*(1)</f>
        <v>-0.11961759545205999</v>
      </c>
      <c r="UH6" s="2">
        <f>-0.00155515974909451*(1)</f>
        <v>-1.5551597490945099E-3</v>
      </c>
      <c r="UI6" s="2">
        <f>0.00734442187616281*(1)</f>
        <v>7.3444218761628101E-3</v>
      </c>
      <c r="UJ6" s="2">
        <f>0.0430000118768039*(1)</f>
        <v>4.3000011876803898E-2</v>
      </c>
      <c r="UK6" s="2">
        <f>0.00691712641716231*(1)</f>
        <v>6.9171264171623099E-3</v>
      </c>
      <c r="UL6" s="2">
        <f>-0.0644297945611465*(1)</f>
        <v>-6.4429794561146503E-2</v>
      </c>
      <c r="UM6" s="2">
        <f>0.067438615503393*(1)</f>
        <v>6.7438615503393001E-2</v>
      </c>
      <c r="UN6" s="2">
        <f>-0.0137730382067872*(1)</f>
        <v>-1.37730382067872E-2</v>
      </c>
      <c r="UO6" s="2">
        <f>-0.0219333314941926*(1)</f>
        <v>-2.19333314941926E-2</v>
      </c>
      <c r="UP6" s="2">
        <f>0.00256658730653786*(1)</f>
        <v>2.5665873065378601E-3</v>
      </c>
      <c r="UQ6" s="2">
        <f>0.0103428801466236*(1)</f>
        <v>1.0342880146623599E-2</v>
      </c>
      <c r="UR6" s="2">
        <f>0.0373543691009788*(1)</f>
        <v>3.73543691009788E-2</v>
      </c>
      <c r="US6" s="2">
        <f>0.0474389068187418*(1)</f>
        <v>4.7438906818741799E-2</v>
      </c>
      <c r="UT6" s="2">
        <f>0.0796507186082501*(1)</f>
        <v>7.9650718608250098E-2</v>
      </c>
      <c r="UU6" s="2">
        <f>0.00432057333619513*(1)</f>
        <v>4.3205733361951302E-3</v>
      </c>
      <c r="UV6" s="2">
        <f>-0.0499777099854111*(1)</f>
        <v>-4.9977709985411102E-2</v>
      </c>
      <c r="UW6" s="2">
        <f>0.000951225815397795*(1)</f>
        <v>9.5122581539779495E-4</v>
      </c>
      <c r="UX6" s="2">
        <f>-0.016206528624388*(1)</f>
        <v>-1.6206528624388001E-2</v>
      </c>
      <c r="UY6" s="2">
        <f>-0.0851102983157535*(1)</f>
        <v>-8.5110298315753494E-2</v>
      </c>
      <c r="UZ6" s="2">
        <f>-0.00533384236464266*(1)</f>
        <v>-5.3338423646426599E-3</v>
      </c>
      <c r="VA6" s="2">
        <f>0.0103935728245187*(1)</f>
        <v>1.03935728245187E-2</v>
      </c>
      <c r="VB6" s="2">
        <f>0.0172395653749434*(1)</f>
        <v>1.7239565374943401E-2</v>
      </c>
      <c r="VC6" s="2">
        <f>-0.0202571471782288*(1)</f>
        <v>-2.0257147178228799E-2</v>
      </c>
      <c r="VD6" s="2">
        <f>-0.0321277741163898*(1)</f>
        <v>-3.2127774116389798E-2</v>
      </c>
      <c r="VE6" s="2">
        <f>-0.0286987954430548*(1)</f>
        <v>-2.86987954430548E-2</v>
      </c>
      <c r="VF6" s="2">
        <f>-0.0235913101646256*(1)</f>
        <v>-2.3591310164625599E-2</v>
      </c>
      <c r="VG6" s="2">
        <f>0.110165251219065*(1)</f>
        <v>0.11016525121906499</v>
      </c>
      <c r="VH6" s="2">
        <f>-0.0422363211663574*(1)</f>
        <v>-4.22363211663574E-2</v>
      </c>
      <c r="VI6" s="2">
        <f>-0.00492636765424396*(1)</f>
        <v>-4.9263676542439603E-3</v>
      </c>
      <c r="VJ6" s="2">
        <f>-0.0143083882394066*(1)</f>
        <v>-1.43083882394066E-2</v>
      </c>
      <c r="VK6" s="2">
        <f>0.03552123800977*(1)</f>
        <v>3.5521238009770001E-2</v>
      </c>
      <c r="VL6" s="2">
        <f>0.000856070096135584*(1)</f>
        <v>8.5607009613558399E-4</v>
      </c>
      <c r="VM6" s="2">
        <f>0.0294410386486033*(1)</f>
        <v>2.9441038648603299E-2</v>
      </c>
      <c r="VN6" s="2">
        <f>-0.0502817531702749*(1)</f>
        <v>-5.0281753170274897E-2</v>
      </c>
      <c r="VO6" s="2">
        <f>-0.00623748901164807*(1)</f>
        <v>-6.2374890116480702E-3</v>
      </c>
      <c r="VP6" s="2">
        <f>0.0594600046714762*(1)</f>
        <v>5.9460004671476198E-2</v>
      </c>
      <c r="VQ6" s="2">
        <f>-0.0038017951384518*(1)</f>
        <v>-3.8017951384518001E-3</v>
      </c>
      <c r="VR6" s="2">
        <f>0.0146225672522557*(1)</f>
        <v>1.46225672522557E-2</v>
      </c>
      <c r="VS6" s="2">
        <f>0.0804564740124951*(1)</f>
        <v>8.0456474012495102E-2</v>
      </c>
      <c r="VT6" s="2">
        <f>0.0180556232343193*(1)</f>
        <v>1.80556232343193E-2</v>
      </c>
      <c r="VU6" s="2">
        <f>0.0209046177585984*(1)</f>
        <v>2.09046177585984E-2</v>
      </c>
      <c r="VV6" s="2">
        <f>-0.02912451712311*(1)</f>
        <v>-2.912451712311E-2</v>
      </c>
      <c r="VW6" s="2">
        <f>-0.0508288801026002*(1)</f>
        <v>-5.0828880102600199E-2</v>
      </c>
      <c r="VX6" s="2">
        <f>0.0279582751257444*(1)</f>
        <v>2.7958275125744399E-2</v>
      </c>
      <c r="VY6" s="2">
        <f>-0.012831500148036*(1)</f>
        <v>-1.2831500148035999E-2</v>
      </c>
      <c r="VZ6" s="2">
        <f>0.0167929019854309*(1)</f>
        <v>1.6792901985430899E-2</v>
      </c>
      <c r="WA6" s="2">
        <f>-0.0686504937559564*(1)</f>
        <v>-6.8650493755956402E-2</v>
      </c>
      <c r="WB6" s="2">
        <f>-0.00674331598501558*(1)</f>
        <v>-6.7433159850155801E-3</v>
      </c>
      <c r="WC6" s="2">
        <f>0.00927579394973244*(1)</f>
        <v>9.2757939497324395E-3</v>
      </c>
      <c r="WD6" s="2">
        <f>-0.0340813507910235*(1)</f>
        <v>-3.40813507910235E-2</v>
      </c>
      <c r="WE6" s="2">
        <f>-0.0104432850507351*(1)</f>
        <v>-1.04432850507351E-2</v>
      </c>
      <c r="WF6" s="2">
        <f>-0.0326406013106876*(1)</f>
        <v>-3.2640601310687599E-2</v>
      </c>
      <c r="WG6" s="2">
        <f>0.0637765901645107*(1)</f>
        <v>6.3776590164510705E-2</v>
      </c>
      <c r="WH6" s="2">
        <f>-0.039476546212496*(1)</f>
        <v>-3.9476546212496001E-2</v>
      </c>
      <c r="WI6" s="2">
        <f>0.0398850381140294*(1)</f>
        <v>3.9885038114029402E-2</v>
      </c>
      <c r="WJ6" s="2">
        <f>0.0587551488209728*(1)</f>
        <v>5.8755148820972797E-2</v>
      </c>
      <c r="WK6" s="2">
        <f>-0.0106135261726328*(1)</f>
        <v>-1.06135261726328E-2</v>
      </c>
      <c r="WL6" s="2">
        <f>0.00199937731239319*(1)</f>
        <v>1.99937731239319E-3</v>
      </c>
      <c r="WM6" s="2">
        <f>0.00189443231903868*(1)</f>
        <v>1.89443231903868E-3</v>
      </c>
      <c r="WN6" s="2">
        <f>-0.0219941834407054*(1)</f>
        <v>-2.19941834407054E-2</v>
      </c>
      <c r="WO6" s="2">
        <f>0.00179948497997886*(1)</f>
        <v>1.7994849799788601E-3</v>
      </c>
      <c r="WP6" s="2">
        <f>0.0389884410799506*(1)</f>
        <v>3.89884410799506E-2</v>
      </c>
      <c r="WQ6" s="2">
        <f>-0.0177483091043439*(1)</f>
        <v>-1.7748309104343898E-2</v>
      </c>
      <c r="WR6" s="2">
        <f>0.0133721087910142*(1)</f>
        <v>1.3372108791014199E-2</v>
      </c>
      <c r="WS6" s="2">
        <f>-0.0573736168190898*(1)</f>
        <v>-5.7373616819089798E-2</v>
      </c>
      <c r="WT6" s="2">
        <f>-0.0136364473930978*(1)</f>
        <v>-1.36364473930978E-2</v>
      </c>
      <c r="WU6" s="2">
        <f>-0.0232211258298479*(1)</f>
        <v>-2.3221125829847901E-2</v>
      </c>
      <c r="WV6" s="2">
        <f>-0.0410887512524437*(1)</f>
        <v>-4.1088751252443698E-2</v>
      </c>
      <c r="WW6" s="2">
        <f>0.0393516602011241*(1)</f>
        <v>3.93516602011241E-2</v>
      </c>
      <c r="WX6" s="2">
        <f>0.0180799891058903*(1)</f>
        <v>1.8079989105890301E-2</v>
      </c>
      <c r="WY6" s="2">
        <f>0.00637369453621691*(1)</f>
        <v>6.3736945362169103E-3</v>
      </c>
      <c r="WZ6" s="2">
        <f>-0.0064222530079948*(1)</f>
        <v>-6.4222530079948003E-3</v>
      </c>
      <c r="XA6" s="2">
        <f>-0.0129912614376362*(1)</f>
        <v>-1.29912614376362E-2</v>
      </c>
      <c r="XB6" s="2">
        <f>0.0594964970810297*(1)</f>
        <v>5.9496497081029699E-2</v>
      </c>
      <c r="XC6" s="2">
        <f>-0.0131506100478609*(1)</f>
        <v>-1.3150610047860899E-2</v>
      </c>
      <c r="XD6" s="2">
        <f>-0.0458922252708784*(1)</f>
        <v>-4.5892225270878398E-2</v>
      </c>
      <c r="XE6" s="2">
        <f>0.0272146056302965*(1)</f>
        <v>2.7214605630296498E-2</v>
      </c>
      <c r="XF6" s="2">
        <f>-0.00712484956332949*(1)</f>
        <v>-7.1248495633294898E-3</v>
      </c>
      <c r="XG6" s="2">
        <f>0.00322935300936476*(1)</f>
        <v>3.2293530093647602E-3</v>
      </c>
      <c r="XH6" s="2">
        <f>-0.0496693395835818*(1)</f>
        <v>-4.9669339583581801E-2</v>
      </c>
      <c r="XI6" s="2">
        <f>-0.00558613679933965*(1)</f>
        <v>-5.5861367993396503E-3</v>
      </c>
      <c r="XJ6" s="2">
        <f>-0.0619189536825776*(1)</f>
        <v>-6.1918953682577597E-2</v>
      </c>
      <c r="XK6" s="2">
        <f>-0.0272492987422501*(1)</f>
        <v>-2.72492987422501E-2</v>
      </c>
      <c r="XL6" s="2">
        <f>0.0316973787212113*(1)</f>
        <v>3.1697378721211297E-2</v>
      </c>
      <c r="XM6" s="2">
        <f>0.0249303680994589*(1)</f>
        <v>2.4930368099458901E-2</v>
      </c>
      <c r="XN6" s="2">
        <f>0.0270062415317509*(1)</f>
        <v>2.7006241531750901E-2</v>
      </c>
      <c r="XO6" s="2">
        <f>-0.036092265734239*(1)</f>
        <v>-3.6092265734239001E-2</v>
      </c>
      <c r="XP6" s="2">
        <f>0.0127820423255577*(1)</f>
        <v>1.2782042325557699E-2</v>
      </c>
      <c r="XQ6" s="2">
        <f>0.0281154185095201*(1)</f>
        <v>2.8115418509520099E-2</v>
      </c>
      <c r="XR6" s="2">
        <f>-0.0349434036229239*(1)</f>
        <v>-3.4943403622923898E-2</v>
      </c>
      <c r="XS6" s="2">
        <f>0.0952127849885476*(1)</f>
        <v>9.52127849885476E-2</v>
      </c>
      <c r="XT6" s="2">
        <f>-0.0199968781033179*(1)</f>
        <v>-1.9996878103317899E-2</v>
      </c>
      <c r="XU6" s="2">
        <f>0.0334965855092457*(1)</f>
        <v>3.3496585509245697E-2</v>
      </c>
      <c r="XV6" s="2">
        <f>-0.0502372475118397*(1)</f>
        <v>-5.0237247511839701E-2</v>
      </c>
      <c r="XW6" s="2">
        <f>0.0015929867082382*(1)</f>
        <v>1.5929867082382001E-3</v>
      </c>
      <c r="XX6" s="2">
        <f>0.020914716969369*(1)</f>
        <v>2.0914716969369002E-2</v>
      </c>
      <c r="XY6" s="2">
        <f>0.0154583736744103*(1)</f>
        <v>1.5458373674410299E-2</v>
      </c>
      <c r="XZ6" s="2">
        <f>-0.0180725971176435*(1)</f>
        <v>-1.8072597117643498E-2</v>
      </c>
      <c r="YA6" s="2">
        <f>0.0345694845233011*(1)</f>
        <v>3.4569484523301101E-2</v>
      </c>
      <c r="YB6" s="2">
        <f>0.024585126779352*(1)</f>
        <v>2.4585126779351998E-2</v>
      </c>
      <c r="YC6" s="2">
        <f>0.0162089494234759*(1)</f>
        <v>1.62089494234759E-2</v>
      </c>
      <c r="YD6" s="2">
        <f>-0.00343275847217601*(1)</f>
        <v>-3.4327584721760098E-3</v>
      </c>
      <c r="YE6" s="2">
        <f>-0.0100131801634029*(1)</f>
        <v>-1.0013180163402901E-2</v>
      </c>
      <c r="YF6" s="2">
        <f>0.0218641821791458*(1)</f>
        <v>2.1864182179145802E-2</v>
      </c>
      <c r="YG6" s="2">
        <f>0.00667422335205974*(1)</f>
        <v>6.6742233520597398E-3</v>
      </c>
      <c r="YH6" s="2">
        <f>-0.00878605950934898*(1)</f>
        <v>-8.7860595093489802E-3</v>
      </c>
      <c r="YI6" s="2">
        <f>0.0168072677661171*(1)</f>
        <v>1.6807267766117101E-2</v>
      </c>
      <c r="YJ6" s="2">
        <f>0.0171914298848335*(1)</f>
        <v>1.7191429884833499E-2</v>
      </c>
      <c r="YK6" s="2">
        <f>0.129423480087025*(1)</f>
        <v>0.12942348008702501</v>
      </c>
      <c r="YL6" s="2">
        <f>0.043429599433166*(1)</f>
        <v>4.3429599433166002E-2</v>
      </c>
      <c r="YM6" s="2">
        <f>0.0152019422365475*(1)</f>
        <v>1.52019422365475E-2</v>
      </c>
      <c r="YN6" s="2">
        <f>0.0820605775200486*(1)</f>
        <v>8.2060577520048597E-2</v>
      </c>
      <c r="YO6" s="2">
        <f>-0.0266128602635957*(1)</f>
        <v>-2.6612860263595699E-2</v>
      </c>
      <c r="YP6" s="2">
        <f>-0.0437214753694548*(1)</f>
        <v>-4.3721475369454803E-2</v>
      </c>
      <c r="YQ6" s="2">
        <f>0.0319466475909141*(1)</f>
        <v>3.1946647590914097E-2</v>
      </c>
      <c r="YR6" s="2">
        <f>0.0121368895274355*(1)</f>
        <v>1.2136889527435499E-2</v>
      </c>
      <c r="YS6" s="2">
        <f>0.0122949852373748*(1)</f>
        <v>1.22949852373748E-2</v>
      </c>
      <c r="YT6" s="2">
        <f>-0.0197093919113372*(1)</f>
        <v>-1.97093919113372E-2</v>
      </c>
      <c r="YU6" s="2">
        <f>0.0296342867132673*(1)</f>
        <v>2.9634286713267299E-2</v>
      </c>
      <c r="YV6" s="2">
        <f>0.00514287224457546*(1)</f>
        <v>5.1428722445754603E-3</v>
      </c>
      <c r="YW6" s="2">
        <f>0.0117226411700488*(1)</f>
        <v>1.17226411700488E-2</v>
      </c>
      <c r="YX6" s="2">
        <f>-0.0354549884148678*(1)</f>
        <v>-3.54549884148678E-2</v>
      </c>
      <c r="YY6" s="2">
        <f>0.0734123654757457*(1)</f>
        <v>7.34123654757457E-2</v>
      </c>
      <c r="YZ6" s="2">
        <f>-0.0109520544188242*(1)</f>
        <v>-1.09520544188242E-2</v>
      </c>
      <c r="ZA6" s="2">
        <f>-0.0052954193382086*(1)</f>
        <v>-5.2954193382086E-3</v>
      </c>
      <c r="ZB6" s="2">
        <f>0.0026758506493132*(1)</f>
        <v>2.6758506493132E-3</v>
      </c>
      <c r="ZC6" s="2">
        <f>0.00464318833540145*(1)</f>
        <v>4.64318833540145E-3</v>
      </c>
      <c r="ZD6" s="2">
        <f>-0.0162071984290578*(1)</f>
        <v>-1.6207198429057799E-2</v>
      </c>
      <c r="ZE6" s="2">
        <f>0.00404214959776333*(1)</f>
        <v>4.0421495977633302E-3</v>
      </c>
      <c r="ZF6" s="2">
        <f>-0.00766845412377197*(1)</f>
        <v>-7.66845412377197E-3</v>
      </c>
      <c r="ZG6" s="2">
        <f>0.00842777338110672*(1)</f>
        <v>8.4277733811067203E-3</v>
      </c>
      <c r="ZH6" s="2">
        <f>0.0192154507267281*(1)</f>
        <v>1.92154507267281E-2</v>
      </c>
      <c r="ZI6" s="2">
        <f>0.0388811945675887*(1)</f>
        <v>3.8881194567588699E-2</v>
      </c>
      <c r="ZJ6" s="2">
        <f>0.0543814821535229*(1)</f>
        <v>5.4381482153522898E-2</v>
      </c>
      <c r="ZK6" s="2">
        <f>-0.106358303028125*(1)</f>
        <v>-0.106358303028125</v>
      </c>
      <c r="ZL6" s="2">
        <f>0.0176868990361014*(1)</f>
        <v>1.7686899036101399E-2</v>
      </c>
      <c r="ZM6" s="2">
        <f>-0.0845019884264051*(1)</f>
        <v>-8.4501988426405106E-2</v>
      </c>
      <c r="ZN6" s="2">
        <f>0.0765594623443374*(1)</f>
        <v>7.6559462344337401E-2</v>
      </c>
      <c r="ZO6" s="2">
        <f>0.0606042028426872*(1)</f>
        <v>6.0604202842687201E-2</v>
      </c>
      <c r="ZP6" s="2">
        <f>0.0527700322070984*(1)</f>
        <v>5.2770032207098402E-2</v>
      </c>
      <c r="ZQ6" s="2">
        <f>-0.00745475970939572*(1)</f>
        <v>-7.4547597093957202E-3</v>
      </c>
      <c r="ZR6" s="2">
        <f>-0.0204165883004021*(1)</f>
        <v>-2.0416588300402098E-2</v>
      </c>
      <c r="ZS6" s="2">
        <f>0.0133212716228058*(1)</f>
        <v>1.3321271622805801E-2</v>
      </c>
      <c r="ZT6" s="2">
        <f>-0.0135499683611779*(1)</f>
        <v>-1.3549968361177901E-2</v>
      </c>
      <c r="ZU6" s="2">
        <f>0.0321142415548476*(1)</f>
        <v>3.21142415548476E-2</v>
      </c>
      <c r="ZV6" s="2">
        <f>0.0723055062761162*(1)</f>
        <v>7.2305506276116205E-2</v>
      </c>
      <c r="ZW6" s="2">
        <f>-0.0325532952552276*(1)</f>
        <v>-3.2553295255227599E-2</v>
      </c>
      <c r="ZX6" s="2">
        <f>0.0160259533687102*(1)</f>
        <v>1.60259533687102E-2</v>
      </c>
      <c r="ZY6" s="2">
        <f>-0.0525746416426878*(1)</f>
        <v>-5.2574641642687797E-2</v>
      </c>
      <c r="ZZ6" s="2">
        <f>-0.0258914213170013*(1)</f>
        <v>-2.5891421317001301E-2</v>
      </c>
      <c r="AAA6" s="2">
        <f>-0.0188746709675213*(1)</f>
        <v>-1.8874670967521299E-2</v>
      </c>
      <c r="AAB6" s="2">
        <f>0.0279463600232919*(1)</f>
        <v>2.79463600232919E-2</v>
      </c>
      <c r="AAC6" s="2">
        <f>0.0172357638021961*(1)</f>
        <v>1.7235763802196099E-2</v>
      </c>
      <c r="AAD6" s="2">
        <f>0.0431142749765652*(1)</f>
        <v>4.3114274976565198E-2</v>
      </c>
      <c r="AAE6" s="2">
        <f>0.0436585961035826*(1)</f>
        <v>4.3658596103582602E-2</v>
      </c>
      <c r="AAF6" s="2">
        <f>0.0395098754738145*(1)</f>
        <v>3.9509875473814501E-2</v>
      </c>
      <c r="AAG6" s="2">
        <f>-0.0583039366815931*(1)</f>
        <v>-5.8303936681593102E-2</v>
      </c>
      <c r="AAH6" s="2">
        <f>0.0261903667212088*(1)</f>
        <v>2.6190366721208801E-2</v>
      </c>
      <c r="AAI6" s="2">
        <f>0.0396993507247798*(1)</f>
        <v>3.96993507247798E-2</v>
      </c>
      <c r="AAJ6" s="2">
        <f>0.0614233509262792*(1)</f>
        <v>6.1423350926279201E-2</v>
      </c>
      <c r="AAK6" s="2">
        <f>0.00349301859891746*(1)</f>
        <v>3.49301859891746E-3</v>
      </c>
      <c r="AAL6" s="2">
        <f>-0.0339452770115185*(1)</f>
        <v>-3.3945277011518497E-2</v>
      </c>
      <c r="AAM6" s="2">
        <f>0.0436866757193994*(1)</f>
        <v>4.3686675719399402E-2</v>
      </c>
      <c r="AAN6" s="2">
        <f>-0.0199045856917229*(1)</f>
        <v>-1.99045856917229E-2</v>
      </c>
      <c r="AAO6" s="2">
        <f>-0.0616137880455606*(1)</f>
        <v>-6.16137880455606E-2</v>
      </c>
      <c r="AAP6" s="2">
        <f>0.00398032066137983*(1)</f>
        <v>3.9803206613798301E-3</v>
      </c>
      <c r="AAQ6" s="2">
        <f>0.0465873611838429*(1)</f>
        <v>4.65873611838429E-2</v>
      </c>
      <c r="AAR6" s="2">
        <f>-0.0276351749078843*(1)</f>
        <v>-2.7635174907884301E-2</v>
      </c>
      <c r="AAS6" s="2">
        <f>-0.0238468919474403*(1)</f>
        <v>-2.3846891947440298E-2</v>
      </c>
      <c r="AAT6" s="2">
        <f>-0.0570712113437005*(1)</f>
        <v>-5.7071211343700502E-2</v>
      </c>
      <c r="AAU6" s="2">
        <f>0.0109481334569098*(1)</f>
        <v>1.09481334569098E-2</v>
      </c>
      <c r="AAV6" s="2">
        <f>0.023649351593003*(1)</f>
        <v>2.3649351593003E-2</v>
      </c>
      <c r="AAW6" s="2">
        <f>0.0451840488585021*(1)</f>
        <v>4.51840488585021E-2</v>
      </c>
      <c r="AAX6" s="2">
        <f>0.0209671804402693*(1)</f>
        <v>2.0967180440269299E-2</v>
      </c>
      <c r="AAY6" s="2">
        <f>0.0086296103530682*(1)</f>
        <v>8.6296103530682008E-3</v>
      </c>
      <c r="AAZ6" s="2">
        <f>0.0275326441584105*(1)</f>
        <v>2.7532644158410498E-2</v>
      </c>
      <c r="ABA6" s="2">
        <f>-0.00214850205818895*(1)</f>
        <v>-2.1485020581889498E-3</v>
      </c>
      <c r="ABB6" s="2">
        <f>0.0267769360502064*(1)</f>
        <v>2.6776936050206399E-2</v>
      </c>
      <c r="ABC6" s="2">
        <f>0.0325948750919559*(1)</f>
        <v>3.2594875091955897E-2</v>
      </c>
      <c r="ABD6" s="2">
        <f>-0.0309045843663289*(1)</f>
        <v>-3.09045843663289E-2</v>
      </c>
      <c r="ABE6" s="2">
        <f>0.0453764451073101*(1)</f>
        <v>4.53764451073101E-2</v>
      </c>
      <c r="ABF6" s="2">
        <f>0.0464430680765972*(1)</f>
        <v>4.6443068076597198E-2</v>
      </c>
      <c r="ABG6" s="2">
        <f>0.0368308051022401*(1)</f>
        <v>3.68308051022401E-2</v>
      </c>
      <c r="ABH6" s="2">
        <f>-0.045155314321039*(1)</f>
        <v>-4.5155314321039003E-2</v>
      </c>
      <c r="ABI6" s="2">
        <f>0.0561232707011165*(1)</f>
        <v>5.6123270701116501E-2</v>
      </c>
      <c r="ABJ6" s="2">
        <f>0.0290789979322631*(1)</f>
        <v>2.9078997932263099E-2</v>
      </c>
      <c r="ABK6" s="2">
        <f>-0.0241688684302226*(1)</f>
        <v>-2.41688684302226E-2</v>
      </c>
      <c r="ABL6" s="2">
        <f>-0.00618146301918533*(1)</f>
        <v>-6.1814630191853303E-3</v>
      </c>
      <c r="ABM6" s="2">
        <f>-0.0438096072071533*(1)</f>
        <v>-4.3809607207153302E-2</v>
      </c>
      <c r="ABN6" s="2">
        <f>-0.0783226239004953*(1)</f>
        <v>-7.8322623900495297E-2</v>
      </c>
      <c r="ABO6" s="2">
        <f>0.0451655826106884*(1)</f>
        <v>4.5165582610688398E-2</v>
      </c>
      <c r="ABP6" s="2">
        <f>0.0652682485492419*(1)</f>
        <v>6.5268248549241903E-2</v>
      </c>
      <c r="ABQ6" s="2">
        <f>-0.0702100191340855*(1)</f>
        <v>-7.0210019134085505E-2</v>
      </c>
      <c r="ABR6" s="2">
        <f>-0.000965254597727306*(1)</f>
        <v>-9.6525459772730604E-4</v>
      </c>
      <c r="ABS6" s="2">
        <f>0.00528985135640638*(1)</f>
        <v>5.28985135640638E-3</v>
      </c>
      <c r="ABT6" s="2">
        <f>-0.0103755539360153*(1)</f>
        <v>-1.0375553936015299E-2</v>
      </c>
      <c r="ABU6" s="2">
        <f>0.0597127654137662*(1)</f>
        <v>5.9712765413766203E-2</v>
      </c>
      <c r="ABV6" s="2">
        <f>-0.0160610246835382*(1)</f>
        <v>-1.6061024683538198E-2</v>
      </c>
      <c r="ABW6" s="2">
        <f>0.0135750280452463*(1)</f>
        <v>1.3575028045246299E-2</v>
      </c>
      <c r="ABX6" s="2">
        <f>0.013471483447237*(1)</f>
        <v>1.3471483447237E-2</v>
      </c>
      <c r="ABY6" s="2">
        <f>0.0134115685033915*(1)</f>
        <v>1.3411568503391501E-2</v>
      </c>
      <c r="ABZ6" s="2">
        <f>-0.00225800609126236*(1)</f>
        <v>-2.25800609126236E-3</v>
      </c>
      <c r="ACA6" s="2">
        <f>0.021340622224146*(1)</f>
        <v>2.1340622224146E-2</v>
      </c>
      <c r="ACB6" s="2">
        <f>-0.00608796408366679*(1)</f>
        <v>-6.08796408366679E-3</v>
      </c>
      <c r="ACC6" s="2">
        <f>0.00691334866086607*(1)</f>
        <v>6.9133486608660699E-3</v>
      </c>
      <c r="ACD6" s="2">
        <f>0.0154518444057817*(1)</f>
        <v>1.5451844405781699E-2</v>
      </c>
      <c r="ACE6" s="2">
        <f>0.00518159606384943*(1)</f>
        <v>5.1815960638494302E-3</v>
      </c>
      <c r="ACF6" s="2">
        <f>0.0527073613883894*(1)</f>
        <v>5.2707361388389398E-2</v>
      </c>
      <c r="ACG6" s="2">
        <f>0.000253142008829973*(1)</f>
        <v>2.5314200882997298E-4</v>
      </c>
      <c r="ACH6" s="2">
        <f>0.00646654989030251*(1)</f>
        <v>6.4665498903025099E-3</v>
      </c>
      <c r="ACI6" s="2">
        <f>0.0180543399496239*(1)</f>
        <v>1.8054339949623899E-2</v>
      </c>
      <c r="ACJ6" s="2">
        <f>-0.0575061508151406*(1)</f>
        <v>-5.75061508151406E-2</v>
      </c>
      <c r="ACK6" s="2">
        <f>0.0198911690958389*(1)</f>
        <v>1.98911690958389E-2</v>
      </c>
      <c r="ACL6" s="2">
        <f>0.0189864253305145*(1)</f>
        <v>1.8986425330514499E-2</v>
      </c>
      <c r="ACM6" s="2">
        <f>0.0214505021885978*(1)</f>
        <v>2.14505021885978E-2</v>
      </c>
      <c r="ACN6" s="2">
        <f>0.097476553188976*(1)</f>
        <v>9.7476553188975995E-2</v>
      </c>
      <c r="ACO6" s="2">
        <f>0.0158053435904536*(1)</f>
        <v>1.5805343590453599E-2</v>
      </c>
      <c r="ACP6" s="2">
        <f>-0.0385060577626247*(1)</f>
        <v>-3.8506057762624703E-2</v>
      </c>
      <c r="ACQ6" s="2">
        <f>-0.00680836603906443*(1)</f>
        <v>-6.8083660390644302E-3</v>
      </c>
      <c r="ACR6" s="2">
        <f>-0.00971743579669055*(1)</f>
        <v>-9.7174357966905503E-3</v>
      </c>
      <c r="ACS6" s="2">
        <f>0.0167100745742617*(1)</f>
        <v>1.6710074574261699E-2</v>
      </c>
      <c r="ACT6" s="2">
        <f>-0.0393160009142765*(1)</f>
        <v>-3.9316000914276499E-2</v>
      </c>
      <c r="ACU6" s="2">
        <f>-0.0885820440068957*(1)</f>
        <v>-8.8582044006895705E-2</v>
      </c>
      <c r="ACV6" s="2">
        <f>0.0167868241161027*(1)</f>
        <v>1.6786824116102699E-2</v>
      </c>
    </row>
    <row r="7" spans="1:776" x14ac:dyDescent="0.2">
      <c r="A7" s="1" t="s">
        <v>70640</v>
      </c>
      <c r="B7" s="2">
        <f>-0.00322788022052871*(1)</f>
        <v>-3.2278802205287101E-3</v>
      </c>
      <c r="C7" s="2">
        <f>0.00687661568257423*(1)</f>
        <v>6.8766156825742298E-3</v>
      </c>
      <c r="D7" s="2">
        <f>-0.00655051583801064*(1)</f>
        <v>-6.5505158380106399E-3</v>
      </c>
      <c r="E7" s="2">
        <f>0.00660419983347519*(1)</f>
        <v>6.6041998334751897E-3</v>
      </c>
      <c r="F7" s="2">
        <f>-0.00951919466757595*(1)</f>
        <v>-9.5191946675759493E-3</v>
      </c>
      <c r="G7" s="2">
        <f>0.0143074450099584*(1)</f>
        <v>1.4307445009958401E-2</v>
      </c>
      <c r="H7" s="2">
        <f>0.000851593865328167*(1)</f>
        <v>8.5159386532816697E-4</v>
      </c>
      <c r="I7" s="2">
        <f>-0.00314435146230187*(1)</f>
        <v>-3.1443514623018701E-3</v>
      </c>
      <c r="J7" s="2">
        <f>-0.00387168809018591*(1)</f>
        <v>-3.8716880901859098E-3</v>
      </c>
      <c r="K7" s="2">
        <f>-0.000318301820236314*(1)</f>
        <v>-3.1830182023631398E-4</v>
      </c>
      <c r="L7" s="2">
        <f>0.00526688680625922*(1)</f>
        <v>5.2668868062592201E-3</v>
      </c>
      <c r="M7" s="2">
        <f>0.0125568590316905*(1)</f>
        <v>1.2556859031690499E-2</v>
      </c>
      <c r="N7" s="2">
        <f>-0.00336650712364247*(1)</f>
        <v>-3.3665071236424699E-3</v>
      </c>
      <c r="O7" s="2">
        <f>-0.00885297651160066*(1)</f>
        <v>-8.8529765116006597E-3</v>
      </c>
      <c r="P7" s="2">
        <f>-0.00505670552517048*(1)</f>
        <v>-5.0567055251704799E-3</v>
      </c>
      <c r="Q7" s="2">
        <f>0.00902737005465409*(1)</f>
        <v>9.0273700546540901E-3</v>
      </c>
      <c r="R7" s="2">
        <f>-0.00622516902197377*(1)</f>
        <v>-6.22516902197377E-3</v>
      </c>
      <c r="S7" s="2">
        <f>0.00508419477667243*(1)</f>
        <v>5.0841947766724297E-3</v>
      </c>
      <c r="T7" s="2">
        <f>-0.0134764511844165*(1)</f>
        <v>-1.34764511844165E-2</v>
      </c>
      <c r="U7" s="2">
        <f>-0.0104548623016642*(1)</f>
        <v>-1.0454862301664199E-2</v>
      </c>
      <c r="V7" s="2">
        <f>-0.00297747723978194*(1)</f>
        <v>-2.97747723978194E-3</v>
      </c>
      <c r="W7" s="2">
        <f>0.00168483253640735*(1)</f>
        <v>1.68483253640735E-3</v>
      </c>
      <c r="X7" s="2">
        <f>-0.0107128657839613*(1)</f>
        <v>-1.0712865783961301E-2</v>
      </c>
      <c r="Y7" s="2">
        <f>-0.001334665041298*(1)</f>
        <v>-1.334665041298E-3</v>
      </c>
      <c r="Z7" s="2">
        <f>0.0207604301177923*(1)</f>
        <v>2.07604301177923E-2</v>
      </c>
      <c r="AA7" s="2">
        <f>0.0112574730852148*(1)</f>
        <v>1.1257473085214799E-2</v>
      </c>
      <c r="AB7" s="2">
        <f>0.00368032700540033*(1)</f>
        <v>3.6803270054003301E-3</v>
      </c>
      <c r="AC7" s="2">
        <f>0.0361986998603616*(1)</f>
        <v>3.6198699860361602E-2</v>
      </c>
      <c r="AD7" s="2">
        <f>0.00745096779474203*(1)</f>
        <v>7.4509677947420302E-3</v>
      </c>
      <c r="AE7" s="2">
        <f>-0.00498326474613302*(1)</f>
        <v>-4.9832647461330202E-3</v>
      </c>
      <c r="AF7" s="2">
        <f>-0.00601588677374506*(1)</f>
        <v>-6.01588677374506E-3</v>
      </c>
      <c r="AG7" s="2">
        <f>0.0020736923370732*(1)</f>
        <v>2.0736923370731999E-3</v>
      </c>
      <c r="AH7" s="2">
        <f>-0.00735469135231779*(1)</f>
        <v>-7.3546913523177904E-3</v>
      </c>
      <c r="AI7" s="2">
        <f>-0.0099445972238589*(1)</f>
        <v>-9.9445972238588996E-3</v>
      </c>
      <c r="AJ7" s="2">
        <f>-0.000150178793003437*(1)</f>
        <v>-1.50178793003437E-4</v>
      </c>
      <c r="AK7" s="2">
        <f>-0.0218972943801135*(1)</f>
        <v>-2.1897294380113501E-2</v>
      </c>
      <c r="AL7" s="2">
        <f>0.000615056360029162*(1)</f>
        <v>6.1505636002916197E-4</v>
      </c>
      <c r="AM7" s="2">
        <f>0.000844183112263692*(1)</f>
        <v>8.4418311226369203E-4</v>
      </c>
      <c r="AN7" s="2">
        <f>0.0148288423613722*(1)</f>
        <v>1.48288423613722E-2</v>
      </c>
      <c r="AO7" s="2">
        <f>-0.0047103407973346*(1)</f>
        <v>-4.7103407973345997E-3</v>
      </c>
      <c r="AP7" s="2">
        <f>0.00690923035585859*(1)</f>
        <v>6.9092303558585897E-3</v>
      </c>
      <c r="AQ7" s="2">
        <f>0.0241162007094515*(1)</f>
        <v>2.4116200709451498E-2</v>
      </c>
      <c r="AR7" s="2">
        <f>0.00709635061275546*(1)</f>
        <v>7.0963506127554596E-3</v>
      </c>
      <c r="AS7" s="2">
        <f>0.00128132585535812*(1)</f>
        <v>1.2813258553581201E-3</v>
      </c>
      <c r="AT7" s="2">
        <f>-0.00261169075789644*(1)</f>
        <v>-2.6116907578964399E-3</v>
      </c>
      <c r="AU7" s="2">
        <f>-0.0107133456752571*(1)</f>
        <v>-1.0713345675257099E-2</v>
      </c>
      <c r="AV7" s="2">
        <f>-0.0216918187775023*(1)</f>
        <v>-2.16918187775023E-2</v>
      </c>
      <c r="AW7" s="2">
        <f>0.00944169206235543*(1)</f>
        <v>9.4416920623554296E-3</v>
      </c>
      <c r="AX7" s="2">
        <f>0.00412952534796674*(1)</f>
        <v>4.1295253479667398E-3</v>
      </c>
      <c r="AY7" s="2">
        <f>-0.00107816300146366*(1)</f>
        <v>-1.07816300146366E-3</v>
      </c>
      <c r="AZ7" s="2">
        <f>-0.00546298192709391*(1)</f>
        <v>-5.4629819270939099E-3</v>
      </c>
      <c r="BA7" s="2">
        <f>-0.0117003154249881*(1)</f>
        <v>-1.17003154249881E-2</v>
      </c>
      <c r="BB7" s="2">
        <f>-0.0128713332491649*(1)</f>
        <v>-1.2871333249164899E-2</v>
      </c>
      <c r="BC7" s="2">
        <f>-0.0312158631099242*(1)</f>
        <v>-3.1215863109924202E-2</v>
      </c>
      <c r="BD7" s="2">
        <f>0.00481454555042428*(1)</f>
        <v>4.8145455504242799E-3</v>
      </c>
      <c r="BE7" s="2">
        <f>-0.0203030805079259*(1)</f>
        <v>-2.03030805079259E-2</v>
      </c>
      <c r="BF7" s="2">
        <f>-0.000611711799288681*(1)</f>
        <v>-6.1171179928868095E-4</v>
      </c>
      <c r="BG7" s="2">
        <f>-0.00536867028299972*(1)</f>
        <v>-5.3686702829997199E-3</v>
      </c>
      <c r="BH7" s="2">
        <f>-0.00453745590051308*(1)</f>
        <v>-4.53745590051308E-3</v>
      </c>
      <c r="BI7" s="2">
        <f>0.0162275398430106*(1)</f>
        <v>1.6227539843010601E-2</v>
      </c>
      <c r="BJ7" s="2">
        <f>0.00301905631328955*(1)</f>
        <v>3.0190563132895501E-3</v>
      </c>
      <c r="BK7" s="2">
        <f>-0.0254354316926408*(1)</f>
        <v>-2.54354316926408E-2</v>
      </c>
      <c r="BL7" s="2">
        <f>0.00917522224218801*(1)</f>
        <v>9.1752222421880095E-3</v>
      </c>
      <c r="BM7" s="2">
        <f>0.0136345655497983*(1)</f>
        <v>1.36345655497983E-2</v>
      </c>
      <c r="BN7" s="2">
        <f>0.0125150556075059*(1)</f>
        <v>1.25150556075059E-2</v>
      </c>
      <c r="BO7" s="2">
        <f>-0.00228114248788546*(1)</f>
        <v>-2.2811424878854598E-3</v>
      </c>
      <c r="BP7" s="2">
        <f>-0.0299420347100609*(1)</f>
        <v>-2.9942034710060898E-2</v>
      </c>
      <c r="BQ7" s="2">
        <f>-0.00793318558844671*(1)</f>
        <v>-7.9331855884467103E-3</v>
      </c>
      <c r="BR7" s="2">
        <f>0.00352374348747064*(1)</f>
        <v>3.52374348747064E-3</v>
      </c>
      <c r="BS7" s="2">
        <f>-0.00994895804617119*(1)</f>
        <v>-9.9489580461711892E-3</v>
      </c>
      <c r="BT7" s="2">
        <f>-0.0011174789019972*(1)</f>
        <v>-1.1174789019971999E-3</v>
      </c>
      <c r="BU7" s="2">
        <f>0.00273010180684589*(1)</f>
        <v>2.73010180684589E-3</v>
      </c>
      <c r="BV7" s="2">
        <f>-0.00237499644160177*(1)</f>
        <v>-2.3749964416017698E-3</v>
      </c>
      <c r="BW7" s="2">
        <f>-0.00432378403933245*(1)</f>
        <v>-4.3237840393324503E-3</v>
      </c>
      <c r="BX7" s="2">
        <f>-0.000766504997429367*(1)</f>
        <v>-7.6650499742936696E-4</v>
      </c>
      <c r="BY7" s="2">
        <f>-0.00356240232290633*(1)</f>
        <v>-3.5624023229063298E-3</v>
      </c>
      <c r="BZ7" s="2">
        <f>-0.00458006731304309*(1)</f>
        <v>-4.5800673130430899E-3</v>
      </c>
      <c r="CA7" s="2">
        <f>0.0186059223773377*(1)</f>
        <v>1.86059223773377E-2</v>
      </c>
      <c r="CB7" s="2">
        <f>0.00541752265266517*(1)</f>
        <v>5.4175226526651703E-3</v>
      </c>
      <c r="CC7" s="2">
        <f>-0.014984419169876*(1)</f>
        <v>-1.4984419169875999E-2</v>
      </c>
      <c r="CD7" s="2">
        <f>-0.00751709382744618*(1)</f>
        <v>-7.51709382744618E-3</v>
      </c>
      <c r="CE7" s="2">
        <f>0.0142696240545588*(1)</f>
        <v>1.42696240545588E-2</v>
      </c>
      <c r="CF7" s="2">
        <f>-0.00345203553495981*(1)</f>
        <v>-3.45203553495981E-3</v>
      </c>
      <c r="CG7" s="2">
        <f>0.000732601123655104*(1)</f>
        <v>7.3260112365510399E-4</v>
      </c>
      <c r="CH7" s="2">
        <f>-0.00384250433622055*(1)</f>
        <v>-3.8425043362205502E-3</v>
      </c>
      <c r="CI7" s="2">
        <f>0.0104673703626757*(1)</f>
        <v>1.04673703626757E-2</v>
      </c>
      <c r="CJ7" s="2">
        <f>-0.00521135500802617*(1)</f>
        <v>-5.21135500802617E-3</v>
      </c>
      <c r="CK7" s="2">
        <f>-0.00060584929777332*(1)</f>
        <v>-6.0584929777331999E-4</v>
      </c>
      <c r="CL7" s="2">
        <f>0.000325422762393554*(1)</f>
        <v>3.2542276239355401E-4</v>
      </c>
      <c r="CM7" s="2">
        <f>-0.00133445472884913*(1)</f>
        <v>-1.33445472884913E-3</v>
      </c>
      <c r="CN7" s="2">
        <f>-0.00237378247702731*(1)</f>
        <v>-2.3737824770273101E-3</v>
      </c>
      <c r="CO7" s="2">
        <f>-0.00327650139892945*(1)</f>
        <v>-3.27650139892945E-3</v>
      </c>
      <c r="CP7" s="2">
        <f>-0.0148733894605677*(1)</f>
        <v>-1.4873389460567699E-2</v>
      </c>
      <c r="CQ7" s="2">
        <f>-0.0000302416738306812*(1)</f>
        <v>-3.0241673830681201E-5</v>
      </c>
      <c r="CR7" s="2">
        <f>-0.000592205857313885*(1)</f>
        <v>-5.9220585731388498E-4</v>
      </c>
      <c r="CS7" s="2">
        <f>-0.00517849398355347*(1)</f>
        <v>-5.1784939835534697E-3</v>
      </c>
      <c r="CT7" s="2">
        <f>-0.00745382081417509*(1)</f>
        <v>-7.4538208141750901E-3</v>
      </c>
      <c r="CU7" s="2">
        <f>0.00165202457303387*(1)</f>
        <v>1.6520245730338699E-3</v>
      </c>
      <c r="CV7" s="2">
        <f>0.00108408742799216*(1)</f>
        <v>1.08408742799216E-3</v>
      </c>
      <c r="CW7" s="2">
        <f>0.000610647299056418*(1)</f>
        <v>6.1064729905641805E-4</v>
      </c>
      <c r="CX7" s="2">
        <f>-0.0159513801350185*(1)</f>
        <v>-1.5951380135018501E-2</v>
      </c>
      <c r="CY7" s="2">
        <f>-0.00629540795740894*(1)</f>
        <v>-6.2954079574089397E-3</v>
      </c>
      <c r="CZ7" s="2">
        <f>0.00158194445298978*(1)</f>
        <v>1.5819444529897801E-3</v>
      </c>
      <c r="DA7" s="2">
        <f>-0.000756165504375425*(1)</f>
        <v>-7.5616550437542505E-4</v>
      </c>
      <c r="DB7" s="2">
        <f>-0.00364153732416844*(1)</f>
        <v>-3.6415373241684402E-3</v>
      </c>
      <c r="DC7" s="2">
        <f>-0.00820281252231928*(1)</f>
        <v>-8.2028125223192801E-3</v>
      </c>
      <c r="DD7" s="2">
        <f>-0.00035306048446068*(1)</f>
        <v>-3.5306048446068E-4</v>
      </c>
      <c r="DE7" s="2">
        <f>0.0261286543859881*(1)</f>
        <v>2.61286543859881E-2</v>
      </c>
      <c r="DF7" s="2">
        <f>-0.016822444206936*(1)</f>
        <v>-1.6822444206935998E-2</v>
      </c>
      <c r="DG7" s="2">
        <f>0.0174452612295212*(1)</f>
        <v>1.7445261229521201E-2</v>
      </c>
      <c r="DH7" s="2">
        <f>-0.000981032899181104*(1)</f>
        <v>-9.810328991811041E-4</v>
      </c>
      <c r="DI7" s="2">
        <f>0.0304844930870644*(1)</f>
        <v>3.0484493087064399E-2</v>
      </c>
      <c r="DJ7" s="2">
        <f>-0.0200022462809114*(1)</f>
        <v>-2.00022462809114E-2</v>
      </c>
      <c r="DK7" s="2">
        <f>-0.00468298598668695*(1)</f>
        <v>-4.6829859866869498E-3</v>
      </c>
      <c r="DL7" s="2">
        <f>0.0543852394652425*(1)</f>
        <v>5.4385239465242499E-2</v>
      </c>
      <c r="DM7" s="2">
        <f>-0.0132069665264248*(1)</f>
        <v>-1.32069665264248E-2</v>
      </c>
      <c r="DN7" s="2">
        <f>-0.00559165333285958*(1)</f>
        <v>-5.5916533328595804E-3</v>
      </c>
      <c r="DO7" s="2">
        <f>-0.0100641298620597*(1)</f>
        <v>-1.0064129862059699E-2</v>
      </c>
      <c r="DP7" s="2">
        <f>0.0131112106281824*(1)</f>
        <v>1.31112106281824E-2</v>
      </c>
      <c r="DQ7" s="2">
        <f>-0.0123791234874168*(1)</f>
        <v>-1.23791234874168E-2</v>
      </c>
      <c r="DR7" s="2">
        <f>0.0157225455882092*(1)</f>
        <v>1.5722545588209201E-2</v>
      </c>
      <c r="DS7" s="2">
        <f>0.026343093570128*(1)</f>
        <v>2.6343093570127998E-2</v>
      </c>
      <c r="DT7" s="2">
        <f>0.00642168663569961*(1)</f>
        <v>6.4216866356996104E-3</v>
      </c>
      <c r="DU7" s="2">
        <f>-0.010957859210884*(1)</f>
        <v>-1.0957859210884E-2</v>
      </c>
      <c r="DV7" s="2">
        <f>-0.000690074940046225*(1)</f>
        <v>-6.9007494004622505E-4</v>
      </c>
      <c r="DW7" s="2">
        <f>-0.0137067279643102*(1)</f>
        <v>-1.37067279643102E-2</v>
      </c>
      <c r="DX7" s="2">
        <f>-0.0115065613389799*(1)</f>
        <v>-1.15065613389799E-2</v>
      </c>
      <c r="DY7" s="2">
        <f>0.0182479715267547*(1)</f>
        <v>1.8247971526754701E-2</v>
      </c>
      <c r="DZ7" s="2">
        <f>0.00841186620165317*(1)</f>
        <v>8.4118662016531703E-3</v>
      </c>
      <c r="EA7" s="2">
        <f>0.0305023170476485*(1)</f>
        <v>3.0502317047648501E-2</v>
      </c>
      <c r="EB7" s="2">
        <f>0.0111049077672356*(1)</f>
        <v>1.11049077672356E-2</v>
      </c>
      <c r="EC7" s="2">
        <f>0.00454744319767441*(1)</f>
        <v>4.5474431976744098E-3</v>
      </c>
      <c r="ED7" s="2">
        <f>-0.0118418467579678*(1)</f>
        <v>-1.1841846757967799E-2</v>
      </c>
      <c r="EE7" s="2">
        <f>0.0105592956973129*(1)</f>
        <v>1.05592956973129E-2</v>
      </c>
      <c r="EF7" s="2">
        <f>0.00213057188400543*(1)</f>
        <v>2.13057188400543E-3</v>
      </c>
      <c r="EG7" s="2">
        <f>0.0029253140205931*(1)</f>
        <v>2.9253140205931002E-3</v>
      </c>
      <c r="EH7" s="2">
        <f>0.0121228255865886*(1)</f>
        <v>1.2122825586588599E-2</v>
      </c>
      <c r="EI7" s="2">
        <f>0.0132621771347617*(1)</f>
        <v>1.32621771347617E-2</v>
      </c>
      <c r="EJ7" s="2">
        <f>-0.00219444116955943*(1)</f>
        <v>-2.19444116955943E-3</v>
      </c>
      <c r="EK7" s="2">
        <f>-0.0214700110172197*(1)</f>
        <v>-2.1470011017219699E-2</v>
      </c>
      <c r="EL7" s="2">
        <f>-0.0143860469091252*(1)</f>
        <v>-1.43860469091252E-2</v>
      </c>
      <c r="EM7" s="2">
        <f>0.00201491356795384*(1)</f>
        <v>2.0149135679538399E-3</v>
      </c>
      <c r="EN7" s="2">
        <f>0.013612159720435*(1)</f>
        <v>1.3612159720435E-2</v>
      </c>
      <c r="EO7" s="2">
        <f>0.00759039672319484*(1)</f>
        <v>7.5903967231948401E-3</v>
      </c>
      <c r="EP7" s="2">
        <f>0.00198089569286031*(1)</f>
        <v>1.9808956928603098E-3</v>
      </c>
      <c r="EQ7" s="2">
        <f>0.0186129369537311*(1)</f>
        <v>1.8612936953731101E-2</v>
      </c>
      <c r="ER7" s="2">
        <f>0.0335071510779792*(1)</f>
        <v>3.3507151077979198E-2</v>
      </c>
      <c r="ES7" s="2">
        <f>0.0101694487350453*(1)</f>
        <v>1.01694487350453E-2</v>
      </c>
      <c r="ET7" s="2">
        <f>0.0337553048265844*(1)</f>
        <v>3.3755304826584398E-2</v>
      </c>
      <c r="EU7" s="2">
        <f>-0.000891994672903551*(1)</f>
        <v>-8.9199467290355103E-4</v>
      </c>
      <c r="EV7" s="2">
        <f>-0.00194021656685149*(1)</f>
        <v>-1.94021656685149E-3</v>
      </c>
      <c r="EW7" s="2">
        <f>-0.0139767803287664*(1)</f>
        <v>-1.3976780328766401E-2</v>
      </c>
      <c r="EX7" s="2">
        <f>-0.0153939146991408*(1)</f>
        <v>-1.5393914699140801E-2</v>
      </c>
      <c r="EY7" s="2">
        <f>0.0191316074812555*(1)</f>
        <v>1.9131607481255499E-2</v>
      </c>
      <c r="EZ7" s="2">
        <f>0.0120542271783904*(1)</f>
        <v>1.20542271783904E-2</v>
      </c>
      <c r="FA7" s="2">
        <f>-0.00303197615039784*(1)</f>
        <v>-3.03197615039784E-3</v>
      </c>
      <c r="FB7" s="2">
        <f>0.0118300569951587*(1)</f>
        <v>1.18300569951587E-2</v>
      </c>
      <c r="FC7" s="2">
        <f>0.00438218680721303*(1)</f>
        <v>4.3821868072130296E-3</v>
      </c>
      <c r="FD7" s="2">
        <f>0.00516827631067812*(1)</f>
        <v>5.1682763106781198E-3</v>
      </c>
      <c r="FE7" s="2">
        <f>-0.00642727671857094*(1)</f>
        <v>-6.4272767185709397E-3</v>
      </c>
      <c r="FF7" s="2">
        <f>0.0165924949494033*(1)</f>
        <v>1.6592494949403298E-2</v>
      </c>
      <c r="FG7" s="2">
        <f>-0.0102925636811805*(1)</f>
        <v>-1.02925636811805E-2</v>
      </c>
      <c r="FH7" s="2">
        <f>0.000661484529617939*(1)</f>
        <v>6.6148452961793897E-4</v>
      </c>
      <c r="FI7" s="2">
        <f>-0.00452064284332099*(1)</f>
        <v>-4.5206428433209904E-3</v>
      </c>
      <c r="FJ7" s="2">
        <f>-0.0178047138716356*(1)</f>
        <v>-1.78047138716356E-2</v>
      </c>
      <c r="FK7" s="2">
        <f>0.0063796063818606*(1)</f>
        <v>6.3796063818605999E-3</v>
      </c>
      <c r="FL7" s="2">
        <f>-0.00252570523585191*(1)</f>
        <v>-2.5257052358519101E-3</v>
      </c>
      <c r="FM7" s="2">
        <f>0.00122738194384047*(1)</f>
        <v>1.22738194384047E-3</v>
      </c>
      <c r="FN7" s="2">
        <f>-0.00341362182117988*(1)</f>
        <v>-3.4136218211798801E-3</v>
      </c>
      <c r="FO7" s="2">
        <f>0.00665887383769892*(1)</f>
        <v>6.6588738376989198E-3</v>
      </c>
      <c r="FP7" s="2">
        <f>0.00260569091826985*(1)</f>
        <v>2.6056909182698498E-3</v>
      </c>
      <c r="FQ7" s="2">
        <f>-0.00221970962671916*(1)</f>
        <v>-2.2197096267191599E-3</v>
      </c>
      <c r="FR7" s="2">
        <f>0.0088564385291889*(1)</f>
        <v>8.8564385291889005E-3</v>
      </c>
      <c r="FS7" s="2">
        <f>0.0046164227598592*(1)</f>
        <v>4.6164227598592001E-3</v>
      </c>
      <c r="FT7" s="2">
        <f>0.0152837500721463*(1)</f>
        <v>1.52837500721463E-2</v>
      </c>
      <c r="FU7" s="2">
        <f>0.00206669655337063*(1)</f>
        <v>2.0666965533706299E-3</v>
      </c>
      <c r="FV7" s="2">
        <f>-0.0048712476663064*(1)</f>
        <v>-4.8712476663064002E-3</v>
      </c>
      <c r="FW7" s="2">
        <f>0.0149593104426841*(1)</f>
        <v>1.4959310442684099E-2</v>
      </c>
      <c r="FX7" s="2">
        <f>0.00900307946641583*(1)</f>
        <v>9.0030794664158302E-3</v>
      </c>
      <c r="FY7" s="2">
        <f>0.00607550201933518*(1)</f>
        <v>6.0755020193351801E-3</v>
      </c>
      <c r="FZ7" s="2">
        <f>0.00952800553531465*(1)</f>
        <v>9.5280055353146494E-3</v>
      </c>
      <c r="GA7" s="2">
        <f>0.00865097937831416*(1)</f>
        <v>8.6509793783141609E-3</v>
      </c>
      <c r="GB7" s="2">
        <f>-0.00425352230459809*(1)</f>
        <v>-4.2535223045980898E-3</v>
      </c>
      <c r="GC7" s="2">
        <f>0.0116285694485548*(1)</f>
        <v>1.1628569448554799E-2</v>
      </c>
      <c r="GD7" s="2">
        <f>0.00560199812636189*(1)</f>
        <v>5.6019981263618901E-3</v>
      </c>
      <c r="GE7" s="2">
        <f>0.0181051341229933*(1)</f>
        <v>1.8105134122993301E-2</v>
      </c>
      <c r="GF7" s="2">
        <f>0.0211474458923274*(1)</f>
        <v>2.11474458923274E-2</v>
      </c>
      <c r="GG7" s="2">
        <f>-0.00239542115059967*(1)</f>
        <v>-2.3954211505996699E-3</v>
      </c>
      <c r="GH7" s="2">
        <f>0.00331549033713581*(1)</f>
        <v>3.3154903371358101E-3</v>
      </c>
      <c r="GI7" s="2">
        <f>-0.0152274387376118*(1)</f>
        <v>-1.5227438737611799E-2</v>
      </c>
      <c r="GJ7" s="2">
        <f>-0.0146554242183301*(1)</f>
        <v>-1.4655424218330101E-2</v>
      </c>
      <c r="GK7" s="2">
        <f>-0.0182628071345607*(1)</f>
        <v>-1.8262807134560698E-2</v>
      </c>
      <c r="GL7" s="2">
        <f>-0.00534957063365061*(1)</f>
        <v>-5.34957063365061E-3</v>
      </c>
      <c r="GM7" s="2">
        <f>-0.0156887917685579*(1)</f>
        <v>-1.5688791768557898E-2</v>
      </c>
      <c r="GN7" s="2">
        <f>0.00415502656645701*(1)</f>
        <v>4.1550265664570098E-3</v>
      </c>
      <c r="GO7" s="2">
        <f>-0.00784323975020302*(1)</f>
        <v>-7.8432397502030196E-3</v>
      </c>
      <c r="GP7" s="2">
        <f>-0.00928422353771994*(1)</f>
        <v>-9.2842235377199392E-3</v>
      </c>
      <c r="GQ7" s="2">
        <f>0.00399561185449989*(1)</f>
        <v>3.9956118544998897E-3</v>
      </c>
      <c r="GR7" s="2">
        <f>0.00473059904760981*(1)</f>
        <v>4.7305990476098096E-3</v>
      </c>
      <c r="GS7" s="2">
        <f>0.0246881004733375*(1)</f>
        <v>2.4688100473337499E-2</v>
      </c>
      <c r="GT7" s="2">
        <f>0.020854580802988*(1)</f>
        <v>2.0854580802988E-2</v>
      </c>
      <c r="GU7" s="2">
        <f>0.00349120613814163*(1)</f>
        <v>3.4912061381416298E-3</v>
      </c>
      <c r="GV7" s="2">
        <f>0.00997582557609745*(1)</f>
        <v>9.9758255760974499E-3</v>
      </c>
      <c r="GW7" s="2">
        <f>0.00159564931211448*(1)</f>
        <v>1.5956493121144801E-3</v>
      </c>
      <c r="GX7" s="2">
        <f>-0.00757438211333576*(1)</f>
        <v>-7.5743821133357602E-3</v>
      </c>
      <c r="GY7" s="2">
        <f>0.0149450013424289*(1)</f>
        <v>1.4945001342428901E-2</v>
      </c>
      <c r="GZ7" s="2">
        <f>-0.00838105599346878*(1)</f>
        <v>-8.3810559934687796E-3</v>
      </c>
      <c r="HA7" s="2">
        <f>-0.00820687648517674*(1)</f>
        <v>-8.2068764851767392E-3</v>
      </c>
      <c r="HB7" s="2">
        <f>-0.0221524186434899*(1)</f>
        <v>-2.21524186434899E-2</v>
      </c>
      <c r="HC7" s="2">
        <f>-0.00435859948562555*(1)</f>
        <v>-4.3585994856255496E-3</v>
      </c>
      <c r="HD7" s="2">
        <f>-0.00161512908879236*(1)</f>
        <v>-1.6151290887923601E-3</v>
      </c>
      <c r="HE7" s="2">
        <f>-0.00120109584710754*(1)</f>
        <v>-1.20109584710754E-3</v>
      </c>
      <c r="HF7" s="2">
        <f>0.00784341284918313*(1)</f>
        <v>7.8434128491831293E-3</v>
      </c>
      <c r="HG7" s="2">
        <f>0.00678277192624829*(1)</f>
        <v>6.7827719262482898E-3</v>
      </c>
      <c r="HH7" s="2">
        <f>-0.00804176126459936*(1)</f>
        <v>-8.0417612645993595E-3</v>
      </c>
      <c r="HI7" s="2">
        <f>0.0133748139550169*(1)</f>
        <v>1.33748139550169E-2</v>
      </c>
      <c r="HJ7" s="2">
        <f>0.00414459407639924*(1)</f>
        <v>4.1445940763992399E-3</v>
      </c>
      <c r="HK7" s="2">
        <f>-0.00484137652888908*(1)</f>
        <v>-4.8413765288890798E-3</v>
      </c>
      <c r="HL7" s="2">
        <f>-0.0109325870472357*(1)</f>
        <v>-1.09325870472357E-2</v>
      </c>
      <c r="HM7" s="2">
        <f>-0.0181017089673486*(1)</f>
        <v>-1.8101708967348602E-2</v>
      </c>
      <c r="HN7" s="2">
        <f>0.00201284097198894*(1)</f>
        <v>2.01284097198894E-3</v>
      </c>
      <c r="HO7" s="2">
        <f>0.00204435174068654*(1)</f>
        <v>2.0443517406865401E-3</v>
      </c>
      <c r="HP7" s="2">
        <f>0.00127140065863646*(1)</f>
        <v>1.27140065863646E-3</v>
      </c>
      <c r="HQ7" s="2">
        <f>0.0171062440909832*(1)</f>
        <v>1.71062440909832E-2</v>
      </c>
      <c r="HR7" s="2">
        <f>-0.0122533000201528*(1)</f>
        <v>-1.22533000201528E-2</v>
      </c>
      <c r="HS7" s="2">
        <f>-0.0111211251182491*(1)</f>
        <v>-1.1121125118249101E-2</v>
      </c>
      <c r="HT7" s="2">
        <f>-0.0120168533122512*(1)</f>
        <v>-1.20168533122512E-2</v>
      </c>
      <c r="HU7" s="2">
        <f>0.0109816771588707*(1)</f>
        <v>1.09816771588707E-2</v>
      </c>
      <c r="HV7" s="2">
        <f>-0.0129197891521834*(1)</f>
        <v>-1.2919789152183401E-2</v>
      </c>
      <c r="HW7" s="2">
        <f>0.00649977730921725*(1)</f>
        <v>6.4997773092172499E-3</v>
      </c>
      <c r="HX7" s="2">
        <f>0.00611717993403807*(1)</f>
        <v>6.1171799340380703E-3</v>
      </c>
      <c r="HY7" s="2">
        <f>-0.0109806854963001*(1)</f>
        <v>-1.09806854963001E-2</v>
      </c>
      <c r="HZ7" s="2">
        <f>-0.0222664571566543*(1)</f>
        <v>-2.2266457156654301E-2</v>
      </c>
      <c r="IA7" s="2">
        <f>-0.00413433173840686*(1)</f>
        <v>-4.1343317384068597E-3</v>
      </c>
      <c r="IB7" s="2">
        <f>0.00765990752854703*(1)</f>
        <v>7.6599075285470296E-3</v>
      </c>
      <c r="IC7" s="2">
        <f>0.00611300365349586*(1)</f>
        <v>6.1130036534958604E-3</v>
      </c>
      <c r="ID7" s="2">
        <f>-0.00160930522866571*(1)</f>
        <v>-1.60930522866571E-3</v>
      </c>
      <c r="IE7" s="2">
        <f>0.00129340895015675*(1)</f>
        <v>1.29340895015675E-3</v>
      </c>
      <c r="IF7" s="2">
        <f>-0.00564248266127293*(1)</f>
        <v>-5.6424826612729304E-3</v>
      </c>
      <c r="IG7" s="2">
        <f>0.00698483430235942*(1)</f>
        <v>6.9848343023594201E-3</v>
      </c>
      <c r="IH7" s="2">
        <f>0.00303888965658385*(1)</f>
        <v>3.0388896565838501E-3</v>
      </c>
      <c r="II7" s="2">
        <f>0.0151604874302446*(1)</f>
        <v>1.5160487430244601E-2</v>
      </c>
      <c r="IJ7" s="2">
        <f>-0.000818782508525541*(1)</f>
        <v>-8.1878250852554101E-4</v>
      </c>
      <c r="IK7" s="2">
        <f>-0.0256517203747933*(1)</f>
        <v>-2.56517203747933E-2</v>
      </c>
      <c r="IL7" s="2">
        <f>-0.00130003355756835*(1)</f>
        <v>-1.3000335575683499E-3</v>
      </c>
      <c r="IM7" s="2">
        <f>0.0155836685268903*(1)</f>
        <v>1.5583668526890301E-2</v>
      </c>
      <c r="IN7" s="2">
        <f>0.00581525462626192*(1)</f>
        <v>5.8152546262619197E-3</v>
      </c>
      <c r="IO7" s="2">
        <f>0.0191861135185775*(1)</f>
        <v>1.9186113518577502E-2</v>
      </c>
      <c r="IP7" s="2">
        <f>-0.00855508854275022*(1)</f>
        <v>-8.5550885427502204E-3</v>
      </c>
      <c r="IQ7" s="2">
        <f>0.00666565874076916*(1)</f>
        <v>6.6656587407691601E-3</v>
      </c>
      <c r="IR7" s="2">
        <f>0.0087087455693962*(1)</f>
        <v>8.7087455693962007E-3</v>
      </c>
      <c r="IS7" s="2">
        <f>0.0121874115203*(1)</f>
        <v>1.21874115203E-2</v>
      </c>
      <c r="IT7" s="2">
        <f>0.00531099854124138*(1)</f>
        <v>5.3109985412413798E-3</v>
      </c>
      <c r="IU7" s="2">
        <f>0.00922734025220396*(1)</f>
        <v>9.2273402522039596E-3</v>
      </c>
      <c r="IV7" s="2">
        <f>-0.00566786468692193*(1)</f>
        <v>-5.6678646869219298E-3</v>
      </c>
      <c r="IW7" s="2">
        <f>-0.000375879136807916*(1)</f>
        <v>-3.7587913680791599E-4</v>
      </c>
      <c r="IX7" s="2">
        <f>0.0018928834443441*(1)</f>
        <v>1.8928834443441001E-3</v>
      </c>
      <c r="IY7" s="2">
        <f>-0.00122975820438587*(1)</f>
        <v>-1.2297582043858701E-3</v>
      </c>
      <c r="IZ7" s="2">
        <f>0.0059867141880571*(1)</f>
        <v>5.9867141880571E-3</v>
      </c>
      <c r="JA7" s="2">
        <f>0.00934180818198639*(1)</f>
        <v>9.3418081819863896E-3</v>
      </c>
      <c r="JB7" s="2">
        <f>0.0144153125924438*(1)</f>
        <v>1.44153125924438E-2</v>
      </c>
      <c r="JC7" s="2">
        <f>0.00926335899667768*(1)</f>
        <v>9.2633589966776807E-3</v>
      </c>
      <c r="JD7" s="2">
        <f>-0.0119924147251592*(1)</f>
        <v>-1.19924147251592E-2</v>
      </c>
      <c r="JE7" s="2">
        <f>0.0148259593355246*(1)</f>
        <v>1.4825959335524601E-2</v>
      </c>
      <c r="JF7" s="2">
        <f>-0.0230794921838686*(1)</f>
        <v>-2.3079492183868601E-2</v>
      </c>
      <c r="JG7" s="2">
        <f>0.0148691310056406*(1)</f>
        <v>1.48691310056406E-2</v>
      </c>
      <c r="JH7" s="2">
        <f>0.00765328969289968*(1)</f>
        <v>7.6532896928996801E-3</v>
      </c>
      <c r="JI7" s="2">
        <f>0.00589235847933538*(1)</f>
        <v>5.8923584793353799E-3</v>
      </c>
      <c r="JJ7" s="2">
        <f>-0.00498081451120335*(1)</f>
        <v>-4.9808145112033497E-3</v>
      </c>
      <c r="JK7" s="2">
        <f>0.0229619780079364*(1)</f>
        <v>2.2961978007936399E-2</v>
      </c>
      <c r="JL7" s="2">
        <f>0.0314777327502365*(1)</f>
        <v>3.1477732750236499E-2</v>
      </c>
      <c r="JM7" s="2">
        <f>0.00929430371254536*(1)</f>
        <v>9.2943037125453598E-3</v>
      </c>
      <c r="JN7" s="2">
        <f>-0.0143007829644263*(1)</f>
        <v>-1.4300782964426301E-2</v>
      </c>
      <c r="JO7" s="2">
        <f>0.0260873804358942*(1)</f>
        <v>2.6087380435894199E-2</v>
      </c>
      <c r="JP7" s="2">
        <f>0.0344843684477044*(1)</f>
        <v>3.4484368447704403E-2</v>
      </c>
      <c r="JQ7" s="2">
        <f>-0.00577918691746587*(1)</f>
        <v>-5.7791869174658702E-3</v>
      </c>
      <c r="JR7" s="2">
        <f>0.0316284844616101*(1)</f>
        <v>3.1628484461610103E-2</v>
      </c>
      <c r="JS7" s="2">
        <f>0.0077660916910146*(1)</f>
        <v>7.7660916910145998E-3</v>
      </c>
      <c r="JT7" s="2">
        <f>0.0215547193742985*(1)</f>
        <v>2.1554719374298498E-2</v>
      </c>
      <c r="JU7" s="2">
        <f>0.00911360132175562*(1)</f>
        <v>9.1136013217556194E-3</v>
      </c>
      <c r="JV7" s="2">
        <f>0.0764287216587389*(1)</f>
        <v>7.6428721658738902E-2</v>
      </c>
      <c r="JW7" s="2">
        <f>-0.0433045664924828*(1)</f>
        <v>-4.33045664924828E-2</v>
      </c>
      <c r="JX7" s="2">
        <f>-0.0130762346181812*(1)</f>
        <v>-1.30762346181812E-2</v>
      </c>
      <c r="JY7" s="2">
        <f>0.00843649766269481*(1)</f>
        <v>8.4364976626948099E-3</v>
      </c>
      <c r="JZ7" s="2">
        <f>0.00115989668062154*(1)</f>
        <v>1.1598966806215399E-3</v>
      </c>
      <c r="KA7" s="2">
        <f>0.00930562172190748*(1)</f>
        <v>9.30562172190748E-3</v>
      </c>
      <c r="KB7" s="2">
        <f>0.000708591251850353*(1)</f>
        <v>7.0859125185035302E-4</v>
      </c>
      <c r="KC7" s="2">
        <f>-0.0649190965283264*(1)</f>
        <v>-6.4919096528326406E-2</v>
      </c>
      <c r="KD7" s="2">
        <f>-0.0317072805271679*(1)</f>
        <v>-3.1707280527167897E-2</v>
      </c>
      <c r="KE7" s="2">
        <f>-0.0376725278695183*(1)</f>
        <v>-3.7672527869518302E-2</v>
      </c>
      <c r="KF7" s="2">
        <f>-0.00465772187416905*(1)</f>
        <v>-4.6577218741690497E-3</v>
      </c>
      <c r="KG7" s="2">
        <f>-0.000932787675909807*(1)</f>
        <v>-9.3278767590980699E-4</v>
      </c>
      <c r="KH7" s="2">
        <f>-0.0177840720393814*(1)</f>
        <v>-1.7784072039381399E-2</v>
      </c>
      <c r="KI7" s="2">
        <f>-0.0118463057140164*(1)</f>
        <v>-1.18463057140164E-2</v>
      </c>
      <c r="KJ7" s="2">
        <f>0.00127987216829505*(1)</f>
        <v>1.27987216829505E-3</v>
      </c>
      <c r="KK7" s="2">
        <f>0.0062015555670175*(1)</f>
        <v>6.2015555670174999E-3</v>
      </c>
      <c r="KL7" s="2">
        <f>-0.0379287825398964*(1)</f>
        <v>-3.79287825398964E-2</v>
      </c>
      <c r="KM7" s="2">
        <f>-0.00365740728308748*(1)</f>
        <v>-3.6574072830874802E-3</v>
      </c>
      <c r="KN7" s="2">
        <f>-0.0183706526217182*(1)</f>
        <v>-1.8370652621718199E-2</v>
      </c>
      <c r="KO7" s="2">
        <f>-0.0343634611239588*(1)</f>
        <v>-3.4363461123958799E-2</v>
      </c>
      <c r="KP7" s="2">
        <f>0.000835611589959819*(1)</f>
        <v>8.3561158995981905E-4</v>
      </c>
      <c r="KQ7" s="2">
        <f>0.0277762103240892*(1)</f>
        <v>2.7776210324089199E-2</v>
      </c>
      <c r="KR7" s="2">
        <f>0.0389813769651174*(1)</f>
        <v>3.8981376965117401E-2</v>
      </c>
      <c r="KS7" s="2">
        <f>0.0279073609682003*(1)</f>
        <v>2.79073609682003E-2</v>
      </c>
      <c r="KT7" s="2">
        <f>0.010126408846226*(1)</f>
        <v>1.0126408846226001E-2</v>
      </c>
      <c r="KU7" s="2">
        <f>-0.0340280753721382*(1)</f>
        <v>-3.40280753721382E-2</v>
      </c>
      <c r="KV7" s="2">
        <f>-0.0245922108419401*(1)</f>
        <v>-2.4592210841940101E-2</v>
      </c>
      <c r="KW7" s="2">
        <f>-0.0135732687312422*(1)</f>
        <v>-1.35732687312422E-2</v>
      </c>
      <c r="KX7" s="2">
        <f>-0.0216680013033828*(1)</f>
        <v>-2.1668001303382801E-2</v>
      </c>
      <c r="KY7" s="2">
        <f>-0.0233275719743074*(1)</f>
        <v>-2.33275719743074E-2</v>
      </c>
      <c r="KZ7" s="2">
        <f>-0.0285234613788585*(1)</f>
        <v>-2.85234613788585E-2</v>
      </c>
      <c r="LA7" s="2">
        <f>-0.0224414585560759*(1)</f>
        <v>-2.2441458556075902E-2</v>
      </c>
      <c r="LB7" s="2">
        <f>-0.00689887982587075*(1)</f>
        <v>-6.8988798258707504E-3</v>
      </c>
      <c r="LC7" s="2">
        <f>-0.0211704666920868*(1)</f>
        <v>-2.11704666920868E-2</v>
      </c>
      <c r="LD7" s="2">
        <f>-0.0245800539027786*(1)</f>
        <v>-2.4580053902778599E-2</v>
      </c>
      <c r="LE7" s="2">
        <f>-0.00290481222288975*(1)</f>
        <v>-2.9048122228897502E-3</v>
      </c>
      <c r="LF7" s="2">
        <f>0.023184608619836*(1)</f>
        <v>2.3184608619836001E-2</v>
      </c>
      <c r="LG7" s="2">
        <f>0.0370328071110509*(1)</f>
        <v>3.7032807111050899E-2</v>
      </c>
      <c r="LH7" s="2">
        <f>0.0373334136496735*(1)</f>
        <v>3.7333413649673498E-2</v>
      </c>
      <c r="LI7" s="2">
        <f>-0.0142592807646394*(1)</f>
        <v>-1.42592807646394E-2</v>
      </c>
      <c r="LJ7" s="2">
        <f>-0.000518578064762903*(1)</f>
        <v>-5.1857806476290295E-4</v>
      </c>
      <c r="LK7" s="2">
        <f>-0.0207492534904569*(1)</f>
        <v>-2.07492534904569E-2</v>
      </c>
      <c r="LL7" s="2">
        <f>0.00621733561274426*(1)</f>
        <v>6.2173356127442599E-3</v>
      </c>
      <c r="LM7" s="2">
        <f>-0.00208100688265893*(1)</f>
        <v>-2.0810068826589301E-3</v>
      </c>
      <c r="LN7" s="2">
        <f>0.0233292610658994*(1)</f>
        <v>2.3329261065899401E-2</v>
      </c>
      <c r="LO7" s="2">
        <f>-0.0161474182053666*(1)</f>
        <v>-1.6147418205366599E-2</v>
      </c>
      <c r="LP7" s="2">
        <f>-0.0175250624154484*(1)</f>
        <v>-1.7525062415448399E-2</v>
      </c>
      <c r="LQ7" s="2">
        <f>-0.012603305358255*(1)</f>
        <v>-1.2603305358255001E-2</v>
      </c>
      <c r="LR7" s="2">
        <f>0.0284513996534732*(1)</f>
        <v>2.8451399653473201E-2</v>
      </c>
      <c r="LS7" s="2">
        <f>0.00134597328517916*(1)</f>
        <v>1.3459732851791599E-3</v>
      </c>
      <c r="LT7" s="2">
        <f>-0.0128818987033999*(1)</f>
        <v>-1.28818987033999E-2</v>
      </c>
      <c r="LU7" s="2">
        <f>-0.00105794057061438*(1)</f>
        <v>-1.05794057061438E-3</v>
      </c>
      <c r="LV7" s="2">
        <f>-0.0152035461728234*(1)</f>
        <v>-1.52035461728234E-2</v>
      </c>
      <c r="LW7" s="2">
        <f>0.0189318299080356*(1)</f>
        <v>1.8931829908035599E-2</v>
      </c>
      <c r="LX7" s="2">
        <f>-0.00132921126266361*(1)</f>
        <v>-1.3292112626636099E-3</v>
      </c>
      <c r="LY7" s="2">
        <f>-0.0172476101800062*(1)</f>
        <v>-1.7247610180006201E-2</v>
      </c>
      <c r="LZ7" s="2">
        <f>-0.00142464023118756*(1)</f>
        <v>-1.42464023118756E-3</v>
      </c>
      <c r="MA7" s="2">
        <f>0.0127722697285196*(1)</f>
        <v>1.27722697285196E-2</v>
      </c>
      <c r="MB7" s="2">
        <f>0.00174426795042188*(1)</f>
        <v>1.74426795042188E-3</v>
      </c>
      <c r="MC7" s="2">
        <f>-0.00961643802220116*(1)</f>
        <v>-9.6164380222011608E-3</v>
      </c>
      <c r="MD7" s="2">
        <f>-0.00703176046134979*(1)</f>
        <v>-7.0317604613497897E-3</v>
      </c>
      <c r="ME7" s="2">
        <f>-0.00225833518166382*(1)</f>
        <v>-2.25833518166382E-3</v>
      </c>
      <c r="MF7" s="2">
        <f>-0.0190517891491971*(1)</f>
        <v>-1.9051789149197099E-2</v>
      </c>
      <c r="MG7" s="2">
        <f>0.00841720790543245*(1)</f>
        <v>8.4172079054324507E-3</v>
      </c>
      <c r="MH7" s="2">
        <f>-0.00266810648152008*(1)</f>
        <v>-2.6681064815200798E-3</v>
      </c>
      <c r="MI7" s="2">
        <f>0.0140143402855808*(1)</f>
        <v>1.40143402855808E-2</v>
      </c>
      <c r="MJ7" s="2">
        <f>-0.0152552292483846*(1)</f>
        <v>-1.52552292483846E-2</v>
      </c>
      <c r="MK7" s="2">
        <f>-0.00352795706207428*(1)</f>
        <v>-3.5279570620742801E-3</v>
      </c>
      <c r="ML7" s="2">
        <f>0.0611796505442488*(1)</f>
        <v>6.1179650544248801E-2</v>
      </c>
      <c r="MM7" s="2">
        <f>0.0361287462411307*(1)</f>
        <v>3.6128746241130702E-2</v>
      </c>
      <c r="MN7" s="2">
        <f>-0.0124346808567152*(1)</f>
        <v>-1.2434680856715201E-2</v>
      </c>
      <c r="MO7" s="2">
        <f>0.00386170588069085*(1)</f>
        <v>3.8617058806908501E-3</v>
      </c>
      <c r="MP7" s="2">
        <f>0.0219368832488375*(1)</f>
        <v>2.19368832488375E-2</v>
      </c>
      <c r="MQ7" s="2">
        <f>0.0414043667785025*(1)</f>
        <v>4.1404366778502497E-2</v>
      </c>
      <c r="MR7" s="2">
        <f>-0.0166013044104618*(1)</f>
        <v>-1.6601304410461801E-2</v>
      </c>
      <c r="MS7" s="2">
        <f>0.0113787733235411*(1)</f>
        <v>1.13787733235411E-2</v>
      </c>
      <c r="MT7" s="2">
        <f>-0.0180170441686812*(1)</f>
        <v>-1.80170441686812E-2</v>
      </c>
      <c r="MU7" s="2">
        <f>-0.00130832406182725*(1)</f>
        <v>-1.3083240618272499E-3</v>
      </c>
      <c r="MV7" s="2">
        <f>-0.0190478502113482*(1)</f>
        <v>-1.9047850211348201E-2</v>
      </c>
      <c r="MW7" s="2">
        <f>0.0000257601958010931*(1)</f>
        <v>2.57601958010931E-5</v>
      </c>
      <c r="MX7" s="2">
        <f>0.0143290397394832*(1)</f>
        <v>1.43290397394832E-2</v>
      </c>
      <c r="MY7" s="2">
        <f>-0.00750078661662123*(1)</f>
        <v>-7.5007866166212304E-3</v>
      </c>
      <c r="MZ7" s="2">
        <f>0.00348650287659157*(1)</f>
        <v>3.48650287659157E-3</v>
      </c>
      <c r="NA7" s="2">
        <f>-0.00824119051842538*(1)</f>
        <v>-8.2411905184253797E-3</v>
      </c>
      <c r="NB7" s="2">
        <f>-0.00623926325305228*(1)</f>
        <v>-6.2392632530522798E-3</v>
      </c>
      <c r="NC7" s="2">
        <f>-0.00678708539199069*(1)</f>
        <v>-6.7870853919906899E-3</v>
      </c>
      <c r="ND7" s="2">
        <f>0.00462916683413359*(1)</f>
        <v>4.62916683413359E-3</v>
      </c>
      <c r="NE7" s="2">
        <f>-0.0107297466474889*(1)</f>
        <v>-1.0729746647488899E-2</v>
      </c>
      <c r="NF7" s="2">
        <f>-0.0136679753587484*(1)</f>
        <v>-1.36679753587484E-2</v>
      </c>
      <c r="NG7" s="2">
        <f>-0.00349784340927528*(1)</f>
        <v>-3.4978434092752799E-3</v>
      </c>
      <c r="NH7" s="2">
        <f>-0.0164726788591354*(1)</f>
        <v>-1.6472678859135399E-2</v>
      </c>
      <c r="NI7" s="2">
        <f>0.0120514396137378*(1)</f>
        <v>1.2051439613737801E-2</v>
      </c>
      <c r="NJ7" s="2">
        <f>0.0202666799799897*(1)</f>
        <v>2.02666799799897E-2</v>
      </c>
      <c r="NK7" s="2">
        <f>-0.00526902423874842*(1)</f>
        <v>-5.2690242387484201E-3</v>
      </c>
      <c r="NL7" s="2">
        <f>0.0148755619137678*(1)</f>
        <v>1.48755619137678E-2</v>
      </c>
      <c r="NM7" s="2">
        <f>0.00554928655074589*(1)</f>
        <v>5.5492865507458904E-3</v>
      </c>
      <c r="NN7" s="2">
        <f>-0.0388671977060618*(1)</f>
        <v>-3.8867197706061798E-2</v>
      </c>
      <c r="NO7" s="2">
        <f>0.0194468365256932*(1)</f>
        <v>1.9446836525693199E-2</v>
      </c>
      <c r="NP7" s="2">
        <f>0.0166777145437754*(1)</f>
        <v>1.6677714543775399E-2</v>
      </c>
      <c r="NQ7" s="2">
        <f>-0.00423903302153595*(1)</f>
        <v>-4.2390330215359498E-3</v>
      </c>
      <c r="NR7" s="2">
        <f>-0.00448265747249471*(1)</f>
        <v>-4.4826574724947102E-3</v>
      </c>
      <c r="NS7" s="2">
        <f>-0.00115035315702737*(1)</f>
        <v>-1.1503531570273701E-3</v>
      </c>
      <c r="NT7" s="2">
        <f>-0.00662569122321713*(1)</f>
        <v>-6.6256912232171301E-3</v>
      </c>
      <c r="NU7" s="2">
        <f>-0.0390476501637523*(1)</f>
        <v>-3.90476501637523E-2</v>
      </c>
      <c r="NV7" s="2">
        <f>-0.000644911452717526*(1)</f>
        <v>-6.4491145271752598E-4</v>
      </c>
      <c r="NW7" s="2">
        <f>-0.0263268915513556*(1)</f>
        <v>-2.6326891551355602E-2</v>
      </c>
      <c r="NX7" s="2">
        <f>-0.0210781181195023*(1)</f>
        <v>-2.10781181195023E-2</v>
      </c>
      <c r="NY7" s="2">
        <f>-0.0346376645354188*(1)</f>
        <v>-3.4637664535418798E-2</v>
      </c>
      <c r="NZ7" s="2">
        <f>0.0186465759807702*(1)</f>
        <v>1.86465759807702E-2</v>
      </c>
      <c r="OA7" s="2">
        <f>0.0131491459627883*(1)</f>
        <v>1.31491459627883E-2</v>
      </c>
      <c r="OB7" s="2">
        <f>-0.00944859229546411*(1)</f>
        <v>-9.4485922954641102E-3</v>
      </c>
      <c r="OC7" s="2">
        <f>-0.0375873717242383*(1)</f>
        <v>-3.7587371724238303E-2</v>
      </c>
      <c r="OD7" s="2">
        <f>0.023756891808095*(1)</f>
        <v>2.3756891808094999E-2</v>
      </c>
      <c r="OE7" s="2">
        <f>-0.0172644741693993*(1)</f>
        <v>-1.7264474169399299E-2</v>
      </c>
      <c r="OF7" s="2">
        <f>-0.0197960519487648*(1)</f>
        <v>-1.9796051948764801E-2</v>
      </c>
      <c r="OG7" s="2">
        <f>-0.000748374926816592*(1)</f>
        <v>-7.4837492681659201E-4</v>
      </c>
      <c r="OH7" s="2">
        <f>0.0103973726041864*(1)</f>
        <v>1.0397372604186401E-2</v>
      </c>
      <c r="OI7" s="2">
        <f>0.0267896288964851*(1)</f>
        <v>2.6789628896485101E-2</v>
      </c>
      <c r="OJ7" s="2">
        <f>-0.00535136780721496*(1)</f>
        <v>-5.3513678072149599E-3</v>
      </c>
      <c r="OK7" s="2">
        <f>0.000334443647729774*(1)</f>
        <v>3.3444364772977397E-4</v>
      </c>
      <c r="OL7" s="2">
        <f>0.00869281549507448*(1)</f>
        <v>8.6928154950744792E-3</v>
      </c>
      <c r="OM7" s="2">
        <f>0.014095787358159*(1)</f>
        <v>1.4095787358158999E-2</v>
      </c>
      <c r="ON7" s="2">
        <f>0.000458669153701922*(1)</f>
        <v>4.5866915370192199E-4</v>
      </c>
      <c r="OO7" s="2">
        <f>-0.0158100871931523*(1)</f>
        <v>-1.58100871931523E-2</v>
      </c>
      <c r="OP7" s="2">
        <f>0.0314993659784309*(1)</f>
        <v>3.14993659784309E-2</v>
      </c>
      <c r="OQ7" s="2">
        <f>-0.0030803798423968*(1)</f>
        <v>-3.0803798423968002E-3</v>
      </c>
      <c r="OR7" s="2">
        <f>0.002900577587094*(1)</f>
        <v>2.9005775870939998E-3</v>
      </c>
      <c r="OS7" s="2">
        <f>0.044986144051979*(1)</f>
        <v>4.4986144051979003E-2</v>
      </c>
      <c r="OT7" s="2">
        <f>-0.00139311733272212*(1)</f>
        <v>-1.39311733272212E-3</v>
      </c>
      <c r="OU7" s="2">
        <f>-0.00653690023375335*(1)</f>
        <v>-6.53690023375335E-3</v>
      </c>
      <c r="OV7" s="2">
        <f>0.0341175646731437*(1)</f>
        <v>3.4117564673143697E-2</v>
      </c>
      <c r="OW7" s="2">
        <f>0.0222155320607704*(1)</f>
        <v>2.2215532060770399E-2</v>
      </c>
      <c r="OX7" s="2">
        <f>-0.00378648546271553*(1)</f>
        <v>-3.78648546271553E-3</v>
      </c>
      <c r="OY7" s="2">
        <f>0.025681399435301*(1)</f>
        <v>2.5681399435301001E-2</v>
      </c>
      <c r="OZ7" s="2">
        <f>-0.00438983341931852*(1)</f>
        <v>-4.3898334193185201E-3</v>
      </c>
      <c r="PA7" s="2">
        <f>-0.00231921037022898*(1)</f>
        <v>-2.3192103702289798E-3</v>
      </c>
      <c r="PB7" s="2">
        <f>0.0139639300073298*(1)</f>
        <v>1.3963930007329799E-2</v>
      </c>
      <c r="PC7" s="2">
        <f>-0.015713805251547*(1)</f>
        <v>-1.5713805251546999E-2</v>
      </c>
      <c r="PD7" s="2">
        <f>-0.00699261393936736*(1)</f>
        <v>-6.9926139393673599E-3</v>
      </c>
      <c r="PE7" s="2">
        <f>0.02502486836142*(1)</f>
        <v>2.502486836142E-2</v>
      </c>
      <c r="PF7" s="2">
        <f>0.0164612859420552*(1)</f>
        <v>1.64612859420552E-2</v>
      </c>
      <c r="PG7" s="2">
        <f>-0.0265667502200957*(1)</f>
        <v>-2.6566750220095699E-2</v>
      </c>
      <c r="PH7" s="2">
        <f>0.00833932961504985*(1)</f>
        <v>8.3393296150498508E-3</v>
      </c>
      <c r="PI7" s="2">
        <f>-0.00853557391700597*(1)</f>
        <v>-8.5355739170059706E-3</v>
      </c>
      <c r="PJ7" s="2">
        <f>0.0234729401409239*(1)</f>
        <v>2.3472940140923899E-2</v>
      </c>
      <c r="PK7" s="2">
        <f>-0.028659884609779*(1)</f>
        <v>-2.8659884609779002E-2</v>
      </c>
      <c r="PL7" s="2">
        <f>-0.0227883623807606*(1)</f>
        <v>-2.27883623807606E-2</v>
      </c>
      <c r="PM7" s="2">
        <f>0.00471455758893488*(1)</f>
        <v>4.7145575889348803E-3</v>
      </c>
      <c r="PN7" s="2">
        <f>-0.0488816213991704*(1)</f>
        <v>-4.8881621399170398E-2</v>
      </c>
      <c r="PO7" s="2">
        <f>-0.00351037943090497*(1)</f>
        <v>-3.5103794309049698E-3</v>
      </c>
      <c r="PP7" s="2">
        <f>-0.0143096918091602*(1)</f>
        <v>-1.43096918091602E-2</v>
      </c>
      <c r="PQ7" s="2">
        <f>-0.013137172441702*(1)</f>
        <v>-1.3137172441702E-2</v>
      </c>
      <c r="PR7" s="2">
        <f>-0.0221444153584389*(1)</f>
        <v>-2.2144415358438901E-2</v>
      </c>
      <c r="PS7" s="2">
        <f>-0.0161877778196033*(1)</f>
        <v>-1.6187777819603299E-2</v>
      </c>
      <c r="PT7" s="2">
        <f>-0.0232039523126389*(1)</f>
        <v>-2.3203952312638901E-2</v>
      </c>
      <c r="PU7" s="2">
        <f>-0.0141841664620582*(1)</f>
        <v>-1.4184166462058201E-2</v>
      </c>
      <c r="PV7" s="2">
        <f>-0.00321243880723431*(1)</f>
        <v>-3.21243880723431E-3</v>
      </c>
      <c r="PW7" s="2">
        <f>-0.0027793253960637*(1)</f>
        <v>-2.7793253960637001E-3</v>
      </c>
      <c r="PX7" s="2">
        <f>-0.00429385641330863*(1)</f>
        <v>-4.2938564133086299E-3</v>
      </c>
      <c r="PY7" s="2">
        <f>-0.0010929125538768*(1)</f>
        <v>-1.0929125538768E-3</v>
      </c>
      <c r="PZ7" s="2">
        <f>-0.0182030150190358*(1)</f>
        <v>-1.82030150190358E-2</v>
      </c>
      <c r="QA7" s="2">
        <f>0.0146007015597267*(1)</f>
        <v>1.46007015597267E-2</v>
      </c>
      <c r="QB7" s="2">
        <f>0.00606741556362387*(1)</f>
        <v>6.0674155636238703E-3</v>
      </c>
      <c r="QC7" s="2">
        <f>0.00277505064319583*(1)</f>
        <v>2.7750506431958302E-3</v>
      </c>
      <c r="QD7" s="2">
        <f>-0.0149132551351*(1)</f>
        <v>-1.4913255135099999E-2</v>
      </c>
      <c r="QE7" s="2">
        <f>0.00974524425077589*(1)</f>
        <v>9.7452442507758898E-3</v>
      </c>
      <c r="QF7" s="2">
        <f>0.0545073027182377*(1)</f>
        <v>5.4507302718237699E-2</v>
      </c>
      <c r="QG7" s="2">
        <f>-0.0162494676326779*(1)</f>
        <v>-1.62494676326779E-2</v>
      </c>
      <c r="QH7" s="2">
        <f>0.0276056169250681*(1)</f>
        <v>2.7605616925068101E-2</v>
      </c>
      <c r="QI7" s="2">
        <f>-0.0018771564143191*(1)</f>
        <v>-1.8771564143190999E-3</v>
      </c>
      <c r="QJ7" s="2">
        <f>0.0103961278232851*(1)</f>
        <v>1.03961278232851E-2</v>
      </c>
      <c r="QK7" s="2">
        <f>0.0007140231050754*(1)</f>
        <v>7.1402310507540003E-4</v>
      </c>
      <c r="QL7" s="2">
        <f>0.00485480530240891*(1)</f>
        <v>4.8548053024089098E-3</v>
      </c>
      <c r="QM7" s="2">
        <f>-0.00902898156314745*(1)</f>
        <v>-9.0289815631474507E-3</v>
      </c>
      <c r="QN7" s="2">
        <f>-0.0041951252313267*(1)</f>
        <v>-4.1951252313267001E-3</v>
      </c>
      <c r="QO7" s="2">
        <f>-0.0140216143261392*(1)</f>
        <v>-1.4021614326139201E-2</v>
      </c>
      <c r="QP7" s="2">
        <f>0.0101757035484679*(1)</f>
        <v>1.0175703548467901E-2</v>
      </c>
      <c r="QQ7" s="2">
        <f>-0.00564485473868746*(1)</f>
        <v>-5.6448547386874597E-3</v>
      </c>
      <c r="QR7" s="2">
        <f>-0.0360495477319065*(1)</f>
        <v>-3.6049547731906502E-2</v>
      </c>
      <c r="QS7" s="2">
        <f>0.0179028099548769*(1)</f>
        <v>1.7902809954876898E-2</v>
      </c>
      <c r="QT7" s="2">
        <f>-0.0183282725196245*(1)</f>
        <v>-1.8328272519624499E-2</v>
      </c>
      <c r="QU7" s="2">
        <f>-0.0233971690087068*(1)</f>
        <v>-2.3397169008706802E-2</v>
      </c>
      <c r="QV7" s="2">
        <f>0.0425309861436889*(1)</f>
        <v>4.2530986143688901E-2</v>
      </c>
      <c r="QW7" s="2">
        <f>-0.00881360843928709*(1)</f>
        <v>-8.8136084392870899E-3</v>
      </c>
      <c r="QX7" s="2">
        <f>-0.0086373944348557*(1)</f>
        <v>-8.6373944348556997E-3</v>
      </c>
      <c r="QY7" s="2">
        <f>-0.00484125453622519*(1)</f>
        <v>-4.8412545362251898E-3</v>
      </c>
      <c r="QZ7" s="2">
        <f>0.0216163819485159*(1)</f>
        <v>2.1616381948515902E-2</v>
      </c>
      <c r="RA7" s="2">
        <f>-0.0374286864256669*(1)</f>
        <v>-3.74286864256669E-2</v>
      </c>
      <c r="RB7" s="2">
        <f>0.012154117852389*(1)</f>
        <v>1.2154117852389E-2</v>
      </c>
      <c r="RC7" s="2">
        <f>0.0402447942045667*(1)</f>
        <v>4.0244794204566697E-2</v>
      </c>
      <c r="RD7" s="2">
        <f>-0.0312309424559177*(1)</f>
        <v>-3.1230942455917701E-2</v>
      </c>
      <c r="RE7" s="2">
        <f>0.0010452817381668*(1)</f>
        <v>1.0452817381667999E-3</v>
      </c>
      <c r="RF7" s="2">
        <f>0.0106097598771624*(1)</f>
        <v>1.06097598771624E-2</v>
      </c>
      <c r="RG7" s="2">
        <f>0.0249085951739952*(1)</f>
        <v>2.4908595173995199E-2</v>
      </c>
      <c r="RH7" s="2">
        <f>-0.018057569725858*(1)</f>
        <v>-1.8057569725858001E-2</v>
      </c>
      <c r="RI7" s="2">
        <f>-0.0243214545258385*(1)</f>
        <v>-2.4321454525838501E-2</v>
      </c>
      <c r="RJ7" s="2">
        <f>0.0297214334667063*(1)</f>
        <v>2.9721433466706301E-2</v>
      </c>
      <c r="RK7" s="2">
        <f>-0.0248377038766534*(1)</f>
        <v>-2.4837703876653398E-2</v>
      </c>
      <c r="RL7" s="2">
        <f>-0.0145903488328428*(1)</f>
        <v>-1.4590348832842799E-2</v>
      </c>
      <c r="RM7" s="2">
        <f>-0.0292416414401478*(1)</f>
        <v>-2.9241641440147799E-2</v>
      </c>
      <c r="RN7" s="2">
        <f>0.0202791731267369*(1)</f>
        <v>2.02791731267369E-2</v>
      </c>
      <c r="RO7" s="2">
        <f>0.0102116538619656*(1)</f>
        <v>1.0211653861965601E-2</v>
      </c>
      <c r="RP7" s="2">
        <f>-0.0371924785450417*(1)</f>
        <v>-3.71924785450417E-2</v>
      </c>
      <c r="RQ7" s="2">
        <f>0.0250599440126905*(1)</f>
        <v>2.5059944012690499E-2</v>
      </c>
      <c r="RR7" s="2">
        <f>-0.0237812172718981*(1)</f>
        <v>-2.3781217271898102E-2</v>
      </c>
      <c r="RS7" s="2">
        <f>-0.0161465060967911*(1)</f>
        <v>-1.6146506096791101E-2</v>
      </c>
      <c r="RT7" s="2">
        <f>0.0175868551400453*(1)</f>
        <v>1.75868551400453E-2</v>
      </c>
      <c r="RU7" s="2">
        <f>0.01295320629822*(1)</f>
        <v>1.2953206298219999E-2</v>
      </c>
      <c r="RV7" s="2">
        <f>0.00919050060139533*(1)</f>
        <v>9.1905006013953301E-3</v>
      </c>
      <c r="RW7" s="2">
        <f>0.0111019461731826*(1)</f>
        <v>1.11019461731826E-2</v>
      </c>
      <c r="RX7" s="2">
        <f>0.00702115634927033*(1)</f>
        <v>7.0211563492703303E-3</v>
      </c>
      <c r="RY7" s="2">
        <f>0.0073287223275798*(1)</f>
        <v>7.3287223275798003E-3</v>
      </c>
      <c r="RZ7" s="2">
        <f>0.00971696544523699*(1)</f>
        <v>9.7169654452369907E-3</v>
      </c>
      <c r="SA7" s="2">
        <f>-0.00460108032862149*(1)</f>
        <v>-4.6010803286214898E-3</v>
      </c>
      <c r="SB7" s="2">
        <f>-0.0131923486451971*(1)</f>
        <v>-1.31923486451971E-2</v>
      </c>
      <c r="SC7" s="2">
        <f>0.00789835630671994*(1)</f>
        <v>7.8983563067199399E-3</v>
      </c>
      <c r="SD7" s="2">
        <f>-0.00105314601568084*(1)</f>
        <v>-1.0531460156808399E-3</v>
      </c>
      <c r="SE7" s="2">
        <f>0.00272575004403295*(1)</f>
        <v>2.7257500440329499E-3</v>
      </c>
      <c r="SF7" s="2">
        <f>0.0117425240650646*(1)</f>
        <v>1.17425240650646E-2</v>
      </c>
      <c r="SG7" s="2">
        <f>0.00623175173387003*(1)</f>
        <v>6.2317517338700296E-3</v>
      </c>
      <c r="SH7" s="2">
        <f>-0.000789431817149566*(1)</f>
        <v>-7.8943181714956595E-4</v>
      </c>
      <c r="SI7" s="2">
        <f>-0.0419127520208706*(1)</f>
        <v>-4.1912752020870601E-2</v>
      </c>
      <c r="SJ7" s="2">
        <f>-0.052209355972075*(1)</f>
        <v>-5.2209355972075003E-2</v>
      </c>
      <c r="SK7" s="2">
        <f>-0.0125608495277074*(1)</f>
        <v>-1.2560849527707399E-2</v>
      </c>
      <c r="SL7" s="2">
        <f>0.0301767808866468*(1)</f>
        <v>3.0176780886646801E-2</v>
      </c>
      <c r="SM7" s="2">
        <f>0.0192125840475333*(1)</f>
        <v>1.9212584047533302E-2</v>
      </c>
      <c r="SN7" s="2">
        <f>0.0353782880810452*(1)</f>
        <v>3.5378288081045199E-2</v>
      </c>
      <c r="SO7" s="2">
        <f>-0.00719827008134763*(1)</f>
        <v>-7.1982700813476297E-3</v>
      </c>
      <c r="SP7" s="2">
        <f>0.0167602648939596*(1)</f>
        <v>1.6760264893959601E-2</v>
      </c>
      <c r="SQ7" s="2">
        <f>0.0361069965539594*(1)</f>
        <v>3.6106996553959401E-2</v>
      </c>
      <c r="SR7" s="2">
        <f>-0.00620436140509285*(1)</f>
        <v>-6.2043614050928501E-3</v>
      </c>
      <c r="SS7" s="2">
        <f>-0.0010622113300712*(1)</f>
        <v>-1.0622113300711999E-3</v>
      </c>
      <c r="ST7" s="2">
        <f>-0.00797547001452156*(1)</f>
        <v>-7.9754700145215594E-3</v>
      </c>
      <c r="SU7" s="2">
        <f>0.0157050186104992*(1)</f>
        <v>1.5705018610499201E-2</v>
      </c>
      <c r="SV7" s="2">
        <f>0.0661995431469604*(1)</f>
        <v>6.6199543146960402E-2</v>
      </c>
      <c r="SW7" s="2">
        <f>-0.0268805147950534*(1)</f>
        <v>-2.6880514795053399E-2</v>
      </c>
      <c r="SX7" s="2">
        <f>0.00258531868295033*(1)</f>
        <v>2.58531868295033E-3</v>
      </c>
      <c r="SY7" s="2">
        <f>-0.02312658497896*(1)</f>
        <v>-2.3126584978959999E-2</v>
      </c>
      <c r="SZ7" s="2">
        <f>-0.00171175452453082*(1)</f>
        <v>-1.71175452453082E-3</v>
      </c>
      <c r="TA7" s="2">
        <f>0.00228763381468751*(1)</f>
        <v>2.28763381468751E-3</v>
      </c>
      <c r="TB7" s="2">
        <f>-0.0112587252974692*(1)</f>
        <v>-1.1258725297469199E-2</v>
      </c>
      <c r="TC7" s="2">
        <f>-0.0037474807101902*(1)</f>
        <v>-3.7474807101902001E-3</v>
      </c>
      <c r="TD7" s="2">
        <f>-0.00401793941780688*(1)</f>
        <v>-4.0179394178068801E-3</v>
      </c>
      <c r="TE7" s="2">
        <f>-0.00461264636841322*(1)</f>
        <v>-4.6126463684132198E-3</v>
      </c>
      <c r="TF7" s="2">
        <f>-0.000794580110767299*(1)</f>
        <v>-7.94580110767299E-4</v>
      </c>
      <c r="TG7" s="2">
        <f>-0.0126403804503305*(1)</f>
        <v>-1.26403804503305E-2</v>
      </c>
      <c r="TH7" s="2">
        <f>0.0165597320451735*(1)</f>
        <v>1.6559732045173501E-2</v>
      </c>
      <c r="TI7" s="2">
        <f>0.017017325226154*(1)</f>
        <v>1.7017325226154002E-2</v>
      </c>
      <c r="TJ7" s="2">
        <f>-0.035089467338961*(1)</f>
        <v>-3.5089467338960997E-2</v>
      </c>
      <c r="TK7" s="2">
        <f>-0.00214307549377218*(1)</f>
        <v>-2.1430754937721802E-3</v>
      </c>
      <c r="TL7" s="2">
        <f>0.00118379847305816*(1)</f>
        <v>1.1837984730581599E-3</v>
      </c>
      <c r="TM7" s="2">
        <f>-0.0268269216202666*(1)</f>
        <v>-2.6826921620266599E-2</v>
      </c>
      <c r="TN7" s="2">
        <f>0.0232453523076222*(1)</f>
        <v>2.3245352307622199E-2</v>
      </c>
      <c r="TO7" s="2">
        <f>-0.0292061805239111*(1)</f>
        <v>-2.92061805239111E-2</v>
      </c>
      <c r="TP7" s="2">
        <f>-0.0273340194722427*(1)</f>
        <v>-2.7334019472242701E-2</v>
      </c>
      <c r="TQ7" s="2">
        <f>-0.00469513858386716*(1)</f>
        <v>-4.6951385838671601E-3</v>
      </c>
      <c r="TR7" s="2">
        <f>0.00499302408491116*(1)</f>
        <v>4.9930240849111601E-3</v>
      </c>
      <c r="TS7" s="2">
        <f>0.0336069993474804*(1)</f>
        <v>3.3606999347480397E-2</v>
      </c>
      <c r="TT7" s="2">
        <f>-0.00400171738011175*(1)</f>
        <v>-4.0017173801117504E-3</v>
      </c>
      <c r="TU7" s="2">
        <f>0.0101480972783551*(1)</f>
        <v>1.0148097278355099E-2</v>
      </c>
      <c r="TV7" s="2">
        <f>0.0196307446609662*(1)</f>
        <v>1.96307446609662E-2</v>
      </c>
      <c r="TW7" s="2">
        <f>-0.0232021492352785*(1)</f>
        <v>-2.32021492352785E-2</v>
      </c>
      <c r="TX7" s="2">
        <f>-0.0206992070092393*(1)</f>
        <v>-2.0699207009239301E-2</v>
      </c>
      <c r="TY7" s="2">
        <f>0.00148888226644561*(1)</f>
        <v>1.4888822664456099E-3</v>
      </c>
      <c r="TZ7" s="2">
        <f>0.00122750942645598*(1)</f>
        <v>1.22750942645598E-3</v>
      </c>
      <c r="UA7" s="2">
        <f>0.0501850956696629*(1)</f>
        <v>5.0185095669662901E-2</v>
      </c>
      <c r="UB7" s="2">
        <f>0.0164294393678195*(1)</f>
        <v>1.6429439367819501E-2</v>
      </c>
      <c r="UC7" s="2">
        <f>-0.014921698996548*(1)</f>
        <v>-1.4921698996547999E-2</v>
      </c>
      <c r="UD7" s="2">
        <f>-0.000778994145529612*(1)</f>
        <v>-7.7899414552961199E-4</v>
      </c>
      <c r="UE7" s="2">
        <f>-0.0116197951672122*(1)</f>
        <v>-1.1619795167212199E-2</v>
      </c>
      <c r="UF7" s="2">
        <f>-0.0203244205404163*(1)</f>
        <v>-2.0324420540416301E-2</v>
      </c>
      <c r="UG7" s="2">
        <f>0.0131462835447156*(1)</f>
        <v>1.3146283544715601E-2</v>
      </c>
      <c r="UH7" s="2">
        <f>-0.00112089364114424*(1)</f>
        <v>-1.1208936411442401E-3</v>
      </c>
      <c r="UI7" s="2">
        <f>0.0350690337757684*(1)</f>
        <v>3.50690337757684E-2</v>
      </c>
      <c r="UJ7" s="2">
        <f>0.00194245981406754*(1)</f>
        <v>1.9424598140675401E-3</v>
      </c>
      <c r="UK7" s="2">
        <f>-0.0165619855630491*(1)</f>
        <v>-1.6561985563049102E-2</v>
      </c>
      <c r="UL7" s="2">
        <f>0.0168818665109324*(1)</f>
        <v>1.6881866510932399E-2</v>
      </c>
      <c r="UM7" s="2">
        <f>-0.00445608880735032*(1)</f>
        <v>-4.4560888073503198E-3</v>
      </c>
      <c r="UN7" s="2">
        <f>-0.00393020844732791*(1)</f>
        <v>-3.9302084473279101E-3</v>
      </c>
      <c r="UO7" s="2">
        <f>0.013866117305806*(1)</f>
        <v>1.3866117305805999E-2</v>
      </c>
      <c r="UP7" s="2">
        <f>-0.000518800356629735*(1)</f>
        <v>-5.18800356629735E-4</v>
      </c>
      <c r="UQ7" s="2">
        <f>0.0237351557776377*(1)</f>
        <v>2.3735155777637702E-2</v>
      </c>
      <c r="UR7" s="2">
        <f>-0.0284249088942477*(1)</f>
        <v>-2.8424908894247699E-2</v>
      </c>
      <c r="US7" s="2">
        <f>-0.0255481619695187*(1)</f>
        <v>-2.5548161969518701E-2</v>
      </c>
      <c r="UT7" s="2">
        <f>-0.00834510244351036*(1)</f>
        <v>-8.3451024435103605E-3</v>
      </c>
      <c r="UU7" s="2">
        <f>-0.00672668405933265*(1)</f>
        <v>-6.72668405933265E-3</v>
      </c>
      <c r="UV7" s="2">
        <f>-0.0102153780348684*(1)</f>
        <v>-1.02153780348684E-2</v>
      </c>
      <c r="UW7" s="2">
        <f>0.00638247652752258*(1)</f>
        <v>6.3824765275225801E-3</v>
      </c>
      <c r="UX7" s="2">
        <f>0.00409198882927962*(1)</f>
        <v>4.0919888292796202E-3</v>
      </c>
      <c r="UY7" s="2">
        <f>0.00551777866262781*(1)</f>
        <v>5.5177786626278104E-3</v>
      </c>
      <c r="UZ7" s="2">
        <f>-0.00660688005015659*(1)</f>
        <v>-6.6068800501565897E-3</v>
      </c>
      <c r="VA7" s="2">
        <f>-0.0201557669909779*(1)</f>
        <v>-2.0155766990977899E-2</v>
      </c>
      <c r="VB7" s="2">
        <f>0.0146196005241217*(1)</f>
        <v>1.4619600524121701E-2</v>
      </c>
      <c r="VC7" s="2">
        <f>0.00646684106268038*(1)</f>
        <v>6.4668410626803801E-3</v>
      </c>
      <c r="VD7" s="2">
        <f>-0.0240567159371929*(1)</f>
        <v>-2.4056715937192899E-2</v>
      </c>
      <c r="VE7" s="2">
        <f>-0.028906418518011*(1)</f>
        <v>-2.8906418518010998E-2</v>
      </c>
      <c r="VF7" s="2">
        <f>0.0187157041721401*(1)</f>
        <v>1.87157041721401E-2</v>
      </c>
      <c r="VG7" s="2">
        <f>-0.036763799072948*(1)</f>
        <v>-3.6763799072948002E-2</v>
      </c>
      <c r="VH7" s="2">
        <f>9.16688410970953E-06*(1)</f>
        <v>9.16688410970953E-6</v>
      </c>
      <c r="VI7" s="2">
        <f>-0.00665719190282879*(1)</f>
        <v>-6.6571919028287898E-3</v>
      </c>
      <c r="VJ7" s="2">
        <f>-0.0154632265602206*(1)</f>
        <v>-1.5463226560220601E-2</v>
      </c>
      <c r="VK7" s="2">
        <f>-0.00903055751932441*(1)</f>
        <v>-9.0305575193244097E-3</v>
      </c>
      <c r="VL7" s="2">
        <f>0.0000158617914285359*(1)</f>
        <v>1.5861791428535899E-5</v>
      </c>
      <c r="VM7" s="2">
        <f>0.00830291900746305*(1)</f>
        <v>8.3029190074630499E-3</v>
      </c>
      <c r="VN7" s="2">
        <f>-0.00356040781397766*(1)</f>
        <v>-3.5604078139776598E-3</v>
      </c>
      <c r="VO7" s="2">
        <f>0.00368965027368161*(1)</f>
        <v>3.68965027368161E-3</v>
      </c>
      <c r="VP7" s="2">
        <f>0.00922092999079872*(1)</f>
        <v>9.2209299907987201E-3</v>
      </c>
      <c r="VQ7" s="2">
        <f>0.0249018407628441*(1)</f>
        <v>2.4901840762844098E-2</v>
      </c>
      <c r="VR7" s="2">
        <f>-0.0140429980461818*(1)</f>
        <v>-1.4042998046181801E-2</v>
      </c>
      <c r="VS7" s="2">
        <f>0.0170033516159654*(1)</f>
        <v>1.70033516159654E-2</v>
      </c>
      <c r="VT7" s="2">
        <f>0.0239451320364722*(1)</f>
        <v>2.3945132036472201E-2</v>
      </c>
      <c r="VU7" s="2">
        <f>0.0280546889073852*(1)</f>
        <v>2.8054688907385199E-2</v>
      </c>
      <c r="VV7" s="2">
        <f>-0.0238437474872407*(1)</f>
        <v>-2.3843747487240701E-2</v>
      </c>
      <c r="VW7" s="2">
        <f>0.028945317409396*(1)</f>
        <v>2.8945317409396001E-2</v>
      </c>
      <c r="VX7" s="2">
        <f>-0.0411750419454831*(1)</f>
        <v>-4.1175041945483097E-2</v>
      </c>
      <c r="VY7" s="2">
        <f>0.0112860652335586*(1)</f>
        <v>1.1286065233558599E-2</v>
      </c>
      <c r="VZ7" s="2">
        <f>0.00390668494161794*(1)</f>
        <v>3.9066849416179404E-3</v>
      </c>
      <c r="WA7" s="2">
        <f>-0.00748865590042594*(1)</f>
        <v>-7.4886559004259399E-3</v>
      </c>
      <c r="WB7" s="2">
        <f>0.0263918927812208*(1)</f>
        <v>2.63918927812208E-2</v>
      </c>
      <c r="WC7" s="2">
        <f>-0.0206148014390189*(1)</f>
        <v>-2.06148014390189E-2</v>
      </c>
      <c r="WD7" s="2">
        <f>0.0218174093346158*(1)</f>
        <v>2.18174093346158E-2</v>
      </c>
      <c r="WE7" s="2">
        <f>0.00810053286034928*(1)</f>
        <v>8.1005328603492802E-3</v>
      </c>
      <c r="WF7" s="2">
        <f>-0.00791836820397046*(1)</f>
        <v>-7.9183682039704606E-3</v>
      </c>
      <c r="WG7" s="2">
        <f>-0.028223576873885*(1)</f>
        <v>-2.8223576873884999E-2</v>
      </c>
      <c r="WH7" s="2">
        <f>-0.0206990916666079*(1)</f>
        <v>-2.06990916666079E-2</v>
      </c>
      <c r="WI7" s="2">
        <f>-0.0820837072936895*(1)</f>
        <v>-8.2083707293689495E-2</v>
      </c>
      <c r="WJ7" s="2">
        <f>0.0250270544428112*(1)</f>
        <v>2.5027054442811201E-2</v>
      </c>
      <c r="WK7" s="2">
        <f>-0.00359844602954889*(1)</f>
        <v>-3.5984460295488902E-3</v>
      </c>
      <c r="WL7" s="2">
        <f>-0.0285105509786001*(1)</f>
        <v>-2.8510550978600099E-2</v>
      </c>
      <c r="WM7" s="2">
        <f>0.000658742611979569*(1)</f>
        <v>6.5874261197956905E-4</v>
      </c>
      <c r="WN7" s="2">
        <f>-0.00359729629215978*(1)</f>
        <v>-3.5972962921597801E-3</v>
      </c>
      <c r="WO7" s="2">
        <f>-0.00856934533025456*(1)</f>
        <v>-8.5693453302545606E-3</v>
      </c>
      <c r="WP7" s="2">
        <f>0.03413362675738*(1)</f>
        <v>3.4133626757379999E-2</v>
      </c>
      <c r="WQ7" s="2">
        <f>0.00758618318148923*(1)</f>
        <v>7.5861831814892297E-3</v>
      </c>
      <c r="WR7" s="2">
        <f>-0.00497920121820794*(1)</f>
        <v>-4.9792012182079404E-3</v>
      </c>
      <c r="WS7" s="2">
        <f>0.0153878857344262*(1)</f>
        <v>1.5387885734426201E-2</v>
      </c>
      <c r="WT7" s="2">
        <f>0.00341000769753064*(1)</f>
        <v>3.4100076975306401E-3</v>
      </c>
      <c r="WU7" s="2">
        <f>-0.000537753228655997*(1)</f>
        <v>-5.37753228655997E-4</v>
      </c>
      <c r="WV7" s="2">
        <f>0.00744804791207315*(1)</f>
        <v>7.4480479120731498E-3</v>
      </c>
      <c r="WW7" s="2">
        <f>0.0281295167843959*(1)</f>
        <v>2.8129516784395899E-2</v>
      </c>
      <c r="WX7" s="2">
        <f>-0.0169675637365374*(1)</f>
        <v>-1.6967563736537399E-2</v>
      </c>
      <c r="WY7" s="2">
        <f>0.0106346112437642*(1)</f>
        <v>1.06346112437642E-2</v>
      </c>
      <c r="WZ7" s="2">
        <f>0.0678070699963211*(1)</f>
        <v>6.7807069996321107E-2</v>
      </c>
      <c r="XA7" s="2">
        <f>0.00518482928814588*(1)</f>
        <v>5.1848292881458797E-3</v>
      </c>
      <c r="XB7" s="2">
        <f>-0.000040238479382215*(1)</f>
        <v>-4.0238479382214998E-5</v>
      </c>
      <c r="XC7" s="2">
        <f>0.000596143501842092*(1)</f>
        <v>5.9614350184209201E-4</v>
      </c>
      <c r="XD7" s="2">
        <f>-0.00854588697780098*(1)</f>
        <v>-8.5458869778009799E-3</v>
      </c>
      <c r="XE7" s="2">
        <f>0.000826587381753253*(1)</f>
        <v>8.2658738175325297E-4</v>
      </c>
      <c r="XF7" s="2">
        <f>-0.0266347606798732*(1)</f>
        <v>-2.66347606798732E-2</v>
      </c>
      <c r="XG7" s="2">
        <f>0.00272698051105495*(1)</f>
        <v>2.72698051105495E-3</v>
      </c>
      <c r="XH7" s="2">
        <f>-0.0283892312296825*(1)</f>
        <v>-2.83892312296825E-2</v>
      </c>
      <c r="XI7" s="2">
        <f>0.00117007675013775*(1)</f>
        <v>1.17007675013775E-3</v>
      </c>
      <c r="XJ7" s="2">
        <f>-0.0137547218557179*(1)</f>
        <v>-1.37547218557179E-2</v>
      </c>
      <c r="XK7" s="2">
        <f>0.000742092045196498*(1)</f>
        <v>7.4209204519649799E-4</v>
      </c>
      <c r="XL7" s="2">
        <f>-0.015115114515274*(1)</f>
        <v>-1.5115114515273999E-2</v>
      </c>
      <c r="XM7" s="2">
        <f>-0.0177470373926795*(1)</f>
        <v>-1.77470373926795E-2</v>
      </c>
      <c r="XN7" s="2">
        <f>0.019868343793146*(1)</f>
        <v>1.9868343793146E-2</v>
      </c>
      <c r="XO7" s="2">
        <f>0.00692174588553015*(1)</f>
        <v>6.9217458855301501E-3</v>
      </c>
      <c r="XP7" s="2">
        <f>0.00194898002922009*(1)</f>
        <v>1.94898002922009E-3</v>
      </c>
      <c r="XQ7" s="2">
        <f>-0.0168658179979545*(1)</f>
        <v>-1.6865817997954499E-2</v>
      </c>
      <c r="XR7" s="2">
        <f>0.0287369995811826*(1)</f>
        <v>2.8736999581182601E-2</v>
      </c>
      <c r="XS7" s="2">
        <f>0.0215719188626574*(1)</f>
        <v>2.1571918862657399E-2</v>
      </c>
      <c r="XT7" s="2">
        <f>0.0208868862662815*(1)</f>
        <v>2.0886886266281501E-2</v>
      </c>
      <c r="XU7" s="2">
        <f>-0.0062174024227637*(1)</f>
        <v>-6.2174024227637003E-3</v>
      </c>
      <c r="XV7" s="2">
        <f>0.0486439285537253*(1)</f>
        <v>4.8643928553725298E-2</v>
      </c>
      <c r="XW7" s="2">
        <f>-0.011245286763303*(1)</f>
        <v>-1.1245286763303001E-2</v>
      </c>
      <c r="XX7" s="2">
        <f>0.0150274321309356*(1)</f>
        <v>1.5027432130935599E-2</v>
      </c>
      <c r="XY7" s="2">
        <f>-0.0180936729305289*(1)</f>
        <v>-1.8093672930528899E-2</v>
      </c>
      <c r="XZ7" s="2">
        <f>0.0131131367137366*(1)</f>
        <v>1.31131367137366E-2</v>
      </c>
      <c r="YA7" s="2">
        <f>0.0196160514326271*(1)</f>
        <v>1.96160514326271E-2</v>
      </c>
      <c r="YB7" s="2">
        <f>-0.00602537572567192*(1)</f>
        <v>-6.0253757256719196E-3</v>
      </c>
      <c r="YC7" s="2">
        <f>0.00920283799912738*(1)</f>
        <v>9.20283799912738E-3</v>
      </c>
      <c r="YD7" s="2">
        <f>0.022322455542824*(1)</f>
        <v>2.2322455542823999E-2</v>
      </c>
      <c r="YE7" s="2">
        <f>-0.000332054329454635*(1)</f>
        <v>-3.3205432945463499E-4</v>
      </c>
      <c r="YF7" s="2">
        <f>0.0130889779134915*(1)</f>
        <v>1.3088977913491499E-2</v>
      </c>
      <c r="YG7" s="2">
        <f>0.0127845596340669*(1)</f>
        <v>1.2784559634066901E-2</v>
      </c>
      <c r="YH7" s="2">
        <f>-0.0159020561911666*(1)</f>
        <v>-1.5902056191166601E-2</v>
      </c>
      <c r="YI7" s="2">
        <f>0.00180589602774686*(1)</f>
        <v>1.8058960277468599E-3</v>
      </c>
      <c r="YJ7" s="2">
        <f>-0.00850326051570119*(1)</f>
        <v>-8.5032605157011904E-3</v>
      </c>
      <c r="YK7" s="2">
        <f>-0.0179209581496401*(1)</f>
        <v>-1.79209581496401E-2</v>
      </c>
      <c r="YL7" s="2">
        <f>0.00560720879090219*(1)</f>
        <v>5.6072087909021899E-3</v>
      </c>
      <c r="YM7" s="2">
        <f>0.00994284906079668*(1)</f>
        <v>9.9428490607966803E-3</v>
      </c>
      <c r="YN7" s="2">
        <f>-0.0061735783650363*(1)</f>
        <v>-6.1735783650362997E-3</v>
      </c>
      <c r="YO7" s="2">
        <f>-0.0123603459018079*(1)</f>
        <v>-1.2360345901807899E-2</v>
      </c>
      <c r="YP7" s="2">
        <f>0.00173444786593681*(1)</f>
        <v>1.73444786593681E-3</v>
      </c>
      <c r="YQ7" s="2">
        <f>0.00978612584957069*(1)</f>
        <v>9.7861258495706895E-3</v>
      </c>
      <c r="YR7" s="2">
        <f>0.00597633016338366*(1)</f>
        <v>5.9763301633836601E-3</v>
      </c>
      <c r="YS7" s="2">
        <f>0.0451640714022913*(1)</f>
        <v>4.5164071402291298E-2</v>
      </c>
      <c r="YT7" s="2">
        <f>0.0223754636509792*(1)</f>
        <v>2.2375463650979199E-2</v>
      </c>
      <c r="YU7" s="2">
        <f>-0.0127478473502979*(1)</f>
        <v>-1.27478473502979E-2</v>
      </c>
      <c r="YV7" s="2">
        <f>-0.00252858873219111*(1)</f>
        <v>-2.5285887321911098E-3</v>
      </c>
      <c r="YW7" s="2">
        <f>-0.0403176505189374*(1)</f>
        <v>-4.0317650518937397E-2</v>
      </c>
      <c r="YX7" s="2">
        <f>-0.0232820227969012*(1)</f>
        <v>-2.3282022796901201E-2</v>
      </c>
      <c r="YY7" s="2">
        <f>0.00415973383884817*(1)</f>
        <v>4.1597338388481703E-3</v>
      </c>
      <c r="YZ7" s="2">
        <f>0.0162689681188775*(1)</f>
        <v>1.62689681188775E-2</v>
      </c>
      <c r="ZA7" s="2">
        <f>-0.00261581463117633*(1)</f>
        <v>-2.6158146311763301E-3</v>
      </c>
      <c r="ZB7" s="2">
        <f>0.00748055723994075*(1)</f>
        <v>7.4805572399407501E-3</v>
      </c>
      <c r="ZC7" s="2">
        <f>-0.0182610282713486*(1)</f>
        <v>-1.8261028271348598E-2</v>
      </c>
      <c r="ZD7" s="2">
        <f>-0.00770924678523609*(1)</f>
        <v>-7.70924678523609E-3</v>
      </c>
      <c r="ZE7" s="2">
        <f>0.0136579654992529*(1)</f>
        <v>1.3657965499252901E-2</v>
      </c>
      <c r="ZF7" s="2">
        <f>0.00623937838149493*(1)</f>
        <v>6.2393783814949297E-3</v>
      </c>
      <c r="ZG7" s="2">
        <f>0.00488891845774741*(1)</f>
        <v>4.8889184577474102E-3</v>
      </c>
      <c r="ZH7" s="2">
        <f>-0.0248468377384723*(1)</f>
        <v>-2.4846837738472301E-2</v>
      </c>
      <c r="ZI7" s="2">
        <f>0.0168965539015244*(1)</f>
        <v>1.6896553901524398E-2</v>
      </c>
      <c r="ZJ7" s="2">
        <f>0.00785933266257866*(1)</f>
        <v>7.8593326625786605E-3</v>
      </c>
      <c r="ZK7" s="2">
        <f>0.00397483419371665*(1)</f>
        <v>3.9748341937166504E-3</v>
      </c>
      <c r="ZL7" s="2">
        <f>-0.0102713752033825*(1)</f>
        <v>-1.0271375203382499E-2</v>
      </c>
      <c r="ZM7" s="2">
        <f>-0.00219387622764653*(1)</f>
        <v>-2.1938762276465301E-3</v>
      </c>
      <c r="ZN7" s="2">
        <f>0.00373553072541722*(1)</f>
        <v>3.7355307254172201E-3</v>
      </c>
      <c r="ZO7" s="2">
        <f>-0.0158688484177693*(1)</f>
        <v>-1.58688484177693E-2</v>
      </c>
      <c r="ZP7" s="2">
        <f>-0.0117510906186413*(1)</f>
        <v>-1.17510906186413E-2</v>
      </c>
      <c r="ZQ7" s="2">
        <f>-0.0155618851452107*(1)</f>
        <v>-1.55618851452107E-2</v>
      </c>
      <c r="ZR7" s="2">
        <f>0.00133819936732329*(1)</f>
        <v>1.33819936732329E-3</v>
      </c>
      <c r="ZS7" s="2">
        <f>0.0240445262258453*(1)</f>
        <v>2.4044526225845301E-2</v>
      </c>
      <c r="ZT7" s="2">
        <f>0.0168547207128205*(1)</f>
        <v>1.6854720712820501E-2</v>
      </c>
      <c r="ZU7" s="2">
        <f>0.00313055762388208*(1)</f>
        <v>3.1305576238820801E-3</v>
      </c>
      <c r="ZV7" s="2">
        <f>0.00207149439702194*(1)</f>
        <v>2.0714943970219402E-3</v>
      </c>
      <c r="ZW7" s="2">
        <f>-0.0153497215698013*(1)</f>
        <v>-1.53497215698013E-2</v>
      </c>
      <c r="ZX7" s="2">
        <f>-0.00976306630243288*(1)</f>
        <v>-9.7630663024328799E-3</v>
      </c>
      <c r="ZY7" s="2">
        <f>-0.039030167407163*(1)</f>
        <v>-3.9030167407163002E-2</v>
      </c>
      <c r="ZZ7" s="2">
        <f>0.0191417381809278*(1)</f>
        <v>1.9141738180927799E-2</v>
      </c>
      <c r="AAA7" s="2">
        <f>0.0139002255043901*(1)</f>
        <v>1.39002255043901E-2</v>
      </c>
      <c r="AAB7" s="2">
        <f>-0.0137947984985137*(1)</f>
        <v>-1.37947984985137E-2</v>
      </c>
      <c r="AAC7" s="2">
        <f>-0.00321167273034113*(1)</f>
        <v>-3.2116727303411301E-3</v>
      </c>
      <c r="AAD7" s="2">
        <f>0.00739018252336557*(1)</f>
        <v>7.39018252336557E-3</v>
      </c>
      <c r="AAE7" s="2">
        <f>0.0026239719950983*(1)</f>
        <v>2.6239719950982999E-3</v>
      </c>
      <c r="AAF7" s="2">
        <f>0.0121679289734977*(1)</f>
        <v>1.2167928973497701E-2</v>
      </c>
      <c r="AAG7" s="2">
        <f>0.0084434440925233*(1)</f>
        <v>8.4434440925232994E-3</v>
      </c>
      <c r="AAH7" s="2">
        <f>0.0138582219067947*(1)</f>
        <v>1.3858221906794701E-2</v>
      </c>
      <c r="AAI7" s="2">
        <f>-0.0200024512162916*(1)</f>
        <v>-2.00024512162916E-2</v>
      </c>
      <c r="AAJ7" s="2">
        <f>-0.0171815359565743*(1)</f>
        <v>-1.71815359565743E-2</v>
      </c>
      <c r="AAK7" s="2">
        <f>0.0262917762808718*(1)</f>
        <v>2.6291776280871801E-2</v>
      </c>
      <c r="AAL7" s="2">
        <f>0.00703941597869063*(1)</f>
        <v>7.0394159786906297E-3</v>
      </c>
      <c r="AAM7" s="2">
        <f>0.0218481316126116*(1)</f>
        <v>2.18481316126116E-2</v>
      </c>
      <c r="AAN7" s="2">
        <f>0.0000226792351393885*(1)</f>
        <v>2.2679235139388501E-5</v>
      </c>
      <c r="AAO7" s="2">
        <f>-0.0166097091614183*(1)</f>
        <v>-1.6609709161418299E-2</v>
      </c>
      <c r="AAP7" s="2">
        <f>0.00756220296961407*(1)</f>
        <v>7.5622029696140701E-3</v>
      </c>
      <c r="AAQ7" s="2">
        <f>-0.00530554372249518*(1)</f>
        <v>-5.3055437224951802E-3</v>
      </c>
      <c r="AAR7" s="2">
        <f>-0.00182170711639982*(1)</f>
        <v>-1.82170711639982E-3</v>
      </c>
      <c r="AAS7" s="2">
        <f>0.00193815594087164*(1)</f>
        <v>1.9381559408716399E-3</v>
      </c>
      <c r="AAT7" s="2">
        <f>0.00348867198709099*(1)</f>
        <v>3.4886719870909902E-3</v>
      </c>
      <c r="AAU7" s="2">
        <f>-0.0084690903417326*(1)</f>
        <v>-8.4690903417326008E-3</v>
      </c>
      <c r="AAV7" s="2">
        <f>0.0143980646286599*(1)</f>
        <v>1.4398064628659901E-2</v>
      </c>
      <c r="AAW7" s="2">
        <f>0.00776768489645196*(1)</f>
        <v>7.7676848964519599E-3</v>
      </c>
      <c r="AAX7" s="2">
        <f>-0.0500428184434445*(1)</f>
        <v>-5.0042818443444499E-2</v>
      </c>
      <c r="AAY7" s="2">
        <f>-0.0403944076446518*(1)</f>
        <v>-4.0394407644651797E-2</v>
      </c>
      <c r="AAZ7" s="2">
        <f>0.0113944958273742*(1)</f>
        <v>1.13944958273742E-2</v>
      </c>
      <c r="ABA7" s="2">
        <f>-0.00278854884129239*(1)</f>
        <v>-2.78854884129239E-3</v>
      </c>
      <c r="ABB7" s="2">
        <f>0.0163907954929533*(1)</f>
        <v>1.6390795492953299E-2</v>
      </c>
      <c r="ABC7" s="2">
        <f>-0.00219278768650007*(1)</f>
        <v>-2.1927876865000702E-3</v>
      </c>
      <c r="ABD7" s="2">
        <f>0.00399982367255698*(1)</f>
        <v>3.9998236725569802E-3</v>
      </c>
      <c r="ABE7" s="2">
        <f>-0.0196594329078994*(1)</f>
        <v>-1.9659432907899399E-2</v>
      </c>
      <c r="ABF7" s="2">
        <f>-0.0119793133809961*(1)</f>
        <v>-1.1979313380996099E-2</v>
      </c>
      <c r="ABG7" s="2">
        <f>-0.0158242090109353*(1)</f>
        <v>-1.58242090109353E-2</v>
      </c>
      <c r="ABH7" s="2">
        <f>0.00283920424202743*(1)</f>
        <v>2.8392042420274299E-3</v>
      </c>
      <c r="ABI7" s="2">
        <f>-0.00766921072815473*(1)</f>
        <v>-7.6692107281547302E-3</v>
      </c>
      <c r="ABJ7" s="2">
        <f>0.0000283289328768847*(1)</f>
        <v>2.8328932876884699E-5</v>
      </c>
      <c r="ABK7" s="2">
        <f>-0.00812470277002677*(1)</f>
        <v>-8.1247027700267708E-3</v>
      </c>
      <c r="ABL7" s="2">
        <f>-0.0361772399207473*(1)</f>
        <v>-3.6177239920747298E-2</v>
      </c>
      <c r="ABM7" s="2">
        <f>0.0127321103950166*(1)</f>
        <v>1.2732110395016601E-2</v>
      </c>
      <c r="ABN7" s="2">
        <f>0.0120473842305207*(1)</f>
        <v>1.2047384230520699E-2</v>
      </c>
      <c r="ABO7" s="2">
        <f>-0.00108049910301063*(1)</f>
        <v>-1.0804991030106299E-3</v>
      </c>
      <c r="ABP7" s="2">
        <f>-0.0135316830296857*(1)</f>
        <v>-1.3531683029685699E-2</v>
      </c>
      <c r="ABQ7" s="2">
        <f>-0.00783888729420459*(1)</f>
        <v>-7.8388872942045905E-3</v>
      </c>
      <c r="ABR7" s="2">
        <f>-0.0121596890412251*(1)</f>
        <v>-1.2159689041225099E-2</v>
      </c>
      <c r="ABS7" s="2">
        <f>-0.00769200545016623*(1)</f>
        <v>-7.6920054501662298E-3</v>
      </c>
      <c r="ABT7" s="2">
        <f>0.00553285597652089*(1)</f>
        <v>5.5328559765208899E-3</v>
      </c>
      <c r="ABU7" s="2">
        <f>-0.0302217124849457*(1)</f>
        <v>-3.0221712484945699E-2</v>
      </c>
      <c r="ABV7" s="2">
        <f>-0.00679291769360271*(1)</f>
        <v>-6.7929176936027099E-3</v>
      </c>
      <c r="ABW7" s="2">
        <f>0.0101384250083055*(1)</f>
        <v>1.01384250083055E-2</v>
      </c>
      <c r="ABX7" s="2">
        <f>-0.0124356492961519*(1)</f>
        <v>-1.24356492961519E-2</v>
      </c>
      <c r="ABY7" s="2">
        <f>-0.00748201909789887*(1)</f>
        <v>-7.4820190978988699E-3</v>
      </c>
      <c r="ABZ7" s="2">
        <f>0.0181954963927426*(1)</f>
        <v>1.8195496392742601E-2</v>
      </c>
      <c r="ACA7" s="2">
        <f>-0.00511807223943163*(1)</f>
        <v>-5.1180722394316303E-3</v>
      </c>
      <c r="ACB7" s="2">
        <f>-0.00451789432078036*(1)</f>
        <v>-4.5178943207803603E-3</v>
      </c>
      <c r="ACC7" s="2">
        <f>0.0152806134027149*(1)</f>
        <v>1.52806134027149E-2</v>
      </c>
      <c r="ACD7" s="2">
        <f>-0.00476231128320738*(1)</f>
        <v>-4.7623112832073803E-3</v>
      </c>
      <c r="ACE7" s="2">
        <f>0.0229587025905975*(1)</f>
        <v>2.2958702590597499E-2</v>
      </c>
      <c r="ACF7" s="2">
        <f>-0.00647283496355604*(1)</f>
        <v>-6.4728349635560399E-3</v>
      </c>
      <c r="ACG7" s="2">
        <f>0.0396295384903448*(1)</f>
        <v>3.9629538490344798E-2</v>
      </c>
      <c r="ACH7" s="2">
        <f>0.0095933863583551*(1)</f>
        <v>9.5933863583550997E-3</v>
      </c>
      <c r="ACI7" s="2">
        <f>-0.00641419911499854*(1)</f>
        <v>-6.41419911499854E-3</v>
      </c>
      <c r="ACJ7" s="2">
        <f>0.00389032085824368*(1)</f>
        <v>3.8903208582436802E-3</v>
      </c>
      <c r="ACK7" s="2">
        <f>-0.00827253856635684*(1)</f>
        <v>-8.2725385663568393E-3</v>
      </c>
      <c r="ACL7" s="2">
        <f>-0.027615401286539*(1)</f>
        <v>-2.7615401286538999E-2</v>
      </c>
      <c r="ACM7" s="2">
        <f>-0.0148266946066798*(1)</f>
        <v>-1.48266946066798E-2</v>
      </c>
      <c r="ACN7" s="2">
        <f>0.0169592355146622*(1)</f>
        <v>1.6959235514662201E-2</v>
      </c>
      <c r="ACO7" s="2">
        <f>-0.0138758397289421*(1)</f>
        <v>-1.38758397289421E-2</v>
      </c>
      <c r="ACP7" s="2">
        <f>-0.0158089192021832*(1)</f>
        <v>-1.5808919202183198E-2</v>
      </c>
      <c r="ACQ7" s="2">
        <f>0.00501570848454977*(1)</f>
        <v>5.0157084845497699E-3</v>
      </c>
      <c r="ACR7" s="2">
        <f>-0.0152000235320661*(1)</f>
        <v>-1.52000235320661E-2</v>
      </c>
      <c r="ACS7" s="2">
        <f>-0.0120764785089613*(1)</f>
        <v>-1.20764785089613E-2</v>
      </c>
      <c r="ACT7" s="2">
        <f>0.0393020909468404*(1)</f>
        <v>3.9302090946840403E-2</v>
      </c>
      <c r="ACU7" s="2">
        <f>0.00495538601668705*(1)</f>
        <v>4.9553860166870502E-3</v>
      </c>
      <c r="ACV7" s="2">
        <f>0.00615134511457001*(1)</f>
        <v>6.1513451145700096E-3</v>
      </c>
    </row>
    <row r="8" spans="1:776" x14ac:dyDescent="0.2">
      <c r="A8" s="1" t="s">
        <v>70641</v>
      </c>
      <c r="B8" s="2">
        <f>-0.00693865518995405*(1)</f>
        <v>-6.9386551899540501E-3</v>
      </c>
      <c r="C8" s="2">
        <f>-0.0186769477123939*(1)</f>
        <v>-1.86769477123939E-2</v>
      </c>
      <c r="D8" s="2">
        <f>0.00463400637451293*(1)</f>
        <v>4.6340063745129298E-3</v>
      </c>
      <c r="E8" s="2">
        <f>-0.0174818615126525*(1)</f>
        <v>-1.7481861512652502E-2</v>
      </c>
      <c r="F8" s="2">
        <f>0.03139109372701*(1)</f>
        <v>3.1391093727010003E-2</v>
      </c>
      <c r="G8" s="2">
        <f>0.0101660257357468*(1)</f>
        <v>1.0166025735746801E-2</v>
      </c>
      <c r="H8" s="2">
        <f>0.0103775716985903*(1)</f>
        <v>1.0377571698590301E-2</v>
      </c>
      <c r="I8" s="2">
        <f>-0.0104764814222516*(1)</f>
        <v>-1.0476481422251599E-2</v>
      </c>
      <c r="J8" s="2">
        <f>-0.0028105845841483*(1)</f>
        <v>-2.8105845841483001E-3</v>
      </c>
      <c r="K8" s="2">
        <f>0.0227843273858167*(1)</f>
        <v>2.2784327385816702E-2</v>
      </c>
      <c r="L8" s="2">
        <f>-0.0156611471897253*(1)</f>
        <v>-1.5661147189725302E-2</v>
      </c>
      <c r="M8" s="2">
        <f>0.0033017648810611*(1)</f>
        <v>3.3017648810610999E-3</v>
      </c>
      <c r="N8" s="2">
        <f>0.00486518754560986*(1)</f>
        <v>4.8651875456098602E-3</v>
      </c>
      <c r="O8" s="2">
        <f>0.0219597603572987*(1)</f>
        <v>2.1959760357298699E-2</v>
      </c>
      <c r="P8" s="2">
        <f>0.0106696774727664*(1)</f>
        <v>1.06696774727664E-2</v>
      </c>
      <c r="Q8" s="2">
        <f>-0.0128096439608101*(1)</f>
        <v>-1.2809643960810101E-2</v>
      </c>
      <c r="R8" s="2">
        <f>0.00338884310901356*(1)</f>
        <v>3.3888431090135598E-3</v>
      </c>
      <c r="S8" s="2">
        <f>-0.00157203607804529*(1)</f>
        <v>-1.57203607804529E-3</v>
      </c>
      <c r="T8" s="2">
        <f>0.0164953881685758*(1)</f>
        <v>1.6495388168575799E-2</v>
      </c>
      <c r="U8" s="2">
        <f>-0.0075591030121213*(1)</f>
        <v>-7.5591030121212998E-3</v>
      </c>
      <c r="V8" s="2">
        <f>-0.037573276350188*(1)</f>
        <v>-3.7573276350187999E-2</v>
      </c>
      <c r="W8" s="2">
        <f>0.0083551515125316*(1)</f>
        <v>8.3551515125316004E-3</v>
      </c>
      <c r="X8" s="2">
        <f>0.00166866450658683*(1)</f>
        <v>1.66866450658683E-3</v>
      </c>
      <c r="Y8" s="2">
        <f>-0.010392147235754*(1)</f>
        <v>-1.0392147235754001E-2</v>
      </c>
      <c r="Z8" s="2">
        <f>-0.0119507245522972*(1)</f>
        <v>-1.19507245522972E-2</v>
      </c>
      <c r="AA8" s="2">
        <f>-0.0233076052859089*(1)</f>
        <v>-2.3307605285908899E-2</v>
      </c>
      <c r="AB8" s="2">
        <f>0.00660024400276122*(1)</f>
        <v>6.60024400276122E-3</v>
      </c>
      <c r="AC8" s="2">
        <f>-0.0183398758583873*(1)</f>
        <v>-1.8339875858387301E-2</v>
      </c>
      <c r="AD8" s="2">
        <f>-0.00959480006266278*(1)</f>
        <v>-9.59480006266278E-3</v>
      </c>
      <c r="AE8" s="2">
        <f>0.030130969654734*(1)</f>
        <v>3.0130969654734E-2</v>
      </c>
      <c r="AF8" s="2">
        <f>-0.0020534500296159*(1)</f>
        <v>-2.0534500296159001E-3</v>
      </c>
      <c r="AG8" s="2">
        <f>0.0197327735787183*(1)</f>
        <v>1.9732773578718301E-2</v>
      </c>
      <c r="AH8" s="2">
        <f>0.00259933722164573*(1)</f>
        <v>2.5993372216457302E-3</v>
      </c>
      <c r="AI8" s="2">
        <f>-0.00905040123944905*(1)</f>
        <v>-9.0504012394490505E-3</v>
      </c>
      <c r="AJ8" s="2">
        <f>0.0160244152858961*(1)</f>
        <v>1.6024415285896099E-2</v>
      </c>
      <c r="AK8" s="2">
        <f>0.00251263503893111*(1)</f>
        <v>2.5126350389311101E-3</v>
      </c>
      <c r="AL8" s="2">
        <f>0.00569879453432884*(1)</f>
        <v>5.6987945343288399E-3</v>
      </c>
      <c r="AM8" s="2">
        <f>-0.00174986958607725*(1)</f>
        <v>-1.7498695860772499E-3</v>
      </c>
      <c r="AN8" s="2">
        <f>-0.00505271591376185*(1)</f>
        <v>-5.0527159137618502E-3</v>
      </c>
      <c r="AO8" s="2">
        <f>0.00724816020011158*(1)</f>
        <v>7.2481602001115801E-3</v>
      </c>
      <c r="AP8" s="2">
        <f>-0.00101871986798076*(1)</f>
        <v>-1.0187198679807599E-3</v>
      </c>
      <c r="AQ8" s="2">
        <f>-0.0108933649956362*(1)</f>
        <v>-1.0893364995636199E-2</v>
      </c>
      <c r="AR8" s="2">
        <f>-0.015517258429168*(1)</f>
        <v>-1.5517258429168001E-2</v>
      </c>
      <c r="AS8" s="2">
        <f>-0.00310324714201301*(1)</f>
        <v>-3.1032471420130098E-3</v>
      </c>
      <c r="AT8" s="2">
        <f>-0.000651228376631834*(1)</f>
        <v>-6.5122837663183402E-4</v>
      </c>
      <c r="AU8" s="2">
        <f>-0.0053935799307523*(1)</f>
        <v>-5.3935799307522998E-3</v>
      </c>
      <c r="AV8" s="2">
        <f>0.00530237319597101*(1)</f>
        <v>5.3023731959710102E-3</v>
      </c>
      <c r="AW8" s="2">
        <f>-0.00449573905232788*(1)</f>
        <v>-4.4957390523278802E-3</v>
      </c>
      <c r="AX8" s="2">
        <f>0.0187285151402156*(1)</f>
        <v>1.8728515140215601E-2</v>
      </c>
      <c r="AY8" s="2">
        <f>-0.0030343460737967*(1)</f>
        <v>-3.0343460737966999E-3</v>
      </c>
      <c r="AZ8" s="2">
        <f>0.00653285291178785*(1)</f>
        <v>6.5328529117878497E-3</v>
      </c>
      <c r="BA8" s="2">
        <f>0.0026606442319128*(1)</f>
        <v>2.6606442319127999E-3</v>
      </c>
      <c r="BB8" s="2">
        <f>0.00676834863168388*(1)</f>
        <v>6.7683486316838801E-3</v>
      </c>
      <c r="BC8" s="2">
        <f>0.00986340155531043*(1)</f>
        <v>9.8634015553104304E-3</v>
      </c>
      <c r="BD8" s="2">
        <f>0.00652336613034306*(1)</f>
        <v>6.5233661303430602E-3</v>
      </c>
      <c r="BE8" s="2">
        <f>0.014181640968615*(1)</f>
        <v>1.4181640968615E-2</v>
      </c>
      <c r="BF8" s="2">
        <f>-0.0107613501727428*(1)</f>
        <v>-1.07613501727428E-2</v>
      </c>
      <c r="BG8" s="2">
        <f>0.0166801503930027*(1)</f>
        <v>1.6680150393002701E-2</v>
      </c>
      <c r="BH8" s="2">
        <f>0.00918507358427657*(1)</f>
        <v>9.18507358427657E-3</v>
      </c>
      <c r="BI8" s="2">
        <f>-0.00774841077693976*(1)</f>
        <v>-7.7484107769397598E-3</v>
      </c>
      <c r="BJ8" s="2">
        <f>-0.0294103449436212*(1)</f>
        <v>-2.94103449436212E-2</v>
      </c>
      <c r="BK8" s="2">
        <f>0.00601057027313764*(1)</f>
        <v>6.0105702731376399E-3</v>
      </c>
      <c r="BL8" s="2">
        <f>0.00417787530979935*(1)</f>
        <v>4.1778753097993504E-3</v>
      </c>
      <c r="BM8" s="2">
        <f>0.00532730257200059*(1)</f>
        <v>5.32730257200059E-3</v>
      </c>
      <c r="BN8" s="2">
        <f>0.0102433087995384*(1)</f>
        <v>1.02433087995384E-2</v>
      </c>
      <c r="BO8" s="2">
        <f>0.0213819330080675*(1)</f>
        <v>2.13819330080675E-2</v>
      </c>
      <c r="BP8" s="2">
        <f>0.00610311296500078*(1)</f>
        <v>6.1031129650007798E-3</v>
      </c>
      <c r="BQ8" s="2">
        <f>0.0122032227935391*(1)</f>
        <v>1.22032227935391E-2</v>
      </c>
      <c r="BR8" s="2">
        <f>-0.00677889672217757*(1)</f>
        <v>-6.7788967221775699E-3</v>
      </c>
      <c r="BS8" s="2">
        <f>0.00115814415099341*(1)</f>
        <v>1.1581441509934101E-3</v>
      </c>
      <c r="BT8" s="2">
        <f>0.0215903989785705*(1)</f>
        <v>2.1590398978570499E-2</v>
      </c>
      <c r="BU8" s="2">
        <f>0.00291415813231094*(1)</f>
        <v>2.91415813231094E-3</v>
      </c>
      <c r="BV8" s="2">
        <f>-0.010906067496759*(1)</f>
        <v>-1.0906067496759E-2</v>
      </c>
      <c r="BW8" s="2">
        <f>0.00521591717756724*(1)</f>
        <v>5.21591717756724E-3</v>
      </c>
      <c r="BX8" s="2">
        <f>0.0044901725591176*(1)</f>
        <v>4.4901725591176E-3</v>
      </c>
      <c r="BY8" s="2">
        <f>-0.00654104581382724*(1)</f>
        <v>-6.5410458138272396E-3</v>
      </c>
      <c r="BZ8" s="2">
        <f>0.0013954193163663*(1)</f>
        <v>1.3954193163663001E-3</v>
      </c>
      <c r="CA8" s="2">
        <f>-0.015152691227744*(1)</f>
        <v>-1.5152691227744E-2</v>
      </c>
      <c r="CB8" s="2">
        <f>-0.0167711782997991*(1)</f>
        <v>-1.67711782997991E-2</v>
      </c>
      <c r="CC8" s="2">
        <f>0.00326061647421682*(1)</f>
        <v>3.2606164742168199E-3</v>
      </c>
      <c r="CD8" s="2">
        <f>-0.00743205342060691*(1)</f>
        <v>-7.4320534206069096E-3</v>
      </c>
      <c r="CE8" s="2">
        <f>0.00745525163162223*(1)</f>
        <v>7.4552516316222298E-3</v>
      </c>
      <c r="CF8" s="2">
        <f>0.000526050304115406*(1)</f>
        <v>5.2605030411540595E-4</v>
      </c>
      <c r="CG8" s="2">
        <f>0.00323785944429094*(1)</f>
        <v>3.23785944429094E-3</v>
      </c>
      <c r="CH8" s="2">
        <f>0.00251596555393298*(1)</f>
        <v>2.51596555393298E-3</v>
      </c>
      <c r="CI8" s="2">
        <f>-0.017500442201442*(1)</f>
        <v>-1.7500442201442E-2</v>
      </c>
      <c r="CJ8" s="2">
        <f>0.00370013836176223*(1)</f>
        <v>3.7001383617622299E-3</v>
      </c>
      <c r="CK8" s="2">
        <f>0.0117752485234853*(1)</f>
        <v>1.1775248523485301E-2</v>
      </c>
      <c r="CL8" s="2">
        <f>0.00831358255581187*(1)</f>
        <v>8.3135825558118704E-3</v>
      </c>
      <c r="CM8" s="2">
        <f>-0.00416020058820914*(1)</f>
        <v>-4.1602005882091404E-3</v>
      </c>
      <c r="CN8" s="2">
        <f>0.00995796059834117*(1)</f>
        <v>9.9579605983411701E-3</v>
      </c>
      <c r="CO8" s="2">
        <f>0.00806088915674568*(1)</f>
        <v>8.0608891567456806E-3</v>
      </c>
      <c r="CP8" s="2">
        <f>0.00111826279077518*(1)</f>
        <v>1.11826279077518E-3</v>
      </c>
      <c r="CQ8" s="2">
        <f>-0.00360204063280529*(1)</f>
        <v>-3.6020406328052899E-3</v>
      </c>
      <c r="CR8" s="2">
        <f>0.00476398618240411*(1)</f>
        <v>4.7639861824041096E-3</v>
      </c>
      <c r="CS8" s="2">
        <f>-0.0142854868750328*(1)</f>
        <v>-1.42854868750328E-2</v>
      </c>
      <c r="CT8" s="2">
        <f>0.00740047533025934*(1)</f>
        <v>7.4004753302593399E-3</v>
      </c>
      <c r="CU8" s="2">
        <f>0.0211977707881315*(1)</f>
        <v>2.1197770788131499E-2</v>
      </c>
      <c r="CV8" s="2">
        <f>-0.00459766447531879*(1)</f>
        <v>-4.59766447531879E-3</v>
      </c>
      <c r="CW8" s="2">
        <f>-0.00455416011157034*(1)</f>
        <v>-4.5541601115703396E-3</v>
      </c>
      <c r="CX8" s="2">
        <f>0.00853499917051548*(1)</f>
        <v>8.5349991705154799E-3</v>
      </c>
      <c r="CY8" s="2">
        <f>0.0231649231400193*(1)</f>
        <v>2.3164923140019299E-2</v>
      </c>
      <c r="CZ8" s="2">
        <f>-0.00786435318292898*(1)</f>
        <v>-7.8643531829289803E-3</v>
      </c>
      <c r="DA8" s="2">
        <f>0.0126086689852876*(1)</f>
        <v>1.26086689852876E-2</v>
      </c>
      <c r="DB8" s="2">
        <f>0.0107485551970046*(1)</f>
        <v>1.07485551970046E-2</v>
      </c>
      <c r="DC8" s="2">
        <f>-0.00649355696458623*(1)</f>
        <v>-6.4935569645862296E-3</v>
      </c>
      <c r="DD8" s="2">
        <f>-0.00138712355130129*(1)</f>
        <v>-1.3871235513012901E-3</v>
      </c>
      <c r="DE8" s="2">
        <f>-0.0239301687479144*(1)</f>
        <v>-2.3930168747914399E-2</v>
      </c>
      <c r="DF8" s="2">
        <f>0.0240363943541959*(1)</f>
        <v>2.4036394354195901E-2</v>
      </c>
      <c r="DG8" s="2">
        <f>-0.0028602283419711*(1)</f>
        <v>-2.8602283419711001E-3</v>
      </c>
      <c r="DH8" s="2">
        <f>-0.0165905198895967*(1)</f>
        <v>-1.65905198895967E-2</v>
      </c>
      <c r="DI8" s="2">
        <f>-0.0332343688525641*(1)</f>
        <v>-3.3234368852564103E-2</v>
      </c>
      <c r="DJ8" s="2">
        <f>0.0235901696090025*(1)</f>
        <v>2.3590169609002499E-2</v>
      </c>
      <c r="DK8" s="2">
        <f>0.00994001660388527*(1)</f>
        <v>9.9400166038852694E-3</v>
      </c>
      <c r="DL8" s="2">
        <f>-0.0200592708415422*(1)</f>
        <v>-2.0059270841542201E-2</v>
      </c>
      <c r="DM8" s="2">
        <f>0.00348069570913049*(1)</f>
        <v>3.4806957091304898E-3</v>
      </c>
      <c r="DN8" s="2">
        <f>0.0106350855799331*(1)</f>
        <v>1.0635085579933101E-2</v>
      </c>
      <c r="DO8" s="2">
        <f>-0.00159677063660416*(1)</f>
        <v>-1.59677063660416E-3</v>
      </c>
      <c r="DP8" s="2">
        <f>-0.00813325415520272*(1)</f>
        <v>-8.13325415520272E-3</v>
      </c>
      <c r="DQ8" s="2">
        <f>0.0304560704561445*(1)</f>
        <v>3.0456070456144499E-2</v>
      </c>
      <c r="DR8" s="2">
        <f>-0.0203113432570949*(1)</f>
        <v>-2.03113432570949E-2</v>
      </c>
      <c r="DS8" s="2">
        <f>-0.00826755676786573*(1)</f>
        <v>-8.2675567678657299E-3</v>
      </c>
      <c r="DT8" s="2">
        <f>0.00572449548103361*(1)</f>
        <v>5.7244954810336101E-3</v>
      </c>
      <c r="DU8" s="2">
        <f>0.0231940515129082*(1)</f>
        <v>2.3194051512908199E-2</v>
      </c>
      <c r="DV8" s="2">
        <f>-0.0126446265235932*(1)</f>
        <v>-1.2644626523593199E-2</v>
      </c>
      <c r="DW8" s="2">
        <f>-0.0043118171485892*(1)</f>
        <v>-4.3118171485891999E-3</v>
      </c>
      <c r="DX8" s="2">
        <f>0.00636442662596078*(1)</f>
        <v>6.36442662596078E-3</v>
      </c>
      <c r="DY8" s="2">
        <f>0.0016231480285012*(1)</f>
        <v>1.6231480285011999E-3</v>
      </c>
      <c r="DZ8" s="2">
        <f>-0.0303346553287669*(1)</f>
        <v>-3.0334655328766901E-2</v>
      </c>
      <c r="EA8" s="2">
        <f>-0.0565354485826764*(1)</f>
        <v>-5.6535448582676402E-2</v>
      </c>
      <c r="EB8" s="2">
        <f>0.0031203922047323*(1)</f>
        <v>3.1203922047323002E-3</v>
      </c>
      <c r="EC8" s="2">
        <f>-0.0134509069763822*(1)</f>
        <v>-1.3450906976382199E-2</v>
      </c>
      <c r="ED8" s="2">
        <f>0.0257011410601323*(1)</f>
        <v>2.5701141060132299E-2</v>
      </c>
      <c r="EE8" s="2">
        <f>-0.0212664476411953*(1)</f>
        <v>-2.1266447641195299E-2</v>
      </c>
      <c r="EF8" s="2">
        <f>-0.0244297091224426*(1)</f>
        <v>-2.4429709122442599E-2</v>
      </c>
      <c r="EG8" s="2">
        <f>-0.0159434071427575*(1)</f>
        <v>-1.59434071427575E-2</v>
      </c>
      <c r="EH8" s="2">
        <f>0.00418845235912177*(1)</f>
        <v>4.1884523591217701E-3</v>
      </c>
      <c r="EI8" s="2">
        <f>-0.00614957296534819*(1)</f>
        <v>-6.1495729653481901E-3</v>
      </c>
      <c r="EJ8" s="2">
        <f>-0.0061646756134833*(1)</f>
        <v>-6.1646756134833003E-3</v>
      </c>
      <c r="EK8" s="2">
        <f>-0.00785989922859632*(1)</f>
        <v>-7.8598992285963207E-3</v>
      </c>
      <c r="EL8" s="2">
        <f>0.000105736229531982*(1)</f>
        <v>1.05736229531982E-4</v>
      </c>
      <c r="EM8" s="2">
        <f>0.00191392351697263*(1)</f>
        <v>1.91392351697263E-3</v>
      </c>
      <c r="EN8" s="2">
        <f>-0.00758998318454952*(1)</f>
        <v>-7.5899831845495204E-3</v>
      </c>
      <c r="EO8" s="2">
        <f>-0.00847586360526481*(1)</f>
        <v>-8.4758636052648106E-3</v>
      </c>
      <c r="EP8" s="2">
        <f>-0.00548729433598704*(1)</f>
        <v>-5.4872943359870396E-3</v>
      </c>
      <c r="EQ8" s="2">
        <f>-0.0102894695396382*(1)</f>
        <v>-1.0289469539638199E-2</v>
      </c>
      <c r="ER8" s="2">
        <f>-0.00718577604470495*(1)</f>
        <v>-7.1857760447049503E-3</v>
      </c>
      <c r="ES8" s="2">
        <f>-0.00536065208428842*(1)</f>
        <v>-5.3606520842884196E-3</v>
      </c>
      <c r="ET8" s="2">
        <f>0.00271308455766658*(1)</f>
        <v>2.7130845576665802E-3</v>
      </c>
      <c r="EU8" s="2">
        <f>-0.0234456910228412*(1)</f>
        <v>-2.3445691022841199E-2</v>
      </c>
      <c r="EV8" s="2">
        <f>0.020936906320762*(1)</f>
        <v>2.0936906320761998E-2</v>
      </c>
      <c r="EW8" s="2">
        <f>-0.00815315201000865*(1)</f>
        <v>-8.1531520100086505E-3</v>
      </c>
      <c r="EX8" s="2">
        <f>0.0092682032532753*(1)</f>
        <v>9.2682032532752992E-3</v>
      </c>
      <c r="EY8" s="2">
        <f>-0.0109527293579851*(1)</f>
        <v>-1.0952729357985099E-2</v>
      </c>
      <c r="EZ8" s="2">
        <f>-0.00641064685068141*(1)</f>
        <v>-6.4106468506814097E-3</v>
      </c>
      <c r="FA8" s="2">
        <f>-0.0119705519381008*(1)</f>
        <v>-1.19705519381008E-2</v>
      </c>
      <c r="FB8" s="2">
        <f>-0.00865357211715919*(1)</f>
        <v>-8.6535721171591903E-3</v>
      </c>
      <c r="FC8" s="2">
        <f>0.011479437146788*(1)</f>
        <v>1.1479437146788E-2</v>
      </c>
      <c r="FD8" s="2">
        <f>-0.0261169124399084*(1)</f>
        <v>-2.61169124399084E-2</v>
      </c>
      <c r="FE8" s="2">
        <f>0.00578899626473705*(1)</f>
        <v>5.7889962647370502E-3</v>
      </c>
      <c r="FF8" s="2">
        <f>-0.00210689986672277*(1)</f>
        <v>-2.1068998667227701E-3</v>
      </c>
      <c r="FG8" s="2">
        <f>0.00768423628942966*(1)</f>
        <v>7.6842362894296596E-3</v>
      </c>
      <c r="FH8" s="2">
        <f>-0.00304722074503194*(1)</f>
        <v>-3.04722074503194E-3</v>
      </c>
      <c r="FI8" s="2">
        <f>0.0230383784780299*(1)</f>
        <v>2.3038378478029899E-2</v>
      </c>
      <c r="FJ8" s="2">
        <f>0.0104428238842039*(1)</f>
        <v>1.04428238842039E-2</v>
      </c>
      <c r="FK8" s="2">
        <f>-0.0204204277184645*(1)</f>
        <v>-2.0420427718464501E-2</v>
      </c>
      <c r="FL8" s="2">
        <f>0.00736665750320638*(1)</f>
        <v>7.3666575032063798E-3</v>
      </c>
      <c r="FM8" s="2">
        <f>0.000879712057306462*(1)</f>
        <v>8.7971205730646203E-4</v>
      </c>
      <c r="FN8" s="2">
        <f>0.00656842033451093*(1)</f>
        <v>6.5684203345109304E-3</v>
      </c>
      <c r="FO8" s="2">
        <f>0.0169229447073355*(1)</f>
        <v>1.6922944707335501E-2</v>
      </c>
      <c r="FP8" s="2">
        <f>-0.00491994218597497*(1)</f>
        <v>-4.9199421859749699E-3</v>
      </c>
      <c r="FQ8" s="2">
        <f>-0.0211374889289275*(1)</f>
        <v>-2.11374889289275E-2</v>
      </c>
      <c r="FR8" s="2">
        <f>0.0176355819559855*(1)</f>
        <v>1.76355819559855E-2</v>
      </c>
      <c r="FS8" s="2">
        <f>-0.00484468217945969*(1)</f>
        <v>-4.8446821794596896E-3</v>
      </c>
      <c r="FT8" s="2">
        <f>-0.00738408248097559*(1)</f>
        <v>-7.3840824809755902E-3</v>
      </c>
      <c r="FU8" s="2">
        <f>-0.0153408767257493*(1)</f>
        <v>-1.5340876725749301E-2</v>
      </c>
      <c r="FV8" s="2">
        <f>-0.00394276440665884*(1)</f>
        <v>-3.9427644066588399E-3</v>
      </c>
      <c r="FW8" s="2">
        <f>0.00537521145666062*(1)</f>
        <v>5.3752114566606203E-3</v>
      </c>
      <c r="FX8" s="2">
        <f>-0.00713697151343725*(1)</f>
        <v>-7.1369715134372499E-3</v>
      </c>
      <c r="FY8" s="2">
        <f>-0.00975370498103916*(1)</f>
        <v>-9.7537049810391598E-3</v>
      </c>
      <c r="FZ8" s="2">
        <f>-0.0128515820355901*(1)</f>
        <v>-1.2851582035590101E-2</v>
      </c>
      <c r="GA8" s="2">
        <f>-0.0152685718030196*(1)</f>
        <v>-1.52685718030196E-2</v>
      </c>
      <c r="GB8" s="2">
        <f>0.00906457569149859*(1)</f>
        <v>9.0645756914985894E-3</v>
      </c>
      <c r="GC8" s="2">
        <f>-0.0157563235724809*(1)</f>
        <v>-1.5756323572480899E-2</v>
      </c>
      <c r="GD8" s="2">
        <f>-0.00750076125676318*(1)</f>
        <v>-7.50076125676318E-3</v>
      </c>
      <c r="GE8" s="2">
        <f>-0.0283898510836155*(1)</f>
        <v>-2.8389851083615501E-2</v>
      </c>
      <c r="GF8" s="2">
        <f>0.00722372301622756*(1)</f>
        <v>7.2237230162275597E-3</v>
      </c>
      <c r="GG8" s="2">
        <f>-0.00269536160860046*(1)</f>
        <v>-2.6953616086004598E-3</v>
      </c>
      <c r="GH8" s="2">
        <f>0.0124155081263075*(1)</f>
        <v>1.24155081263075E-2</v>
      </c>
      <c r="GI8" s="2">
        <f>0.0273656199692901*(1)</f>
        <v>2.73656199692901E-2</v>
      </c>
      <c r="GJ8" s="2">
        <f>-0.00376049008202414*(1)</f>
        <v>-3.7604900820241401E-3</v>
      </c>
      <c r="GK8" s="2">
        <f>0.0274837542412475*(1)</f>
        <v>2.74837542412475E-2</v>
      </c>
      <c r="GL8" s="2">
        <f>-0.017130370187607*(1)</f>
        <v>-1.7130370187606998E-2</v>
      </c>
      <c r="GM8" s="2">
        <f>0.0058977463265056*(1)</f>
        <v>5.8977463265056001E-3</v>
      </c>
      <c r="GN8" s="2">
        <f>-0.012175622225591*(1)</f>
        <v>-1.2175622225591E-2</v>
      </c>
      <c r="GO8" s="2">
        <f>0.0183080704347064*(1)</f>
        <v>1.8308070434706399E-2</v>
      </c>
      <c r="GP8" s="2">
        <f>0.000824408153026283*(1)</f>
        <v>8.2440815302628305E-4</v>
      </c>
      <c r="GQ8" s="2">
        <f>-0.00170754335360139*(1)</f>
        <v>-1.7075433536013901E-3</v>
      </c>
      <c r="GR8" s="2">
        <f>0.00969038228049326*(1)</f>
        <v>9.6903822804932597E-3</v>
      </c>
      <c r="GS8" s="2">
        <f>-0.0066705726892217*(1)</f>
        <v>-6.6705726892217002E-3</v>
      </c>
      <c r="GT8" s="2">
        <f>-0.00987952097637505*(1)</f>
        <v>-9.8795209763750495E-3</v>
      </c>
      <c r="GU8" s="2">
        <f>-0.0110126772765468*(1)</f>
        <v>-1.10126772765468E-2</v>
      </c>
      <c r="GV8" s="2">
        <f>0.00714817204262745*(1)</f>
        <v>7.1481720426274497E-3</v>
      </c>
      <c r="GW8" s="2">
        <f>-0.00764940591175641*(1)</f>
        <v>-7.6494059117564097E-3</v>
      </c>
      <c r="GX8" s="2">
        <f>0.00523391331734594*(1)</f>
        <v>5.2339133173459401E-3</v>
      </c>
      <c r="GY8" s="2">
        <f>-0.00407126974443971*(1)</f>
        <v>-4.0712697444397102E-3</v>
      </c>
      <c r="GZ8" s="2">
        <f>0.0162182549610892*(1)</f>
        <v>1.6218254961089199E-2</v>
      </c>
      <c r="HA8" s="2">
        <f>0.00498231679755108*(1)</f>
        <v>4.9823167975510804E-3</v>
      </c>
      <c r="HB8" s="2">
        <f>-0.000209584798263809*(1)</f>
        <v>-2.0958479826380899E-4</v>
      </c>
      <c r="HC8" s="2">
        <f>0.00558265554939701*(1)</f>
        <v>5.5826555493970103E-3</v>
      </c>
      <c r="HD8" s="2">
        <f>-0.00592310007569406*(1)</f>
        <v>-5.9231000756940601E-3</v>
      </c>
      <c r="HE8" s="2">
        <f>-0.0229788863103287*(1)</f>
        <v>-2.2978886310328701E-2</v>
      </c>
      <c r="HF8" s="2">
        <f>-0.00273719589614484*(1)</f>
        <v>-2.7371958961448402E-3</v>
      </c>
      <c r="HG8" s="2">
        <f>0.00366409490151694*(1)</f>
        <v>3.6640949015169402E-3</v>
      </c>
      <c r="HH8" s="2">
        <f>-0.00923705043532626*(1)</f>
        <v>-9.2370504353262595E-3</v>
      </c>
      <c r="HI8" s="2">
        <f>-0.00609691420966051*(1)</f>
        <v>-6.0969142096605096E-3</v>
      </c>
      <c r="HJ8" s="2">
        <f>-0.00653170457448496*(1)</f>
        <v>-6.5317045744849598E-3</v>
      </c>
      <c r="HK8" s="2">
        <f>0.00317958852005733*(1)</f>
        <v>3.1795885200573298E-3</v>
      </c>
      <c r="HL8" s="2">
        <f>0.00748197056538204*(1)</f>
        <v>7.4819705653820399E-3</v>
      </c>
      <c r="HM8" s="2">
        <f>-0.0021823901269937*(1)</f>
        <v>-2.1823901269937E-3</v>
      </c>
      <c r="HN8" s="2">
        <f>-0.00446312555630106*(1)</f>
        <v>-4.46312555630106E-3</v>
      </c>
      <c r="HO8" s="2">
        <f>-0.000202892188666987*(1)</f>
        <v>-2.0289218866698699E-4</v>
      </c>
      <c r="HP8" s="2">
        <f>0.0173171567117767*(1)</f>
        <v>1.73171567117767E-2</v>
      </c>
      <c r="HQ8" s="2">
        <f>-0.00645028719616683*(1)</f>
        <v>-6.45028719616683E-3</v>
      </c>
      <c r="HR8" s="2">
        <f>0.0370073590916814*(1)</f>
        <v>3.7007359091681402E-2</v>
      </c>
      <c r="HS8" s="2">
        <f>0.00179526811076836*(1)</f>
        <v>1.79526811076836E-3</v>
      </c>
      <c r="HT8" s="2">
        <f>0.0144004955261227*(1)</f>
        <v>1.44004955261227E-2</v>
      </c>
      <c r="HU8" s="2">
        <f>-0.0242620813307003*(1)</f>
        <v>-2.4262081330700298E-2</v>
      </c>
      <c r="HV8" s="2">
        <f>0.00692925759819939*(1)</f>
        <v>6.9292575981993896E-3</v>
      </c>
      <c r="HW8" s="2">
        <f>0.00125716412815412*(1)</f>
        <v>1.25716412815412E-3</v>
      </c>
      <c r="HX8" s="2">
        <f>-0.00523463477799044*(1)</f>
        <v>-5.2346347779904396E-3</v>
      </c>
      <c r="HY8" s="2">
        <f>0.00676156712223942*(1)</f>
        <v>6.7615671222394204E-3</v>
      </c>
      <c r="HZ8" s="2">
        <f>0.0349825831666485*(1)</f>
        <v>3.4982583166648498E-2</v>
      </c>
      <c r="IA8" s="2">
        <f>0.00864943210795115*(1)</f>
        <v>8.6494321079511501E-3</v>
      </c>
      <c r="IB8" s="2">
        <f>0.0292896617039629*(1)</f>
        <v>2.92896617039629E-2</v>
      </c>
      <c r="IC8" s="2">
        <f>0.00127069903370706*(1)</f>
        <v>1.2706990337070601E-3</v>
      </c>
      <c r="ID8" s="2">
        <f>-0.0204977970897617*(1)</f>
        <v>-2.04977970897617E-2</v>
      </c>
      <c r="IE8" s="2">
        <f>-0.00340846467077149*(1)</f>
        <v>-3.4084646707714899E-3</v>
      </c>
      <c r="IF8" s="2">
        <f>-0.0088459920764603*(1)</f>
        <v>-8.8459920764603003E-3</v>
      </c>
      <c r="IG8" s="2">
        <f>-0.0187775045168744*(1)</f>
        <v>-1.8777504516874401E-2</v>
      </c>
      <c r="IH8" s="2">
        <f>0.00344207353138123*(1)</f>
        <v>3.4420735313812302E-3</v>
      </c>
      <c r="II8" s="2">
        <f>-0.0160312170523293*(1)</f>
        <v>-1.6031217052329301E-2</v>
      </c>
      <c r="IJ8" s="2">
        <f>-0.00362302285501535*(1)</f>
        <v>-3.6230228550153498E-3</v>
      </c>
      <c r="IK8" s="2">
        <f>0.00874598667332294*(1)</f>
        <v>8.7459866733229398E-3</v>
      </c>
      <c r="IL8" s="2">
        <f>-0.00250601713967948*(1)</f>
        <v>-2.5060171396794799E-3</v>
      </c>
      <c r="IM8" s="2">
        <f>0.0269101406672247*(1)</f>
        <v>2.6910140667224702E-2</v>
      </c>
      <c r="IN8" s="2">
        <f>-0.0122789400144522*(1)</f>
        <v>-1.22789400144522E-2</v>
      </c>
      <c r="IO8" s="2">
        <f>-0.0166557129953032*(1)</f>
        <v>-1.6655712995303201E-2</v>
      </c>
      <c r="IP8" s="2">
        <f>-0.0038168586917003*(1)</f>
        <v>-3.8168586917003001E-3</v>
      </c>
      <c r="IQ8" s="2">
        <f>-0.000316185864268123*(1)</f>
        <v>-3.1618586426812302E-4</v>
      </c>
      <c r="IR8" s="2">
        <f>0.00598239122067972*(1)</f>
        <v>5.9823912206797203E-3</v>
      </c>
      <c r="IS8" s="2">
        <f>-0.00884701630903674*(1)</f>
        <v>-8.8470163090367399E-3</v>
      </c>
      <c r="IT8" s="2">
        <f>0.00187268324593563*(1)</f>
        <v>1.8726832459356299E-3</v>
      </c>
      <c r="IU8" s="2">
        <f>-0.025481232867888*(1)</f>
        <v>-2.5481232867888001E-2</v>
      </c>
      <c r="IV8" s="2">
        <f>0.0212862587546734*(1)</f>
        <v>2.1286258754673399E-2</v>
      </c>
      <c r="IW8" s="2">
        <f>0.0157392589546684*(1)</f>
        <v>1.5739258954668399E-2</v>
      </c>
      <c r="IX8" s="2">
        <f>-0.00260412120891819*(1)</f>
        <v>-2.6041212089181901E-3</v>
      </c>
      <c r="IY8" s="2">
        <f>0.00564620125773574*(1)</f>
        <v>5.6462012577357399E-3</v>
      </c>
      <c r="IZ8" s="2">
        <f>-0.00932161946714315*(1)</f>
        <v>-9.3216194671431503E-3</v>
      </c>
      <c r="JA8" s="2">
        <f>0.0113855045571326*(1)</f>
        <v>1.13855045571326E-2</v>
      </c>
      <c r="JB8" s="2">
        <f>-0.0119976960858228*(1)</f>
        <v>-1.1997696085822801E-2</v>
      </c>
      <c r="JC8" s="2">
        <f>-0.0140457555881463*(1)</f>
        <v>-1.4045755588146301E-2</v>
      </c>
      <c r="JD8" s="2">
        <f>0.00760373414105308*(1)</f>
        <v>7.6037341410530798E-3</v>
      </c>
      <c r="JE8" s="2">
        <f>-0.00865589316915748*(1)</f>
        <v>-8.6558931691574793E-3</v>
      </c>
      <c r="JF8" s="2">
        <f>0.0309970451870967*(1)</f>
        <v>3.09970451870967E-2</v>
      </c>
      <c r="JG8" s="2">
        <f>-0.00978408547037996*(1)</f>
        <v>-9.7840854703799603E-3</v>
      </c>
      <c r="JH8" s="2">
        <f>0.00104784941755467*(1)</f>
        <v>1.0478494175546701E-3</v>
      </c>
      <c r="JI8" s="2">
        <f>-0.00435208380072581*(1)</f>
        <v>-4.35208380072581E-3</v>
      </c>
      <c r="JJ8" s="2">
        <f>0.00105531782649263*(1)</f>
        <v>1.05531782649263E-3</v>
      </c>
      <c r="JK8" s="2">
        <f>0.00631592012022082*(1)</f>
        <v>6.3159201202208203E-3</v>
      </c>
      <c r="JL8" s="2">
        <f>-0.00660849616571226*(1)</f>
        <v>-6.60849616571226E-3</v>
      </c>
      <c r="JM8" s="2">
        <f>-0.00746710846512433*(1)</f>
        <v>-7.4671084651243298E-3</v>
      </c>
      <c r="JN8" s="2">
        <f>0.0111315669975356*(1)</f>
        <v>1.11315669975356E-2</v>
      </c>
      <c r="JO8" s="2">
        <f>-0.0125748605188486*(1)</f>
        <v>-1.25748605188486E-2</v>
      </c>
      <c r="JP8" s="2">
        <f>-0.00172116788462949*(1)</f>
        <v>-1.7211678846294899E-3</v>
      </c>
      <c r="JQ8" s="2">
        <f>0.0261821567868788*(1)</f>
        <v>2.61821567868788E-2</v>
      </c>
      <c r="JR8" s="2">
        <f>-0.00718314724391916*(1)</f>
        <v>-7.18314724391916E-3</v>
      </c>
      <c r="JS8" s="2">
        <f>-0.0226267598281753*(1)</f>
        <v>-2.2626759828175299E-2</v>
      </c>
      <c r="JT8" s="2">
        <f>0.00283048907833787*(1)</f>
        <v>2.8304890783378699E-3</v>
      </c>
      <c r="JU8" s="2">
        <f>0.00289763208045864*(1)</f>
        <v>2.89763208045864E-3</v>
      </c>
      <c r="JV8" s="2">
        <f>0.0220840418065985*(1)</f>
        <v>2.2084041806598498E-2</v>
      </c>
      <c r="JW8" s="2">
        <f>0.0326376740642927*(1)</f>
        <v>3.2637674064292702E-2</v>
      </c>
      <c r="JX8" s="2">
        <f>-0.0217941877042483*(1)</f>
        <v>-2.1794187704248302E-2</v>
      </c>
      <c r="JY8" s="2">
        <f>-0.011978479909125*(1)</f>
        <v>-1.1978479909124999E-2</v>
      </c>
      <c r="JZ8" s="2">
        <f>0.0168150618015884*(1)</f>
        <v>1.6815061801588399E-2</v>
      </c>
      <c r="KA8" s="2">
        <f>0.00611034539156559*(1)</f>
        <v>6.1103453915655904E-3</v>
      </c>
      <c r="KB8" s="2">
        <f>-0.00710384939725777*(1)</f>
        <v>-7.1038493972577698E-3</v>
      </c>
      <c r="KC8" s="2">
        <f>0.00316415847318419*(1)</f>
        <v>3.16415847318419E-3</v>
      </c>
      <c r="KD8" s="2">
        <f>-0.0115097257012543*(1)</f>
        <v>-1.15097257012543E-2</v>
      </c>
      <c r="KE8" s="2">
        <f>0.00256723701957503*(1)</f>
        <v>2.56723701957503E-3</v>
      </c>
      <c r="KF8" s="2">
        <f>-0.0067453343124121*(1)</f>
        <v>-6.7453343124121001E-3</v>
      </c>
      <c r="KG8" s="2">
        <f>-0.00802358899217988*(1)</f>
        <v>-8.0235889921798798E-3</v>
      </c>
      <c r="KH8" s="2">
        <f>0.00918770189779983*(1)</f>
        <v>9.1877018977998305E-3</v>
      </c>
      <c r="KI8" s="2">
        <f>-0.00896978083653659*(1)</f>
        <v>-8.9697808365365901E-3</v>
      </c>
      <c r="KJ8" s="2">
        <f>0.021575655641237*(1)</f>
        <v>2.1575655641237E-2</v>
      </c>
      <c r="KK8" s="2">
        <f>0.000565615745094132*(1)</f>
        <v>5.6561574509413201E-4</v>
      </c>
      <c r="KL8" s="2">
        <f>0.016977335012287*(1)</f>
        <v>1.6977335012287001E-2</v>
      </c>
      <c r="KM8" s="2">
        <f>0.00499112895092766*(1)</f>
        <v>4.9911289509276596E-3</v>
      </c>
      <c r="KN8" s="2">
        <f>-0.000325928743761107*(1)</f>
        <v>-3.2592874376110702E-4</v>
      </c>
      <c r="KO8" s="2">
        <f>-0.0131451439446804*(1)</f>
        <v>-1.31451439446804E-2</v>
      </c>
      <c r="KP8" s="2">
        <f>0.0141744372988638*(1)</f>
        <v>1.41744372988638E-2</v>
      </c>
      <c r="KQ8" s="2">
        <f>0.0140976253046723*(1)</f>
        <v>1.40976253046723E-2</v>
      </c>
      <c r="KR8" s="2">
        <f>-0.00467979524143263*(1)</f>
        <v>-4.6797952414326296E-3</v>
      </c>
      <c r="KS8" s="2">
        <f>-0.0230861062646416*(1)</f>
        <v>-2.3086106264641599E-2</v>
      </c>
      <c r="KT8" s="2">
        <f>0.00126787645831737*(1)</f>
        <v>1.26787645831737E-3</v>
      </c>
      <c r="KU8" s="2">
        <f>0.0306617890664975*(1)</f>
        <v>3.06617890664975E-2</v>
      </c>
      <c r="KV8" s="2">
        <f>-0.00970051976218652*(1)</f>
        <v>-9.70051976218652E-3</v>
      </c>
      <c r="KW8" s="2">
        <f>-0.0119496472928137*(1)</f>
        <v>-1.1949647292813699E-2</v>
      </c>
      <c r="KX8" s="2">
        <f>0.0148412684707561*(1)</f>
        <v>1.48412684707561E-2</v>
      </c>
      <c r="KY8" s="2">
        <f>-0.00203117958532186*(1)</f>
        <v>-2.0311795853218601E-3</v>
      </c>
      <c r="KZ8" s="2">
        <f>0.00733871466307899*(1)</f>
        <v>7.3387146630789898E-3</v>
      </c>
      <c r="LA8" s="2">
        <f>0.00686811429622747*(1)</f>
        <v>6.8681142962274703E-3</v>
      </c>
      <c r="LB8" s="2">
        <f>0.00392672276919663*(1)</f>
        <v>3.9267227691966297E-3</v>
      </c>
      <c r="LC8" s="2">
        <f>0.0126483174391598*(1)</f>
        <v>1.26483174391598E-2</v>
      </c>
      <c r="LD8" s="2">
        <f>0.00515254196596713*(1)</f>
        <v>5.1525419659671301E-3</v>
      </c>
      <c r="LE8" s="2">
        <f>0.0030533734692516*(1)</f>
        <v>3.0533734692516001E-3</v>
      </c>
      <c r="LF8" s="2">
        <f>-0.0203433074010582*(1)</f>
        <v>-2.0343307401058199E-2</v>
      </c>
      <c r="LG8" s="2">
        <f>-0.0160348558428422*(1)</f>
        <v>-1.6034855842842199E-2</v>
      </c>
      <c r="LH8" s="2">
        <f>-0.0436031812684765*(1)</f>
        <v>-4.3603181268476503E-2</v>
      </c>
      <c r="LI8" s="2">
        <f>-0.00645921494364765*(1)</f>
        <v>-6.4592149436476501E-3</v>
      </c>
      <c r="LJ8" s="2">
        <f>-0.00653391426404311*(1)</f>
        <v>-6.5339142640431103E-3</v>
      </c>
      <c r="LK8" s="2">
        <f>0.0152892056043266*(1)</f>
        <v>1.5289205604326599E-2</v>
      </c>
      <c r="LL8" s="2">
        <f>-0.0140305103733497*(1)</f>
        <v>-1.40305103733497E-2</v>
      </c>
      <c r="LM8" s="2">
        <f>-0.0145114149335556*(1)</f>
        <v>-1.4511414933555599E-2</v>
      </c>
      <c r="LN8" s="2">
        <f>-0.000218315679795221*(1)</f>
        <v>-2.18315679795221E-4</v>
      </c>
      <c r="LO8" s="2">
        <f>0.00900167159984021*(1)</f>
        <v>9.0016715998402098E-3</v>
      </c>
      <c r="LP8" s="2">
        <f>-0.00303632539783136*(1)</f>
        <v>-3.0363253978313602E-3</v>
      </c>
      <c r="LQ8" s="2">
        <f>-0.0157317079175479*(1)</f>
        <v>-1.57317079175479E-2</v>
      </c>
      <c r="LR8" s="2">
        <f>-0.0392182129462952*(1)</f>
        <v>-3.9218212946295197E-2</v>
      </c>
      <c r="LS8" s="2">
        <f>0.0190392643078562*(1)</f>
        <v>1.9039264307856199E-2</v>
      </c>
      <c r="LT8" s="2">
        <f>0.0122674129874025*(1)</f>
        <v>1.22674129874025E-2</v>
      </c>
      <c r="LU8" s="2">
        <f>0.00218345258687465*(1)</f>
        <v>2.1834525868746498E-3</v>
      </c>
      <c r="LV8" s="2">
        <f>0.0107868266734619*(1)</f>
        <v>1.07868266734619E-2</v>
      </c>
      <c r="LW8" s="2">
        <f>-0.0193364667595948*(1)</f>
        <v>-1.93364667595948E-2</v>
      </c>
      <c r="LX8" s="2">
        <f>0.00215122179882314*(1)</f>
        <v>2.1512217988231401E-3</v>
      </c>
      <c r="LY8" s="2">
        <f>0.00688335197911517*(1)</f>
        <v>6.8833519791151702E-3</v>
      </c>
      <c r="LZ8" s="2">
        <f>-0.0122958818998144*(1)</f>
        <v>-1.22958818998144E-2</v>
      </c>
      <c r="MA8" s="2">
        <f>0.00942453675854855*(1)</f>
        <v>9.4245367585485493E-3</v>
      </c>
      <c r="MB8" s="2">
        <f>0.0119539642827672*(1)</f>
        <v>1.1953964282767199E-2</v>
      </c>
      <c r="MC8" s="2">
        <f>0.00879083369070184*(1)</f>
        <v>8.7908336907018408E-3</v>
      </c>
      <c r="MD8" s="2">
        <f>-0.00443791663943509*(1)</f>
        <v>-4.43791663943509E-3</v>
      </c>
      <c r="ME8" s="2">
        <f>0.00305966705789498*(1)</f>
        <v>3.0596670578949799E-3</v>
      </c>
      <c r="MF8" s="2">
        <f>0.0164877951991542*(1)</f>
        <v>1.64877951991542E-2</v>
      </c>
      <c r="MG8" s="2">
        <f>0.00964862378410882*(1)</f>
        <v>9.6486237841088198E-3</v>
      </c>
      <c r="MH8" s="2">
        <f>-0.00254101118725987*(1)</f>
        <v>-2.5410111872598701E-3</v>
      </c>
      <c r="MI8" s="2">
        <f>-0.00237043503323903*(1)</f>
        <v>-2.3704350332390302E-3</v>
      </c>
      <c r="MJ8" s="2">
        <f>0.0145927551240434*(1)</f>
        <v>1.4592755124043399E-2</v>
      </c>
      <c r="MK8" s="2">
        <f>0.0090468114605026*(1)</f>
        <v>9.0468114605025997E-3</v>
      </c>
      <c r="ML8" s="2">
        <f>-0.0293199760741775*(1)</f>
        <v>-2.9319976074177499E-2</v>
      </c>
      <c r="MM8" s="2">
        <f>-0.0103172717242928*(1)</f>
        <v>-1.03172717242928E-2</v>
      </c>
      <c r="MN8" s="2">
        <f>0.0134977342724829*(1)</f>
        <v>1.34977342724829E-2</v>
      </c>
      <c r="MO8" s="2">
        <f>0.00263210769741739*(1)</f>
        <v>2.6321076974173902E-3</v>
      </c>
      <c r="MP8" s="2">
        <f>-0.0133485214074173*(1)</f>
        <v>-1.33485214074173E-2</v>
      </c>
      <c r="MQ8" s="2">
        <f>-0.0208936540748195*(1)</f>
        <v>-2.0893654074819499E-2</v>
      </c>
      <c r="MR8" s="2">
        <f>-0.0105380560773388*(1)</f>
        <v>-1.0538056077338801E-2</v>
      </c>
      <c r="MS8" s="2">
        <f>-0.0030996836986769*(1)</f>
        <v>-3.0996836986769E-3</v>
      </c>
      <c r="MT8" s="2">
        <f>-0.00440811577212526*(1)</f>
        <v>-4.4081157721252602E-3</v>
      </c>
      <c r="MU8" s="2">
        <f>0.00709727592954673*(1)</f>
        <v>7.0972759295467296E-3</v>
      </c>
      <c r="MV8" s="2">
        <f>0.00770174432753535*(1)</f>
        <v>7.7017443275353504E-3</v>
      </c>
      <c r="MW8" s="2">
        <f>-0.00481785020533449*(1)</f>
        <v>-4.8178502053344901E-3</v>
      </c>
      <c r="MX8" s="2">
        <f>-0.00285899756084231*(1)</f>
        <v>-2.8589975608423099E-3</v>
      </c>
      <c r="MY8" s="2">
        <f>-0.00426285090417684*(1)</f>
        <v>-4.2628509041768396E-3</v>
      </c>
      <c r="MZ8" s="2">
        <f>-0.00892145024484359*(1)</f>
        <v>-8.9214502448435908E-3</v>
      </c>
      <c r="NA8" s="2">
        <f>0.0107367819779342*(1)</f>
        <v>1.07367819779342E-2</v>
      </c>
      <c r="NB8" s="2">
        <f>0.0236937838132232*(1)</f>
        <v>2.36937838132232E-2</v>
      </c>
      <c r="NC8" s="2">
        <f>-0.000582901260082513*(1)</f>
        <v>-5.8290126008251296E-4</v>
      </c>
      <c r="ND8" s="2">
        <f>-0.00654617105661009*(1)</f>
        <v>-6.5461710566100898E-3</v>
      </c>
      <c r="NE8" s="2">
        <f>-0.00110085799203029*(1)</f>
        <v>-1.10085799203029E-3</v>
      </c>
      <c r="NF8" s="2">
        <f>0.00117746342682375*(1)</f>
        <v>1.1774634268237501E-3</v>
      </c>
      <c r="NG8" s="2">
        <f>0.0164665881171773*(1)</f>
        <v>1.64665881171773E-2</v>
      </c>
      <c r="NH8" s="2">
        <f>-0.00418982426820831*(1)</f>
        <v>-4.1898242682083097E-3</v>
      </c>
      <c r="NI8" s="2">
        <f>-0.016035172353129*(1)</f>
        <v>-1.6035172353128999E-2</v>
      </c>
      <c r="NJ8" s="2">
        <f>0.00423990130054202*(1)</f>
        <v>4.23990130054202E-3</v>
      </c>
      <c r="NK8" s="2">
        <f>-0.0214670696696514*(1)</f>
        <v>-2.1467069669651399E-2</v>
      </c>
      <c r="NL8" s="2">
        <f>0.00468102475918186*(1)</f>
        <v>4.6810247591818604E-3</v>
      </c>
      <c r="NM8" s="2">
        <f>-0.0138357388935642*(1)</f>
        <v>-1.38357388935642E-2</v>
      </c>
      <c r="NN8" s="2">
        <f>0.0226883791474787*(1)</f>
        <v>2.2688379147478701E-2</v>
      </c>
      <c r="NO8" s="2">
        <f>-0.0230830910364605*(1)</f>
        <v>-2.3083091036460501E-2</v>
      </c>
      <c r="NP8" s="2">
        <f>0.00284395260330176*(1)</f>
        <v>2.84395260330176E-3</v>
      </c>
      <c r="NQ8" s="2">
        <f>-0.0129798925057998*(1)</f>
        <v>-1.2979892505799799E-2</v>
      </c>
      <c r="NR8" s="2">
        <f>0.00849919912672558*(1)</f>
        <v>8.4991991267255804E-3</v>
      </c>
      <c r="NS8" s="2">
        <f>0.0281709307217168*(1)</f>
        <v>2.8170930721716801E-2</v>
      </c>
      <c r="NT8" s="2">
        <f>0.0255027423859176*(1)</f>
        <v>2.5502742385917598E-2</v>
      </c>
      <c r="NU8" s="2">
        <f>0.0298690681305584*(1)</f>
        <v>2.98690681305584E-2</v>
      </c>
      <c r="NV8" s="2">
        <f>-0.0111220872061022*(1)</f>
        <v>-1.1122087206102201E-2</v>
      </c>
      <c r="NW8" s="2">
        <f>-0.00347509384108741*(1)</f>
        <v>-3.4750938410874101E-3</v>
      </c>
      <c r="NX8" s="2">
        <f>-0.00786849721442733*(1)</f>
        <v>-7.8684972144273304E-3</v>
      </c>
      <c r="NY8" s="2">
        <f>0.0185117394340111*(1)</f>
        <v>1.8511739434011101E-2</v>
      </c>
      <c r="NZ8" s="2">
        <f>-0.00876877918986118*(1)</f>
        <v>-8.7687791898611797E-3</v>
      </c>
      <c r="OA8" s="2">
        <f>-0.00860358414721466*(1)</f>
        <v>-8.6035841472146598E-3</v>
      </c>
      <c r="OB8" s="2">
        <f>0.02644786546*(1)</f>
        <v>2.6447865460000001E-2</v>
      </c>
      <c r="OC8" s="2">
        <f>0.0192488828277672*(1)</f>
        <v>1.92488828277672E-2</v>
      </c>
      <c r="OD8" s="2">
        <f>-0.0108869504451757*(1)</f>
        <v>-1.08869504451757E-2</v>
      </c>
      <c r="OE8" s="2">
        <f>0.0105774298442901*(1)</f>
        <v>1.0577429844290101E-2</v>
      </c>
      <c r="OF8" s="2">
        <f>0.033666978997595*(1)</f>
        <v>3.3666978997595E-2</v>
      </c>
      <c r="OG8" s="2">
        <f>0.00500057983323184*(1)</f>
        <v>5.0005798332318401E-3</v>
      </c>
      <c r="OH8" s="2">
        <f>-0.00770426421961708*(1)</f>
        <v>-7.7042642196170803E-3</v>
      </c>
      <c r="OI8" s="2">
        <f>-0.00887967030320249*(1)</f>
        <v>-8.8796703032024901E-3</v>
      </c>
      <c r="OJ8" s="2">
        <f>-0.0109426254606851*(1)</f>
        <v>-1.09426254606851E-2</v>
      </c>
      <c r="OK8" s="2">
        <f>0.0324096872826567*(1)</f>
        <v>3.2409687282656703E-2</v>
      </c>
      <c r="OL8" s="2">
        <f>-0.00330199174971151*(1)</f>
        <v>-3.3019917497115101E-3</v>
      </c>
      <c r="OM8" s="2">
        <f>-0.0179423297594261*(1)</f>
        <v>-1.7942329759426098E-2</v>
      </c>
      <c r="ON8" s="2">
        <f>-0.00523527336908806*(1)</f>
        <v>-5.23527336908806E-3</v>
      </c>
      <c r="OO8" s="2">
        <f>0.0124644222822349*(1)</f>
        <v>1.24644222822349E-2</v>
      </c>
      <c r="OP8" s="2">
        <f>-0.000160254414587681*(1)</f>
        <v>-1.60254414587681E-4</v>
      </c>
      <c r="OQ8" s="2">
        <f>-0.0141869688287107*(1)</f>
        <v>-1.41869688287107E-2</v>
      </c>
      <c r="OR8" s="2">
        <f>-0.0153796834013208*(1)</f>
        <v>-1.5379683401320799E-2</v>
      </c>
      <c r="OS8" s="2">
        <f>-0.0268775442293895*(1)</f>
        <v>-2.68775442293895E-2</v>
      </c>
      <c r="OT8" s="2">
        <f>-0.000112765413998904*(1)</f>
        <v>-1.12765413998904E-4</v>
      </c>
      <c r="OU8" s="2">
        <f>-0.00982955222985116*(1)</f>
        <v>-9.8295522298511608E-3</v>
      </c>
      <c r="OV8" s="2">
        <f>-0.00180090073718735*(1)</f>
        <v>-1.80090073718735E-3</v>
      </c>
      <c r="OW8" s="2">
        <f>0.00743046345277382*(1)</f>
        <v>7.4304634527738202E-3</v>
      </c>
      <c r="OX8" s="2">
        <f>0.00823207531393843*(1)</f>
        <v>8.2320753139384292E-3</v>
      </c>
      <c r="OY8" s="2">
        <f>-0.0189675422418116*(1)</f>
        <v>-1.8967542241811599E-2</v>
      </c>
      <c r="OZ8" s="2">
        <f>-0.000113990650269059*(1)</f>
        <v>-1.13990650269059E-4</v>
      </c>
      <c r="PA8" s="2">
        <f>0.00074177093615781*(1)</f>
        <v>7.4177093615781001E-4</v>
      </c>
      <c r="PB8" s="2">
        <f>-0.00450018868409814*(1)</f>
        <v>-4.5001886840981397E-3</v>
      </c>
      <c r="PC8" s="2">
        <f>0.00030202889827142*(1)</f>
        <v>3.0202889827142E-4</v>
      </c>
      <c r="PD8" s="2">
        <f>0.00724286945861749*(1)</f>
        <v>7.2428694586174902E-3</v>
      </c>
      <c r="PE8" s="2">
        <f>0.000211184124386473*(1)</f>
        <v>2.1118412438647299E-4</v>
      </c>
      <c r="PF8" s="2">
        <f>-0.0152667440683961*(1)</f>
        <v>-1.52667440683961E-2</v>
      </c>
      <c r="PG8" s="2">
        <f>0.0242079515518612*(1)</f>
        <v>2.4207951551861201E-2</v>
      </c>
      <c r="PH8" s="2">
        <f>-0.010191183229829*(1)</f>
        <v>-1.0191183229829001E-2</v>
      </c>
      <c r="PI8" s="2">
        <f>-0.00700421691256414*(1)</f>
        <v>-7.0042169125641403E-3</v>
      </c>
      <c r="PJ8" s="2">
        <f>-0.00162876383717274*(1)</f>
        <v>-1.6287638371727401E-3</v>
      </c>
      <c r="PK8" s="2">
        <f>-0.0100121556778356*(1)</f>
        <v>-1.00121556778356E-2</v>
      </c>
      <c r="PL8" s="2">
        <f>0.000158383674157471*(1)</f>
        <v>1.5838367415747101E-4</v>
      </c>
      <c r="PM8" s="2">
        <f>-0.017128514715678*(1)</f>
        <v>-1.7128514715678E-2</v>
      </c>
      <c r="PN8" s="2">
        <f>0.0245674620123909*(1)</f>
        <v>2.4567462012390899E-2</v>
      </c>
      <c r="PO8" s="2">
        <f>-0.00652173992721246*(1)</f>
        <v>-6.5217399272124599E-3</v>
      </c>
      <c r="PP8" s="2">
        <f>0.0199443062769358*(1)</f>
        <v>1.9944306276935799E-2</v>
      </c>
      <c r="PQ8" s="2">
        <f>0.00231922127128474*(1)</f>
        <v>2.3192212712847401E-3</v>
      </c>
      <c r="PR8" s="2">
        <f>0.023311958186346*(1)</f>
        <v>2.3311958186345998E-2</v>
      </c>
      <c r="PS8" s="2">
        <f>-0.00219682187169996*(1)</f>
        <v>-2.1968218716999599E-3</v>
      </c>
      <c r="PT8" s="2">
        <f>0.0312038775776047*(1)</f>
        <v>3.1203877577604702E-2</v>
      </c>
      <c r="PU8" s="2">
        <f>0.015851069982877*(1)</f>
        <v>1.5851069982877001E-2</v>
      </c>
      <c r="PV8" s="2">
        <f>-0.00755195661658065*(1)</f>
        <v>-7.5519566165806497E-3</v>
      </c>
      <c r="PW8" s="2">
        <f>-0.00629401020171079*(1)</f>
        <v>-6.2940102017107896E-3</v>
      </c>
      <c r="PX8" s="2">
        <f>0.0163803766087156*(1)</f>
        <v>1.6380376608715601E-2</v>
      </c>
      <c r="PY8" s="2">
        <f>-0.00674400319266851*(1)</f>
        <v>-6.7440031926685098E-3</v>
      </c>
      <c r="PZ8" s="2">
        <f>0.0150282002091*(1)</f>
        <v>1.50282002091E-2</v>
      </c>
      <c r="QA8" s="2">
        <f>0.003097623537843*(1)</f>
        <v>3.097623537843E-3</v>
      </c>
      <c r="QB8" s="2">
        <f>-0.0426398784945268*(1)</f>
        <v>-4.2639878494526801E-2</v>
      </c>
      <c r="QC8" s="2">
        <f>-0.0172289544652853*(1)</f>
        <v>-1.7228954465285301E-2</v>
      </c>
      <c r="QD8" s="2">
        <f>-0.0210328450421448*(1)</f>
        <v>-2.1032845042144799E-2</v>
      </c>
      <c r="QE8" s="2">
        <f>-0.0200646928592184*(1)</f>
        <v>-2.00646928592184E-2</v>
      </c>
      <c r="QF8" s="2">
        <f>0.00112018852275008*(1)</f>
        <v>1.12018852275008E-3</v>
      </c>
      <c r="QG8" s="2">
        <f>0.00437919315439548*(1)</f>
        <v>4.3791931543954799E-3</v>
      </c>
      <c r="QH8" s="2">
        <f>0.0100218543446364*(1)</f>
        <v>1.0021854344636399E-2</v>
      </c>
      <c r="QI8" s="2">
        <f>0.0088259741864684*(1)</f>
        <v>8.8259741864684001E-3</v>
      </c>
      <c r="QJ8" s="2">
        <f>-0.0223923824755753*(1)</f>
        <v>-2.23923824755753E-2</v>
      </c>
      <c r="QK8" s="2">
        <f>-0.015698131003491*(1)</f>
        <v>-1.5698131003491E-2</v>
      </c>
      <c r="QL8" s="2">
        <f>0.0174069338132756*(1)</f>
        <v>1.7406933813275599E-2</v>
      </c>
      <c r="QM8" s="2">
        <f>-0.00900751855738596*(1)</f>
        <v>-9.0075185573859594E-3</v>
      </c>
      <c r="QN8" s="2">
        <f>0.0226802095818226*(1)</f>
        <v>2.26802095818226E-2</v>
      </c>
      <c r="QO8" s="2">
        <f>0.00549104786191068*(1)</f>
        <v>5.4910478619106797E-3</v>
      </c>
      <c r="QP8" s="2">
        <f>-0.00654962901196602*(1)</f>
        <v>-6.5496290119660197E-3</v>
      </c>
      <c r="QQ8" s="2">
        <f>0.00651378502461167*(1)</f>
        <v>6.5137850246116697E-3</v>
      </c>
      <c r="QR8" s="2">
        <f>0.0150264598918443*(1)</f>
        <v>1.50264598918443E-2</v>
      </c>
      <c r="QS8" s="2">
        <f>-0.0171860528665484*(1)</f>
        <v>-1.7186052866548399E-2</v>
      </c>
      <c r="QT8" s="2">
        <f>-0.0199079596174462*(1)</f>
        <v>-1.9907959617446201E-2</v>
      </c>
      <c r="QU8" s="2">
        <f>0.013249325381936*(1)</f>
        <v>1.3249325381935999E-2</v>
      </c>
      <c r="QV8" s="2">
        <f>-0.0093387758372371*(1)</f>
        <v>-9.3387758372370996E-3</v>
      </c>
      <c r="QW8" s="2">
        <f>0.0193793826363485*(1)</f>
        <v>1.9379382636348499E-2</v>
      </c>
      <c r="QX8" s="2">
        <f>0.00529410614554684*(1)</f>
        <v>5.29410614554684E-3</v>
      </c>
      <c r="QY8" s="2">
        <f>-0.0128183494822496*(1)</f>
        <v>-1.2818349482249599E-2</v>
      </c>
      <c r="QZ8" s="2">
        <f>-0.00364186846888047*(1)</f>
        <v>-3.64186846888047E-3</v>
      </c>
      <c r="RA8" s="2">
        <f>0.024281492216992*(1)</f>
        <v>2.4281492216991999E-2</v>
      </c>
      <c r="RB8" s="2">
        <f>0.00837701235276291*(1)</f>
        <v>8.3770123527629105E-3</v>
      </c>
      <c r="RC8" s="2">
        <f>-0.0311903131449039*(1)</f>
        <v>-3.1190313144903899E-2</v>
      </c>
      <c r="RD8" s="2">
        <f>0.029461138084391*(1)</f>
        <v>2.9461138084390999E-2</v>
      </c>
      <c r="RE8" s="2">
        <f>0.0050724649802464*(1)</f>
        <v>5.0724649802464002E-3</v>
      </c>
      <c r="RF8" s="2">
        <f>-0.0171923042890115*(1)</f>
        <v>-1.7192304289011501E-2</v>
      </c>
      <c r="RG8" s="2">
        <f>-0.030740563625238*(1)</f>
        <v>-3.0740563625237999E-2</v>
      </c>
      <c r="RH8" s="2">
        <f>0.0198024983582555*(1)</f>
        <v>1.98024983582555E-2</v>
      </c>
      <c r="RI8" s="2">
        <f>0.00425816355282489*(1)</f>
        <v>4.2581635528248897E-3</v>
      </c>
      <c r="RJ8" s="2">
        <f>-0.00449536875262305*(1)</f>
        <v>-4.4953687526230503E-3</v>
      </c>
      <c r="RK8" s="2">
        <f>0.0106529451893175*(1)</f>
        <v>1.06529451893175E-2</v>
      </c>
      <c r="RL8" s="2">
        <f>-0.00551392425465787*(1)</f>
        <v>-5.5139242546578702E-3</v>
      </c>
      <c r="RM8" s="2">
        <f>0.00903138593527574*(1)</f>
        <v>9.0313859352757399E-3</v>
      </c>
      <c r="RN8" s="2">
        <f>0.00083418527278868*(1)</f>
        <v>8.3418527278867997E-4</v>
      </c>
      <c r="RO8" s="2">
        <f>-0.00158922710472294*(1)</f>
        <v>-1.5892271047229401E-3</v>
      </c>
      <c r="RP8" s="2">
        <f>0.0214960084811569*(1)</f>
        <v>2.14960084811569E-2</v>
      </c>
      <c r="RQ8" s="2">
        <f>-0.00635327527992817*(1)</f>
        <v>-6.3532752799281703E-3</v>
      </c>
      <c r="RR8" s="2">
        <f>-0.00275575143913437*(1)</f>
        <v>-2.7557514391343698E-3</v>
      </c>
      <c r="RS8" s="2">
        <f>0.0161453864959759*(1)</f>
        <v>1.61453864959759E-2</v>
      </c>
      <c r="RT8" s="2">
        <f>-0.0105936739891129*(1)</f>
        <v>-1.0593673989112901E-2</v>
      </c>
      <c r="RU8" s="2">
        <f>-0.00326069532254113*(1)</f>
        <v>-3.2606953225411302E-3</v>
      </c>
      <c r="RV8" s="2">
        <f>0.0113705031080141*(1)</f>
        <v>1.13705031080141E-2</v>
      </c>
      <c r="RW8" s="2">
        <f>-0.0061886431061226*(1)</f>
        <v>-6.1886431061226E-3</v>
      </c>
      <c r="RX8" s="2">
        <f>0.012960949402805*(1)</f>
        <v>1.2960949402805001E-2</v>
      </c>
      <c r="RY8" s="2">
        <f>-0.000351821889015189*(1)</f>
        <v>-3.5182188901518898E-4</v>
      </c>
      <c r="RZ8" s="2">
        <f>-0.00338306197316755*(1)</f>
        <v>-3.3830619731675502E-3</v>
      </c>
      <c r="SA8" s="2">
        <f>0.00200122702376878*(1)</f>
        <v>2.0012270237687799E-3</v>
      </c>
      <c r="SB8" s="2">
        <f>0.0045384887934463*(1)</f>
        <v>4.5384887934463002E-3</v>
      </c>
      <c r="SC8" s="2">
        <f>0.00340035384945437*(1)</f>
        <v>3.4003538494543702E-3</v>
      </c>
      <c r="SD8" s="2">
        <f>-0.0169009859062425*(1)</f>
        <v>-1.6900985906242501E-2</v>
      </c>
      <c r="SE8" s="2">
        <f>-0.000603054049027975*(1)</f>
        <v>-6.0305404902797504E-4</v>
      </c>
      <c r="SF8" s="2">
        <f>-0.0171901481244255*(1)</f>
        <v>-1.71901481244255E-2</v>
      </c>
      <c r="SG8" s="2">
        <f>0.0135164979002398*(1)</f>
        <v>1.35164979002398E-2</v>
      </c>
      <c r="SH8" s="2">
        <f>0.0212726145401254*(1)</f>
        <v>2.1272614540125401E-2</v>
      </c>
      <c r="SI8" s="2">
        <f>0.0164346910953498*(1)</f>
        <v>1.6434691095349799E-2</v>
      </c>
      <c r="SJ8" s="2">
        <f>0.0154617053056969*(1)</f>
        <v>1.5461705305696899E-2</v>
      </c>
      <c r="SK8" s="2">
        <f>0.101858689127368*(1)</f>
        <v>0.10185868912736799</v>
      </c>
      <c r="SL8" s="2">
        <f>0.00928149393565451*(1)</f>
        <v>9.2814939356545105E-3</v>
      </c>
      <c r="SM8" s="2">
        <f>-0.0462593044101386*(1)</f>
        <v>-4.6259304410138598E-2</v>
      </c>
      <c r="SN8" s="2">
        <f>-0.0233772063989712*(1)</f>
        <v>-2.3377206398971201E-2</v>
      </c>
      <c r="SO8" s="2">
        <f>0.00072651107541914*(1)</f>
        <v>7.2651107541914001E-4</v>
      </c>
      <c r="SP8" s="2">
        <f>-0.00766551128396836*(1)</f>
        <v>-7.66551128396836E-3</v>
      </c>
      <c r="SQ8" s="2">
        <f>-0.0256328063789574*(1)</f>
        <v>-2.5632806378957401E-2</v>
      </c>
      <c r="SR8" s="2">
        <f>0.00863763578609905*(1)</f>
        <v>8.6376357860990498E-3</v>
      </c>
      <c r="SS8" s="2">
        <f>-0.00701071250635005*(1)</f>
        <v>-7.0107125063500501E-3</v>
      </c>
      <c r="ST8" s="2">
        <f>-0.018332417049199*(1)</f>
        <v>-1.8332417049198999E-2</v>
      </c>
      <c r="SU8" s="2">
        <f>-0.00990393215216287*(1)</f>
        <v>-9.9039321521628698E-3</v>
      </c>
      <c r="SV8" s="2">
        <f>-0.0684496988239967*(1)</f>
        <v>-6.8449698823996694E-2</v>
      </c>
      <c r="SW8" s="2">
        <f>0.0057242176795538*(1)</f>
        <v>5.7242176795537997E-3</v>
      </c>
      <c r="SX8" s="2">
        <f>-0.00932235113647006*(1)</f>
        <v>-9.3223511364700605E-3</v>
      </c>
      <c r="SY8" s="2">
        <f>-0.0108201918419739*(1)</f>
        <v>-1.08201918419739E-2</v>
      </c>
      <c r="SZ8" s="2">
        <f>0.004999744490162*(1)</f>
        <v>4.9997444901619999E-3</v>
      </c>
      <c r="TA8" s="2">
        <f>-0.0294520083867244*(1)</f>
        <v>-2.9452008386724401E-2</v>
      </c>
      <c r="TB8" s="2">
        <f>0.0063978672147025*(1)</f>
        <v>6.3978672147025004E-3</v>
      </c>
      <c r="TC8" s="2">
        <f>0.00272608492063947*(1)</f>
        <v>2.7260849206394702E-3</v>
      </c>
      <c r="TD8" s="2">
        <f>0.0332576268148392*(1)</f>
        <v>3.3257626814839202E-2</v>
      </c>
      <c r="TE8" s="2">
        <f>0.0178910852436433*(1)</f>
        <v>1.7891085243643301E-2</v>
      </c>
      <c r="TF8" s="2">
        <f>0.00228007630016163*(1)</f>
        <v>2.2800763001616302E-3</v>
      </c>
      <c r="TG8" s="2">
        <f>0.0123781370728459*(1)</f>
        <v>1.23781370728459E-2</v>
      </c>
      <c r="TH8" s="2">
        <f>-0.0138016959498117*(1)</f>
        <v>-1.3801695949811701E-2</v>
      </c>
      <c r="TI8" s="2">
        <f>0.0138981778296552*(1)</f>
        <v>1.38981778296552E-2</v>
      </c>
      <c r="TJ8" s="2">
        <f>0.0821234126784018*(1)</f>
        <v>8.21234126784018E-2</v>
      </c>
      <c r="TK8" s="2">
        <f>0.00542509012256908*(1)</f>
        <v>5.4250901225690804E-3</v>
      </c>
      <c r="TL8" s="2">
        <f>0.00806448984626846*(1)</f>
        <v>8.0644898462684592E-3</v>
      </c>
      <c r="TM8" s="2">
        <f>-0.00240223364985002*(1)</f>
        <v>-2.4022336498500199E-3</v>
      </c>
      <c r="TN8" s="2">
        <f>-0.000622623964253767*(1)</f>
        <v>-6.2262396425376699E-4</v>
      </c>
      <c r="TO8" s="2">
        <f>0.0165385965130046*(1)</f>
        <v>1.65385965130046E-2</v>
      </c>
      <c r="TP8" s="2">
        <f>0.0113504187433634*(1)</f>
        <v>1.13504187433634E-2</v>
      </c>
      <c r="TQ8" s="2">
        <f>0.0000270573985169151*(1)</f>
        <v>2.7057398516915101E-5</v>
      </c>
      <c r="TR8" s="2">
        <f>0.0119334207156387*(1)</f>
        <v>1.1933420715638699E-2</v>
      </c>
      <c r="TS8" s="2">
        <f>-0.0341574235276181*(1)</f>
        <v>-3.4157423527618101E-2</v>
      </c>
      <c r="TT8" s="2">
        <f>-0.0318414399226642*(1)</f>
        <v>-3.1841439922664201E-2</v>
      </c>
      <c r="TU8" s="2">
        <f>-0.0251513674017588*(1)</f>
        <v>-2.5151367401758801E-2</v>
      </c>
      <c r="TV8" s="2">
        <f>-0.0163995980276377*(1)</f>
        <v>-1.6399598027637699E-2</v>
      </c>
      <c r="TW8" s="2">
        <f>-0.00659157442480869*(1)</f>
        <v>-6.5915744248086902E-3</v>
      </c>
      <c r="TX8" s="2">
        <f>0.00215300624297838*(1)</f>
        <v>2.1530062429783799E-3</v>
      </c>
      <c r="TY8" s="2">
        <f>0.0143333056822454*(1)</f>
        <v>1.43333056822454E-2</v>
      </c>
      <c r="TZ8" s="2">
        <f>0.00231501281524075*(1)</f>
        <v>2.3150128152407499E-3</v>
      </c>
      <c r="UA8" s="2">
        <f>-0.0208742261534672*(1)</f>
        <v>-2.08742261534672E-2</v>
      </c>
      <c r="UB8" s="2">
        <f>0.00602464506197361*(1)</f>
        <v>6.0246450619736098E-3</v>
      </c>
      <c r="UC8" s="2">
        <f>0.0355448141460272*(1)</f>
        <v>3.5544814146027198E-2</v>
      </c>
      <c r="UD8" s="2">
        <f>0.0103951421200016*(1)</f>
        <v>1.03951421200016E-2</v>
      </c>
      <c r="UE8" s="2">
        <f>-0.0209128559165359*(1)</f>
        <v>-2.09128559165359E-2</v>
      </c>
      <c r="UF8" s="2">
        <f>-0.00609796927915602*(1)</f>
        <v>-6.0979692791560203E-3</v>
      </c>
      <c r="UG8" s="2">
        <f>-0.0087100537847539*(1)</f>
        <v>-8.7100537847538996E-3</v>
      </c>
      <c r="UH8" s="2">
        <f>-0.00243138585040967*(1)</f>
        <v>-2.4313858504096701E-3</v>
      </c>
      <c r="UI8" s="2">
        <f>-0.0183793101756886*(1)</f>
        <v>-1.8379310175688598E-2</v>
      </c>
      <c r="UJ8" s="2">
        <f>0.0143682983845619*(1)</f>
        <v>1.43682983845619E-2</v>
      </c>
      <c r="UK8" s="2">
        <f>0.0315437222751289*(1)</f>
        <v>3.1543722275128902E-2</v>
      </c>
      <c r="UL8" s="2">
        <f>0.00115511391493557*(1)</f>
        <v>1.1551139149355699E-3</v>
      </c>
      <c r="UM8" s="2">
        <f>-0.00195964153947495*(1)</f>
        <v>-1.9596415394749502E-3</v>
      </c>
      <c r="UN8" s="2">
        <f>-0.013355338033089*(1)</f>
        <v>-1.3355338033089E-2</v>
      </c>
      <c r="UO8" s="2">
        <f>-0.00804433346369856*(1)</f>
        <v>-8.0443334636985594E-3</v>
      </c>
      <c r="UP8" s="2">
        <f>-0.0192902242390046*(1)</f>
        <v>-1.9290224239004599E-2</v>
      </c>
      <c r="UQ8" s="2">
        <f>-0.0211411883058639*(1)</f>
        <v>-2.1141188305863898E-2</v>
      </c>
      <c r="UR8" s="2">
        <f>0.018700559230698*(1)</f>
        <v>1.8700559230698001E-2</v>
      </c>
      <c r="US8" s="2">
        <f>0.0199607442315191*(1)</f>
        <v>1.9960744231519102E-2</v>
      </c>
      <c r="UT8" s="2">
        <f>0.00952019538448078*(1)</f>
        <v>9.5201953844807792E-3</v>
      </c>
      <c r="UU8" s="2">
        <f>0.0154253353543814*(1)</f>
        <v>1.5425335354381399E-2</v>
      </c>
      <c r="UV8" s="2">
        <f>0.00932527454763967*(1)</f>
        <v>9.3252745476396694E-3</v>
      </c>
      <c r="UW8" s="2">
        <f>-0.0198575138895874*(1)</f>
        <v>-1.9857513889587401E-2</v>
      </c>
      <c r="UX8" s="2">
        <f>0.0149754108065213*(1)</f>
        <v>1.4975410806521299E-2</v>
      </c>
      <c r="UY8" s="2">
        <f>-0.0136276879157742*(1)</f>
        <v>-1.3627687915774201E-2</v>
      </c>
      <c r="UZ8" s="2">
        <f>0.0040054431904312*(1)</f>
        <v>4.0054431904312003E-3</v>
      </c>
      <c r="VA8" s="2">
        <f>0.00660701806745496*(1)</f>
        <v>6.6070180674549601E-3</v>
      </c>
      <c r="VB8" s="2">
        <f>-0.00330826593203375*(1)</f>
        <v>-3.30826593203375E-3</v>
      </c>
      <c r="VC8" s="2">
        <f>-0.00036707574937743*(1)</f>
        <v>-3.6707574937742997E-4</v>
      </c>
      <c r="VD8" s="2">
        <f>0.00460174069994634*(1)</f>
        <v>4.6017406999463396E-3</v>
      </c>
      <c r="VE8" s="2">
        <f>-0.015707113765462*(1)</f>
        <v>-1.5707113765462001E-2</v>
      </c>
      <c r="VF8" s="2">
        <f>0.00550364744247392*(1)</f>
        <v>5.5036474424739199E-3</v>
      </c>
      <c r="VG8" s="2">
        <f>0.0172029914077288*(1)</f>
        <v>1.7202991407728799E-2</v>
      </c>
      <c r="VH8" s="2">
        <f>-0.0148224572531743*(1)</f>
        <v>-1.48224572531743E-2</v>
      </c>
      <c r="VI8" s="2">
        <f>-0.0126151162501278*(1)</f>
        <v>-1.26151162501278E-2</v>
      </c>
      <c r="VJ8" s="2">
        <f>0.001466514496121*(1)</f>
        <v>1.4665144961209999E-3</v>
      </c>
      <c r="VK8" s="2">
        <f>0.000803017487571958*(1)</f>
        <v>8.0301748757195801E-4</v>
      </c>
      <c r="VL8" s="2">
        <f>-0.0210354638865985*(1)</f>
        <v>-2.10354638865985E-2</v>
      </c>
      <c r="VM8" s="2">
        <f>-0.0382537464295045*(1)</f>
        <v>-3.82537464295045E-2</v>
      </c>
      <c r="VN8" s="2">
        <f>0.013401425350622*(1)</f>
        <v>1.3401425350622E-2</v>
      </c>
      <c r="VO8" s="2">
        <f>-0.0000675375037691427*(1)</f>
        <v>-6.7537503769142694E-5</v>
      </c>
      <c r="VP8" s="2">
        <f>-0.00243268180492097*(1)</f>
        <v>-2.4326818049209701E-3</v>
      </c>
      <c r="VQ8" s="2">
        <f>-0.0124549591863509*(1)</f>
        <v>-1.24549591863509E-2</v>
      </c>
      <c r="VR8" s="2">
        <f>0.00979179409219876*(1)</f>
        <v>9.7917940921987603E-3</v>
      </c>
      <c r="VS8" s="2">
        <f>0.000938393618779171*(1)</f>
        <v>9.3839361877917095E-4</v>
      </c>
      <c r="VT8" s="2">
        <f>-0.0161474198507917*(1)</f>
        <v>-1.6147419850791701E-2</v>
      </c>
      <c r="VU8" s="2">
        <f>-0.00350347781450909*(1)</f>
        <v>-3.50347781450909E-3</v>
      </c>
      <c r="VV8" s="2">
        <f>-0.00444992098183535*(1)</f>
        <v>-4.4499209818353496E-3</v>
      </c>
      <c r="VW8" s="2">
        <f>-0.0275020963652752*(1)</f>
        <v>-2.7502096365275199E-2</v>
      </c>
      <c r="VX8" s="2">
        <f>-0.00593375059497611*(1)</f>
        <v>-5.9337505949761098E-3</v>
      </c>
      <c r="VY8" s="2">
        <f>-0.00442663702274673*(1)</f>
        <v>-4.4266370227467296E-3</v>
      </c>
      <c r="VZ8" s="2">
        <f>-0.00457921983214415*(1)</f>
        <v>-4.5792198321441503E-3</v>
      </c>
      <c r="WA8" s="2">
        <f>-0.00265347751829466*(1)</f>
        <v>-2.6534775182946598E-3</v>
      </c>
      <c r="WB8" s="2">
        <f>0.00535049930736284*(1)</f>
        <v>5.3504993073628399E-3</v>
      </c>
      <c r="WC8" s="2">
        <f>0.0327440437489846*(1)</f>
        <v>3.2744043748984597E-2</v>
      </c>
      <c r="WD8" s="2">
        <f>-0.0245380250815645*(1)</f>
        <v>-2.45380250815645E-2</v>
      </c>
      <c r="WE8" s="2">
        <f>-0.0171227810692673*(1)</f>
        <v>-1.71227810692673E-2</v>
      </c>
      <c r="WF8" s="2">
        <f>0.00491540820104671*(1)</f>
        <v>4.9154082010467101E-3</v>
      </c>
      <c r="WG8" s="2">
        <f>0.00264765945890281*(1)</f>
        <v>2.64765945890281E-3</v>
      </c>
      <c r="WH8" s="2">
        <f>0.00180784536996958*(1)</f>
        <v>1.8078453699695799E-3</v>
      </c>
      <c r="WI8" s="2">
        <f>0.0318955933313091*(1)</f>
        <v>3.1895593331309098E-2</v>
      </c>
      <c r="WJ8" s="2">
        <f>-0.0235775650299648*(1)</f>
        <v>-2.35775650299648E-2</v>
      </c>
      <c r="WK8" s="2">
        <f>-0.00767432740376068*(1)</f>
        <v>-7.6743274037606802E-3</v>
      </c>
      <c r="WL8" s="2">
        <f>0.00910964666250586*(1)</f>
        <v>9.10964666250586E-3</v>
      </c>
      <c r="WM8" s="2">
        <f>-0.012071573735662*(1)</f>
        <v>-1.2071573735662E-2</v>
      </c>
      <c r="WN8" s="2">
        <f>0.0159394960922632*(1)</f>
        <v>1.5939496092263201E-2</v>
      </c>
      <c r="WO8" s="2">
        <f>-0.00220359948759902*(1)</f>
        <v>-2.2035994875990199E-3</v>
      </c>
      <c r="WP8" s="2">
        <f>0.00998710656444722*(1)</f>
        <v>9.9871065644472207E-3</v>
      </c>
      <c r="WQ8" s="2">
        <f>-0.00830599132877828*(1)</f>
        <v>-8.3059913287782793E-3</v>
      </c>
      <c r="WR8" s="2">
        <f>-0.0158850062774963*(1)</f>
        <v>-1.58850062774963E-2</v>
      </c>
      <c r="WS8" s="2">
        <f>0.00632773593576646*(1)</f>
        <v>6.3277359357664601E-3</v>
      </c>
      <c r="WT8" s="2">
        <f>-0.0282492154661201*(1)</f>
        <v>-2.8249215466120099E-2</v>
      </c>
      <c r="WU8" s="2">
        <f>0.00485376792683941*(1)</f>
        <v>4.8537679268394101E-3</v>
      </c>
      <c r="WV8" s="2">
        <f>-0.0018928351713487*(1)</f>
        <v>-1.8928351713487E-3</v>
      </c>
      <c r="WW8" s="2">
        <f>0.00352471206789183*(1)</f>
        <v>3.5247120678918299E-3</v>
      </c>
      <c r="WX8" s="2">
        <f>0.0230668963153006*(1)</f>
        <v>2.3066896315300602E-2</v>
      </c>
      <c r="WY8" s="2">
        <f>0.0148426583658824*(1)</f>
        <v>1.4842658365882401E-2</v>
      </c>
      <c r="WZ8" s="2">
        <f>-0.0350610682851046*(1)</f>
        <v>-3.50610682851046E-2</v>
      </c>
      <c r="XA8" s="2">
        <f>0.00257031846760166*(1)</f>
        <v>2.5703184676016599E-3</v>
      </c>
      <c r="XB8" s="2">
        <f>-0.0074474821705759*(1)</f>
        <v>-7.4474821705758998E-3</v>
      </c>
      <c r="XC8" s="2">
        <f>0.00356521920106775*(1)</f>
        <v>3.5652192010677498E-3</v>
      </c>
      <c r="XD8" s="2">
        <f>-0.00853972102882176*(1)</f>
        <v>-8.5397210288217593E-3</v>
      </c>
      <c r="XE8" s="2">
        <f>-0.00161750214352519*(1)</f>
        <v>-1.61750214352519E-3</v>
      </c>
      <c r="XF8" s="2">
        <f>0.0281233886332828*(1)</f>
        <v>2.81233886332828E-2</v>
      </c>
      <c r="XG8" s="2">
        <f>0.013170424434419*(1)</f>
        <v>1.3170424434419001E-2</v>
      </c>
      <c r="XH8" s="2">
        <f>0.00648956609458938*(1)</f>
        <v>6.4895660945893802E-3</v>
      </c>
      <c r="XI8" s="2">
        <f>0.03261510449644*(1)</f>
        <v>3.2615104496439999E-2</v>
      </c>
      <c r="XJ8" s="2">
        <f>-0.00295804933384896*(1)</f>
        <v>-2.9580493338489601E-3</v>
      </c>
      <c r="XK8" s="2">
        <f>-0.0284887252543878*(1)</f>
        <v>-2.8488725254387798E-2</v>
      </c>
      <c r="XL8" s="2">
        <f>0.0112607647499135*(1)</f>
        <v>1.1260764749913501E-2</v>
      </c>
      <c r="XM8" s="2">
        <f>0.0163087987981082*(1)</f>
        <v>1.63087987981082E-2</v>
      </c>
      <c r="XN8" s="2">
        <f>0.000679337554096478*(1)</f>
        <v>6.7933755409647803E-4</v>
      </c>
      <c r="XO8" s="2">
        <f>-0.00442093417701512*(1)</f>
        <v>-4.4209341770151201E-3</v>
      </c>
      <c r="XP8" s="2">
        <f>-0.020890570005371*(1)</f>
        <v>-2.0890570005370999E-2</v>
      </c>
      <c r="XQ8" s="2">
        <f>0.0238546771655633*(1)</f>
        <v>2.38546771655633E-2</v>
      </c>
      <c r="XR8" s="2">
        <f>-0.0147076352188975*(1)</f>
        <v>-1.4707635218897499E-2</v>
      </c>
      <c r="XS8" s="2">
        <f>-0.014174759820899*(1)</f>
        <v>-1.4174759820899E-2</v>
      </c>
      <c r="XT8" s="2">
        <f>-0.00772305428307797*(1)</f>
        <v>-7.7230542830779699E-3</v>
      </c>
      <c r="XU8" s="2">
        <f>-0.0124156472264732*(1)</f>
        <v>-1.24156472264732E-2</v>
      </c>
      <c r="XV8" s="2">
        <f>-0.013191260117782*(1)</f>
        <v>-1.3191260117781999E-2</v>
      </c>
      <c r="XW8" s="2">
        <f>0.0246290929737002*(1)</f>
        <v>2.4629092973700199E-2</v>
      </c>
      <c r="XX8" s="2">
        <f>-0.0219743350594393*(1)</f>
        <v>-2.1974335059439298E-2</v>
      </c>
      <c r="XY8" s="2">
        <f>-0.00692569910445461*(1)</f>
        <v>-6.9256991044546103E-3</v>
      </c>
      <c r="XZ8" s="2">
        <f>-0.0128910492637433*(1)</f>
        <v>-1.28910492637433E-2</v>
      </c>
      <c r="YA8" s="2">
        <f>0.0155822939343639*(1)</f>
        <v>1.5582293934363899E-2</v>
      </c>
      <c r="YB8" s="2">
        <f>0.00979276116212467*(1)</f>
        <v>9.7927611621246701E-3</v>
      </c>
      <c r="YC8" s="2">
        <f>0.00718137844323399*(1)</f>
        <v>7.1813784432339899E-3</v>
      </c>
      <c r="YD8" s="2">
        <f>-0.0252388896963796*(1)</f>
        <v>-2.52388896963796E-2</v>
      </c>
      <c r="YE8" s="2">
        <f>-0.00106375191245482*(1)</f>
        <v>-1.06375191245482E-3</v>
      </c>
      <c r="YF8" s="2">
        <f>-0.0119740597869053*(1)</f>
        <v>-1.19740597869053E-2</v>
      </c>
      <c r="YG8" s="2">
        <f>0.00312737566678224*(1)</f>
        <v>3.12737566678224E-3</v>
      </c>
      <c r="YH8" s="2">
        <f>-0.0263134047901489*(1)</f>
        <v>-2.63134047901489E-2</v>
      </c>
      <c r="YI8" s="2">
        <f>-0.0173772091796946*(1)</f>
        <v>-1.7377209179694601E-2</v>
      </c>
      <c r="YJ8" s="2">
        <f>-0.0274336873640784*(1)</f>
        <v>-2.7433687364078401E-2</v>
      </c>
      <c r="YK8" s="2">
        <f>0.00851070192091351*(1)</f>
        <v>8.5107019209135094E-3</v>
      </c>
      <c r="YL8" s="2">
        <f>0.012905674701751*(1)</f>
        <v>1.2905674701751E-2</v>
      </c>
      <c r="YM8" s="2">
        <f>-0.00441126112101375*(1)</f>
        <v>-4.4112611210137499E-3</v>
      </c>
      <c r="YN8" s="2">
        <f>-0.00739482996151204*(1)</f>
        <v>-7.3948299615120396E-3</v>
      </c>
      <c r="YO8" s="2">
        <f>0.014345014044312*(1)</f>
        <v>1.4345014044312E-2</v>
      </c>
      <c r="YP8" s="2">
        <f>-0.0016569590950904*(1)</f>
        <v>-1.6569590950903999E-3</v>
      </c>
      <c r="YQ8" s="2">
        <f>-0.00647568947937577*(1)</f>
        <v>-6.4756894793757697E-3</v>
      </c>
      <c r="YR8" s="2">
        <f>-0.0163336069612029*(1)</f>
        <v>-1.6333606961202899E-2</v>
      </c>
      <c r="YS8" s="2">
        <f>-0.0195089613100772*(1)</f>
        <v>-1.9508961310077198E-2</v>
      </c>
      <c r="YT8" s="2">
        <f>-0.0176146946247322*(1)</f>
        <v>-1.76146946247322E-2</v>
      </c>
      <c r="YU8" s="2">
        <f>0.0188164518455537*(1)</f>
        <v>1.8816451845553701E-2</v>
      </c>
      <c r="YV8" s="2">
        <f>-0.0535060357390458*(1)</f>
        <v>-5.3506035739045797E-2</v>
      </c>
      <c r="YW8" s="2">
        <f>0.05273069417712*(1)</f>
        <v>5.2730694177120001E-2</v>
      </c>
      <c r="YX8" s="2">
        <f>0.00459834424172308*(1)</f>
        <v>4.5983442417230798E-3</v>
      </c>
      <c r="YY8" s="2">
        <f>0.0060342960715838*(1)</f>
        <v>6.0342960715838003E-3</v>
      </c>
      <c r="YZ8" s="2">
        <f>-0.00461182355890166*(1)</f>
        <v>-4.6118235589016603E-3</v>
      </c>
      <c r="ZA8" s="2">
        <f>0.000113896972569041*(1)</f>
        <v>1.13896972569041E-4</v>
      </c>
      <c r="ZB8" s="2">
        <f>0.0182013236090639*(1)</f>
        <v>1.8201323609063898E-2</v>
      </c>
      <c r="ZC8" s="2">
        <f>-0.00744064512986892*(1)</f>
        <v>-7.4406451298689204E-3</v>
      </c>
      <c r="ZD8" s="2">
        <f>0.0335372943987283*(1)</f>
        <v>3.3537294398728303E-2</v>
      </c>
      <c r="ZE8" s="2">
        <f>-0.0181165767031498*(1)</f>
        <v>-1.8116576703149801E-2</v>
      </c>
      <c r="ZF8" s="2">
        <f>-0.0148855400318885*(1)</f>
        <v>-1.48855400318885E-2</v>
      </c>
      <c r="ZG8" s="2">
        <f>-0.00130917619272903*(1)</f>
        <v>-1.30917619272903E-3</v>
      </c>
      <c r="ZH8" s="2">
        <f>0.00677811345611267*(1)</f>
        <v>6.7781134561126699E-3</v>
      </c>
      <c r="ZI8" s="2">
        <f>0.000569582847894585*(1)</f>
        <v>5.6958284789458496E-4</v>
      </c>
      <c r="ZJ8" s="2">
        <f>-0.02597685263573*(1)</f>
        <v>-2.5976852635730002E-2</v>
      </c>
      <c r="ZK8" s="2">
        <f>-0.00313101090234959*(1)</f>
        <v>-3.1310109023495901E-3</v>
      </c>
      <c r="ZL8" s="2">
        <f>0.00681959811989435*(1)</f>
        <v>6.8195981198943502E-3</v>
      </c>
      <c r="ZM8" s="2">
        <f>0.0251879444000217*(1)</f>
        <v>2.51879444000217E-2</v>
      </c>
      <c r="ZN8" s="2">
        <f>-0.026634468445032*(1)</f>
        <v>-2.6634468445031999E-2</v>
      </c>
      <c r="ZO8" s="2">
        <f>0.0177838881451111*(1)</f>
        <v>1.7783888145111101E-2</v>
      </c>
      <c r="ZP8" s="2">
        <f>-0.00703032180456155*(1)</f>
        <v>-7.0303218045615502E-3</v>
      </c>
      <c r="ZQ8" s="2">
        <f>0.0286850484416543*(1)</f>
        <v>2.8685048441654301E-2</v>
      </c>
      <c r="ZR8" s="2">
        <f>0.0171051964694999*(1)</f>
        <v>1.71051964694999E-2</v>
      </c>
      <c r="ZS8" s="2">
        <f>0.00497655472327759*(1)</f>
        <v>4.97655472327759E-3</v>
      </c>
      <c r="ZT8" s="2">
        <f>-0.00427217632686951*(1)</f>
        <v>-4.2721763268695097E-3</v>
      </c>
      <c r="ZU8" s="2">
        <f>0.00702215195458395*(1)</f>
        <v>7.02215195458395E-3</v>
      </c>
      <c r="ZV8" s="2">
        <f>-0.0168317332024468*(1)</f>
        <v>-1.68317332024468E-2</v>
      </c>
      <c r="ZW8" s="2">
        <f>0.0134255120600914*(1)</f>
        <v>1.3425512060091399E-2</v>
      </c>
      <c r="ZX8" s="2">
        <f>-0.0192188707603684*(1)</f>
        <v>-1.9218870760368399E-2</v>
      </c>
      <c r="ZY8" s="2">
        <f>-0.0038611789752457*(1)</f>
        <v>-3.8611789752457E-3</v>
      </c>
      <c r="ZZ8" s="2">
        <f>0.00858820147963552*(1)</f>
        <v>8.5882014796355207E-3</v>
      </c>
      <c r="AAA8" s="2">
        <f>-0.0143889731092732*(1)</f>
        <v>-1.4388973109273199E-2</v>
      </c>
      <c r="AAB8" s="2">
        <f>-0.00299787343743868*(1)</f>
        <v>-2.9978734374386802E-3</v>
      </c>
      <c r="AAC8" s="2">
        <f>-0.00250916950838062*(1)</f>
        <v>-2.50916950838062E-3</v>
      </c>
      <c r="AAD8" s="2">
        <f>0.0330766524857256*(1)</f>
        <v>3.3076652485725597E-2</v>
      </c>
      <c r="AAE8" s="2">
        <f>0.010179418161474*(1)</f>
        <v>1.0179418161474E-2</v>
      </c>
      <c r="AAF8" s="2">
        <f>-0.000759595671691504*(1)</f>
        <v>-7.5959567169150402E-4</v>
      </c>
      <c r="AAG8" s="2">
        <f>-0.00102763831556609*(1)</f>
        <v>-1.02763831556609E-3</v>
      </c>
      <c r="AAH8" s="2">
        <f>-0.0197788566525987*(1)</f>
        <v>-1.9778856652598702E-2</v>
      </c>
      <c r="AAI8" s="2">
        <f>-0.0102168124229041*(1)</f>
        <v>-1.0216812422904099E-2</v>
      </c>
      <c r="AAJ8" s="2">
        <f>0.0157546688951086*(1)</f>
        <v>1.5754668895108601E-2</v>
      </c>
      <c r="AAK8" s="2">
        <f>-0.00368517481524536*(1)</f>
        <v>-3.6851748152453602E-3</v>
      </c>
      <c r="AAL8" s="2">
        <f>0.00179318181577281*(1)</f>
        <v>1.79318181577281E-3</v>
      </c>
      <c r="AAM8" s="2">
        <f>-0.0130858678546198*(1)</f>
        <v>-1.30858678546198E-2</v>
      </c>
      <c r="AAN8" s="2">
        <f>0.00772349404234993*(1)</f>
        <v>7.72349404234993E-3</v>
      </c>
      <c r="AAO8" s="2">
        <f>-0.00832139877224439*(1)</f>
        <v>-8.3213987722443906E-3</v>
      </c>
      <c r="AAP8" s="2">
        <f>-0.0146390386619727*(1)</f>
        <v>-1.4639038661972701E-2</v>
      </c>
      <c r="AAQ8" s="2">
        <f>0.0128923616111694*(1)</f>
        <v>1.28923616111694E-2</v>
      </c>
      <c r="AAR8" s="2">
        <f>0.0120725001136832*(1)</f>
        <v>1.20725001136832E-2</v>
      </c>
      <c r="AAS8" s="2">
        <f>-0.00268884007302355*(1)</f>
        <v>-2.6888400730235499E-3</v>
      </c>
      <c r="AAT8" s="2">
        <f>0.0114330174555749*(1)</f>
        <v>1.1433017455574899E-2</v>
      </c>
      <c r="AAU8" s="2">
        <f>-0.00173638220422546*(1)</f>
        <v>-1.73638220422546E-3</v>
      </c>
      <c r="AAV8" s="2">
        <f>-0.0227712364849609*(1)</f>
        <v>-2.2771236484960902E-2</v>
      </c>
      <c r="AAW8" s="2">
        <f>0.00380606232306542*(1)</f>
        <v>3.8060623230654201E-3</v>
      </c>
      <c r="AAX8" s="2">
        <f>0.0337322622627178*(1)</f>
        <v>3.3732262262717798E-2</v>
      </c>
      <c r="AAY8" s="2">
        <f>0.0231476280361652*(1)</f>
        <v>2.3147628036165199E-2</v>
      </c>
      <c r="AAZ8" s="2">
        <f>-0.0118652210788089*(1)</f>
        <v>-1.1865221078808901E-2</v>
      </c>
      <c r="ABA8" s="2">
        <f>0.00457681563444979*(1)</f>
        <v>4.5768156344497902E-3</v>
      </c>
      <c r="ABB8" s="2">
        <f>0.00497029635766177*(1)</f>
        <v>4.9702963576617699E-3</v>
      </c>
      <c r="ABC8" s="2">
        <f>0.00770418788756659*(1)</f>
        <v>7.70418788756659E-3</v>
      </c>
      <c r="ABD8" s="2">
        <f>-0.00358239717790095*(1)</f>
        <v>-3.5823971779009498E-3</v>
      </c>
      <c r="ABE8" s="2">
        <f>0.00627242007265255*(1)</f>
        <v>6.2724200726525497E-3</v>
      </c>
      <c r="ABF8" s="2">
        <f>-0.0000752771433995461*(1)</f>
        <v>-7.5277143399546094E-5</v>
      </c>
      <c r="ABG8" s="2">
        <f>0.0108376518911884*(1)</f>
        <v>1.0837651891188399E-2</v>
      </c>
      <c r="ABH8" s="2">
        <f>-0.00391860219816818*(1)</f>
        <v>-3.91860219816818E-3</v>
      </c>
      <c r="ABI8" s="2">
        <f>-0.00433200813076254*(1)</f>
        <v>-4.3320081307625397E-3</v>
      </c>
      <c r="ABJ8" s="2">
        <f>-0.00918213143152651*(1)</f>
        <v>-9.1821314315265103E-3</v>
      </c>
      <c r="ABK8" s="2">
        <f>-0.000755101276400792*(1)</f>
        <v>-7.55101276400792E-4</v>
      </c>
      <c r="ABL8" s="2">
        <f>0.036386964355223*(1)</f>
        <v>3.6386964355222998E-2</v>
      </c>
      <c r="ABM8" s="2">
        <f>-0.0086429395005354*(1)</f>
        <v>-8.6429395005354001E-3</v>
      </c>
      <c r="ABN8" s="2">
        <f>-0.00516064406270265*(1)</f>
        <v>-5.1606440627026502E-3</v>
      </c>
      <c r="ABO8" s="2">
        <f>-0.00257485407300978*(1)</f>
        <v>-2.5748540730097802E-3</v>
      </c>
      <c r="ABP8" s="2">
        <f>-0.00703497457785559*(1)</f>
        <v>-7.03497457785559E-3</v>
      </c>
      <c r="ABQ8" s="2">
        <f>0.00188516444085311*(1)</f>
        <v>1.88516444085311E-3</v>
      </c>
      <c r="ABR8" s="2">
        <f>0.0166458220617005*(1)</f>
        <v>1.66458220617005E-2</v>
      </c>
      <c r="ABS8" s="2">
        <f>0.00396744975855761*(1)</f>
        <v>3.9674497585576096E-3</v>
      </c>
      <c r="ABT8" s="2">
        <f>-0.0117601142286167*(1)</f>
        <v>-1.1760114228616701E-2</v>
      </c>
      <c r="ABU8" s="2">
        <f>0.0385081782628652*(1)</f>
        <v>3.8508178262865199E-2</v>
      </c>
      <c r="ABV8" s="2">
        <f>0.0000249106434476677*(1)</f>
        <v>2.49106434476677E-5</v>
      </c>
      <c r="ABW8" s="2">
        <f>-0.00322095437006613*(1)</f>
        <v>-3.2209543700661299E-3</v>
      </c>
      <c r="ABX8" s="2">
        <f>0.0130465263466012*(1)</f>
        <v>1.30465263466012E-2</v>
      </c>
      <c r="ABY8" s="2">
        <f>0.00436387184074635*(1)</f>
        <v>4.3638718407463502E-3</v>
      </c>
      <c r="ABZ8" s="2">
        <f>-0.0143118974678688*(1)</f>
        <v>-1.43118974678688E-2</v>
      </c>
      <c r="ACA8" s="2">
        <f>-0.00175516061424251*(1)</f>
        <v>-1.7551606142425099E-3</v>
      </c>
      <c r="ACB8" s="2">
        <f>-0.00377651740437521*(1)</f>
        <v>-3.77651740437521E-3</v>
      </c>
      <c r="ACC8" s="2">
        <f>-0.00783251936561843*(1)</f>
        <v>-7.8325193656184292E-3</v>
      </c>
      <c r="ACD8" s="2">
        <f>-0.0240911468450329*(1)</f>
        <v>-2.4091146845032899E-2</v>
      </c>
      <c r="ACE8" s="2">
        <f>-0.0100481290939907*(1)</f>
        <v>-1.00481290939907E-2</v>
      </c>
      <c r="ACF8" s="2">
        <f>0.00252018038834315*(1)</f>
        <v>2.5201803883431501E-3</v>
      </c>
      <c r="ACG8" s="2">
        <f>-0.0168597164162273*(1)</f>
        <v>-1.6859716416227299E-2</v>
      </c>
      <c r="ACH8" s="2">
        <f>-0.0189052537488784*(1)</f>
        <v>-1.8905253748878401E-2</v>
      </c>
      <c r="ACI8" s="2">
        <f>-0.00957232792399083*(1)</f>
        <v>-9.5723279239908303E-3</v>
      </c>
      <c r="ACJ8" s="2">
        <f>-0.00520056179672852*(1)</f>
        <v>-5.2005617967285202E-3</v>
      </c>
      <c r="ACK8" s="2">
        <f>-0.0141865508884972*(1)</f>
        <v>-1.41865508884972E-2</v>
      </c>
      <c r="ACL8" s="2">
        <f>-0.00443182481754587*(1)</f>
        <v>-4.4318248175458704E-3</v>
      </c>
      <c r="ACM8" s="2">
        <f>0.00369148131931817*(1)</f>
        <v>3.6914813193181699E-3</v>
      </c>
      <c r="ACN8" s="2">
        <f>-0.0106412145802633*(1)</f>
        <v>-1.06412145802633E-2</v>
      </c>
      <c r="ACO8" s="2">
        <f>0.0304857009181062*(1)</f>
        <v>3.04857009181062E-2</v>
      </c>
      <c r="ACP8" s="2">
        <f>0.00154107360537962*(1)</f>
        <v>1.5410736053796199E-3</v>
      </c>
      <c r="ACQ8" s="2">
        <f>-0.00341082620935006*(1)</f>
        <v>-3.4108262093500599E-3</v>
      </c>
      <c r="ACR8" s="2">
        <f>-0.000526905135274371*(1)</f>
        <v>-5.2690513527437095E-4</v>
      </c>
      <c r="ACS8" s="2">
        <f>0.0048408513897962*(1)</f>
        <v>4.8408513897961998E-3</v>
      </c>
      <c r="ACT8" s="2">
        <f>-0.0134562622263528*(1)</f>
        <v>-1.3456262226352799E-2</v>
      </c>
      <c r="ACU8" s="2">
        <f>0.00519610118386447*(1)</f>
        <v>5.1961011838644704E-3</v>
      </c>
      <c r="ACV8" s="2">
        <f>-0.00266629943586066*(1)</f>
        <v>-2.6662994358606601E-3</v>
      </c>
    </row>
    <row r="9" spans="1:776" x14ac:dyDescent="0.2">
      <c r="A9" s="1" t="s">
        <v>70642</v>
      </c>
      <c r="B9" s="2">
        <f>-0.000185637266374307*(1)</f>
        <v>-1.85637266374307E-4</v>
      </c>
      <c r="C9" s="2">
        <f>0.0161912051779894*(1)</f>
        <v>1.6191205177989401E-2</v>
      </c>
      <c r="D9" s="2">
        <f>0.0227538937957185*(1)</f>
        <v>2.2753893795718499E-2</v>
      </c>
      <c r="E9" s="2">
        <f>0.00961950923022707*(1)</f>
        <v>9.6195092302270701E-3</v>
      </c>
      <c r="F9" s="2">
        <f>-0.00429986668705463*(1)</f>
        <v>-4.2998666870546296E-3</v>
      </c>
      <c r="G9" s="2">
        <f>-0.0314951913464211*(1)</f>
        <v>-3.1495191346421099E-2</v>
      </c>
      <c r="H9" s="2">
        <f>0.00980333632074031*(1)</f>
        <v>9.8033363207403103E-3</v>
      </c>
      <c r="I9" s="2">
        <f>0.0090322439113928*(1)</f>
        <v>9.0322439113928003E-3</v>
      </c>
      <c r="J9" s="2">
        <f>-0.014978021934191*(1)</f>
        <v>-1.4978021934191E-2</v>
      </c>
      <c r="K9" s="2">
        <f>-0.0272666493536223*(1)</f>
        <v>-2.7266649353622299E-2</v>
      </c>
      <c r="L9" s="2">
        <f>0.008389911320889*(1)</f>
        <v>8.3899113208889993E-3</v>
      </c>
      <c r="M9" s="2">
        <f>-0.00583842504310259*(1)</f>
        <v>-5.8384250431025896E-3</v>
      </c>
      <c r="N9" s="2">
        <f>-0.00364453264435574*(1)</f>
        <v>-3.64453264435574E-3</v>
      </c>
      <c r="O9" s="2">
        <f>-0.00611136991040501*(1)</f>
        <v>-6.1113699104050102E-3</v>
      </c>
      <c r="P9" s="2">
        <f>-0.0236773166618588*(1)</f>
        <v>-2.3677316661858801E-2</v>
      </c>
      <c r="Q9" s="2">
        <f>0.0104265658284927*(1)</f>
        <v>1.04265658284927E-2</v>
      </c>
      <c r="R9" s="2">
        <f>0.00155075288598101*(1)</f>
        <v>1.55075288598101E-3</v>
      </c>
      <c r="S9" s="2">
        <f>0.0102148182095718*(1)</f>
        <v>1.02148182095718E-2</v>
      </c>
      <c r="T9" s="2">
        <f>-0.0166854487062326*(1)</f>
        <v>-1.6685448706232599E-2</v>
      </c>
      <c r="U9" s="2">
        <f>0.0179434663880588*(1)</f>
        <v>1.7943466388058799E-2</v>
      </c>
      <c r="V9" s="2">
        <f>-0.000304364842247256*(1)</f>
        <v>-3.0436484224725599E-4</v>
      </c>
      <c r="W9" s="2">
        <f>-0.00250497799381946*(1)</f>
        <v>-2.5049779938194601E-3</v>
      </c>
      <c r="X9" s="2">
        <f>-0.00456488362185675*(1)</f>
        <v>-4.5648836218567497E-3</v>
      </c>
      <c r="Y9" s="2">
        <f>0.00890358370293825*(1)</f>
        <v>8.9035837029382506E-3</v>
      </c>
      <c r="Z9" s="2">
        <f>-0.0159545036500249*(1)</f>
        <v>-1.59545036500249E-2</v>
      </c>
      <c r="AA9" s="2">
        <f>-0.000721758718224046*(1)</f>
        <v>-7.2175871822404596E-4</v>
      </c>
      <c r="AB9" s="2">
        <f>-0.00375937141103589*(1)</f>
        <v>-3.7593714110358899E-3</v>
      </c>
      <c r="AC9" s="2">
        <f>-0.0251106079884372*(1)</f>
        <v>-2.51106079884372E-2</v>
      </c>
      <c r="AD9" s="2">
        <f>0.0095561293797245*(1)</f>
        <v>9.5561293797245001E-3</v>
      </c>
      <c r="AE9" s="2">
        <f>-0.0040945258442141*(1)</f>
        <v>-4.0945258442140996E-3</v>
      </c>
      <c r="AF9" s="2">
        <f>0.0280246038948475*(1)</f>
        <v>2.80246038948475E-2</v>
      </c>
      <c r="AG9" s="2">
        <f>-0.0157901143017535*(1)</f>
        <v>-1.5790114301753502E-2</v>
      </c>
      <c r="AH9" s="2">
        <f>0.0138085828450515*(1)</f>
        <v>1.3808582845051501E-2</v>
      </c>
      <c r="AI9" s="2">
        <f>0.0174619515265228*(1)</f>
        <v>1.7461951526522801E-2</v>
      </c>
      <c r="AJ9" s="2">
        <f>-0.0140495151230879*(1)</f>
        <v>-1.40495151230879E-2</v>
      </c>
      <c r="AK9" s="2">
        <f>-0.00702306819497283*(1)</f>
        <v>-7.0230681949728299E-3</v>
      </c>
      <c r="AL9" s="2">
        <f>0.00314600892008252*(1)</f>
        <v>3.1460089200825202E-3</v>
      </c>
      <c r="AM9" s="2">
        <f>0.0118155248959484*(1)</f>
        <v>1.18155248959484E-2</v>
      </c>
      <c r="AN9" s="2">
        <f>-0.00433907816893736*(1)</f>
        <v>-4.3390781689373603E-3</v>
      </c>
      <c r="AO9" s="2">
        <f>-0.00142217398914417*(1)</f>
        <v>-1.4221739891441701E-3</v>
      </c>
      <c r="AP9" s="2">
        <f>0.00242797626078963*(1)</f>
        <v>2.42797626078963E-3</v>
      </c>
      <c r="AQ9" s="2">
        <f>-0.0218474862187322*(1)</f>
        <v>-2.1847486218732198E-2</v>
      </c>
      <c r="AR9" s="2">
        <f>0.00480177352210302*(1)</f>
        <v>4.8017735221030202E-3</v>
      </c>
      <c r="AS9" s="2">
        <f>-0.000389886071150756*(1)</f>
        <v>-3.8988607115075601E-4</v>
      </c>
      <c r="AT9" s="2">
        <f>0.00703733336015675*(1)</f>
        <v>7.0373333601567497E-3</v>
      </c>
      <c r="AU9" s="2">
        <f>0.015859950030416*(1)</f>
        <v>1.5859950030416001E-2</v>
      </c>
      <c r="AV9" s="2">
        <f>0.0106184639580527*(1)</f>
        <v>1.06184639580527E-2</v>
      </c>
      <c r="AW9" s="2">
        <f>0.00134713412100168*(1)</f>
        <v>1.3471341210016801E-3</v>
      </c>
      <c r="AX9" s="2">
        <f>-0.0288398307867754*(1)</f>
        <v>-2.8839830786775399E-2</v>
      </c>
      <c r="AY9" s="2">
        <f>0.0200522625821599*(1)</f>
        <v>2.0052262582159901E-2</v>
      </c>
      <c r="AZ9" s="2">
        <f>-0.012328014907381*(1)</f>
        <v>-1.2328014907381E-2</v>
      </c>
      <c r="BA9" s="2">
        <f>0.00655048526649474*(1)</f>
        <v>6.5504852664947403E-3</v>
      </c>
      <c r="BB9" s="2">
        <f>0.0130348338776584*(1)</f>
        <v>1.30348338776584E-2</v>
      </c>
      <c r="BC9" s="2">
        <f>0.0327296223101103*(1)</f>
        <v>3.2729622310110298E-2</v>
      </c>
      <c r="BD9" s="2">
        <f>-0.0139334506642717*(1)</f>
        <v>-1.39334506642717E-2</v>
      </c>
      <c r="BE9" s="2">
        <f>0.0155879233992881*(1)</f>
        <v>1.5587923399288099E-2</v>
      </c>
      <c r="BF9" s="2">
        <f>0.0234813089702369*(1)</f>
        <v>2.3481308970236901E-2</v>
      </c>
      <c r="BG9" s="2">
        <f>-0.00616955976594498*(1)</f>
        <v>-6.16955976594498E-3</v>
      </c>
      <c r="BH9" s="2">
        <f>-0.0177920906113387*(1)</f>
        <v>-1.7792090611338698E-2</v>
      </c>
      <c r="BI9" s="2">
        <f>0.00387527458496253*(1)</f>
        <v>3.87527458496253E-3</v>
      </c>
      <c r="BJ9" s="2">
        <f>0.06396305333744*(1)</f>
        <v>6.3963053337439998E-2</v>
      </c>
      <c r="BK9" s="2">
        <f>0.0103195076853089*(1)</f>
        <v>1.03195076853089E-2</v>
      </c>
      <c r="BL9" s="2">
        <f>-0.0149336847733457*(1)</f>
        <v>-1.4933684773345701E-2</v>
      </c>
      <c r="BM9" s="2">
        <f>-0.0174442189888063*(1)</f>
        <v>-1.7444218988806302E-2</v>
      </c>
      <c r="BN9" s="2">
        <f>0.00621640887710876*(1)</f>
        <v>6.2164088771087603E-3</v>
      </c>
      <c r="BO9" s="2">
        <f>-0.015399150923835*(1)</f>
        <v>-1.5399150923835E-2</v>
      </c>
      <c r="BP9" s="2">
        <f>0.0176157605665662*(1)</f>
        <v>1.7615760566566201E-2</v>
      </c>
      <c r="BQ9" s="2">
        <f>-0.00160614322640379*(1)</f>
        <v>-1.60614322640379E-3</v>
      </c>
      <c r="BR9" s="2">
        <f>-0.00104859873804963*(1)</f>
        <v>-1.0485987380496301E-3</v>
      </c>
      <c r="BS9" s="2">
        <f>0.00862267846265991*(1)</f>
        <v>8.6226784626599103E-3</v>
      </c>
      <c r="BT9" s="2">
        <f>-0.0165417231343267*(1)</f>
        <v>-1.65417231343267E-2</v>
      </c>
      <c r="BU9" s="2">
        <f>-0.00970152289554475*(1)</f>
        <v>-9.7015228955447501E-3</v>
      </c>
      <c r="BV9" s="2">
        <f>0.0153075413798243*(1)</f>
        <v>1.53075413798243E-2</v>
      </c>
      <c r="BW9" s="2">
        <f>-0.00701565522646048*(1)</f>
        <v>-7.0156552264604797E-3</v>
      </c>
      <c r="BX9" s="2">
        <f>-0.000237360930004019*(1)</f>
        <v>-2.3736093000401899E-4</v>
      </c>
      <c r="BY9" s="2">
        <f>0.00302209582765473*(1)</f>
        <v>3.0220958276547302E-3</v>
      </c>
      <c r="BZ9" s="2">
        <f>-0.00427634891262759*(1)</f>
        <v>-4.2763489126275899E-3</v>
      </c>
      <c r="CA9" s="2">
        <f>-0.00829506877971233*(1)</f>
        <v>-8.2950687797123304E-3</v>
      </c>
      <c r="CB9" s="2">
        <f>0.000538768817656886*(1)</f>
        <v>5.3876881765688601E-4</v>
      </c>
      <c r="CC9" s="2">
        <f>-0.0155409121022887*(1)</f>
        <v>-1.5540912102288701E-2</v>
      </c>
      <c r="CD9" s="2">
        <f>0.00572573277928109*(1)</f>
        <v>5.72573277928109E-3</v>
      </c>
      <c r="CE9" s="2">
        <f>-0.00525232671416453*(1)</f>
        <v>-5.2523267141645303E-3</v>
      </c>
      <c r="CF9" s="2">
        <f>-0.00332606324243788*(1)</f>
        <v>-3.3260632424378799E-3</v>
      </c>
      <c r="CG9" s="2">
        <f>0.00295331279984289*(1)</f>
        <v>2.9533127998428899E-3</v>
      </c>
      <c r="CH9" s="2">
        <f>-0.00586587258332745*(1)</f>
        <v>-5.86587258332745E-3</v>
      </c>
      <c r="CI9" s="2">
        <f>0.00833074633087137*(1)</f>
        <v>8.3307463308713702E-3</v>
      </c>
      <c r="CJ9" s="2">
        <f>0.00248459216475829*(1)</f>
        <v>2.4845921647582898E-3</v>
      </c>
      <c r="CK9" s="2">
        <f>-0.0291046569065556*(1)</f>
        <v>-2.9104656906555601E-2</v>
      </c>
      <c r="CL9" s="2">
        <f>-0.00229880213774407*(1)</f>
        <v>-2.29880213774407E-3</v>
      </c>
      <c r="CM9" s="2">
        <f>0.000267889510918257*(1)</f>
        <v>2.6788951091825703E-4</v>
      </c>
      <c r="CN9" s="2">
        <f>-0.01241195029463*(1)</f>
        <v>-1.2411950294630001E-2</v>
      </c>
      <c r="CO9" s="2">
        <f>0.00471475683176187*(1)</f>
        <v>4.71475683176187E-3</v>
      </c>
      <c r="CP9" s="2">
        <f>0.00223018978398101*(1)</f>
        <v>2.2301897839810099E-3</v>
      </c>
      <c r="CQ9" s="2">
        <f>0.0139102288620577*(1)</f>
        <v>1.39102288620577E-2</v>
      </c>
      <c r="CR9" s="2">
        <f>0.0208897353766324*(1)</f>
        <v>2.0889735376632398E-2</v>
      </c>
      <c r="CS9" s="2">
        <f>0.00894050984271395*(1)</f>
        <v>8.94050984271395E-3</v>
      </c>
      <c r="CT9" s="2">
        <f>0.00202605970070749*(1)</f>
        <v>2.0260597007074901E-3</v>
      </c>
      <c r="CU9" s="2">
        <f>-0.0105391573702729*(1)</f>
        <v>-1.05391573702729E-2</v>
      </c>
      <c r="CV9" s="2">
        <f>0.0263247184394745*(1)</f>
        <v>2.6324718439474499E-2</v>
      </c>
      <c r="CW9" s="2">
        <f>-0.0140595135909265*(1)</f>
        <v>-1.40595135909265E-2</v>
      </c>
      <c r="CX9" s="2">
        <f>0.0148344290739136*(1)</f>
        <v>1.4834429073913601E-2</v>
      </c>
      <c r="CY9" s="2">
        <f>-0.00658374253989443*(1)</f>
        <v>-6.5837425398944296E-3</v>
      </c>
      <c r="CZ9" s="2">
        <f>0.0204905711686194*(1)</f>
        <v>2.0490571168619399E-2</v>
      </c>
      <c r="DA9" s="2">
        <f>1.90003925459406E-06*(1)</f>
        <v>1.9000392545940601E-6</v>
      </c>
      <c r="DB9" s="2">
        <f>0.0225062103644005*(1)</f>
        <v>2.2506210364400502E-2</v>
      </c>
      <c r="DC9" s="2">
        <f>0.000643587978089955*(1)</f>
        <v>6.4358797808995499E-4</v>
      </c>
      <c r="DD9" s="2">
        <f>-0.00111181895067663*(1)</f>
        <v>-1.11181895067663E-3</v>
      </c>
      <c r="DE9" s="2">
        <f>-0.0043507617717131*(1)</f>
        <v>-4.3507617717131004E-3</v>
      </c>
      <c r="DF9" s="2">
        <f>0.000740857680731415*(1)</f>
        <v>7.4085768073141496E-4</v>
      </c>
      <c r="DG9" s="2">
        <f>0.020236505969265*(1)</f>
        <v>2.0236505969265E-2</v>
      </c>
      <c r="DH9" s="2">
        <f>-0.00852625584118345*(1)</f>
        <v>-8.5262558411834492E-3</v>
      </c>
      <c r="DI9" s="2">
        <f>-0.00790952537875885*(1)</f>
        <v>-7.9095253787588495E-3</v>
      </c>
      <c r="DJ9" s="2">
        <f>0.00275029186587296*(1)</f>
        <v>2.7502918658729599E-3</v>
      </c>
      <c r="DK9" s="2">
        <f>-0.0123271539876528*(1)</f>
        <v>-1.23271539876528E-2</v>
      </c>
      <c r="DL9" s="2">
        <f>-0.0180361724914053*(1)</f>
        <v>-1.8036172491405301E-2</v>
      </c>
      <c r="DM9" s="2">
        <f>-0.00547012166309717*(1)</f>
        <v>-5.4701216630971697E-3</v>
      </c>
      <c r="DN9" s="2">
        <f>0.00483347168230163*(1)</f>
        <v>4.8334716823016299E-3</v>
      </c>
      <c r="DO9" s="2">
        <f>-0.00909215742018334*(1)</f>
        <v>-9.0921574201833395E-3</v>
      </c>
      <c r="DP9" s="2">
        <f>-0.0352106124248993*(1)</f>
        <v>-3.5210612424899299E-2</v>
      </c>
      <c r="DQ9" s="2">
        <f>0.00168177170566101*(1)</f>
        <v>1.68177170566101E-3</v>
      </c>
      <c r="DR9" s="2">
        <f>0.0145516705288971*(1)</f>
        <v>1.4551670528897101E-2</v>
      </c>
      <c r="DS9" s="2">
        <f>-0.0138217898367516*(1)</f>
        <v>-1.38217898367516E-2</v>
      </c>
      <c r="DT9" s="2">
        <f>0.00984872075404842*(1)</f>
        <v>9.8487207540484192E-3</v>
      </c>
      <c r="DU9" s="2">
        <f>-0.015940333255084*(1)</f>
        <v>-1.5940333255084E-2</v>
      </c>
      <c r="DV9" s="2">
        <f>0.00352304579751784*(1)</f>
        <v>3.5230457975178398E-3</v>
      </c>
      <c r="DW9" s="2">
        <f>-0.0185615213584903*(1)</f>
        <v>-1.8561521358490301E-2</v>
      </c>
      <c r="DX9" s="2">
        <f>-0.00562807967739507*(1)</f>
        <v>-5.62807967739507E-3</v>
      </c>
      <c r="DY9" s="2">
        <f>-0.00545588649058052*(1)</f>
        <v>-5.4558864905805199E-3</v>
      </c>
      <c r="DZ9" s="2">
        <f>0.00762895377413978*(1)</f>
        <v>7.62895377413978E-3</v>
      </c>
      <c r="EA9" s="2">
        <f>0.00213166517081426*(1)</f>
        <v>2.1316651708142599E-3</v>
      </c>
      <c r="EB9" s="2">
        <f>-0.00714764429623608*(1)</f>
        <v>-7.1476442962360798E-3</v>
      </c>
      <c r="EC9" s="2">
        <f>-0.00438182570839042*(1)</f>
        <v>-4.3818257083904199E-3</v>
      </c>
      <c r="ED9" s="2">
        <f>0.00339452395523792*(1)</f>
        <v>3.39452395523792E-3</v>
      </c>
      <c r="EE9" s="2">
        <f>0.00535508630728352*(1)</f>
        <v>5.35508630728352E-3</v>
      </c>
      <c r="EF9" s="2">
        <f>0.00253227853734194*(1)</f>
        <v>2.5322785373419398E-3</v>
      </c>
      <c r="EG9" s="2">
        <f>-0.00341693255000849*(1)</f>
        <v>-3.4169325500084898E-3</v>
      </c>
      <c r="EH9" s="2">
        <f>-0.00256789222914906*(1)</f>
        <v>-2.56789222914906E-3</v>
      </c>
      <c r="EI9" s="2">
        <f>0.0196364144244515*(1)</f>
        <v>1.96364144244515E-2</v>
      </c>
      <c r="EJ9" s="2">
        <f>0.00353244934652541*(1)</f>
        <v>3.5324493465254099E-3</v>
      </c>
      <c r="EK9" s="2">
        <f>-0.000365502524336407*(1)</f>
        <v>-3.65502524336407E-4</v>
      </c>
      <c r="EL9" s="2">
        <f>0.00761963894090201*(1)</f>
        <v>7.6196389409020097E-3</v>
      </c>
      <c r="EM9" s="2">
        <f>-0.00465964624803398*(1)</f>
        <v>-4.6596462480339796E-3</v>
      </c>
      <c r="EN9" s="2">
        <f>-0.00163382439850672*(1)</f>
        <v>-1.6338243985067199E-3</v>
      </c>
      <c r="EO9" s="2">
        <f>0.0295506481756221*(1)</f>
        <v>2.9550648175622099E-2</v>
      </c>
      <c r="EP9" s="2">
        <f>-0.00883980520285772*(1)</f>
        <v>-8.8398052028577194E-3</v>
      </c>
      <c r="EQ9" s="2">
        <f>-0.0184146473831773*(1)</f>
        <v>-1.8414647383177302E-2</v>
      </c>
      <c r="ER9" s="2">
        <f>-0.0120710415207059*(1)</f>
        <v>-1.20710415207059E-2</v>
      </c>
      <c r="ES9" s="2">
        <f>-0.00332555126250437*(1)</f>
        <v>-3.3255512625043702E-3</v>
      </c>
      <c r="ET9" s="2">
        <f>-0.0652045567666216*(1)</f>
        <v>-6.5204556766621596E-2</v>
      </c>
      <c r="EU9" s="2">
        <f>0.0481358279444328*(1)</f>
        <v>4.8135827944432802E-2</v>
      </c>
      <c r="EV9" s="2">
        <f>-0.0133031471569325*(1)</f>
        <v>-1.33031471569325E-2</v>
      </c>
      <c r="EW9" s="2">
        <f>-0.0128813507011909*(1)</f>
        <v>-1.28813507011909E-2</v>
      </c>
      <c r="EX9" s="2">
        <f>0.0169532208875057*(1)</f>
        <v>1.6953220887505699E-2</v>
      </c>
      <c r="EY9" s="2">
        <f>0.00439467039737117*(1)</f>
        <v>4.3946703973711696E-3</v>
      </c>
      <c r="EZ9" s="2">
        <f>-0.0186855483344713*(1)</f>
        <v>-1.8685548334471301E-2</v>
      </c>
      <c r="FA9" s="2">
        <f>0.0259851682430331*(1)</f>
        <v>2.59851682430331E-2</v>
      </c>
      <c r="FB9" s="2">
        <f>-0.0147864222701128*(1)</f>
        <v>-1.4786422270112801E-2</v>
      </c>
      <c r="FC9" s="2">
        <f>-0.0369971450210979*(1)</f>
        <v>-3.6997145021097903E-2</v>
      </c>
      <c r="FD9" s="2">
        <f>0.00673833409907412*(1)</f>
        <v>6.7383340990741199E-3</v>
      </c>
      <c r="FE9" s="2">
        <f>-0.00996562526510835*(1)</f>
        <v>-9.9656252651083507E-3</v>
      </c>
      <c r="FF9" s="2">
        <f>-0.0263380471777478*(1)</f>
        <v>-2.6338047177747799E-2</v>
      </c>
      <c r="FG9" s="2">
        <f>0.0172348715497608*(1)</f>
        <v>1.7234871549760802E-2</v>
      </c>
      <c r="FH9" s="2">
        <f>-0.0123612893322269*(1)</f>
        <v>-1.23612893322269E-2</v>
      </c>
      <c r="FI9" s="2">
        <f>-0.00762538843140464*(1)</f>
        <v>-7.6253884314046397E-3</v>
      </c>
      <c r="FJ9" s="2">
        <f>0.00401111906686122*(1)</f>
        <v>4.0111190668612202E-3</v>
      </c>
      <c r="FK9" s="2">
        <f>0.0137019336668016*(1)</f>
        <v>1.37019336668016E-2</v>
      </c>
      <c r="FL9" s="2">
        <f>-0.0123228125999965*(1)</f>
        <v>-1.2322812599996499E-2</v>
      </c>
      <c r="FM9" s="2">
        <f>-0.00244761434383305*(1)</f>
        <v>-2.44761434383305E-3</v>
      </c>
      <c r="FN9" s="2">
        <f>-0.00549705609943099*(1)</f>
        <v>-5.4970560994309896E-3</v>
      </c>
      <c r="FO9" s="2">
        <f>-0.00222261423497467*(1)</f>
        <v>-2.2226142349746699E-3</v>
      </c>
      <c r="FP9" s="2">
        <f>-0.0056923016531355*(1)</f>
        <v>-5.6923016531355E-3</v>
      </c>
      <c r="FQ9" s="2">
        <f>0.00906412544247161*(1)</f>
        <v>9.0641254424716107E-3</v>
      </c>
      <c r="FR9" s="2">
        <f>-0.0096386365288388*(1)</f>
        <v>-9.6386365288387999E-3</v>
      </c>
      <c r="FS9" s="2">
        <f>0.0137297863440642*(1)</f>
        <v>1.37297863440642E-2</v>
      </c>
      <c r="FT9" s="2">
        <f>-0.0156697325178657*(1)</f>
        <v>-1.56697325178657E-2</v>
      </c>
      <c r="FU9" s="2">
        <f>-0.00411720191294653*(1)</f>
        <v>-4.11720191294653E-3</v>
      </c>
      <c r="FV9" s="2">
        <f>0.00470424827899491*(1)</f>
        <v>4.7042482789949099E-3</v>
      </c>
      <c r="FW9" s="2">
        <f>-0.00524911589858584*(1)</f>
        <v>-5.2491158985858398E-3</v>
      </c>
      <c r="FX9" s="2">
        <f>0.00590207114173783*(1)</f>
        <v>5.9020711417378299E-3</v>
      </c>
      <c r="FY9" s="2">
        <f>-0.003216441651099*(1)</f>
        <v>-3.2164416510989998E-3</v>
      </c>
      <c r="FZ9" s="2">
        <f>-0.00411707674841002*(1)</f>
        <v>-4.1170767484100196E-3</v>
      </c>
      <c r="GA9" s="2">
        <f>0.00745475445585356*(1)</f>
        <v>7.4547544558535598E-3</v>
      </c>
      <c r="GB9" s="2">
        <f>0.00570590551793003*(1)</f>
        <v>5.7059055179300303E-3</v>
      </c>
      <c r="GC9" s="2">
        <f>0.0201738962365976*(1)</f>
        <v>2.0173896236597599E-2</v>
      </c>
      <c r="GD9" s="2">
        <f>0.000884304086636803*(1)</f>
        <v>8.8430408663680302E-4</v>
      </c>
      <c r="GE9" s="2">
        <f>-0.00888876024152667*(1)</f>
        <v>-8.8887602415266692E-3</v>
      </c>
      <c r="GF9" s="2">
        <f>-0.00478430056467956*(1)</f>
        <v>-4.7843005646795601E-3</v>
      </c>
      <c r="GG9" s="2">
        <f>0.00470196333393598*(1)</f>
        <v>4.7019633339359804E-3</v>
      </c>
      <c r="GH9" s="2">
        <f>-0.0340280268305424*(1)</f>
        <v>-3.4028026830542402E-2</v>
      </c>
      <c r="GI9" s="2">
        <f>0.0150672612952484*(1)</f>
        <v>1.5067261295248401E-2</v>
      </c>
      <c r="GJ9" s="2">
        <f>0.0088159526120496*(1)</f>
        <v>8.8159526120496004E-3</v>
      </c>
      <c r="GK9" s="2">
        <f>-0.03146684214145*(1)</f>
        <v>-3.1466842141449999E-2</v>
      </c>
      <c r="GL9" s="2">
        <f>-0.0216973322162149*(1)</f>
        <v>-2.16973322162149E-2</v>
      </c>
      <c r="GM9" s="2">
        <f>0.0272893119070308*(1)</f>
        <v>2.7289311907030801E-2</v>
      </c>
      <c r="GN9" s="2">
        <f>-0.0105389732692921*(1)</f>
        <v>-1.0538973269292101E-2</v>
      </c>
      <c r="GO9" s="2">
        <f>-0.0131459914132444*(1)</f>
        <v>-1.31459914132444E-2</v>
      </c>
      <c r="GP9" s="2">
        <f>-0.0136196016459231*(1)</f>
        <v>-1.36196016459231E-2</v>
      </c>
      <c r="GQ9" s="2">
        <f>-0.00494716244399873*(1)</f>
        <v>-4.9471624439987299E-3</v>
      </c>
      <c r="GR9" s="2">
        <f>0.00859743345110158*(1)</f>
        <v>8.5974334511015795E-3</v>
      </c>
      <c r="GS9" s="2">
        <f>-0.00924309042028836*(1)</f>
        <v>-9.2430904202883604E-3</v>
      </c>
      <c r="GT9" s="2">
        <f>0.00143852684279827*(1)</f>
        <v>1.4385268427982701E-3</v>
      </c>
      <c r="GU9" s="2">
        <f>0.00286145128842333*(1)</f>
        <v>2.86145128842333E-3</v>
      </c>
      <c r="GV9" s="2">
        <f>-0.00378448387307564*(1)</f>
        <v>-3.7844838730756399E-3</v>
      </c>
      <c r="GW9" s="2">
        <f>-0.000820210347752334*(1)</f>
        <v>-8.2021034775233402E-4</v>
      </c>
      <c r="GX9" s="2">
        <f>0.0113854610657232*(1)</f>
        <v>1.1385461065723201E-2</v>
      </c>
      <c r="GY9" s="2">
        <f>-0.00337078542038406*(1)</f>
        <v>-3.3707854203840599E-3</v>
      </c>
      <c r="GZ9" s="2">
        <f>0.0051309747299124*(1)</f>
        <v>5.1309747299123996E-3</v>
      </c>
      <c r="HA9" s="2">
        <f>-0.00486253696140218*(1)</f>
        <v>-4.8625369614021799E-3</v>
      </c>
      <c r="HB9" s="2">
        <f>0.0228174464015564*(1)</f>
        <v>2.2817446401556401E-2</v>
      </c>
      <c r="HC9" s="2">
        <f>-0.00111666089015738*(1)</f>
        <v>-1.1166608901573801E-3</v>
      </c>
      <c r="HD9" s="2">
        <f>0.00235046857096754*(1)</f>
        <v>2.3504685709675398E-3</v>
      </c>
      <c r="HE9" s="2">
        <f>0.0437678448130091*(1)</f>
        <v>4.3767844813009098E-2</v>
      </c>
      <c r="HF9" s="2">
        <f>-0.00577237202208776*(1)</f>
        <v>-5.77237202208776E-3</v>
      </c>
      <c r="HG9" s="2">
        <f>0.000442457764667736*(1)</f>
        <v>4.4245776466773597E-4</v>
      </c>
      <c r="HH9" s="2">
        <f>-0.0118938229333278*(1)</f>
        <v>-1.1893822933327801E-2</v>
      </c>
      <c r="HI9" s="2">
        <f>0.00440724214703369*(1)</f>
        <v>4.4072421470336904E-3</v>
      </c>
      <c r="HJ9" s="2">
        <f>0.00212020325005457*(1)</f>
        <v>2.1202032500545701E-3</v>
      </c>
      <c r="HK9" s="2">
        <f>0.0122851868589021*(1)</f>
        <v>1.2285186858902101E-2</v>
      </c>
      <c r="HL9" s="2">
        <f>-0.00170608960278099*(1)</f>
        <v>-1.7060896027809901E-3</v>
      </c>
      <c r="HM9" s="2">
        <f>0.0305857912762291*(1)</f>
        <v>3.05857912762291E-2</v>
      </c>
      <c r="HN9" s="2">
        <f>-0.000209398579012917*(1)</f>
        <v>-2.09398579012917E-4</v>
      </c>
      <c r="HO9" s="2">
        <f>0.00692175631008913*(1)</f>
        <v>6.92175631008913E-3</v>
      </c>
      <c r="HP9" s="2">
        <f>-0.00886495148272598*(1)</f>
        <v>-8.8649514827259801E-3</v>
      </c>
      <c r="HQ9" s="2">
        <f>0.0045689220119211*(1)</f>
        <v>4.5689220119211E-3</v>
      </c>
      <c r="HR9" s="2">
        <f>-0.0267821173381315*(1)</f>
        <v>-2.67821173381315E-2</v>
      </c>
      <c r="HS9" s="2">
        <f>0.0200132333490739*(1)</f>
        <v>2.00132333490739E-2</v>
      </c>
      <c r="HT9" s="2">
        <f>-0.0038233181677509*(1)</f>
        <v>-3.8233181677509E-3</v>
      </c>
      <c r="HU9" s="2">
        <f>0.0112975560470248*(1)</f>
        <v>1.1297556047024799E-2</v>
      </c>
      <c r="HV9" s="2">
        <f>0.0360294062078354*(1)</f>
        <v>3.6029406207835402E-2</v>
      </c>
      <c r="HW9" s="2">
        <f>0.00336171168078652*(1)</f>
        <v>3.3617116807865199E-3</v>
      </c>
      <c r="HX9" s="2">
        <f>-0.00093673211783006*(1)</f>
        <v>-9.3673211783005996E-4</v>
      </c>
      <c r="HY9" s="2">
        <f>-0.00921503681997807*(1)</f>
        <v>-9.2150368199780692E-3</v>
      </c>
      <c r="HZ9" s="2">
        <f>0.0227860314675203*(1)</f>
        <v>2.2786031467520299E-2</v>
      </c>
      <c r="IA9" s="2">
        <f>0.031151692793738*(1)</f>
        <v>3.1151692793738001E-2</v>
      </c>
      <c r="IB9" s="2">
        <f>-0.00785811056658378*(1)</f>
        <v>-7.8581105665837796E-3</v>
      </c>
      <c r="IC9" s="2">
        <f>-0.00857912029170126*(1)</f>
        <v>-8.5791202917012595E-3</v>
      </c>
      <c r="ID9" s="2">
        <f>0.0184816692070663*(1)</f>
        <v>1.8481669207066301E-2</v>
      </c>
      <c r="IE9" s="2">
        <f>0.0125069499569912*(1)</f>
        <v>1.25069499569912E-2</v>
      </c>
      <c r="IF9" s="2">
        <f>0.00135936878776279*(1)</f>
        <v>1.35936878776279E-3</v>
      </c>
      <c r="IG9" s="2">
        <f>0.0417315143803301*(1)</f>
        <v>4.1731514380330098E-2</v>
      </c>
      <c r="IH9" s="2">
        <f>0.000182201128073742*(1)</f>
        <v>1.8220112807374201E-4</v>
      </c>
      <c r="II9" s="2">
        <f>0.000403454502291801*(1)</f>
        <v>4.0345450229180101E-4</v>
      </c>
      <c r="IJ9" s="2">
        <f>0.00751498347157185*(1)</f>
        <v>7.5149834715718504E-3</v>
      </c>
      <c r="IK9" s="2">
        <f>0.0105543680340941*(1)</f>
        <v>1.0554368034094101E-2</v>
      </c>
      <c r="IL9" s="2">
        <f>-0.00396585641578415*(1)</f>
        <v>-3.9658564157841504E-3</v>
      </c>
      <c r="IM9" s="2">
        <f>-0.0111918515957797*(1)</f>
        <v>-1.1191851595779701E-2</v>
      </c>
      <c r="IN9" s="2">
        <f>0.00312510447446102*(1)</f>
        <v>3.12510447446102E-3</v>
      </c>
      <c r="IO9" s="2">
        <f>-0.0265089173350352*(1)</f>
        <v>-2.6508917335035201E-2</v>
      </c>
      <c r="IP9" s="2">
        <f>0.0078697296626977*(1)</f>
        <v>7.8697296626976995E-3</v>
      </c>
      <c r="IQ9" s="2">
        <f>-0.0379691145323962*(1)</f>
        <v>-3.7969114532396202E-2</v>
      </c>
      <c r="IR9" s="2">
        <f>0.0331244910707958*(1)</f>
        <v>3.3124491070795799E-2</v>
      </c>
      <c r="IS9" s="2">
        <f>-0.00687323449810791*(1)</f>
        <v>-6.8732344981079097E-3</v>
      </c>
      <c r="IT9" s="2">
        <f>-0.0151573340416477*(1)</f>
        <v>-1.5157334041647701E-2</v>
      </c>
      <c r="IU9" s="2">
        <f>-0.0157911215203995*(1)</f>
        <v>-1.57911215203995E-2</v>
      </c>
      <c r="IV9" s="2">
        <f>0.00273535446249171*(1)</f>
        <v>2.73535446249171E-3</v>
      </c>
      <c r="IW9" s="2">
        <f>0.00725026867433058*(1)</f>
        <v>7.2502686743305799E-3</v>
      </c>
      <c r="IX9" s="2">
        <f>-0.0112802590637885*(1)</f>
        <v>-1.12802590637885E-2</v>
      </c>
      <c r="IY9" s="2">
        <f>-0.00195802292556515*(1)</f>
        <v>-1.9580229255651499E-3</v>
      </c>
      <c r="IZ9" s="2">
        <f>0.0208860080791115*(1)</f>
        <v>2.08860080791115E-2</v>
      </c>
      <c r="JA9" s="2">
        <f>0.00615299917851766*(1)</f>
        <v>6.15299917851766E-3</v>
      </c>
      <c r="JB9" s="2">
        <f>0.0134341717142107*(1)</f>
        <v>1.3434171714210699E-2</v>
      </c>
      <c r="JC9" s="2">
        <f>0.0078975540386892*(1)</f>
        <v>7.8975540386892005E-3</v>
      </c>
      <c r="JD9" s="2">
        <f>0.0211869847267552*(1)</f>
        <v>2.11869847267552E-2</v>
      </c>
      <c r="JE9" s="2">
        <f>0.00840522014347723*(1)</f>
        <v>8.4052201434772298E-3</v>
      </c>
      <c r="JF9" s="2">
        <f>0.0302192586022569*(1)</f>
        <v>3.0219258602256899E-2</v>
      </c>
      <c r="JG9" s="2">
        <f>-0.0138451372229853*(1)</f>
        <v>-1.3845137222985301E-2</v>
      </c>
      <c r="JH9" s="2">
        <f>0.00669676175461158*(1)</f>
        <v>6.6967617546115797E-3</v>
      </c>
      <c r="JI9" s="2">
        <f>-0.00279325067749552*(1)</f>
        <v>-2.7932506774955199E-3</v>
      </c>
      <c r="JJ9" s="2">
        <f>0.0174974825000259*(1)</f>
        <v>1.7497482500025901E-2</v>
      </c>
      <c r="JK9" s="2">
        <f>0.013133808590467*(1)</f>
        <v>1.3133808590467E-2</v>
      </c>
      <c r="JL9" s="2">
        <f>0.0127826115689212*(1)</f>
        <v>1.2782611568921199E-2</v>
      </c>
      <c r="JM9" s="2">
        <f>-0.0316173723914839*(1)</f>
        <v>-3.1617372391483899E-2</v>
      </c>
      <c r="JN9" s="2">
        <f>0.0162110844781693*(1)</f>
        <v>1.62110844781693E-2</v>
      </c>
      <c r="JO9" s="2">
        <f>-0.0115399702532234*(1)</f>
        <v>-1.1539970253223401E-2</v>
      </c>
      <c r="JP9" s="2">
        <f>-0.000376718948833417*(1)</f>
        <v>-3.7671894883341701E-4</v>
      </c>
      <c r="JQ9" s="2">
        <f>-0.00839750504124457*(1)</f>
        <v>-8.3975050412445698E-3</v>
      </c>
      <c r="JR9" s="2">
        <f>0.0521325730426653*(1)</f>
        <v>5.2132573042665303E-2</v>
      </c>
      <c r="JS9" s="2">
        <f>0.00517368330349875*(1)</f>
        <v>5.1736833034987497E-3</v>
      </c>
      <c r="JT9" s="2">
        <f>-0.00120820790807193*(1)</f>
        <v>-1.2082079080719299E-3</v>
      </c>
      <c r="JU9" s="2">
        <f>0.0082695565307271*(1)</f>
        <v>8.2695565307271002E-3</v>
      </c>
      <c r="JV9" s="2">
        <f>-0.0356168566680288*(1)</f>
        <v>-3.5616856668028801E-2</v>
      </c>
      <c r="JW9" s="2">
        <f>0.0252463771885704*(1)</f>
        <v>2.5246377188570399E-2</v>
      </c>
      <c r="JX9" s="2">
        <f>-0.0185489548680087*(1)</f>
        <v>-1.8548954868008699E-2</v>
      </c>
      <c r="JY9" s="2">
        <f>0.0202786741154912*(1)</f>
        <v>2.02786741154912E-2</v>
      </c>
      <c r="JZ9" s="2">
        <f>0.0292671917382717*(1)</f>
        <v>2.9267191738271699E-2</v>
      </c>
      <c r="KA9" s="2">
        <f>0.00447845030265894*(1)</f>
        <v>4.4784503026589397E-3</v>
      </c>
      <c r="KB9" s="2">
        <f>-0.0134650914196611*(1)</f>
        <v>-1.3465091419661099E-2</v>
      </c>
      <c r="KC9" s="2">
        <f>0.00572543655072105*(1)</f>
        <v>5.7254365507210499E-3</v>
      </c>
      <c r="KD9" s="2">
        <f>0.00375808939765191*(1)</f>
        <v>3.7580893976519101E-3</v>
      </c>
      <c r="KE9" s="2">
        <f>0.0395002667660029*(1)</f>
        <v>3.9500266766002899E-2</v>
      </c>
      <c r="KF9" s="2">
        <f>-0.00166221420951992*(1)</f>
        <v>-1.66221420951992E-3</v>
      </c>
      <c r="KG9" s="2">
        <f>-0.00249701502171561*(1)</f>
        <v>-2.4970150217156102E-3</v>
      </c>
      <c r="KH9" s="2">
        <f>-0.0347186184961478*(1)</f>
        <v>-3.4718618496147803E-2</v>
      </c>
      <c r="KI9" s="2">
        <f>0.0209893340205817*(1)</f>
        <v>2.0989334020581701E-2</v>
      </c>
      <c r="KJ9" s="2">
        <f>-0.0117404973398385*(1)</f>
        <v>-1.17404973398385E-2</v>
      </c>
      <c r="KK9" s="2">
        <f>0.0177818813869743*(1)</f>
        <v>1.7781881386974299E-2</v>
      </c>
      <c r="KL9" s="2">
        <f>-0.00206365320007943*(1)</f>
        <v>-2.0636532000794299E-3</v>
      </c>
      <c r="KM9" s="2">
        <f>0.0254386207315875*(1)</f>
        <v>2.5438620731587501E-2</v>
      </c>
      <c r="KN9" s="2">
        <f>-0.0354537291547663*(1)</f>
        <v>-3.54537291547663E-2</v>
      </c>
      <c r="KO9" s="2">
        <f>-0.00898438509875348*(1)</f>
        <v>-8.9843850987534803E-3</v>
      </c>
      <c r="KP9" s="2">
        <f>0.0139959918417064*(1)</f>
        <v>1.39959918417064E-2</v>
      </c>
      <c r="KQ9" s="2">
        <f>0.0181840492805531*(1)</f>
        <v>1.8184049280553099E-2</v>
      </c>
      <c r="KR9" s="2">
        <f>-0.0104607110100308*(1)</f>
        <v>-1.04607110100308E-2</v>
      </c>
      <c r="KS9" s="2">
        <f>0.000955071430677149*(1)</f>
        <v>9.5507143067714905E-4</v>
      </c>
      <c r="KT9" s="2">
        <f>-0.00672024686403068*(1)</f>
        <v>-6.7202468640306804E-3</v>
      </c>
      <c r="KU9" s="2">
        <f>-0.0105317905999257*(1)</f>
        <v>-1.05317905999257E-2</v>
      </c>
      <c r="KV9" s="2">
        <f>0.0233188314516474*(1)</f>
        <v>2.3318831451647402E-2</v>
      </c>
      <c r="KW9" s="2">
        <f>-0.012626778177153*(1)</f>
        <v>-1.2626778177153001E-2</v>
      </c>
      <c r="KX9" s="2">
        <f>-0.00618942130717359*(1)</f>
        <v>-6.18942130717359E-3</v>
      </c>
      <c r="KY9" s="2">
        <f>0.0202542533607612*(1)</f>
        <v>2.0254253360761199E-2</v>
      </c>
      <c r="KZ9" s="2">
        <f>0.000619520385206379*(1)</f>
        <v>6.1952038520637898E-4</v>
      </c>
      <c r="LA9" s="2">
        <f>-0.00303781153699863*(1)</f>
        <v>-3.0378115369986301E-3</v>
      </c>
      <c r="LB9" s="2">
        <f>-0.00286805760120134*(1)</f>
        <v>-2.8680576012013398E-3</v>
      </c>
      <c r="LC9" s="2">
        <f>0.00798217956274561*(1)</f>
        <v>7.9821795627456095E-3</v>
      </c>
      <c r="LD9" s="2">
        <f>-0.015581570708028*(1)</f>
        <v>-1.5581570708028E-2</v>
      </c>
      <c r="LE9" s="2">
        <f>-0.0144296877405861*(1)</f>
        <v>-1.4429687740586099E-2</v>
      </c>
      <c r="LF9" s="2">
        <f>0.00269497342388244*(1)</f>
        <v>2.6949734238824398E-3</v>
      </c>
      <c r="LG9" s="2">
        <f>-0.00777206923100272*(1)</f>
        <v>-7.7720692310027199E-3</v>
      </c>
      <c r="LH9" s="2">
        <f>-0.0175209922302989*(1)</f>
        <v>-1.7520992230298901E-2</v>
      </c>
      <c r="LI9" s="2">
        <f>0.00129680966375866*(1)</f>
        <v>1.2968096637586599E-3</v>
      </c>
      <c r="LJ9" s="2">
        <f>-0.00133330930570658*(1)</f>
        <v>-1.33330930570658E-3</v>
      </c>
      <c r="LK9" s="2">
        <f>-0.00194339019890487*(1)</f>
        <v>-1.9433901989048699E-3</v>
      </c>
      <c r="LL9" s="2">
        <f>0.0232774100641523*(1)</f>
        <v>2.32774100641523E-2</v>
      </c>
      <c r="LM9" s="2">
        <f>-0.00971391499626529*(1)</f>
        <v>-9.7139149962652896E-3</v>
      </c>
      <c r="LN9" s="2">
        <f>0.000980425147211776*(1)</f>
        <v>9.8042514721177602E-4</v>
      </c>
      <c r="LO9" s="2">
        <f>0.0121861958586102*(1)</f>
        <v>1.2186195858610201E-2</v>
      </c>
      <c r="LP9" s="2">
        <f>-0.011247571328166*(1)</f>
        <v>-1.1247571328165999E-2</v>
      </c>
      <c r="LQ9" s="2">
        <f>0.002212589995558*(1)</f>
        <v>2.2125899955579998E-3</v>
      </c>
      <c r="LR9" s="2">
        <f>-0.0180972101265056*(1)</f>
        <v>-1.80972101265056E-2</v>
      </c>
      <c r="LS9" s="2">
        <f>-0.0215670580712802*(1)</f>
        <v>-2.1567058071280201E-2</v>
      </c>
      <c r="LT9" s="2">
        <f>-0.0180236595972277*(1)</f>
        <v>-1.8023659597227699E-2</v>
      </c>
      <c r="LU9" s="2">
        <f>0.0129242378469595*(1)</f>
        <v>1.2924237846959501E-2</v>
      </c>
      <c r="LV9" s="2">
        <f>-0.0177414957336852*(1)</f>
        <v>-1.7741495733685199E-2</v>
      </c>
      <c r="LW9" s="2">
        <f>-0.00468982748355323*(1)</f>
        <v>-4.6898274835532302E-3</v>
      </c>
      <c r="LX9" s="2">
        <f>0.0163063070819192*(1)</f>
        <v>1.63063070819192E-2</v>
      </c>
      <c r="LY9" s="2">
        <f>0.00841054562849584*(1)</f>
        <v>8.4105456284958406E-3</v>
      </c>
      <c r="LZ9" s="2">
        <f>0.0132304935717682*(1)</f>
        <v>1.32304935717682E-2</v>
      </c>
      <c r="MA9" s="2">
        <f>0.00212251736779893*(1)</f>
        <v>2.1225173677989302E-3</v>
      </c>
      <c r="MB9" s="2">
        <f>0.00308122265265159*(1)</f>
        <v>3.0812226526515901E-3</v>
      </c>
      <c r="MC9" s="2">
        <f>-0.01423395974381*(1)</f>
        <v>-1.4233959743810001E-2</v>
      </c>
      <c r="MD9" s="2">
        <f>0.0131543138897532*(1)</f>
        <v>1.3154313889753201E-2</v>
      </c>
      <c r="ME9" s="2">
        <f>-0.00815688809743919*(1)</f>
        <v>-8.1568880974391897E-3</v>
      </c>
      <c r="MF9" s="2">
        <f>0.012360936012459*(1)</f>
        <v>1.2360936012459E-2</v>
      </c>
      <c r="MG9" s="2">
        <f>-0.00982437782385464*(1)</f>
        <v>-9.8243778238546395E-3</v>
      </c>
      <c r="MH9" s="2">
        <f>-0.0109852186537474*(1)</f>
        <v>-1.09852186537474E-2</v>
      </c>
      <c r="MI9" s="2">
        <f>0.00355340325183798*(1)</f>
        <v>3.5534032518379798E-3</v>
      </c>
      <c r="MJ9" s="2">
        <f>-0.00347441875764498*(1)</f>
        <v>-3.4744187576449801E-3</v>
      </c>
      <c r="MK9" s="2">
        <f>0.000833111863831154*(1)</f>
        <v>8.3311186383115395E-4</v>
      </c>
      <c r="ML9" s="2">
        <f>0.010740446634382*(1)</f>
        <v>1.0740446634382001E-2</v>
      </c>
      <c r="MM9" s="2">
        <f>-0.00197049565832111*(1)</f>
        <v>-1.9704956583211099E-3</v>
      </c>
      <c r="MN9" s="2">
        <f>0.00090953688236227*(1)</f>
        <v>9.0953688236227001E-4</v>
      </c>
      <c r="MO9" s="2">
        <f>-0.00496559769692865*(1)</f>
        <v>-4.9655976969286498E-3</v>
      </c>
      <c r="MP9" s="2">
        <f>-0.0144161623099175*(1)</f>
        <v>-1.4416162309917499E-2</v>
      </c>
      <c r="MQ9" s="2">
        <f>0.00867526768518221*(1)</f>
        <v>8.67526768518221E-3</v>
      </c>
      <c r="MR9" s="2">
        <f>0.0141161742100813*(1)</f>
        <v>1.41161742100813E-2</v>
      </c>
      <c r="MS9" s="2">
        <f>0.00624631254733902*(1)</f>
        <v>6.24631254733902E-3</v>
      </c>
      <c r="MT9" s="2">
        <f>0.00239304801255513*(1)</f>
        <v>2.3930480125551302E-3</v>
      </c>
      <c r="MU9" s="2">
        <f>0.00403307907135652*(1)</f>
        <v>4.0330790713565198E-3</v>
      </c>
      <c r="MV9" s="2">
        <f>0.0204065216811867*(1)</f>
        <v>2.0406521681186701E-2</v>
      </c>
      <c r="MW9" s="2">
        <f>0.00532993913936788*(1)</f>
        <v>5.3299391393678798E-3</v>
      </c>
      <c r="MX9" s="2">
        <f>0.00444265700184332*(1)</f>
        <v>4.4426570018433198E-3</v>
      </c>
      <c r="MY9" s="2">
        <f>-0.0134027552514195*(1)</f>
        <v>-1.34027552514195E-2</v>
      </c>
      <c r="MZ9" s="2">
        <f>-0.0000676989639330257*(1)</f>
        <v>-6.7698963933025699E-5</v>
      </c>
      <c r="NA9" s="2">
        <f>0.00589632286418439*(1)</f>
        <v>5.8963228641843897E-3</v>
      </c>
      <c r="NB9" s="2">
        <f>-0.00855659133255502*(1)</f>
        <v>-8.5565913325550205E-3</v>
      </c>
      <c r="NC9" s="2">
        <f>-0.00300829724696539*(1)</f>
        <v>-3.00829724696539E-3</v>
      </c>
      <c r="ND9" s="2">
        <f>0.00228526173628321*(1)</f>
        <v>2.28526173628321E-3</v>
      </c>
      <c r="NE9" s="2">
        <f>0.00529087505172492*(1)</f>
        <v>5.2908750517249199E-3</v>
      </c>
      <c r="NF9" s="2">
        <f>0.00262868778171835*(1)</f>
        <v>2.62868778171835E-3</v>
      </c>
      <c r="NG9" s="2">
        <f>-0.034666013903823*(1)</f>
        <v>-3.4666013903822998E-2</v>
      </c>
      <c r="NH9" s="2">
        <f>0.0234009605100725*(1)</f>
        <v>2.34009605100725E-2</v>
      </c>
      <c r="NI9" s="2">
        <f>0.0259280194772414*(1)</f>
        <v>2.5928019477241399E-2</v>
      </c>
      <c r="NJ9" s="2">
        <f>0.0144258933894469*(1)</f>
        <v>1.44258933894469E-2</v>
      </c>
      <c r="NK9" s="2">
        <f>0.00919290129803101*(1)</f>
        <v>9.1929012980310094E-3</v>
      </c>
      <c r="NL9" s="2">
        <f>-0.00573869992370165*(1)</f>
        <v>-5.7386999237016498E-3</v>
      </c>
      <c r="NM9" s="2">
        <f>-0.0036476449195629*(1)</f>
        <v>-3.6476449195629E-3</v>
      </c>
      <c r="NN9" s="2">
        <f>-0.00470136909581683*(1)</f>
        <v>-4.7013690958168297E-3</v>
      </c>
      <c r="NO9" s="2">
        <f>0.00851945463196523*(1)</f>
        <v>8.5194546319652294E-3</v>
      </c>
      <c r="NP9" s="2">
        <f>-0.010508353817341*(1)</f>
        <v>-1.0508353817341E-2</v>
      </c>
      <c r="NQ9" s="2">
        <f>0.0103753763842925*(1)</f>
        <v>1.0375376384292499E-2</v>
      </c>
      <c r="NR9" s="2">
        <f>-0.00408525519700925*(1)</f>
        <v>-4.0852551970092504E-3</v>
      </c>
      <c r="NS9" s="2">
        <f>0.00865224960820146*(1)</f>
        <v>8.6522496082014604E-3</v>
      </c>
      <c r="NT9" s="2">
        <f>-0.0213055890071235*(1)</f>
        <v>-2.1305589007123499E-2</v>
      </c>
      <c r="NU9" s="2">
        <f>-0.00477034480215853*(1)</f>
        <v>-4.7703448021585299E-3</v>
      </c>
      <c r="NV9" s="2">
        <f>0.000411576926088844*(1)</f>
        <v>4.1157692608884399E-4</v>
      </c>
      <c r="NW9" s="2">
        <f>0.00787117221986806*(1)</f>
        <v>7.8711722198680605E-3</v>
      </c>
      <c r="NX9" s="2">
        <f>-0.00604065677509847*(1)</f>
        <v>-6.0406567750984699E-3</v>
      </c>
      <c r="NY9" s="2">
        <f>-0.00426231989987796*(1)</f>
        <v>-4.26231989987796E-3</v>
      </c>
      <c r="NZ9" s="2">
        <f>-0.003278007891071*(1)</f>
        <v>-3.2780078910709999E-3</v>
      </c>
      <c r="OA9" s="2">
        <f>-0.0477134013057718*(1)</f>
        <v>-4.7713401305771799E-2</v>
      </c>
      <c r="OB9" s="2">
        <f>-0.030650239951406*(1)</f>
        <v>-3.0650239951405998E-2</v>
      </c>
      <c r="OC9" s="2">
        <f>-0.0117387262467081*(1)</f>
        <v>-1.17387262467081E-2</v>
      </c>
      <c r="OD9" s="2">
        <f>-0.0718420502373479*(1)</f>
        <v>-7.1842050237347896E-2</v>
      </c>
      <c r="OE9" s="2">
        <f>0.0413478917559733*(1)</f>
        <v>4.1347891755973303E-2</v>
      </c>
      <c r="OF9" s="2">
        <f>-0.115412014134424*(1)</f>
        <v>-0.11541201413442401</v>
      </c>
      <c r="OG9" s="2">
        <f>-0.0271974969401165*(1)</f>
        <v>-2.71974969401165E-2</v>
      </c>
      <c r="OH9" s="2">
        <f>0.0190544758772077*(1)</f>
        <v>1.90544758772077E-2</v>
      </c>
      <c r="OI9" s="2">
        <f>0.00816325313883855*(1)</f>
        <v>8.1632531388385506E-3</v>
      </c>
      <c r="OJ9" s="2">
        <f>0.000852423691150697*(1)</f>
        <v>8.5242369115069705E-4</v>
      </c>
      <c r="OK9" s="2">
        <f>-0.0428558820069149*(1)</f>
        <v>-4.2855882006914897E-2</v>
      </c>
      <c r="OL9" s="2">
        <f>-0.0147116882794182*(1)</f>
        <v>-1.4711688279418199E-2</v>
      </c>
      <c r="OM9" s="2">
        <f>0.0779479778797447*(1)</f>
        <v>7.7947977879744695E-2</v>
      </c>
      <c r="ON9" s="2">
        <f>0.0149126215985191*(1)</f>
        <v>1.49126215985191E-2</v>
      </c>
      <c r="OO9" s="2">
        <f>0.00138958800349862*(1)</f>
        <v>1.38958800349862E-3</v>
      </c>
      <c r="OP9" s="2">
        <f>-0.00111263154646548*(1)</f>
        <v>-1.1126315464654801E-3</v>
      </c>
      <c r="OQ9" s="2">
        <f>-0.0103891697324744*(1)</f>
        <v>-1.0389169732474401E-2</v>
      </c>
      <c r="OR9" s="2">
        <f>-0.00730940111728687*(1)</f>
        <v>-7.3094011172868704E-3</v>
      </c>
      <c r="OS9" s="2">
        <f>0.00144641049411181*(1)</f>
        <v>1.44641049411181E-3</v>
      </c>
      <c r="OT9" s="2">
        <f>-0.00237387070858677*(1)</f>
        <v>-2.3738707085867701E-3</v>
      </c>
      <c r="OU9" s="2">
        <f>0.0363943520869417*(1)</f>
        <v>3.6394352086941702E-2</v>
      </c>
      <c r="OV9" s="2">
        <f>0.00631763218929882*(1)</f>
        <v>6.3176321892988198E-3</v>
      </c>
      <c r="OW9" s="2">
        <f>-0.0157290880036119*(1)</f>
        <v>-1.5729088003611901E-2</v>
      </c>
      <c r="OX9" s="2">
        <f>-0.0154198880301066*(1)</f>
        <v>-1.5419888030106599E-2</v>
      </c>
      <c r="OY9" s="2">
        <f>0.0102034667764753*(1)</f>
        <v>1.02034667764753E-2</v>
      </c>
      <c r="OZ9" s="2">
        <f>0.00647326011251612*(1)</f>
        <v>6.4732601125161203E-3</v>
      </c>
      <c r="PA9" s="2">
        <f>-0.000260708323063502*(1)</f>
        <v>-2.6070832306350201E-4</v>
      </c>
      <c r="PB9" s="2">
        <f>-0.0136851272905715*(1)</f>
        <v>-1.3685127290571499E-2</v>
      </c>
      <c r="PC9" s="2">
        <f>-0.0151965962417206*(1)</f>
        <v>-1.51965962417206E-2</v>
      </c>
      <c r="PD9" s="2">
        <f>-0.000210936997132559*(1)</f>
        <v>-2.10936997132559E-4</v>
      </c>
      <c r="PE9" s="2">
        <f>0.0198095196619188*(1)</f>
        <v>1.9809519661918799E-2</v>
      </c>
      <c r="PF9" s="2">
        <f>0.0220014007438937*(1)</f>
        <v>2.2001400743893701E-2</v>
      </c>
      <c r="PG9" s="2">
        <f>-0.0248458689695411*(1)</f>
        <v>-2.48458689695411E-2</v>
      </c>
      <c r="PH9" s="2">
        <f>0.00157693232087334*(1)</f>
        <v>1.5769323208733399E-3</v>
      </c>
      <c r="PI9" s="2">
        <f>0.0103126521171674*(1)</f>
        <v>1.0312652117167399E-2</v>
      </c>
      <c r="PJ9" s="2">
        <f>-0.0150644833740221*(1)</f>
        <v>-1.50644833740221E-2</v>
      </c>
      <c r="PK9" s="2">
        <f>0.0127925541201443*(1)</f>
        <v>1.27925541201443E-2</v>
      </c>
      <c r="PL9" s="2">
        <f>0.0108770121178684*(1)</f>
        <v>1.0877012117868399E-2</v>
      </c>
      <c r="PM9" s="2">
        <f>0.0107031832685664*(1)</f>
        <v>1.07031832685664E-2</v>
      </c>
      <c r="PN9" s="2">
        <f>0.0412132062820644*(1)</f>
        <v>4.1213206282064402E-2</v>
      </c>
      <c r="PO9" s="2">
        <f>0.0205570243786108*(1)</f>
        <v>2.0557024378610799E-2</v>
      </c>
      <c r="PP9" s="2">
        <f>-0.00461706451321554*(1)</f>
        <v>-4.6170645132155401E-3</v>
      </c>
      <c r="PQ9" s="2">
        <f>-0.0431665638027803*(1)</f>
        <v>-4.3166563802780299E-2</v>
      </c>
      <c r="PR9" s="2">
        <f>0.0153333818468172*(1)</f>
        <v>1.53333818468172E-2</v>
      </c>
      <c r="PS9" s="2">
        <f>-0.00919434830190591*(1)</f>
        <v>-9.1943483019059098E-3</v>
      </c>
      <c r="PT9" s="2">
        <f>0.00810540478667897*(1)</f>
        <v>8.1054047866789703E-3</v>
      </c>
      <c r="PU9" s="2">
        <f>-0.0148200302776889*(1)</f>
        <v>-1.4820030277688899E-2</v>
      </c>
      <c r="PV9" s="2">
        <f>0.0175375250242076*(1)</f>
        <v>1.7537525024207599E-2</v>
      </c>
      <c r="PW9" s="2">
        <f>-0.0189373552879652*(1)</f>
        <v>-1.89373552879652E-2</v>
      </c>
      <c r="PX9" s="2">
        <f>-0.00644257765807108*(1)</f>
        <v>-6.4425776580710799E-3</v>
      </c>
      <c r="PY9" s="2">
        <f>-0.00537559785901263*(1)</f>
        <v>-5.3755978590126303E-3</v>
      </c>
      <c r="PZ9" s="2">
        <f>0.00709944985822133*(1)</f>
        <v>7.0994498582213298E-3</v>
      </c>
      <c r="QA9" s="2">
        <f>-0.0153187981385809*(1)</f>
        <v>-1.53187981385809E-2</v>
      </c>
      <c r="QB9" s="2">
        <f>0.0152277478451079*(1)</f>
        <v>1.52277478451079E-2</v>
      </c>
      <c r="QC9" s="2">
        <f>0.00302478934921151*(1)</f>
        <v>3.0247893492115099E-3</v>
      </c>
      <c r="QD9" s="2">
        <f>0.0310428579952387*(1)</f>
        <v>3.1042857995238701E-2</v>
      </c>
      <c r="QE9" s="2">
        <f>0.0244942658463792*(1)</f>
        <v>2.4494265846379201E-2</v>
      </c>
      <c r="QF9" s="2">
        <f>-0.0354241876636732*(1)</f>
        <v>-3.5424187663673203E-2</v>
      </c>
      <c r="QG9" s="2">
        <f>-0.00267229947884691*(1)</f>
        <v>-2.67229947884691E-3</v>
      </c>
      <c r="QH9" s="2">
        <f>-0.0174018717638995*(1)</f>
        <v>-1.7401871763899499E-2</v>
      </c>
      <c r="QI9" s="2">
        <f>0.00782434395334991*(1)</f>
        <v>7.8243439533499104E-3</v>
      </c>
      <c r="QJ9" s="2">
        <f>-0.0200082665724001*(1)</f>
        <v>-2.00082665724001E-2</v>
      </c>
      <c r="QK9" s="2">
        <f>0.0118665682476985*(1)</f>
        <v>1.18665682476985E-2</v>
      </c>
      <c r="QL9" s="2">
        <f>-0.0142957405898653*(1)</f>
        <v>-1.42957405898653E-2</v>
      </c>
      <c r="QM9" s="2">
        <f>-0.0260794128462677*(1)</f>
        <v>-2.6079412846267701E-2</v>
      </c>
      <c r="QN9" s="2">
        <f>-0.00664480793169281*(1)</f>
        <v>-6.6448079316928097E-3</v>
      </c>
      <c r="QO9" s="2">
        <f>-0.0115477299991214*(1)</f>
        <v>-1.15477299991214E-2</v>
      </c>
      <c r="QP9" s="2">
        <f>0.00835544649478046*(1)</f>
        <v>8.3554464947804604E-3</v>
      </c>
      <c r="QQ9" s="2">
        <f>-0.0196529599986538*(1)</f>
        <v>-1.96529599986538E-2</v>
      </c>
      <c r="QR9" s="2">
        <f>0.00855447149579562*(1)</f>
        <v>8.5544714957956208E-3</v>
      </c>
      <c r="QS9" s="2">
        <f>0.00534595715009342*(1)</f>
        <v>5.3459571500934196E-3</v>
      </c>
      <c r="QT9" s="2">
        <f>0.0238509731673939*(1)</f>
        <v>2.3850973167393898E-2</v>
      </c>
      <c r="QU9" s="2">
        <f>0.0274654252369413*(1)</f>
        <v>2.7465425236941302E-2</v>
      </c>
      <c r="QV9" s="2">
        <f>-0.0108971067241043*(1)</f>
        <v>-1.0897106724104299E-2</v>
      </c>
      <c r="QW9" s="2">
        <f>-0.000510027511573441*(1)</f>
        <v>-5.1002751157344097E-4</v>
      </c>
      <c r="QX9" s="2">
        <f>0.0118131076787464*(1)</f>
        <v>1.1813107678746399E-2</v>
      </c>
      <c r="QY9" s="2">
        <f>0.0141616017065858*(1)</f>
        <v>1.41616017065858E-2</v>
      </c>
      <c r="QZ9" s="2">
        <f>0.0122080951749033*(1)</f>
        <v>1.2208095174903301E-2</v>
      </c>
      <c r="RA9" s="2">
        <f>0.00832950834848655*(1)</f>
        <v>8.3295083484865497E-3</v>
      </c>
      <c r="RB9" s="2">
        <f>-0.000105632844780641*(1)</f>
        <v>-1.05632844780641E-4</v>
      </c>
      <c r="RC9" s="2">
        <f>0.0284671796907505*(1)</f>
        <v>2.8467179690750501E-2</v>
      </c>
      <c r="RD9" s="2">
        <f>-0.00618335523335244*(1)</f>
        <v>-6.1833552333524404E-3</v>
      </c>
      <c r="RE9" s="2">
        <f>0.0124988203687017*(1)</f>
        <v>1.24988203687017E-2</v>
      </c>
      <c r="RF9" s="2">
        <f>0.0206303406221169*(1)</f>
        <v>2.06303406221169E-2</v>
      </c>
      <c r="RG9" s="2">
        <f>0.0256298469477312*(1)</f>
        <v>2.56298469477312E-2</v>
      </c>
      <c r="RH9" s="2">
        <f>-0.0284170634610897*(1)</f>
        <v>-2.84170634610897E-2</v>
      </c>
      <c r="RI9" s="2">
        <f>-0.0283581230702991*(1)</f>
        <v>-2.8358123070299099E-2</v>
      </c>
      <c r="RJ9" s="2">
        <f>-0.0301097486409619*(1)</f>
        <v>-3.01097486409619E-2</v>
      </c>
      <c r="RK9" s="2">
        <f>0.0342682720094587*(1)</f>
        <v>3.42682720094587E-2</v>
      </c>
      <c r="RL9" s="2">
        <f>0.00170554606505699*(1)</f>
        <v>1.70554606505699E-3</v>
      </c>
      <c r="RM9" s="2">
        <f>0.0119045753447575*(1)</f>
        <v>1.1904575344757499E-2</v>
      </c>
      <c r="RN9" s="2">
        <f>-0.0105188989338779*(1)</f>
        <v>-1.0518898933877901E-2</v>
      </c>
      <c r="RO9" s="2">
        <f>0.00310765441416492*(1)</f>
        <v>3.1076544141649199E-3</v>
      </c>
      <c r="RP9" s="2">
        <f>0.00378177517321269*(1)</f>
        <v>3.7817751732126901E-3</v>
      </c>
      <c r="RQ9" s="2">
        <f>-0.0140496890603432*(1)</f>
        <v>-1.40496890603432E-2</v>
      </c>
      <c r="RR9" s="2">
        <f>-0.00348856858394932*(1)</f>
        <v>-3.4885685839493199E-3</v>
      </c>
      <c r="RS9" s="2">
        <f>0.00796025728842825*(1)</f>
        <v>7.9602572884282501E-3</v>
      </c>
      <c r="RT9" s="2">
        <f>-0.00644513205571018*(1)</f>
        <v>-6.4451320557101796E-3</v>
      </c>
      <c r="RU9" s="2">
        <f>0.01768657753207*(1)</f>
        <v>1.7686577532070001E-2</v>
      </c>
      <c r="RV9" s="2">
        <f>0.00507702673145853*(1)</f>
        <v>5.0770267314585301E-3</v>
      </c>
      <c r="RW9" s="2">
        <f>-0.0239999092574567*(1)</f>
        <v>-2.3999909257456702E-2</v>
      </c>
      <c r="RX9" s="2">
        <f>-0.00415386807167075*(1)</f>
        <v>-4.1538680716707499E-3</v>
      </c>
      <c r="RY9" s="2">
        <f>0.00793978064840174*(1)</f>
        <v>7.9397806484017407E-3</v>
      </c>
      <c r="RZ9" s="2">
        <f>0.00531815575603931*(1)</f>
        <v>5.3181557560393099E-3</v>
      </c>
      <c r="SA9" s="2">
        <f>-0.00161165283158605*(1)</f>
        <v>-1.6116528315860499E-3</v>
      </c>
      <c r="SB9" s="2">
        <f>-0.0096849286208696*(1)</f>
        <v>-9.6849286208695994E-3</v>
      </c>
      <c r="SC9" s="2">
        <f>-0.000133834012456704*(1)</f>
        <v>-1.3383401245670401E-4</v>
      </c>
      <c r="SD9" s="2">
        <f>0.0262433464129878*(1)</f>
        <v>2.6243346412987801E-2</v>
      </c>
      <c r="SE9" s="2">
        <f>-0.0336753010998498*(1)</f>
        <v>-3.36753010998498E-2</v>
      </c>
      <c r="SF9" s="2">
        <f>-0.0182662275758937*(1)</f>
        <v>-1.82662275758937E-2</v>
      </c>
      <c r="SG9" s="2">
        <f>0.00845081804755886*(1)</f>
        <v>8.4508180475588602E-3</v>
      </c>
      <c r="SH9" s="2">
        <f>-0.0155197140181137*(1)</f>
        <v>-1.55197140181137E-2</v>
      </c>
      <c r="SI9" s="2">
        <f>0.0270307497033164*(1)</f>
        <v>2.7030749703316401E-2</v>
      </c>
      <c r="SJ9" s="2">
        <f>-0.0397057036168258*(1)</f>
        <v>-3.9705703616825801E-2</v>
      </c>
      <c r="SK9" s="2">
        <f>-0.147504726774567*(1)</f>
        <v>-0.147504726774567</v>
      </c>
      <c r="SL9" s="2">
        <f>-0.0133292592181711*(1)</f>
        <v>-1.3329259218171101E-2</v>
      </c>
      <c r="SM9" s="2">
        <f>-0.0659081740003026*(1)</f>
        <v>-6.5908174000302605E-2</v>
      </c>
      <c r="SN9" s="2">
        <f>0.0384174315160186*(1)</f>
        <v>3.8417431516018598E-2</v>
      </c>
      <c r="SO9" s="2">
        <f>0.0569484738868435*(1)</f>
        <v>5.6948473886843501E-2</v>
      </c>
      <c r="SP9" s="2">
        <f>-0.0624422285241484*(1)</f>
        <v>-6.2442228524148401E-2</v>
      </c>
      <c r="SQ9" s="2">
        <f>0.0220903911481873*(1)</f>
        <v>2.20903911481873E-2</v>
      </c>
      <c r="SR9" s="2">
        <f>-0.0170532619231929*(1)</f>
        <v>-1.7053261923192901E-2</v>
      </c>
      <c r="SS9" s="2">
        <f>0.0303729586257686*(1)</f>
        <v>3.0372958625768599E-2</v>
      </c>
      <c r="ST9" s="2">
        <f>0.0385454852786979*(1)</f>
        <v>3.8545485278697902E-2</v>
      </c>
      <c r="SU9" s="2">
        <f>-0.0300440110702066*(1)</f>
        <v>-3.00440110702066E-2</v>
      </c>
      <c r="SV9" s="2">
        <f>0.112359241863463*(1)</f>
        <v>0.11235924186346299</v>
      </c>
      <c r="SW9" s="2">
        <f>0.0146045825052566*(1)</f>
        <v>1.46045825052566E-2</v>
      </c>
      <c r="SX9" s="2">
        <f>0.0311055411062233*(1)</f>
        <v>3.1105541106223301E-2</v>
      </c>
      <c r="SY9" s="2">
        <f>-0.00845036501767464*(1)</f>
        <v>-8.4503650176746391E-3</v>
      </c>
      <c r="SZ9" s="2">
        <f>0.0282906035210769*(1)</f>
        <v>2.8290603521076901E-2</v>
      </c>
      <c r="TA9" s="2">
        <f>0.00216423258595176*(1)</f>
        <v>2.1642325859517601E-3</v>
      </c>
      <c r="TB9" s="2">
        <f>0.000663434600060126*(1)</f>
        <v>6.6343460006012601E-4</v>
      </c>
      <c r="TC9" s="2">
        <f>-0.0445502694595976*(1)</f>
        <v>-4.45502694595976E-2</v>
      </c>
      <c r="TD9" s="2">
        <f>-0.0300389294612527*(1)</f>
        <v>-3.0038929461252702E-2</v>
      </c>
      <c r="TE9" s="2">
        <f>-0.0204741363182592*(1)</f>
        <v>-2.0474136318259201E-2</v>
      </c>
      <c r="TF9" s="2">
        <f>-0.0204618565304895*(1)</f>
        <v>-2.04618565304895E-2</v>
      </c>
      <c r="TG9" s="2">
        <f>-0.0353522259215242*(1)</f>
        <v>-3.5352225921524198E-2</v>
      </c>
      <c r="TH9" s="2">
        <f>0.00679842336859641*(1)</f>
        <v>6.79842336859641E-3</v>
      </c>
      <c r="TI9" s="2">
        <f>-0.0329857473042656*(1)</f>
        <v>-3.2985747304265602E-2</v>
      </c>
      <c r="TJ9" s="2">
        <f>-0.0532230495420548*(1)</f>
        <v>-5.3223049542054798E-2</v>
      </c>
      <c r="TK9" s="2">
        <f>-0.00199479570515355*(1)</f>
        <v>-1.9947957051535499E-3</v>
      </c>
      <c r="TL9" s="2">
        <f>-0.0361890166438956*(1)</f>
        <v>-3.6189016643895601E-2</v>
      </c>
      <c r="TM9" s="2">
        <f>0.012279802049392*(1)</f>
        <v>1.2279802049392E-2</v>
      </c>
      <c r="TN9" s="2">
        <f>-0.0202720712716204*(1)</f>
        <v>-2.0272071271620399E-2</v>
      </c>
      <c r="TO9" s="2">
        <f>0.00472043397152468*(1)</f>
        <v>4.7204339715246797E-3</v>
      </c>
      <c r="TP9" s="2">
        <f>0.0100888191974428*(1)</f>
        <v>1.0088819197442801E-2</v>
      </c>
      <c r="TQ9" s="2">
        <f>0.0019772287873893*(1)</f>
        <v>1.9772287873893002E-3</v>
      </c>
      <c r="TR9" s="2">
        <f>0.00624617068732225*(1)</f>
        <v>6.24617068732225E-3</v>
      </c>
      <c r="TS9" s="2">
        <f>-0.0118777268285235*(1)</f>
        <v>-1.18777268285235E-2</v>
      </c>
      <c r="TT9" s="2">
        <f>0.0356966012190075*(1)</f>
        <v>3.5696601219007501E-2</v>
      </c>
      <c r="TU9" s="2">
        <f>0.0458511481345267*(1)</f>
        <v>4.5851148134526697E-2</v>
      </c>
      <c r="TV9" s="2">
        <f>0.0515350107593347*(1)</f>
        <v>5.1535010759334698E-2</v>
      </c>
      <c r="TW9" s="2">
        <f>0.0473666408209372*(1)</f>
        <v>4.7366640820937202E-2</v>
      </c>
      <c r="TX9" s="2">
        <f>0.0148517299344788*(1)</f>
        <v>1.4851729934478799E-2</v>
      </c>
      <c r="TY9" s="2">
        <f>-0.027173937158657*(1)</f>
        <v>-2.7173937158656999E-2</v>
      </c>
      <c r="TZ9" s="2">
        <f>-0.00817246797617836*(1)</f>
        <v>-8.1724679761783596E-3</v>
      </c>
      <c r="UA9" s="2">
        <f>-0.0679137087370472*(1)</f>
        <v>-6.7913708737047204E-2</v>
      </c>
      <c r="UB9" s="2">
        <f>0.0146220160679419*(1)</f>
        <v>1.46220160679419E-2</v>
      </c>
      <c r="UC9" s="2">
        <f>-0.0300024768936255*(1)</f>
        <v>-3.00024768936255E-2</v>
      </c>
      <c r="UD9" s="2">
        <f>0.006393499105724*(1)</f>
        <v>6.3934991057240003E-3</v>
      </c>
      <c r="UE9" s="2">
        <f>0.0110645815170381*(1)</f>
        <v>1.10645815170381E-2</v>
      </c>
      <c r="UF9" s="2">
        <f>0.0376037316838774*(1)</f>
        <v>3.7603731683877401E-2</v>
      </c>
      <c r="UG9" s="2">
        <f>-0.0297383526355845*(1)</f>
        <v>-2.9738352635584501E-2</v>
      </c>
      <c r="UH9" s="2">
        <f>0.0148179796991648*(1)</f>
        <v>1.4817979699164799E-2</v>
      </c>
      <c r="UI9" s="2">
        <f>0.0239267909593137*(1)</f>
        <v>2.3926790959313701E-2</v>
      </c>
      <c r="UJ9" s="2">
        <f>-0.0255421118518535*(1)</f>
        <v>-2.55421118518535E-2</v>
      </c>
      <c r="UK9" s="2">
        <f>0.0192242059739651*(1)</f>
        <v>1.9224205973965101E-2</v>
      </c>
      <c r="UL9" s="2">
        <f>-0.0186720144304674*(1)</f>
        <v>-1.8672014430467399E-2</v>
      </c>
      <c r="UM9" s="2">
        <f>0.0190465413696948*(1)</f>
        <v>1.9046541369694799E-2</v>
      </c>
      <c r="UN9" s="2">
        <f>0.0223163510122471*(1)</f>
        <v>2.2316351012247101E-2</v>
      </c>
      <c r="UO9" s="2">
        <f>-0.00151912822587169*(1)</f>
        <v>-1.5191282258716901E-3</v>
      </c>
      <c r="UP9" s="2">
        <f>0.0435409722377157*(1)</f>
        <v>4.3540972237715699E-2</v>
      </c>
      <c r="UQ9" s="2">
        <f>0.00873262235668068*(1)</f>
        <v>8.7326223566806804E-3</v>
      </c>
      <c r="UR9" s="2">
        <f>-0.0424329988955406*(1)</f>
        <v>-4.24329988955406E-2</v>
      </c>
      <c r="US9" s="2">
        <f>-0.0128624375491809*(1)</f>
        <v>-1.28624375491809E-2</v>
      </c>
      <c r="UT9" s="2">
        <f>-0.0189629128951604*(1)</f>
        <v>-1.8962912895160399E-2</v>
      </c>
      <c r="UU9" s="2">
        <f>-0.0266339675062834*(1)</f>
        <v>-2.6633967506283399E-2</v>
      </c>
      <c r="UV9" s="2">
        <f>-0.0134600698460075*(1)</f>
        <v>-1.34600698460075E-2</v>
      </c>
      <c r="UW9" s="2">
        <f>0.0479498571384292*(1)</f>
        <v>4.7949857138429197E-2</v>
      </c>
      <c r="UX9" s="2">
        <f>0.0114341013816531*(1)</f>
        <v>1.14341013816531E-2</v>
      </c>
      <c r="UY9" s="2">
        <f>-0.0203895495382866*(1)</f>
        <v>-2.0389549538286599E-2</v>
      </c>
      <c r="UZ9" s="2">
        <f>0.014145515269492*(1)</f>
        <v>1.4145515269492001E-2</v>
      </c>
      <c r="VA9" s="2">
        <f>0.0182321241509815*(1)</f>
        <v>1.82321241509815E-2</v>
      </c>
      <c r="VB9" s="2">
        <f>-0.0303901600167732*(1)</f>
        <v>-3.03901600167732E-2</v>
      </c>
      <c r="VC9" s="2">
        <f>0.00233583311451858*(1)</f>
        <v>2.3358331145185802E-3</v>
      </c>
      <c r="VD9" s="2">
        <f>0.00800787979005921*(1)</f>
        <v>8.0078797900592098E-3</v>
      </c>
      <c r="VE9" s="2">
        <f>0.000624981430431407*(1)</f>
        <v>6.2498143043140703E-4</v>
      </c>
      <c r="VF9" s="2">
        <f>-0.00920969789432379*(1)</f>
        <v>-9.2096978943237897E-3</v>
      </c>
      <c r="VG9" s="2">
        <f>-0.00382797967110518*(1)</f>
        <v>-3.8279796711051801E-3</v>
      </c>
      <c r="VH9" s="2">
        <f>-0.0118522061835401*(1)</f>
        <v>-1.18522061835401E-2</v>
      </c>
      <c r="VI9" s="2">
        <f>-0.00366239887912259*(1)</f>
        <v>-3.6623988791225901E-3</v>
      </c>
      <c r="VJ9" s="2">
        <f>-0.0102822436688952*(1)</f>
        <v>-1.02822436688952E-2</v>
      </c>
      <c r="VK9" s="2">
        <f>0.0189369685998771*(1)</f>
        <v>1.8936968599877101E-2</v>
      </c>
      <c r="VL9" s="2">
        <f>0.00468466037938878*(1)</f>
        <v>4.6846603793887802E-3</v>
      </c>
      <c r="VM9" s="2">
        <f>-0.0210428898873754*(1)</f>
        <v>-2.1042889887375401E-2</v>
      </c>
      <c r="VN9" s="2">
        <f>0.0128460556947248*(1)</f>
        <v>1.2846055694724801E-2</v>
      </c>
      <c r="VO9" s="2">
        <f>-0.0180375161955745*(1)</f>
        <v>-1.8037516195574501E-2</v>
      </c>
      <c r="VP9" s="2">
        <f>0.0055091381665243*(1)</f>
        <v>5.5091381665242998E-3</v>
      </c>
      <c r="VQ9" s="2">
        <f>-0.021846106178506*(1)</f>
        <v>-2.1846106178505999E-2</v>
      </c>
      <c r="VR9" s="2">
        <f>0.0277024229165696*(1)</f>
        <v>2.7702422916569599E-2</v>
      </c>
      <c r="VS9" s="2">
        <f>0.033645262941323*(1)</f>
        <v>3.3645262941323001E-2</v>
      </c>
      <c r="VT9" s="2">
        <f>0.00676801674394632*(1)</f>
        <v>6.7680167439463203E-3</v>
      </c>
      <c r="VU9" s="2">
        <f>-0.00125660222855484*(1)</f>
        <v>-1.2566022285548401E-3</v>
      </c>
      <c r="VV9" s="2">
        <f>0.0173428930898754*(1)</f>
        <v>1.73428930898754E-2</v>
      </c>
      <c r="VW9" s="2">
        <f>-0.00298269361499571*(1)</f>
        <v>-2.98269361499571E-3</v>
      </c>
      <c r="VX9" s="2">
        <f>0.0109487005665085*(1)</f>
        <v>1.09487005665085E-2</v>
      </c>
      <c r="VY9" s="2">
        <f>-0.000703470905342927*(1)</f>
        <v>-7.0347090534292702E-4</v>
      </c>
      <c r="VZ9" s="2">
        <f>0.00255324167295894*(1)</f>
        <v>2.5532416729589398E-3</v>
      </c>
      <c r="WA9" s="2">
        <f>0.000451898724497037*(1)</f>
        <v>4.5189872449703702E-4</v>
      </c>
      <c r="WB9" s="2">
        <f>-0.017442175764893*(1)</f>
        <v>-1.7442175764893E-2</v>
      </c>
      <c r="WC9" s="2">
        <f>-0.00925579628250404*(1)</f>
        <v>-9.2557962825040394E-3</v>
      </c>
      <c r="WD9" s="2">
        <f>-0.00242992815308579*(1)</f>
        <v>-2.4299281530857902E-3</v>
      </c>
      <c r="WE9" s="2">
        <f>-0.00704956203668688*(1)</f>
        <v>-7.0495620366868798E-3</v>
      </c>
      <c r="WF9" s="2">
        <f>-0.0170754260344211*(1)</f>
        <v>-1.7075426034421099E-2</v>
      </c>
      <c r="WG9" s="2">
        <f>0.0300405928313877*(1)</f>
        <v>3.00405928313877E-2</v>
      </c>
      <c r="WH9" s="2">
        <f>-0.0029202683802585*(1)</f>
        <v>-2.9202683802585002E-3</v>
      </c>
      <c r="WI9" s="2">
        <f>0.0267276562193665*(1)</f>
        <v>2.67276562193665E-2</v>
      </c>
      <c r="WJ9" s="2">
        <f>-0.025121186402134*(1)</f>
        <v>-2.5121186402134E-2</v>
      </c>
      <c r="WK9" s="2">
        <f>0.00195301989329569*(1)</f>
        <v>1.9530198932956901E-3</v>
      </c>
      <c r="WL9" s="2">
        <f>0.0128931385462557*(1)</f>
        <v>1.2893138546255701E-2</v>
      </c>
      <c r="WM9" s="2">
        <f>-0.0210776949638855*(1)</f>
        <v>-2.10776949638855E-2</v>
      </c>
      <c r="WN9" s="2">
        <f>0.00684261097881452*(1)</f>
        <v>6.8426109788145197E-3</v>
      </c>
      <c r="WO9" s="2">
        <f>0.00504789451335068*(1)</f>
        <v>5.0478945133506804E-3</v>
      </c>
      <c r="WP9" s="2">
        <f>-0.0178883735350388*(1)</f>
        <v>-1.7888373535038801E-2</v>
      </c>
      <c r="WQ9" s="2">
        <f>-0.00664611723063431*(1)</f>
        <v>-6.6461172306343103E-3</v>
      </c>
      <c r="WR9" s="2">
        <f>0.0137165476446365*(1)</f>
        <v>1.37165476446365E-2</v>
      </c>
      <c r="WS9" s="2">
        <f>0.00240735405694733*(1)</f>
        <v>2.4073540569473301E-3</v>
      </c>
      <c r="WT9" s="2">
        <f>0.00262528402838753*(1)</f>
        <v>2.62528402838753E-3</v>
      </c>
      <c r="WU9" s="2">
        <f>0.0129058965008376*(1)</f>
        <v>1.2905896500837601E-2</v>
      </c>
      <c r="WV9" s="2">
        <f>-0.00593787444725072*(1)</f>
        <v>-5.9378744472507201E-3</v>
      </c>
      <c r="WW9" s="2">
        <f>0.0179789152102789*(1)</f>
        <v>1.79789152102789E-2</v>
      </c>
      <c r="WX9" s="2">
        <f>-0.000136698876751687*(1)</f>
        <v>-1.36698876751687E-4</v>
      </c>
      <c r="WY9" s="2">
        <f>-0.0128024160552815*(1)</f>
        <v>-1.28024160552815E-2</v>
      </c>
      <c r="WZ9" s="2">
        <f>-0.0164913729647577*(1)</f>
        <v>-1.6491372964757701E-2</v>
      </c>
      <c r="XA9" s="2">
        <f>0.0185565839778571*(1)</f>
        <v>1.8556583977857099E-2</v>
      </c>
      <c r="XB9" s="2">
        <f>0.00499746488391808*(1)</f>
        <v>4.9974648839180803E-3</v>
      </c>
      <c r="XC9" s="2">
        <f>0.00119421866976548*(1)</f>
        <v>1.19421866976548E-3</v>
      </c>
      <c r="XD9" s="2">
        <f>0.0112081156343451*(1)</f>
        <v>1.12081156343451E-2</v>
      </c>
      <c r="XE9" s="2">
        <f>-0.00797475821772277*(1)</f>
        <v>-7.9747582177227706E-3</v>
      </c>
      <c r="XF9" s="2">
        <f>-0.014484318684921*(1)</f>
        <v>-1.4484318684921E-2</v>
      </c>
      <c r="XG9" s="2">
        <f>0.00483701577265914*(1)</f>
        <v>4.8370157726591399E-3</v>
      </c>
      <c r="XH9" s="2">
        <f>-0.0171843543472522*(1)</f>
        <v>-1.7184354347252202E-2</v>
      </c>
      <c r="XI9" s="2">
        <f>-0.0239581702912118*(1)</f>
        <v>-2.3958170291211799E-2</v>
      </c>
      <c r="XJ9" s="2">
        <f>0.0192518827948982*(1)</f>
        <v>1.9251882794898201E-2</v>
      </c>
      <c r="XK9" s="2">
        <f>0.0123492321109594*(1)</f>
        <v>1.23492321109594E-2</v>
      </c>
      <c r="XL9" s="2">
        <f>-0.0289644804479767*(1)</f>
        <v>-2.8964480447976702E-2</v>
      </c>
      <c r="XM9" s="2">
        <f>-0.00123611830990402*(1)</f>
        <v>-1.23611830990402E-3</v>
      </c>
      <c r="XN9" s="2">
        <f>0.0123107944463755*(1)</f>
        <v>1.2310794446375501E-2</v>
      </c>
      <c r="XO9" s="2">
        <f>0.000488820721942601*(1)</f>
        <v>4.8882072194260102E-4</v>
      </c>
      <c r="XP9" s="2">
        <f>0.00173502221947723*(1)</f>
        <v>1.7350222194772299E-3</v>
      </c>
      <c r="XQ9" s="2">
        <f>-0.00256205470750112*(1)</f>
        <v>-2.56205470750112E-3</v>
      </c>
      <c r="XR9" s="2">
        <f>-0.0171882625162155*(1)</f>
        <v>-1.71882625162155E-2</v>
      </c>
      <c r="XS9" s="2">
        <f>0.0269038756241399*(1)</f>
        <v>2.69038756241399E-2</v>
      </c>
      <c r="XT9" s="2">
        <f>0.012302827762438*(1)</f>
        <v>1.2302827762438E-2</v>
      </c>
      <c r="XU9" s="2">
        <f>0.0075551849661637*(1)</f>
        <v>7.5551849661636998E-3</v>
      </c>
      <c r="XV9" s="2">
        <f>-0.0162261405189147*(1)</f>
        <v>-1.6226140518914699E-2</v>
      </c>
      <c r="XW9" s="2">
        <f>-0.00189260503226049*(1)</f>
        <v>-1.89260503226049E-3</v>
      </c>
      <c r="XX9" s="2">
        <f>0.032772236480292*(1)</f>
        <v>3.2772236480291997E-2</v>
      </c>
      <c r="XY9" s="2">
        <f>0.016677506958086*(1)</f>
        <v>1.6677506958086001E-2</v>
      </c>
      <c r="XZ9" s="2">
        <f>0.00212976125251914*(1)</f>
        <v>2.1297612525191401E-3</v>
      </c>
      <c r="YA9" s="2">
        <f>-0.0315569443939207*(1)</f>
        <v>-3.1556944393920698E-2</v>
      </c>
      <c r="YB9" s="2">
        <f>-0.0106307376911121*(1)</f>
        <v>-1.0630737691112099E-2</v>
      </c>
      <c r="YC9" s="2">
        <f>-0.00588047674587465*(1)</f>
        <v>-5.8804767458746502E-3</v>
      </c>
      <c r="YD9" s="2">
        <f>-0.0294431409310087*(1)</f>
        <v>-2.94431409310087E-2</v>
      </c>
      <c r="YE9" s="2">
        <f>0.00159206434339264*(1)</f>
        <v>1.5920643433926401E-3</v>
      </c>
      <c r="YF9" s="2">
        <f>0.00235440817556462*(1)</f>
        <v>2.3544081755646198E-3</v>
      </c>
      <c r="YG9" s="2">
        <f>-0.0182808639762049*(1)</f>
        <v>-1.82808639762049E-2</v>
      </c>
      <c r="YH9" s="2">
        <f>-0.0136919552893014*(1)</f>
        <v>-1.3691955289301399E-2</v>
      </c>
      <c r="YI9" s="2">
        <f>-0.00212800224310806*(1)</f>
        <v>-2.1280022431080601E-3</v>
      </c>
      <c r="YJ9" s="2">
        <f>0.0178847343659839*(1)</f>
        <v>1.7884734365983899E-2</v>
      </c>
      <c r="YK9" s="2">
        <f>0.0403867873983071*(1)</f>
        <v>4.0386787398307103E-2</v>
      </c>
      <c r="YL9" s="2">
        <f>-0.0188051023513527*(1)</f>
        <v>-1.8805102351352701E-2</v>
      </c>
      <c r="YM9" s="2">
        <f>-0.0337397541304786*(1)</f>
        <v>-3.3739754130478597E-2</v>
      </c>
      <c r="YN9" s="2">
        <f>0.029092078842304*(1)</f>
        <v>2.9092078842304001E-2</v>
      </c>
      <c r="YO9" s="2">
        <f>0.0120215869545947*(1)</f>
        <v>1.2021586954594699E-2</v>
      </c>
      <c r="YP9" s="2">
        <f>-0.0065242706570922*(1)</f>
        <v>-6.5242706570921996E-3</v>
      </c>
      <c r="YQ9" s="2">
        <f>0.00180132314751171*(1)</f>
        <v>1.80132314751171E-3</v>
      </c>
      <c r="YR9" s="2">
        <f>0.0116071752291892*(1)</f>
        <v>1.16071752291892E-2</v>
      </c>
      <c r="YS9" s="2">
        <f>-0.0126032973469637*(1)</f>
        <v>-1.26032973469637E-2</v>
      </c>
      <c r="YT9" s="2">
        <f>0.00133462664144604*(1)</f>
        <v>1.3346266414460399E-3</v>
      </c>
      <c r="YU9" s="2">
        <f>-0.0158210242227849*(1)</f>
        <v>-1.5821024222784901E-2</v>
      </c>
      <c r="YV9" s="2">
        <f>0.0116934534578443*(1)</f>
        <v>1.16934534578443E-2</v>
      </c>
      <c r="YW9" s="2">
        <f>-0.0316257459192838*(1)</f>
        <v>-3.1625745919283799E-2</v>
      </c>
      <c r="YX9" s="2">
        <f>-0.0218449181521909*(1)</f>
        <v>-2.18449181521909E-2</v>
      </c>
      <c r="YY9" s="2">
        <f>0.00454679024022198*(1)</f>
        <v>4.5467902402219797E-3</v>
      </c>
      <c r="YZ9" s="2">
        <f>-0.00561408745826371*(1)</f>
        <v>-5.6140874582637102E-3</v>
      </c>
      <c r="ZA9" s="2">
        <f>0.0038414820976465*(1)</f>
        <v>3.8414820976465001E-3</v>
      </c>
      <c r="ZB9" s="2">
        <f>-0.0218136074618931*(1)</f>
        <v>-2.1813607461893099E-2</v>
      </c>
      <c r="ZC9" s="2">
        <f>0.0199810959472757*(1)</f>
        <v>1.99810959472757E-2</v>
      </c>
      <c r="ZD9" s="2">
        <f>-0.0124639263110187*(1)</f>
        <v>-1.2463926311018701E-2</v>
      </c>
      <c r="ZE9" s="2">
        <f>0.0181575859007968*(1)</f>
        <v>1.8157585900796799E-2</v>
      </c>
      <c r="ZF9" s="2">
        <f>0.0153678355827394*(1)</f>
        <v>1.53678355827394E-2</v>
      </c>
      <c r="ZG9" s="2">
        <f>-0.0158226850257052*(1)</f>
        <v>-1.5822685025705201E-2</v>
      </c>
      <c r="ZH9" s="2">
        <f>0.0123425746031192*(1)</f>
        <v>1.2342574603119201E-2</v>
      </c>
      <c r="ZI9" s="2">
        <f>-0.0140037655766709*(1)</f>
        <v>-1.40037655766709E-2</v>
      </c>
      <c r="ZJ9" s="2">
        <f>0.00724238601304379*(1)</f>
        <v>7.24238601304379E-3</v>
      </c>
      <c r="ZK9" s="2">
        <f>0.0121975378266232*(1)</f>
        <v>1.21975378266232E-2</v>
      </c>
      <c r="ZL9" s="2">
        <f>-0.0116335044389746*(1)</f>
        <v>-1.1633504438974601E-2</v>
      </c>
      <c r="ZM9" s="2">
        <f>-0.0174812221161209*(1)</f>
        <v>-1.7481222116120899E-2</v>
      </c>
      <c r="ZN9" s="2">
        <f>-0.00348384371703274*(1)</f>
        <v>-3.48384371703274E-3</v>
      </c>
      <c r="ZO9" s="2">
        <f>0.000822175110260767*(1)</f>
        <v>8.2217511026076696E-4</v>
      </c>
      <c r="ZP9" s="2">
        <f>0.00200878724259523*(1)</f>
        <v>2.0087872425952301E-3</v>
      </c>
      <c r="ZQ9" s="2">
        <f>-0.0115785681813656*(1)</f>
        <v>-1.1578568181365601E-2</v>
      </c>
      <c r="ZR9" s="2">
        <f>0.00570886797425681*(1)</f>
        <v>5.7088679742568101E-3</v>
      </c>
      <c r="ZS9" s="2">
        <f>-0.0139662210405112*(1)</f>
        <v>-1.3966221040511199E-2</v>
      </c>
      <c r="ZT9" s="2">
        <f>-0.00531931330036459*(1)</f>
        <v>-5.31931330036459E-3</v>
      </c>
      <c r="ZU9" s="2">
        <f>-0.0035159798440108*(1)</f>
        <v>-3.5159798440107999E-3</v>
      </c>
      <c r="ZV9" s="2">
        <f>0.0343612120908094*(1)</f>
        <v>3.4361212090809397E-2</v>
      </c>
      <c r="ZW9" s="2">
        <f>0.0441969934861296*(1)</f>
        <v>4.4196993486129599E-2</v>
      </c>
      <c r="ZX9" s="2">
        <f>0.0204630897590278*(1)</f>
        <v>2.0463089759027799E-2</v>
      </c>
      <c r="ZY9" s="2">
        <f>0.00697477911351253*(1)</f>
        <v>6.9747791135125296E-3</v>
      </c>
      <c r="ZZ9" s="2">
        <f>-0.0160284313301983*(1)</f>
        <v>-1.6028431330198298E-2</v>
      </c>
      <c r="AAA9" s="2">
        <f>0.00703269291229821*(1)</f>
        <v>7.0326929122982102E-3</v>
      </c>
      <c r="AAB9" s="2">
        <f>-0.000118835895106727*(1)</f>
        <v>-1.18835895106727E-4</v>
      </c>
      <c r="AAC9" s="2">
        <f>0.00742068222332569*(1)</f>
        <v>7.42068222332569E-3</v>
      </c>
      <c r="AAD9" s="2">
        <f>-0.00262864348398243*(1)</f>
        <v>-2.62864348398243E-3</v>
      </c>
      <c r="AAE9" s="2">
        <f>0.0249190301123513*(1)</f>
        <v>2.49190301123513E-2</v>
      </c>
      <c r="AAF9" s="2">
        <f>-0.00224168847999061*(1)</f>
        <v>-2.2416884799906101E-3</v>
      </c>
      <c r="AAG9" s="2">
        <f>-0.0112437571390457*(1)</f>
        <v>-1.12437571390457E-2</v>
      </c>
      <c r="AAH9" s="2">
        <f>0.0141924097488439*(1)</f>
        <v>1.41924097488439E-2</v>
      </c>
      <c r="AAI9" s="2">
        <f>0.00230219241564234*(1)</f>
        <v>2.3021924156423402E-3</v>
      </c>
      <c r="AAJ9" s="2">
        <f>0.0141705649038634*(1)</f>
        <v>1.4170564903863399E-2</v>
      </c>
      <c r="AAK9" s="2">
        <f>-0.0051360157370682*(1)</f>
        <v>-5.1360157370681997E-3</v>
      </c>
      <c r="AAL9" s="2">
        <f>-0.00662595423766336*(1)</f>
        <v>-6.6259542376633602E-3</v>
      </c>
      <c r="AAM9" s="2">
        <f>0.00169043434241148*(1)</f>
        <v>1.69043434241148E-3</v>
      </c>
      <c r="AAN9" s="2">
        <f>-0.0111567915181243*(1)</f>
        <v>-1.11567915181243E-2</v>
      </c>
      <c r="AAO9" s="2">
        <f>0.0151920100676643*(1)</f>
        <v>1.51920100676643E-2</v>
      </c>
      <c r="AAP9" s="2">
        <f>-0.00817798472786621*(1)</f>
        <v>-8.1779847278662093E-3</v>
      </c>
      <c r="AAQ9" s="2">
        <f>-0.00444254733413623*(1)</f>
        <v>-4.4425473341362298E-3</v>
      </c>
      <c r="AAR9" s="2">
        <f>-0.0039662107500033*(1)</f>
        <v>-3.9662107500033003E-3</v>
      </c>
      <c r="AAS9" s="2">
        <f>-0.00915931351393032*(1)</f>
        <v>-9.1593135139303207E-3</v>
      </c>
      <c r="AAT9" s="2">
        <f>-0.00951061449558366*(1)</f>
        <v>-9.5106144955836597E-3</v>
      </c>
      <c r="AAU9" s="2">
        <f>-0.00635779151785187*(1)</f>
        <v>-6.3577915178518697E-3</v>
      </c>
      <c r="AAV9" s="2">
        <f>0.00967598095529029*(1)</f>
        <v>9.6759809552902903E-3</v>
      </c>
      <c r="AAW9" s="2">
        <f>0.0211263411324539*(1)</f>
        <v>2.1126341132453898E-2</v>
      </c>
      <c r="AAX9" s="2">
        <f>-0.0271227490264223*(1)</f>
        <v>-2.71227490264223E-2</v>
      </c>
      <c r="AAY9" s="2">
        <f>-0.00732046950777511*(1)</f>
        <v>-7.3204695077751097E-3</v>
      </c>
      <c r="AAZ9" s="2">
        <f>0.00547411969822757*(1)</f>
        <v>5.4741196982275699E-3</v>
      </c>
      <c r="ABA9" s="2">
        <f>0.0165390866604502*(1)</f>
        <v>1.6539086660450199E-2</v>
      </c>
      <c r="ABB9" s="2">
        <f>-0.00197529847753806*(1)</f>
        <v>-1.9752984775380602E-3</v>
      </c>
      <c r="ABC9" s="2">
        <f>0.00446489981141522*(1)</f>
        <v>4.4648998114152202E-3</v>
      </c>
      <c r="ABD9" s="2">
        <f>-0.0109077633963377*(1)</f>
        <v>-1.09077633963377E-2</v>
      </c>
      <c r="ABE9" s="2">
        <f>0.0232457718178427*(1)</f>
        <v>2.3245771817842702E-2</v>
      </c>
      <c r="ABF9" s="2">
        <f>0.0162976301518578*(1)</f>
        <v>1.6297630151857801E-2</v>
      </c>
      <c r="ABG9" s="2">
        <f>0.000697721702808436*(1)</f>
        <v>6.9772170280843601E-4</v>
      </c>
      <c r="ABH9" s="2">
        <f>-0.0127931707480748*(1)</f>
        <v>-1.27931707480748E-2</v>
      </c>
      <c r="ABI9" s="2">
        <f>0.0155915098838427*(1)</f>
        <v>1.55915098838427E-2</v>
      </c>
      <c r="ABJ9" s="2">
        <f>0.0316908984939786*(1)</f>
        <v>3.1690898493978603E-2</v>
      </c>
      <c r="ABK9" s="2">
        <f>0.0194294022742612*(1)</f>
        <v>1.9429402274261199E-2</v>
      </c>
      <c r="ABL9" s="2">
        <f>-0.0245474092601018*(1)</f>
        <v>-2.45474092601018E-2</v>
      </c>
      <c r="ABM9" s="2">
        <f>-0.0227346701427853*(1)</f>
        <v>-2.2734670142785299E-2</v>
      </c>
      <c r="ABN9" s="2">
        <f>-0.00290439540271153*(1)</f>
        <v>-2.9043954027115301E-3</v>
      </c>
      <c r="ABO9" s="2">
        <f>0.00341435942622406*(1)</f>
        <v>3.41435942622406E-3</v>
      </c>
      <c r="ABP9" s="2">
        <f>-0.000803413133191721*(1)</f>
        <v>-8.03413133191721E-4</v>
      </c>
      <c r="ABQ9" s="2">
        <f>0.0122766750858709*(1)</f>
        <v>1.22766750858709E-2</v>
      </c>
      <c r="ABR9" s="2">
        <f>-0.018267778186184*(1)</f>
        <v>-1.8267778186184001E-2</v>
      </c>
      <c r="ABS9" s="2">
        <f>-0.00478687235964402*(1)</f>
        <v>-4.7868723596440196E-3</v>
      </c>
      <c r="ABT9" s="2">
        <f>0.00563380615963809*(1)</f>
        <v>5.63380615963809E-3</v>
      </c>
      <c r="ABU9" s="2">
        <f>-0.0191722856376687*(1)</f>
        <v>-1.91722856376687E-2</v>
      </c>
      <c r="ABV9" s="2">
        <f>0.01279756685422*(1)</f>
        <v>1.279756685422E-2</v>
      </c>
      <c r="ABW9" s="2">
        <f>-0.00855423145994494*(1)</f>
        <v>-8.5542314599449405E-3</v>
      </c>
      <c r="ABX9" s="2">
        <f>0.00730104239451817*(1)</f>
        <v>7.3010423945181696E-3</v>
      </c>
      <c r="ABY9" s="2">
        <f>0.0104121147726297*(1)</f>
        <v>1.04121147726297E-2</v>
      </c>
      <c r="ABZ9" s="2">
        <f>-0.0112234403411567*(1)</f>
        <v>-1.12234403411567E-2</v>
      </c>
      <c r="ACA9" s="2">
        <f>0.00839528710334422*(1)</f>
        <v>8.3952871033442199E-3</v>
      </c>
      <c r="ACB9" s="2">
        <f>0.00557931980867619*(1)</f>
        <v>5.5793198086761904E-3</v>
      </c>
      <c r="ACC9" s="2">
        <f>-0.0161818011310121*(1)</f>
        <v>-1.61818011310121E-2</v>
      </c>
      <c r="ACD9" s="2">
        <f>-0.00127298663041389*(1)</f>
        <v>-1.27298663041389E-3</v>
      </c>
      <c r="ACE9" s="2">
        <f>0.0117440760226746*(1)</f>
        <v>1.1744076022674599E-2</v>
      </c>
      <c r="ACF9" s="2">
        <f>-0.016333637394701*(1)</f>
        <v>-1.6333637394700999E-2</v>
      </c>
      <c r="ACG9" s="2">
        <f>0.0158389187627856*(1)</f>
        <v>1.5838918762785599E-2</v>
      </c>
      <c r="ACH9" s="2">
        <f>0.00866592825087632*(1)</f>
        <v>8.6659282508763195E-3</v>
      </c>
      <c r="ACI9" s="2">
        <f>0.00856761785282868*(1)</f>
        <v>8.5676178528286805E-3</v>
      </c>
      <c r="ACJ9" s="2">
        <f>0.00719002558882432*(1)</f>
        <v>7.1900255888243201E-3</v>
      </c>
      <c r="ACK9" s="2">
        <f>0.0173231823048725*(1)</f>
        <v>1.7323182304872502E-2</v>
      </c>
      <c r="ACL9" s="2">
        <f>0.0073435088768771*(1)</f>
        <v>7.3435088768770999E-3</v>
      </c>
      <c r="ACM9" s="2">
        <f>-0.00365477106583098*(1)</f>
        <v>-3.6547710658309798E-3</v>
      </c>
      <c r="ACN9" s="2">
        <f>0.0340848904733807*(1)</f>
        <v>3.4084890473380702E-2</v>
      </c>
      <c r="ACO9" s="2">
        <f>-0.00331964561019999*(1)</f>
        <v>-3.3196456101999899E-3</v>
      </c>
      <c r="ACP9" s="2">
        <f>0.0232828441659811*(1)</f>
        <v>2.3282844165981101E-2</v>
      </c>
      <c r="ACQ9" s="2">
        <f>-0.0137401919170521*(1)</f>
        <v>-1.37401919170521E-2</v>
      </c>
      <c r="ACR9" s="2">
        <f>-0.000201563104655858*(1)</f>
        <v>-2.0156310465585799E-4</v>
      </c>
      <c r="ACS9" s="2">
        <f>-0.000218076738179828*(1)</f>
        <v>-2.1807673817982799E-4</v>
      </c>
      <c r="ACT9" s="2">
        <f>-0.0086113845537567*(1)</f>
        <v>-8.6113845537566999E-3</v>
      </c>
      <c r="ACU9" s="2">
        <f>-0.00221144819372271*(1)</f>
        <v>-2.2114481937227102E-3</v>
      </c>
      <c r="ACV9" s="2">
        <f>0.0143419017160343*(1)</f>
        <v>1.43419017160343E-2</v>
      </c>
    </row>
    <row r="10" spans="1:776" x14ac:dyDescent="0.2">
      <c r="A10" s="1" t="s">
        <v>70643</v>
      </c>
      <c r="B10" s="2">
        <f>-0.0216532285365473*(1)</f>
        <v>-2.16532285365473E-2</v>
      </c>
      <c r="C10" s="2">
        <f>-0.0251551489654804*(1)</f>
        <v>-2.5155148965480399E-2</v>
      </c>
      <c r="D10" s="2">
        <f>-0.0180113075019231*(1)</f>
        <v>-1.8011307501923101E-2</v>
      </c>
      <c r="E10" s="2">
        <f>-0.00951250869334192*(1)</f>
        <v>-9.5125086933419197E-3</v>
      </c>
      <c r="F10" s="2">
        <f>-0.0158170580979197*(1)</f>
        <v>-1.5817058097919699E-2</v>
      </c>
      <c r="G10" s="2">
        <f>0.00502872779671365*(1)</f>
        <v>5.0287277967136501E-3</v>
      </c>
      <c r="H10" s="2">
        <f>-0.00488646896419667*(1)</f>
        <v>-4.8864689641966701E-3</v>
      </c>
      <c r="I10" s="2">
        <f>0.00517263031192825*(1)</f>
        <v>5.1726303119282498E-3</v>
      </c>
      <c r="J10" s="2">
        <f>-0.00217444241346945*(1)</f>
        <v>-2.17444241346945E-3</v>
      </c>
      <c r="K10" s="2">
        <f>0.0095306036484936*(1)</f>
        <v>9.5306036484935994E-3</v>
      </c>
      <c r="L10" s="2">
        <f>0.01462162036839*(1)</f>
        <v>1.4621620368389999E-2</v>
      </c>
      <c r="M10" s="2">
        <f>-0.00793055027039441*(1)</f>
        <v>-7.9305502703944097E-3</v>
      </c>
      <c r="N10" s="2">
        <f>-0.00203764475007184*(1)</f>
        <v>-2.0376447500718401E-3</v>
      </c>
      <c r="O10" s="2">
        <f>-0.0027556535848656*(1)</f>
        <v>-2.7556535848655998E-3</v>
      </c>
      <c r="P10" s="2">
        <f>-0.0120402542087281*(1)</f>
        <v>-1.2040254208728099E-2</v>
      </c>
      <c r="Q10" s="2">
        <f>-0.00562890976948519*(1)</f>
        <v>-5.6289097694851896E-3</v>
      </c>
      <c r="R10" s="2">
        <f>0.0186524220145935*(1)</f>
        <v>1.8652422014593498E-2</v>
      </c>
      <c r="S10" s="2">
        <f>-0.0106977630056822*(1)</f>
        <v>-1.06977630056822E-2</v>
      </c>
      <c r="T10" s="2">
        <f>0.00460846778229579*(1)</f>
        <v>4.6084677822957904E-3</v>
      </c>
      <c r="U10" s="2">
        <f>-0.02409845518408*(1)</f>
        <v>-2.4098455184079999E-2</v>
      </c>
      <c r="V10" s="2">
        <f>-0.00221789609115088*(1)</f>
        <v>-2.2178960911508798E-3</v>
      </c>
      <c r="W10" s="2">
        <f>0.018414846242577*(1)</f>
        <v>1.8414846242576999E-2</v>
      </c>
      <c r="X10" s="2">
        <f>-0.00196027366400721*(1)</f>
        <v>-1.9602736640072101E-3</v>
      </c>
      <c r="Y10" s="2">
        <f>0.00170984902699412*(1)</f>
        <v>1.7098490269941201E-3</v>
      </c>
      <c r="Z10" s="2">
        <f>0.031812485826482*(1)</f>
        <v>3.1812485826482002E-2</v>
      </c>
      <c r="AA10" s="2">
        <f>-0.0403029955225912*(1)</f>
        <v>-4.0302995522591201E-2</v>
      </c>
      <c r="AB10" s="2">
        <f>-0.0245423382931771*(1)</f>
        <v>-2.4542338293177101E-2</v>
      </c>
      <c r="AC10" s="2">
        <f>-0.0184191654012306*(1)</f>
        <v>-1.8419165401230599E-2</v>
      </c>
      <c r="AD10" s="2">
        <f>0.00637016405837738*(1)</f>
        <v>6.3701640583773804E-3</v>
      </c>
      <c r="AE10" s="2">
        <f>0.00186170634378964*(1)</f>
        <v>1.8617063437896401E-3</v>
      </c>
      <c r="AF10" s="2">
        <f>-0.0109403380563447*(1)</f>
        <v>-1.0940338056344701E-2</v>
      </c>
      <c r="AG10" s="2">
        <f>-0.0129842298743861*(1)</f>
        <v>-1.29842298743861E-2</v>
      </c>
      <c r="AH10" s="2">
        <f>-0.0176992466518142*(1)</f>
        <v>-1.7699246651814202E-2</v>
      </c>
      <c r="AI10" s="2">
        <f>-0.0119782830351815*(1)</f>
        <v>-1.1978283035181499E-2</v>
      </c>
      <c r="AJ10" s="2">
        <f>0.000733031575989138*(1)</f>
        <v>7.3303157598913799E-4</v>
      </c>
      <c r="AK10" s="2">
        <f>-0.00810263214538*(1)</f>
        <v>-8.1026321453799999E-3</v>
      </c>
      <c r="AL10" s="2">
        <f>-0.0327531850551511*(1)</f>
        <v>-3.2753185055151103E-2</v>
      </c>
      <c r="AM10" s="2">
        <f>-0.00527072579973893*(1)</f>
        <v>-5.27072579973893E-3</v>
      </c>
      <c r="AN10" s="2">
        <f>-0.00115868988756523*(1)</f>
        <v>-1.1586898875652299E-3</v>
      </c>
      <c r="AO10" s="2">
        <f>0.025143273622643*(1)</f>
        <v>2.5143273622643E-2</v>
      </c>
      <c r="AP10" s="2">
        <f>0.0202784652895778*(1)</f>
        <v>2.0278465289577802E-2</v>
      </c>
      <c r="AQ10" s="2">
        <f>-0.0168301983681498*(1)</f>
        <v>-1.68301983681498E-2</v>
      </c>
      <c r="AR10" s="2">
        <f>0.0114979937114793*(1)</f>
        <v>1.1497993711479301E-2</v>
      </c>
      <c r="AS10" s="2">
        <f>-0.0038317233508318*(1)</f>
        <v>-3.8317233508317998E-3</v>
      </c>
      <c r="AT10" s="2">
        <f>0.00944134550800627*(1)</f>
        <v>9.4413455080062693E-3</v>
      </c>
      <c r="AU10" s="2">
        <f>0.0112967977100091*(1)</f>
        <v>1.1296797710009099E-2</v>
      </c>
      <c r="AV10" s="2">
        <f>0.00395014099353409*(1)</f>
        <v>3.9501409935340896E-3</v>
      </c>
      <c r="AW10" s="2">
        <f>-0.008306547217045*(1)</f>
        <v>-8.3065472170449992E-3</v>
      </c>
      <c r="AX10" s="2">
        <f>-0.00263797059513536*(1)</f>
        <v>-2.6379705951353602E-3</v>
      </c>
      <c r="AY10" s="2">
        <f>-0.0413499604601812*(1)</f>
        <v>-4.1349960460181197E-2</v>
      </c>
      <c r="AZ10" s="2">
        <f>-0.0383609526365539*(1)</f>
        <v>-3.8360952636553897E-2</v>
      </c>
      <c r="BA10" s="2">
        <f>-0.00817163106694025*(1)</f>
        <v>-8.1716310669402506E-3</v>
      </c>
      <c r="BB10" s="2">
        <f>0.000696867979808894*(1)</f>
        <v>6.9686797980889395E-4</v>
      </c>
      <c r="BC10" s="2">
        <f>-0.0317954048581028*(1)</f>
        <v>-3.1795404858102803E-2</v>
      </c>
      <c r="BD10" s="2">
        <f>-0.0287978787978498*(1)</f>
        <v>-2.8797878797849799E-2</v>
      </c>
      <c r="BE10" s="2">
        <f>0.0419562337403435*(1)</f>
        <v>4.1956233740343497E-2</v>
      </c>
      <c r="BF10" s="2">
        <f>-0.00450411940092429*(1)</f>
        <v>-4.5041194009242903E-3</v>
      </c>
      <c r="BG10" s="2">
        <f>-0.0141455227234139*(1)</f>
        <v>-1.4145522723413901E-2</v>
      </c>
      <c r="BH10" s="2">
        <f>-0.029142237001995*(1)</f>
        <v>-2.9142237001994999E-2</v>
      </c>
      <c r="BI10" s="2">
        <f>0.00626195711483289*(1)</f>
        <v>6.26195711483289E-3</v>
      </c>
      <c r="BJ10" s="2">
        <f>-0.00519645998108299*(1)</f>
        <v>-5.1964599810829896E-3</v>
      </c>
      <c r="BK10" s="2">
        <f>0.0150855403817199*(1)</f>
        <v>1.50855403817199E-2</v>
      </c>
      <c r="BL10" s="2">
        <f>-0.00744746427455197*(1)</f>
        <v>-7.4474642745519697E-3</v>
      </c>
      <c r="BM10" s="2">
        <f>-0.0202531594813209*(1)</f>
        <v>-2.02531594813209E-2</v>
      </c>
      <c r="BN10" s="2">
        <f>-0.00049099650159407*(1)</f>
        <v>-4.9099650159407004E-4</v>
      </c>
      <c r="BO10" s="2">
        <f>-0.0170263018453671*(1)</f>
        <v>-1.70263018453671E-2</v>
      </c>
      <c r="BP10" s="2">
        <f>-0.025023883895679*(1)</f>
        <v>-2.5023883895679E-2</v>
      </c>
      <c r="BQ10" s="2">
        <f>-0.0158311827497394*(1)</f>
        <v>-1.5831182749739402E-2</v>
      </c>
      <c r="BR10" s="2">
        <f>0.00761313816506867*(1)</f>
        <v>7.6131381650686699E-3</v>
      </c>
      <c r="BS10" s="2">
        <f>-0.0110337652284679*(1)</f>
        <v>-1.10337652284679E-2</v>
      </c>
      <c r="BT10" s="2">
        <f>0.00985520050921062*(1)</f>
        <v>9.8552005092106196E-3</v>
      </c>
      <c r="BU10" s="2">
        <f>0.0198027159676393*(1)</f>
        <v>1.9802715967639301E-2</v>
      </c>
      <c r="BV10" s="2">
        <f>0.00491328367127322*(1)</f>
        <v>4.9132836712732202E-3</v>
      </c>
      <c r="BW10" s="2">
        <f>-0.0105148195344469*(1)</f>
        <v>-1.05148195344469E-2</v>
      </c>
      <c r="BX10" s="2">
        <f>0.0169959553493468*(1)</f>
        <v>1.6995955349346802E-2</v>
      </c>
      <c r="BY10" s="2">
        <f>-0.00792898019872569*(1)</f>
        <v>-7.9289801987256908E-3</v>
      </c>
      <c r="BZ10" s="2">
        <f>-0.00263011667588844*(1)</f>
        <v>-2.6301166758884399E-3</v>
      </c>
      <c r="CA10" s="2">
        <f>0.0264352616645077*(1)</f>
        <v>2.64352616645077E-2</v>
      </c>
      <c r="CB10" s="2">
        <f>0.000394543289680741*(1)</f>
        <v>3.94543289680741E-4</v>
      </c>
      <c r="CC10" s="2">
        <f>-0.0166714989021225*(1)</f>
        <v>-1.6671498902122502E-2</v>
      </c>
      <c r="CD10" s="2">
        <f>-0.0231019468821111*(1)</f>
        <v>-2.3101946882111101E-2</v>
      </c>
      <c r="CE10" s="2">
        <f>0.00863010177773992*(1)</f>
        <v>8.6301017777399205E-3</v>
      </c>
      <c r="CF10" s="2">
        <f>0.0322899333058492*(1)</f>
        <v>3.22899333058492E-2</v>
      </c>
      <c r="CG10" s="2">
        <f>0.0179336214989082*(1)</f>
        <v>1.79336214989082E-2</v>
      </c>
      <c r="CH10" s="2">
        <f>0.00584495161023187*(1)</f>
        <v>5.8449516102318704E-3</v>
      </c>
      <c r="CI10" s="2">
        <f>0.0117367969750482*(1)</f>
        <v>1.1736796975048199E-2</v>
      </c>
      <c r="CJ10" s="2">
        <f>0.0148606140832882*(1)</f>
        <v>1.48606140832882E-2</v>
      </c>
      <c r="CK10" s="2">
        <f>-0.0146983337355985*(1)</f>
        <v>-1.46983337355985E-2</v>
      </c>
      <c r="CL10" s="2">
        <f>0.00418519644745178*(1)</f>
        <v>4.18519644745178E-3</v>
      </c>
      <c r="CM10" s="2">
        <f>0.000502041002293283*(1)</f>
        <v>5.0204100229328302E-4</v>
      </c>
      <c r="CN10" s="2">
        <f>-0.0091099502716717*(1)</f>
        <v>-9.1099502716716994E-3</v>
      </c>
      <c r="CO10" s="2">
        <f>-0.00498852708185795*(1)</f>
        <v>-4.9885270818579497E-3</v>
      </c>
      <c r="CP10" s="2">
        <f>0.00666426894776282*(1)</f>
        <v>6.6642689477628197E-3</v>
      </c>
      <c r="CQ10" s="2">
        <f>-0.0323057712920134*(1)</f>
        <v>-3.2305771292013397E-2</v>
      </c>
      <c r="CR10" s="2">
        <f>-0.0199755712620663*(1)</f>
        <v>-1.99755712620663E-2</v>
      </c>
      <c r="CS10" s="2">
        <f>-0.0610621087417296*(1)</f>
        <v>-6.1062108741729598E-2</v>
      </c>
      <c r="CT10" s="2">
        <f>-0.0275950435543457*(1)</f>
        <v>-2.7595043554345701E-2</v>
      </c>
      <c r="CU10" s="2">
        <f>0.0604447524668824*(1)</f>
        <v>6.0444752466882398E-2</v>
      </c>
      <c r="CV10" s="2">
        <f>-0.0117320388826258*(1)</f>
        <v>-1.1732038882625801E-2</v>
      </c>
      <c r="CW10" s="2">
        <f>-0.00284457382036506*(1)</f>
        <v>-2.8445738203650602E-3</v>
      </c>
      <c r="CX10" s="2">
        <f>-0.00774378025349568*(1)</f>
        <v>-7.7437802534956798E-3</v>
      </c>
      <c r="CY10" s="2">
        <f>-0.0267654025391748*(1)</f>
        <v>-2.6765402539174799E-2</v>
      </c>
      <c r="CZ10" s="2">
        <f>0.0095240117346901*(1)</f>
        <v>9.5240117346900993E-3</v>
      </c>
      <c r="DA10" s="2">
        <f>0.0207806108242968*(1)</f>
        <v>2.0780610824296799E-2</v>
      </c>
      <c r="DB10" s="2">
        <f>-0.00617707211785067*(1)</f>
        <v>-6.1770721178506698E-3</v>
      </c>
      <c r="DC10" s="2">
        <f>0.0160164584540138*(1)</f>
        <v>1.60164584540138E-2</v>
      </c>
      <c r="DD10" s="2">
        <f>-0.0225365871328949*(1)</f>
        <v>-2.25365871328949E-2</v>
      </c>
      <c r="DE10" s="2">
        <f>-0.0242743833994627*(1)</f>
        <v>-2.4274383399462699E-2</v>
      </c>
      <c r="DF10" s="2">
        <f>0.0692013732944755*(1)</f>
        <v>6.9201373294475496E-2</v>
      </c>
      <c r="DG10" s="2">
        <f>0.0344151257231463*(1)</f>
        <v>3.4415125723146298E-2</v>
      </c>
      <c r="DH10" s="2">
        <f>0.00511736799367899*(1)</f>
        <v>5.1173679936789901E-3</v>
      </c>
      <c r="DI10" s="2">
        <f>-0.0200319353434755*(1)</f>
        <v>-2.0031935343475499E-2</v>
      </c>
      <c r="DJ10" s="2">
        <f>-0.024916096258151*(1)</f>
        <v>-2.4916096258150999E-2</v>
      </c>
      <c r="DK10" s="2">
        <f>0.0321697146666997*(1)</f>
        <v>3.2169714666699697E-2</v>
      </c>
      <c r="DL10" s="2">
        <f>-0.0143245710039915*(1)</f>
        <v>-1.4324571003991499E-2</v>
      </c>
      <c r="DM10" s="2">
        <f>-0.0140844858803636*(1)</f>
        <v>-1.40844858803636E-2</v>
      </c>
      <c r="DN10" s="2">
        <f>0.0377446011359837*(1)</f>
        <v>3.7744601135983699E-2</v>
      </c>
      <c r="DO10" s="2">
        <f>-0.00314887790943597*(1)</f>
        <v>-3.1488779094359701E-3</v>
      </c>
      <c r="DP10" s="2">
        <f>-0.013883529448691*(1)</f>
        <v>-1.3883529448691E-2</v>
      </c>
      <c r="DQ10" s="2">
        <f>-0.0315613570736344*(1)</f>
        <v>-3.1561357073634402E-2</v>
      </c>
      <c r="DR10" s="2">
        <f>0.0292459767157836*(1)</f>
        <v>2.9245976715783599E-2</v>
      </c>
      <c r="DS10" s="2">
        <f>0.018747645499068*(1)</f>
        <v>1.8747645499067999E-2</v>
      </c>
      <c r="DT10" s="2">
        <f>-0.0144483134748101*(1)</f>
        <v>-1.44483134748101E-2</v>
      </c>
      <c r="DU10" s="2">
        <f>0.0563468376541174*(1)</f>
        <v>5.6346837654117403E-2</v>
      </c>
      <c r="DV10" s="2">
        <f>-0.00364450669796891*(1)</f>
        <v>-3.6445066979689101E-3</v>
      </c>
      <c r="DW10" s="2">
        <f>0.0329706542582923*(1)</f>
        <v>3.2970654258292299E-2</v>
      </c>
      <c r="DX10" s="2">
        <f>-0.00669455961042313*(1)</f>
        <v>-6.6945596104231297E-3</v>
      </c>
      <c r="DY10" s="2">
        <f>0.00351129751483147*(1)</f>
        <v>3.51129751483147E-3</v>
      </c>
      <c r="DZ10" s="2">
        <f>0.0297129483535855*(1)</f>
        <v>2.9712948353585501E-2</v>
      </c>
      <c r="EA10" s="2">
        <f>-0.038354764173245*(1)</f>
        <v>-3.8354764173245001E-2</v>
      </c>
      <c r="EB10" s="2">
        <f>-0.00071624839782828*(1)</f>
        <v>-7.1624839782828003E-4</v>
      </c>
      <c r="EC10" s="2">
        <f>0.0222849185425041*(1)</f>
        <v>2.2284918542504101E-2</v>
      </c>
      <c r="ED10" s="2">
        <f>0.00209260565638686*(1)</f>
        <v>2.0926056563868602E-3</v>
      </c>
      <c r="EE10" s="2">
        <f>-0.00274396609809637*(1)</f>
        <v>-2.74396609809637E-3</v>
      </c>
      <c r="EF10" s="2">
        <f>-0.00187463215230147*(1)</f>
        <v>-1.87463215230147E-3</v>
      </c>
      <c r="EG10" s="2">
        <f>0.00300606393729348*(1)</f>
        <v>3.00606393729348E-3</v>
      </c>
      <c r="EH10" s="2">
        <f>-0.0108800686598957*(1)</f>
        <v>-1.08800686598957E-2</v>
      </c>
      <c r="EI10" s="2">
        <f>-0.00763833133307701*(1)</f>
        <v>-7.6383313330770104E-3</v>
      </c>
      <c r="EJ10" s="2">
        <f>0.0134319461030754*(1)</f>
        <v>1.3431946103075401E-2</v>
      </c>
      <c r="EK10" s="2">
        <f>-0.000759026556042984*(1)</f>
        <v>-7.59026556042984E-4</v>
      </c>
      <c r="EL10" s="2">
        <f>-0.0313150479492484*(1)</f>
        <v>-3.1315047949248401E-2</v>
      </c>
      <c r="EM10" s="2">
        <f>0.0300454195306684*(1)</f>
        <v>3.0045419530668398E-2</v>
      </c>
      <c r="EN10" s="2">
        <f>0.0176974377352449*(1)</f>
        <v>1.76974377352449E-2</v>
      </c>
      <c r="EO10" s="2">
        <f>-0.00139115037724774*(1)</f>
        <v>-1.3911503772477401E-3</v>
      </c>
      <c r="EP10" s="2">
        <f>0.0210154876588629*(1)</f>
        <v>2.1015487658862901E-2</v>
      </c>
      <c r="EQ10" s="2">
        <f>-0.0432836944065849*(1)</f>
        <v>-4.3283694406584902E-2</v>
      </c>
      <c r="ER10" s="2">
        <f>-0.0315339254619844*(1)</f>
        <v>-3.1533925461984399E-2</v>
      </c>
      <c r="ES10" s="2">
        <f>0.014790377770892*(1)</f>
        <v>1.4790377770892E-2</v>
      </c>
      <c r="ET10" s="2">
        <f>-0.0191670770441989*(1)</f>
        <v>-1.9167077044198899E-2</v>
      </c>
      <c r="EU10" s="2">
        <f>-0.00191665281031996*(1)</f>
        <v>-1.91665281031996E-3</v>
      </c>
      <c r="EV10" s="2">
        <f>0.00820586466225445*(1)</f>
        <v>8.2058646622544494E-3</v>
      </c>
      <c r="EW10" s="2">
        <f>0.0135792053232081*(1)</f>
        <v>1.35792053232081E-2</v>
      </c>
      <c r="EX10" s="2">
        <f>0.0208107251569683*(1)</f>
        <v>2.0810725156968302E-2</v>
      </c>
      <c r="EY10" s="2">
        <f>0.00898651263576342*(1)</f>
        <v>8.9865126357634197E-3</v>
      </c>
      <c r="EZ10" s="2">
        <f>0.00223368093228894*(1)</f>
        <v>2.2336809322889401E-3</v>
      </c>
      <c r="FA10" s="2">
        <f>-0.00508369389314131*(1)</f>
        <v>-5.0836938931413103E-3</v>
      </c>
      <c r="FB10" s="2">
        <f>0.0305037469305738*(1)</f>
        <v>3.05037469305738E-2</v>
      </c>
      <c r="FC10" s="2">
        <f>0.0285476066918444*(1)</f>
        <v>2.8547606691844401E-2</v>
      </c>
      <c r="FD10" s="2">
        <f>0.0312163951354375*(1)</f>
        <v>3.1216395135437499E-2</v>
      </c>
      <c r="FE10" s="2">
        <f>-0.0469829605088906*(1)</f>
        <v>-4.69829605088906E-2</v>
      </c>
      <c r="FF10" s="2">
        <f>0.0158388938031508*(1)</f>
        <v>1.5838893803150799E-2</v>
      </c>
      <c r="FG10" s="2">
        <f>0.016540179344042*(1)</f>
        <v>1.6540179344041998E-2</v>
      </c>
      <c r="FH10" s="2">
        <f>0.00811634473351132*(1)</f>
        <v>8.1163447335113204E-3</v>
      </c>
      <c r="FI10" s="2">
        <f>0.0349189066450799*(1)</f>
        <v>3.4918906645079899E-2</v>
      </c>
      <c r="FJ10" s="2">
        <f>0.00320812282123173*(1)</f>
        <v>3.2081228212317301E-3</v>
      </c>
      <c r="FK10" s="2">
        <f>-0.0067042700006196*(1)</f>
        <v>-6.7042700006195999E-3</v>
      </c>
      <c r="FL10" s="2">
        <f>-0.0368491134082632*(1)</f>
        <v>-3.6849113408263197E-2</v>
      </c>
      <c r="FM10" s="2">
        <f>0.0371649804662866*(1)</f>
        <v>3.71649804662866E-2</v>
      </c>
      <c r="FN10" s="2">
        <f>0.00299216873243131*(1)</f>
        <v>2.99216873243131E-3</v>
      </c>
      <c r="FO10" s="2">
        <f>-0.0331643886864036*(1)</f>
        <v>-3.3164388686403597E-2</v>
      </c>
      <c r="FP10" s="2">
        <f>-0.0180458982333863*(1)</f>
        <v>-1.8045898233386301E-2</v>
      </c>
      <c r="FQ10" s="2">
        <f>0.0385416869073766*(1)</f>
        <v>3.8541686907376603E-2</v>
      </c>
      <c r="FR10" s="2">
        <f>-0.00797140841351118*(1)</f>
        <v>-7.9714084135111794E-3</v>
      </c>
      <c r="FS10" s="2">
        <f>0.0118350686215307*(1)</f>
        <v>1.1835068621530701E-2</v>
      </c>
      <c r="FT10" s="2">
        <f>0.000890838674063625*(1)</f>
        <v>8.9083867406362504E-4</v>
      </c>
      <c r="FU10" s="2">
        <f>0.00682035520884511*(1)</f>
        <v>6.8203552088451098E-3</v>
      </c>
      <c r="FV10" s="2">
        <f>-0.00226870912538147*(1)</f>
        <v>-2.2687091253814698E-3</v>
      </c>
      <c r="FW10" s="2">
        <f>0.0530290993319875*(1)</f>
        <v>5.3029099331987503E-2</v>
      </c>
      <c r="FX10" s="2">
        <f>-0.0088284836159893*(1)</f>
        <v>-8.8284836159892993E-3</v>
      </c>
      <c r="FY10" s="2">
        <f>-0.0252581063303842*(1)</f>
        <v>-2.5258106330384202E-2</v>
      </c>
      <c r="FZ10" s="2">
        <f>-0.0301676287212671*(1)</f>
        <v>-3.01676287212671E-2</v>
      </c>
      <c r="GA10" s="2">
        <f>-0.0235995583619867*(1)</f>
        <v>-2.3599558361986701E-2</v>
      </c>
      <c r="GB10" s="2">
        <f>0.0115787312556727*(1)</f>
        <v>1.15787312556727E-2</v>
      </c>
      <c r="GC10" s="2">
        <f>-0.0514740082446769*(1)</f>
        <v>-5.1474008244676898E-2</v>
      </c>
      <c r="GD10" s="2">
        <f>-0.0151779080882851*(1)</f>
        <v>-1.51779080882851E-2</v>
      </c>
      <c r="GE10" s="2">
        <f>-0.0314909856771089*(1)</f>
        <v>-3.1490985677108903E-2</v>
      </c>
      <c r="GF10" s="2">
        <f>-0.0297079565184427*(1)</f>
        <v>-2.9707956518442699E-2</v>
      </c>
      <c r="GG10" s="2">
        <f>0.0142273589710593*(1)</f>
        <v>1.42273589710593E-2</v>
      </c>
      <c r="GH10" s="2">
        <f>-0.0294292068806316*(1)</f>
        <v>-2.9429206880631598E-2</v>
      </c>
      <c r="GI10" s="2">
        <f>-0.0252463837733444*(1)</f>
        <v>-2.52463837733444E-2</v>
      </c>
      <c r="GJ10" s="2">
        <f>0.0371634371584584*(1)</f>
        <v>3.71634371584584E-2</v>
      </c>
      <c r="GK10" s="2">
        <f>0.0275282740124745*(1)</f>
        <v>2.7528274012474499E-2</v>
      </c>
      <c r="GL10" s="2">
        <f>-0.00484488544170127*(1)</f>
        <v>-4.8448854417012703E-3</v>
      </c>
      <c r="GM10" s="2">
        <f>-0.00628468514661158*(1)</f>
        <v>-6.2846851466115796E-3</v>
      </c>
      <c r="GN10" s="2">
        <f>0.030066039930874*(1)</f>
        <v>3.0066039930873999E-2</v>
      </c>
      <c r="GO10" s="2">
        <f>-0.020990946895024*(1)</f>
        <v>-2.0990946895023999E-2</v>
      </c>
      <c r="GP10" s="2">
        <f>0.00773901688865573*(1)</f>
        <v>7.7390168886557302E-3</v>
      </c>
      <c r="GQ10" s="2">
        <f>0.00877461454682538*(1)</f>
        <v>8.7746145468253801E-3</v>
      </c>
      <c r="GR10" s="2">
        <f>-0.0162932070055509*(1)</f>
        <v>-1.6293207005550901E-2</v>
      </c>
      <c r="GS10" s="2">
        <f>0.032726312784798*(1)</f>
        <v>3.2726312784797998E-2</v>
      </c>
      <c r="GT10" s="2">
        <f>-0.00356599819158566*(1)</f>
        <v>-3.56599819158566E-3</v>
      </c>
      <c r="GU10" s="2">
        <f>0.00854595712454718*(1)</f>
        <v>8.5459571245471797E-3</v>
      </c>
      <c r="GV10" s="2">
        <f>0.0109095370598974*(1)</f>
        <v>1.09095370598974E-2</v>
      </c>
      <c r="GW10" s="2">
        <f>-0.0227628608396211*(1)</f>
        <v>-2.2762860839621101E-2</v>
      </c>
      <c r="GX10" s="2">
        <f>-0.0161740102582153*(1)</f>
        <v>-1.6174010258215299E-2</v>
      </c>
      <c r="GY10" s="2">
        <f>0.00346870192517129*(1)</f>
        <v>3.4687019251712901E-3</v>
      </c>
      <c r="GZ10" s="2">
        <f>-0.0161632007878952*(1)</f>
        <v>-1.61632007878952E-2</v>
      </c>
      <c r="HA10" s="2">
        <f>-0.0318271911964356*(1)</f>
        <v>-3.1827191196435602E-2</v>
      </c>
      <c r="HB10" s="2">
        <f>0.0322138366861265*(1)</f>
        <v>3.2213836686126499E-2</v>
      </c>
      <c r="HC10" s="2">
        <f>-0.0150930637267429*(1)</f>
        <v>-1.5093063726742901E-2</v>
      </c>
      <c r="HD10" s="2">
        <f>-0.00620717970170642*(1)</f>
        <v>-6.2071797017064197E-3</v>
      </c>
      <c r="HE10" s="2">
        <f>0.0194048931026428*(1)</f>
        <v>1.94048931026428E-2</v>
      </c>
      <c r="HF10" s="2">
        <f>-0.0199818817542689*(1)</f>
        <v>-1.9981881754268901E-2</v>
      </c>
      <c r="HG10" s="2">
        <f>-0.0370527535485339*(1)</f>
        <v>-3.70527535485339E-2</v>
      </c>
      <c r="HH10" s="2">
        <f>0.00835847401205573*(1)</f>
        <v>8.3584740120557308E-3</v>
      </c>
      <c r="HI10" s="2">
        <f>0.0135405157312642*(1)</f>
        <v>1.35405157312642E-2</v>
      </c>
      <c r="HJ10" s="2">
        <f>0.00031822704844918*(1)</f>
        <v>3.1822704844918003E-4</v>
      </c>
      <c r="HK10" s="2">
        <f>-0.0136996011842415*(1)</f>
        <v>-1.3699601184241499E-2</v>
      </c>
      <c r="HL10" s="2">
        <f>-0.00903882862513686*(1)</f>
        <v>-9.0388286251368594E-3</v>
      </c>
      <c r="HM10" s="2">
        <f>0.0127227967627126*(1)</f>
        <v>1.2722796762712599E-2</v>
      </c>
      <c r="HN10" s="2">
        <f>0.0207341751423605*(1)</f>
        <v>2.0734175142360499E-2</v>
      </c>
      <c r="HO10" s="2">
        <f>0.00502123702953237*(1)</f>
        <v>5.02123702953237E-3</v>
      </c>
      <c r="HP10" s="2">
        <f>0.043660558793731*(1)</f>
        <v>4.3660558793731E-2</v>
      </c>
      <c r="HQ10" s="2">
        <f>-0.00772424842060655*(1)</f>
        <v>-7.72424842060655E-3</v>
      </c>
      <c r="HR10" s="2">
        <f>-0.00401886262377708*(1)</f>
        <v>-4.0188626237770801E-3</v>
      </c>
      <c r="HS10" s="2">
        <f>0.0154220019608511*(1)</f>
        <v>1.5422001960851099E-2</v>
      </c>
      <c r="HT10" s="2">
        <f>0.00638777093927634*(1)</f>
        <v>6.3877709392763399E-3</v>
      </c>
      <c r="HU10" s="2">
        <f>-0.0145010592497966*(1)</f>
        <v>-1.45010592497966E-2</v>
      </c>
      <c r="HV10" s="2">
        <f>-0.0342285505622695*(1)</f>
        <v>-3.4228550562269498E-2</v>
      </c>
      <c r="HW10" s="2">
        <f>0.0204508973537533*(1)</f>
        <v>2.04508973537533E-2</v>
      </c>
      <c r="HX10" s="2">
        <f>0.000377500106520855*(1)</f>
        <v>3.7750010652085498E-4</v>
      </c>
      <c r="HY10" s="2">
        <f>-0.00524820098305177*(1)</f>
        <v>-5.2482009830517699E-3</v>
      </c>
      <c r="HZ10" s="2">
        <f>-0.0783892762447773*(1)</f>
        <v>-7.8389276244777303E-2</v>
      </c>
      <c r="IA10" s="2">
        <f>-0.0265778925304597*(1)</f>
        <v>-2.6577892530459699E-2</v>
      </c>
      <c r="IB10" s="2">
        <f>0.0475415901850884*(1)</f>
        <v>4.7541590185088398E-2</v>
      </c>
      <c r="IC10" s="2">
        <f>-0.042863808943937*(1)</f>
        <v>-4.2863808943937001E-2</v>
      </c>
      <c r="ID10" s="2">
        <f>0.0478450894491185*(1)</f>
        <v>4.78450894491185E-2</v>
      </c>
      <c r="IE10" s="2">
        <f>0.0236990669076085*(1)</f>
        <v>2.36990669076085E-2</v>
      </c>
      <c r="IF10" s="2">
        <f>0.0253465428932756*(1)</f>
        <v>2.5346542893275599E-2</v>
      </c>
      <c r="IG10" s="2">
        <f>-0.0165720147008704*(1)</f>
        <v>-1.6572014700870399E-2</v>
      </c>
      <c r="IH10" s="2">
        <f>0.0323969134387848*(1)</f>
        <v>3.23969134387848E-2</v>
      </c>
      <c r="II10" s="2">
        <f>0.0143137422151126*(1)</f>
        <v>1.43137422151126E-2</v>
      </c>
      <c r="IJ10" s="2">
        <f>-0.0590875520891027*(1)</f>
        <v>-5.9087552089102699E-2</v>
      </c>
      <c r="IK10" s="2">
        <f>0.00762397393348292*(1)</f>
        <v>7.6239739334829203E-3</v>
      </c>
      <c r="IL10" s="2">
        <f>-0.000658916151359745*(1)</f>
        <v>-6.58916151359745E-4</v>
      </c>
      <c r="IM10" s="2">
        <f>0.00438305496444922*(1)</f>
        <v>4.3830549644492201E-3</v>
      </c>
      <c r="IN10" s="2">
        <f>-0.00251765362500909*(1)</f>
        <v>-2.51765362500909E-3</v>
      </c>
      <c r="IO10" s="2">
        <f>-0.0372045701622589*(1)</f>
        <v>-3.72045701622589E-2</v>
      </c>
      <c r="IP10" s="2">
        <f>0.0394774203450287*(1)</f>
        <v>3.9477420345028699E-2</v>
      </c>
      <c r="IQ10" s="2">
        <f>0.0342691842091218*(1)</f>
        <v>3.4269184209121797E-2</v>
      </c>
      <c r="IR10" s="2">
        <f>0.0000524423829422702*(1)</f>
        <v>5.2442382942270203E-5</v>
      </c>
      <c r="IS10" s="2">
        <f>0.0422223311562112*(1)</f>
        <v>4.2222331156211199E-2</v>
      </c>
      <c r="IT10" s="2">
        <f>-0.0257989301380209*(1)</f>
        <v>-2.5798930138020901E-2</v>
      </c>
      <c r="IU10" s="2">
        <f>-0.0243345749803819*(1)</f>
        <v>-2.4334574980381898E-2</v>
      </c>
      <c r="IV10" s="2">
        <f>0.0152131447674204*(1)</f>
        <v>1.5213144767420399E-2</v>
      </c>
      <c r="IW10" s="2">
        <f>-0.00670795726559068*(1)</f>
        <v>-6.7079572655906802E-3</v>
      </c>
      <c r="IX10" s="2">
        <f>-0.00845652921554683*(1)</f>
        <v>-8.4565292155468295E-3</v>
      </c>
      <c r="IY10" s="2">
        <f>-0.00989823359258728*(1)</f>
        <v>-9.8982335925872807E-3</v>
      </c>
      <c r="IZ10" s="2">
        <f>-0.0287214942116461*(1)</f>
        <v>-2.87214942116461E-2</v>
      </c>
      <c r="JA10" s="2">
        <f>0.0638777130676653*(1)</f>
        <v>6.3877713067665307E-2</v>
      </c>
      <c r="JB10" s="2">
        <f>0.0333736862214268*(1)</f>
        <v>3.33736862214268E-2</v>
      </c>
      <c r="JC10" s="2">
        <f>-0.00496798548736903*(1)</f>
        <v>-4.96798548736903E-3</v>
      </c>
      <c r="JD10" s="2">
        <f>0.0438668205795027*(1)</f>
        <v>4.3866820579502697E-2</v>
      </c>
      <c r="JE10" s="2">
        <f>0.00843914229391905*(1)</f>
        <v>8.4391422939190507E-3</v>
      </c>
      <c r="JF10" s="2">
        <f>0.0502699169249566*(1)</f>
        <v>5.0269916924956602E-2</v>
      </c>
      <c r="JG10" s="2">
        <f>-0.00805367732827155*(1)</f>
        <v>-8.0536773282715492E-3</v>
      </c>
      <c r="JH10" s="2">
        <f>-0.0101658899674535*(1)</f>
        <v>-1.01658899674535E-2</v>
      </c>
      <c r="JI10" s="2">
        <f>-0.0507574981413274*(1)</f>
        <v>-5.0757498141327399E-2</v>
      </c>
      <c r="JJ10" s="2">
        <f>-0.0473713571387336*(1)</f>
        <v>-4.7371357138733597E-2</v>
      </c>
      <c r="JK10" s="2">
        <f>-0.0315846740016991*(1)</f>
        <v>-3.1584674001699099E-2</v>
      </c>
      <c r="JL10" s="2">
        <f>-0.0135140284216296*(1)</f>
        <v>-1.35140284216296E-2</v>
      </c>
      <c r="JM10" s="2">
        <f>0.0201610889733301*(1)</f>
        <v>2.0161088973330101E-2</v>
      </c>
      <c r="JN10" s="2">
        <f>-0.00679793588685981*(1)</f>
        <v>-6.7979358868598102E-3</v>
      </c>
      <c r="JO10" s="2">
        <f>-0.0298954129638552*(1)</f>
        <v>-2.98954129638552E-2</v>
      </c>
      <c r="JP10" s="2">
        <f>-0.0200183111644115*(1)</f>
        <v>-2.0018311164411499E-2</v>
      </c>
      <c r="JQ10" s="2">
        <f>0.00990432712664526*(1)</f>
        <v>9.9043271266452595E-3</v>
      </c>
      <c r="JR10" s="2">
        <f>-0.0103960417999727*(1)</f>
        <v>-1.0396041799972699E-2</v>
      </c>
      <c r="JS10" s="2">
        <f>-0.00894083162061065*(1)</f>
        <v>-8.9408316206106495E-3</v>
      </c>
      <c r="JT10" s="2">
        <f>-0.0229258025291305*(1)</f>
        <v>-2.2925802529130498E-2</v>
      </c>
      <c r="JU10" s="2">
        <f>-0.083196916234063*(1)</f>
        <v>-8.3196916234063001E-2</v>
      </c>
      <c r="JV10" s="2">
        <f>-0.176236041301561*(1)</f>
        <v>-0.17623604130156101</v>
      </c>
      <c r="JW10" s="2">
        <f>0.0194377322136135*(1)</f>
        <v>1.9437732213613501E-2</v>
      </c>
      <c r="JX10" s="2">
        <f>0.115320833657636*(1)</f>
        <v>0.115320833657636</v>
      </c>
      <c r="JY10" s="2">
        <f>-0.0307664786924993*(1)</f>
        <v>-3.0766478692499301E-2</v>
      </c>
      <c r="JZ10" s="2">
        <f>-0.0385806560343835*(1)</f>
        <v>-3.8580656034383501E-2</v>
      </c>
      <c r="KA10" s="2">
        <f>-0.0499512197595842*(1)</f>
        <v>-4.9951219759584199E-2</v>
      </c>
      <c r="KB10" s="2">
        <f>-0.0241719293214472*(1)</f>
        <v>-2.41719293214472E-2</v>
      </c>
      <c r="KC10" s="2">
        <f>0.0987605385889666*(1)</f>
        <v>9.8760538588966607E-2</v>
      </c>
      <c r="KD10" s="2">
        <f>-0.014060389382233*(1)</f>
        <v>-1.4060389382233E-2</v>
      </c>
      <c r="KE10" s="2">
        <f>-0.0547355270835478*(1)</f>
        <v>-5.47355270835478E-2</v>
      </c>
      <c r="KF10" s="2">
        <f>-0.0313849271252158*(1)</f>
        <v>-3.1384927125215803E-2</v>
      </c>
      <c r="KG10" s="2">
        <f>-0.124662717462582*(1)</f>
        <v>-0.12466271746258201</v>
      </c>
      <c r="KH10" s="2">
        <f>0.204030385904001*(1)</f>
        <v>0.20403038590400099</v>
      </c>
      <c r="KI10" s="2">
        <f>0.0259844676827022*(1)</f>
        <v>2.5984467682702201E-2</v>
      </c>
      <c r="KJ10" s="2">
        <f>-0.0239838468028326*(1)</f>
        <v>-2.3983846802832599E-2</v>
      </c>
      <c r="KK10" s="2">
        <f>0.00269118705115869*(1)</f>
        <v>2.69118705115869E-3</v>
      </c>
      <c r="KL10" s="2">
        <f>0.00122247908465705*(1)</f>
        <v>1.2224790846570501E-3</v>
      </c>
      <c r="KM10" s="2">
        <f>-0.0191977541169738*(1)</f>
        <v>-1.91977541169738E-2</v>
      </c>
      <c r="KN10" s="2">
        <f>0.00737135756745922*(1)</f>
        <v>7.3713575674592196E-3</v>
      </c>
      <c r="KO10" s="2">
        <f>0.0467190558970199*(1)</f>
        <v>4.6719055897019898E-2</v>
      </c>
      <c r="KP10" s="2">
        <f>0.0113793196679522*(1)</f>
        <v>1.1379319667952199E-2</v>
      </c>
      <c r="KQ10" s="2">
        <f>-0.0316070268388901*(1)</f>
        <v>-3.16070268388901E-2</v>
      </c>
      <c r="KR10" s="2">
        <f>-0.00632227700490295*(1)</f>
        <v>-6.3222770049029499E-3</v>
      </c>
      <c r="KS10" s="2">
        <f>0.0100140746356628*(1)</f>
        <v>1.00140746356628E-2</v>
      </c>
      <c r="KT10" s="2">
        <f>0.00994836931380335*(1)</f>
        <v>9.9483693138033499E-3</v>
      </c>
      <c r="KU10" s="2">
        <f>-0.00209160172176093*(1)</f>
        <v>-2.0916017217609299E-3</v>
      </c>
      <c r="KV10" s="2">
        <f>-0.0708078896600137*(1)</f>
        <v>-7.0807889660013695E-2</v>
      </c>
      <c r="KW10" s="2">
        <f>0.0281159156928425*(1)</f>
        <v>2.81159156928425E-2</v>
      </c>
      <c r="KX10" s="2">
        <f>-0.0565892833299282*(1)</f>
        <v>-5.65892833299282E-2</v>
      </c>
      <c r="KY10" s="2">
        <f>0.0541533243199827*(1)</f>
        <v>5.4153324319982703E-2</v>
      </c>
      <c r="KZ10" s="2">
        <f>-0.0617689863596855*(1)</f>
        <v>-6.1768986359685502E-2</v>
      </c>
      <c r="LA10" s="2">
        <f>-0.0178911649598897*(1)</f>
        <v>-1.78911649598897E-2</v>
      </c>
      <c r="LB10" s="2">
        <f>0.00386923600970448*(1)</f>
        <v>3.8692360097044801E-3</v>
      </c>
      <c r="LC10" s="2">
        <f>0.0886502703530468*(1)</f>
        <v>8.8650270353046803E-2</v>
      </c>
      <c r="LD10" s="2">
        <f>0.0124077022950302*(1)</f>
        <v>1.24077022950302E-2</v>
      </c>
      <c r="LE10" s="2">
        <f>0.0396223347528833*(1)</f>
        <v>3.9622334752883299E-2</v>
      </c>
      <c r="LF10" s="2">
        <f>-0.0327204629943959*(1)</f>
        <v>-3.2720462994395898E-2</v>
      </c>
      <c r="LG10" s="2">
        <f>-0.0251940429289471*(1)</f>
        <v>-2.51940429289471E-2</v>
      </c>
      <c r="LH10" s="2">
        <f>0.0505650165562663*(1)</f>
        <v>5.0565016556266301E-2</v>
      </c>
      <c r="LI10" s="2">
        <f>0.00996097102747179*(1)</f>
        <v>9.9609710274717895E-3</v>
      </c>
      <c r="LJ10" s="2">
        <f>0.00712087753006114*(1)</f>
        <v>7.1208775300611402E-3</v>
      </c>
      <c r="LK10" s="2">
        <f>0.0153068659403179*(1)</f>
        <v>1.5306865940317899E-2</v>
      </c>
      <c r="LL10" s="2">
        <f>0.0126039661462111*(1)</f>
        <v>1.26039661462111E-2</v>
      </c>
      <c r="LM10" s="2">
        <f>-0.0277252773217805*(1)</f>
        <v>-2.7725277321780501E-2</v>
      </c>
      <c r="LN10" s="2">
        <f>-0.0201843210324383*(1)</f>
        <v>-2.01843210324383E-2</v>
      </c>
      <c r="LO10" s="2">
        <f>-0.0404439583629877*(1)</f>
        <v>-4.0443958362987698E-2</v>
      </c>
      <c r="LP10" s="2">
        <f>0.0189347218776869*(1)</f>
        <v>1.89347218776869E-2</v>
      </c>
      <c r="LQ10" s="2">
        <f>-0.0272224554680762*(1)</f>
        <v>-2.7222455468076199E-2</v>
      </c>
      <c r="LR10" s="2">
        <f>-0.0129144563759156*(1)</f>
        <v>-1.29144563759156E-2</v>
      </c>
      <c r="LS10" s="2">
        <f>-0.00220702953753482*(1)</f>
        <v>-2.2070295375348201E-3</v>
      </c>
      <c r="LT10" s="2">
        <f>-0.0253879847876832*(1)</f>
        <v>-2.5387984787683199E-2</v>
      </c>
      <c r="LU10" s="2">
        <f>-0.00278502139897472*(1)</f>
        <v>-2.78502139897472E-3</v>
      </c>
      <c r="LV10" s="2">
        <f>0.0288654410200825*(1)</f>
        <v>2.88654410200825E-2</v>
      </c>
      <c r="LW10" s="2">
        <f>0.00925747940684999*(1)</f>
        <v>9.2574794068499902E-3</v>
      </c>
      <c r="LX10" s="2">
        <f>-0.008276530882095*(1)</f>
        <v>-8.2765308820950002E-3</v>
      </c>
      <c r="LY10" s="2">
        <f>-0.0270546613042845*(1)</f>
        <v>-2.7054661304284501E-2</v>
      </c>
      <c r="LZ10" s="2">
        <f>0.0535805199159382*(1)</f>
        <v>5.35805199159382E-2</v>
      </c>
      <c r="MA10" s="2">
        <f>0.0147249425667392*(1)</f>
        <v>1.47249425667392E-2</v>
      </c>
      <c r="MB10" s="2">
        <f>0.00882978612970556*(1)</f>
        <v>8.8297861297055597E-3</v>
      </c>
      <c r="MC10" s="2">
        <f>0.0265630996774032*(1)</f>
        <v>2.6563099677403199E-2</v>
      </c>
      <c r="MD10" s="2">
        <f>-0.016871785652246*(1)</f>
        <v>-1.6871785652246001E-2</v>
      </c>
      <c r="ME10" s="2">
        <f>0.0116688353372856*(1)</f>
        <v>1.1668835337285599E-2</v>
      </c>
      <c r="MF10" s="2">
        <f>-0.0065970310143554*(1)</f>
        <v>-6.5970310143554003E-3</v>
      </c>
      <c r="MG10" s="2">
        <f>-0.0141865843211734*(1)</f>
        <v>-1.4186584321173401E-2</v>
      </c>
      <c r="MH10" s="2">
        <f>0.0307167114002964*(1)</f>
        <v>3.0716711400296401E-2</v>
      </c>
      <c r="MI10" s="2">
        <f>-0.0259680890817739*(1)</f>
        <v>-2.59680890817739E-2</v>
      </c>
      <c r="MJ10" s="2">
        <f>0.000200484313917531*(1)</f>
        <v>2.0048431391753101E-4</v>
      </c>
      <c r="MK10" s="2">
        <f>-0.0145684782220882*(1)</f>
        <v>-1.45684782220882E-2</v>
      </c>
      <c r="ML10" s="2">
        <f>-0.00816858208379717*(1)</f>
        <v>-8.1685820837971695E-3</v>
      </c>
      <c r="MM10" s="2">
        <f>0.0099502401918489*(1)</f>
        <v>9.9502401918489004E-3</v>
      </c>
      <c r="MN10" s="2">
        <f>0.00231630741184066*(1)</f>
        <v>2.3163074118406602E-3</v>
      </c>
      <c r="MO10" s="2">
        <f>0.0126720565755059*(1)</f>
        <v>1.2672056575505901E-2</v>
      </c>
      <c r="MP10" s="2">
        <f>0.00204966253465019*(1)</f>
        <v>2.0496625346501898E-3</v>
      </c>
      <c r="MQ10" s="2">
        <f>-0.0273224129621426*(1)</f>
        <v>-2.7322412962142599E-2</v>
      </c>
      <c r="MR10" s="2">
        <f>-0.0263412998596784*(1)</f>
        <v>-2.63412998596784E-2</v>
      </c>
      <c r="MS10" s="2">
        <f>-0.0076321720636924*(1)</f>
        <v>-7.6321720636923999E-3</v>
      </c>
      <c r="MT10" s="2">
        <f>-0.029464963324024*(1)</f>
        <v>-2.9464963324023999E-2</v>
      </c>
      <c r="MU10" s="2">
        <f>0.0318697214088875*(1)</f>
        <v>3.1869721408887497E-2</v>
      </c>
      <c r="MV10" s="2">
        <f>-0.000403915803800739*(1)</f>
        <v>-4.0391580380073899E-4</v>
      </c>
      <c r="MW10" s="2">
        <f>0.0222510281735515*(1)</f>
        <v>2.2251028173551499E-2</v>
      </c>
      <c r="MX10" s="2">
        <f>-0.00565905006232007*(1)</f>
        <v>-5.6590500623200698E-3</v>
      </c>
      <c r="MY10" s="2">
        <f>-0.00184141466064466*(1)</f>
        <v>-1.8414146606446601E-3</v>
      </c>
      <c r="MZ10" s="2">
        <f>-0.0173234153257605*(1)</f>
        <v>-1.73234153257605E-2</v>
      </c>
      <c r="NA10" s="2">
        <f>-0.0280427120685242*(1)</f>
        <v>-2.8042712068524201E-2</v>
      </c>
      <c r="NB10" s="2">
        <f>0.0430865380604663*(1)</f>
        <v>4.3086538060466299E-2</v>
      </c>
      <c r="NC10" s="2">
        <f>-0.0400675038785377*(1)</f>
        <v>-4.0067503878537698E-2</v>
      </c>
      <c r="ND10" s="2">
        <f>0.0311058285637382*(1)</f>
        <v>3.1105828563738201E-2</v>
      </c>
      <c r="NE10" s="2">
        <f>-0.0214774163124157*(1)</f>
        <v>-2.14774163124157E-2</v>
      </c>
      <c r="NF10" s="2">
        <f>-0.0210845889515886*(1)</f>
        <v>-2.1084588951588601E-2</v>
      </c>
      <c r="NG10" s="2">
        <f>0.0174895009351514*(1)</f>
        <v>1.7489500935151399E-2</v>
      </c>
      <c r="NH10" s="2">
        <f>-0.0130886760397717*(1)</f>
        <v>-1.30886760397717E-2</v>
      </c>
      <c r="NI10" s="2">
        <f>0.00914311828727698*(1)</f>
        <v>9.1431182872769804E-3</v>
      </c>
      <c r="NJ10" s="2">
        <f>-0.0636356578707604*(1)</f>
        <v>-6.3635657870760406E-2</v>
      </c>
      <c r="NK10" s="2">
        <f>0.0219674759141949*(1)</f>
        <v>2.1967475914194901E-2</v>
      </c>
      <c r="NL10" s="2">
        <f>-0.023956620798023*(1)</f>
        <v>-2.3956620798023E-2</v>
      </c>
      <c r="NM10" s="2">
        <f>-0.00393065397275842*(1)</f>
        <v>-3.9306539727584199E-3</v>
      </c>
      <c r="NN10" s="2">
        <f>-0.000472221626743795*(1)</f>
        <v>-4.7222162674379498E-4</v>
      </c>
      <c r="NO10" s="2">
        <f>0.0158933471446918*(1)</f>
        <v>1.5893347144691799E-2</v>
      </c>
      <c r="NP10" s="2">
        <f>0.020102678141143*(1)</f>
        <v>2.0102678141142999E-2</v>
      </c>
      <c r="NQ10" s="2">
        <f>0.00606671816264603*(1)</f>
        <v>6.0667181626460299E-3</v>
      </c>
      <c r="NR10" s="2">
        <f>-0.00567358788672624*(1)</f>
        <v>-5.6735878867262401E-3</v>
      </c>
      <c r="NS10" s="2">
        <f>-0.0133292432765899*(1)</f>
        <v>-1.33292432765899E-2</v>
      </c>
      <c r="NT10" s="2">
        <f>0.0332337072160568*(1)</f>
        <v>3.3233707216056799E-2</v>
      </c>
      <c r="NU10" s="2">
        <f>-0.0156654187801605*(1)</f>
        <v>-1.5665418780160499E-2</v>
      </c>
      <c r="NV10" s="2">
        <f>-0.0387921839792396*(1)</f>
        <v>-3.87921839792396E-2</v>
      </c>
      <c r="NW10" s="2">
        <f>0.0181666960133175*(1)</f>
        <v>1.8166696013317499E-2</v>
      </c>
      <c r="NX10" s="2">
        <f>0.00950208042459781*(1)</f>
        <v>9.5020804245978096E-3</v>
      </c>
      <c r="NY10" s="2">
        <f>0.00749390139253875*(1)</f>
        <v>7.4939013925387496E-3</v>
      </c>
      <c r="NZ10" s="2">
        <f>0.0157838805738309*(1)</f>
        <v>1.57838805738309E-2</v>
      </c>
      <c r="OA10" s="2">
        <f>-0.0132352817487566*(1)</f>
        <v>-1.32352817487566E-2</v>
      </c>
      <c r="OB10" s="2">
        <f>0.0176465723081707*(1)</f>
        <v>1.76465723081707E-2</v>
      </c>
      <c r="OC10" s="2">
        <f>0.00506132658107803*(1)</f>
        <v>5.06132658107803E-3</v>
      </c>
      <c r="OD10" s="2">
        <f>0.00535228855864621*(1)</f>
        <v>5.3522885586462102E-3</v>
      </c>
      <c r="OE10" s="2">
        <f>-0.0442927619517017*(1)</f>
        <v>-4.4292761951701697E-2</v>
      </c>
      <c r="OF10" s="2">
        <f>0.00498563873334319*(1)</f>
        <v>4.9856387333431897E-3</v>
      </c>
      <c r="OG10" s="2">
        <f>0.0320516136227729*(1)</f>
        <v>3.2051613622772902E-2</v>
      </c>
      <c r="OH10" s="2">
        <f>-0.0361365499747005*(1)</f>
        <v>-3.6136549974700498E-2</v>
      </c>
      <c r="OI10" s="2">
        <f>-0.0159656971252953*(1)</f>
        <v>-1.5965697125295299E-2</v>
      </c>
      <c r="OJ10" s="2">
        <f>-0.0276444003598233*(1)</f>
        <v>-2.7644400359823299E-2</v>
      </c>
      <c r="OK10" s="2">
        <f>-0.0077630593399935*(1)</f>
        <v>-7.7630593399934996E-3</v>
      </c>
      <c r="OL10" s="2">
        <f>-0.053943209226136*(1)</f>
        <v>-5.3943209226135998E-2</v>
      </c>
      <c r="OM10" s="2">
        <f>0.00835284351577508*(1)</f>
        <v>8.3528435157750793E-3</v>
      </c>
      <c r="ON10" s="2">
        <f>-0.0266345272508688*(1)</f>
        <v>-2.66345272508688E-2</v>
      </c>
      <c r="OO10" s="2">
        <f>0.0142977952561235*(1)</f>
        <v>1.4297795256123499E-2</v>
      </c>
      <c r="OP10" s="2">
        <f>0.0300804585142711*(1)</f>
        <v>3.0080458514271099E-2</v>
      </c>
      <c r="OQ10" s="2">
        <f>0.0128620156052741*(1)</f>
        <v>1.2862015605274099E-2</v>
      </c>
      <c r="OR10" s="2">
        <f>-0.0275695639650752*(1)</f>
        <v>-2.7569563965075199E-2</v>
      </c>
      <c r="OS10" s="2">
        <f>-0.0014498962226076*(1)</f>
        <v>-1.4498962226076001E-3</v>
      </c>
      <c r="OT10" s="2">
        <f>-0.00817576971965933*(1)</f>
        <v>-8.1757697196593298E-3</v>
      </c>
      <c r="OU10" s="2">
        <f>0.0117282553745661*(1)</f>
        <v>1.17282553745661E-2</v>
      </c>
      <c r="OV10" s="2">
        <f>-0.00999312058150222*(1)</f>
        <v>-9.9931205815022208E-3</v>
      </c>
      <c r="OW10" s="2">
        <f>0.0187921757490338*(1)</f>
        <v>1.8792175749033802E-2</v>
      </c>
      <c r="OX10" s="2">
        <f>-0.0420440010141661*(1)</f>
        <v>-4.2044001014166103E-2</v>
      </c>
      <c r="OY10" s="2">
        <f>0.0357791824183695*(1)</f>
        <v>3.5779182418369498E-2</v>
      </c>
      <c r="OZ10" s="2">
        <f>0.0231644602798409*(1)</f>
        <v>2.3164460279840898E-2</v>
      </c>
      <c r="PA10" s="2">
        <f>0.00446169608609116*(1)</f>
        <v>4.4616960860911596E-3</v>
      </c>
      <c r="PB10" s="2">
        <f>-0.0193327802985463*(1)</f>
        <v>-1.93327802985463E-2</v>
      </c>
      <c r="PC10" s="2">
        <f>0.0386190701273768*(1)</f>
        <v>3.8619070127376802E-2</v>
      </c>
      <c r="PD10" s="2">
        <f>-0.0120730972573601*(1)</f>
        <v>-1.20730972573601E-2</v>
      </c>
      <c r="PE10" s="2">
        <f>-0.0416843774795804*(1)</f>
        <v>-4.1684377479580398E-2</v>
      </c>
      <c r="PF10" s="2">
        <f>0.0230149949407115*(1)</f>
        <v>2.3014994940711499E-2</v>
      </c>
      <c r="PG10" s="2">
        <f>0.0104099252189093*(1)</f>
        <v>1.0409925218909301E-2</v>
      </c>
      <c r="PH10" s="2">
        <f>0.00662986995366372*(1)</f>
        <v>6.6298699536637201E-3</v>
      </c>
      <c r="PI10" s="2">
        <f>-0.00902685448950102*(1)</f>
        <v>-9.0268544895010204E-3</v>
      </c>
      <c r="PJ10" s="2">
        <f>-0.0315164022296056*(1)</f>
        <v>-3.1516402229605597E-2</v>
      </c>
      <c r="PK10" s="2">
        <f>0.186991673103*(1)</f>
        <v>0.18699167310299999</v>
      </c>
      <c r="PL10" s="2">
        <f>-0.00230198041475441*(1)</f>
        <v>-2.30198041475441E-3</v>
      </c>
      <c r="PM10" s="2">
        <f>-0.0538290495143875*(1)</f>
        <v>-5.3829049514387502E-2</v>
      </c>
      <c r="PN10" s="2">
        <f>-0.0202340523062815*(1)</f>
        <v>-2.0234052306281499E-2</v>
      </c>
      <c r="PO10" s="2">
        <f>-0.0175285961696801*(1)</f>
        <v>-1.75285961696801E-2</v>
      </c>
      <c r="PP10" s="2">
        <f>-0.0318812050954574*(1)</f>
        <v>-3.1881205095457402E-2</v>
      </c>
      <c r="PQ10" s="2">
        <f>0.101130238861209*(1)</f>
        <v>0.101130238861209</v>
      </c>
      <c r="PR10" s="2">
        <f>0.055810821813158*(1)</f>
        <v>5.5810821813158003E-2</v>
      </c>
      <c r="PS10" s="2">
        <f>-0.00265410368110651*(1)</f>
        <v>-2.6541036811065098E-3</v>
      </c>
      <c r="PT10" s="2">
        <f>0.0375376164255442*(1)</f>
        <v>3.75376164255442E-2</v>
      </c>
      <c r="PU10" s="2">
        <f>0.0280972857377648*(1)</f>
        <v>2.80972857377648E-2</v>
      </c>
      <c r="PV10" s="2">
        <f>-0.014820452187731*(1)</f>
        <v>-1.4820452187731E-2</v>
      </c>
      <c r="PW10" s="2">
        <f>-0.00443146935951171*(1)</f>
        <v>-4.4314693595117098E-3</v>
      </c>
      <c r="PX10" s="2">
        <f>-0.00626945119910869*(1)</f>
        <v>-6.2694511991086901E-3</v>
      </c>
      <c r="PY10" s="2">
        <f>0.00488925032370423*(1)</f>
        <v>4.8892503237042296E-3</v>
      </c>
      <c r="PZ10" s="2">
        <f>-0.000124662146290657*(1)</f>
        <v>-1.2466214629065699E-4</v>
      </c>
      <c r="QA10" s="2">
        <f>0.000901748961673465*(1)</f>
        <v>9.01748961673465E-4</v>
      </c>
      <c r="QB10" s="2">
        <f>0.0201195845384067*(1)</f>
        <v>2.0119584538406701E-2</v>
      </c>
      <c r="QC10" s="2">
        <f>0.0221776655196567*(1)</f>
        <v>2.2177665519656699E-2</v>
      </c>
      <c r="QD10" s="2">
        <f>-0.0305647603859005*(1)</f>
        <v>-3.0564760385900499E-2</v>
      </c>
      <c r="QE10" s="2">
        <f>0.0353868929287169*(1)</f>
        <v>3.5386892928716898E-2</v>
      </c>
      <c r="QF10" s="2">
        <f>0.00239296617963759*(1)</f>
        <v>2.3929661796375898E-3</v>
      </c>
      <c r="QG10" s="2">
        <f>0.00511930900495369*(1)</f>
        <v>5.1193090049536901E-3</v>
      </c>
      <c r="QH10" s="2">
        <f>0.0585023179998718*(1)</f>
        <v>5.8502317999871802E-2</v>
      </c>
      <c r="QI10" s="2">
        <f>0.0340257946913179*(1)</f>
        <v>3.4025794691317897E-2</v>
      </c>
      <c r="QJ10" s="2">
        <f>0.015732740439281*(1)</f>
        <v>1.5732740439280999E-2</v>
      </c>
      <c r="QK10" s="2">
        <f>0.00876594584703466*(1)</f>
        <v>8.7659458470346601E-3</v>
      </c>
      <c r="QL10" s="2">
        <f>-0.0363869415781544*(1)</f>
        <v>-3.6386941578154398E-2</v>
      </c>
      <c r="QM10" s="2">
        <f>0.0303822305022437*(1)</f>
        <v>3.0382230502243701E-2</v>
      </c>
      <c r="QN10" s="2">
        <f>-0.00864699313638971*(1)</f>
        <v>-8.6469931363897107E-3</v>
      </c>
      <c r="QO10" s="2">
        <f>0.0081725421378235*(1)</f>
        <v>8.1725421378235005E-3</v>
      </c>
      <c r="QP10" s="2">
        <f>0.0035206212566236*(1)</f>
        <v>3.5206212566235998E-3</v>
      </c>
      <c r="QQ10" s="2">
        <f>-0.00219572477999673*(1)</f>
        <v>-2.19572477999673E-3</v>
      </c>
      <c r="QR10" s="2">
        <f>0.00121500383870217*(1)</f>
        <v>1.2150038387021701E-3</v>
      </c>
      <c r="QS10" s="2">
        <f>-0.011519828573808*(1)</f>
        <v>-1.1519828573808E-2</v>
      </c>
      <c r="QT10" s="2">
        <f>-0.0492832898971715*(1)</f>
        <v>-4.9283289897171498E-2</v>
      </c>
      <c r="QU10" s="2">
        <f>0.00830112706080376*(1)</f>
        <v>8.3011270608037598E-3</v>
      </c>
      <c r="QV10" s="2">
        <f>-0.00287508663035348*(1)</f>
        <v>-2.8750866303534801E-3</v>
      </c>
      <c r="QW10" s="2">
        <f>0.00765728713267401*(1)</f>
        <v>7.6572871326740103E-3</v>
      </c>
      <c r="QX10" s="2">
        <f>-0.0178163551822961*(1)</f>
        <v>-1.7816355182296101E-2</v>
      </c>
      <c r="QY10" s="2">
        <f>-0.0122300060955486*(1)</f>
        <v>-1.22300060955486E-2</v>
      </c>
      <c r="QZ10" s="2">
        <f>0.0340430019540013*(1)</f>
        <v>3.4043001954001298E-2</v>
      </c>
      <c r="RA10" s="2">
        <f>-0.00322382644795957*(1)</f>
        <v>-3.22382644795957E-3</v>
      </c>
      <c r="RB10" s="2">
        <f>-0.0235429529428916*(1)</f>
        <v>-2.3542952942891601E-2</v>
      </c>
      <c r="RC10" s="2">
        <f>0.0107830535241303*(1)</f>
        <v>1.0783053524130301E-2</v>
      </c>
      <c r="RD10" s="2">
        <f>-0.0338337146600411*(1)</f>
        <v>-3.3833714660041099E-2</v>
      </c>
      <c r="RE10" s="2">
        <f>0.00606841211666654*(1)</f>
        <v>6.0684121166665397E-3</v>
      </c>
      <c r="RF10" s="2">
        <f>-0.0529044870100984*(1)</f>
        <v>-5.2904487010098401E-2</v>
      </c>
      <c r="RG10" s="2">
        <f>0.00533892416119082*(1)</f>
        <v>5.3389241611908203E-3</v>
      </c>
      <c r="RH10" s="2">
        <f>0.124439691852172*(1)</f>
        <v>0.124439691852172</v>
      </c>
      <c r="RI10" s="2">
        <f>0.0189304861337604*(1)</f>
        <v>1.8930486133760398E-2</v>
      </c>
      <c r="RJ10" s="2">
        <f>0.0502430591394868*(1)</f>
        <v>5.0243059139486797E-2</v>
      </c>
      <c r="RK10" s="2">
        <f>0.0140012135501527*(1)</f>
        <v>1.40012135501527E-2</v>
      </c>
      <c r="RL10" s="2">
        <f>0.0182130173065708*(1)</f>
        <v>1.8213017306570801E-2</v>
      </c>
      <c r="RM10" s="2">
        <f>0.0659961833339796*(1)</f>
        <v>6.5996183333979594E-2</v>
      </c>
      <c r="RN10" s="2">
        <f>0.0223294619290521*(1)</f>
        <v>2.2329461929052101E-2</v>
      </c>
      <c r="RO10" s="2">
        <f>-0.0186651414609431*(1)</f>
        <v>-1.8665141460943099E-2</v>
      </c>
      <c r="RP10" s="2">
        <f>-0.0267515243295085*(1)</f>
        <v>-2.6751524329508499E-2</v>
      </c>
      <c r="RQ10" s="2">
        <f>-0.0000227495779484022*(1)</f>
        <v>-2.2749577948402202E-5</v>
      </c>
      <c r="RR10" s="2">
        <f>0.0463728041688616*(1)</f>
        <v>4.6372804168861602E-2</v>
      </c>
      <c r="RS10" s="2">
        <f>0.0120797850311039*(1)</f>
        <v>1.20797850311039E-2</v>
      </c>
      <c r="RT10" s="2">
        <f>0.0180052188304079*(1)</f>
        <v>1.8005218830407899E-2</v>
      </c>
      <c r="RU10" s="2">
        <f>0.00172802441890297*(1)</f>
        <v>1.7280244189029699E-3</v>
      </c>
      <c r="RV10" s="2">
        <f>0.0327204435944132*(1)</f>
        <v>3.2720443594413201E-2</v>
      </c>
      <c r="RW10" s="2">
        <f>0.020932386216293*(1)</f>
        <v>2.0932386216293002E-2</v>
      </c>
      <c r="RX10" s="2">
        <f>0.0130622248187077*(1)</f>
        <v>1.30622248187077E-2</v>
      </c>
      <c r="RY10" s="2">
        <f>-0.0137992005643433*(1)</f>
        <v>-1.3799200564343301E-2</v>
      </c>
      <c r="RZ10" s="2">
        <f>-0.0174703597927487*(1)</f>
        <v>-1.7470359792748701E-2</v>
      </c>
      <c r="SA10" s="2">
        <f>0.0329755350181727*(1)</f>
        <v>3.29755350181727E-2</v>
      </c>
      <c r="SB10" s="2">
        <f>-0.000813218688197595*(1)</f>
        <v>-8.1321868819759504E-4</v>
      </c>
      <c r="SC10" s="2">
        <f>-0.0682808556819227*(1)</f>
        <v>-6.82808556819227E-2</v>
      </c>
      <c r="SD10" s="2">
        <f>0.0156707455846674*(1)</f>
        <v>1.5670745584667401E-2</v>
      </c>
      <c r="SE10" s="2">
        <f>0.0188390678443835*(1)</f>
        <v>1.8839067844383502E-2</v>
      </c>
      <c r="SF10" s="2">
        <f>0.0532380234785216*(1)</f>
        <v>5.32380234785216E-2</v>
      </c>
      <c r="SG10" s="2">
        <f>-0.028495730936494*(1)</f>
        <v>-2.8495730936494001E-2</v>
      </c>
      <c r="SH10" s="2">
        <f>-0.0516055430622522*(1)</f>
        <v>-5.16055430622522E-2</v>
      </c>
      <c r="SI10" s="2">
        <f>-0.0100700412332999*(1)</f>
        <v>-1.00700412332999E-2</v>
      </c>
      <c r="SJ10" s="2">
        <f>-0.0292776665208501*(1)</f>
        <v>-2.92776665208501E-2</v>
      </c>
      <c r="SK10" s="2">
        <f>-0.250356523573502*(1)</f>
        <v>-0.25035652357350202</v>
      </c>
      <c r="SL10" s="2">
        <f>0.0926482556963175*(1)</f>
        <v>9.2648255696317502E-2</v>
      </c>
      <c r="SM10" s="2">
        <f>-0.0372727831560017*(1)</f>
        <v>-3.7272783156001701E-2</v>
      </c>
      <c r="SN10" s="2">
        <f>0.0708239208082991*(1)</f>
        <v>7.0823920808299107E-2</v>
      </c>
      <c r="SO10" s="2">
        <f>-0.0283221579183562*(1)</f>
        <v>-2.8322157918356201E-2</v>
      </c>
      <c r="SP10" s="2">
        <f>-0.0934833600050217*(1)</f>
        <v>-9.3483360005021707E-2</v>
      </c>
      <c r="SQ10" s="2">
        <f>0.0467208352667801*(1)</f>
        <v>4.67208352667801E-2</v>
      </c>
      <c r="SR10" s="2">
        <f>-0.0321708956438722*(1)</f>
        <v>-3.2170895643872197E-2</v>
      </c>
      <c r="SS10" s="2">
        <f>-0.00569104791328472*(1)</f>
        <v>-5.6910479132847198E-3</v>
      </c>
      <c r="ST10" s="2">
        <f>0.0740225095310948*(1)</f>
        <v>7.4022509531094793E-2</v>
      </c>
      <c r="SU10" s="2">
        <f>0.0445527194464443*(1)</f>
        <v>4.4552719446444303E-2</v>
      </c>
      <c r="SV10" s="2">
        <f>0.0691631950720841*(1)</f>
        <v>6.9163195072084099E-2</v>
      </c>
      <c r="SW10" s="2">
        <f>-0.0666956917338872*(1)</f>
        <v>-6.6695691733887202E-2</v>
      </c>
      <c r="SX10" s="2">
        <f>-0.0158186354325453*(1)</f>
        <v>-1.5818635432545299E-2</v>
      </c>
      <c r="SY10" s="2">
        <f>-0.0112087182490936*(1)</f>
        <v>-1.1208718249093599E-2</v>
      </c>
      <c r="SZ10" s="2">
        <f>-0.0388673689781748*(1)</f>
        <v>-3.8867368978174797E-2</v>
      </c>
      <c r="TA10" s="2">
        <f>0.0469819419837086*(1)</f>
        <v>4.69819419837086E-2</v>
      </c>
      <c r="TB10" s="2">
        <f>-0.00936394325229469*(1)</f>
        <v>-9.3639432522946899E-3</v>
      </c>
      <c r="TC10" s="2">
        <f>-0.010395287983709*(1)</f>
        <v>-1.0395287983708999E-2</v>
      </c>
      <c r="TD10" s="2">
        <f>-0.0473103767814597*(1)</f>
        <v>-4.7310376781459697E-2</v>
      </c>
      <c r="TE10" s="2">
        <f>0.00414236984073578*(1)</f>
        <v>4.1423698407357804E-3</v>
      </c>
      <c r="TF10" s="2">
        <f>0.0661389431110777*(1)</f>
        <v>6.6138943111077694E-2</v>
      </c>
      <c r="TG10" s="2">
        <f>-0.0111379172538087*(1)</f>
        <v>-1.11379172538087E-2</v>
      </c>
      <c r="TH10" s="2">
        <f>-0.0197631652291848*(1)</f>
        <v>-1.9763165229184799E-2</v>
      </c>
      <c r="TI10" s="2">
        <f>0.0393888572213357*(1)</f>
        <v>3.9388857221335699E-2</v>
      </c>
      <c r="TJ10" s="2">
        <f>0.0393073120342034*(1)</f>
        <v>3.9307312034203401E-2</v>
      </c>
      <c r="TK10" s="2">
        <f>-0.00248860118131551*(1)</f>
        <v>-2.4886011813155099E-3</v>
      </c>
      <c r="TL10" s="2">
        <f>-0.0172873898032847*(1)</f>
        <v>-1.7287389803284699E-2</v>
      </c>
      <c r="TM10" s="2">
        <f>0.00427375529232243*(1)</f>
        <v>4.2737552923224299E-3</v>
      </c>
      <c r="TN10" s="2">
        <f>0.00451429547672353*(1)</f>
        <v>4.5142954767235302E-3</v>
      </c>
      <c r="TO10" s="2">
        <f>0.0608656614127626*(1)</f>
        <v>6.0865661412762603E-2</v>
      </c>
      <c r="TP10" s="2">
        <f>0.0252425588322642*(1)</f>
        <v>2.52425588322642E-2</v>
      </c>
      <c r="TQ10" s="2">
        <f>-0.0665604406380944*(1)</f>
        <v>-6.6560440638094395E-2</v>
      </c>
      <c r="TR10" s="2">
        <f>0.0185962457951295*(1)</f>
        <v>1.8596245795129501E-2</v>
      </c>
      <c r="TS10" s="2">
        <f>0.00346309333268647*(1)</f>
        <v>3.4630933326864699E-3</v>
      </c>
      <c r="TT10" s="2">
        <f>0.0685383875766487*(1)</f>
        <v>6.8538387576648693E-2</v>
      </c>
      <c r="TU10" s="2">
        <f>0.026903019716791*(1)</f>
        <v>2.6903019716790998E-2</v>
      </c>
      <c r="TV10" s="2">
        <f>-0.0219268029720856*(1)</f>
        <v>-2.1926802972085602E-2</v>
      </c>
      <c r="TW10" s="2">
        <f>0.0700774730639772*(1)</f>
        <v>7.00774730639772E-2</v>
      </c>
      <c r="TX10" s="2">
        <f>0.0280822284127359*(1)</f>
        <v>2.8082228412735898E-2</v>
      </c>
      <c r="TY10" s="2">
        <f>-0.00576820457733943*(1)</f>
        <v>-5.7682045773394296E-3</v>
      </c>
      <c r="TZ10" s="2">
        <f>0.0157538938821466*(1)</f>
        <v>1.57538938821466E-2</v>
      </c>
      <c r="UA10" s="2">
        <f>-0.0508731407230558*(1)</f>
        <v>-5.08731407230558E-2</v>
      </c>
      <c r="UB10" s="2">
        <f>0.0193673069308338*(1)</f>
        <v>1.93673069308338E-2</v>
      </c>
      <c r="UC10" s="2">
        <f>0.0163978394458746*(1)</f>
        <v>1.6397839445874599E-2</v>
      </c>
      <c r="UD10" s="2">
        <f>-0.0333540834036057*(1)</f>
        <v>-3.3354083403605697E-2</v>
      </c>
      <c r="UE10" s="2">
        <f>0.0642665435419451*(1)</f>
        <v>6.4266543541945095E-2</v>
      </c>
      <c r="UF10" s="2">
        <f>0.0196646736755539*(1)</f>
        <v>1.9664673675553902E-2</v>
      </c>
      <c r="UG10" s="2">
        <f>0.0324689170846687*(1)</f>
        <v>3.2468917084668703E-2</v>
      </c>
      <c r="UH10" s="2">
        <f>0.0298628041948796*(1)</f>
        <v>2.9862804194879598E-2</v>
      </c>
      <c r="UI10" s="2">
        <f>0.0533823563924839*(1)</f>
        <v>5.3382356392483898E-2</v>
      </c>
      <c r="UJ10" s="2">
        <f>0.00352635914941249*(1)</f>
        <v>3.5263591494124899E-3</v>
      </c>
      <c r="UK10" s="2">
        <f>0.001880243066924*(1)</f>
        <v>1.880243066924E-3</v>
      </c>
      <c r="UL10" s="2">
        <f>0.0382109227764295*(1)</f>
        <v>3.8210922776429498E-2</v>
      </c>
      <c r="UM10" s="2">
        <f>-0.0280422368132006*(1)</f>
        <v>-2.8042236813200599E-2</v>
      </c>
      <c r="UN10" s="2">
        <f>0.0128023651673795*(1)</f>
        <v>1.28023651673795E-2</v>
      </c>
      <c r="UO10" s="2">
        <f>-0.00987153332461297*(1)</f>
        <v>-9.8715333246129702E-3</v>
      </c>
      <c r="UP10" s="2">
        <f>-0.00388328782258612*(1)</f>
        <v>-3.8832878225861199E-3</v>
      </c>
      <c r="UQ10" s="2">
        <f>-0.022334776900154*(1)</f>
        <v>-2.2334776900154001E-2</v>
      </c>
      <c r="UR10" s="2">
        <f>-0.0493433664477813*(1)</f>
        <v>-4.9343366447781298E-2</v>
      </c>
      <c r="US10" s="2">
        <f>-0.0317297489530011*(1)</f>
        <v>-3.1729748953001097E-2</v>
      </c>
      <c r="UT10" s="2">
        <f>-0.0354302328853303*(1)</f>
        <v>-3.5430232885330301E-2</v>
      </c>
      <c r="UU10" s="2">
        <f>0.0119003338075316*(1)</f>
        <v>1.19003338075316E-2</v>
      </c>
      <c r="UV10" s="2">
        <f>0.0250901247215897*(1)</f>
        <v>2.50901247215897E-2</v>
      </c>
      <c r="UW10" s="2">
        <f>0.000432151515178983*(1)</f>
        <v>4.32151515178983E-4</v>
      </c>
      <c r="UX10" s="2">
        <f>0.00712541329485762*(1)</f>
        <v>7.1254132948576198E-3</v>
      </c>
      <c r="UY10" s="2">
        <f>0.0365620801679666*(1)</f>
        <v>3.6562080167966603E-2</v>
      </c>
      <c r="UZ10" s="2">
        <f>-0.00873375892479873*(1)</f>
        <v>-8.7337589247987301E-3</v>
      </c>
      <c r="VA10" s="2">
        <f>-0.01420752653616*(1)</f>
        <v>-1.420752653616E-2</v>
      </c>
      <c r="VB10" s="2">
        <f>-0.0205276840976345*(1)</f>
        <v>-2.0527684097634499E-2</v>
      </c>
      <c r="VC10" s="2">
        <f>-0.000755511017009035*(1)</f>
        <v>-7.5551101700903497E-4</v>
      </c>
      <c r="VD10" s="2">
        <f>0.0355368517901843*(1)</f>
        <v>3.5536851790184301E-2</v>
      </c>
      <c r="VE10" s="2">
        <f>0.0116581918656208*(1)</f>
        <v>1.1658191865620801E-2</v>
      </c>
      <c r="VF10" s="2">
        <f>-0.017313467250566*(1)</f>
        <v>-1.7313467250566001E-2</v>
      </c>
      <c r="VG10" s="2">
        <f>-0.0606197315527582*(1)</f>
        <v>-6.0619731552758203E-2</v>
      </c>
      <c r="VH10" s="2">
        <f>0.0335390394450884*(1)</f>
        <v>3.3539039445088403E-2</v>
      </c>
      <c r="VI10" s="2">
        <f>-0.034904437542559*(1)</f>
        <v>-3.4904437542559001E-2</v>
      </c>
      <c r="VJ10" s="2">
        <f>-0.0412942647283302*(1)</f>
        <v>-4.1294264728330199E-2</v>
      </c>
      <c r="VK10" s="2">
        <f>0.0114937244757153*(1)</f>
        <v>1.1493724475715301E-2</v>
      </c>
      <c r="VL10" s="2">
        <f>0.0139247492893219*(1)</f>
        <v>1.39247492893219E-2</v>
      </c>
      <c r="VM10" s="2">
        <f>-0.0377453173168578*(1)</f>
        <v>-3.7745317316857797E-2</v>
      </c>
      <c r="VN10" s="2">
        <f>0.102963713243799*(1)</f>
        <v>0.10296371324379899</v>
      </c>
      <c r="VO10" s="2">
        <f>-0.00612744884348416*(1)</f>
        <v>-6.1274488434841599E-3</v>
      </c>
      <c r="VP10" s="2">
        <f>-0.0228570687923782*(1)</f>
        <v>-2.2857068792378199E-2</v>
      </c>
      <c r="VQ10" s="2">
        <f>-0.00543885053754546*(1)</f>
        <v>-5.4388505375454598E-3</v>
      </c>
      <c r="VR10" s="2">
        <f>0.0459097302100902*(1)</f>
        <v>4.5909730210090198E-2</v>
      </c>
      <c r="VS10" s="2">
        <f>-0.0698811429662766*(1)</f>
        <v>-6.9881142966276594E-2</v>
      </c>
      <c r="VT10" s="2">
        <f>0.0088072449974673*(1)</f>
        <v>8.8072449974673003E-3</v>
      </c>
      <c r="VU10" s="2">
        <f>-0.0584597537988221*(1)</f>
        <v>-5.8459753798822102E-2</v>
      </c>
      <c r="VV10" s="2">
        <f>0.0796774949520485*(1)</f>
        <v>7.9677494952048497E-2</v>
      </c>
      <c r="VW10" s="2">
        <f>-0.00942487203261912*(1)</f>
        <v>-9.42487203261912E-3</v>
      </c>
      <c r="VX10" s="2">
        <f>0.00335781722287142*(1)</f>
        <v>3.35781722287142E-3</v>
      </c>
      <c r="VY10" s="2">
        <f>0.00249574634499798*(1)</f>
        <v>2.4957463449979799E-3</v>
      </c>
      <c r="VZ10" s="2">
        <f>-0.00591401474988122*(1)</f>
        <v>-5.91401474988122E-3</v>
      </c>
      <c r="WA10" s="2">
        <f>0.0460286730976173*(1)</f>
        <v>4.6028673097617302E-2</v>
      </c>
      <c r="WB10" s="2">
        <f>-0.0466395146285321*(1)</f>
        <v>-4.6639514628532101E-2</v>
      </c>
      <c r="WC10" s="2">
        <f>-0.0220294717813734*(1)</f>
        <v>-2.2029471781373398E-2</v>
      </c>
      <c r="WD10" s="2">
        <f>0.034082238621057*(1)</f>
        <v>3.4082238621056998E-2</v>
      </c>
      <c r="WE10" s="2">
        <f>-0.0240435431917443*(1)</f>
        <v>-2.4043543191744302E-2</v>
      </c>
      <c r="WF10" s="2">
        <f>0.0104557133459081*(1)</f>
        <v>1.0455713345908099E-2</v>
      </c>
      <c r="WG10" s="2">
        <f>-0.0122178978255095*(1)</f>
        <v>-1.2217897825509499E-2</v>
      </c>
      <c r="WH10" s="2">
        <f>0.065290401389975*(1)</f>
        <v>6.5290401389974995E-2</v>
      </c>
      <c r="WI10" s="2">
        <f>-0.0443828269612704*(1)</f>
        <v>-4.4382826961270397E-2</v>
      </c>
      <c r="WJ10" s="2">
        <f>-0.0619093425235591*(1)</f>
        <v>-6.1909342523559098E-2</v>
      </c>
      <c r="WK10" s="2">
        <f>0.0272180440055737*(1)</f>
        <v>2.7218044005573701E-2</v>
      </c>
      <c r="WL10" s="2">
        <f>-0.0517199829753227*(1)</f>
        <v>-5.1719982975322702E-2</v>
      </c>
      <c r="WM10" s="2">
        <f>-0.0195989305219702*(1)</f>
        <v>-1.95989305219702E-2</v>
      </c>
      <c r="WN10" s="2">
        <f>-0.00332423708941152*(1)</f>
        <v>-3.3242370894115201E-3</v>
      </c>
      <c r="WO10" s="2">
        <f>-0.0252940697322386*(1)</f>
        <v>-2.5294069732238599E-2</v>
      </c>
      <c r="WP10" s="2">
        <f>-0.0117829069833359*(1)</f>
        <v>-1.17829069833359E-2</v>
      </c>
      <c r="WQ10" s="2">
        <f>-0.00906070380793963*(1)</f>
        <v>-9.0607038079396299E-3</v>
      </c>
      <c r="WR10" s="2">
        <f>-0.0129787644762628*(1)</f>
        <v>-1.29787644762628E-2</v>
      </c>
      <c r="WS10" s="2">
        <f>0.0795578279750061*(1)</f>
        <v>7.9557827975006101E-2</v>
      </c>
      <c r="WT10" s="2">
        <f>-0.0387451294706415*(1)</f>
        <v>-3.8745129470641501E-2</v>
      </c>
      <c r="WU10" s="2">
        <f>0.0317678529262952*(1)</f>
        <v>3.1767852926295199E-2</v>
      </c>
      <c r="WV10" s="2">
        <f>-0.00612705160699131*(1)</f>
        <v>-6.1270516069913102E-3</v>
      </c>
      <c r="WW10" s="2">
        <f>-0.044497132350458*(1)</f>
        <v>-4.4497132350457998E-2</v>
      </c>
      <c r="WX10" s="2">
        <f>0.0424652978190132*(1)</f>
        <v>4.2465297819013197E-2</v>
      </c>
      <c r="WY10" s="2">
        <f>0.00563445311520631*(1)</f>
        <v>5.63445311520631E-3</v>
      </c>
      <c r="WZ10" s="2">
        <f>-0.0275792074894617*(1)</f>
        <v>-2.7579207489461698E-2</v>
      </c>
      <c r="XA10" s="2">
        <f>0.0200845291631739*(1)</f>
        <v>2.0084529163173898E-2</v>
      </c>
      <c r="XB10" s="2">
        <f>-0.0760277219493435*(1)</f>
        <v>-7.6027721949343499E-2</v>
      </c>
      <c r="XC10" s="2">
        <f>0.0140827999537658*(1)</f>
        <v>1.4082799953765801E-2</v>
      </c>
      <c r="XD10" s="2">
        <f>0.0288188840998086*(1)</f>
        <v>2.8818884099808598E-2</v>
      </c>
      <c r="XE10" s="2">
        <f>-0.0106890499213236*(1)</f>
        <v>-1.06890499213236E-2</v>
      </c>
      <c r="XF10" s="2">
        <f>0.0537430048175132*(1)</f>
        <v>5.37430048175132E-2</v>
      </c>
      <c r="XG10" s="2">
        <f>-0.0586418899946346*(1)</f>
        <v>-5.86418899946346E-2</v>
      </c>
      <c r="XH10" s="2">
        <f>0.0181431463984175*(1)</f>
        <v>1.8143146398417499E-2</v>
      </c>
      <c r="XI10" s="2">
        <f>0.0107181450858427*(1)</f>
        <v>1.0718145085842699E-2</v>
      </c>
      <c r="XJ10" s="2">
        <f>0.0281023875127069*(1)</f>
        <v>2.8102387512706901E-2</v>
      </c>
      <c r="XK10" s="2">
        <f>0.00718956865846179*(1)</f>
        <v>7.1895686584617898E-3</v>
      </c>
      <c r="XL10" s="2">
        <f>-0.0347246578480708*(1)</f>
        <v>-3.47246578480708E-2</v>
      </c>
      <c r="XM10" s="2">
        <f>-0.0197226072210054*(1)</f>
        <v>-1.9722607221005401E-2</v>
      </c>
      <c r="XN10" s="2">
        <f>0.01116910269333*(1)</f>
        <v>1.116910269333E-2</v>
      </c>
      <c r="XO10" s="2">
        <f>0.0466210406100314*(1)</f>
        <v>4.6621040610031403E-2</v>
      </c>
      <c r="XP10" s="2">
        <f>-0.0214806502933739*(1)</f>
        <v>-2.1480650293373899E-2</v>
      </c>
      <c r="XQ10" s="2">
        <f>0.0459789395184013*(1)</f>
        <v>4.5978939518401298E-2</v>
      </c>
      <c r="XR10" s="2">
        <f>0.0142476526308234*(1)</f>
        <v>1.42476526308234E-2</v>
      </c>
      <c r="XS10" s="2">
        <f>-0.0679673497439438*(1)</f>
        <v>-6.7967349743943806E-2</v>
      </c>
      <c r="XT10" s="2">
        <f>0.0211247616777018*(1)</f>
        <v>2.11247616777018E-2</v>
      </c>
      <c r="XU10" s="2">
        <f>-0.0285589032079822*(1)</f>
        <v>-2.8558903207982201E-2</v>
      </c>
      <c r="XV10" s="2">
        <f>-0.0284182381646629*(1)</f>
        <v>-2.84182381646629E-2</v>
      </c>
      <c r="XW10" s="2">
        <f>-0.00951214064587469*(1)</f>
        <v>-9.5121406458746893E-3</v>
      </c>
      <c r="XX10" s="2">
        <f>-0.0237850733111505*(1)</f>
        <v>-2.3785073311150502E-2</v>
      </c>
      <c r="XY10" s="2">
        <f>0.0181977113454568*(1)</f>
        <v>1.81977113454568E-2</v>
      </c>
      <c r="XZ10" s="2">
        <f>0.0127924387457134*(1)</f>
        <v>1.27924387457134E-2</v>
      </c>
      <c r="YA10" s="2">
        <f>-0.0143797156567893*(1)</f>
        <v>-1.43797156567893E-2</v>
      </c>
      <c r="YB10" s="2">
        <f>-0.0231596170234659*(1)</f>
        <v>-2.31596170234659E-2</v>
      </c>
      <c r="YC10" s="2">
        <f>-0.0564929141631465*(1)</f>
        <v>-5.6492914163146501E-2</v>
      </c>
      <c r="YD10" s="2">
        <f>-0.0157669125743424*(1)</f>
        <v>-1.5766912574342401E-2</v>
      </c>
      <c r="YE10" s="2">
        <f>0.0325980009234149*(1)</f>
        <v>3.2598000923414902E-2</v>
      </c>
      <c r="YF10" s="2">
        <f>-0.0381584058966362*(1)</f>
        <v>-3.8158405896636202E-2</v>
      </c>
      <c r="YG10" s="2">
        <f>-0.0204929800529521*(1)</f>
        <v>-2.0492980052952098E-2</v>
      </c>
      <c r="YH10" s="2">
        <f>0.0121252154729858*(1)</f>
        <v>1.21252154729858E-2</v>
      </c>
      <c r="YI10" s="2">
        <f>-0.0411801285228624*(1)</f>
        <v>-4.1180128522862403E-2</v>
      </c>
      <c r="YJ10" s="2">
        <f>0.00887418305815727*(1)</f>
        <v>8.8741830581572697E-3</v>
      </c>
      <c r="YK10" s="2">
        <f>-0.0466710589211132*(1)</f>
        <v>-4.6671058921113201E-2</v>
      </c>
      <c r="YL10" s="2">
        <f>-0.0419917053584265*(1)</f>
        <v>-4.1991705358426501E-2</v>
      </c>
      <c r="YM10" s="2">
        <f>-0.0263383063416908*(1)</f>
        <v>-2.6338306341690799E-2</v>
      </c>
      <c r="YN10" s="2">
        <f>-0.0323371858804224*(1)</f>
        <v>-3.2337185880422399E-2</v>
      </c>
      <c r="YO10" s="2">
        <f>0.0333385817031284*(1)</f>
        <v>3.3338581703128402E-2</v>
      </c>
      <c r="YP10" s="2">
        <f>0.0651766109334037*(1)</f>
        <v>6.5176610933403697E-2</v>
      </c>
      <c r="YQ10" s="2">
        <f>-0.0133967137468838*(1)</f>
        <v>-1.3396713746883801E-2</v>
      </c>
      <c r="YR10" s="2">
        <f>-0.0253239085698214*(1)</f>
        <v>-2.5323908569821401E-2</v>
      </c>
      <c r="YS10" s="2">
        <f>-0.00241255755319673*(1)</f>
        <v>-2.4125575531967298E-3</v>
      </c>
      <c r="YT10" s="2">
        <f>-0.000795570660309735*(1)</f>
        <v>-7.9557066030973495E-4</v>
      </c>
      <c r="YU10" s="2">
        <f>-0.0181758109790018*(1)</f>
        <v>-1.81758109790018E-2</v>
      </c>
      <c r="YV10" s="2">
        <f>0.00150335003611386*(1)</f>
        <v>1.50335003611386E-3</v>
      </c>
      <c r="YW10" s="2">
        <f>0.00720411828120596*(1)</f>
        <v>7.2041182812059602E-3</v>
      </c>
      <c r="YX10" s="2">
        <f>-0.0140830067786755*(1)</f>
        <v>-1.4083006778675499E-2</v>
      </c>
      <c r="YY10" s="2">
        <f>-0.0701419227987198*(1)</f>
        <v>-7.0141922798719794E-2</v>
      </c>
      <c r="YZ10" s="2">
        <f>-0.0231962496728074*(1)</f>
        <v>-2.3196249672807399E-2</v>
      </c>
      <c r="ZA10" s="2">
        <f>0.0040512747446042*(1)</f>
        <v>4.0512747446042E-3</v>
      </c>
      <c r="ZB10" s="2">
        <f>0.0328960039701648*(1)</f>
        <v>3.2896003970164803E-2</v>
      </c>
      <c r="ZC10" s="2">
        <f>0.0305981723814377*(1)</f>
        <v>3.0598172381437701E-2</v>
      </c>
      <c r="ZD10" s="2">
        <f>0.0159239755880836*(1)</f>
        <v>1.5923975588083599E-2</v>
      </c>
      <c r="ZE10" s="2">
        <f>-0.0425942445363962*(1)</f>
        <v>-4.2594244536396202E-2</v>
      </c>
      <c r="ZF10" s="2">
        <f>-0.00975344020049081*(1)</f>
        <v>-9.7534402004908101E-3</v>
      </c>
      <c r="ZG10" s="2">
        <f>-0.0403171659465241*(1)</f>
        <v>-4.0317165946524097E-2</v>
      </c>
      <c r="ZH10" s="2">
        <f>-0.00802064196775888*(1)</f>
        <v>-8.0206419677588802E-3</v>
      </c>
      <c r="ZI10" s="2">
        <f>-0.0621355262739483*(1)</f>
        <v>-6.2135526273948298E-2</v>
      </c>
      <c r="ZJ10" s="2">
        <f>-0.0512487197169676*(1)</f>
        <v>-5.1248719716967601E-2</v>
      </c>
      <c r="ZK10" s="2">
        <f>0.0660347511370973*(1)</f>
        <v>6.6034751137097294E-2</v>
      </c>
      <c r="ZL10" s="2">
        <f>0.0155639415684611*(1)</f>
        <v>1.5563941568461101E-2</v>
      </c>
      <c r="ZM10" s="2">
        <f>0.0470067851777695*(1)</f>
        <v>4.7006785177769503E-2</v>
      </c>
      <c r="ZN10" s="2">
        <f>-0.0851063046044783*(1)</f>
        <v>-8.5106304604478294E-2</v>
      </c>
      <c r="ZO10" s="2">
        <f>0.030577410875108*(1)</f>
        <v>3.0577410875107999E-2</v>
      </c>
      <c r="ZP10" s="2">
        <f>-0.0525827333413497*(1)</f>
        <v>-5.2582733341349698E-2</v>
      </c>
      <c r="ZQ10" s="2">
        <f>-0.0208976681453536*(1)</f>
        <v>-2.0897668145353598E-2</v>
      </c>
      <c r="ZR10" s="2">
        <f>0.0454131248640496*(1)</f>
        <v>4.5413124864049602E-2</v>
      </c>
      <c r="ZS10" s="2">
        <f>-0.0161365549758516*(1)</f>
        <v>-1.6136554975851598E-2</v>
      </c>
      <c r="ZT10" s="2">
        <f>0.0217583468400556*(1)</f>
        <v>2.1758346840055599E-2</v>
      </c>
      <c r="ZU10" s="2">
        <f>-0.00390980600573919*(1)</f>
        <v>-3.9098060057391904E-3</v>
      </c>
      <c r="ZV10" s="2">
        <f>-0.0612919550862974*(1)</f>
        <v>-6.1291955086297402E-2</v>
      </c>
      <c r="ZW10" s="2">
        <f>0.025351929993508*(1)</f>
        <v>2.5351929993508E-2</v>
      </c>
      <c r="ZX10" s="2">
        <f>0.0338898776906368*(1)</f>
        <v>3.3889877690636797E-2</v>
      </c>
      <c r="ZY10" s="2">
        <f>0.0651203343284362*(1)</f>
        <v>6.5120334328436197E-2</v>
      </c>
      <c r="ZZ10" s="2">
        <f>0.0251041181157781*(1)</f>
        <v>2.5104118115778101E-2</v>
      </c>
      <c r="AAA10" s="2">
        <f>-0.0186064927618449*(1)</f>
        <v>-1.8606492761844898E-2</v>
      </c>
      <c r="AAB10" s="2">
        <f>-0.0178034600149717*(1)</f>
        <v>-1.7803460014971701E-2</v>
      </c>
      <c r="AAC10" s="2">
        <f>0.00742963502213876*(1)</f>
        <v>7.42963502213876E-3</v>
      </c>
      <c r="AAD10" s="2">
        <f>-0.0263385046152591*(1)</f>
        <v>-2.6338504615259099E-2</v>
      </c>
      <c r="AAE10" s="2">
        <f>-0.0440913272986032*(1)</f>
        <v>-4.4091327298603197E-2</v>
      </c>
      <c r="AAF10" s="2">
        <f>-0.0585595037131635*(1)</f>
        <v>-5.8559503713163499E-2</v>
      </c>
      <c r="AAG10" s="2">
        <f>0.0477167002776811*(1)</f>
        <v>4.7716700277681101E-2</v>
      </c>
      <c r="AAH10" s="2">
        <f>-0.0021197103216431*(1)</f>
        <v>-2.1197103216431001E-3</v>
      </c>
      <c r="AAI10" s="2">
        <f>-0.0229684442920298*(1)</f>
        <v>-2.2968444292029801E-2</v>
      </c>
      <c r="AAJ10" s="2">
        <f>-0.0352219308914171*(1)</f>
        <v>-3.5221930891417098E-2</v>
      </c>
      <c r="AAK10" s="2">
        <f>0.0632292708880972*(1)</f>
        <v>6.3229270888097197E-2</v>
      </c>
      <c r="AAL10" s="2">
        <f>-0.00123346555211002*(1)</f>
        <v>-1.23346555211002E-3</v>
      </c>
      <c r="AAM10" s="2">
        <f>-0.0469594527559737*(1)</f>
        <v>-4.6959452755973699E-2</v>
      </c>
      <c r="AAN10" s="2">
        <f>0.0154363841825388*(1)</f>
        <v>1.5436384182538799E-2</v>
      </c>
      <c r="AAO10" s="2">
        <f>0.0501959673985864*(1)</f>
        <v>5.0195967398586401E-2</v>
      </c>
      <c r="AAP10" s="2">
        <f>-0.0307517381247333*(1)</f>
        <v>-3.0751738124733301E-2</v>
      </c>
      <c r="AAQ10" s="2">
        <f>-0.0820218899460484*(1)</f>
        <v>-8.2021889946048407E-2</v>
      </c>
      <c r="AAR10" s="2">
        <f>0.0415581526733494*(1)</f>
        <v>4.1558152673349398E-2</v>
      </c>
      <c r="AAS10" s="2">
        <f>0.026186133268773*(1)</f>
        <v>2.6186133268773001E-2</v>
      </c>
      <c r="AAT10" s="2">
        <f>0.0560198706907834*(1)</f>
        <v>5.6019870690783402E-2</v>
      </c>
      <c r="AAU10" s="2">
        <f>-0.0314682568809413*(1)</f>
        <v>-3.1468256880941299E-2</v>
      </c>
      <c r="AAV10" s="2">
        <f>-0.0800323939186906*(1)</f>
        <v>-8.0032393918690603E-2</v>
      </c>
      <c r="AAW10" s="2">
        <f>-0.0350836801953256*(1)</f>
        <v>-3.5083680195325602E-2</v>
      </c>
      <c r="AAX10" s="2">
        <f>0.042633176551954*(1)</f>
        <v>4.2633176551953998E-2</v>
      </c>
      <c r="AAY10" s="2">
        <f>0.0599798749872368*(1)</f>
        <v>5.9979874987236802E-2</v>
      </c>
      <c r="AAZ10" s="2">
        <f>-0.00966637604036989*(1)</f>
        <v>-9.6663760403698906E-3</v>
      </c>
      <c r="ABA10" s="2">
        <f>0.0065867570836671*(1)</f>
        <v>6.5867570836670997E-3</v>
      </c>
      <c r="ABB10" s="2">
        <f>-0.0201929685076053*(1)</f>
        <v>-2.01929685076053E-2</v>
      </c>
      <c r="ABC10" s="2">
        <f>0.00378974915442928*(1)</f>
        <v>3.7897491544292799E-3</v>
      </c>
      <c r="ABD10" s="2">
        <f>0.0696222811105676*(1)</f>
        <v>6.9622281110567605E-2</v>
      </c>
      <c r="ABE10" s="2">
        <f>-0.0151840401542634*(1)</f>
        <v>-1.51840401542634E-2</v>
      </c>
      <c r="ABF10" s="2">
        <f>-0.0348746045055128*(1)</f>
        <v>-3.4874604505512802E-2</v>
      </c>
      <c r="ABG10" s="2">
        <f>0.0202336008919649*(1)</f>
        <v>2.0233600891964899E-2</v>
      </c>
      <c r="ABH10" s="2">
        <f>0.026309833045174*(1)</f>
        <v>2.6309833045174001E-2</v>
      </c>
      <c r="ABI10" s="2">
        <f>-0.0610195085637422*(1)</f>
        <v>-6.1019508563742199E-2</v>
      </c>
      <c r="ABJ10" s="2">
        <f>0.0123964949590932*(1)</f>
        <v>1.23964949590932E-2</v>
      </c>
      <c r="ABK10" s="2">
        <f>0.0133144855468132*(1)</f>
        <v>1.33144855468132E-2</v>
      </c>
      <c r="ABL10" s="2">
        <f>0.0533580592175482*(1)</f>
        <v>5.3358059217548201E-2</v>
      </c>
      <c r="ABM10" s="2">
        <f>-0.0182513628926049*(1)</f>
        <v>-1.82513628926049E-2</v>
      </c>
      <c r="ABN10" s="2">
        <f>0.0349510327634589*(1)</f>
        <v>3.49510327634589E-2</v>
      </c>
      <c r="ABO10" s="2">
        <f>0.00488747845222746*(1)</f>
        <v>4.8874784522274601E-3</v>
      </c>
      <c r="ABP10" s="2">
        <f>0.0075220643361972*(1)</f>
        <v>7.5220643361971996E-3</v>
      </c>
      <c r="ABQ10" s="2">
        <f>0.0723410739050292*(1)</f>
        <v>7.2341073905029196E-2</v>
      </c>
      <c r="ABR10" s="2">
        <f>-0.0107560412157796*(1)</f>
        <v>-1.07560412157796E-2</v>
      </c>
      <c r="ABS10" s="2">
        <f>-0.0213647629368696*(1)</f>
        <v>-2.1364762936869602E-2</v>
      </c>
      <c r="ABT10" s="2">
        <f>0.00258539281946366*(1)</f>
        <v>2.5853928194636598E-3</v>
      </c>
      <c r="ABU10" s="2">
        <f>-0.0365782031886612*(1)</f>
        <v>-3.6578203188661201E-2</v>
      </c>
      <c r="ABV10" s="2">
        <f>0.00198366244753757*(1)</f>
        <v>1.9836624475375701E-3</v>
      </c>
      <c r="ABW10" s="2">
        <f>-0.0131694649500665*(1)</f>
        <v>-1.31694649500665E-2</v>
      </c>
      <c r="ABX10" s="2">
        <f>-0.0130023737148311*(1)</f>
        <v>-1.30023737148311E-2</v>
      </c>
      <c r="ABY10" s="2">
        <f>0.00446664807106594*(1)</f>
        <v>4.4666480710659397E-3</v>
      </c>
      <c r="ABZ10" s="2">
        <f>-0.0137583077243018*(1)</f>
        <v>-1.37583077243018E-2</v>
      </c>
      <c r="ACA10" s="2">
        <f>-0.0089398431226465*(1)</f>
        <v>-8.9398431226465E-3</v>
      </c>
      <c r="ACB10" s="2">
        <f>0.0491318067725114*(1)</f>
        <v>4.9131806772511402E-2</v>
      </c>
      <c r="ACC10" s="2">
        <f>-0.0308087512191957*(1)</f>
        <v>-3.0808751219195699E-2</v>
      </c>
      <c r="ACD10" s="2">
        <f>-0.0356534177279179*(1)</f>
        <v>-3.5653417727917899E-2</v>
      </c>
      <c r="ACE10" s="2">
        <f>0.0256689448833213*(1)</f>
        <v>2.5668944883321301E-2</v>
      </c>
      <c r="ACF10" s="2">
        <f>-0.0449819956448747*(1)</f>
        <v>-4.4981995644874699E-2</v>
      </c>
      <c r="ACG10" s="2">
        <f>0.00124871328016413*(1)</f>
        <v>1.24871328016413E-3</v>
      </c>
      <c r="ACH10" s="2">
        <f>-0.0179963985325356*(1)</f>
        <v>-1.7996398532535599E-2</v>
      </c>
      <c r="ACI10" s="2">
        <f>-0.00741385893666067*(1)</f>
        <v>-7.4138589366606698E-3</v>
      </c>
      <c r="ACJ10" s="2">
        <f>0.131003376716739*(1)</f>
        <v>0.13100337671673901</v>
      </c>
      <c r="ACK10" s="2">
        <f>-0.0354887354362599*(1)</f>
        <v>-3.5488735436259897E-2</v>
      </c>
      <c r="ACL10" s="2">
        <f>0.0291314211673202*(1)</f>
        <v>2.91314211673202E-2</v>
      </c>
      <c r="ACM10" s="2">
        <f>0.00180595048481012*(1)</f>
        <v>1.80595048481012E-3</v>
      </c>
      <c r="ACN10" s="2">
        <f>-0.119219196939211*(1)</f>
        <v>-0.119219196939211</v>
      </c>
      <c r="ACO10" s="2">
        <f>0.0451951803400083*(1)</f>
        <v>4.5195180340008301E-2</v>
      </c>
      <c r="ACP10" s="2">
        <f>0.0536143861723336*(1)</f>
        <v>5.3614386172333599E-2</v>
      </c>
      <c r="ACQ10" s="2">
        <f>-0.0493716912662496*(1)</f>
        <v>-4.9371691266249601E-2</v>
      </c>
      <c r="ACR10" s="2">
        <f>0.027941891035033*(1)</f>
        <v>2.7941891035033001E-2</v>
      </c>
      <c r="ACS10" s="2">
        <f>-0.00321241810814482*(1)</f>
        <v>-3.2124181081448198E-3</v>
      </c>
      <c r="ACT10" s="2">
        <f>0.0161276390672466*(1)</f>
        <v>1.61276390672466E-2</v>
      </c>
      <c r="ACU10" s="2">
        <f>0.13041960567651*(1)</f>
        <v>0.13041960567651001</v>
      </c>
      <c r="ACV10" s="2">
        <f>-0.0489647024997961*(1)</f>
        <v>-4.8964702499796099E-2</v>
      </c>
    </row>
    <row r="11" spans="1:776" x14ac:dyDescent="0.2">
      <c r="A11" s="1" t="s">
        <v>70644</v>
      </c>
      <c r="B11" s="2">
        <f>-0.00593111668860909*(1)</f>
        <v>-5.9311166886090901E-3</v>
      </c>
      <c r="C11" s="2">
        <f>0.00824903024167222*(1)</f>
        <v>8.2490302416722196E-3</v>
      </c>
      <c r="D11" s="2">
        <f>0.0140009136226422*(1)</f>
        <v>1.40009136226422E-2</v>
      </c>
      <c r="E11" s="2">
        <f>0.0021145787623704*(1)</f>
        <v>2.1145787623704001E-3</v>
      </c>
      <c r="F11" s="2">
        <f>0.0125638320058666*(1)</f>
        <v>1.2563832005866599E-2</v>
      </c>
      <c r="G11" s="2">
        <f>-0.0223025926932531*(1)</f>
        <v>-2.23025926932531E-2</v>
      </c>
      <c r="H11" s="2">
        <f>0.0145118801878989*(1)</f>
        <v>1.4511880187898899E-2</v>
      </c>
      <c r="I11" s="2">
        <f>-0.013049626468735*(1)</f>
        <v>-1.3049626468735E-2</v>
      </c>
      <c r="J11" s="2">
        <f>0.0135371054905607*(1)</f>
        <v>1.35371054905607E-2</v>
      </c>
      <c r="K11" s="2">
        <f>-0.0104393483443449*(1)</f>
        <v>-1.0439348344344899E-2</v>
      </c>
      <c r="L11" s="2">
        <f>-0.0130981684508762*(1)</f>
        <v>-1.30981684508762E-2</v>
      </c>
      <c r="M11" s="2">
        <f>-0.0149412818927041*(1)</f>
        <v>-1.4941281892704101E-2</v>
      </c>
      <c r="N11" s="2">
        <f>-0.0108327899880582*(1)</f>
        <v>-1.08327899880582E-2</v>
      </c>
      <c r="O11" s="2">
        <f>0.00060381576231755*(1)</f>
        <v>6.0381576231754996E-4</v>
      </c>
      <c r="P11" s="2">
        <f>-0.0161833501988423*(1)</f>
        <v>-1.6183350198842299E-2</v>
      </c>
      <c r="Q11" s="2">
        <f>-0.0102628993919704*(1)</f>
        <v>-1.02628993919704E-2</v>
      </c>
      <c r="R11" s="2">
        <f>0.000297908821324334*(1)</f>
        <v>2.97908821324334E-4</v>
      </c>
      <c r="S11" s="2">
        <f>0.00622399055535181*(1)</f>
        <v>6.2239905553518101E-3</v>
      </c>
      <c r="T11" s="2">
        <f>-0.0206591077536072*(1)</f>
        <v>-2.06591077536072E-2</v>
      </c>
      <c r="U11" s="2">
        <f>0.00093516085741919*(1)</f>
        <v>9.3516085741918999E-4</v>
      </c>
      <c r="V11" s="2">
        <f>-0.0102120737658156*(1)</f>
        <v>-1.0212073765815601E-2</v>
      </c>
      <c r="W11" s="2">
        <f>-0.00479738610617579*(1)</f>
        <v>-4.7973861061757902E-3</v>
      </c>
      <c r="X11" s="2">
        <f>0.00613243441890432*(1)</f>
        <v>6.1324344189043201E-3</v>
      </c>
      <c r="Y11" s="2">
        <f>-0.0120992149873728*(1)</f>
        <v>-1.20992149873728E-2</v>
      </c>
      <c r="Z11" s="2">
        <f>-0.0106556448067876*(1)</f>
        <v>-1.0655644806787601E-2</v>
      </c>
      <c r="AA11" s="2">
        <f>0.000148648588670211*(1)</f>
        <v>1.48648588670211E-4</v>
      </c>
      <c r="AB11" s="2">
        <f>0.0119732722006921*(1)</f>
        <v>1.19732722006921E-2</v>
      </c>
      <c r="AC11" s="2">
        <f>-0.0277178701103647*(1)</f>
        <v>-2.7717870110364699E-2</v>
      </c>
      <c r="AD11" s="2">
        <f>-0.0185627831723674*(1)</f>
        <v>-1.8562783172367401E-2</v>
      </c>
      <c r="AE11" s="2">
        <f>0.00725253365940586*(1)</f>
        <v>7.25253365940586E-3</v>
      </c>
      <c r="AF11" s="2">
        <f>0.00503445882589707*(1)</f>
        <v>5.0344588258970698E-3</v>
      </c>
      <c r="AG11" s="2">
        <f>0.00281840297184848*(1)</f>
        <v>2.81840297184848E-3</v>
      </c>
      <c r="AH11" s="2">
        <f>0.029935710383152*(1)</f>
        <v>2.9935710383152001E-2</v>
      </c>
      <c r="AI11" s="2">
        <f>-0.000630793610032681*(1)</f>
        <v>-6.3079361003268099E-4</v>
      </c>
      <c r="AJ11" s="2">
        <f>0.00776047948080581*(1)</f>
        <v>7.7604794808058099E-3</v>
      </c>
      <c r="AK11" s="2">
        <f>0.00396027892552765*(1)</f>
        <v>3.9602789255276504E-3</v>
      </c>
      <c r="AL11" s="2">
        <f>-0.00199112710947022*(1)</f>
        <v>-1.9911271094702199E-3</v>
      </c>
      <c r="AM11" s="2">
        <f>0.000920633436568445*(1)</f>
        <v>9.2063343656844504E-4</v>
      </c>
      <c r="AN11" s="2">
        <f>0.00664153782113738*(1)</f>
        <v>6.6415378211373798E-3</v>
      </c>
      <c r="AO11" s="2">
        <f>0.00139896048376986*(1)</f>
        <v>1.39896048376986E-3</v>
      </c>
      <c r="AP11" s="2">
        <f>-0.00474023243072624*(1)</f>
        <v>-4.7402324307262399E-3</v>
      </c>
      <c r="AQ11" s="2">
        <f>-0.000632631535594207*(1)</f>
        <v>-6.3263153559420704E-4</v>
      </c>
      <c r="AR11" s="2">
        <f>0.00432332508144479*(1)</f>
        <v>4.3233250814447904E-3</v>
      </c>
      <c r="AS11" s="2">
        <f>0.00330446604756966*(1)</f>
        <v>3.3044660475696598E-3</v>
      </c>
      <c r="AT11" s="2">
        <f>0.0126263649387138*(1)</f>
        <v>1.26263649387138E-2</v>
      </c>
      <c r="AU11" s="2">
        <f>-0.00156184423390046*(1)</f>
        <v>-1.5618442339004599E-3</v>
      </c>
      <c r="AV11" s="2">
        <f>0.00133666111886432*(1)</f>
        <v>1.3366611188643199E-3</v>
      </c>
      <c r="AW11" s="2">
        <f>-0.0111494476225882*(1)</f>
        <v>-1.11494476225882E-2</v>
      </c>
      <c r="AX11" s="2">
        <f>-0.00657429288417872*(1)</f>
        <v>-6.5742928841787196E-3</v>
      </c>
      <c r="AY11" s="2">
        <f>0.0058815493290463*(1)</f>
        <v>5.8815493290463004E-3</v>
      </c>
      <c r="AZ11" s="2">
        <f>0.00551436338138994*(1)</f>
        <v>5.51436338138994E-3</v>
      </c>
      <c r="BA11" s="2">
        <f>0.00444552427202362*(1)</f>
        <v>4.44552427202362E-3</v>
      </c>
      <c r="BB11" s="2">
        <f>-0.00980895099966046*(1)</f>
        <v>-9.8089509996604606E-3</v>
      </c>
      <c r="BC11" s="2">
        <f>0.0358898554602142*(1)</f>
        <v>3.5889855460214198E-2</v>
      </c>
      <c r="BD11" s="2">
        <f>-0.0014201724777907*(1)</f>
        <v>-1.4201724777906999E-3</v>
      </c>
      <c r="BE11" s="2">
        <f>0.014761127311122*(1)</f>
        <v>1.4761127311122E-2</v>
      </c>
      <c r="BF11" s="2">
        <f>0.00151558806720594*(1)</f>
        <v>1.51558806720594E-3</v>
      </c>
      <c r="BG11" s="2">
        <f>-0.0110295357481184*(1)</f>
        <v>-1.1029535748118401E-2</v>
      </c>
      <c r="BH11" s="2">
        <f>0.0119556871150686*(1)</f>
        <v>1.19556871150686E-2</v>
      </c>
      <c r="BI11" s="2">
        <f>-0.0132699990001171*(1)</f>
        <v>-1.32699990001171E-2</v>
      </c>
      <c r="BJ11" s="2">
        <f>0.00694518165981043*(1)</f>
        <v>6.9451816598104302E-3</v>
      </c>
      <c r="BK11" s="2">
        <f>0.0168852404370423*(1)</f>
        <v>1.6885240437042301E-2</v>
      </c>
      <c r="BL11" s="2">
        <f>-0.0044555764342347*(1)</f>
        <v>-4.4555764342346996E-3</v>
      </c>
      <c r="BM11" s="2">
        <f>-0.010234286535982*(1)</f>
        <v>-1.0234286535982001E-2</v>
      </c>
      <c r="BN11" s="2">
        <f>0.00383465296989249*(1)</f>
        <v>3.8346529698924901E-3</v>
      </c>
      <c r="BO11" s="2">
        <f>0.00405852039882047*(1)</f>
        <v>4.0585203988204701E-3</v>
      </c>
      <c r="BP11" s="2">
        <f>0.0113488931247515*(1)</f>
        <v>1.13488931247515E-2</v>
      </c>
      <c r="BQ11" s="2">
        <f>0.00483864704505555*(1)</f>
        <v>4.8386470450555502E-3</v>
      </c>
      <c r="BR11" s="2">
        <f>-0.008900775783439*(1)</f>
        <v>-8.9007757834390008E-3</v>
      </c>
      <c r="BS11" s="2">
        <f>0.00966413558085597*(1)</f>
        <v>9.66413558085597E-3</v>
      </c>
      <c r="BT11" s="2">
        <f>-0.00010884815600283*(1)</f>
        <v>-1.0884815600283E-4</v>
      </c>
      <c r="BU11" s="2">
        <f>-0.00519150317120114*(1)</f>
        <v>-5.1915031712011402E-3</v>
      </c>
      <c r="BV11" s="2">
        <f>0.0063324459692135*(1)</f>
        <v>6.3324459692135002E-3</v>
      </c>
      <c r="BW11" s="2">
        <f>-0.00457264074266811*(1)</f>
        <v>-4.5726407426681104E-3</v>
      </c>
      <c r="BX11" s="2">
        <f>-0.00373610612198158*(1)</f>
        <v>-3.7361061219815801E-3</v>
      </c>
      <c r="BY11" s="2">
        <f>-0.00439417305665934*(1)</f>
        <v>-4.3941730566593399E-3</v>
      </c>
      <c r="BZ11" s="2">
        <f>0.00827806068369293*(1)</f>
        <v>8.2780606836929307E-3</v>
      </c>
      <c r="CA11" s="2">
        <f>-0.031049724765129*(1)</f>
        <v>-3.1049724765128999E-2</v>
      </c>
      <c r="CB11" s="2">
        <f>-0.0071831824661493*(1)</f>
        <v>-7.1831824661493003E-3</v>
      </c>
      <c r="CC11" s="2">
        <f>-0.00143404911143348*(1)</f>
        <v>-1.43404911143348E-3</v>
      </c>
      <c r="CD11" s="2">
        <f>0.0106392617821467*(1)</f>
        <v>1.06392617821467E-2</v>
      </c>
      <c r="CE11" s="2">
        <f>0.0125345418329071*(1)</f>
        <v>1.2534541832907101E-2</v>
      </c>
      <c r="CF11" s="2">
        <f>0.0104025543073234*(1)</f>
        <v>1.0402554307323401E-2</v>
      </c>
      <c r="CG11" s="2">
        <f>-0.017801228362003*(1)</f>
        <v>-1.7801228362002999E-2</v>
      </c>
      <c r="CH11" s="2">
        <f>0.0135768391439797*(1)</f>
        <v>1.35768391439797E-2</v>
      </c>
      <c r="CI11" s="2">
        <f>-0.0260412566256936*(1)</f>
        <v>-2.60412566256936E-2</v>
      </c>
      <c r="CJ11" s="2">
        <f>0.02899504406303*(1)</f>
        <v>2.8995044063029999E-2</v>
      </c>
      <c r="CK11" s="2">
        <f>-0.00646545524859202*(1)</f>
        <v>-6.4654552485920204E-3</v>
      </c>
      <c r="CL11" s="2">
        <f>-0.0103095382383141*(1)</f>
        <v>-1.0309538238314099E-2</v>
      </c>
      <c r="CM11" s="2">
        <f>-0.00906124624883181*(1)</f>
        <v>-9.0612462488318096E-3</v>
      </c>
      <c r="CN11" s="2">
        <f>-0.0108465393489671*(1)</f>
        <v>-1.0846539348967101E-2</v>
      </c>
      <c r="CO11" s="2">
        <f>0.00962658724386772*(1)</f>
        <v>9.6265872438677201E-3</v>
      </c>
      <c r="CP11" s="2">
        <f>0.00440785256486871*(1)</f>
        <v>4.4078525648687103E-3</v>
      </c>
      <c r="CQ11" s="2">
        <f>0.0163350672241811*(1)</f>
        <v>1.6335067224181099E-2</v>
      </c>
      <c r="CR11" s="2">
        <f>0.0343578070335388*(1)</f>
        <v>3.4357807033538801E-2</v>
      </c>
      <c r="CS11" s="2">
        <f>0.0144516504490599*(1)</f>
        <v>1.44516504490599E-2</v>
      </c>
      <c r="CT11" s="2">
        <f>0.00403912594391295*(1)</f>
        <v>4.0391259439129497E-3</v>
      </c>
      <c r="CU11" s="2">
        <f>-0.00577739514452646*(1)</f>
        <v>-5.7773951445264596E-3</v>
      </c>
      <c r="CV11" s="2">
        <f>-0.000878998487323907*(1)</f>
        <v>-8.7899848732390701E-4</v>
      </c>
      <c r="CW11" s="2">
        <f>0.00570631375332343*(1)</f>
        <v>5.7063137533234299E-3</v>
      </c>
      <c r="CX11" s="2">
        <f>0.0139004922274533*(1)</f>
        <v>1.39004922274533E-2</v>
      </c>
      <c r="CY11" s="2">
        <f>-0.0143187626783985*(1)</f>
        <v>-1.4318762678398499E-2</v>
      </c>
      <c r="CZ11" s="2">
        <f>0.0138639170212608*(1)</f>
        <v>1.38639170212608E-2</v>
      </c>
      <c r="DA11" s="2">
        <f>-0.00890487857906025*(1)</f>
        <v>-8.9048785790602492E-3</v>
      </c>
      <c r="DB11" s="2">
        <f>0.0303637052746312*(1)</f>
        <v>3.0363705274631201E-2</v>
      </c>
      <c r="DC11" s="2">
        <f>0.0076428566084972*(1)</f>
        <v>7.6428566084971996E-3</v>
      </c>
      <c r="DD11" s="2">
        <f>-0.0234193951340839*(1)</f>
        <v>-2.3419395134083899E-2</v>
      </c>
      <c r="DE11" s="2">
        <f>-0.0110882664550244*(1)</f>
        <v>-1.10882664550244E-2</v>
      </c>
      <c r="DF11" s="2">
        <f>0.00985205740464327*(1)</f>
        <v>9.8520574046432694E-3</v>
      </c>
      <c r="DG11" s="2">
        <f>0.00532229765841134*(1)</f>
        <v>5.3222976584113403E-3</v>
      </c>
      <c r="DH11" s="2">
        <f>-0.0332301374839894*(1)</f>
        <v>-3.3230137483989397E-2</v>
      </c>
      <c r="DI11" s="2">
        <f>-0.0292841756928583*(1)</f>
        <v>-2.9284175692858301E-2</v>
      </c>
      <c r="DJ11" s="2">
        <f>0.0398068427121628*(1)</f>
        <v>3.9806842712162803E-2</v>
      </c>
      <c r="DK11" s="2">
        <f>-0.00800915629314696*(1)</f>
        <v>-8.0091562931469597E-3</v>
      </c>
      <c r="DL11" s="2">
        <f>-0.032857124755772*(1)</f>
        <v>-3.2857124755772002E-2</v>
      </c>
      <c r="DM11" s="2">
        <f>-0.00305132208973932*(1)</f>
        <v>-3.0513220897393201E-3</v>
      </c>
      <c r="DN11" s="2">
        <f>-0.0186016622141774*(1)</f>
        <v>-1.8601662214177399E-2</v>
      </c>
      <c r="DO11" s="2">
        <f>-0.00914586067557824*(1)</f>
        <v>-9.1458606755782396E-3</v>
      </c>
      <c r="DP11" s="2">
        <f>-0.0212234652906758*(1)</f>
        <v>-2.12234652906758E-2</v>
      </c>
      <c r="DQ11" s="2">
        <f>0.0302869634124803*(1)</f>
        <v>3.02869634124803E-2</v>
      </c>
      <c r="DR11" s="2">
        <f>-0.00419222991021862*(1)</f>
        <v>-4.1922299102186197E-3</v>
      </c>
      <c r="DS11" s="2">
        <f>-0.00322646294390829*(1)</f>
        <v>-3.2264629439082899E-3</v>
      </c>
      <c r="DT11" s="2">
        <f>-0.00887423782335099*(1)</f>
        <v>-8.8742378233509899E-3</v>
      </c>
      <c r="DU11" s="2">
        <f>0.0154221211937113*(1)</f>
        <v>1.5422121193711299E-2</v>
      </c>
      <c r="DV11" s="2">
        <f>-0.00627328045074113*(1)</f>
        <v>-6.2732804507411302E-3</v>
      </c>
      <c r="DW11" s="2">
        <f>-0.00258522877718708*(1)</f>
        <v>-2.5852287771870801E-3</v>
      </c>
      <c r="DX11" s="2">
        <f>0.00109109968146836*(1)</f>
        <v>1.0910996814683599E-3</v>
      </c>
      <c r="DY11" s="2">
        <f>-0.0186743254209286*(1)</f>
        <v>-1.86743254209286E-2</v>
      </c>
      <c r="DZ11" s="2">
        <f>0.00140574723500282*(1)</f>
        <v>1.4057472350028201E-3</v>
      </c>
      <c r="EA11" s="2">
        <f>-0.0200403459248407*(1)</f>
        <v>-2.0040345924840702E-2</v>
      </c>
      <c r="EB11" s="2">
        <f>-0.00541708533964805*(1)</f>
        <v>-5.4170853396480496E-3</v>
      </c>
      <c r="EC11" s="2">
        <f>-0.0349740751653549*(1)</f>
        <v>-3.4974075165354897E-2</v>
      </c>
      <c r="ED11" s="2">
        <f>0.0267905511916903*(1)</f>
        <v>2.6790551191690298E-2</v>
      </c>
      <c r="EE11" s="2">
        <f>-0.00221772082911883*(1)</f>
        <v>-2.2177208291188299E-3</v>
      </c>
      <c r="EF11" s="2">
        <f>-0.0928605134142182*(1)</f>
        <v>-9.2860513414218193E-2</v>
      </c>
      <c r="EG11" s="2">
        <f>0.0521246144291177*(1)</f>
        <v>5.2124614429117699E-2</v>
      </c>
      <c r="EH11" s="2">
        <f>0.0409988966152217*(1)</f>
        <v>4.09988966152217E-2</v>
      </c>
      <c r="EI11" s="2">
        <f>-0.047388373421138*(1)</f>
        <v>-4.7388373421137997E-2</v>
      </c>
      <c r="EJ11" s="2">
        <f>-0.0422139434575375*(1)</f>
        <v>-4.2213943457537498E-2</v>
      </c>
      <c r="EK11" s="2">
        <f>0.0662653016509978*(1)</f>
        <v>6.6265301650997796E-2</v>
      </c>
      <c r="EL11" s="2">
        <f>0.0324249998775282*(1)</f>
        <v>3.2424999877528199E-2</v>
      </c>
      <c r="EM11" s="2">
        <f>-0.0235174928949179*(1)</f>
        <v>-2.3517492894917901E-2</v>
      </c>
      <c r="EN11" s="2">
        <f>-0.153875240394271*(1)</f>
        <v>-0.153875240394271</v>
      </c>
      <c r="EO11" s="2">
        <f>-0.00200260125482074*(1)</f>
        <v>-2.0026012548207402E-3</v>
      </c>
      <c r="EP11" s="2">
        <f>-0.0855267232080551*(1)</f>
        <v>-8.55267232080551E-2</v>
      </c>
      <c r="EQ11" s="2">
        <f>0.0580031695227399*(1)</f>
        <v>5.80031695227399E-2</v>
      </c>
      <c r="ER11" s="2">
        <f>-0.0888154837930169*(1)</f>
        <v>-8.8815483793016903E-2</v>
      </c>
      <c r="ES11" s="2">
        <f>0.0206372907682946*(1)</f>
        <v>2.0637290768294601E-2</v>
      </c>
      <c r="ET11" s="2">
        <f>-0.011656898476207*(1)</f>
        <v>-1.1656898476207E-2</v>
      </c>
      <c r="EU11" s="2">
        <f>0.106602203828509*(1)</f>
        <v>0.106602203828509</v>
      </c>
      <c r="EV11" s="2">
        <f>0.052908075598397*(1)</f>
        <v>5.2908075598396997E-2</v>
      </c>
      <c r="EW11" s="2">
        <f>-0.0765896018889508*(1)</f>
        <v>-7.6589601888950795E-2</v>
      </c>
      <c r="EX11" s="2">
        <f>-0.037688843070584*(1)</f>
        <v>-3.7688843070583997E-2</v>
      </c>
      <c r="EY11" s="2">
        <f>0.0428202824114595*(1)</f>
        <v>4.28202824114595E-2</v>
      </c>
      <c r="EZ11" s="2">
        <f>0.07043027570861*(1)</f>
        <v>7.0430275708610005E-2</v>
      </c>
      <c r="FA11" s="2">
        <f>0.0187177712779728*(1)</f>
        <v>1.8717771277972799E-2</v>
      </c>
      <c r="FB11" s="2">
        <f>-0.0584908816294408*(1)</f>
        <v>-5.84908816294408E-2</v>
      </c>
      <c r="FC11" s="2">
        <f>-0.0456993494636633*(1)</f>
        <v>-4.5699349463663302E-2</v>
      </c>
      <c r="FD11" s="2">
        <f>0.00162913268657774*(1)</f>
        <v>1.6291326865777399E-3</v>
      </c>
      <c r="FE11" s="2">
        <f>0.0601016248409526*(1)</f>
        <v>6.0101624840952599E-2</v>
      </c>
      <c r="FF11" s="2">
        <f>0.0374707556177668*(1)</f>
        <v>3.7470755617766797E-2</v>
      </c>
      <c r="FG11" s="2">
        <f>0.0482611459404615*(1)</f>
        <v>4.8261145940461499E-2</v>
      </c>
      <c r="FH11" s="2">
        <f>0.000396611061778464*(1)</f>
        <v>3.9661106177846402E-4</v>
      </c>
      <c r="FI11" s="2">
        <f>0.0597676190465398*(1)</f>
        <v>5.9767619046539801E-2</v>
      </c>
      <c r="FJ11" s="2">
        <f>0.0871582349696357*(1)</f>
        <v>8.7158234969635706E-2</v>
      </c>
      <c r="FK11" s="2">
        <f>0.0678270513087744*(1)</f>
        <v>6.7827051308774394E-2</v>
      </c>
      <c r="FL11" s="2">
        <f>0.0505118829965518*(1)</f>
        <v>5.05118829965518E-2</v>
      </c>
      <c r="FM11" s="2">
        <f>-0.0100148137387669*(1)</f>
        <v>-1.0014813738766899E-2</v>
      </c>
      <c r="FN11" s="2">
        <f>0.0254681284803272*(1)</f>
        <v>2.5468128480327201E-2</v>
      </c>
      <c r="FO11" s="2">
        <f>0.0245884660862598*(1)</f>
        <v>2.4588466086259801E-2</v>
      </c>
      <c r="FP11" s="2">
        <f>0.0414819993003091*(1)</f>
        <v>4.1481999300309103E-2</v>
      </c>
      <c r="FQ11" s="2">
        <f>-0.0177959685354008*(1)</f>
        <v>-1.7795968535400799E-2</v>
      </c>
      <c r="FR11" s="2">
        <f>-0.000712218377200743*(1)</f>
        <v>-7.12218377200743E-4</v>
      </c>
      <c r="FS11" s="2">
        <f>0.00985728882777931*(1)</f>
        <v>9.8572888277793091E-3</v>
      </c>
      <c r="FT11" s="2">
        <f>-0.0428549726348962*(1)</f>
        <v>-4.2854972634896203E-2</v>
      </c>
      <c r="FU11" s="2">
        <f>0.00608342291079467*(1)</f>
        <v>6.0834229107946704E-3</v>
      </c>
      <c r="FV11" s="2">
        <f>-0.00188424712166921*(1)</f>
        <v>-1.88424712166921E-3</v>
      </c>
      <c r="FW11" s="2">
        <f>-0.00438078335668363*(1)</f>
        <v>-4.3807833566836298E-3</v>
      </c>
      <c r="FX11" s="2">
        <f>0.0137727397717556*(1)</f>
        <v>1.37727397717556E-2</v>
      </c>
      <c r="FY11" s="2">
        <f>0.0201848022130559*(1)</f>
        <v>2.0184802213055901E-2</v>
      </c>
      <c r="FZ11" s="2">
        <f>-0.000439413069823188*(1)</f>
        <v>-4.3941306982318802E-4</v>
      </c>
      <c r="GA11" s="2">
        <f>0.0143773965913887*(1)</f>
        <v>1.4377396591388701E-2</v>
      </c>
      <c r="GB11" s="2">
        <f>-0.0309868556542787*(1)</f>
        <v>-3.0986855654278701E-2</v>
      </c>
      <c r="GC11" s="2">
        <f>0.0574181717270707*(1)</f>
        <v>5.7418171727070699E-2</v>
      </c>
      <c r="GD11" s="2">
        <f>0.0626173659611548*(1)</f>
        <v>6.2617365961154803E-2</v>
      </c>
      <c r="GE11" s="2">
        <f>0.0529046505774153*(1)</f>
        <v>5.2904650577415301E-2</v>
      </c>
      <c r="GF11" s="2">
        <f>0.0853180163942111*(1)</f>
        <v>8.5318016394211105E-2</v>
      </c>
      <c r="GG11" s="2">
        <f>0.0484899464102999*(1)</f>
        <v>4.8489946410299897E-2</v>
      </c>
      <c r="GH11" s="2">
        <f>0.0873417821545244*(1)</f>
        <v>8.73417821545244E-2</v>
      </c>
      <c r="GI11" s="2">
        <f>0.0842314351013707*(1)</f>
        <v>8.4231435101370697E-2</v>
      </c>
      <c r="GJ11" s="2">
        <f>-0.0389877201583275*(1)</f>
        <v>-3.89877201583275E-2</v>
      </c>
      <c r="GK11" s="2">
        <f>-0.0326592464238662*(1)</f>
        <v>-3.2659246423866202E-2</v>
      </c>
      <c r="GL11" s="2">
        <f>0.110456508623967*(1)</f>
        <v>0.110456508623967</v>
      </c>
      <c r="GM11" s="2">
        <f>0.0237317531614848*(1)</f>
        <v>2.3731753161484799E-2</v>
      </c>
      <c r="GN11" s="2">
        <f>0.0172315001236279*(1)</f>
        <v>1.72315001236279E-2</v>
      </c>
      <c r="GO11" s="2">
        <f>0.00252087651217302*(1)</f>
        <v>2.5208765121730202E-3</v>
      </c>
      <c r="GP11" s="2">
        <f>0.0228501746704992*(1)</f>
        <v>2.2850174670499199E-2</v>
      </c>
      <c r="GQ11" s="2">
        <f>0.0462759482400722*(1)</f>
        <v>4.6275948240072202E-2</v>
      </c>
      <c r="GR11" s="2">
        <f>0.0330007695863198*(1)</f>
        <v>3.3000769586319798E-2</v>
      </c>
      <c r="GS11" s="2">
        <f>-0.00134904589573684*(1)</f>
        <v>-1.3490458957368401E-3</v>
      </c>
      <c r="GT11" s="2">
        <f>0.00519843539224018*(1)</f>
        <v>5.19843539224018E-3</v>
      </c>
      <c r="GU11" s="2">
        <f>0.0035169746493704*(1)</f>
        <v>3.5169746493703999E-3</v>
      </c>
      <c r="GV11" s="2">
        <f>-0.0891794322611727*(1)</f>
        <v>-8.9179432261172698E-2</v>
      </c>
      <c r="GW11" s="2">
        <f>0.0893486872607522*(1)</f>
        <v>8.9348687260752194E-2</v>
      </c>
      <c r="GX11" s="2">
        <f>0.0328731197384402*(1)</f>
        <v>3.2873119738440197E-2</v>
      </c>
      <c r="GY11" s="2">
        <f>-0.0601570517868863*(1)</f>
        <v>-6.0157051786886302E-2</v>
      </c>
      <c r="GZ11" s="2">
        <f>-0.0192398596765449*(1)</f>
        <v>-1.9239859676544901E-2</v>
      </c>
      <c r="HA11" s="2">
        <f>0.045496734812382*(1)</f>
        <v>4.5496734812381999E-2</v>
      </c>
      <c r="HB11" s="2">
        <f>-0.0776302449491549*(1)</f>
        <v>-7.7630244949154895E-2</v>
      </c>
      <c r="HC11" s="2">
        <f>-0.0236030724588395*(1)</f>
        <v>-2.36030724588395E-2</v>
      </c>
      <c r="HD11" s="2">
        <f>0.0821409450163948*(1)</f>
        <v>8.2140945016394795E-2</v>
      </c>
      <c r="HE11" s="2">
        <f>-0.0726383965599925*(1)</f>
        <v>-7.2638396559992505E-2</v>
      </c>
      <c r="HF11" s="2">
        <f>0.0501228954202006*(1)</f>
        <v>5.0122895420200597E-2</v>
      </c>
      <c r="HG11" s="2">
        <f>-0.0139028544148324*(1)</f>
        <v>-1.39028544148324E-2</v>
      </c>
      <c r="HH11" s="2">
        <f>0.043497782137667*(1)</f>
        <v>4.3497782137667002E-2</v>
      </c>
      <c r="HI11" s="2">
        <f>0.0204763571458706*(1)</f>
        <v>2.0476357145870601E-2</v>
      </c>
      <c r="HJ11" s="2">
        <f>0.0278862252750054*(1)</f>
        <v>2.7886225275005401E-2</v>
      </c>
      <c r="HK11" s="2">
        <f>-0.0184123221613783*(1)</f>
        <v>-1.8412322161378301E-2</v>
      </c>
      <c r="HL11" s="2">
        <f>0.119498948318983*(1)</f>
        <v>0.119498948318983</v>
      </c>
      <c r="HM11" s="2">
        <f>-0.0110969051349044*(1)</f>
        <v>-1.1096905134904401E-2</v>
      </c>
      <c r="HN11" s="2">
        <f>-0.0198435662044433*(1)</f>
        <v>-1.9843566204443299E-2</v>
      </c>
      <c r="HO11" s="2">
        <f>0.0984800852116087*(1)</f>
        <v>9.8480085211608698E-2</v>
      </c>
      <c r="HP11" s="2">
        <f>-0.0277097830012662*(1)</f>
        <v>-2.7709783001266201E-2</v>
      </c>
      <c r="HQ11" s="2">
        <f>-0.113017925903146*(1)</f>
        <v>-0.11301792590314599</v>
      </c>
      <c r="HR11" s="2">
        <f>0.0369329172925106*(1)</f>
        <v>3.6932917292510602E-2</v>
      </c>
      <c r="HS11" s="2">
        <f>0.0353552619603361*(1)</f>
        <v>3.5355261960336101E-2</v>
      </c>
      <c r="HT11" s="2">
        <f>-0.0235817435860309*(1)</f>
        <v>-2.35817435860309E-2</v>
      </c>
      <c r="HU11" s="2">
        <f>-0.00373654775925435*(1)</f>
        <v>-3.7365477592543501E-3</v>
      </c>
      <c r="HV11" s="2">
        <f>0.0929562514288292*(1)</f>
        <v>9.2956251428829198E-2</v>
      </c>
      <c r="HW11" s="2">
        <f>0.042928467283009*(1)</f>
        <v>4.2928467283009003E-2</v>
      </c>
      <c r="HX11" s="2">
        <f>-0.060220296120001*(1)</f>
        <v>-6.0220296120001002E-2</v>
      </c>
      <c r="HY11" s="2">
        <f>0.00623246270693007*(1)</f>
        <v>6.2324627069300703E-3</v>
      </c>
      <c r="HZ11" s="2">
        <f>0.0887012479360543*(1)</f>
        <v>8.87012479360543E-2</v>
      </c>
      <c r="IA11" s="2">
        <f>0.0753730767487929*(1)</f>
        <v>7.53730767487929E-2</v>
      </c>
      <c r="IB11" s="2">
        <f>0.049341877408745*(1)</f>
        <v>4.9341877408745002E-2</v>
      </c>
      <c r="IC11" s="2">
        <f>-0.00163002582328817*(1)</f>
        <v>-1.6300258232881701E-3</v>
      </c>
      <c r="ID11" s="2">
        <f>-0.0567689559660882*(1)</f>
        <v>-5.6768955966088198E-2</v>
      </c>
      <c r="IE11" s="2">
        <f>0.0530027077491172*(1)</f>
        <v>5.3002707749117202E-2</v>
      </c>
      <c r="IF11" s="2">
        <f>-0.0306649781991729*(1)</f>
        <v>-3.0664978199172899E-2</v>
      </c>
      <c r="IG11" s="2">
        <f>0.0413412525864031*(1)</f>
        <v>4.1341252586403102E-2</v>
      </c>
      <c r="IH11" s="2">
        <f>-0.0296378537664443*(1)</f>
        <v>-2.9637853766444299E-2</v>
      </c>
      <c r="II11" s="2">
        <f>0.0644942661782063*(1)</f>
        <v>6.4494266178206305E-2</v>
      </c>
      <c r="IJ11" s="2">
        <f>0.026197495522646*(1)</f>
        <v>2.6197495522646001E-2</v>
      </c>
      <c r="IK11" s="2">
        <f>0.0545507496238484*(1)</f>
        <v>5.4550749623848399E-2</v>
      </c>
      <c r="IL11" s="2">
        <f>-0.0133662208604261*(1)</f>
        <v>-1.33662208604261E-2</v>
      </c>
      <c r="IM11" s="2">
        <f>0.0201302556546033*(1)</f>
        <v>2.0130255654603298E-2</v>
      </c>
      <c r="IN11" s="2">
        <f>0.0227057925823979*(1)</f>
        <v>2.27057925823979E-2</v>
      </c>
      <c r="IO11" s="2">
        <f>-0.0867589772611301*(1)</f>
        <v>-8.6758977261130105E-2</v>
      </c>
      <c r="IP11" s="2">
        <f>0.0049228909293848*(1)</f>
        <v>4.9228909293848001E-3</v>
      </c>
      <c r="IQ11" s="2">
        <f>-0.12154001775633*(1)</f>
        <v>-0.12154001775633</v>
      </c>
      <c r="IR11" s="2">
        <f>0.0337404477035763*(1)</f>
        <v>3.3740447703576301E-2</v>
      </c>
      <c r="IS11" s="2">
        <f>0.00717782564557473*(1)</f>
        <v>7.1778256455747296E-3</v>
      </c>
      <c r="IT11" s="2">
        <f>-0.0259575273890101*(1)</f>
        <v>-2.59575273890101E-2</v>
      </c>
      <c r="IU11" s="2">
        <f>-0.0282068741230445*(1)</f>
        <v>-2.8206874123044502E-2</v>
      </c>
      <c r="IV11" s="2">
        <f>-0.0446991500566595*(1)</f>
        <v>-4.4699150056659497E-2</v>
      </c>
      <c r="IW11" s="2">
        <f>0.030634358337311*(1)</f>
        <v>3.0634358337310999E-2</v>
      </c>
      <c r="IX11" s="2">
        <f>0.0451410248305197*(1)</f>
        <v>4.5141024830519703E-2</v>
      </c>
      <c r="IY11" s="2">
        <f>0.113857838917386*(1)</f>
        <v>0.113857838917386</v>
      </c>
      <c r="IZ11" s="2">
        <f>0.0556083618855029*(1)</f>
        <v>5.5608361885502902E-2</v>
      </c>
      <c r="JA11" s="2">
        <f>-0.0472580938113178*(1)</f>
        <v>-4.7258093811317799E-2</v>
      </c>
      <c r="JB11" s="2">
        <f>-0.00445209490474171*(1)</f>
        <v>-4.4520949047417097E-3</v>
      </c>
      <c r="JC11" s="2">
        <f>-0.0205237354917277*(1)</f>
        <v>-2.0523735491727702E-2</v>
      </c>
      <c r="JD11" s="2">
        <f>-0.0863683186870278*(1)</f>
        <v>-8.6368318687027795E-2</v>
      </c>
      <c r="JE11" s="2">
        <f>-0.0500794961493229*(1)</f>
        <v>-5.0079496149322902E-2</v>
      </c>
      <c r="JF11" s="2">
        <f>-0.0132241861139545*(1)</f>
        <v>-1.3224186113954499E-2</v>
      </c>
      <c r="JG11" s="2">
        <f>-0.00708185321125129*(1)</f>
        <v>-7.0818532112512898E-3</v>
      </c>
      <c r="JH11" s="2">
        <f>0.111920761504807*(1)</f>
        <v>0.111920761504807</v>
      </c>
      <c r="JI11" s="2">
        <f>0.149261366568741*(1)</f>
        <v>0.14926136656874101</v>
      </c>
      <c r="JJ11" s="2">
        <f>-0.123655479838416*(1)</f>
        <v>-0.123655479838416</v>
      </c>
      <c r="JK11" s="2">
        <f>0.101425051574415*(1)</f>
        <v>0.101425051574415</v>
      </c>
      <c r="JL11" s="2">
        <f>0.0382771421111673*(1)</f>
        <v>3.8277142111167298E-2</v>
      </c>
      <c r="JM11" s="2">
        <f>0.0444191973881565*(1)</f>
        <v>4.4419197388156501E-2</v>
      </c>
      <c r="JN11" s="2">
        <f>0.110765768324167*(1)</f>
        <v>0.110765768324167</v>
      </c>
      <c r="JO11" s="2">
        <f>0.0460464824527525*(1)</f>
        <v>4.6046482452752502E-2</v>
      </c>
      <c r="JP11" s="2">
        <f>0.0669324178722621*(1)</f>
        <v>6.6932417872262104E-2</v>
      </c>
      <c r="JQ11" s="2">
        <f>-0.105512046548555*(1)</f>
        <v>-0.10551204654855501</v>
      </c>
      <c r="JR11" s="2">
        <f>0.0674598747912263*(1)</f>
        <v>6.7459874791226296E-2</v>
      </c>
      <c r="JS11" s="2">
        <f>-0.0122163560839554*(1)</f>
        <v>-1.2216356083955399E-2</v>
      </c>
      <c r="JT11" s="2">
        <f>0.0477747615311135*(1)</f>
        <v>4.7774761531113499E-2</v>
      </c>
      <c r="JU11" s="2">
        <f>0.0836601509961821*(1)</f>
        <v>8.3660150996182098E-2</v>
      </c>
      <c r="JV11" s="2">
        <f>-0.00215718715566048*(1)</f>
        <v>-2.1571871556604798E-3</v>
      </c>
      <c r="JW11" s="2">
        <f>0.0734711813810917*(1)</f>
        <v>7.3471181381091696E-2</v>
      </c>
      <c r="JX11" s="2">
        <f>-0.0881386912490594*(1)</f>
        <v>-8.8138691249059403E-2</v>
      </c>
      <c r="JY11" s="2">
        <f>-0.0361712854287742*(1)</f>
        <v>-3.6171285428774201E-2</v>
      </c>
      <c r="JZ11" s="2">
        <f>0.0392444176069027*(1)</f>
        <v>3.9244417606902698E-2</v>
      </c>
      <c r="KA11" s="2">
        <f>0.15764212940495*(1)</f>
        <v>0.15764212940495001</v>
      </c>
      <c r="KB11" s="2">
        <f>-0.0167167064208133*(1)</f>
        <v>-1.6716706420813299E-2</v>
      </c>
      <c r="KC11" s="2">
        <f>-0.0853788619980305*(1)</f>
        <v>-8.5378861998030506E-2</v>
      </c>
      <c r="KD11" s="2">
        <f>-0.0469173240537503*(1)</f>
        <v>-4.6917324053750299E-2</v>
      </c>
      <c r="KE11" s="2">
        <f>0.0863410963222813*(1)</f>
        <v>8.6341096322281305E-2</v>
      </c>
      <c r="KF11" s="2">
        <f>-0.0466729497332584*(1)</f>
        <v>-4.6672949733258397E-2</v>
      </c>
      <c r="KG11" s="2">
        <f>0.0586529978434332*(1)</f>
        <v>5.8652997843433197E-2</v>
      </c>
      <c r="KH11" s="2">
        <f>-0.175388256356095*(1)</f>
        <v>-0.17538825635609501</v>
      </c>
      <c r="KI11" s="2">
        <f>-0.0302569892510979*(1)</f>
        <v>-3.0256989251097901E-2</v>
      </c>
      <c r="KJ11" s="2">
        <f>0.0696876272409506*(1)</f>
        <v>6.9687627240950595E-2</v>
      </c>
      <c r="KK11" s="2">
        <f>0.0230565452287017*(1)</f>
        <v>2.3056545228701701E-2</v>
      </c>
      <c r="KL11" s="2">
        <f>-0.00700993389152547*(1)</f>
        <v>-7.0099338915254701E-3</v>
      </c>
      <c r="KM11" s="2">
        <f>-0.0260789614449072*(1)</f>
        <v>-2.6078961444907199E-2</v>
      </c>
      <c r="KN11" s="2">
        <f>-0.0303099018760453*(1)</f>
        <v>-3.0309901876045299E-2</v>
      </c>
      <c r="KO11" s="2">
        <f>-0.0954911251954774*(1)</f>
        <v>-9.5491125195477394E-2</v>
      </c>
      <c r="KP11" s="2">
        <f>-0.0386180065396212*(1)</f>
        <v>-3.8618006539621198E-2</v>
      </c>
      <c r="KQ11" s="2">
        <f>0.0371068124881563*(1)</f>
        <v>3.7106812488156303E-2</v>
      </c>
      <c r="KR11" s="2">
        <f>0.0268918622659808*(1)</f>
        <v>2.6891862265980799E-2</v>
      </c>
      <c r="KS11" s="2">
        <f>-0.0762405891113241*(1)</f>
        <v>-7.62405891113241E-2</v>
      </c>
      <c r="KT11" s="2">
        <f>0.028576708913182*(1)</f>
        <v>2.8576708913182002E-2</v>
      </c>
      <c r="KU11" s="2">
        <f>0.00962463532128867*(1)</f>
        <v>9.6246353212886705E-3</v>
      </c>
      <c r="KV11" s="2">
        <f>-0.0395706287302833*(1)</f>
        <v>-3.9570628730283303E-2</v>
      </c>
      <c r="KW11" s="2">
        <f>-0.0521780258235293*(1)</f>
        <v>-5.2178025823529303E-2</v>
      </c>
      <c r="KX11" s="2">
        <f>0.0873943059102002*(1)</f>
        <v>8.7394305910200198E-2</v>
      </c>
      <c r="KY11" s="2">
        <f>-0.0529016679871289*(1)</f>
        <v>-5.2901667987128899E-2</v>
      </c>
      <c r="KZ11" s="2">
        <f>0.0188928692605233*(1)</f>
        <v>1.88928692605233E-2</v>
      </c>
      <c r="LA11" s="2">
        <f>0.0278065357299746*(1)</f>
        <v>2.7806535729974598E-2</v>
      </c>
      <c r="LB11" s="2">
        <f>0.0364360558278672*(1)</f>
        <v>3.64360558278672E-2</v>
      </c>
      <c r="LC11" s="2">
        <f>-0.0284737247639176*(1)</f>
        <v>-2.8473724763917602E-2</v>
      </c>
      <c r="LD11" s="2">
        <f>0.0659817305419078*(1)</f>
        <v>6.5981730541907799E-2</v>
      </c>
      <c r="LE11" s="2">
        <f>-0.00802837602498032*(1)</f>
        <v>-8.0283760249803202E-3</v>
      </c>
      <c r="LF11" s="2">
        <f>0.0302994473897048*(1)</f>
        <v>3.02994473897048E-2</v>
      </c>
      <c r="LG11" s="2">
        <f>-0.0764501855228345*(1)</f>
        <v>-7.6450185522834502E-2</v>
      </c>
      <c r="LH11" s="2">
        <f>-0.0511324465968931*(1)</f>
        <v>-5.1132446596893102E-2</v>
      </c>
      <c r="LI11" s="2">
        <f>-0.0425076900510113*(1)</f>
        <v>-4.25076900510113E-2</v>
      </c>
      <c r="LJ11" s="2">
        <f>-0.0130428899805067*(1)</f>
        <v>-1.30428899805067E-2</v>
      </c>
      <c r="LK11" s="2">
        <f>-0.00578891791435813*(1)</f>
        <v>-5.7889179143581302E-3</v>
      </c>
      <c r="LL11" s="2">
        <f>-0.0305848321060756*(1)</f>
        <v>-3.0584832106075599E-2</v>
      </c>
      <c r="LM11" s="2">
        <f>-0.0939116435024694*(1)</f>
        <v>-9.3911643502469402E-2</v>
      </c>
      <c r="LN11" s="2">
        <f>0.0191366165148688*(1)</f>
        <v>1.9136616514868799E-2</v>
      </c>
      <c r="LO11" s="2">
        <f>0.0238785154031154*(1)</f>
        <v>2.3878515403115402E-2</v>
      </c>
      <c r="LP11" s="2">
        <f>-0.0916217669228766*(1)</f>
        <v>-9.1621766922876602E-2</v>
      </c>
      <c r="LQ11" s="2">
        <f>0.0268969416916193*(1)</f>
        <v>2.6896941691619301E-2</v>
      </c>
      <c r="LR11" s="2">
        <f>-0.0965380424335438*(1)</f>
        <v>-9.6538042433543803E-2</v>
      </c>
      <c r="LS11" s="2">
        <f>0.032174550450813*(1)</f>
        <v>3.2174550450813001E-2</v>
      </c>
      <c r="LT11" s="2">
        <f>-0.0557881141175347*(1)</f>
        <v>-5.5788114117534697E-2</v>
      </c>
      <c r="LU11" s="2">
        <f>0.00621389848308582*(1)</f>
        <v>6.2138984830858203E-3</v>
      </c>
      <c r="LV11" s="2">
        <f>-0.129737364264108*(1)</f>
        <v>-0.12973736426410801</v>
      </c>
      <c r="LW11" s="2">
        <f>0.023863695518423*(1)</f>
        <v>2.3863695518423E-2</v>
      </c>
      <c r="LX11" s="2">
        <f>-0.0151563977604502*(1)</f>
        <v>-1.51563977604502E-2</v>
      </c>
      <c r="LY11" s="2">
        <f>0.0649611176313253*(1)</f>
        <v>6.4961117631325296E-2</v>
      </c>
      <c r="LZ11" s="2">
        <f>-0.0110708927989743*(1)</f>
        <v>-1.10708927989743E-2</v>
      </c>
      <c r="MA11" s="2">
        <f>-0.0419905613768283*(1)</f>
        <v>-4.19905613768283E-2</v>
      </c>
      <c r="MB11" s="2">
        <f>0.0118860888026097*(1)</f>
        <v>1.18860888026097E-2</v>
      </c>
      <c r="MC11" s="2">
        <f>-0.0166758936347478*(1)</f>
        <v>-1.66758936347478E-2</v>
      </c>
      <c r="MD11" s="2">
        <f>0.0146764765534995*(1)</f>
        <v>1.4676476553499501E-2</v>
      </c>
      <c r="ME11" s="2">
        <f>-0.0122351221596095*(1)</f>
        <v>-1.22351221596095E-2</v>
      </c>
      <c r="MF11" s="2">
        <f>0.01370800257771*(1)</f>
        <v>1.370800257771E-2</v>
      </c>
      <c r="MG11" s="2">
        <f>0.0484641078265204*(1)</f>
        <v>4.84641078265204E-2</v>
      </c>
      <c r="MH11" s="2">
        <f>-0.0680978246653581*(1)</f>
        <v>-6.8097824665358103E-2</v>
      </c>
      <c r="MI11" s="2">
        <f>0.0344047293934843*(1)</f>
        <v>3.4404729393484303E-2</v>
      </c>
      <c r="MJ11" s="2">
        <f>0.0138446901259635*(1)</f>
        <v>1.38446901259635E-2</v>
      </c>
      <c r="MK11" s="2">
        <f>0.0454687524970852*(1)</f>
        <v>4.5468752497085201E-2</v>
      </c>
      <c r="ML11" s="2">
        <f>-0.0588121746267563*(1)</f>
        <v>-5.8812174626756301E-2</v>
      </c>
      <c r="MM11" s="2">
        <f>0.0416349364284067*(1)</f>
        <v>4.1634936428406703E-2</v>
      </c>
      <c r="MN11" s="2">
        <f>0.0706801794800202*(1)</f>
        <v>7.06801794800202E-2</v>
      </c>
      <c r="MO11" s="2">
        <f>-0.0585156766608433*(1)</f>
        <v>-5.8515676660843299E-2</v>
      </c>
      <c r="MP11" s="2">
        <f>-0.0152310408253975*(1)</f>
        <v>-1.52310408253975E-2</v>
      </c>
      <c r="MQ11" s="2">
        <f>-0.00498839390970433*(1)</f>
        <v>-4.9883939097043299E-3</v>
      </c>
      <c r="MR11" s="2">
        <f>0.0582320478062587*(1)</f>
        <v>5.8232047806258701E-2</v>
      </c>
      <c r="MS11" s="2">
        <f>-0.101464282982774*(1)</f>
        <v>-0.101464282982774</v>
      </c>
      <c r="MT11" s="2">
        <f>0.0784781572803551*(1)</f>
        <v>7.8478157280355093E-2</v>
      </c>
      <c r="MU11" s="2">
        <f>-0.045913472195344*(1)</f>
        <v>-4.5913472195344002E-2</v>
      </c>
      <c r="MV11" s="2">
        <f>0.0478361374989202*(1)</f>
        <v>4.7836137498920198E-2</v>
      </c>
      <c r="MW11" s="2">
        <f>0.0247839381811689*(1)</f>
        <v>2.4783938181168901E-2</v>
      </c>
      <c r="MX11" s="2">
        <f>0.0153287584173878*(1)</f>
        <v>1.5328758417387799E-2</v>
      </c>
      <c r="MY11" s="2">
        <f>-0.0970795723504165*(1)</f>
        <v>-9.7079572350416504E-2</v>
      </c>
      <c r="MZ11" s="2">
        <f>0.00103978024344179*(1)</f>
        <v>1.0397802434417901E-3</v>
      </c>
      <c r="NA11" s="2">
        <f>0.0198033218118519*(1)</f>
        <v>1.98033218118519E-2</v>
      </c>
      <c r="NB11" s="2">
        <f>-0.0168403881257231*(1)</f>
        <v>-1.68403881257231E-2</v>
      </c>
      <c r="NC11" s="2">
        <f>-0.0033306109440557*(1)</f>
        <v>-3.3306109440556998E-3</v>
      </c>
      <c r="ND11" s="2">
        <f>0.074518619996252*(1)</f>
        <v>7.4518619996252006E-2</v>
      </c>
      <c r="NE11" s="2">
        <f>0.0329492351689996*(1)</f>
        <v>3.2949235168999599E-2</v>
      </c>
      <c r="NF11" s="2">
        <f>-0.0195748038859257*(1)</f>
        <v>-1.9574803885925699E-2</v>
      </c>
      <c r="NG11" s="2">
        <f>0.0402852583114866*(1)</f>
        <v>4.0285258311486598E-2</v>
      </c>
      <c r="NH11" s="2">
        <f>-0.0418996757799057*(1)</f>
        <v>-4.18996757799057E-2</v>
      </c>
      <c r="NI11" s="2">
        <f>-0.0934433637369663*(1)</f>
        <v>-9.3443363736966295E-2</v>
      </c>
      <c r="NJ11" s="2">
        <f>-0.0303142382835214*(1)</f>
        <v>-3.0314238283521401E-2</v>
      </c>
      <c r="NK11" s="2">
        <f>-0.0878880055152731*(1)</f>
        <v>-8.7888005515273093E-2</v>
      </c>
      <c r="NL11" s="2">
        <f>-0.0211801804652581*(1)</f>
        <v>-2.1180180465258099E-2</v>
      </c>
      <c r="NM11" s="2">
        <f>0.00685091503714441*(1)</f>
        <v>6.8509150371444099E-3</v>
      </c>
      <c r="NN11" s="2">
        <f>0.0505509223226905*(1)</f>
        <v>5.0550922322690497E-2</v>
      </c>
      <c r="NO11" s="2">
        <f>0.0218536499910494*(1)</f>
        <v>2.1853649991049402E-2</v>
      </c>
      <c r="NP11" s="2">
        <f>-0.021903281798403*(1)</f>
        <v>-2.1903281798403E-2</v>
      </c>
      <c r="NQ11" s="2">
        <f>0.0495371814143884*(1)</f>
        <v>4.9537181414388398E-2</v>
      </c>
      <c r="NR11" s="2">
        <f>0.00359751736362885*(1)</f>
        <v>3.5975173636288498E-3</v>
      </c>
      <c r="NS11" s="2">
        <f>-0.0187523570774608*(1)</f>
        <v>-1.8752357077460799E-2</v>
      </c>
      <c r="NT11" s="2">
        <f>0.00421670641066885*(1)</f>
        <v>4.2167064106688502E-3</v>
      </c>
      <c r="NU11" s="2">
        <f>0.0306107005177241*(1)</f>
        <v>3.0610700517724101E-2</v>
      </c>
      <c r="NV11" s="2">
        <f>-0.0347223217667098*(1)</f>
        <v>-3.47223217667098E-2</v>
      </c>
      <c r="NW11" s="2">
        <f>-0.0743128114962033*(1)</f>
        <v>-7.4312811496203293E-2</v>
      </c>
      <c r="NX11" s="2">
        <f>-0.0177910903731285*(1)</f>
        <v>-1.7791090373128499E-2</v>
      </c>
      <c r="NY11" s="2">
        <f>0.0379531556887193*(1)</f>
        <v>3.7953155688719299E-2</v>
      </c>
      <c r="NZ11" s="2">
        <f>-0.00576430406476187*(1)</f>
        <v>-5.76430406476187E-3</v>
      </c>
      <c r="OA11" s="2">
        <f>-0.0376576299560882*(1)</f>
        <v>-3.76576299560882E-2</v>
      </c>
      <c r="OB11" s="2">
        <f>0.00829290046777504*(1)</f>
        <v>8.2929004677750398E-3</v>
      </c>
      <c r="OC11" s="2">
        <f>-0.00714677361895963*(1)</f>
        <v>-7.1467736189596296E-3</v>
      </c>
      <c r="OD11" s="2">
        <f>-0.0703741223891683*(1)</f>
        <v>-7.0374122389168306E-2</v>
      </c>
      <c r="OE11" s="2">
        <f>0.012829590889483*(1)</f>
        <v>1.2829590889482999E-2</v>
      </c>
      <c r="OF11" s="2">
        <f>0.0162424203605902*(1)</f>
        <v>1.6242420360590201E-2</v>
      </c>
      <c r="OG11" s="2">
        <f>-0.0959803586451031*(1)</f>
        <v>-9.5980358645103098E-2</v>
      </c>
      <c r="OH11" s="2">
        <f>0.0185989630110233*(1)</f>
        <v>1.85989630110233E-2</v>
      </c>
      <c r="OI11" s="2">
        <f>0.0493370299773605*(1)</f>
        <v>4.9337029977360503E-2</v>
      </c>
      <c r="OJ11" s="2">
        <f>-0.0453954590985625*(1)</f>
        <v>-4.5395459098562498E-2</v>
      </c>
      <c r="OK11" s="2">
        <f>-0.00113810841076563*(1)</f>
        <v>-1.1381084107656299E-3</v>
      </c>
      <c r="OL11" s="2">
        <f>0.0436422829968868*(1)</f>
        <v>4.36422829968868E-2</v>
      </c>
      <c r="OM11" s="2">
        <f>-0.00776776835491029*(1)</f>
        <v>-7.7677683549102899E-3</v>
      </c>
      <c r="ON11" s="2">
        <f>0.0118559829037965*(1)</f>
        <v>1.18559829037965E-2</v>
      </c>
      <c r="OO11" s="2">
        <f>0.0280878332102263*(1)</f>
        <v>2.8087833210226301E-2</v>
      </c>
      <c r="OP11" s="2">
        <f>-0.0566362912280473*(1)</f>
        <v>-5.6636291228047302E-2</v>
      </c>
      <c r="OQ11" s="2">
        <f>-0.0382625833080467*(1)</f>
        <v>-3.8262583308046702E-2</v>
      </c>
      <c r="OR11" s="2">
        <f>-0.13245376620995*(1)</f>
        <v>-0.13245376620995</v>
      </c>
      <c r="OS11" s="2">
        <f>-0.0282282474942314*(1)</f>
        <v>-2.82282474942314E-2</v>
      </c>
      <c r="OT11" s="2">
        <f>-0.060495497434794*(1)</f>
        <v>-6.0495497434794002E-2</v>
      </c>
      <c r="OU11" s="2">
        <f>0.0290296954687181*(1)</f>
        <v>2.90296954687181E-2</v>
      </c>
      <c r="OV11" s="2">
        <f>0.0813361786485248*(1)</f>
        <v>8.1336178648524798E-2</v>
      </c>
      <c r="OW11" s="2">
        <f>-0.0661491065452203*(1)</f>
        <v>-6.6149106545220299E-2</v>
      </c>
      <c r="OX11" s="2">
        <f>0.0980644853077349*(1)</f>
        <v>9.80644853077349E-2</v>
      </c>
      <c r="OY11" s="2">
        <f>-0.139510799288111*(1)</f>
        <v>-0.139510799288111</v>
      </c>
      <c r="OZ11" s="2">
        <f>-0.0501512639874179*(1)</f>
        <v>-5.0151263987417899E-2</v>
      </c>
      <c r="PA11" s="2">
        <f>-0.0215372944704342*(1)</f>
        <v>-2.1537294470434201E-2</v>
      </c>
      <c r="PB11" s="2">
        <f>0.0146398783057246*(1)</f>
        <v>1.46398783057246E-2</v>
      </c>
      <c r="PC11" s="2">
        <f>-0.0205349086789299*(1)</f>
        <v>-2.0534908678929899E-2</v>
      </c>
      <c r="PD11" s="2">
        <f>0.140868882932375*(1)</f>
        <v>0.14086888293237501</v>
      </c>
      <c r="PE11" s="2">
        <f>-0.0392266434749724*(1)</f>
        <v>-3.92266434749724E-2</v>
      </c>
      <c r="PF11" s="2">
        <f>-0.0294397627973697*(1)</f>
        <v>-2.9439762797369699E-2</v>
      </c>
      <c r="PG11" s="2">
        <f>0.0240778684343269*(1)</f>
        <v>2.40778684343269E-2</v>
      </c>
      <c r="PH11" s="2">
        <f>0.0183680606215672*(1)</f>
        <v>1.8368060621567199E-2</v>
      </c>
      <c r="PI11" s="2">
        <f>0.0530837834651665*(1)</f>
        <v>5.3083783465166498E-2</v>
      </c>
      <c r="PJ11" s="2">
        <f>-0.0373490238218559*(1)</f>
        <v>-3.7349023821855898E-2</v>
      </c>
      <c r="PK11" s="2">
        <f>-0.100744240712323*(1)</f>
        <v>-0.100744240712323</v>
      </c>
      <c r="PL11" s="2">
        <f>-0.000808802194401981*(1)</f>
        <v>-8.0880219440198102E-4</v>
      </c>
      <c r="PM11" s="2">
        <f>0.103433212144173*(1)</f>
        <v>0.103433212144173</v>
      </c>
      <c r="PN11" s="2">
        <f>0.0686587258269024*(1)</f>
        <v>6.8658725826902398E-2</v>
      </c>
      <c r="PO11" s="2">
        <f>0.00434973988411876*(1)</f>
        <v>4.34973988411876E-3</v>
      </c>
      <c r="PP11" s="2">
        <f>-0.00600052140044329*(1)</f>
        <v>-6.0005214004432896E-3</v>
      </c>
      <c r="PQ11" s="2">
        <f>-0.132700338139267*(1)</f>
        <v>-0.13270033813926699</v>
      </c>
      <c r="PR11" s="2">
        <f>-0.025774493993131*(1)</f>
        <v>-2.5774493993131E-2</v>
      </c>
      <c r="PS11" s="2">
        <f>0.053140456452508*(1)</f>
        <v>5.3140456452507999E-2</v>
      </c>
      <c r="PT11" s="2">
        <f>-0.0115273912561584*(1)</f>
        <v>-1.15273912561584E-2</v>
      </c>
      <c r="PU11" s="2">
        <f>0.0126430832523462*(1)</f>
        <v>1.2643083252346201E-2</v>
      </c>
      <c r="PV11" s="2">
        <f>0.0123568393887938*(1)</f>
        <v>1.2356839388793801E-2</v>
      </c>
      <c r="PW11" s="2">
        <f>0.020145729043219*(1)</f>
        <v>2.0145729043218999E-2</v>
      </c>
      <c r="PX11" s="2">
        <f>-0.069549595330204*(1)</f>
        <v>-6.9549595330203995E-2</v>
      </c>
      <c r="PY11" s="2">
        <f>0.00455398585364491*(1)</f>
        <v>4.5539858536449099E-3</v>
      </c>
      <c r="PZ11" s="2">
        <f>0.0385093018831205*(1)</f>
        <v>3.8509301883120503E-2</v>
      </c>
      <c r="QA11" s="2">
        <f>0.0259704874074572*(1)</f>
        <v>2.59704874074572E-2</v>
      </c>
      <c r="QB11" s="2">
        <f>-0.0305160687777525*(1)</f>
        <v>-3.0516068777752502E-2</v>
      </c>
      <c r="QC11" s="2">
        <f>-0.0156779397205311*(1)</f>
        <v>-1.5677939720531098E-2</v>
      </c>
      <c r="QD11" s="2">
        <f>0.0755528759108043*(1)</f>
        <v>7.5552875910804299E-2</v>
      </c>
      <c r="QE11" s="2">
        <f>0.10287509586661*(1)</f>
        <v>0.10287509586661001</v>
      </c>
      <c r="QF11" s="2">
        <f>-0.0457826328267301*(1)</f>
        <v>-4.5782632826730098E-2</v>
      </c>
      <c r="QG11" s="2">
        <f>-0.0117840238208524*(1)</f>
        <v>-1.1784023820852399E-2</v>
      </c>
      <c r="QH11" s="2">
        <f>0.0178463952027205*(1)</f>
        <v>1.7846395202720501E-2</v>
      </c>
      <c r="QI11" s="2">
        <f>-0.036031791455688*(1)</f>
        <v>-3.6031791455688002E-2</v>
      </c>
      <c r="QJ11" s="2">
        <f>-0.0380355194788659*(1)</f>
        <v>-3.8035519478865902E-2</v>
      </c>
      <c r="QK11" s="2">
        <f>0.0564831450784665*(1)</f>
        <v>5.6483145078466503E-2</v>
      </c>
      <c r="QL11" s="2">
        <f>-0.0179130406599765*(1)</f>
        <v>-1.7913040659976499E-2</v>
      </c>
      <c r="QM11" s="2">
        <f>0.0174979541422331*(1)</f>
        <v>1.74979541422331E-2</v>
      </c>
      <c r="QN11" s="2">
        <f>-0.106892715902396*(1)</f>
        <v>-0.106892715902396</v>
      </c>
      <c r="QO11" s="2">
        <f>0.0396126676557681*(1)</f>
        <v>3.9612667655768097E-2</v>
      </c>
      <c r="QP11" s="2">
        <f>0.00186454825718323*(1)</f>
        <v>1.86454825718323E-3</v>
      </c>
      <c r="QQ11" s="2">
        <f>-0.0118977145537006*(1)</f>
        <v>-1.1897714553700599E-2</v>
      </c>
      <c r="QR11" s="2">
        <f>-0.0222447273233681*(1)</f>
        <v>-2.2244727323368099E-2</v>
      </c>
      <c r="QS11" s="2">
        <f>-0.0650850186715212*(1)</f>
        <v>-6.5085018671521194E-2</v>
      </c>
      <c r="QT11" s="2">
        <f>0.0061744939070271*(1)</f>
        <v>6.1744939070270998E-3</v>
      </c>
      <c r="QU11" s="2">
        <f>0.0920118028573024*(1)</f>
        <v>9.2011802857302399E-2</v>
      </c>
      <c r="QV11" s="2">
        <f>-0.0513039296909034*(1)</f>
        <v>-5.1303929690903402E-2</v>
      </c>
      <c r="QW11" s="2">
        <f>-0.021269178321723*(1)</f>
        <v>-2.1269178321722999E-2</v>
      </c>
      <c r="QX11" s="2">
        <f>0.0391247608896047*(1)</f>
        <v>3.9124760889604697E-2</v>
      </c>
      <c r="QY11" s="2">
        <f>0.0443472165506351*(1)</f>
        <v>4.4347216550635102E-2</v>
      </c>
      <c r="QZ11" s="2">
        <f>-0.036313639583037*(1)</f>
        <v>-3.6313639583037002E-2</v>
      </c>
      <c r="RA11" s="2">
        <f>0.0529990959522604*(1)</f>
        <v>5.2999095952260399E-2</v>
      </c>
      <c r="RB11" s="2">
        <f>0.0375262283767114*(1)</f>
        <v>3.75262283767114E-2</v>
      </c>
      <c r="RC11" s="2">
        <f>-0.00130659060524035*(1)</f>
        <v>-1.3065906052403501E-3</v>
      </c>
      <c r="RD11" s="2">
        <f>0.0103453524275517*(1)</f>
        <v>1.0345352427551699E-2</v>
      </c>
      <c r="RE11" s="2">
        <f>0.00144901244478666*(1)</f>
        <v>1.4490124447866599E-3</v>
      </c>
      <c r="RF11" s="2">
        <f>0.0189111095524277*(1)</f>
        <v>1.89111095524277E-2</v>
      </c>
      <c r="RG11" s="2">
        <f>-0.0287697840642563*(1)</f>
        <v>-2.8769784064256301E-2</v>
      </c>
      <c r="RH11" s="2">
        <f>-0.0650272660481903*(1)</f>
        <v>-6.5027266048190299E-2</v>
      </c>
      <c r="RI11" s="2">
        <f>-0.0385191042324309*(1)</f>
        <v>-3.8519104232430899E-2</v>
      </c>
      <c r="RJ11" s="2">
        <f>-0.0302343640303231*(1)</f>
        <v>-3.0234364030323101E-2</v>
      </c>
      <c r="RK11" s="2">
        <f>0.0873061254308657*(1)</f>
        <v>8.7306125430865703E-2</v>
      </c>
      <c r="RL11" s="2">
        <f>0.0941581187793268*(1)</f>
        <v>9.4158118779326797E-2</v>
      </c>
      <c r="RM11" s="2">
        <f>0.0494119409435595*(1)</f>
        <v>4.9411940943559503E-2</v>
      </c>
      <c r="RN11" s="2">
        <f>-0.00403104980531901*(1)</f>
        <v>-4.0310498053190104E-3</v>
      </c>
      <c r="RO11" s="2">
        <f>0.0818812641735605*(1)</f>
        <v>8.1881264173560495E-2</v>
      </c>
      <c r="RP11" s="2">
        <f>-0.00123931061011543*(1)</f>
        <v>-1.2393106101154299E-3</v>
      </c>
      <c r="RQ11" s="2">
        <f>0.0151703361241002*(1)</f>
        <v>1.51703361241002E-2</v>
      </c>
      <c r="RR11" s="2">
        <f>0.0115677274204428*(1)</f>
        <v>1.15677274204428E-2</v>
      </c>
      <c r="RS11" s="2">
        <f>0.015356849569964*(1)</f>
        <v>1.5356849569964E-2</v>
      </c>
      <c r="RT11" s="2">
        <f>-0.0105137232228119*(1)</f>
        <v>-1.05137232228119E-2</v>
      </c>
      <c r="RU11" s="2">
        <f>0.0411825435479093*(1)</f>
        <v>4.1182543547909303E-2</v>
      </c>
      <c r="RV11" s="2">
        <f>0.00318794226385184*(1)</f>
        <v>3.1879422638518401E-3</v>
      </c>
      <c r="RW11" s="2">
        <f>0.0492483208432037*(1)</f>
        <v>4.92483208432037E-2</v>
      </c>
      <c r="RX11" s="2">
        <f>0.0169291319561196*(1)</f>
        <v>1.69291319561196E-2</v>
      </c>
      <c r="RY11" s="2">
        <f>-0.0373956662438064*(1)</f>
        <v>-3.73956662438064E-2</v>
      </c>
      <c r="RZ11" s="2">
        <f>0.0188483763568366*(1)</f>
        <v>1.8848376356836598E-2</v>
      </c>
      <c r="SA11" s="2">
        <f>-0.0158193196701327*(1)</f>
        <v>-1.5819319670132701E-2</v>
      </c>
      <c r="SB11" s="2">
        <f>0.0539807406882023*(1)</f>
        <v>5.39807406882023E-2</v>
      </c>
      <c r="SC11" s="2">
        <f>0.045635102912809*(1)</f>
        <v>4.5635102912808999E-2</v>
      </c>
      <c r="SD11" s="2">
        <f>-0.00425745381515563*(1)</f>
        <v>-4.2574538151556301E-3</v>
      </c>
      <c r="SE11" s="2">
        <f>-0.0168376114428783*(1)</f>
        <v>-1.6837611442878299E-2</v>
      </c>
      <c r="SF11" s="2">
        <f>0.0785094796335703*(1)</f>
        <v>7.85094796335703E-2</v>
      </c>
      <c r="SG11" s="2">
        <f>-0.017179244023015*(1)</f>
        <v>-1.7179244023014999E-2</v>
      </c>
      <c r="SH11" s="2">
        <f>-0.104810785633087*(1)</f>
        <v>-0.104810785633087</v>
      </c>
      <c r="SI11" s="2">
        <f>0.0571628538927863*(1)</f>
        <v>5.7162853892786303E-2</v>
      </c>
      <c r="SJ11" s="2">
        <f>-0.0691597697039059*(1)</f>
        <v>-6.9159769703905902E-2</v>
      </c>
      <c r="SK11" s="2">
        <f>-0.100041168139541*(1)</f>
        <v>-0.100041168139541</v>
      </c>
      <c r="SL11" s="2">
        <f>-0.0409667688917228*(1)</f>
        <v>-4.09667688917228E-2</v>
      </c>
      <c r="SM11" s="2">
        <f>-0.0990373405363471*(1)</f>
        <v>-9.9037340536347093E-2</v>
      </c>
      <c r="SN11" s="2">
        <f>0.101288862231629*(1)</f>
        <v>0.101288862231629</v>
      </c>
      <c r="SO11" s="2">
        <f>0.0453665745152761*(1)</f>
        <v>4.5366574515276099E-2</v>
      </c>
      <c r="SP11" s="2">
        <f>-0.0423471234989418*(1)</f>
        <v>-4.2347123498941798E-2</v>
      </c>
      <c r="SQ11" s="2">
        <f>0.0411854943483927*(1)</f>
        <v>4.11854943483927E-2</v>
      </c>
      <c r="SR11" s="2">
        <f>-0.0664406011704821*(1)</f>
        <v>-6.6440601170482103E-2</v>
      </c>
      <c r="SS11" s="2">
        <f>-0.0503919719763002*(1)</f>
        <v>-5.0391971976300201E-2</v>
      </c>
      <c r="ST11" s="2">
        <f>-0.00661411172086624*(1)</f>
        <v>-6.6141117208662397E-3</v>
      </c>
      <c r="SU11" s="2">
        <f>-0.0802231424504293*(1)</f>
        <v>-8.0223142450429302E-2</v>
      </c>
      <c r="SV11" s="2">
        <f>0.130446700498854*(1)</f>
        <v>0.13044670049885401</v>
      </c>
      <c r="SW11" s="2">
        <f>-0.0285441999083807*(1)</f>
        <v>-2.85441999083807E-2</v>
      </c>
      <c r="SX11" s="2">
        <f>-0.0246694932435609*(1)</f>
        <v>-2.4669493243560901E-2</v>
      </c>
      <c r="SY11" s="2">
        <f>-0.0324242028215493*(1)</f>
        <v>-3.24242028215493E-2</v>
      </c>
      <c r="SZ11" s="2">
        <f>0.00111561972891741*(1)</f>
        <v>1.1156197289174099E-3</v>
      </c>
      <c r="TA11" s="2">
        <f>-0.0542753716195193*(1)</f>
        <v>-5.42753716195193E-2</v>
      </c>
      <c r="TB11" s="2">
        <f>-0.0115242537938445*(1)</f>
        <v>-1.15242537938445E-2</v>
      </c>
      <c r="TC11" s="2">
        <f>0.0318418985112547*(1)</f>
        <v>3.1841898511254699E-2</v>
      </c>
      <c r="TD11" s="2">
        <f>0.0330493465986389*(1)</f>
        <v>3.3049346598638903E-2</v>
      </c>
      <c r="TE11" s="2">
        <f>0.00296370789677486*(1)</f>
        <v>2.96370789677486E-3</v>
      </c>
      <c r="TF11" s="2">
        <f>0.0898636375396122*(1)</f>
        <v>8.9863637539612198E-2</v>
      </c>
      <c r="TG11" s="2">
        <f>-0.0513893749071183*(1)</f>
        <v>-5.1389374907118299E-2</v>
      </c>
      <c r="TH11" s="2">
        <f>-0.00515922103376378*(1)</f>
        <v>-5.1592210337637803E-3</v>
      </c>
      <c r="TI11" s="2">
        <f>0.0529497602058587*(1)</f>
        <v>5.2949760205858697E-2</v>
      </c>
      <c r="TJ11" s="2">
        <f>0.026694481286645*(1)</f>
        <v>2.6694481286644998E-2</v>
      </c>
      <c r="TK11" s="2">
        <f>-0.0321249982823032*(1)</f>
        <v>-3.2124998282303197E-2</v>
      </c>
      <c r="TL11" s="2">
        <f>-0.0726080987803638*(1)</f>
        <v>-7.2608098780363797E-2</v>
      </c>
      <c r="TM11" s="2">
        <f>0.0883500809340125*(1)</f>
        <v>8.8350080934012504E-2</v>
      </c>
      <c r="TN11" s="2">
        <f>-0.0241455963430345*(1)</f>
        <v>-2.4145596343034498E-2</v>
      </c>
      <c r="TO11" s="2">
        <f>-0.0107302278231857*(1)</f>
        <v>-1.07302278231857E-2</v>
      </c>
      <c r="TP11" s="2">
        <f>0.101578075622677*(1)</f>
        <v>0.101578075622677</v>
      </c>
      <c r="TQ11" s="2">
        <f>-0.00567943187408762*(1)</f>
        <v>-5.6794318740876204E-3</v>
      </c>
      <c r="TR11" s="2">
        <f>0.0658678643851649*(1)</f>
        <v>6.5867864385164898E-2</v>
      </c>
      <c r="TS11" s="2">
        <f>0.041325258022753*(1)</f>
        <v>4.1325258022752998E-2</v>
      </c>
      <c r="TT11" s="2">
        <f>0.0334509345397029*(1)</f>
        <v>3.3450934539702902E-2</v>
      </c>
      <c r="TU11" s="2">
        <f>0.00222278156800382*(1)</f>
        <v>2.2227815680038198E-3</v>
      </c>
      <c r="TV11" s="2">
        <f>0.00209333988218556*(1)</f>
        <v>2.0933398821855599E-3</v>
      </c>
      <c r="TW11" s="2">
        <f>-0.0125133949765541*(1)</f>
        <v>-1.25133949765541E-2</v>
      </c>
      <c r="TX11" s="2">
        <f>0.0482414600455799*(1)</f>
        <v>4.8241460045579901E-2</v>
      </c>
      <c r="TY11" s="2">
        <f>-0.0167586742786474*(1)</f>
        <v>-1.6758674278647401E-2</v>
      </c>
      <c r="TZ11" s="2">
        <f>0.00232835702688226*(1)</f>
        <v>2.32835702688226E-3</v>
      </c>
      <c r="UA11" s="2">
        <f>-0.0584288827597253*(1)</f>
        <v>-5.8428882759725298E-2</v>
      </c>
      <c r="UB11" s="2">
        <f>0.0155574621378198*(1)</f>
        <v>1.55574621378198E-2</v>
      </c>
      <c r="UC11" s="2">
        <f>-0.00866724926983644*(1)</f>
        <v>-8.6672492698364398E-3</v>
      </c>
      <c r="UD11" s="2">
        <f>-0.0152310723392987*(1)</f>
        <v>-1.52310723392987E-2</v>
      </c>
      <c r="UE11" s="2">
        <f>0.0964382436906981*(1)</f>
        <v>9.6438243690698103E-2</v>
      </c>
      <c r="UF11" s="2">
        <f>0.0205589103825577*(1)</f>
        <v>2.05589103825577E-2</v>
      </c>
      <c r="UG11" s="2">
        <f>0.0228258305118298*(1)</f>
        <v>2.2825830511829799E-2</v>
      </c>
      <c r="UH11" s="2">
        <f>0.0150071048777354*(1)</f>
        <v>1.50071048777354E-2</v>
      </c>
      <c r="UI11" s="2">
        <f>-0.0264334733112171*(1)</f>
        <v>-2.64334733112171E-2</v>
      </c>
      <c r="UJ11" s="2">
        <f>-0.0767933149762672*(1)</f>
        <v>-7.6793314976267193E-2</v>
      </c>
      <c r="UK11" s="2">
        <f>0.0398850347307801*(1)</f>
        <v>3.9885034730780103E-2</v>
      </c>
      <c r="UL11" s="2">
        <f>-0.0146242256521814*(1)</f>
        <v>-1.46242256521814E-2</v>
      </c>
      <c r="UM11" s="2">
        <f>-0.0462274542429329*(1)</f>
        <v>-4.6227454242932897E-2</v>
      </c>
      <c r="UN11" s="2">
        <f>0.00981244178716766*(1)</f>
        <v>9.8124417871676608E-3</v>
      </c>
      <c r="UO11" s="2">
        <f>0.095072383049057*(1)</f>
        <v>9.5072383049057005E-2</v>
      </c>
      <c r="UP11" s="2">
        <f>-0.044116041316591*(1)</f>
        <v>-4.4116041316590998E-2</v>
      </c>
      <c r="UQ11" s="2">
        <f>0.0246096457168332*(1)</f>
        <v>2.46096457168332E-2</v>
      </c>
      <c r="UR11" s="2">
        <f>-0.046222103803184*(1)</f>
        <v>-4.6222103803183999E-2</v>
      </c>
      <c r="US11" s="2">
        <f>-0.0221314492765144*(1)</f>
        <v>-2.2131449276514399E-2</v>
      </c>
      <c r="UT11" s="2">
        <f>-0.0137993679749622*(1)</f>
        <v>-1.3799367974962199E-2</v>
      </c>
      <c r="UU11" s="2">
        <f>0.0459713337454193*(1)</f>
        <v>4.5971333745419299E-2</v>
      </c>
      <c r="UV11" s="2">
        <f>0.0534733423623263*(1)</f>
        <v>5.3473342362326301E-2</v>
      </c>
      <c r="UW11" s="2">
        <f>0.0219711527463598*(1)</f>
        <v>2.1971152746359801E-2</v>
      </c>
      <c r="UX11" s="2">
        <f>-0.00213681149986359*(1)</f>
        <v>-2.1368114998635899E-3</v>
      </c>
      <c r="UY11" s="2">
        <f>-0.015478859538171*(1)</f>
        <v>-1.5478859538171E-2</v>
      </c>
      <c r="UZ11" s="2">
        <f>-0.0158197941951813*(1)</f>
        <v>-1.58197941951813E-2</v>
      </c>
      <c r="VA11" s="2">
        <f>0.00739900985328639*(1)</f>
        <v>7.3990098532863901E-3</v>
      </c>
      <c r="VB11" s="2">
        <f>-0.0505732030062543*(1)</f>
        <v>-5.05732030062543E-2</v>
      </c>
      <c r="VC11" s="2">
        <f>0.0100249735361272*(1)</f>
        <v>1.0024973536127199E-2</v>
      </c>
      <c r="VD11" s="2">
        <f>-0.0167617209000411*(1)</f>
        <v>-1.6761720900041101E-2</v>
      </c>
      <c r="VE11" s="2">
        <f>0.0296595767166619*(1)</f>
        <v>2.96595767166619E-2</v>
      </c>
      <c r="VF11" s="2">
        <f>0.0300160786508772*(1)</f>
        <v>3.0016078650877201E-2</v>
      </c>
      <c r="VG11" s="2">
        <f>-0.0185498163906324*(1)</f>
        <v>-1.8549816390632402E-2</v>
      </c>
      <c r="VH11" s="2">
        <f>-0.00290697730830263*(1)</f>
        <v>-2.9069773083026302E-3</v>
      </c>
      <c r="VI11" s="2">
        <f>-0.00752503431682008*(1)</f>
        <v>-7.5250343168200796E-3</v>
      </c>
      <c r="VJ11" s="2">
        <f>-0.0163910831757665*(1)</f>
        <v>-1.6391083175766499E-2</v>
      </c>
      <c r="VK11" s="2">
        <f>0.0229752972135187*(1)</f>
        <v>2.2975297213518701E-2</v>
      </c>
      <c r="VL11" s="2">
        <f>0.0344543165347242*(1)</f>
        <v>3.4454316534724201E-2</v>
      </c>
      <c r="VM11" s="2">
        <f>-0.0805206975978604*(1)</f>
        <v>-8.0520697597860402E-2</v>
      </c>
      <c r="VN11" s="2">
        <f>0.023937111827173*(1)</f>
        <v>2.3937111827173001E-2</v>
      </c>
      <c r="VO11" s="2">
        <f>-0.0138939661892289*(1)</f>
        <v>-1.3893966189228901E-2</v>
      </c>
      <c r="VP11" s="2">
        <f>-0.0339481539801091*(1)</f>
        <v>-3.39481539801091E-2</v>
      </c>
      <c r="VQ11" s="2">
        <f>0.0170550195404553*(1)</f>
        <v>1.70550195404553E-2</v>
      </c>
      <c r="VR11" s="2">
        <f>0.0188428376369627*(1)</f>
        <v>1.8842837636962699E-2</v>
      </c>
      <c r="VS11" s="2">
        <f>-0.0409912305671525*(1)</f>
        <v>-4.0991230567152502E-2</v>
      </c>
      <c r="VT11" s="2">
        <f>-0.0658239048365183*(1)</f>
        <v>-6.5823904836518302E-2</v>
      </c>
      <c r="VU11" s="2">
        <f>-0.0660542761591208*(1)</f>
        <v>-6.6054276159120795E-2</v>
      </c>
      <c r="VV11" s="2">
        <f>0.0109636884928259*(1)</f>
        <v>1.0963688492825901E-2</v>
      </c>
      <c r="VW11" s="2">
        <f>-0.0101959732535033*(1)</f>
        <v>-1.01959732535033E-2</v>
      </c>
      <c r="VX11" s="2">
        <f>-0.0321938559708079*(1)</f>
        <v>-3.21938559708079E-2</v>
      </c>
      <c r="VY11" s="2">
        <f>0.0139337855271885*(1)</f>
        <v>1.39337855271885E-2</v>
      </c>
      <c r="VZ11" s="2">
        <f>-0.0301653136813591*(1)</f>
        <v>-3.01653136813591E-2</v>
      </c>
      <c r="WA11" s="2">
        <f>0.0658108839393524*(1)</f>
        <v>6.5810883939352402E-2</v>
      </c>
      <c r="WB11" s="2">
        <f>0.0758460933041243*(1)</f>
        <v>7.5846093304124299E-2</v>
      </c>
      <c r="WC11" s="2">
        <f>0.00839018977178222*(1)</f>
        <v>8.3901897717822208E-3</v>
      </c>
      <c r="WD11" s="2">
        <f>0.0206143296011642*(1)</f>
        <v>2.0614329601164199E-2</v>
      </c>
      <c r="WE11" s="2">
        <f>0.0124188472288998*(1)</f>
        <v>1.24188472288998E-2</v>
      </c>
      <c r="WF11" s="2">
        <f>-0.0264473376303473*(1)</f>
        <v>-2.64473376303473E-2</v>
      </c>
      <c r="WG11" s="2">
        <f>-0.00416670333737813*(1)</f>
        <v>-4.1667033373781297E-3</v>
      </c>
      <c r="WH11" s="2">
        <f>-0.00723047568186749*(1)</f>
        <v>-7.2304756818674897E-3</v>
      </c>
      <c r="WI11" s="2">
        <f>-0.0301488003291242*(1)</f>
        <v>-3.01488003291242E-2</v>
      </c>
      <c r="WJ11" s="2">
        <f>-0.0673717383583613*(1)</f>
        <v>-6.7371738358361299E-2</v>
      </c>
      <c r="WK11" s="2">
        <f>0.0274399335096622*(1)</f>
        <v>2.7439933509662201E-2</v>
      </c>
      <c r="WL11" s="2">
        <f>0.012518653986183*(1)</f>
        <v>1.2518653986182999E-2</v>
      </c>
      <c r="WM11" s="2">
        <f>-0.0475047599316885*(1)</f>
        <v>-4.7504759931688498E-2</v>
      </c>
      <c r="WN11" s="2">
        <f>0.0581037459280964*(1)</f>
        <v>5.8103745928096397E-2</v>
      </c>
      <c r="WO11" s="2">
        <f>-0.0284145111642868*(1)</f>
        <v>-2.8414511164286799E-2</v>
      </c>
      <c r="WP11" s="2">
        <f>0.0138511300200897*(1)</f>
        <v>1.38511300200897E-2</v>
      </c>
      <c r="WQ11" s="2">
        <f>-0.0448092008267044*(1)</f>
        <v>-4.48092008267044E-2</v>
      </c>
      <c r="WR11" s="2">
        <f>-0.0594936215918591*(1)</f>
        <v>-5.94936215918591E-2</v>
      </c>
      <c r="WS11" s="2">
        <f>0.00692192985331536*(1)</f>
        <v>6.9219298533153596E-3</v>
      </c>
      <c r="WT11" s="2">
        <f>-0.00375115889181384*(1)</f>
        <v>-3.7511588918138399E-3</v>
      </c>
      <c r="WU11" s="2">
        <f>0.0430782116384587*(1)</f>
        <v>4.3078211638458701E-2</v>
      </c>
      <c r="WV11" s="2">
        <f>0.0028609698511814*(1)</f>
        <v>2.8609698511814002E-3</v>
      </c>
      <c r="WW11" s="2">
        <f>-0.023698293716956*(1)</f>
        <v>-2.3698293716956E-2</v>
      </c>
      <c r="WX11" s="2">
        <f>-0.0150853720974322*(1)</f>
        <v>-1.5085372097432201E-2</v>
      </c>
      <c r="WY11" s="2">
        <f>0.0207431652948716*(1)</f>
        <v>2.07431652948716E-2</v>
      </c>
      <c r="WZ11" s="2">
        <f>-0.0604066832852434*(1)</f>
        <v>-6.0406683285243401E-2</v>
      </c>
      <c r="XA11" s="2">
        <f>0.00271265916132994*(1)</f>
        <v>2.7126591613299399E-3</v>
      </c>
      <c r="XB11" s="2">
        <f>0.00186665193948246*(1)</f>
        <v>1.8666519394824599E-3</v>
      </c>
      <c r="XC11" s="2">
        <f>-0.00726195297959691*(1)</f>
        <v>-7.26195297959691E-3</v>
      </c>
      <c r="XD11" s="2">
        <f>-0.0129057621314479*(1)</f>
        <v>-1.2905762131447901E-2</v>
      </c>
      <c r="XE11" s="2">
        <f>0.0339723494808318*(1)</f>
        <v>3.3972349480831797E-2</v>
      </c>
      <c r="XF11" s="2">
        <f>-0.0333645604996738*(1)</f>
        <v>-3.3364560499673797E-2</v>
      </c>
      <c r="XG11" s="2">
        <f>-0.0263874437445918*(1)</f>
        <v>-2.6387443744591801E-2</v>
      </c>
      <c r="XH11" s="2">
        <f>0.0425979207525842*(1)</f>
        <v>4.2597920752584201E-2</v>
      </c>
      <c r="XI11" s="2">
        <f>0.0192464409373235*(1)</f>
        <v>1.92464409373235E-2</v>
      </c>
      <c r="XJ11" s="2">
        <f>0.0475886207757159*(1)</f>
        <v>4.7588620775715899E-2</v>
      </c>
      <c r="XK11" s="2">
        <f>-0.0173306971531433*(1)</f>
        <v>-1.7330697153143299E-2</v>
      </c>
      <c r="XL11" s="2">
        <f>0.0162398359701364*(1)</f>
        <v>1.6239835970136399E-2</v>
      </c>
      <c r="XM11" s="2">
        <f>0.0118369783865163*(1)</f>
        <v>1.18369783865163E-2</v>
      </c>
      <c r="XN11" s="2">
        <f>-0.0476153039612857*(1)</f>
        <v>-4.7615303961285702E-2</v>
      </c>
      <c r="XO11" s="2">
        <f>0.00875928171750999*(1)</f>
        <v>8.7592817175099896E-3</v>
      </c>
      <c r="XP11" s="2">
        <f>0.0159383755346181*(1)</f>
        <v>1.5938375534618101E-2</v>
      </c>
      <c r="XQ11" s="2">
        <f>0.0120969110344592*(1)</f>
        <v>1.20969110344592E-2</v>
      </c>
      <c r="XR11" s="2">
        <f>-0.0894443115106681*(1)</f>
        <v>-8.9444311510668104E-2</v>
      </c>
      <c r="XS11" s="2">
        <f>-0.0229377240932265*(1)</f>
        <v>-2.2937724093226499E-2</v>
      </c>
      <c r="XT11" s="2">
        <f>-0.00958860811854788*(1)</f>
        <v>-9.58860811854788E-3</v>
      </c>
      <c r="XU11" s="2">
        <f>-0.0301762602538763*(1)</f>
        <v>-3.0176260253876298E-2</v>
      </c>
      <c r="XV11" s="2">
        <f>0.0217350199835312*(1)</f>
        <v>2.1735019983531199E-2</v>
      </c>
      <c r="XW11" s="2">
        <f>0.0250076885069257*(1)</f>
        <v>2.5007688506925699E-2</v>
      </c>
      <c r="XX11" s="2">
        <f>-0.0318271524588977*(1)</f>
        <v>-3.1827152458897702E-2</v>
      </c>
      <c r="XY11" s="2">
        <f>0.0188354418001975*(1)</f>
        <v>1.88354418001975E-2</v>
      </c>
      <c r="XZ11" s="2">
        <f>-0.0178908609797929*(1)</f>
        <v>-1.7890860979792901E-2</v>
      </c>
      <c r="YA11" s="2">
        <f>-0.000313779928331953*(1)</f>
        <v>-3.1377992833195301E-4</v>
      </c>
      <c r="YB11" s="2">
        <f>0.0146645035876227*(1)</f>
        <v>1.4664503587622699E-2</v>
      </c>
      <c r="YC11" s="2">
        <f>-0.00618916939061207*(1)</f>
        <v>-6.18916939061207E-3</v>
      </c>
      <c r="YD11" s="2">
        <f>-0.0261033781642604*(1)</f>
        <v>-2.61033781642604E-2</v>
      </c>
      <c r="YE11" s="2">
        <f>0.0238641781219035*(1)</f>
        <v>2.3864178121903501E-2</v>
      </c>
      <c r="YF11" s="2">
        <f>-0.0109766338069962*(1)</f>
        <v>-1.09766338069962E-2</v>
      </c>
      <c r="YG11" s="2">
        <f>0.011026118730258*(1)</f>
        <v>1.1026118730258E-2</v>
      </c>
      <c r="YH11" s="2">
        <f>-0.0178714465275971*(1)</f>
        <v>-1.7871446527597101E-2</v>
      </c>
      <c r="YI11" s="2">
        <f>-0.0469196769383945*(1)</f>
        <v>-4.6919676938394501E-2</v>
      </c>
      <c r="YJ11" s="2">
        <f>0.0268221047933756*(1)</f>
        <v>2.6822104793375601E-2</v>
      </c>
      <c r="YK11" s="2">
        <f>-0.065669967741033*(1)</f>
        <v>-6.5669967741032995E-2</v>
      </c>
      <c r="YL11" s="2">
        <f>-0.0340650422489788*(1)</f>
        <v>-3.40650422489788E-2</v>
      </c>
      <c r="YM11" s="2">
        <f>-0.0177725583528068*(1)</f>
        <v>-1.7772558352806798E-2</v>
      </c>
      <c r="YN11" s="2">
        <f>-0.0350185713758906*(1)</f>
        <v>-3.5018571375890602E-2</v>
      </c>
      <c r="YO11" s="2">
        <f>0.00289986074449248*(1)</f>
        <v>2.89986074449248E-3</v>
      </c>
      <c r="YP11" s="2">
        <f>0.0253779480217083*(1)</f>
        <v>2.5377948021708299E-2</v>
      </c>
      <c r="YQ11" s="2">
        <f>-0.0112386911303652*(1)</f>
        <v>-1.12386911303652E-2</v>
      </c>
      <c r="YR11" s="2">
        <f>0.0307227972552004*(1)</f>
        <v>3.0722797255200399E-2</v>
      </c>
      <c r="YS11" s="2">
        <f>-0.13451592806534*(1)</f>
        <v>-0.13451592806533999</v>
      </c>
      <c r="YT11" s="2">
        <f>0.00037058140357106*(1)</f>
        <v>3.7058140357106002E-4</v>
      </c>
      <c r="YU11" s="2">
        <f>-0.00621190991620512*(1)</f>
        <v>-6.2119099162051203E-3</v>
      </c>
      <c r="YV11" s="2">
        <f>-0.0253254378690875*(1)</f>
        <v>-2.5325437869087499E-2</v>
      </c>
      <c r="YW11" s="2">
        <f>0.0335278942685188*(1)</f>
        <v>3.35278942685188E-2</v>
      </c>
      <c r="YX11" s="2">
        <f>-0.0183984839671888*(1)</f>
        <v>-1.8398483967188801E-2</v>
      </c>
      <c r="YY11" s="2">
        <f>0.0146557695491265*(1)</f>
        <v>1.46557695491265E-2</v>
      </c>
      <c r="YZ11" s="2">
        <f>0.00994946283491628*(1)</f>
        <v>9.9494628349162794E-3</v>
      </c>
      <c r="ZA11" s="2">
        <f>0.0385768699203093*(1)</f>
        <v>3.8576869920309301E-2</v>
      </c>
      <c r="ZB11" s="2">
        <f>0.0145204118164155*(1)</f>
        <v>1.45204118164155E-2</v>
      </c>
      <c r="ZC11" s="2">
        <f>0.0216076819803636*(1)</f>
        <v>2.1607681980363599E-2</v>
      </c>
      <c r="ZD11" s="2">
        <f>0.0415296894439312*(1)</f>
        <v>4.1529689443931199E-2</v>
      </c>
      <c r="ZE11" s="2">
        <f>0.0386003895942841*(1)</f>
        <v>3.86003895942841E-2</v>
      </c>
      <c r="ZF11" s="2">
        <f>0.00915172617796674*(1)</f>
        <v>9.1517261779667392E-3</v>
      </c>
      <c r="ZG11" s="2">
        <f>0.0164745949598474*(1)</f>
        <v>1.6474594959847402E-2</v>
      </c>
      <c r="ZH11" s="2">
        <f>0.0318544284921992*(1)</f>
        <v>3.1854428492199202E-2</v>
      </c>
      <c r="ZI11" s="2">
        <f>-0.107465185725657*(1)</f>
        <v>-0.107465185725657</v>
      </c>
      <c r="ZJ11" s="2">
        <f>-0.0216252161384864*(1)</f>
        <v>-2.1625216138486399E-2</v>
      </c>
      <c r="ZK11" s="2">
        <f>0.0912566568262759*(1)</f>
        <v>9.12566568262759E-2</v>
      </c>
      <c r="ZL11" s="2">
        <f>0.00500072932982594*(1)</f>
        <v>5.0007293298259398E-3</v>
      </c>
      <c r="ZM11" s="2">
        <f>-0.00721012860147322*(1)</f>
        <v>-7.2101286014732199E-3</v>
      </c>
      <c r="ZN11" s="2">
        <f>-0.0828270361135696*(1)</f>
        <v>-8.2827036113569605E-2</v>
      </c>
      <c r="ZO11" s="2">
        <f>-0.0790056165572605*(1)</f>
        <v>-7.9005616557260502E-2</v>
      </c>
      <c r="ZP11" s="2">
        <f>-0.0306600412143511*(1)</f>
        <v>-3.0660041214351098E-2</v>
      </c>
      <c r="ZQ11" s="2">
        <f>-0.0497983167737228*(1)</f>
        <v>-4.9798316773722803E-2</v>
      </c>
      <c r="ZR11" s="2">
        <f>0.047293410149833*(1)</f>
        <v>4.7293410149833001E-2</v>
      </c>
      <c r="ZS11" s="2">
        <f>-0.0321581786866417*(1)</f>
        <v>-3.2158178686641697E-2</v>
      </c>
      <c r="ZT11" s="2">
        <f>-0.011589184831525*(1)</f>
        <v>-1.1589184831525001E-2</v>
      </c>
      <c r="ZU11" s="2">
        <f>-0.161266406624394*(1)</f>
        <v>-0.16126640662439401</v>
      </c>
      <c r="ZV11" s="2">
        <f>-0.0155688487098068*(1)</f>
        <v>-1.55688487098068E-2</v>
      </c>
      <c r="ZW11" s="2">
        <f>0.0950038871123237*(1)</f>
        <v>9.5003887112323701E-2</v>
      </c>
      <c r="ZX11" s="2">
        <f>0.0156923744065053*(1)</f>
        <v>1.56923744065053E-2</v>
      </c>
      <c r="ZY11" s="2">
        <f>0.0197012707363518*(1)</f>
        <v>1.9701270736351799E-2</v>
      </c>
      <c r="ZZ11" s="2">
        <f>-0.0423859605801661*(1)</f>
        <v>-4.2385960580166103E-2</v>
      </c>
      <c r="AAA11" s="2">
        <f>0.0354206253634656*(1)</f>
        <v>3.5420625363465602E-2</v>
      </c>
      <c r="AAB11" s="2">
        <f>0.0183697085458264*(1)</f>
        <v>1.83697085458264E-2</v>
      </c>
      <c r="AAC11" s="2">
        <f>-0.0620422292300737*(1)</f>
        <v>-6.20422292300737E-2</v>
      </c>
      <c r="AAD11" s="2">
        <f>0.0123377028148397*(1)</f>
        <v>1.23377028148397E-2</v>
      </c>
      <c r="AAE11" s="2">
        <f>0.0139837813907475*(1)</f>
        <v>1.3983781390747499E-2</v>
      </c>
      <c r="AAF11" s="2">
        <f>-0.0355809493989511*(1)</f>
        <v>-3.5580949398951102E-2</v>
      </c>
      <c r="AAG11" s="2">
        <f>0.0679194417178819*(1)</f>
        <v>6.7919441717881904E-2</v>
      </c>
      <c r="AAH11" s="2">
        <f>-0.0434432049240884*(1)</f>
        <v>-4.3443204924088402E-2</v>
      </c>
      <c r="AAI11" s="2">
        <f>-0.0205950787344912*(1)</f>
        <v>-2.05950787344912E-2</v>
      </c>
      <c r="AAJ11" s="2">
        <f>-0.0236295467361794*(1)</f>
        <v>-2.36295467361794E-2</v>
      </c>
      <c r="AAK11" s="2">
        <f>-0.0203117497118285*(1)</f>
        <v>-2.0311749711828499E-2</v>
      </c>
      <c r="AAL11" s="2">
        <f>-0.0248812239740782*(1)</f>
        <v>-2.4881223974078201E-2</v>
      </c>
      <c r="AAM11" s="2">
        <f>-0.0198445114943674*(1)</f>
        <v>-1.98445114943674E-2</v>
      </c>
      <c r="AAN11" s="2">
        <f>0.00872046020194217*(1)</f>
        <v>8.7204602019421706E-3</v>
      </c>
      <c r="AAO11" s="2">
        <f>-0.0180254956718316*(1)</f>
        <v>-1.80254956718316E-2</v>
      </c>
      <c r="AAP11" s="2">
        <f>-0.0285137457823643*(1)</f>
        <v>-2.8513745782364298E-2</v>
      </c>
      <c r="AAQ11" s="2">
        <f>-0.0217970472582862*(1)</f>
        <v>-2.1797047258286201E-2</v>
      </c>
      <c r="AAR11" s="2">
        <f>-0.0132607393306644*(1)</f>
        <v>-1.3260739330664399E-2</v>
      </c>
      <c r="AAS11" s="2">
        <f>-0.00507645910577765*(1)</f>
        <v>-5.0764591057776498E-3</v>
      </c>
      <c r="AAT11" s="2">
        <f>0.0688770104901879*(1)</f>
        <v>6.8877010490187907E-2</v>
      </c>
      <c r="AAU11" s="2">
        <f>-0.048383098001228*(1)</f>
        <v>-4.8383098001228003E-2</v>
      </c>
      <c r="AAV11" s="2">
        <f>0.0203416711983634*(1)</f>
        <v>2.0341671198363401E-2</v>
      </c>
      <c r="AAW11" s="2">
        <f>-0.0199903427294719*(1)</f>
        <v>-1.9990342729471901E-2</v>
      </c>
      <c r="AAX11" s="2">
        <f>0.0363866936198901*(1)</f>
        <v>3.6386693619890102E-2</v>
      </c>
      <c r="AAY11" s="2">
        <f>0.00210895333510165*(1)</f>
        <v>2.1089533351016502E-3</v>
      </c>
      <c r="AAZ11" s="2">
        <f>-0.0695856805401588*(1)</f>
        <v>-6.9585680540158804E-2</v>
      </c>
      <c r="ABA11" s="2">
        <f>0.0169629099930679*(1)</f>
        <v>1.69629099930679E-2</v>
      </c>
      <c r="ABB11" s="2">
        <f>0.00371135667173247*(1)</f>
        <v>3.7113566717324699E-3</v>
      </c>
      <c r="ABC11" s="2">
        <f>-0.0172476741414471*(1)</f>
        <v>-1.7247674141447102E-2</v>
      </c>
      <c r="ABD11" s="2">
        <f>-0.030452522259159*(1)</f>
        <v>-3.0452522259158999E-2</v>
      </c>
      <c r="ABE11" s="2">
        <f>0.0223298063727992*(1)</f>
        <v>2.2329806372799198E-2</v>
      </c>
      <c r="ABF11" s="2">
        <f>-0.0463023932534577*(1)</f>
        <v>-4.6302393253457703E-2</v>
      </c>
      <c r="ABG11" s="2">
        <f>0.0306498782738105*(1)</f>
        <v>3.0649878273810501E-2</v>
      </c>
      <c r="ABH11" s="2">
        <f>0.0518943305077488*(1)</f>
        <v>5.1894330507748797E-2</v>
      </c>
      <c r="ABI11" s="2">
        <f>-0.0121236842139244*(1)</f>
        <v>-1.21236842139244E-2</v>
      </c>
      <c r="ABJ11" s="2">
        <f>0.0069739661699129*(1)</f>
        <v>6.9739661699128996E-3</v>
      </c>
      <c r="ABK11" s="2">
        <f>0.0214559586147724*(1)</f>
        <v>2.14559586147724E-2</v>
      </c>
      <c r="ABL11" s="2">
        <f>0.0238524410994551*(1)</f>
        <v>2.3852441099455099E-2</v>
      </c>
      <c r="ABM11" s="2">
        <f>-0.0311309441478775*(1)</f>
        <v>-3.1130944147877499E-2</v>
      </c>
      <c r="ABN11" s="2">
        <f>0.047612155304037*(1)</f>
        <v>4.7612155304037E-2</v>
      </c>
      <c r="ABO11" s="2">
        <f>-0.070744326421655*(1)</f>
        <v>-7.0744326421654999E-2</v>
      </c>
      <c r="ABP11" s="2">
        <f>-0.0494581646090384*(1)</f>
        <v>-4.9458164609038402E-2</v>
      </c>
      <c r="ABQ11" s="2">
        <f>0.115041679738159*(1)</f>
        <v>0.115041679738159</v>
      </c>
      <c r="ABR11" s="2">
        <f>0.0102464769845485*(1)</f>
        <v>1.0246476984548499E-2</v>
      </c>
      <c r="ABS11" s="2">
        <f>0.0160252453066062*(1)</f>
        <v>1.6025245306606199E-2</v>
      </c>
      <c r="ABT11" s="2">
        <f>-0.0124543335670673*(1)</f>
        <v>-1.2454333567067301E-2</v>
      </c>
      <c r="ABU11" s="2">
        <f>-0.010560323648456*(1)</f>
        <v>-1.0560323648456001E-2</v>
      </c>
      <c r="ABV11" s="2">
        <f>-0.00518077730086964*(1)</f>
        <v>-5.1807773008696401E-3</v>
      </c>
      <c r="ABW11" s="2">
        <f>0.0212291333779217*(1)</f>
        <v>2.1229133377921702E-2</v>
      </c>
      <c r="ABX11" s="2">
        <f>0.0267906205764528*(1)</f>
        <v>2.67906205764528E-2</v>
      </c>
      <c r="ABY11" s="2">
        <f>-0.029508594140838*(1)</f>
        <v>-2.9508594140838E-2</v>
      </c>
      <c r="ABZ11" s="2">
        <f>-0.0421475416809892*(1)</f>
        <v>-4.2147541680989199E-2</v>
      </c>
      <c r="ACA11" s="2">
        <f>-0.0355508214169292*(1)</f>
        <v>-3.5550821416929203E-2</v>
      </c>
      <c r="ACB11" s="2">
        <f>-0.018190275876377*(1)</f>
        <v>-1.8190275876377001E-2</v>
      </c>
      <c r="ACC11" s="2">
        <f>-0.0465877022086404*(1)</f>
        <v>-4.6587702208640398E-2</v>
      </c>
      <c r="ACD11" s="2">
        <f>0.0109727538880926*(1)</f>
        <v>1.0972753888092599E-2</v>
      </c>
      <c r="ACE11" s="2">
        <f>-0.032502661645819*(1)</f>
        <v>-3.2502661645818998E-2</v>
      </c>
      <c r="ACF11" s="2">
        <f>0.0194493268388142*(1)</f>
        <v>1.9449326838814202E-2</v>
      </c>
      <c r="ACG11" s="2">
        <f>-0.0398201600465373*(1)</f>
        <v>-3.9820160046537302E-2</v>
      </c>
      <c r="ACH11" s="2">
        <f>-0.0593806639807697*(1)</f>
        <v>-5.9380663980769702E-2</v>
      </c>
      <c r="ACI11" s="2">
        <f>-0.000315911194588902*(1)</f>
        <v>-3.15911194588902E-4</v>
      </c>
      <c r="ACJ11" s="2">
        <f>0.015588849838885*(1)</f>
        <v>1.5588849838885E-2</v>
      </c>
      <c r="ACK11" s="2">
        <f>0.0195510000858024*(1)</f>
        <v>1.9551000085802399E-2</v>
      </c>
      <c r="ACL11" s="2">
        <f>0.0146607077655983*(1)</f>
        <v>1.46607077655983E-2</v>
      </c>
      <c r="ACM11" s="2">
        <f>0.0242668102976947*(1)</f>
        <v>2.4266810297694699E-2</v>
      </c>
      <c r="ACN11" s="2">
        <f>-0.0348729303247201*(1)</f>
        <v>-3.4872930324720101E-2</v>
      </c>
      <c r="ACO11" s="2">
        <f>-0.00116447128091035*(1)</f>
        <v>-1.1644712809103499E-3</v>
      </c>
      <c r="ACP11" s="2">
        <f>0.0751620054689964*(1)</f>
        <v>7.5162005468996401E-2</v>
      </c>
      <c r="ACQ11" s="2">
        <f>0.0186771170658458*(1)</f>
        <v>1.8677117065845801E-2</v>
      </c>
      <c r="ACR11" s="2">
        <f>0.010945757831234*(1)</f>
        <v>1.0945757831234E-2</v>
      </c>
      <c r="ACS11" s="2">
        <f>0.0493014198444308*(1)</f>
        <v>4.9301419844430802E-2</v>
      </c>
      <c r="ACT11" s="2">
        <f>-0.00799881616785252*(1)</f>
        <v>-7.9988161678525207E-3</v>
      </c>
      <c r="ACU11" s="2">
        <f>0.0880554830592069*(1)</f>
        <v>8.8055483059206893E-2</v>
      </c>
      <c r="ACV11" s="2">
        <f>0.0581920067493882*(1)</f>
        <v>5.8192006749388202E-2</v>
      </c>
    </row>
    <row r="13" spans="1:776" x14ac:dyDescent="0.2">
      <c r="A13">
        <v>100</v>
      </c>
    </row>
    <row r="14" spans="1:776" x14ac:dyDescent="0.2">
      <c r="A14" s="6" t="s">
        <v>70661</v>
      </c>
      <c r="B14">
        <f>$A$13*(1+B3)</f>
        <v>98.972659456848646</v>
      </c>
      <c r="C14">
        <f>B14*(1+C3)</f>
        <v>98.289373707156969</v>
      </c>
      <c r="D14">
        <f>C14*(1+D3)</f>
        <v>97.462254054060836</v>
      </c>
      <c r="E14">
        <f t="shared" ref="E14:BP14" si="0">D14*(1+E3)</f>
        <v>97.607141986711838</v>
      </c>
      <c r="F14">
        <f t="shared" si="0"/>
        <v>97.035259880505194</v>
      </c>
      <c r="G14">
        <f t="shared" si="0"/>
        <v>97.399073704406291</v>
      </c>
      <c r="H14">
        <f t="shared" si="0"/>
        <v>96.769793634616065</v>
      </c>
      <c r="I14">
        <f t="shared" si="0"/>
        <v>96.626310228163192</v>
      </c>
      <c r="J14">
        <f t="shared" si="0"/>
        <v>97.304428318844984</v>
      </c>
      <c r="K14">
        <f t="shared" si="0"/>
        <v>97.210479018333174</v>
      </c>
      <c r="L14">
        <f t="shared" si="0"/>
        <v>96.752427670627569</v>
      </c>
      <c r="M14">
        <f t="shared" si="0"/>
        <v>96.180747911188391</v>
      </c>
      <c r="N14">
        <f t="shared" si="0"/>
        <v>95.731411686901552</v>
      </c>
      <c r="O14">
        <f t="shared" si="0"/>
        <v>95.403923513316954</v>
      </c>
      <c r="P14">
        <f t="shared" si="0"/>
        <v>95.734769369489484</v>
      </c>
      <c r="Q14">
        <f t="shared" si="0"/>
        <v>95.146251655151488</v>
      </c>
      <c r="R14">
        <f t="shared" si="0"/>
        <v>95.395019365968437</v>
      </c>
      <c r="S14">
        <f t="shared" si="0"/>
        <v>95.557964981296891</v>
      </c>
      <c r="T14">
        <f t="shared" si="0"/>
        <v>95.697709751522439</v>
      </c>
      <c r="U14">
        <f t="shared" si="0"/>
        <v>95.505641296376382</v>
      </c>
      <c r="V14">
        <f t="shared" si="0"/>
        <v>97.387965198223512</v>
      </c>
      <c r="W14">
        <f t="shared" si="0"/>
        <v>97.445936418174256</v>
      </c>
      <c r="X14">
        <f t="shared" si="0"/>
        <v>97.663512656174063</v>
      </c>
      <c r="Y14">
        <f t="shared" si="0"/>
        <v>97.567211975016107</v>
      </c>
      <c r="Z14">
        <f t="shared" si="0"/>
        <v>97.946997311005106</v>
      </c>
      <c r="AA14">
        <f t="shared" si="0"/>
        <v>98.332937076250104</v>
      </c>
      <c r="AB14">
        <f t="shared" si="0"/>
        <v>98.136501595412611</v>
      </c>
      <c r="AC14">
        <f t="shared" si="0"/>
        <v>98.369633422045311</v>
      </c>
      <c r="AD14">
        <f t="shared" si="0"/>
        <v>98.583043459544484</v>
      </c>
      <c r="AE14">
        <f t="shared" si="0"/>
        <v>97.967217917941412</v>
      </c>
      <c r="AF14">
        <f t="shared" si="0"/>
        <v>97.945897439151906</v>
      </c>
      <c r="AG14">
        <f t="shared" si="0"/>
        <v>96.944251568611421</v>
      </c>
      <c r="AH14">
        <f t="shared" si="0"/>
        <v>97.043598359523585</v>
      </c>
      <c r="AI14">
        <f t="shared" si="0"/>
        <v>95.95966127867257</v>
      </c>
      <c r="AJ14">
        <f t="shared" si="0"/>
        <v>97.41256518261126</v>
      </c>
      <c r="AK14">
        <f t="shared" si="0"/>
        <v>98.805854784274274</v>
      </c>
      <c r="AL14">
        <f t="shared" si="0"/>
        <v>98.241968021978337</v>
      </c>
      <c r="AM14">
        <f t="shared" si="0"/>
        <v>97.738341161781463</v>
      </c>
      <c r="AN14">
        <f t="shared" si="0"/>
        <v>98.302805721628914</v>
      </c>
      <c r="AO14">
        <f t="shared" si="0"/>
        <v>97.722761718112011</v>
      </c>
      <c r="AP14">
        <f t="shared" si="0"/>
        <v>97.202573354233365</v>
      </c>
      <c r="AQ14">
        <f t="shared" si="0"/>
        <v>96.961114034119376</v>
      </c>
      <c r="AR14">
        <f t="shared" si="0"/>
        <v>97.475545394325891</v>
      </c>
      <c r="AS14">
        <f t="shared" si="0"/>
        <v>97.804654504499936</v>
      </c>
      <c r="AT14">
        <f t="shared" si="0"/>
        <v>97.571882356701622</v>
      </c>
      <c r="AU14">
        <f t="shared" si="0"/>
        <v>96.110919466367193</v>
      </c>
      <c r="AV14">
        <f t="shared" si="0"/>
        <v>95.827181412157515</v>
      </c>
      <c r="AW14">
        <f t="shared" si="0"/>
        <v>95.749524254480662</v>
      </c>
      <c r="AX14">
        <f t="shared" si="0"/>
        <v>95.827626724333996</v>
      </c>
      <c r="AY14">
        <f t="shared" si="0"/>
        <v>95.583911067735116</v>
      </c>
      <c r="AZ14">
        <f t="shared" si="0"/>
        <v>96.261901770762265</v>
      </c>
      <c r="BA14">
        <f t="shared" si="0"/>
        <v>95.565530427942221</v>
      </c>
      <c r="BB14">
        <f t="shared" si="0"/>
        <v>94.768094077424223</v>
      </c>
      <c r="BC14">
        <f t="shared" si="0"/>
        <v>94.393669765781155</v>
      </c>
      <c r="BD14">
        <f t="shared" si="0"/>
        <v>96.051940853701808</v>
      </c>
      <c r="BE14">
        <f t="shared" si="0"/>
        <v>96.027313636368518</v>
      </c>
      <c r="BF14">
        <f t="shared" si="0"/>
        <v>95.703342350274369</v>
      </c>
      <c r="BG14">
        <f t="shared" si="0"/>
        <v>96.215159713969044</v>
      </c>
      <c r="BH14">
        <f t="shared" si="0"/>
        <v>97.20905032446278</v>
      </c>
      <c r="BI14">
        <f t="shared" si="0"/>
        <v>96.877177282906359</v>
      </c>
      <c r="BJ14">
        <f t="shared" si="0"/>
        <v>95.713692694993853</v>
      </c>
      <c r="BK14">
        <f t="shared" si="0"/>
        <v>97.003534837638355</v>
      </c>
      <c r="BL14">
        <f t="shared" si="0"/>
        <v>97.472572441629637</v>
      </c>
      <c r="BM14">
        <f t="shared" si="0"/>
        <v>97.409347859104116</v>
      </c>
      <c r="BN14">
        <f t="shared" si="0"/>
        <v>96.915647664032917</v>
      </c>
      <c r="BO14">
        <f t="shared" si="0"/>
        <v>97.06384763989837</v>
      </c>
      <c r="BP14">
        <f t="shared" si="0"/>
        <v>96.247239925108815</v>
      </c>
      <c r="BQ14">
        <f t="shared" ref="BQ14:EB14" si="1">BP14*(1+BQ3)</f>
        <v>96.348357824141075</v>
      </c>
      <c r="BR14">
        <f t="shared" si="1"/>
        <v>96.703818347640947</v>
      </c>
      <c r="BS14">
        <f t="shared" si="1"/>
        <v>96.759967735789701</v>
      </c>
      <c r="BT14">
        <f t="shared" si="1"/>
        <v>96.839726363474156</v>
      </c>
      <c r="BU14">
        <f t="shared" si="1"/>
        <v>96.571640362408445</v>
      </c>
      <c r="BV14">
        <f t="shared" si="1"/>
        <v>96.095074255610498</v>
      </c>
      <c r="BW14">
        <f t="shared" si="1"/>
        <v>96.40525191538535</v>
      </c>
      <c r="BX14">
        <f t="shared" si="1"/>
        <v>96.10622974180761</v>
      </c>
      <c r="BY14">
        <f t="shared" si="1"/>
        <v>97.486345741544852</v>
      </c>
      <c r="BZ14">
        <f t="shared" si="1"/>
        <v>97.982870082518261</v>
      </c>
      <c r="CA14">
        <f t="shared" si="1"/>
        <v>98.011117856668278</v>
      </c>
      <c r="CB14">
        <f t="shared" si="1"/>
        <v>99.022953124723955</v>
      </c>
      <c r="CC14">
        <f t="shared" si="1"/>
        <v>99.033418261799525</v>
      </c>
      <c r="CD14">
        <f t="shared" si="1"/>
        <v>99.526185512599469</v>
      </c>
      <c r="CE14">
        <f t="shared" si="1"/>
        <v>99.163145958414205</v>
      </c>
      <c r="CF14">
        <f t="shared" si="1"/>
        <v>99.874301310037779</v>
      </c>
      <c r="CG14">
        <f t="shared" si="1"/>
        <v>99.135511096938714</v>
      </c>
      <c r="CH14">
        <f t="shared" si="1"/>
        <v>98.83450902995007</v>
      </c>
      <c r="CI14">
        <f t="shared" si="1"/>
        <v>99.130945008426437</v>
      </c>
      <c r="CJ14">
        <f t="shared" si="1"/>
        <v>99.351280877110995</v>
      </c>
      <c r="CK14">
        <f t="shared" si="1"/>
        <v>100.02396134410105</v>
      </c>
      <c r="CL14">
        <f t="shared" si="1"/>
        <v>99.729576166521682</v>
      </c>
      <c r="CM14">
        <f t="shared" si="1"/>
        <v>99.871287110037883</v>
      </c>
      <c r="CN14">
        <f t="shared" si="1"/>
        <v>100.03027260254731</v>
      </c>
      <c r="CO14">
        <f t="shared" si="1"/>
        <v>99.58225645602981</v>
      </c>
      <c r="CP14">
        <f t="shared" si="1"/>
        <v>100.59689795145032</v>
      </c>
      <c r="CQ14">
        <f t="shared" si="1"/>
        <v>100.0727101362301</v>
      </c>
      <c r="CR14">
        <f t="shared" si="1"/>
        <v>98.867193534311099</v>
      </c>
      <c r="CS14">
        <f t="shared" si="1"/>
        <v>99.26935019024323</v>
      </c>
      <c r="CT14">
        <f t="shared" si="1"/>
        <v>99.983964306731579</v>
      </c>
      <c r="CU14">
        <f t="shared" si="1"/>
        <v>99.737658489546334</v>
      </c>
      <c r="CV14">
        <f t="shared" si="1"/>
        <v>98.198715097365962</v>
      </c>
      <c r="CW14">
        <f t="shared" si="1"/>
        <v>99.438432554360503</v>
      </c>
      <c r="CX14">
        <f t="shared" si="1"/>
        <v>97.681702477779311</v>
      </c>
      <c r="CY14">
        <f t="shared" si="1"/>
        <v>97.445534141899756</v>
      </c>
      <c r="CZ14">
        <f t="shared" si="1"/>
        <v>97.067638729662477</v>
      </c>
      <c r="DA14">
        <f t="shared" si="1"/>
        <v>96.777837943689079</v>
      </c>
      <c r="DB14">
        <f t="shared" si="1"/>
        <v>97.312393849615191</v>
      </c>
      <c r="DC14">
        <f t="shared" si="1"/>
        <v>97.684054578286535</v>
      </c>
      <c r="DD14">
        <f t="shared" si="1"/>
        <v>96.836465003978901</v>
      </c>
      <c r="DE14">
        <f t="shared" si="1"/>
        <v>96.69544402070693</v>
      </c>
      <c r="DF14">
        <f t="shared" si="1"/>
        <v>96.088718378785927</v>
      </c>
      <c r="DG14">
        <f t="shared" si="1"/>
        <v>94.277338413739258</v>
      </c>
      <c r="DH14">
        <f t="shared" si="1"/>
        <v>95.519638896863299</v>
      </c>
      <c r="DI14">
        <f t="shared" si="1"/>
        <v>94.699242270911427</v>
      </c>
      <c r="DJ14">
        <f t="shared" si="1"/>
        <v>95.5936021135267</v>
      </c>
      <c r="DK14">
        <f t="shared" si="1"/>
        <v>96.860258636632437</v>
      </c>
      <c r="DL14">
        <f t="shared" si="1"/>
        <v>95.564368955951409</v>
      </c>
      <c r="DM14">
        <f t="shared" si="1"/>
        <v>96.150445978080171</v>
      </c>
      <c r="DN14">
        <f t="shared" si="1"/>
        <v>95.407081003517234</v>
      </c>
      <c r="DO14">
        <f t="shared" si="1"/>
        <v>96.10024331511903</v>
      </c>
      <c r="DP14">
        <f t="shared" si="1"/>
        <v>96.292458408371076</v>
      </c>
      <c r="DQ14">
        <f t="shared" si="1"/>
        <v>96.165893846093482</v>
      </c>
      <c r="DR14">
        <f t="shared" si="1"/>
        <v>96.864542705169256</v>
      </c>
      <c r="DS14">
        <f t="shared" si="1"/>
        <v>96.77637939198685</v>
      </c>
      <c r="DT14">
        <f t="shared" si="1"/>
        <v>95.640282906640081</v>
      </c>
      <c r="DU14">
        <f t="shared" si="1"/>
        <v>96.271268776896974</v>
      </c>
      <c r="DV14">
        <f t="shared" si="1"/>
        <v>96.999788523977429</v>
      </c>
      <c r="DW14">
        <f t="shared" si="1"/>
        <v>98.032475151733109</v>
      </c>
      <c r="DX14">
        <f t="shared" si="1"/>
        <v>98.557067443829297</v>
      </c>
      <c r="DY14">
        <f t="shared" si="1"/>
        <v>97.972163165725519</v>
      </c>
      <c r="DZ14">
        <f t="shared" si="1"/>
        <v>98.747758994826995</v>
      </c>
      <c r="EA14">
        <f t="shared" si="1"/>
        <v>100.95050707350845</v>
      </c>
      <c r="EB14">
        <f t="shared" si="1"/>
        <v>100.72302591885763</v>
      </c>
      <c r="EC14">
        <f t="shared" ref="EC14:GN14" si="2">EB14*(1+EC3)</f>
        <v>99.770699583379624</v>
      </c>
      <c r="ED14">
        <f t="shared" si="2"/>
        <v>98.703745531688938</v>
      </c>
      <c r="EE14">
        <f t="shared" si="2"/>
        <v>98.883018992768839</v>
      </c>
      <c r="EF14">
        <f t="shared" si="2"/>
        <v>99.988556209157821</v>
      </c>
      <c r="EG14">
        <f t="shared" si="2"/>
        <v>101.19511569974415</v>
      </c>
      <c r="EH14">
        <f t="shared" si="2"/>
        <v>100.29118146709331</v>
      </c>
      <c r="EI14">
        <f t="shared" si="2"/>
        <v>99.983864946773721</v>
      </c>
      <c r="EJ14">
        <f t="shared" si="2"/>
        <v>101.33113279898143</v>
      </c>
      <c r="EK14">
        <f t="shared" si="2"/>
        <v>102.31946866928692</v>
      </c>
      <c r="EL14">
        <f t="shared" si="2"/>
        <v>101.85291354919066</v>
      </c>
      <c r="EM14">
        <f t="shared" si="2"/>
        <v>100.78092443079071</v>
      </c>
      <c r="EN14">
        <f t="shared" si="2"/>
        <v>100.74913738257851</v>
      </c>
      <c r="EO14">
        <f t="shared" si="2"/>
        <v>99.981070957070045</v>
      </c>
      <c r="EP14">
        <f t="shared" si="2"/>
        <v>99.478135062553804</v>
      </c>
      <c r="EQ14">
        <f t="shared" si="2"/>
        <v>100.86554233095431</v>
      </c>
      <c r="ER14">
        <f t="shared" si="2"/>
        <v>99.028885319290836</v>
      </c>
      <c r="ES14">
        <f t="shared" si="2"/>
        <v>98.30013914521372</v>
      </c>
      <c r="ET14">
        <f t="shared" si="2"/>
        <v>98.290943887052322</v>
      </c>
      <c r="EU14">
        <f t="shared" si="2"/>
        <v>97.140345404970347</v>
      </c>
      <c r="EV14">
        <f t="shared" si="2"/>
        <v>96.217481543573314</v>
      </c>
      <c r="EW14">
        <f t="shared" si="2"/>
        <v>96.517535276848236</v>
      </c>
      <c r="EX14">
        <f t="shared" si="2"/>
        <v>97.574199113759036</v>
      </c>
      <c r="EY14">
        <f t="shared" si="2"/>
        <v>96.197834638421384</v>
      </c>
      <c r="EZ14">
        <f t="shared" si="2"/>
        <v>97.526823613332311</v>
      </c>
      <c r="FA14">
        <f t="shared" si="2"/>
        <v>96.718143231349941</v>
      </c>
      <c r="FB14">
        <f t="shared" si="2"/>
        <v>97.426201060871009</v>
      </c>
      <c r="FC14">
        <f t="shared" si="2"/>
        <v>97.166449379983206</v>
      </c>
      <c r="FD14">
        <f t="shared" si="2"/>
        <v>97.146379002619867</v>
      </c>
      <c r="FE14">
        <f t="shared" si="2"/>
        <v>98.407015426807106</v>
      </c>
      <c r="FF14">
        <f t="shared" si="2"/>
        <v>98.316945407688749</v>
      </c>
      <c r="FG14">
        <f t="shared" si="2"/>
        <v>97.244839773432375</v>
      </c>
      <c r="FH14">
        <f t="shared" si="2"/>
        <v>98.135912578410966</v>
      </c>
      <c r="FI14">
        <f t="shared" si="2"/>
        <v>97.309508997396748</v>
      </c>
      <c r="FJ14">
        <f t="shared" si="2"/>
        <v>97.830317374436433</v>
      </c>
      <c r="FK14">
        <f t="shared" si="2"/>
        <v>97.321140694567077</v>
      </c>
      <c r="FL14">
        <f t="shared" si="2"/>
        <v>97.133327068584265</v>
      </c>
      <c r="FM14">
        <f t="shared" si="2"/>
        <v>97.382823424166006</v>
      </c>
      <c r="FN14">
        <f t="shared" si="2"/>
        <v>99.039695903969672</v>
      </c>
      <c r="FO14">
        <f t="shared" si="2"/>
        <v>98.367377285305849</v>
      </c>
      <c r="FP14">
        <f t="shared" si="2"/>
        <v>99.173890703712331</v>
      </c>
      <c r="FQ14">
        <f t="shared" si="2"/>
        <v>99.01161730128571</v>
      </c>
      <c r="FR14">
        <f t="shared" si="2"/>
        <v>98.273539495023613</v>
      </c>
      <c r="FS14">
        <f t="shared" si="2"/>
        <v>97.164202461962347</v>
      </c>
      <c r="FT14">
        <f t="shared" si="2"/>
        <v>97.646430836190234</v>
      </c>
      <c r="FU14">
        <f t="shared" si="2"/>
        <v>98.154855898090005</v>
      </c>
      <c r="FV14">
        <f t="shared" si="2"/>
        <v>96.883208809535873</v>
      </c>
      <c r="FW14">
        <f t="shared" si="2"/>
        <v>96.860883562358822</v>
      </c>
      <c r="FX14">
        <f t="shared" si="2"/>
        <v>96.97728015053714</v>
      </c>
      <c r="FY14">
        <f t="shared" si="2"/>
        <v>97.788726417917374</v>
      </c>
      <c r="FZ14">
        <f t="shared" si="2"/>
        <v>96.543515181210921</v>
      </c>
      <c r="GA14">
        <f t="shared" si="2"/>
        <v>96.430154971617341</v>
      </c>
      <c r="GB14">
        <f t="shared" si="2"/>
        <v>96.77493880640229</v>
      </c>
      <c r="GC14">
        <f t="shared" si="2"/>
        <v>96.012998402158686</v>
      </c>
      <c r="GD14">
        <f t="shared" si="2"/>
        <v>94.758178996445636</v>
      </c>
      <c r="GE14">
        <f t="shared" si="2"/>
        <v>97.808958641919418</v>
      </c>
      <c r="GF14">
        <f t="shared" si="2"/>
        <v>97.246582153856821</v>
      </c>
      <c r="GG14">
        <f t="shared" si="2"/>
        <v>98.201300303049635</v>
      </c>
      <c r="GH14">
        <f t="shared" si="2"/>
        <v>99.402034013363647</v>
      </c>
      <c r="GI14">
        <f t="shared" si="2"/>
        <v>100.64588371263936</v>
      </c>
      <c r="GJ14">
        <f t="shared" si="2"/>
        <v>100.4315225720449</v>
      </c>
      <c r="GK14">
        <f t="shared" si="2"/>
        <v>100.95377502570786</v>
      </c>
      <c r="GL14">
        <f t="shared" si="2"/>
        <v>102.02901695639706</v>
      </c>
      <c r="GM14">
        <f t="shared" si="2"/>
        <v>102.08272915485998</v>
      </c>
      <c r="GN14">
        <f t="shared" si="2"/>
        <v>102.52295547801303</v>
      </c>
      <c r="GO14">
        <f t="shared" ref="GO14:IZ14" si="3">GN14*(1+GO3)</f>
        <v>102.85093452626572</v>
      </c>
      <c r="GP14">
        <f t="shared" si="3"/>
        <v>102.91008421901739</v>
      </c>
      <c r="GQ14">
        <f t="shared" si="3"/>
        <v>102.26587375568145</v>
      </c>
      <c r="GR14">
        <f t="shared" si="3"/>
        <v>101.33735621576469</v>
      </c>
      <c r="GS14">
        <f t="shared" si="3"/>
        <v>102.17004551022485</v>
      </c>
      <c r="GT14">
        <f t="shared" si="3"/>
        <v>100.19006952097692</v>
      </c>
      <c r="GU14">
        <f t="shared" si="3"/>
        <v>100.72626666498621</v>
      </c>
      <c r="GV14">
        <f t="shared" si="3"/>
        <v>100.5764066192564</v>
      </c>
      <c r="GW14">
        <f t="shared" si="3"/>
        <v>101.19892102572187</v>
      </c>
      <c r="GX14">
        <f t="shared" si="3"/>
        <v>100.99763351585355</v>
      </c>
      <c r="GY14">
        <f t="shared" si="3"/>
        <v>100.94667618054012</v>
      </c>
      <c r="GZ14">
        <f t="shared" si="3"/>
        <v>101.14772091212947</v>
      </c>
      <c r="HA14">
        <f t="shared" si="3"/>
        <v>101.20716562769411</v>
      </c>
      <c r="HB14">
        <f t="shared" si="3"/>
        <v>100.89571411412454</v>
      </c>
      <c r="HC14">
        <f t="shared" si="3"/>
        <v>100.34883091035491</v>
      </c>
      <c r="HD14">
        <f t="shared" si="3"/>
        <v>100.57924598282297</v>
      </c>
      <c r="HE14">
        <f t="shared" si="3"/>
        <v>99.641066940842862</v>
      </c>
      <c r="HF14">
        <f t="shared" si="3"/>
        <v>99.557847498676097</v>
      </c>
      <c r="HG14">
        <f t="shared" si="3"/>
        <v>99.623793607961773</v>
      </c>
      <c r="HH14">
        <f t="shared" si="3"/>
        <v>99.902662327068356</v>
      </c>
      <c r="HI14">
        <f t="shared" si="3"/>
        <v>99.060150194319121</v>
      </c>
      <c r="HJ14">
        <f t="shared" si="3"/>
        <v>99.088518958133193</v>
      </c>
      <c r="HK14">
        <f t="shared" si="3"/>
        <v>98.560143582468413</v>
      </c>
      <c r="HL14">
        <f t="shared" si="3"/>
        <v>98.087449862797271</v>
      </c>
      <c r="HM14">
        <f t="shared" si="3"/>
        <v>97.652944071588848</v>
      </c>
      <c r="HN14">
        <f t="shared" si="3"/>
        <v>98.615689565066063</v>
      </c>
      <c r="HO14">
        <f t="shared" si="3"/>
        <v>98.612923482028421</v>
      </c>
      <c r="HP14">
        <f t="shared" si="3"/>
        <v>99.806100964238937</v>
      </c>
      <c r="HQ14">
        <f t="shared" si="3"/>
        <v>99.253324797124421</v>
      </c>
      <c r="HR14">
        <f t="shared" si="3"/>
        <v>100.26445824733294</v>
      </c>
      <c r="HS14">
        <f t="shared" si="3"/>
        <v>101.905308714269</v>
      </c>
      <c r="HT14">
        <f t="shared" si="3"/>
        <v>102.20465294876982</v>
      </c>
      <c r="HU14">
        <f t="shared" si="3"/>
        <v>101.54410722038146</v>
      </c>
      <c r="HV14">
        <f t="shared" si="3"/>
        <v>102.0133254825637</v>
      </c>
      <c r="HW14">
        <f t="shared" si="3"/>
        <v>102.11527352587707</v>
      </c>
      <c r="HX14">
        <f t="shared" si="3"/>
        <v>101.61564286804557</v>
      </c>
      <c r="HY14">
        <f t="shared" si="3"/>
        <v>102.27088488524886</v>
      </c>
      <c r="HZ14">
        <f t="shared" si="3"/>
        <v>102.74838403659456</v>
      </c>
      <c r="IA14">
        <f t="shared" si="3"/>
        <v>102.98474487888372</v>
      </c>
      <c r="IB14">
        <f t="shared" si="3"/>
        <v>102.38009582494855</v>
      </c>
      <c r="IC14">
        <f t="shared" si="3"/>
        <v>102.94985802040013</v>
      </c>
      <c r="ID14">
        <f t="shared" si="3"/>
        <v>102.59680668498983</v>
      </c>
      <c r="IE14">
        <f t="shared" si="3"/>
        <v>101.67747587460794</v>
      </c>
      <c r="IF14">
        <f t="shared" si="3"/>
        <v>101.22942809864662</v>
      </c>
      <c r="IG14">
        <f t="shared" si="3"/>
        <v>100.93594571190523</v>
      </c>
      <c r="IH14">
        <f t="shared" si="3"/>
        <v>100.84863252755457</v>
      </c>
      <c r="II14">
        <f t="shared" si="3"/>
        <v>101.84072694946826</v>
      </c>
      <c r="IJ14">
        <f t="shared" si="3"/>
        <v>102.41407946893261</v>
      </c>
      <c r="IK14">
        <f t="shared" si="3"/>
        <v>103.64029381839221</v>
      </c>
      <c r="IL14">
        <f t="shared" si="3"/>
        <v>105.4639882257235</v>
      </c>
      <c r="IM14">
        <f t="shared" si="3"/>
        <v>104.49530226761614</v>
      </c>
      <c r="IN14">
        <f t="shared" si="3"/>
        <v>104.73055449547731</v>
      </c>
      <c r="IO14">
        <f t="shared" si="3"/>
        <v>105.14645688605412</v>
      </c>
      <c r="IP14">
        <f t="shared" si="3"/>
        <v>104.45292928587615</v>
      </c>
      <c r="IQ14">
        <f t="shared" si="3"/>
        <v>104.32118831467591</v>
      </c>
      <c r="IR14">
        <f t="shared" si="3"/>
        <v>102.21605926483819</v>
      </c>
      <c r="IS14">
        <f t="shared" si="3"/>
        <v>102.24759983651398</v>
      </c>
      <c r="IT14">
        <f t="shared" si="3"/>
        <v>101.24880489110782</v>
      </c>
      <c r="IU14">
        <f t="shared" si="3"/>
        <v>102.28575486749803</v>
      </c>
      <c r="IV14">
        <f t="shared" si="3"/>
        <v>101.3030360307198</v>
      </c>
      <c r="IW14">
        <f t="shared" si="3"/>
        <v>100.16174167084249</v>
      </c>
      <c r="IX14">
        <f t="shared" si="3"/>
        <v>101.17350376104341</v>
      </c>
      <c r="IY14">
        <f t="shared" si="3"/>
        <v>101.45961146582567</v>
      </c>
      <c r="IZ14">
        <f t="shared" si="3"/>
        <v>101.88601485971759</v>
      </c>
      <c r="JA14">
        <f t="shared" ref="JA14:LL14" si="4">IZ14*(1+JA3)</f>
        <v>100.74246669542484</v>
      </c>
      <c r="JB14">
        <f t="shared" si="4"/>
        <v>99.518213141860386</v>
      </c>
      <c r="JC14">
        <f t="shared" si="4"/>
        <v>98.062646417676461</v>
      </c>
      <c r="JD14">
        <f t="shared" si="4"/>
        <v>98.123890043163101</v>
      </c>
      <c r="JE14">
        <f t="shared" si="4"/>
        <v>97.668154335949737</v>
      </c>
      <c r="JF14">
        <f t="shared" si="4"/>
        <v>97.238726339892025</v>
      </c>
      <c r="JG14">
        <f t="shared" si="4"/>
        <v>98.014251053607239</v>
      </c>
      <c r="JH14">
        <f t="shared" si="4"/>
        <v>96.383998472476804</v>
      </c>
      <c r="JI14">
        <f t="shared" si="4"/>
        <v>95.285335881481714</v>
      </c>
      <c r="JJ14">
        <f t="shared" si="4"/>
        <v>97.484124802233453</v>
      </c>
      <c r="JK14">
        <f t="shared" si="4"/>
        <v>95.827220099734632</v>
      </c>
      <c r="JL14">
        <f t="shared" si="4"/>
        <v>97.253218337509139</v>
      </c>
      <c r="JM14">
        <f t="shared" si="4"/>
        <v>97.68845757670293</v>
      </c>
      <c r="JN14">
        <f t="shared" si="4"/>
        <v>97.423566629041545</v>
      </c>
      <c r="JO14">
        <f t="shared" si="4"/>
        <v>97.747333818066181</v>
      </c>
      <c r="JP14">
        <f t="shared" si="4"/>
        <v>97.133482502478671</v>
      </c>
      <c r="JQ14">
        <f t="shared" si="4"/>
        <v>96.226210751948869</v>
      </c>
      <c r="JR14">
        <f t="shared" si="4"/>
        <v>94.154720169541946</v>
      </c>
      <c r="JS14">
        <f t="shared" si="4"/>
        <v>96.638912785925626</v>
      </c>
      <c r="JT14">
        <f t="shared" si="4"/>
        <v>95.475949659356445</v>
      </c>
      <c r="JU14">
        <f t="shared" si="4"/>
        <v>93.873512120876669</v>
      </c>
      <c r="JV14">
        <f t="shared" si="4"/>
        <v>90.860191240858484</v>
      </c>
      <c r="JW14">
        <f t="shared" si="4"/>
        <v>92.277421847081499</v>
      </c>
      <c r="JX14">
        <f t="shared" si="4"/>
        <v>94.712523856681827</v>
      </c>
      <c r="JY14">
        <f t="shared" si="4"/>
        <v>92.819645382126723</v>
      </c>
      <c r="JZ14">
        <f t="shared" si="4"/>
        <v>93.164785039870722</v>
      </c>
      <c r="KA14">
        <f t="shared" si="4"/>
        <v>93.850830591711812</v>
      </c>
      <c r="KB14">
        <f t="shared" si="4"/>
        <v>96.308235670636606</v>
      </c>
      <c r="KC14">
        <f t="shared" si="4"/>
        <v>99.311662616069128</v>
      </c>
      <c r="KD14">
        <f t="shared" si="4"/>
        <v>99.096589249978862</v>
      </c>
      <c r="KE14">
        <f t="shared" si="4"/>
        <v>99.609237167583046</v>
      </c>
      <c r="KF14">
        <f t="shared" si="4"/>
        <v>98.793725301008308</v>
      </c>
      <c r="KG14">
        <f t="shared" si="4"/>
        <v>98.359369501340211</v>
      </c>
      <c r="KH14">
        <f t="shared" si="4"/>
        <v>98.498215039687111</v>
      </c>
      <c r="KI14">
        <f t="shared" si="4"/>
        <v>96.990739398428133</v>
      </c>
      <c r="KJ14">
        <f t="shared" si="4"/>
        <v>99.686949205671311</v>
      </c>
      <c r="KK14">
        <f t="shared" si="4"/>
        <v>98.707863425653429</v>
      </c>
      <c r="KL14">
        <f t="shared" si="4"/>
        <v>99.794123388126152</v>
      </c>
      <c r="KM14">
        <f t="shared" si="4"/>
        <v>98.418519914337736</v>
      </c>
      <c r="KN14">
        <f t="shared" si="4"/>
        <v>99.015850159701941</v>
      </c>
      <c r="KO14">
        <f t="shared" si="4"/>
        <v>99.281235134306769</v>
      </c>
      <c r="KP14">
        <f t="shared" si="4"/>
        <v>98.353609008680777</v>
      </c>
      <c r="KQ14">
        <f t="shared" si="4"/>
        <v>96.463204087797251</v>
      </c>
      <c r="KR14">
        <f t="shared" si="4"/>
        <v>95.64536192935465</v>
      </c>
      <c r="KS14">
        <f t="shared" si="4"/>
        <v>94.968850352442502</v>
      </c>
      <c r="KT14">
        <f t="shared" si="4"/>
        <v>96.548235297483174</v>
      </c>
      <c r="KU14">
        <f t="shared" si="4"/>
        <v>98.673370915164867</v>
      </c>
      <c r="KV14">
        <f t="shared" si="4"/>
        <v>97.585607590961331</v>
      </c>
      <c r="KW14">
        <f t="shared" si="4"/>
        <v>97.067102186594823</v>
      </c>
      <c r="KX14">
        <f t="shared" si="4"/>
        <v>98.5577578089122</v>
      </c>
      <c r="KY14">
        <f t="shared" si="4"/>
        <v>98.321213753956457</v>
      </c>
      <c r="KZ14">
        <f t="shared" si="4"/>
        <v>98.618231626051596</v>
      </c>
      <c r="LA14">
        <f t="shared" si="4"/>
        <v>99.859403133885209</v>
      </c>
      <c r="LB14">
        <f t="shared" si="4"/>
        <v>101.32834015079973</v>
      </c>
      <c r="LC14">
        <f t="shared" si="4"/>
        <v>102.29157975386101</v>
      </c>
      <c r="LD14">
        <f t="shared" si="4"/>
        <v>103.65914247319148</v>
      </c>
      <c r="LE14">
        <f t="shared" si="4"/>
        <v>104.82461368849506</v>
      </c>
      <c r="LF14">
        <f t="shared" si="4"/>
        <v>103.7116394974974</v>
      </c>
      <c r="LG14">
        <f t="shared" si="4"/>
        <v>101.42400150030356</v>
      </c>
      <c r="LH14">
        <f t="shared" si="4"/>
        <v>101.81157065913783</v>
      </c>
      <c r="LI14">
        <f t="shared" si="4"/>
        <v>102.82104199083949</v>
      </c>
      <c r="LJ14">
        <f t="shared" si="4"/>
        <v>102.218025704414</v>
      </c>
      <c r="LK14">
        <f t="shared" si="4"/>
        <v>103.6493500838186</v>
      </c>
      <c r="LL14">
        <f t="shared" si="4"/>
        <v>102.25269609838178</v>
      </c>
      <c r="LM14">
        <f t="shared" ref="LM14:NX14" si="5">LL14*(1+LM3)</f>
        <v>102.9701980135742</v>
      </c>
      <c r="LN14">
        <f t="shared" si="5"/>
        <v>101.00936090234221</v>
      </c>
      <c r="LO14">
        <f t="shared" si="5"/>
        <v>102.1931605356145</v>
      </c>
      <c r="LP14">
        <f t="shared" si="5"/>
        <v>102.55132267148038</v>
      </c>
      <c r="LQ14">
        <f t="shared" si="5"/>
        <v>103.87382294323884</v>
      </c>
      <c r="LR14">
        <f t="shared" si="5"/>
        <v>102.83029011162958</v>
      </c>
      <c r="LS14">
        <f t="shared" si="5"/>
        <v>102.80240716550273</v>
      </c>
      <c r="LT14">
        <f t="shared" si="5"/>
        <v>102.45978443466419</v>
      </c>
      <c r="LU14">
        <f t="shared" si="5"/>
        <v>102.80406195770215</v>
      </c>
      <c r="LV14">
        <f t="shared" si="5"/>
        <v>103.22521992039847</v>
      </c>
      <c r="LW14">
        <f t="shared" si="5"/>
        <v>102.2807943151154</v>
      </c>
      <c r="LX14">
        <f t="shared" si="5"/>
        <v>102.52887824520367</v>
      </c>
      <c r="LY14">
        <f t="shared" si="5"/>
        <v>103.51662477944105</v>
      </c>
      <c r="LZ14">
        <f t="shared" si="5"/>
        <v>104.22081415231069</v>
      </c>
      <c r="MA14">
        <f t="shared" si="5"/>
        <v>103.10633620418692</v>
      </c>
      <c r="MB14">
        <f t="shared" si="5"/>
        <v>101.95458695895645</v>
      </c>
      <c r="MC14">
        <f t="shared" si="5"/>
        <v>100.69059039864916</v>
      </c>
      <c r="MD14">
        <f t="shared" si="5"/>
        <v>100.60577012628673</v>
      </c>
      <c r="ME14">
        <f t="shared" si="5"/>
        <v>102.01585327928738</v>
      </c>
      <c r="MF14">
        <f t="shared" si="5"/>
        <v>102.61916132863321</v>
      </c>
      <c r="MG14">
        <f t="shared" si="5"/>
        <v>102.22710060647762</v>
      </c>
      <c r="MH14">
        <f t="shared" si="5"/>
        <v>102.31988388752308</v>
      </c>
      <c r="MI14">
        <f t="shared" si="5"/>
        <v>101.96192898073666</v>
      </c>
      <c r="MJ14">
        <f t="shared" si="5"/>
        <v>103.40188491170815</v>
      </c>
      <c r="MK14">
        <f t="shared" si="5"/>
        <v>103.76041051459057</v>
      </c>
      <c r="ML14">
        <f t="shared" si="5"/>
        <v>100.63194285269624</v>
      </c>
      <c r="MM14">
        <f t="shared" si="5"/>
        <v>100.9857912551408</v>
      </c>
      <c r="MN14">
        <f t="shared" si="5"/>
        <v>103.84914427426725</v>
      </c>
      <c r="MO14">
        <f t="shared" si="5"/>
        <v>102.8422380212768</v>
      </c>
      <c r="MP14">
        <f t="shared" si="5"/>
        <v>102.11487234571854</v>
      </c>
      <c r="MQ14">
        <f t="shared" si="5"/>
        <v>101.24280626523789</v>
      </c>
      <c r="MR14">
        <f t="shared" si="5"/>
        <v>102.37381100538325</v>
      </c>
      <c r="MS14">
        <f t="shared" si="5"/>
        <v>101.49415739573622</v>
      </c>
      <c r="MT14">
        <f t="shared" si="5"/>
        <v>103.77509542705313</v>
      </c>
      <c r="MU14">
        <f t="shared" si="5"/>
        <v>102.81783476861271</v>
      </c>
      <c r="MV14">
        <f t="shared" si="5"/>
        <v>101.22369412371475</v>
      </c>
      <c r="MW14">
        <f t="shared" si="5"/>
        <v>100.5606143297758</v>
      </c>
      <c r="MX14">
        <f t="shared" si="5"/>
        <v>101.05231518629574</v>
      </c>
      <c r="MY14">
        <f t="shared" si="5"/>
        <v>100.81277968796212</v>
      </c>
      <c r="MZ14">
        <f t="shared" si="5"/>
        <v>100.00415601047492</v>
      </c>
      <c r="NA14">
        <f t="shared" si="5"/>
        <v>100.85600964483943</v>
      </c>
      <c r="NB14">
        <f t="shared" si="5"/>
        <v>101.51522597515043</v>
      </c>
      <c r="NC14">
        <f t="shared" si="5"/>
        <v>101.9941570093433</v>
      </c>
      <c r="ND14">
        <f t="shared" si="5"/>
        <v>101.69904845841722</v>
      </c>
      <c r="NE14">
        <f t="shared" si="5"/>
        <v>102.30543881951182</v>
      </c>
      <c r="NF14">
        <f t="shared" si="5"/>
        <v>102.35411031117718</v>
      </c>
      <c r="NG14">
        <f t="shared" si="5"/>
        <v>103.40665075079892</v>
      </c>
      <c r="NH14">
        <f t="shared" si="5"/>
        <v>102.85401082970314</v>
      </c>
      <c r="NI14">
        <f t="shared" si="5"/>
        <v>101.93422322987992</v>
      </c>
      <c r="NJ14">
        <f t="shared" si="5"/>
        <v>99.71497428743092</v>
      </c>
      <c r="NK14">
        <f t="shared" si="5"/>
        <v>100.67321091431165</v>
      </c>
      <c r="NL14">
        <f t="shared" si="5"/>
        <v>99.90901061878516</v>
      </c>
      <c r="NM14">
        <f t="shared" si="5"/>
        <v>101.06155301201193</v>
      </c>
      <c r="NN14">
        <f t="shared" si="5"/>
        <v>101.78334272621572</v>
      </c>
      <c r="NO14">
        <f t="shared" si="5"/>
        <v>101.31215317553848</v>
      </c>
      <c r="NP14">
        <f t="shared" si="5"/>
        <v>100.52765497951778</v>
      </c>
      <c r="NQ14">
        <f t="shared" si="5"/>
        <v>101.26609821589751</v>
      </c>
      <c r="NR14">
        <f t="shared" si="5"/>
        <v>102.49143228057787</v>
      </c>
      <c r="NS14">
        <f t="shared" si="5"/>
        <v>104.19103799232677</v>
      </c>
      <c r="NT14">
        <f t="shared" si="5"/>
        <v>104.33381341546686</v>
      </c>
      <c r="NU14">
        <f t="shared" si="5"/>
        <v>105.79288439147361</v>
      </c>
      <c r="NV14">
        <f t="shared" si="5"/>
        <v>104.61615294760675</v>
      </c>
      <c r="NW14">
        <f t="shared" si="5"/>
        <v>105.84142687597115</v>
      </c>
      <c r="NX14">
        <f t="shared" si="5"/>
        <v>108.33633774302501</v>
      </c>
      <c r="NY14">
        <f t="shared" ref="NY14:QJ14" si="6">NX14*(1+NY3)</f>
        <v>109.76423311228947</v>
      </c>
      <c r="NZ14">
        <f t="shared" si="6"/>
        <v>108.60666456392343</v>
      </c>
      <c r="OA14">
        <f t="shared" si="6"/>
        <v>107.84317556188417</v>
      </c>
      <c r="OB14">
        <f t="shared" si="6"/>
        <v>109.85298834035434</v>
      </c>
      <c r="OC14">
        <f t="shared" si="6"/>
        <v>112.63919971830903</v>
      </c>
      <c r="OD14">
        <f t="shared" si="6"/>
        <v>112.08701229941275</v>
      </c>
      <c r="OE14">
        <f t="shared" si="6"/>
        <v>111.22937911112589</v>
      </c>
      <c r="OF14">
        <f t="shared" si="6"/>
        <v>116.85957576651117</v>
      </c>
      <c r="OG14">
        <f t="shared" si="6"/>
        <v>116.87243660191075</v>
      </c>
      <c r="OH14">
        <f t="shared" si="6"/>
        <v>116.51909727998323</v>
      </c>
      <c r="OI14">
        <f t="shared" si="6"/>
        <v>115.23940816470174</v>
      </c>
      <c r="OJ14">
        <f t="shared" si="6"/>
        <v>116.15828940778164</v>
      </c>
      <c r="OK14">
        <f t="shared" si="6"/>
        <v>117.00664060948354</v>
      </c>
      <c r="OL14">
        <f t="shared" si="6"/>
        <v>115.59320856188928</v>
      </c>
      <c r="OM14">
        <f t="shared" si="6"/>
        <v>113.97754057005636</v>
      </c>
      <c r="ON14">
        <f t="shared" si="6"/>
        <v>113.76795087098431</v>
      </c>
      <c r="OO14">
        <f t="shared" si="6"/>
        <v>112.87766071597777</v>
      </c>
      <c r="OP14">
        <f t="shared" si="6"/>
        <v>110.79297331760458</v>
      </c>
      <c r="OQ14">
        <f t="shared" si="6"/>
        <v>111.12118599049829</v>
      </c>
      <c r="OR14">
        <f t="shared" si="6"/>
        <v>110.95680780180912</v>
      </c>
      <c r="OS14">
        <f t="shared" si="6"/>
        <v>107.00964804890189</v>
      </c>
      <c r="OT14">
        <f t="shared" si="6"/>
        <v>107.16694591238601</v>
      </c>
      <c r="OU14">
        <f t="shared" si="6"/>
        <v>106.78461269030555</v>
      </c>
      <c r="OV14">
        <f t="shared" si="6"/>
        <v>105.43916270158364</v>
      </c>
      <c r="OW14">
        <f t="shared" si="6"/>
        <v>104.82068544373655</v>
      </c>
      <c r="OX14">
        <f t="shared" si="6"/>
        <v>106.42751046899301</v>
      </c>
      <c r="OY14">
        <f t="shared" si="6"/>
        <v>105.83624940819766</v>
      </c>
      <c r="OZ14">
        <f t="shared" si="6"/>
        <v>106.5363312055711</v>
      </c>
      <c r="PA14">
        <f t="shared" si="6"/>
        <v>107.0572464234284</v>
      </c>
      <c r="PB14">
        <f t="shared" si="6"/>
        <v>107.66028699323417</v>
      </c>
      <c r="PC14">
        <f t="shared" si="6"/>
        <v>110.039109019563</v>
      </c>
      <c r="PD14">
        <f t="shared" si="6"/>
        <v>109.53188910783111</v>
      </c>
      <c r="PE14">
        <f t="shared" si="6"/>
        <v>107.22398682944485</v>
      </c>
      <c r="PF14">
        <f t="shared" si="6"/>
        <v>105.06012966958565</v>
      </c>
      <c r="PG14">
        <f t="shared" si="6"/>
        <v>107.20537306121508</v>
      </c>
      <c r="PH14">
        <f t="shared" si="6"/>
        <v>108.35505989613608</v>
      </c>
      <c r="PI14">
        <f t="shared" si="6"/>
        <v>108.0532409256153</v>
      </c>
      <c r="PJ14">
        <f t="shared" si="6"/>
        <v>107.80873399299817</v>
      </c>
      <c r="PK14">
        <f t="shared" si="6"/>
        <v>110.22050237033902</v>
      </c>
      <c r="PL14">
        <f t="shared" si="6"/>
        <v>108.80285563029574</v>
      </c>
      <c r="PM14">
        <f t="shared" si="6"/>
        <v>106.38288527655973</v>
      </c>
      <c r="PN14">
        <f t="shared" si="6"/>
        <v>108.31972237117601</v>
      </c>
      <c r="PO14">
        <f t="shared" si="6"/>
        <v>108.12896542741331</v>
      </c>
      <c r="PP14">
        <f t="shared" si="6"/>
        <v>108.02774945502058</v>
      </c>
      <c r="PQ14">
        <f t="shared" si="6"/>
        <v>110.99217569129912</v>
      </c>
      <c r="PR14">
        <f t="shared" si="6"/>
        <v>110.58944208263495</v>
      </c>
      <c r="PS14">
        <f t="shared" si="6"/>
        <v>112.32333925850236</v>
      </c>
      <c r="PT14">
        <f t="shared" si="6"/>
        <v>111.70092990292054</v>
      </c>
      <c r="PU14">
        <f t="shared" si="6"/>
        <v>112.28433465869472</v>
      </c>
      <c r="PV14">
        <f t="shared" si="6"/>
        <v>112.00713389155558</v>
      </c>
      <c r="PW14">
        <f t="shared" si="6"/>
        <v>113.64962079128192</v>
      </c>
      <c r="PX14">
        <f t="shared" si="6"/>
        <v>113.87690252983731</v>
      </c>
      <c r="PY14">
        <f t="shared" si="6"/>
        <v>114.73115406389046</v>
      </c>
      <c r="PZ14">
        <f t="shared" si="6"/>
        <v>114.59554364753784</v>
      </c>
      <c r="QA14">
        <f t="shared" si="6"/>
        <v>114.82343148649294</v>
      </c>
      <c r="QB14">
        <f t="shared" si="6"/>
        <v>114.91436276684884</v>
      </c>
      <c r="QC14">
        <f t="shared" si="6"/>
        <v>116.73268077529197</v>
      </c>
      <c r="QD14">
        <f t="shared" si="6"/>
        <v>116.42025377296834</v>
      </c>
      <c r="QE14">
        <f t="shared" si="6"/>
        <v>115.89825024269328</v>
      </c>
      <c r="QF14">
        <f t="shared" si="6"/>
        <v>115.28807940298834</v>
      </c>
      <c r="QG14">
        <f t="shared" si="6"/>
        <v>116.40828961710662</v>
      </c>
      <c r="QH14">
        <f t="shared" si="6"/>
        <v>116.15926917644151</v>
      </c>
      <c r="QI14">
        <f t="shared" si="6"/>
        <v>114.53224934679211</v>
      </c>
      <c r="QJ14">
        <f t="shared" si="6"/>
        <v>115.72381011726101</v>
      </c>
      <c r="QK14">
        <f t="shared" ref="QK14:SV14" si="7">QJ14*(1+QK3)</f>
        <v>115.28737861764743</v>
      </c>
      <c r="QL14">
        <f t="shared" si="7"/>
        <v>115.86409084502665</v>
      </c>
      <c r="QM14">
        <f t="shared" si="7"/>
        <v>118.64652497801822</v>
      </c>
      <c r="QN14">
        <f t="shared" si="7"/>
        <v>118.23835157748374</v>
      </c>
      <c r="QO14">
        <f t="shared" si="7"/>
        <v>118.46561158036246</v>
      </c>
      <c r="QP14">
        <f t="shared" si="7"/>
        <v>117.97549676877713</v>
      </c>
      <c r="QQ14">
        <f t="shared" si="7"/>
        <v>118.01066390020392</v>
      </c>
      <c r="QR14">
        <f t="shared" si="7"/>
        <v>118.82223222649515</v>
      </c>
      <c r="QS14">
        <f t="shared" si="7"/>
        <v>117.35930470477065</v>
      </c>
      <c r="QT14">
        <f t="shared" si="7"/>
        <v>117.07049219979588</v>
      </c>
      <c r="QU14">
        <f t="shared" si="7"/>
        <v>119.52946999587489</v>
      </c>
      <c r="QV14">
        <f t="shared" si="7"/>
        <v>118.74119711950998</v>
      </c>
      <c r="QW14">
        <f t="shared" si="7"/>
        <v>119.44654631639736</v>
      </c>
      <c r="QX14">
        <f t="shared" si="7"/>
        <v>121.09151864195525</v>
      </c>
      <c r="QY14">
        <f t="shared" si="7"/>
        <v>120.56029310489153</v>
      </c>
      <c r="QZ14">
        <f t="shared" si="7"/>
        <v>119.72148704264393</v>
      </c>
      <c r="RA14">
        <f t="shared" si="7"/>
        <v>119.52093692551902</v>
      </c>
      <c r="RB14">
        <f t="shared" si="7"/>
        <v>119.70122972729348</v>
      </c>
      <c r="RC14">
        <f t="shared" si="7"/>
        <v>117.032403936855</v>
      </c>
      <c r="RD14">
        <f t="shared" si="7"/>
        <v>117.60465129974835</v>
      </c>
      <c r="RE14">
        <f t="shared" si="7"/>
        <v>115.80452796045742</v>
      </c>
      <c r="RF14">
        <f t="shared" si="7"/>
        <v>117.7352757722776</v>
      </c>
      <c r="RG14">
        <f t="shared" si="7"/>
        <v>118.6897944973405</v>
      </c>
      <c r="RH14">
        <f t="shared" si="7"/>
        <v>119.16582476981598</v>
      </c>
      <c r="RI14">
        <f t="shared" si="7"/>
        <v>120.17298993277038</v>
      </c>
      <c r="RJ14">
        <f t="shared" si="7"/>
        <v>120.59026855097956</v>
      </c>
      <c r="RK14">
        <f t="shared" si="7"/>
        <v>120.70804129569541</v>
      </c>
      <c r="RL14">
        <f t="shared" si="7"/>
        <v>121.01485694846912</v>
      </c>
      <c r="RM14">
        <f t="shared" si="7"/>
        <v>121.64241450494771</v>
      </c>
      <c r="RN14">
        <f t="shared" si="7"/>
        <v>122.53299770549876</v>
      </c>
      <c r="RO14">
        <f t="shared" si="7"/>
        <v>122.85151465842523</v>
      </c>
      <c r="RP14">
        <f t="shared" si="7"/>
        <v>122.52714798139709</v>
      </c>
      <c r="RQ14">
        <f t="shared" si="7"/>
        <v>121.9909661105109</v>
      </c>
      <c r="RR14">
        <f t="shared" si="7"/>
        <v>124.0168431403294</v>
      </c>
      <c r="RS14">
        <f t="shared" si="7"/>
        <v>124.66100804646263</v>
      </c>
      <c r="RT14">
        <f t="shared" si="7"/>
        <v>124.21990276033239</v>
      </c>
      <c r="RU14">
        <f t="shared" si="7"/>
        <v>120.03100741382012</v>
      </c>
      <c r="RV14">
        <f t="shared" si="7"/>
        <v>120.35863348436382</v>
      </c>
      <c r="RW14">
        <f t="shared" si="7"/>
        <v>122.72117521349526</v>
      </c>
      <c r="RX14">
        <f t="shared" si="7"/>
        <v>122.7888031714762</v>
      </c>
      <c r="RY14">
        <f t="shared" si="7"/>
        <v>123.47051748986476</v>
      </c>
      <c r="RZ14">
        <f t="shared" si="7"/>
        <v>124.19782182444072</v>
      </c>
      <c r="SA14">
        <f t="shared" si="7"/>
        <v>122.9320611200371</v>
      </c>
      <c r="SB14">
        <f t="shared" si="7"/>
        <v>122.79213080684339</v>
      </c>
      <c r="SC14">
        <f t="shared" si="7"/>
        <v>122.13510571614549</v>
      </c>
      <c r="SD14">
        <f t="shared" si="7"/>
        <v>120.91454188344602</v>
      </c>
      <c r="SE14">
        <f t="shared" si="7"/>
        <v>124.2818447311116</v>
      </c>
      <c r="SF14">
        <f t="shared" si="7"/>
        <v>125.602548267118</v>
      </c>
      <c r="SG14">
        <f t="shared" si="7"/>
        <v>125.02697670434112</v>
      </c>
      <c r="SH14">
        <f t="shared" si="7"/>
        <v>125.08089113191527</v>
      </c>
      <c r="SI14">
        <f t="shared" si="7"/>
        <v>124.18690277276669</v>
      </c>
      <c r="SJ14">
        <f t="shared" si="7"/>
        <v>127.22237293772169</v>
      </c>
      <c r="SK14">
        <f t="shared" si="7"/>
        <v>120.90905949593147</v>
      </c>
      <c r="SL14">
        <f t="shared" si="7"/>
        <v>119.94082693364837</v>
      </c>
      <c r="SM14">
        <f t="shared" si="7"/>
        <v>120.98016623264236</v>
      </c>
      <c r="SN14">
        <f t="shared" si="7"/>
        <v>122.39443503405346</v>
      </c>
      <c r="SO14">
        <f t="shared" si="7"/>
        <v>121.26386804823689</v>
      </c>
      <c r="SP14">
        <f t="shared" si="7"/>
        <v>127.42336409081992</v>
      </c>
      <c r="SQ14">
        <f t="shared" si="7"/>
        <v>130.19054990414804</v>
      </c>
      <c r="SR14">
        <f t="shared" si="7"/>
        <v>130.59250658651251</v>
      </c>
      <c r="SS14">
        <f t="shared" si="7"/>
        <v>127.39457380250171</v>
      </c>
      <c r="ST14">
        <f t="shared" si="7"/>
        <v>130.97163957276814</v>
      </c>
      <c r="SU14">
        <f t="shared" si="7"/>
        <v>131.90518980952081</v>
      </c>
      <c r="SV14">
        <f t="shared" si="7"/>
        <v>126.67986634561336</v>
      </c>
      <c r="SW14">
        <f t="shared" ref="SW14:VH14" si="8">SV14*(1+SW3)</f>
        <v>124.67051684955177</v>
      </c>
      <c r="SX14">
        <f t="shared" si="8"/>
        <v>122.57000404152508</v>
      </c>
      <c r="SY14">
        <f t="shared" si="8"/>
        <v>121.12459945535966</v>
      </c>
      <c r="SZ14">
        <f t="shared" si="8"/>
        <v>120.15354387445014</v>
      </c>
      <c r="TA14">
        <f t="shared" si="8"/>
        <v>124.79911311922439</v>
      </c>
      <c r="TB14">
        <f t="shared" si="8"/>
        <v>125.62171235038716</v>
      </c>
      <c r="TC14">
        <f t="shared" si="8"/>
        <v>127.07353244521411</v>
      </c>
      <c r="TD14">
        <f t="shared" si="8"/>
        <v>126.5417025683744</v>
      </c>
      <c r="TE14">
        <f t="shared" si="8"/>
        <v>125.15482762681283</v>
      </c>
      <c r="TF14">
        <f t="shared" si="8"/>
        <v>125.22839279488868</v>
      </c>
      <c r="TG14">
        <f t="shared" si="8"/>
        <v>127.6165872078065</v>
      </c>
      <c r="TH14">
        <f t="shared" si="8"/>
        <v>127.14635333737601</v>
      </c>
      <c r="TI14">
        <f t="shared" si="8"/>
        <v>125.6958962117213</v>
      </c>
      <c r="TJ14">
        <f t="shared" si="8"/>
        <v>127.85245870608162</v>
      </c>
      <c r="TK14">
        <f t="shared" si="8"/>
        <v>125.42170347402615</v>
      </c>
      <c r="TL14">
        <f t="shared" si="8"/>
        <v>124.32512386814014</v>
      </c>
      <c r="TM14">
        <f t="shared" si="8"/>
        <v>129.38302831403954</v>
      </c>
      <c r="TN14">
        <f t="shared" si="8"/>
        <v>125.00141959327424</v>
      </c>
      <c r="TO14">
        <f t="shared" si="8"/>
        <v>124.52153810923096</v>
      </c>
      <c r="TP14">
        <f t="shared" si="8"/>
        <v>127.07785687276818</v>
      </c>
      <c r="TQ14">
        <f t="shared" si="8"/>
        <v>123.006191835594</v>
      </c>
      <c r="TR14">
        <f t="shared" si="8"/>
        <v>123.29832110972605</v>
      </c>
      <c r="TS14">
        <f t="shared" si="8"/>
        <v>126.88669064615863</v>
      </c>
      <c r="TT14">
        <f t="shared" si="8"/>
        <v>125.83291521448429</v>
      </c>
      <c r="TU14">
        <f t="shared" si="8"/>
        <v>125.733578634162</v>
      </c>
      <c r="TV14">
        <f t="shared" si="8"/>
        <v>124.59731384463745</v>
      </c>
      <c r="TW14">
        <f t="shared" si="8"/>
        <v>125.0944033620755</v>
      </c>
      <c r="TX14">
        <f t="shared" si="8"/>
        <v>128.1129345465242</v>
      </c>
      <c r="TY14">
        <f t="shared" si="8"/>
        <v>127.8202663373621</v>
      </c>
      <c r="TZ14">
        <f t="shared" si="8"/>
        <v>128.1624298828367</v>
      </c>
      <c r="UA14">
        <f t="shared" si="8"/>
        <v>127.67313043852451</v>
      </c>
      <c r="UB14">
        <f t="shared" si="8"/>
        <v>124.95550495795797</v>
      </c>
      <c r="UC14">
        <f t="shared" si="8"/>
        <v>123.66295391303031</v>
      </c>
      <c r="UD14">
        <f t="shared" si="8"/>
        <v>124.38144740733033</v>
      </c>
      <c r="UE14">
        <f t="shared" si="8"/>
        <v>125.68782411853623</v>
      </c>
      <c r="UF14">
        <f t="shared" si="8"/>
        <v>124.50450947110326</v>
      </c>
      <c r="UG14">
        <f t="shared" si="8"/>
        <v>122.85540429430074</v>
      </c>
      <c r="UH14">
        <f t="shared" si="8"/>
        <v>121.13382284308531</v>
      </c>
      <c r="UI14">
        <f t="shared" si="8"/>
        <v>121.59894575989486</v>
      </c>
      <c r="UJ14">
        <f t="shared" si="8"/>
        <v>122.11809025292246</v>
      </c>
      <c r="UK14">
        <f t="shared" si="8"/>
        <v>117.70609742836223</v>
      </c>
      <c r="UL14">
        <f t="shared" si="8"/>
        <v>117.86200963768827</v>
      </c>
      <c r="UM14">
        <f t="shared" si="8"/>
        <v>118.43051345336059</v>
      </c>
      <c r="UN14">
        <f t="shared" si="8"/>
        <v>117.53908204518599</v>
      </c>
      <c r="UO14">
        <f t="shared" si="8"/>
        <v>118.33099973900481</v>
      </c>
      <c r="UP14">
        <f t="shared" si="8"/>
        <v>116.04258780869412</v>
      </c>
      <c r="UQ14">
        <f t="shared" si="8"/>
        <v>115.67648871322572</v>
      </c>
      <c r="UR14">
        <f t="shared" si="8"/>
        <v>119.23652221313147</v>
      </c>
      <c r="US14">
        <f t="shared" si="8"/>
        <v>118.98165452558739</v>
      </c>
      <c r="UT14">
        <f t="shared" si="8"/>
        <v>121.46153073255138</v>
      </c>
      <c r="UU14">
        <f t="shared" si="8"/>
        <v>122.75348038722481</v>
      </c>
      <c r="UV14">
        <f t="shared" si="8"/>
        <v>122.60261761796581</v>
      </c>
      <c r="UW14">
        <f t="shared" si="8"/>
        <v>121.17402515748127</v>
      </c>
      <c r="UX14">
        <f t="shared" si="8"/>
        <v>117.64519488725578</v>
      </c>
      <c r="UY14">
        <f t="shared" si="8"/>
        <v>118.59069228175078</v>
      </c>
      <c r="UZ14">
        <f t="shared" si="8"/>
        <v>117.97664621364314</v>
      </c>
      <c r="VA14">
        <f t="shared" si="8"/>
        <v>118.52370844603081</v>
      </c>
      <c r="VB14">
        <f t="shared" si="8"/>
        <v>117.52990485918225</v>
      </c>
      <c r="VC14">
        <f t="shared" si="8"/>
        <v>117.25935772633306</v>
      </c>
      <c r="VD14">
        <f t="shared" si="8"/>
        <v>118.03964184137162</v>
      </c>
      <c r="VE14">
        <f t="shared" si="8"/>
        <v>119.9526273368257</v>
      </c>
      <c r="VF14">
        <f t="shared" si="8"/>
        <v>117.87006687984849</v>
      </c>
      <c r="VG14">
        <f t="shared" si="8"/>
        <v>118.9851376604221</v>
      </c>
      <c r="VH14">
        <f t="shared" si="8"/>
        <v>120.19712065672914</v>
      </c>
      <c r="VI14">
        <f t="shared" ref="VI14:XT14" si="9">VH14*(1+VI3)</f>
        <v>118.59950552992241</v>
      </c>
      <c r="VJ14">
        <f t="shared" si="9"/>
        <v>117.833758641747</v>
      </c>
      <c r="VK14">
        <f t="shared" si="9"/>
        <v>117.92767807679748</v>
      </c>
      <c r="VL14">
        <f t="shared" si="9"/>
        <v>118.43661579710947</v>
      </c>
      <c r="VM14">
        <f t="shared" si="9"/>
        <v>122.32866067423942</v>
      </c>
      <c r="VN14">
        <f t="shared" si="9"/>
        <v>120.07898063437726</v>
      </c>
      <c r="VO14">
        <f t="shared" si="9"/>
        <v>118.5659526485701</v>
      </c>
      <c r="VP14">
        <f t="shared" si="9"/>
        <v>118.17892687886291</v>
      </c>
      <c r="VQ14">
        <f t="shared" si="9"/>
        <v>117.21747094999488</v>
      </c>
      <c r="VR14">
        <f t="shared" si="9"/>
        <v>117.19011430850485</v>
      </c>
      <c r="VS14">
        <f t="shared" si="9"/>
        <v>116.886621515363</v>
      </c>
      <c r="VT14">
        <f t="shared" si="9"/>
        <v>118.02044952112871</v>
      </c>
      <c r="VU14">
        <f t="shared" si="9"/>
        <v>115.39970868956773</v>
      </c>
      <c r="VV14">
        <f t="shared" si="9"/>
        <v>116.9252874382244</v>
      </c>
      <c r="VW14">
        <f t="shared" si="9"/>
        <v>116.81702445699484</v>
      </c>
      <c r="VX14">
        <f t="shared" si="9"/>
        <v>117.20594072692609</v>
      </c>
      <c r="VY14">
        <f t="shared" si="9"/>
        <v>117.3341342706785</v>
      </c>
      <c r="VZ14">
        <f t="shared" si="9"/>
        <v>117.21375164880517</v>
      </c>
      <c r="WA14">
        <f t="shared" si="9"/>
        <v>119.20346816063744</v>
      </c>
      <c r="WB14">
        <f t="shared" si="9"/>
        <v>120.04755607533313</v>
      </c>
      <c r="WC14">
        <f t="shared" si="9"/>
        <v>119.49329357734231</v>
      </c>
      <c r="WD14">
        <f t="shared" si="9"/>
        <v>120.63518031607681</v>
      </c>
      <c r="WE14">
        <f t="shared" si="9"/>
        <v>120.35687064795604</v>
      </c>
      <c r="WF14">
        <f t="shared" si="9"/>
        <v>123.62899347491698</v>
      </c>
      <c r="WG14">
        <f t="shared" si="9"/>
        <v>124.31212036745488</v>
      </c>
      <c r="WH14">
        <f t="shared" si="9"/>
        <v>125.40982400403628</v>
      </c>
      <c r="WI14">
        <f t="shared" si="9"/>
        <v>126.74294330233523</v>
      </c>
      <c r="WJ14">
        <f t="shared" si="9"/>
        <v>127.60974280754975</v>
      </c>
      <c r="WK14">
        <f t="shared" si="9"/>
        <v>126.58408152963362</v>
      </c>
      <c r="WL14">
        <f t="shared" si="9"/>
        <v>126.36067195314045</v>
      </c>
      <c r="WM14">
        <f t="shared" si="9"/>
        <v>126.89379872907085</v>
      </c>
      <c r="WN14">
        <f t="shared" si="9"/>
        <v>124.6063531740197</v>
      </c>
      <c r="WO14">
        <f t="shared" si="9"/>
        <v>123.28872913508819</v>
      </c>
      <c r="WP14">
        <f t="shared" si="9"/>
        <v>123.11127491850931</v>
      </c>
      <c r="WQ14">
        <f t="shared" si="9"/>
        <v>122.52057626577096</v>
      </c>
      <c r="WR14">
        <f t="shared" si="9"/>
        <v>121.90957248549911</v>
      </c>
      <c r="WS14">
        <f t="shared" si="9"/>
        <v>120.63903002597409</v>
      </c>
      <c r="WT14">
        <f t="shared" si="9"/>
        <v>121.40128335784141</v>
      </c>
      <c r="WU14">
        <f t="shared" si="9"/>
        <v>121.54495819970707</v>
      </c>
      <c r="WV14">
        <f t="shared" si="9"/>
        <v>121.41646933508768</v>
      </c>
      <c r="WW14">
        <f t="shared" si="9"/>
        <v>118.67871650698672</v>
      </c>
      <c r="WX14">
        <f t="shared" si="9"/>
        <v>120.33492902035158</v>
      </c>
      <c r="WY14">
        <f t="shared" si="9"/>
        <v>121.17654373450688</v>
      </c>
      <c r="WZ14">
        <f t="shared" si="9"/>
        <v>118.14924856823613</v>
      </c>
      <c r="XA14">
        <f t="shared" si="9"/>
        <v>117.8710661349883</v>
      </c>
      <c r="XB14">
        <f t="shared" si="9"/>
        <v>116.52855331756983</v>
      </c>
      <c r="XC14">
        <f t="shared" si="9"/>
        <v>116.41151267704565</v>
      </c>
      <c r="XD14">
        <f t="shared" si="9"/>
        <v>115.98815244394149</v>
      </c>
      <c r="XE14">
        <f t="shared" si="9"/>
        <v>117.43722765150972</v>
      </c>
      <c r="XF14">
        <f t="shared" si="9"/>
        <v>117.81797221264932</v>
      </c>
      <c r="XG14">
        <f t="shared" si="9"/>
        <v>116.54321440806932</v>
      </c>
      <c r="XH14">
        <f t="shared" si="9"/>
        <v>118.09698891603074</v>
      </c>
      <c r="XI14">
        <f t="shared" si="9"/>
        <v>115.37508842236417</v>
      </c>
      <c r="XJ14">
        <f t="shared" si="9"/>
        <v>114.44852613598039</v>
      </c>
      <c r="XK14">
        <f t="shared" si="9"/>
        <v>114.80309115403075</v>
      </c>
      <c r="XL14">
        <f t="shared" si="9"/>
        <v>115.42759016046163</v>
      </c>
      <c r="XM14">
        <f t="shared" si="9"/>
        <v>116.26506279102679</v>
      </c>
      <c r="XN14">
        <f t="shared" si="9"/>
        <v>114.80813447328498</v>
      </c>
      <c r="XO14">
        <f t="shared" si="9"/>
        <v>115.08235055170552</v>
      </c>
      <c r="XP14">
        <f t="shared" si="9"/>
        <v>117.68019891365213</v>
      </c>
      <c r="XQ14">
        <f t="shared" si="9"/>
        <v>118.82705511668307</v>
      </c>
      <c r="XR14">
        <f t="shared" si="9"/>
        <v>119.18081407141452</v>
      </c>
      <c r="XS14">
        <f t="shared" si="9"/>
        <v>119.254087810619</v>
      </c>
      <c r="XT14">
        <f t="shared" si="9"/>
        <v>118.93196688216968</v>
      </c>
      <c r="XU14">
        <f t="shared" ref="XU14:AAF14" si="10">XT14*(1+XU3)</f>
        <v>119.90574839679019</v>
      </c>
      <c r="XV14">
        <f t="shared" si="10"/>
        <v>117.19344922488186</v>
      </c>
      <c r="XW14">
        <f t="shared" si="10"/>
        <v>117.0271324360592</v>
      </c>
      <c r="XX14">
        <f t="shared" si="10"/>
        <v>115.36709513303748</v>
      </c>
      <c r="XY14">
        <f t="shared" si="10"/>
        <v>117.91644517271889</v>
      </c>
      <c r="XZ14">
        <f t="shared" si="10"/>
        <v>116.82368792766341</v>
      </c>
      <c r="YA14">
        <f t="shared" si="10"/>
        <v>117.63343325074533</v>
      </c>
      <c r="YB14">
        <f t="shared" si="10"/>
        <v>118.93081136859534</v>
      </c>
      <c r="YC14">
        <f t="shared" si="10"/>
        <v>118.36804053742094</v>
      </c>
      <c r="YD14">
        <f t="shared" si="10"/>
        <v>119.074401137314</v>
      </c>
      <c r="YE14">
        <f t="shared" si="10"/>
        <v>120.61287868962502</v>
      </c>
      <c r="YF14">
        <f t="shared" si="10"/>
        <v>118.75991626279648</v>
      </c>
      <c r="YG14">
        <f t="shared" si="10"/>
        <v>117.90740063471596</v>
      </c>
      <c r="YH14">
        <f t="shared" si="10"/>
        <v>119.45171008187361</v>
      </c>
      <c r="YI14">
        <f t="shared" si="10"/>
        <v>119.78985383376919</v>
      </c>
      <c r="YJ14">
        <f t="shared" si="10"/>
        <v>122.09874639433802</v>
      </c>
      <c r="YK14">
        <f t="shared" si="10"/>
        <v>120.96716686201246</v>
      </c>
      <c r="YL14">
        <f t="shared" si="10"/>
        <v>121.39569108620383</v>
      </c>
      <c r="YM14">
        <f t="shared" si="10"/>
        <v>121.44811257475411</v>
      </c>
      <c r="YN14">
        <f t="shared" si="10"/>
        <v>121.5725115406652</v>
      </c>
      <c r="YO14">
        <f t="shared" si="10"/>
        <v>122.3373897341728</v>
      </c>
      <c r="YP14">
        <f t="shared" si="10"/>
        <v>121.46433343669777</v>
      </c>
      <c r="YQ14">
        <f t="shared" si="10"/>
        <v>122.05106026871518</v>
      </c>
      <c r="YR14">
        <f t="shared" si="10"/>
        <v>122.33831277433131</v>
      </c>
      <c r="YS14">
        <f t="shared" si="10"/>
        <v>121.55837706980877</v>
      </c>
      <c r="YT14">
        <f t="shared" si="10"/>
        <v>122.10241240088888</v>
      </c>
      <c r="YU14">
        <f t="shared" si="10"/>
        <v>122.20895706745895</v>
      </c>
      <c r="YV14">
        <f t="shared" si="10"/>
        <v>122.45214479797684</v>
      </c>
      <c r="YW14">
        <f t="shared" si="10"/>
        <v>125.21004801038119</v>
      </c>
      <c r="YX14">
        <f t="shared" si="10"/>
        <v>124.13582012802146</v>
      </c>
      <c r="YY14">
        <f t="shared" si="10"/>
        <v>124.6790961140038</v>
      </c>
      <c r="YZ14">
        <f t="shared" si="10"/>
        <v>123.98151551398411</v>
      </c>
      <c r="ZA14">
        <f t="shared" si="10"/>
        <v>125.07741260607455</v>
      </c>
      <c r="ZB14">
        <f t="shared" si="10"/>
        <v>127.0707834085332</v>
      </c>
      <c r="ZC14">
        <f t="shared" si="10"/>
        <v>128.04044974968053</v>
      </c>
      <c r="ZD14">
        <f t="shared" si="10"/>
        <v>128.13750276713182</v>
      </c>
      <c r="ZE14">
        <f t="shared" si="10"/>
        <v>127.58666670735012</v>
      </c>
      <c r="ZF14">
        <f t="shared" si="10"/>
        <v>127.04624412282371</v>
      </c>
      <c r="ZG14">
        <f t="shared" si="10"/>
        <v>125.58823878858857</v>
      </c>
      <c r="ZH14">
        <f t="shared" si="10"/>
        <v>127.87504090445356</v>
      </c>
      <c r="ZI14">
        <f t="shared" si="10"/>
        <v>127.05620253152991</v>
      </c>
      <c r="ZJ14">
        <f t="shared" si="10"/>
        <v>127.84052816623132</v>
      </c>
      <c r="ZK14">
        <f t="shared" si="10"/>
        <v>126.20705234724494</v>
      </c>
      <c r="ZL14">
        <f t="shared" si="10"/>
        <v>128.14790705787948</v>
      </c>
      <c r="ZM14">
        <f t="shared" si="10"/>
        <v>125.68298388187165</v>
      </c>
      <c r="ZN14">
        <f t="shared" si="10"/>
        <v>126.70129293691741</v>
      </c>
      <c r="ZO14">
        <f t="shared" si="10"/>
        <v>128.68732311235868</v>
      </c>
      <c r="ZP14">
        <f t="shared" si="10"/>
        <v>129.58186344488084</v>
      </c>
      <c r="ZQ14">
        <f t="shared" si="10"/>
        <v>127.39612272196933</v>
      </c>
      <c r="ZR14">
        <f t="shared" si="10"/>
        <v>129.00760492618852</v>
      </c>
      <c r="ZS14">
        <f t="shared" si="10"/>
        <v>127.39813321444713</v>
      </c>
      <c r="ZT14">
        <f t="shared" si="10"/>
        <v>128.14793775377467</v>
      </c>
      <c r="ZU14">
        <f t="shared" si="10"/>
        <v>126.37178967218554</v>
      </c>
      <c r="ZV14">
        <f t="shared" si="10"/>
        <v>125.25231015616625</v>
      </c>
      <c r="ZW14">
        <f t="shared" si="10"/>
        <v>122.93281605346779</v>
      </c>
      <c r="ZX14">
        <f t="shared" si="10"/>
        <v>123.76827242253428</v>
      </c>
      <c r="ZY14">
        <f t="shared" si="10"/>
        <v>123.50760684393762</v>
      </c>
      <c r="ZZ14">
        <f t="shared" si="10"/>
        <v>124.24251222488562</v>
      </c>
      <c r="AAA14">
        <f t="shared" si="10"/>
        <v>122.73546755650983</v>
      </c>
      <c r="AAB14">
        <f t="shared" si="10"/>
        <v>123.10121468836502</v>
      </c>
      <c r="AAC14">
        <f t="shared" si="10"/>
        <v>122.29220564152256</v>
      </c>
      <c r="AAD14">
        <f t="shared" si="10"/>
        <v>122.54422980621139</v>
      </c>
      <c r="AAE14">
        <f t="shared" si="10"/>
        <v>121.76334938670897</v>
      </c>
      <c r="AAF14">
        <f t="shared" si="10"/>
        <v>120.32881034921009</v>
      </c>
      <c r="AAG14">
        <f t="shared" ref="AAG14:ACR14" si="11">AAF14*(1+AAG3)</f>
        <v>121.09111230174791</v>
      </c>
      <c r="AAH14">
        <f t="shared" si="11"/>
        <v>120.9642538398212</v>
      </c>
      <c r="AAI14">
        <f t="shared" si="11"/>
        <v>122.77228083523934</v>
      </c>
      <c r="AAJ14">
        <f t="shared" si="11"/>
        <v>123.12844069005477</v>
      </c>
      <c r="AAK14">
        <f t="shared" si="11"/>
        <v>121.88064469136151</v>
      </c>
      <c r="AAL14">
        <f t="shared" si="11"/>
        <v>120.57200364020115</v>
      </c>
      <c r="AAM14">
        <f t="shared" si="11"/>
        <v>119.53866235878212</v>
      </c>
      <c r="AAN14">
        <f t="shared" si="11"/>
        <v>120.74880603286849</v>
      </c>
      <c r="AAO14">
        <f t="shared" si="11"/>
        <v>121.36699743676523</v>
      </c>
      <c r="AAP14">
        <f t="shared" si="11"/>
        <v>122.85774684499525</v>
      </c>
      <c r="AAQ14">
        <f t="shared" si="11"/>
        <v>123.07108819726368</v>
      </c>
      <c r="AAR14">
        <f t="shared" si="11"/>
        <v>123.34612716497251</v>
      </c>
      <c r="AAS14">
        <f t="shared" si="11"/>
        <v>124.23737311847989</v>
      </c>
      <c r="AAT14">
        <f t="shared" si="11"/>
        <v>126.12375604944107</v>
      </c>
      <c r="AAU14">
        <f t="shared" si="11"/>
        <v>125.75629780075937</v>
      </c>
      <c r="AAV14">
        <f t="shared" si="11"/>
        <v>124.00440903266254</v>
      </c>
      <c r="AAW14">
        <f t="shared" si="11"/>
        <v>123.08627030922941</v>
      </c>
      <c r="AAX14">
        <f t="shared" si="11"/>
        <v>127.82044526312733</v>
      </c>
      <c r="AAY14">
        <f t="shared" si="11"/>
        <v>130.4155000428938</v>
      </c>
      <c r="AAZ14">
        <f t="shared" si="11"/>
        <v>129.37486704040685</v>
      </c>
      <c r="ABA14">
        <f t="shared" si="11"/>
        <v>129.01955004288331</v>
      </c>
      <c r="ABB14">
        <f t="shared" si="11"/>
        <v>128.54008417733232</v>
      </c>
      <c r="ABC14">
        <f t="shared" si="11"/>
        <v>128.31250705822634</v>
      </c>
      <c r="ABD14">
        <f t="shared" si="11"/>
        <v>129.84146205530141</v>
      </c>
      <c r="ABE14">
        <f t="shared" si="11"/>
        <v>129.89122244921361</v>
      </c>
      <c r="ABF14">
        <f t="shared" si="11"/>
        <v>129.66147202207338</v>
      </c>
      <c r="ABG14">
        <f t="shared" si="11"/>
        <v>131.2489741115146</v>
      </c>
      <c r="ABH14">
        <f t="shared" si="11"/>
        <v>130.71355517080434</v>
      </c>
      <c r="ABI14">
        <f t="shared" si="11"/>
        <v>130.81884625609274</v>
      </c>
      <c r="ABJ14">
        <f t="shared" si="11"/>
        <v>130.13219926614326</v>
      </c>
      <c r="ABK14">
        <f t="shared" si="11"/>
        <v>129.00524317460707</v>
      </c>
      <c r="ABL14">
        <f t="shared" si="11"/>
        <v>130.26047763210957</v>
      </c>
      <c r="ABM14">
        <f t="shared" si="11"/>
        <v>130.41465028679426</v>
      </c>
      <c r="ABN14">
        <f t="shared" si="11"/>
        <v>129.47049108389413</v>
      </c>
      <c r="ABO14">
        <f t="shared" si="11"/>
        <v>129.7144141934952</v>
      </c>
      <c r="ABP14">
        <f t="shared" si="11"/>
        <v>133.83234475775538</v>
      </c>
      <c r="ABQ14">
        <f t="shared" si="11"/>
        <v>133.33486154212767</v>
      </c>
      <c r="ABR14">
        <f t="shared" si="11"/>
        <v>134.00965912776144</v>
      </c>
      <c r="ABS14">
        <f t="shared" si="11"/>
        <v>134.54447900108687</v>
      </c>
      <c r="ABT14">
        <f t="shared" si="11"/>
        <v>134.68075357407957</v>
      </c>
      <c r="ABU14">
        <f t="shared" si="11"/>
        <v>135.56083316708066</v>
      </c>
      <c r="ABV14">
        <f t="shared" si="11"/>
        <v>133.80540870078906</v>
      </c>
      <c r="ABW14">
        <f t="shared" si="11"/>
        <v>135.77911615135335</v>
      </c>
      <c r="ABX14">
        <f t="shared" si="11"/>
        <v>135.91660754796735</v>
      </c>
      <c r="ABY14">
        <f t="shared" si="11"/>
        <v>134.18969595622968</v>
      </c>
      <c r="ABZ14">
        <f t="shared" si="11"/>
        <v>133.59983178665092</v>
      </c>
      <c r="ACA14">
        <f t="shared" si="11"/>
        <v>133.49114564613856</v>
      </c>
      <c r="ACB14">
        <f t="shared" si="11"/>
        <v>133.5014687166906</v>
      </c>
      <c r="ACC14">
        <f t="shared" si="11"/>
        <v>133.84560624769355</v>
      </c>
      <c r="ACD14">
        <f t="shared" si="11"/>
        <v>132.86787679448696</v>
      </c>
      <c r="ACE14">
        <f t="shared" si="11"/>
        <v>133.46977392765362</v>
      </c>
      <c r="ACF14">
        <f t="shared" si="11"/>
        <v>136.77124999258351</v>
      </c>
      <c r="ACG14">
        <f t="shared" si="11"/>
        <v>135.4174540002887</v>
      </c>
      <c r="ACH14">
        <f t="shared" si="11"/>
        <v>136.49940290934379</v>
      </c>
      <c r="ACI14">
        <f t="shared" si="11"/>
        <v>137.72763438668267</v>
      </c>
      <c r="ACJ14">
        <f t="shared" si="11"/>
        <v>138.07223689659315</v>
      </c>
      <c r="ACK14">
        <f t="shared" si="11"/>
        <v>139.10938522002917</v>
      </c>
      <c r="ACL14">
        <f t="shared" si="11"/>
        <v>140.98024566522011</v>
      </c>
      <c r="ACM14">
        <f t="shared" si="11"/>
        <v>141.91517876690926</v>
      </c>
      <c r="ACN14">
        <f t="shared" si="11"/>
        <v>137.87624990031435</v>
      </c>
      <c r="ACO14">
        <f t="shared" si="11"/>
        <v>140.05553185605223</v>
      </c>
      <c r="ACP14">
        <f t="shared" si="11"/>
        <v>140.45821699439858</v>
      </c>
      <c r="ACQ14">
        <f t="shared" si="11"/>
        <v>142.41850923807814</v>
      </c>
      <c r="ACR14">
        <f t="shared" si="11"/>
        <v>142.147585801752</v>
      </c>
      <c r="ACS14">
        <f t="shared" ref="ACS14:ACV14" si="12">ACR14*(1+ACS3)</f>
        <v>142.58566656573009</v>
      </c>
      <c r="ACT14">
        <f t="shared" si="12"/>
        <v>142.33107303397213</v>
      </c>
      <c r="ACU14">
        <f t="shared" si="12"/>
        <v>142.50285433724923</v>
      </c>
      <c r="ACV14">
        <f>ACU14*(1+ACV3)</f>
        <v>141.58562504287539</v>
      </c>
    </row>
    <row r="15" spans="1:776" x14ac:dyDescent="0.2">
      <c r="A15" s="7" t="s">
        <v>70662</v>
      </c>
      <c r="B15">
        <f>$A$13*(1+B4)</f>
        <v>101.29492274427345</v>
      </c>
      <c r="C15">
        <f>B15*(1+C4)</f>
        <v>102.58055766617926</v>
      </c>
      <c r="D15">
        <f>C15*(1+D4)</f>
        <v>102.7238013182013</v>
      </c>
      <c r="E15">
        <f t="shared" ref="E15:BP15" si="13">D15*(1+E4)</f>
        <v>103.2376029049767</v>
      </c>
      <c r="F15">
        <f t="shared" si="13"/>
        <v>102.66004007613157</v>
      </c>
      <c r="G15">
        <f t="shared" si="13"/>
        <v>101.28035405798158</v>
      </c>
      <c r="H15">
        <f t="shared" si="13"/>
        <v>101.10509432385351</v>
      </c>
      <c r="I15">
        <f t="shared" si="13"/>
        <v>101.62226921875306</v>
      </c>
      <c r="J15">
        <f t="shared" si="13"/>
        <v>102.42052942831504</v>
      </c>
      <c r="K15">
        <f t="shared" si="13"/>
        <v>102.06410307345912</v>
      </c>
      <c r="L15">
        <f t="shared" si="13"/>
        <v>102.30377589514866</v>
      </c>
      <c r="M15">
        <f t="shared" si="13"/>
        <v>101.70447862256512</v>
      </c>
      <c r="N15">
        <f t="shared" si="13"/>
        <v>101.83419972775445</v>
      </c>
      <c r="O15">
        <f t="shared" si="13"/>
        <v>101.46719276989934</v>
      </c>
      <c r="P15">
        <f t="shared" si="13"/>
        <v>101.47337631475342</v>
      </c>
      <c r="Q15">
        <f t="shared" si="13"/>
        <v>101.99459312879367</v>
      </c>
      <c r="R15">
        <f t="shared" si="13"/>
        <v>101.98632101506786</v>
      </c>
      <c r="S15">
        <f t="shared" si="13"/>
        <v>101.43907353087523</v>
      </c>
      <c r="T15">
        <f t="shared" si="13"/>
        <v>101.65761479337429</v>
      </c>
      <c r="U15">
        <f t="shared" si="13"/>
        <v>102.12764530359807</v>
      </c>
      <c r="V15">
        <f t="shared" si="13"/>
        <v>103.41164316305874</v>
      </c>
      <c r="W15">
        <f t="shared" si="13"/>
        <v>102.26855490362918</v>
      </c>
      <c r="X15">
        <f t="shared" si="13"/>
        <v>102.874947356314</v>
      </c>
      <c r="Y15">
        <f t="shared" si="13"/>
        <v>102.51285135386823</v>
      </c>
      <c r="Z15">
        <f t="shared" si="13"/>
        <v>102.31466438791507</v>
      </c>
      <c r="AA15">
        <f t="shared" si="13"/>
        <v>102.88056214271184</v>
      </c>
      <c r="AB15">
        <f t="shared" si="13"/>
        <v>102.810214585765</v>
      </c>
      <c r="AC15">
        <f t="shared" si="13"/>
        <v>102.47701990611267</v>
      </c>
      <c r="AD15">
        <f t="shared" si="13"/>
        <v>101.62621787239773</v>
      </c>
      <c r="AE15">
        <f t="shared" si="13"/>
        <v>101.05643996760462</v>
      </c>
      <c r="AF15">
        <f t="shared" si="13"/>
        <v>100.65153145863991</v>
      </c>
      <c r="AG15">
        <f t="shared" si="13"/>
        <v>100.5375669989582</v>
      </c>
      <c r="AH15">
        <f t="shared" si="13"/>
        <v>100.59636943032211</v>
      </c>
      <c r="AI15">
        <f t="shared" si="13"/>
        <v>101.90626722553162</v>
      </c>
      <c r="AJ15">
        <f t="shared" si="13"/>
        <v>100.39078550250754</v>
      </c>
      <c r="AK15">
        <f t="shared" si="13"/>
        <v>100.07368034813422</v>
      </c>
      <c r="AL15">
        <f t="shared" si="13"/>
        <v>99.883653159100703</v>
      </c>
      <c r="AM15">
        <f t="shared" si="13"/>
        <v>99.990887599960999</v>
      </c>
      <c r="AN15">
        <f t="shared" si="13"/>
        <v>99.605142016846202</v>
      </c>
      <c r="AO15">
        <f t="shared" si="13"/>
        <v>99.759237730825845</v>
      </c>
      <c r="AP15">
        <f t="shared" si="13"/>
        <v>99.904731395488312</v>
      </c>
      <c r="AQ15">
        <f t="shared" si="13"/>
        <v>100.96974769044961</v>
      </c>
      <c r="AR15">
        <f t="shared" si="13"/>
        <v>101.03916520906023</v>
      </c>
      <c r="AS15">
        <f t="shared" si="13"/>
        <v>100.77446774255519</v>
      </c>
      <c r="AT15">
        <f t="shared" si="13"/>
        <v>101.44418915090137</v>
      </c>
      <c r="AU15">
        <f t="shared" si="13"/>
        <v>102.24980910538852</v>
      </c>
      <c r="AV15">
        <f t="shared" si="13"/>
        <v>102.42406241412868</v>
      </c>
      <c r="AW15">
        <f t="shared" si="13"/>
        <v>101.9899396080056</v>
      </c>
      <c r="AX15">
        <f t="shared" si="13"/>
        <v>101.18577699232307</v>
      </c>
      <c r="AY15">
        <f t="shared" si="13"/>
        <v>100.64683810054079</v>
      </c>
      <c r="AZ15">
        <f t="shared" si="13"/>
        <v>100.88970985092564</v>
      </c>
      <c r="BA15">
        <f t="shared" si="13"/>
        <v>101.31694191486658</v>
      </c>
      <c r="BB15">
        <f t="shared" si="13"/>
        <v>101.47220766887388</v>
      </c>
      <c r="BC15">
        <f t="shared" si="13"/>
        <v>102.4315091930247</v>
      </c>
      <c r="BD15">
        <f t="shared" si="13"/>
        <v>100.81531714830231</v>
      </c>
      <c r="BE15">
        <f t="shared" si="13"/>
        <v>100.75599357905575</v>
      </c>
      <c r="BF15">
        <f t="shared" si="13"/>
        <v>100.12149600534472</v>
      </c>
      <c r="BG15">
        <f t="shared" si="13"/>
        <v>98.942520581706518</v>
      </c>
      <c r="BH15">
        <f t="shared" si="13"/>
        <v>98.916436637690694</v>
      </c>
      <c r="BI15">
        <f t="shared" si="13"/>
        <v>98.543995397651813</v>
      </c>
      <c r="BJ15">
        <f t="shared" si="13"/>
        <v>98.985150694677685</v>
      </c>
      <c r="BK15">
        <f t="shared" si="13"/>
        <v>98.934947100012735</v>
      </c>
      <c r="BL15">
        <f t="shared" si="13"/>
        <v>98.058149376153636</v>
      </c>
      <c r="BM15">
        <f t="shared" si="13"/>
        <v>97.273119360638717</v>
      </c>
      <c r="BN15">
        <f t="shared" si="13"/>
        <v>96.889618243386749</v>
      </c>
      <c r="BO15">
        <f t="shared" si="13"/>
        <v>96.163587740553993</v>
      </c>
      <c r="BP15">
        <f t="shared" si="13"/>
        <v>97.147518645989194</v>
      </c>
      <c r="BQ15">
        <f t="shared" ref="BQ15:EB15" si="14">BP15*(1+BQ4)</f>
        <v>96.737993779489784</v>
      </c>
      <c r="BR15">
        <f t="shared" si="14"/>
        <v>96.844016127086235</v>
      </c>
      <c r="BS15">
        <f t="shared" si="14"/>
        <v>97.229366534061938</v>
      </c>
      <c r="BT15">
        <f t="shared" si="14"/>
        <v>96.661925444722044</v>
      </c>
      <c r="BU15">
        <f t="shared" si="14"/>
        <v>97.197630243723523</v>
      </c>
      <c r="BV15">
        <f t="shared" si="14"/>
        <v>97.686596321492388</v>
      </c>
      <c r="BW15">
        <f t="shared" si="14"/>
        <v>97.58683949805507</v>
      </c>
      <c r="BX15">
        <f t="shared" si="14"/>
        <v>97.55936495310813</v>
      </c>
      <c r="BY15">
        <f t="shared" si="14"/>
        <v>96.568180184207094</v>
      </c>
      <c r="BZ15">
        <f t="shared" si="14"/>
        <v>96.536183266589802</v>
      </c>
      <c r="CA15">
        <f t="shared" si="14"/>
        <v>96.417493040373401</v>
      </c>
      <c r="CB15">
        <f t="shared" si="14"/>
        <v>96.177987693438709</v>
      </c>
      <c r="CC15">
        <f t="shared" si="14"/>
        <v>97.070103958662244</v>
      </c>
      <c r="CD15">
        <f t="shared" si="14"/>
        <v>97.437967858508628</v>
      </c>
      <c r="CE15">
        <f t="shared" si="14"/>
        <v>97.328915311267622</v>
      </c>
      <c r="CF15">
        <f t="shared" si="14"/>
        <v>96.959165391275789</v>
      </c>
      <c r="CG15">
        <f t="shared" si="14"/>
        <v>96.616598539425624</v>
      </c>
      <c r="CH15">
        <f t="shared" si="14"/>
        <v>97.700387416037998</v>
      </c>
      <c r="CI15">
        <f t="shared" si="14"/>
        <v>97.405038205952508</v>
      </c>
      <c r="CJ15">
        <f t="shared" si="14"/>
        <v>97.793594897255559</v>
      </c>
      <c r="CK15">
        <f t="shared" si="14"/>
        <v>98.075874685961637</v>
      </c>
      <c r="CL15">
        <f t="shared" si="14"/>
        <v>97.652196915332922</v>
      </c>
      <c r="CM15">
        <f t="shared" si="14"/>
        <v>97.86096040374305</v>
      </c>
      <c r="CN15">
        <f t="shared" si="14"/>
        <v>97.291493302686931</v>
      </c>
      <c r="CO15">
        <f t="shared" si="14"/>
        <v>97.298857878893898</v>
      </c>
      <c r="CP15">
        <f t="shared" si="14"/>
        <v>97.285264991440002</v>
      </c>
      <c r="CQ15">
        <f t="shared" si="14"/>
        <v>97.712223515821648</v>
      </c>
      <c r="CR15">
        <f t="shared" si="14"/>
        <v>97.891588555958592</v>
      </c>
      <c r="CS15">
        <f t="shared" si="14"/>
        <v>98.531195156188616</v>
      </c>
      <c r="CT15">
        <f t="shared" si="14"/>
        <v>97.666023149379996</v>
      </c>
      <c r="CU15">
        <f t="shared" si="14"/>
        <v>96.243839188898974</v>
      </c>
      <c r="CV15">
        <f t="shared" si="14"/>
        <v>96.169867669276883</v>
      </c>
      <c r="CW15">
        <f t="shared" si="14"/>
        <v>96.38390069531836</v>
      </c>
      <c r="CX15">
        <f t="shared" si="14"/>
        <v>97.322979840545898</v>
      </c>
      <c r="CY15">
        <f t="shared" si="14"/>
        <v>96.469267075972979</v>
      </c>
      <c r="CZ15">
        <f t="shared" si="14"/>
        <v>96.997533025500644</v>
      </c>
      <c r="DA15">
        <f t="shared" si="14"/>
        <v>96.129769885171356</v>
      </c>
      <c r="DB15">
        <f t="shared" si="14"/>
        <v>95.793341950952978</v>
      </c>
      <c r="DC15">
        <f t="shared" si="14"/>
        <v>96.574809284278288</v>
      </c>
      <c r="DD15">
        <f t="shared" si="14"/>
        <v>96.621997805339134</v>
      </c>
      <c r="DE15">
        <f t="shared" si="14"/>
        <v>97.154711856188968</v>
      </c>
      <c r="DF15">
        <f t="shared" si="14"/>
        <v>97.319701222218427</v>
      </c>
      <c r="DG15">
        <f t="shared" si="14"/>
        <v>98.097339060499905</v>
      </c>
      <c r="DH15">
        <f t="shared" si="14"/>
        <v>97.870215338556434</v>
      </c>
      <c r="DI15">
        <f t="shared" si="14"/>
        <v>98.817120431627927</v>
      </c>
      <c r="DJ15">
        <f t="shared" si="14"/>
        <v>97.857222862175774</v>
      </c>
      <c r="DK15">
        <f t="shared" si="14"/>
        <v>97.411655444600683</v>
      </c>
      <c r="DL15">
        <f t="shared" si="14"/>
        <v>97.878787220338921</v>
      </c>
      <c r="DM15">
        <f t="shared" si="14"/>
        <v>97.79597028868838</v>
      </c>
      <c r="DN15">
        <f t="shared" si="14"/>
        <v>97.240245515458511</v>
      </c>
      <c r="DO15">
        <f t="shared" si="14"/>
        <v>97.558801538420909</v>
      </c>
      <c r="DP15">
        <f t="shared" si="14"/>
        <v>98.622846065899211</v>
      </c>
      <c r="DQ15">
        <f t="shared" si="14"/>
        <v>97.718491328755263</v>
      </c>
      <c r="DR15">
        <f t="shared" si="14"/>
        <v>97.697882711107738</v>
      </c>
      <c r="DS15">
        <f t="shared" si="14"/>
        <v>97.766255551557649</v>
      </c>
      <c r="DT15">
        <f t="shared" si="14"/>
        <v>97.645816496717316</v>
      </c>
      <c r="DU15">
        <f t="shared" si="14"/>
        <v>96.731845121566465</v>
      </c>
      <c r="DV15">
        <f t="shared" si="14"/>
        <v>96.886773164188725</v>
      </c>
      <c r="DW15">
        <f t="shared" si="14"/>
        <v>97.480745851809544</v>
      </c>
      <c r="DX15">
        <f t="shared" si="14"/>
        <v>97.638161477709119</v>
      </c>
      <c r="DY15">
        <f t="shared" si="14"/>
        <v>96.721614904481257</v>
      </c>
      <c r="DZ15">
        <f t="shared" si="14"/>
        <v>97.091173615502839</v>
      </c>
      <c r="EA15">
        <f t="shared" si="14"/>
        <v>98.059845516713835</v>
      </c>
      <c r="EB15">
        <f t="shared" si="14"/>
        <v>97.761596690177186</v>
      </c>
      <c r="EC15">
        <f t="shared" ref="EC15:GN15" si="15">EB15*(1+EC4)</f>
        <v>98.303232682188039</v>
      </c>
      <c r="ED15">
        <f t="shared" si="15"/>
        <v>97.981559375917499</v>
      </c>
      <c r="EE15">
        <f t="shared" si="15"/>
        <v>98.15744139008055</v>
      </c>
      <c r="EF15">
        <f t="shared" si="15"/>
        <v>98.706695758098192</v>
      </c>
      <c r="EG15">
        <f t="shared" si="15"/>
        <v>99.095133145200606</v>
      </c>
      <c r="EH15">
        <f t="shared" si="15"/>
        <v>99.46749186049837</v>
      </c>
      <c r="EI15">
        <f t="shared" si="15"/>
        <v>98.827225442761119</v>
      </c>
      <c r="EJ15">
        <f t="shared" si="15"/>
        <v>98.76089711680531</v>
      </c>
      <c r="EK15">
        <f t="shared" si="15"/>
        <v>99.489117689868223</v>
      </c>
      <c r="EL15">
        <f t="shared" si="15"/>
        <v>100.52630098745948</v>
      </c>
      <c r="EM15">
        <f t="shared" si="15"/>
        <v>100.6932636304941</v>
      </c>
      <c r="EN15">
        <f t="shared" si="15"/>
        <v>99.944791437500555</v>
      </c>
      <c r="EO15">
        <f t="shared" si="15"/>
        <v>99.20061609556052</v>
      </c>
      <c r="EP15">
        <f t="shared" si="15"/>
        <v>100.09619259087562</v>
      </c>
      <c r="EQ15">
        <f t="shared" si="15"/>
        <v>99.957014404263646</v>
      </c>
      <c r="ER15">
        <f t="shared" si="15"/>
        <v>100.55355547897278</v>
      </c>
      <c r="ES15">
        <f t="shared" si="15"/>
        <v>101.23816074435528</v>
      </c>
      <c r="ET15">
        <f t="shared" si="15"/>
        <v>102.58374800076638</v>
      </c>
      <c r="EU15">
        <f t="shared" si="15"/>
        <v>103.48285020851947</v>
      </c>
      <c r="EV15">
        <f t="shared" si="15"/>
        <v>103.84653356967534</v>
      </c>
      <c r="EW15">
        <f t="shared" si="15"/>
        <v>105.79031347236311</v>
      </c>
      <c r="EX15">
        <f t="shared" si="15"/>
        <v>104.47392062047869</v>
      </c>
      <c r="EY15">
        <f t="shared" si="15"/>
        <v>105.77674151474071</v>
      </c>
      <c r="EZ15">
        <f t="shared" si="15"/>
        <v>104.99580998993414</v>
      </c>
      <c r="FA15">
        <f t="shared" si="15"/>
        <v>105.34587796926205</v>
      </c>
      <c r="FB15">
        <f t="shared" si="15"/>
        <v>105.55770972244378</v>
      </c>
      <c r="FC15">
        <f t="shared" si="15"/>
        <v>106.25935023876508</v>
      </c>
      <c r="FD15">
        <f t="shared" si="15"/>
        <v>107.2225550457767</v>
      </c>
      <c r="FE15">
        <f t="shared" si="15"/>
        <v>106.60268431448345</v>
      </c>
      <c r="FF15">
        <f t="shared" si="15"/>
        <v>106.80332059755291</v>
      </c>
      <c r="FG15">
        <f t="shared" si="15"/>
        <v>106.78761192034017</v>
      </c>
      <c r="FH15">
        <f t="shared" si="15"/>
        <v>106.35344962237396</v>
      </c>
      <c r="FI15">
        <f t="shared" si="15"/>
        <v>105.76931426468072</v>
      </c>
      <c r="FJ15">
        <f t="shared" si="15"/>
        <v>105.30165748271553</v>
      </c>
      <c r="FK15">
        <f t="shared" si="15"/>
        <v>106.78245403570119</v>
      </c>
      <c r="FL15">
        <f t="shared" si="15"/>
        <v>107.39451986424893</v>
      </c>
      <c r="FM15">
        <f t="shared" si="15"/>
        <v>107.37459168884007</v>
      </c>
      <c r="FN15">
        <f t="shared" si="15"/>
        <v>106.60173909509446</v>
      </c>
      <c r="FO15">
        <f t="shared" si="15"/>
        <v>106.70338202986989</v>
      </c>
      <c r="FP15">
        <f t="shared" si="15"/>
        <v>106.31476853275953</v>
      </c>
      <c r="FQ15">
        <f t="shared" si="15"/>
        <v>107.15080005431946</v>
      </c>
      <c r="FR15">
        <f t="shared" si="15"/>
        <v>107.40196143603337</v>
      </c>
      <c r="FS15">
        <f t="shared" si="15"/>
        <v>107.97418654913845</v>
      </c>
      <c r="FT15">
        <f t="shared" si="15"/>
        <v>107.76823477542271</v>
      </c>
      <c r="FU15">
        <f t="shared" si="15"/>
        <v>107.83517192170294</v>
      </c>
      <c r="FV15">
        <f t="shared" si="15"/>
        <v>109.00694179681609</v>
      </c>
      <c r="FW15">
        <f t="shared" si="15"/>
        <v>107.85876675514419</v>
      </c>
      <c r="FX15">
        <f t="shared" si="15"/>
        <v>107.46009100716105</v>
      </c>
      <c r="FY15">
        <f t="shared" si="15"/>
        <v>107.45830152611354</v>
      </c>
      <c r="FZ15">
        <f t="shared" si="15"/>
        <v>108.9282605713251</v>
      </c>
      <c r="GA15">
        <f t="shared" si="15"/>
        <v>108.09603646807939</v>
      </c>
      <c r="GB15">
        <f t="shared" si="15"/>
        <v>107.64699156471514</v>
      </c>
      <c r="GC15">
        <f t="shared" si="15"/>
        <v>107.76391151157736</v>
      </c>
      <c r="GD15">
        <f t="shared" si="15"/>
        <v>108.80518831877539</v>
      </c>
      <c r="GE15">
        <f t="shared" si="15"/>
        <v>108.42759961295266</v>
      </c>
      <c r="GF15">
        <f t="shared" si="15"/>
        <v>107.48991762189722</v>
      </c>
      <c r="GG15">
        <f t="shared" si="15"/>
        <v>107.35586714183957</v>
      </c>
      <c r="GH15">
        <f t="shared" si="15"/>
        <v>107.59799653424341</v>
      </c>
      <c r="GI15">
        <f t="shared" si="15"/>
        <v>107.15869701520491</v>
      </c>
      <c r="GJ15">
        <f t="shared" si="15"/>
        <v>107.41247034827134</v>
      </c>
      <c r="GK15">
        <f t="shared" si="15"/>
        <v>106.55580741150675</v>
      </c>
      <c r="GL15">
        <f t="shared" si="15"/>
        <v>108.0555885317175</v>
      </c>
      <c r="GM15">
        <f t="shared" si="15"/>
        <v>107.5136674814113</v>
      </c>
      <c r="GN15">
        <f t="shared" si="15"/>
        <v>108.36513503523798</v>
      </c>
      <c r="GO15">
        <f t="shared" ref="GO15:IZ15" si="16">GN15*(1+GO4)</f>
        <v>108.21081643513092</v>
      </c>
      <c r="GP15">
        <f t="shared" si="16"/>
        <v>109.10918148468215</v>
      </c>
      <c r="GQ15">
        <f t="shared" si="16"/>
        <v>109.79487305509117</v>
      </c>
      <c r="GR15">
        <f t="shared" si="16"/>
        <v>109.35262128458112</v>
      </c>
      <c r="GS15">
        <f t="shared" si="16"/>
        <v>108.45016334990507</v>
      </c>
      <c r="GT15">
        <f t="shared" si="16"/>
        <v>109.69662524066769</v>
      </c>
      <c r="GU15">
        <f t="shared" si="16"/>
        <v>109.44434583247721</v>
      </c>
      <c r="GV15">
        <f t="shared" si="16"/>
        <v>109.05580918256808</v>
      </c>
      <c r="GW15">
        <f t="shared" si="16"/>
        <v>108.99659792072086</v>
      </c>
      <c r="GX15">
        <f t="shared" si="16"/>
        <v>108.74140085409344</v>
      </c>
      <c r="GY15">
        <f t="shared" si="16"/>
        <v>107.98594842540861</v>
      </c>
      <c r="GZ15">
        <f t="shared" si="16"/>
        <v>107.35224187795603</v>
      </c>
      <c r="HA15">
        <f t="shared" si="16"/>
        <v>107.57043590788935</v>
      </c>
      <c r="HB15">
        <f t="shared" si="16"/>
        <v>106.67618134067231</v>
      </c>
      <c r="HC15">
        <f t="shared" si="16"/>
        <v>107.01766197602056</v>
      </c>
      <c r="HD15">
        <f t="shared" si="16"/>
        <v>107.51648097617193</v>
      </c>
      <c r="HE15">
        <f t="shared" si="16"/>
        <v>107.94365692804031</v>
      </c>
      <c r="HF15">
        <f t="shared" si="16"/>
        <v>108.11720216375147</v>
      </c>
      <c r="HG15">
        <f t="shared" si="16"/>
        <v>107.98652974994192</v>
      </c>
      <c r="HH15">
        <f t="shared" si="16"/>
        <v>109.79359931442373</v>
      </c>
      <c r="HI15">
        <f t="shared" si="16"/>
        <v>110.00519099821905</v>
      </c>
      <c r="HJ15">
        <f t="shared" si="16"/>
        <v>109.87616979905432</v>
      </c>
      <c r="HK15">
        <f t="shared" si="16"/>
        <v>110.34800016790437</v>
      </c>
      <c r="HL15">
        <f t="shared" si="16"/>
        <v>111.36958757449428</v>
      </c>
      <c r="HM15">
        <f t="shared" si="16"/>
        <v>111.53144902284951</v>
      </c>
      <c r="HN15">
        <f t="shared" si="16"/>
        <v>109.63852644562367</v>
      </c>
      <c r="HO15">
        <f t="shared" si="16"/>
        <v>110.01430885806229</v>
      </c>
      <c r="HP15">
        <f t="shared" si="16"/>
        <v>108.25239105518484</v>
      </c>
      <c r="HQ15">
        <f t="shared" si="16"/>
        <v>107.56313402000157</v>
      </c>
      <c r="HR15">
        <f t="shared" si="16"/>
        <v>106.91416234221735</v>
      </c>
      <c r="HS15">
        <f t="shared" si="16"/>
        <v>105.52141491965475</v>
      </c>
      <c r="HT15">
        <f t="shared" si="16"/>
        <v>104.96887246671503</v>
      </c>
      <c r="HU15">
        <f t="shared" si="16"/>
        <v>106.44034355430234</v>
      </c>
      <c r="HV15">
        <f t="shared" si="16"/>
        <v>105.29970570206436</v>
      </c>
      <c r="HW15">
        <f t="shared" si="16"/>
        <v>104.75499317508859</v>
      </c>
      <c r="HX15">
        <f t="shared" si="16"/>
        <v>105.2373857482705</v>
      </c>
      <c r="HY15">
        <f t="shared" si="16"/>
        <v>105.5519882464133</v>
      </c>
      <c r="HZ15">
        <f t="shared" si="16"/>
        <v>104.32282976314812</v>
      </c>
      <c r="IA15">
        <f t="shared" si="16"/>
        <v>103.95090243657245</v>
      </c>
      <c r="IB15">
        <f t="shared" si="16"/>
        <v>103.13517333320576</v>
      </c>
      <c r="IC15">
        <f t="shared" si="16"/>
        <v>102.9641092372741</v>
      </c>
      <c r="ID15">
        <f t="shared" si="16"/>
        <v>103.05694646465989</v>
      </c>
      <c r="IE15">
        <f t="shared" si="16"/>
        <v>102.35861463960349</v>
      </c>
      <c r="IF15">
        <f t="shared" si="16"/>
        <v>103.12138811053414</v>
      </c>
      <c r="IG15">
        <f t="shared" si="16"/>
        <v>101.77994497013393</v>
      </c>
      <c r="IH15">
        <f t="shared" si="16"/>
        <v>101.74215379606321</v>
      </c>
      <c r="II15">
        <f t="shared" si="16"/>
        <v>101.74919262056221</v>
      </c>
      <c r="IJ15">
        <f t="shared" si="16"/>
        <v>101.10002148230227</v>
      </c>
      <c r="IK15">
        <f t="shared" si="16"/>
        <v>101.16655170128426</v>
      </c>
      <c r="IL15">
        <f t="shared" si="16"/>
        <v>101.67791888089864</v>
      </c>
      <c r="IM15">
        <f t="shared" si="16"/>
        <v>100.85254977081445</v>
      </c>
      <c r="IN15">
        <f t="shared" si="16"/>
        <v>100.97941190804596</v>
      </c>
      <c r="IO15">
        <f t="shared" si="16"/>
        <v>99.999208841833109</v>
      </c>
      <c r="IP15">
        <f t="shared" si="16"/>
        <v>100.7686888825439</v>
      </c>
      <c r="IQ15">
        <f t="shared" si="16"/>
        <v>101.42449162048889</v>
      </c>
      <c r="IR15">
        <f t="shared" si="16"/>
        <v>101.09163851520645</v>
      </c>
      <c r="IS15">
        <f t="shared" si="16"/>
        <v>101.58871964666459</v>
      </c>
      <c r="IT15">
        <f t="shared" si="16"/>
        <v>102.7727225376338</v>
      </c>
      <c r="IU15">
        <f t="shared" si="16"/>
        <v>103.19924904781168</v>
      </c>
      <c r="IV15">
        <f t="shared" si="16"/>
        <v>102.2812883348592</v>
      </c>
      <c r="IW15">
        <f t="shared" si="16"/>
        <v>102.89852150431247</v>
      </c>
      <c r="IX15">
        <f t="shared" si="16"/>
        <v>103.13966753630565</v>
      </c>
      <c r="IY15">
        <f t="shared" si="16"/>
        <v>104.17137675275116</v>
      </c>
      <c r="IZ15">
        <f t="shared" si="16"/>
        <v>103.6976237856577</v>
      </c>
      <c r="JA15">
        <f t="shared" ref="JA15:LL15" si="17">IZ15*(1+JA4)</f>
        <v>102.47768759956885</v>
      </c>
      <c r="JB15">
        <f t="shared" si="17"/>
        <v>104.29244260207392</v>
      </c>
      <c r="JC15">
        <f t="shared" si="17"/>
        <v>105.0970977752568</v>
      </c>
      <c r="JD15">
        <f t="shared" si="17"/>
        <v>104.90415353267261</v>
      </c>
      <c r="JE15">
        <f t="shared" si="17"/>
        <v>105.52111001087438</v>
      </c>
      <c r="JF15">
        <f t="shared" si="17"/>
        <v>105.20194004218899</v>
      </c>
      <c r="JG15">
        <f t="shared" si="17"/>
        <v>105.13026348804101</v>
      </c>
      <c r="JH15">
        <f t="shared" si="17"/>
        <v>106.37889849235272</v>
      </c>
      <c r="JI15">
        <f t="shared" si="17"/>
        <v>105.43637451982578</v>
      </c>
      <c r="JJ15">
        <f t="shared" si="17"/>
        <v>104.89289157460426</v>
      </c>
      <c r="JK15">
        <f t="shared" si="17"/>
        <v>106.02522930858467</v>
      </c>
      <c r="JL15">
        <f t="shared" si="17"/>
        <v>104.11638493960818</v>
      </c>
      <c r="JM15">
        <f t="shared" si="17"/>
        <v>102.30877345785906</v>
      </c>
      <c r="JN15">
        <f t="shared" si="17"/>
        <v>103.41845194067423</v>
      </c>
      <c r="JO15">
        <f t="shared" si="17"/>
        <v>103.38075344685195</v>
      </c>
      <c r="JP15">
        <f t="shared" si="17"/>
        <v>103.63955091780753</v>
      </c>
      <c r="JQ15">
        <f t="shared" si="17"/>
        <v>102.81867735853432</v>
      </c>
      <c r="JR15">
        <f t="shared" si="17"/>
        <v>103.12905683393433</v>
      </c>
      <c r="JS15">
        <f t="shared" si="17"/>
        <v>102.43730471652515</v>
      </c>
      <c r="JT15">
        <f t="shared" si="17"/>
        <v>102.16398150612486</v>
      </c>
      <c r="JU15">
        <f t="shared" si="17"/>
        <v>103.77428938565647</v>
      </c>
      <c r="JV15">
        <f t="shared" si="17"/>
        <v>105.02154015104564</v>
      </c>
      <c r="JW15">
        <f t="shared" si="17"/>
        <v>103.0939400980014</v>
      </c>
      <c r="JX15">
        <f t="shared" si="17"/>
        <v>103.02446615509909</v>
      </c>
      <c r="JY15">
        <f t="shared" si="17"/>
        <v>103.50289022898515</v>
      </c>
      <c r="JZ15">
        <f t="shared" si="17"/>
        <v>103.87449640514083</v>
      </c>
      <c r="KA15">
        <f t="shared" si="17"/>
        <v>103.38654185662958</v>
      </c>
      <c r="KB15">
        <f t="shared" si="17"/>
        <v>100.83540764764606</v>
      </c>
      <c r="KC15">
        <f t="shared" si="17"/>
        <v>99.742980335428285</v>
      </c>
      <c r="KD15">
        <f t="shared" si="17"/>
        <v>99.032324654387907</v>
      </c>
      <c r="KE15">
        <f t="shared" si="17"/>
        <v>99.776595308995439</v>
      </c>
      <c r="KF15">
        <f t="shared" si="17"/>
        <v>98.698883643147056</v>
      </c>
      <c r="KG15">
        <f t="shared" si="17"/>
        <v>99.598049089639147</v>
      </c>
      <c r="KH15">
        <f t="shared" si="17"/>
        <v>99.378636445971864</v>
      </c>
      <c r="KI15">
        <f t="shared" si="17"/>
        <v>99.544436800341472</v>
      </c>
      <c r="KJ15">
        <f t="shared" si="17"/>
        <v>97.297734479476432</v>
      </c>
      <c r="KK15">
        <f t="shared" si="17"/>
        <v>97.630564202840759</v>
      </c>
      <c r="KL15">
        <f t="shared" si="17"/>
        <v>97.53972845298064</v>
      </c>
      <c r="KM15">
        <f t="shared" si="17"/>
        <v>97.807886209098285</v>
      </c>
      <c r="KN15">
        <f t="shared" si="17"/>
        <v>98.149390527561266</v>
      </c>
      <c r="KO15">
        <f t="shared" si="17"/>
        <v>98.398490626504781</v>
      </c>
      <c r="KP15">
        <f t="shared" si="17"/>
        <v>97.88668530653014</v>
      </c>
      <c r="KQ15">
        <f t="shared" si="17"/>
        <v>97.949234271120162</v>
      </c>
      <c r="KR15">
        <f t="shared" si="17"/>
        <v>98.879758009707473</v>
      </c>
      <c r="KS15">
        <f t="shared" si="17"/>
        <v>98.974651545100144</v>
      </c>
      <c r="KT15">
        <f t="shared" si="17"/>
        <v>97.473074028783842</v>
      </c>
      <c r="KU15">
        <f t="shared" si="17"/>
        <v>97.427799885223095</v>
      </c>
      <c r="KV15">
        <f t="shared" si="17"/>
        <v>98.422189026729342</v>
      </c>
      <c r="KW15">
        <f t="shared" si="17"/>
        <v>99.880666993293943</v>
      </c>
      <c r="KX15">
        <f t="shared" si="17"/>
        <v>99.801720224968591</v>
      </c>
      <c r="KY15">
        <f t="shared" si="17"/>
        <v>99.615671059621107</v>
      </c>
      <c r="KZ15">
        <f t="shared" si="17"/>
        <v>100.05293282595576</v>
      </c>
      <c r="LA15">
        <f t="shared" si="17"/>
        <v>98.050332795743842</v>
      </c>
      <c r="LB15">
        <f t="shared" si="17"/>
        <v>97.965683160945218</v>
      </c>
      <c r="LC15">
        <f t="shared" si="17"/>
        <v>97.031888997836248</v>
      </c>
      <c r="LD15">
        <f t="shared" si="17"/>
        <v>97.249206120515751</v>
      </c>
      <c r="LE15">
        <f t="shared" si="17"/>
        <v>97.099943784989193</v>
      </c>
      <c r="LF15">
        <f t="shared" si="17"/>
        <v>97.749515478829665</v>
      </c>
      <c r="LG15">
        <f t="shared" si="17"/>
        <v>98.773546980642891</v>
      </c>
      <c r="LH15">
        <f t="shared" si="17"/>
        <v>100.16522233225265</v>
      </c>
      <c r="LI15">
        <f t="shared" si="17"/>
        <v>99.756904602934185</v>
      </c>
      <c r="LJ15">
        <f t="shared" si="17"/>
        <v>100.72365138671491</v>
      </c>
      <c r="LK15">
        <f t="shared" si="17"/>
        <v>99.373465622782319</v>
      </c>
      <c r="LL15">
        <f t="shared" si="17"/>
        <v>98.961470901213474</v>
      </c>
      <c r="LM15">
        <f t="shared" ref="LM15:NX15" si="18">LL15*(1+LM4)</f>
        <v>98.576420719260867</v>
      </c>
      <c r="LN15">
        <f t="shared" si="18"/>
        <v>98.612444316028714</v>
      </c>
      <c r="LO15">
        <f t="shared" si="18"/>
        <v>97.510583917606013</v>
      </c>
      <c r="LP15">
        <f t="shared" si="18"/>
        <v>97.897060440297054</v>
      </c>
      <c r="LQ15">
        <f t="shared" si="18"/>
        <v>98.396879128340203</v>
      </c>
      <c r="LR15">
        <f t="shared" si="18"/>
        <v>97.437807937432211</v>
      </c>
      <c r="LS15">
        <f t="shared" si="18"/>
        <v>98.196725467733557</v>
      </c>
      <c r="LT15">
        <f t="shared" si="18"/>
        <v>97.376989419498599</v>
      </c>
      <c r="LU15">
        <f t="shared" si="18"/>
        <v>97.4570121965548</v>
      </c>
      <c r="LV15">
        <f t="shared" si="18"/>
        <v>96.977673109486659</v>
      </c>
      <c r="LW15">
        <f t="shared" si="18"/>
        <v>98.59123141533297</v>
      </c>
      <c r="LX15">
        <f t="shared" si="18"/>
        <v>98.226824631967844</v>
      </c>
      <c r="LY15">
        <f t="shared" si="18"/>
        <v>98.321441868729039</v>
      </c>
      <c r="LZ15">
        <f t="shared" si="18"/>
        <v>97.913715197213875</v>
      </c>
      <c r="MA15">
        <f t="shared" si="18"/>
        <v>96.436392978363585</v>
      </c>
      <c r="MB15">
        <f t="shared" si="18"/>
        <v>96.649682563148218</v>
      </c>
      <c r="MC15">
        <f t="shared" si="18"/>
        <v>96.209716431681272</v>
      </c>
      <c r="MD15">
        <f t="shared" si="18"/>
        <v>97.307457540318623</v>
      </c>
      <c r="ME15">
        <f t="shared" si="18"/>
        <v>96.203718295693491</v>
      </c>
      <c r="MF15">
        <f t="shared" si="18"/>
        <v>95.310946438126877</v>
      </c>
      <c r="MG15">
        <f t="shared" si="18"/>
        <v>95.719379176646243</v>
      </c>
      <c r="MH15">
        <f t="shared" si="18"/>
        <v>94.851701928340376</v>
      </c>
      <c r="MI15">
        <f t="shared" si="18"/>
        <v>94.827415831093887</v>
      </c>
      <c r="MJ15">
        <f t="shared" si="18"/>
        <v>92.971587092188145</v>
      </c>
      <c r="MK15">
        <f t="shared" si="18"/>
        <v>93.19228413443075</v>
      </c>
      <c r="ML15">
        <f t="shared" si="18"/>
        <v>93.618825670192876</v>
      </c>
      <c r="MM15">
        <f t="shared" si="18"/>
        <v>92.137920404448565</v>
      </c>
      <c r="MN15">
        <f t="shared" si="18"/>
        <v>91.165464876407924</v>
      </c>
      <c r="MO15">
        <f t="shared" si="18"/>
        <v>91.378949133744527</v>
      </c>
      <c r="MP15">
        <f t="shared" si="18"/>
        <v>92.215275221432208</v>
      </c>
      <c r="MQ15">
        <f t="shared" si="18"/>
        <v>93.325587952286412</v>
      </c>
      <c r="MR15">
        <f t="shared" si="18"/>
        <v>93.503424684824992</v>
      </c>
      <c r="MS15">
        <f t="shared" si="18"/>
        <v>93.132818496657706</v>
      </c>
      <c r="MT15">
        <f t="shared" si="18"/>
        <v>93.251247896401864</v>
      </c>
      <c r="MU15">
        <f t="shared" si="18"/>
        <v>93.458476609173218</v>
      </c>
      <c r="MV15">
        <f t="shared" si="18"/>
        <v>93.388241397709933</v>
      </c>
      <c r="MW15">
        <f t="shared" si="18"/>
        <v>94.599096105729672</v>
      </c>
      <c r="MX15">
        <f t="shared" si="18"/>
        <v>93.768499974967284</v>
      </c>
      <c r="MY15">
        <f t="shared" si="18"/>
        <v>93.309326065900521</v>
      </c>
      <c r="MZ15">
        <f t="shared" si="18"/>
        <v>93.741433980860421</v>
      </c>
      <c r="NA15">
        <f t="shared" si="18"/>
        <v>92.707271160941985</v>
      </c>
      <c r="NB15">
        <f t="shared" si="18"/>
        <v>91.343566778135227</v>
      </c>
      <c r="NC15">
        <f t="shared" si="18"/>
        <v>90.444408053640089</v>
      </c>
      <c r="ND15">
        <f t="shared" si="18"/>
        <v>90.069919793939604</v>
      </c>
      <c r="NE15">
        <f t="shared" si="18"/>
        <v>90.538868956056618</v>
      </c>
      <c r="NF15">
        <f t="shared" si="18"/>
        <v>90.921896897669725</v>
      </c>
      <c r="NG15">
        <f t="shared" si="18"/>
        <v>90.093681346765848</v>
      </c>
      <c r="NH15">
        <f t="shared" si="18"/>
        <v>90.286873655555482</v>
      </c>
      <c r="NI15">
        <f t="shared" si="18"/>
        <v>89.849446630856335</v>
      </c>
      <c r="NJ15">
        <f t="shared" si="18"/>
        <v>89.49604925527737</v>
      </c>
      <c r="NK15">
        <f t="shared" si="18"/>
        <v>89.39384844972875</v>
      </c>
      <c r="NL15">
        <f t="shared" si="18"/>
        <v>88.946052255822678</v>
      </c>
      <c r="NM15">
        <f t="shared" si="18"/>
        <v>88.07755252821967</v>
      </c>
      <c r="NN15">
        <f t="shared" si="18"/>
        <v>87.963437511150943</v>
      </c>
      <c r="NO15">
        <f t="shared" si="18"/>
        <v>88.330515211923668</v>
      </c>
      <c r="NP15">
        <f t="shared" si="18"/>
        <v>88.448387775049767</v>
      </c>
      <c r="NQ15">
        <f t="shared" si="18"/>
        <v>87.961640463273497</v>
      </c>
      <c r="NR15">
        <f t="shared" si="18"/>
        <v>87.275067885169719</v>
      </c>
      <c r="NS15">
        <f t="shared" si="18"/>
        <v>84.574478414866491</v>
      </c>
      <c r="NT15">
        <f t="shared" si="18"/>
        <v>83.82910264009918</v>
      </c>
      <c r="NU15">
        <f t="shared" si="18"/>
        <v>83.5776407536992</v>
      </c>
      <c r="NV15">
        <f t="shared" si="18"/>
        <v>84.520957371061684</v>
      </c>
      <c r="NW15">
        <f t="shared" si="18"/>
        <v>84.369499545762565</v>
      </c>
      <c r="NX15">
        <f t="shared" si="18"/>
        <v>83.990778605616143</v>
      </c>
      <c r="NY15">
        <f t="shared" ref="NY15:QJ15" si="19">NX15*(1+NY4)</f>
        <v>83.786793151492645</v>
      </c>
      <c r="NZ15">
        <f t="shared" si="19"/>
        <v>83.8416278061555</v>
      </c>
      <c r="OA15">
        <f t="shared" si="19"/>
        <v>85.417404794476894</v>
      </c>
      <c r="OB15">
        <f t="shared" si="19"/>
        <v>84.854829149051696</v>
      </c>
      <c r="OC15">
        <f t="shared" si="19"/>
        <v>84.896007240666293</v>
      </c>
      <c r="OD15">
        <f t="shared" si="19"/>
        <v>87.345886487404471</v>
      </c>
      <c r="OE15">
        <f t="shared" si="19"/>
        <v>86.513224213368574</v>
      </c>
      <c r="OF15">
        <f t="shared" si="19"/>
        <v>87.359838755309326</v>
      </c>
      <c r="OG15">
        <f t="shared" si="19"/>
        <v>87.874931911203447</v>
      </c>
      <c r="OH15">
        <f t="shared" si="19"/>
        <v>87.910730583904098</v>
      </c>
      <c r="OI15">
        <f t="shared" si="19"/>
        <v>88.238618486302045</v>
      </c>
      <c r="OJ15">
        <f t="shared" si="19"/>
        <v>87.557433147440534</v>
      </c>
      <c r="OK15">
        <f t="shared" si="19"/>
        <v>87.83862439081615</v>
      </c>
      <c r="OL15">
        <f t="shared" si="19"/>
        <v>89.073072008066177</v>
      </c>
      <c r="OM15">
        <f t="shared" si="19"/>
        <v>87.39695049397038</v>
      </c>
      <c r="ON15">
        <f t="shared" si="19"/>
        <v>86.452463979866181</v>
      </c>
      <c r="OO15">
        <f t="shared" si="19"/>
        <v>85.96839708161869</v>
      </c>
      <c r="OP15">
        <f t="shared" si="19"/>
        <v>86.282290107796598</v>
      </c>
      <c r="OQ15">
        <f t="shared" si="19"/>
        <v>87.391129177829541</v>
      </c>
      <c r="OR15">
        <f t="shared" si="19"/>
        <v>87.345136733740276</v>
      </c>
      <c r="OS15">
        <f t="shared" si="19"/>
        <v>88.509405643303836</v>
      </c>
      <c r="OT15">
        <f t="shared" si="19"/>
        <v>88.719830107720341</v>
      </c>
      <c r="OU15">
        <f t="shared" si="19"/>
        <v>87.777514929711003</v>
      </c>
      <c r="OV15">
        <f t="shared" si="19"/>
        <v>86.488350232572984</v>
      </c>
      <c r="OW15">
        <f t="shared" si="19"/>
        <v>86.301452988516772</v>
      </c>
      <c r="OX15">
        <f t="shared" si="19"/>
        <v>85.982967224283229</v>
      </c>
      <c r="OY15">
        <f t="shared" si="19"/>
        <v>85.871076360424397</v>
      </c>
      <c r="OZ15">
        <f t="shared" si="19"/>
        <v>85.505888518007936</v>
      </c>
      <c r="PA15">
        <f t="shared" si="19"/>
        <v>85.351790976063086</v>
      </c>
      <c r="PB15">
        <f t="shared" si="19"/>
        <v>85.714249545390061</v>
      </c>
      <c r="PC15">
        <f t="shared" si="19"/>
        <v>85.304481811969126</v>
      </c>
      <c r="PD15">
        <f t="shared" si="19"/>
        <v>85.962661551078838</v>
      </c>
      <c r="PE15">
        <f t="shared" si="19"/>
        <v>84.95044222746553</v>
      </c>
      <c r="PF15">
        <f t="shared" si="19"/>
        <v>84.988628967385068</v>
      </c>
      <c r="PG15">
        <f t="shared" si="19"/>
        <v>84.550599351165772</v>
      </c>
      <c r="PH15">
        <f t="shared" si="19"/>
        <v>84.285030931872484</v>
      </c>
      <c r="PI15">
        <f t="shared" si="19"/>
        <v>84.74288430596782</v>
      </c>
      <c r="PJ15">
        <f t="shared" si="19"/>
        <v>83.537114473345184</v>
      </c>
      <c r="PK15">
        <f t="shared" si="19"/>
        <v>82.955789137424617</v>
      </c>
      <c r="PL15">
        <f t="shared" si="19"/>
        <v>83.722051481912061</v>
      </c>
      <c r="PM15">
        <f t="shared" si="19"/>
        <v>85.317805332051208</v>
      </c>
      <c r="PN15">
        <f t="shared" si="19"/>
        <v>84.108916000765817</v>
      </c>
      <c r="PO15">
        <f t="shared" si="19"/>
        <v>84.351679059060089</v>
      </c>
      <c r="PP15">
        <f t="shared" si="19"/>
        <v>84.299067888171351</v>
      </c>
      <c r="PQ15">
        <f t="shared" si="19"/>
        <v>83.745632385314039</v>
      </c>
      <c r="PR15">
        <f t="shared" si="19"/>
        <v>83.430707332550426</v>
      </c>
      <c r="PS15">
        <f t="shared" si="19"/>
        <v>83.28151881796596</v>
      </c>
      <c r="PT15">
        <f t="shared" si="19"/>
        <v>83.612983987699536</v>
      </c>
      <c r="PU15">
        <f t="shared" si="19"/>
        <v>83.97273093430816</v>
      </c>
      <c r="PV15">
        <f t="shared" si="19"/>
        <v>84.156074094775718</v>
      </c>
      <c r="PW15">
        <f t="shared" si="19"/>
        <v>83.653173973527331</v>
      </c>
      <c r="PX15">
        <f t="shared" si="19"/>
        <v>83.188969811331759</v>
      </c>
      <c r="PY15">
        <f t="shared" si="19"/>
        <v>83.214809091619784</v>
      </c>
      <c r="PZ15">
        <f t="shared" si="19"/>
        <v>83.742155809827324</v>
      </c>
      <c r="QA15">
        <f t="shared" si="19"/>
        <v>82.991069066675024</v>
      </c>
      <c r="QB15">
        <f t="shared" si="19"/>
        <v>84.294639389662606</v>
      </c>
      <c r="QC15">
        <f t="shared" si="19"/>
        <v>83.904148557476304</v>
      </c>
      <c r="QD15">
        <f t="shared" si="19"/>
        <v>84.11249095245455</v>
      </c>
      <c r="QE15">
        <f t="shared" si="19"/>
        <v>84.127744528802026</v>
      </c>
      <c r="QF15">
        <f t="shared" si="19"/>
        <v>82.735700435066548</v>
      </c>
      <c r="QG15">
        <f t="shared" si="19"/>
        <v>83.010406261415113</v>
      </c>
      <c r="QH15">
        <f t="shared" si="19"/>
        <v>82.341373188157092</v>
      </c>
      <c r="QI15">
        <f t="shared" si="19"/>
        <v>82.555776461204246</v>
      </c>
      <c r="QJ15">
        <f t="shared" si="19"/>
        <v>82.872419694313265</v>
      </c>
      <c r="QK15">
        <f t="shared" ref="QK15:SV15" si="20">QJ15*(1+QK4)</f>
        <v>83.399690601475626</v>
      </c>
      <c r="QL15">
        <f t="shared" si="20"/>
        <v>81.911691395702491</v>
      </c>
      <c r="QM15">
        <f t="shared" si="20"/>
        <v>81.934903305771812</v>
      </c>
      <c r="QN15">
        <f t="shared" si="20"/>
        <v>81.494163975940594</v>
      </c>
      <c r="QO15">
        <f t="shared" si="20"/>
        <v>82.501162177269819</v>
      </c>
      <c r="QP15">
        <f t="shared" si="20"/>
        <v>82.889255781432496</v>
      </c>
      <c r="QQ15">
        <f t="shared" si="20"/>
        <v>83.35640904544573</v>
      </c>
      <c r="QR15">
        <f t="shared" si="20"/>
        <v>83.464187708027353</v>
      </c>
      <c r="QS15">
        <f t="shared" si="20"/>
        <v>84.002320082841806</v>
      </c>
      <c r="QT15">
        <f t="shared" si="20"/>
        <v>84.815306521018186</v>
      </c>
      <c r="QU15">
        <f t="shared" si="20"/>
        <v>83.368558946318672</v>
      </c>
      <c r="QV15">
        <f t="shared" si="20"/>
        <v>83.23785046917699</v>
      </c>
      <c r="QW15">
        <f t="shared" si="20"/>
        <v>81.912749425977296</v>
      </c>
      <c r="QX15">
        <f t="shared" si="20"/>
        <v>80.855716808345051</v>
      </c>
      <c r="QY15">
        <f t="shared" si="20"/>
        <v>81.664841039218686</v>
      </c>
      <c r="QZ15">
        <f t="shared" si="20"/>
        <v>81.280263214298785</v>
      </c>
      <c r="RA15">
        <f t="shared" si="20"/>
        <v>81.622306460351638</v>
      </c>
      <c r="RB15">
        <f t="shared" si="20"/>
        <v>80.735081574627401</v>
      </c>
      <c r="RC15">
        <f t="shared" si="20"/>
        <v>80.749395923331036</v>
      </c>
      <c r="RD15">
        <f t="shared" si="20"/>
        <v>82.039331014837103</v>
      </c>
      <c r="RE15">
        <f t="shared" si="20"/>
        <v>82.587034292610426</v>
      </c>
      <c r="RF15">
        <f t="shared" si="20"/>
        <v>81.392278859323298</v>
      </c>
      <c r="RG15">
        <f t="shared" si="20"/>
        <v>81.645963316908464</v>
      </c>
      <c r="RH15">
        <f t="shared" si="20"/>
        <v>81.837810968654807</v>
      </c>
      <c r="RI15">
        <f t="shared" si="20"/>
        <v>82.394549123345215</v>
      </c>
      <c r="RJ15">
        <f t="shared" si="20"/>
        <v>81.453048695642934</v>
      </c>
      <c r="RK15">
        <f t="shared" si="20"/>
        <v>81.13883463269633</v>
      </c>
      <c r="RL15">
        <f t="shared" si="20"/>
        <v>81.968050075003035</v>
      </c>
      <c r="RM15">
        <f t="shared" si="20"/>
        <v>82.475019493813278</v>
      </c>
      <c r="RN15">
        <f t="shared" si="20"/>
        <v>80.96478041199444</v>
      </c>
      <c r="RO15">
        <f t="shared" si="20"/>
        <v>80.991975133637112</v>
      </c>
      <c r="RP15">
        <f t="shared" si="20"/>
        <v>81.424482602986629</v>
      </c>
      <c r="RQ15">
        <f t="shared" si="20"/>
        <v>81.3429524527984</v>
      </c>
      <c r="RR15">
        <f t="shared" si="20"/>
        <v>81.003441011677367</v>
      </c>
      <c r="RS15">
        <f t="shared" si="20"/>
        <v>80.450633055854937</v>
      </c>
      <c r="RT15">
        <f t="shared" si="20"/>
        <v>80.535460384970676</v>
      </c>
      <c r="RU15">
        <f t="shared" si="20"/>
        <v>81.494836592423326</v>
      </c>
      <c r="RV15">
        <f t="shared" si="20"/>
        <v>80.442618575630647</v>
      </c>
      <c r="RW15">
        <f t="shared" si="20"/>
        <v>79.328187842331744</v>
      </c>
      <c r="RX15">
        <f t="shared" si="20"/>
        <v>79.250690425409914</v>
      </c>
      <c r="RY15">
        <f t="shared" si="20"/>
        <v>78.523721302407139</v>
      </c>
      <c r="RZ15">
        <f t="shared" si="20"/>
        <v>77.90931173623521</v>
      </c>
      <c r="SA15">
        <f t="shared" si="20"/>
        <v>78.585162830073187</v>
      </c>
      <c r="SB15">
        <f t="shared" si="20"/>
        <v>78.614368419790452</v>
      </c>
      <c r="SC15">
        <f t="shared" si="20"/>
        <v>79.418064246198441</v>
      </c>
      <c r="SD15">
        <f t="shared" si="20"/>
        <v>80.377474554568067</v>
      </c>
      <c r="SE15">
        <f t="shared" si="20"/>
        <v>79.952476709743422</v>
      </c>
      <c r="SF15">
        <f t="shared" si="20"/>
        <v>79.829592152936158</v>
      </c>
      <c r="SG15">
        <f t="shared" si="20"/>
        <v>79.500129198103238</v>
      </c>
      <c r="SH15">
        <f t="shared" si="20"/>
        <v>79.482683112471705</v>
      </c>
      <c r="SI15">
        <f t="shared" si="20"/>
        <v>81.071984376327762</v>
      </c>
      <c r="SJ15">
        <f t="shared" si="20"/>
        <v>82.182377778147298</v>
      </c>
      <c r="SK15">
        <f t="shared" si="20"/>
        <v>86.54619552213056</v>
      </c>
      <c r="SL15">
        <f t="shared" si="20"/>
        <v>86.170896009422805</v>
      </c>
      <c r="SM15">
        <f t="shared" si="20"/>
        <v>90.107127075975541</v>
      </c>
      <c r="SN15">
        <f t="shared" si="20"/>
        <v>87.030193586684888</v>
      </c>
      <c r="SO15">
        <f t="shared" si="20"/>
        <v>85.655700338582903</v>
      </c>
      <c r="SP15">
        <f t="shared" si="20"/>
        <v>86.3125724277957</v>
      </c>
      <c r="SQ15">
        <f t="shared" si="20"/>
        <v>83.247953000164117</v>
      </c>
      <c r="SR15">
        <f t="shared" si="20"/>
        <v>83.741508551734569</v>
      </c>
      <c r="SS15">
        <f t="shared" si="20"/>
        <v>84.695159351564882</v>
      </c>
      <c r="ST15">
        <f t="shared" si="20"/>
        <v>81.569130365012555</v>
      </c>
      <c r="SU15">
        <f t="shared" si="20"/>
        <v>81.370842445865549</v>
      </c>
      <c r="SV15">
        <f t="shared" si="20"/>
        <v>79.290141321990589</v>
      </c>
      <c r="SW15">
        <f t="shared" ref="SW15:VH15" si="21">SV15*(1+SW4)</f>
        <v>80.517556377015993</v>
      </c>
      <c r="SX15">
        <f t="shared" si="21"/>
        <v>81.186636555733045</v>
      </c>
      <c r="SY15">
        <f t="shared" si="21"/>
        <v>84.4745892145217</v>
      </c>
      <c r="SZ15">
        <f t="shared" si="21"/>
        <v>84.643853955784721</v>
      </c>
      <c r="TA15">
        <f t="shared" si="21"/>
        <v>83.591580365836535</v>
      </c>
      <c r="TB15">
        <f t="shared" si="21"/>
        <v>82.698266337990844</v>
      </c>
      <c r="TC15">
        <f t="shared" si="21"/>
        <v>83.715493346384719</v>
      </c>
      <c r="TD15">
        <f t="shared" si="21"/>
        <v>83.632214045420241</v>
      </c>
      <c r="TE15">
        <f t="shared" si="21"/>
        <v>84.071580904676409</v>
      </c>
      <c r="TF15">
        <f t="shared" si="21"/>
        <v>84.641546346725548</v>
      </c>
      <c r="TG15">
        <f t="shared" si="21"/>
        <v>84.598412650786571</v>
      </c>
      <c r="TH15">
        <f t="shared" si="21"/>
        <v>85.228117282439896</v>
      </c>
      <c r="TI15">
        <f t="shared" si="21"/>
        <v>85.405655939139578</v>
      </c>
      <c r="TJ15">
        <f t="shared" si="21"/>
        <v>83.319361713137354</v>
      </c>
      <c r="TK15">
        <f t="shared" si="21"/>
        <v>84.301597302864096</v>
      </c>
      <c r="TL15">
        <f t="shared" si="21"/>
        <v>86.382884992675784</v>
      </c>
      <c r="TM15">
        <f t="shared" si="21"/>
        <v>84.663790560089993</v>
      </c>
      <c r="TN15">
        <f t="shared" si="21"/>
        <v>86.418346681726845</v>
      </c>
      <c r="TO15">
        <f t="shared" si="21"/>
        <v>86.544628941014253</v>
      </c>
      <c r="TP15">
        <f t="shared" si="21"/>
        <v>85.111591651272931</v>
      </c>
      <c r="TQ15">
        <f t="shared" si="21"/>
        <v>87.962534686808553</v>
      </c>
      <c r="TR15">
        <f t="shared" si="21"/>
        <v>86.862150973851087</v>
      </c>
      <c r="TS15">
        <f t="shared" si="21"/>
        <v>84.639124662707047</v>
      </c>
      <c r="TT15">
        <f t="shared" si="21"/>
        <v>85.303221290954099</v>
      </c>
      <c r="TU15">
        <f t="shared" si="21"/>
        <v>83.193283855301445</v>
      </c>
      <c r="TV15">
        <f t="shared" si="21"/>
        <v>80.688544856956227</v>
      </c>
      <c r="TW15">
        <f t="shared" si="21"/>
        <v>79.763353614408146</v>
      </c>
      <c r="TX15">
        <f t="shared" si="21"/>
        <v>78.99380215132372</v>
      </c>
      <c r="TY15">
        <f t="shared" si="21"/>
        <v>79.164033053989442</v>
      </c>
      <c r="TZ15">
        <f t="shared" si="21"/>
        <v>79.308632838419882</v>
      </c>
      <c r="UA15">
        <f t="shared" si="21"/>
        <v>79.872120922050073</v>
      </c>
      <c r="UB15">
        <f t="shared" si="21"/>
        <v>79.791404693882313</v>
      </c>
      <c r="UC15">
        <f t="shared" si="21"/>
        <v>80.052706069498299</v>
      </c>
      <c r="UD15">
        <f t="shared" si="21"/>
        <v>80.238745691187404</v>
      </c>
      <c r="UE15">
        <f t="shared" si="21"/>
        <v>80.576652044986972</v>
      </c>
      <c r="UF15">
        <f t="shared" si="21"/>
        <v>80.461633212069401</v>
      </c>
      <c r="UG15">
        <f t="shared" si="21"/>
        <v>81.014371325472894</v>
      </c>
      <c r="UH15">
        <f t="shared" si="21"/>
        <v>80.997307024602861</v>
      </c>
      <c r="UI15">
        <f t="shared" si="21"/>
        <v>79.654649408479543</v>
      </c>
      <c r="UJ15">
        <f t="shared" si="21"/>
        <v>79.701474098539848</v>
      </c>
      <c r="UK15">
        <f t="shared" si="21"/>
        <v>81.045404872571353</v>
      </c>
      <c r="UL15">
        <f t="shared" si="21"/>
        <v>80.492397970984854</v>
      </c>
      <c r="UM15">
        <f t="shared" si="21"/>
        <v>80.13589719691025</v>
      </c>
      <c r="UN15">
        <f t="shared" si="21"/>
        <v>80.519380037771327</v>
      </c>
      <c r="UO15">
        <f t="shared" si="21"/>
        <v>79.834086190922207</v>
      </c>
      <c r="UP15">
        <f t="shared" si="21"/>
        <v>80.439120251611669</v>
      </c>
      <c r="UQ15">
        <f t="shared" si="21"/>
        <v>80.312543066337497</v>
      </c>
      <c r="UR15">
        <f t="shared" si="21"/>
        <v>79.614816992663961</v>
      </c>
      <c r="US15">
        <f t="shared" si="21"/>
        <v>80.382892985218348</v>
      </c>
      <c r="UT15">
        <f t="shared" si="21"/>
        <v>80.645536621072083</v>
      </c>
      <c r="UU15">
        <f t="shared" si="21"/>
        <v>80.358328036385529</v>
      </c>
      <c r="UV15">
        <f t="shared" si="21"/>
        <v>80.524375399935948</v>
      </c>
      <c r="UW15">
        <f t="shared" si="21"/>
        <v>80.073235058961401</v>
      </c>
      <c r="UX15">
        <f t="shared" si="21"/>
        <v>80.488340503374545</v>
      </c>
      <c r="UY15">
        <f t="shared" si="21"/>
        <v>79.664979831893746</v>
      </c>
      <c r="UZ15">
        <f t="shared" si="21"/>
        <v>79.350786215550102</v>
      </c>
      <c r="VA15">
        <f t="shared" si="21"/>
        <v>78.294509570318297</v>
      </c>
      <c r="VB15">
        <f t="shared" si="21"/>
        <v>80.158344819789022</v>
      </c>
      <c r="VC15">
        <f t="shared" si="21"/>
        <v>79.58358924052726</v>
      </c>
      <c r="VD15">
        <f t="shared" si="21"/>
        <v>78.875361661220381</v>
      </c>
      <c r="VE15">
        <f t="shared" si="21"/>
        <v>79.329058962243707</v>
      </c>
      <c r="VF15">
        <f t="shared" si="21"/>
        <v>79.67709431138276</v>
      </c>
      <c r="VG15">
        <f t="shared" si="21"/>
        <v>80.653185256861747</v>
      </c>
      <c r="VH15">
        <f t="shared" si="21"/>
        <v>80.476387146763585</v>
      </c>
      <c r="VI15">
        <f t="shared" ref="VI15:XT15" si="22">VH15*(1+VI4)</f>
        <v>81.872901654356539</v>
      </c>
      <c r="VJ15">
        <f t="shared" si="22"/>
        <v>82.457377888952237</v>
      </c>
      <c r="VK15">
        <f t="shared" si="22"/>
        <v>82.754824172222072</v>
      </c>
      <c r="VL15">
        <f t="shared" si="22"/>
        <v>83.803731993428286</v>
      </c>
      <c r="VM15">
        <f t="shared" si="22"/>
        <v>83.206623175459796</v>
      </c>
      <c r="VN15">
        <f t="shared" si="22"/>
        <v>83.514484269178595</v>
      </c>
      <c r="VO15">
        <f t="shared" si="22"/>
        <v>84.594498771071628</v>
      </c>
      <c r="VP15">
        <f t="shared" si="22"/>
        <v>85.504045145225973</v>
      </c>
      <c r="VQ15">
        <f t="shared" si="22"/>
        <v>86.667709579995176</v>
      </c>
      <c r="VR15">
        <f t="shared" si="22"/>
        <v>86.781760769695964</v>
      </c>
      <c r="VS15">
        <f t="shared" si="22"/>
        <v>84.889078313372963</v>
      </c>
      <c r="VT15">
        <f t="shared" si="22"/>
        <v>84.14193782195747</v>
      </c>
      <c r="VU15">
        <f t="shared" si="22"/>
        <v>84.112316502036435</v>
      </c>
      <c r="VV15">
        <f t="shared" si="22"/>
        <v>83.908082214726846</v>
      </c>
      <c r="VW15">
        <f t="shared" si="22"/>
        <v>83.277921832744909</v>
      </c>
      <c r="VX15">
        <f t="shared" si="22"/>
        <v>84.510973482374567</v>
      </c>
      <c r="VY15">
        <f t="shared" si="22"/>
        <v>84.319297272920679</v>
      </c>
      <c r="VZ15">
        <f t="shared" si="22"/>
        <v>84.381417941495485</v>
      </c>
      <c r="WA15">
        <f t="shared" si="22"/>
        <v>82.847079968977951</v>
      </c>
      <c r="WB15">
        <f t="shared" si="22"/>
        <v>81.510879418368503</v>
      </c>
      <c r="WC15">
        <f t="shared" si="22"/>
        <v>81.275449108201286</v>
      </c>
      <c r="WD15">
        <f t="shared" si="22"/>
        <v>80.944954796159735</v>
      </c>
      <c r="WE15">
        <f t="shared" si="22"/>
        <v>81.160947509917222</v>
      </c>
      <c r="WF15">
        <f t="shared" si="22"/>
        <v>78.877322715031326</v>
      </c>
      <c r="WG15">
        <f t="shared" si="22"/>
        <v>78.936838294891089</v>
      </c>
      <c r="WH15">
        <f t="shared" si="22"/>
        <v>78.311717557840254</v>
      </c>
      <c r="WI15">
        <f t="shared" si="22"/>
        <v>76.540653551726308</v>
      </c>
      <c r="WJ15">
        <f t="shared" si="22"/>
        <v>77.471260838333208</v>
      </c>
      <c r="WK15">
        <f t="shared" si="22"/>
        <v>79.053760752347557</v>
      </c>
      <c r="WL15">
        <f t="shared" si="22"/>
        <v>78.303357117455306</v>
      </c>
      <c r="WM15">
        <f t="shared" si="22"/>
        <v>78.788790314542368</v>
      </c>
      <c r="WN15">
        <f t="shared" si="22"/>
        <v>78.353916321511988</v>
      </c>
      <c r="WO15">
        <f t="shared" si="22"/>
        <v>78.902288318317261</v>
      </c>
      <c r="WP15">
        <f t="shared" si="22"/>
        <v>79.082398321377511</v>
      </c>
      <c r="WQ15">
        <f t="shared" si="22"/>
        <v>79.118793321431141</v>
      </c>
      <c r="WR15">
        <f t="shared" si="22"/>
        <v>79.908695876062936</v>
      </c>
      <c r="WS15">
        <f t="shared" si="22"/>
        <v>79.596906054389038</v>
      </c>
      <c r="WT15">
        <f t="shared" si="22"/>
        <v>79.131482462354001</v>
      </c>
      <c r="WU15">
        <f t="shared" si="22"/>
        <v>78.239999115827985</v>
      </c>
      <c r="WV15">
        <f t="shared" si="22"/>
        <v>77.59196800727841</v>
      </c>
      <c r="WW15">
        <f t="shared" si="22"/>
        <v>77.28311744222782</v>
      </c>
      <c r="WX15">
        <f t="shared" si="22"/>
        <v>76.93014978178995</v>
      </c>
      <c r="WY15">
        <f t="shared" si="22"/>
        <v>76.285436434340198</v>
      </c>
      <c r="WZ15">
        <f t="shared" si="22"/>
        <v>78.355871209491511</v>
      </c>
      <c r="XA15">
        <f t="shared" si="22"/>
        <v>77.528394245299609</v>
      </c>
      <c r="XB15">
        <f t="shared" si="22"/>
        <v>78.745064839634182</v>
      </c>
      <c r="XC15">
        <f t="shared" si="22"/>
        <v>78.506722472415646</v>
      </c>
      <c r="XD15">
        <f t="shared" si="22"/>
        <v>77.797050710289994</v>
      </c>
      <c r="XE15">
        <f t="shared" si="22"/>
        <v>77.829604917482285</v>
      </c>
      <c r="XF15">
        <f t="shared" si="22"/>
        <v>77.977431862243108</v>
      </c>
      <c r="XG15">
        <f t="shared" si="22"/>
        <v>76.559993225236795</v>
      </c>
      <c r="XH15">
        <f t="shared" si="22"/>
        <v>76.407990377298717</v>
      </c>
      <c r="XI15">
        <f t="shared" si="22"/>
        <v>76.894088613728201</v>
      </c>
      <c r="XJ15">
        <f t="shared" si="22"/>
        <v>76.490436701444125</v>
      </c>
      <c r="XK15">
        <f t="shared" si="22"/>
        <v>76.730399742305607</v>
      </c>
      <c r="XL15">
        <f t="shared" si="22"/>
        <v>77.830361432304798</v>
      </c>
      <c r="XM15">
        <f t="shared" si="22"/>
        <v>77.455637336403953</v>
      </c>
      <c r="XN15">
        <f t="shared" si="22"/>
        <v>77.53121730006022</v>
      </c>
      <c r="XO15">
        <f t="shared" si="22"/>
        <v>77.325261983105293</v>
      </c>
      <c r="XP15">
        <f t="shared" si="22"/>
        <v>76.310925186796666</v>
      </c>
      <c r="XQ15">
        <f t="shared" si="22"/>
        <v>76.343717253323632</v>
      </c>
      <c r="XR15">
        <f t="shared" si="22"/>
        <v>75.383030016469817</v>
      </c>
      <c r="XS15">
        <f t="shared" si="22"/>
        <v>75.373310610420816</v>
      </c>
      <c r="XT15">
        <f t="shared" si="22"/>
        <v>74.325258803605365</v>
      </c>
      <c r="XU15">
        <f t="shared" ref="XU15:AAF15" si="23">XT15*(1+XU4)</f>
        <v>73.978756398815406</v>
      </c>
      <c r="XV15">
        <f t="shared" si="23"/>
        <v>74.213178183179224</v>
      </c>
      <c r="XW15">
        <f t="shared" si="23"/>
        <v>73.737407653022075</v>
      </c>
      <c r="XX15">
        <f t="shared" si="23"/>
        <v>73.92640979944251</v>
      </c>
      <c r="XY15">
        <f t="shared" si="23"/>
        <v>73.118030166610467</v>
      </c>
      <c r="XZ15">
        <f t="shared" si="23"/>
        <v>73.589898901070541</v>
      </c>
      <c r="YA15">
        <f t="shared" si="23"/>
        <v>73.487358224617878</v>
      </c>
      <c r="YB15">
        <f t="shared" si="23"/>
        <v>73.127594276569226</v>
      </c>
      <c r="YC15">
        <f t="shared" si="23"/>
        <v>72.575307964537558</v>
      </c>
      <c r="YD15">
        <f t="shared" si="23"/>
        <v>73.55299444804325</v>
      </c>
      <c r="YE15">
        <f t="shared" si="23"/>
        <v>73.037820063162528</v>
      </c>
      <c r="YF15">
        <f t="shared" si="23"/>
        <v>74.077674855786697</v>
      </c>
      <c r="YG15">
        <f t="shared" si="23"/>
        <v>74.515506004585887</v>
      </c>
      <c r="YH15">
        <f t="shared" si="23"/>
        <v>76.409716523186944</v>
      </c>
      <c r="YI15">
        <f t="shared" si="23"/>
        <v>76.656957981635415</v>
      </c>
      <c r="YJ15">
        <f t="shared" si="23"/>
        <v>77.305761445917014</v>
      </c>
      <c r="YK15">
        <f t="shared" si="23"/>
        <v>77.553932225800352</v>
      </c>
      <c r="YL15">
        <f t="shared" si="23"/>
        <v>77.724317435760156</v>
      </c>
      <c r="YM15">
        <f t="shared" si="23"/>
        <v>78.309372301737255</v>
      </c>
      <c r="YN15">
        <f t="shared" si="23"/>
        <v>78.48430155679155</v>
      </c>
      <c r="YO15">
        <f t="shared" si="23"/>
        <v>76.884205996509905</v>
      </c>
      <c r="YP15">
        <f t="shared" si="23"/>
        <v>77.545056365355407</v>
      </c>
      <c r="YQ15">
        <f t="shared" si="23"/>
        <v>77.613557832647942</v>
      </c>
      <c r="YR15">
        <f t="shared" si="23"/>
        <v>77.828460212841279</v>
      </c>
      <c r="YS15">
        <f t="shared" si="23"/>
        <v>77.468321296732398</v>
      </c>
      <c r="YT15">
        <f t="shared" si="23"/>
        <v>77.012044460173755</v>
      </c>
      <c r="YU15">
        <f t="shared" si="23"/>
        <v>77.514250299546418</v>
      </c>
      <c r="YV15">
        <f t="shared" si="23"/>
        <v>79.704258729437342</v>
      </c>
      <c r="YW15">
        <f t="shared" si="23"/>
        <v>78.176313290014221</v>
      </c>
      <c r="YX15">
        <f t="shared" si="23"/>
        <v>79.646182594666826</v>
      </c>
      <c r="YY15">
        <f t="shared" si="23"/>
        <v>79.483634707682285</v>
      </c>
      <c r="YZ15">
        <f t="shared" si="23"/>
        <v>79.459375295073173</v>
      </c>
      <c r="ZA15">
        <f t="shared" si="23"/>
        <v>78.934270603632939</v>
      </c>
      <c r="ZB15">
        <f t="shared" si="23"/>
        <v>77.755608166219702</v>
      </c>
      <c r="ZC15">
        <f t="shared" si="23"/>
        <v>77.659498411986988</v>
      </c>
      <c r="ZD15">
        <f t="shared" si="23"/>
        <v>76.636818953517931</v>
      </c>
      <c r="ZE15">
        <f t="shared" si="23"/>
        <v>76.595116182129786</v>
      </c>
      <c r="ZF15">
        <f t="shared" si="23"/>
        <v>76.911979026200498</v>
      </c>
      <c r="ZG15">
        <f t="shared" si="23"/>
        <v>78.144630350204423</v>
      </c>
      <c r="ZH15">
        <f t="shared" si="23"/>
        <v>77.246772526934066</v>
      </c>
      <c r="ZI15">
        <f t="shared" si="23"/>
        <v>76.892009269126405</v>
      </c>
      <c r="ZJ15">
        <f t="shared" si="23"/>
        <v>77.441947523170001</v>
      </c>
      <c r="ZK15">
        <f t="shared" si="23"/>
        <v>77.037567092194664</v>
      </c>
      <c r="ZL15">
        <f t="shared" si="23"/>
        <v>76.601697338442065</v>
      </c>
      <c r="ZM15">
        <f t="shared" si="23"/>
        <v>76.312802192881833</v>
      </c>
      <c r="ZN15">
        <f t="shared" si="23"/>
        <v>77.197201739556306</v>
      </c>
      <c r="ZO15">
        <f t="shared" si="23"/>
        <v>76.240582397029314</v>
      </c>
      <c r="ZP15">
        <f t="shared" si="23"/>
        <v>76.727616795652438</v>
      </c>
      <c r="ZQ15">
        <f t="shared" si="23"/>
        <v>76.657938414041141</v>
      </c>
      <c r="ZR15">
        <f t="shared" si="23"/>
        <v>75.0141836722009</v>
      </c>
      <c r="ZS15">
        <f t="shared" si="23"/>
        <v>75.278477929624813</v>
      </c>
      <c r="ZT15">
        <f t="shared" si="23"/>
        <v>74.742026606974306</v>
      </c>
      <c r="ZU15">
        <f t="shared" si="23"/>
        <v>74.94190939114867</v>
      </c>
      <c r="ZV15">
        <f t="shared" si="23"/>
        <v>75.255994538779845</v>
      </c>
      <c r="ZW15">
        <f t="shared" si="23"/>
        <v>74.979249451464455</v>
      </c>
      <c r="ZX15">
        <f t="shared" si="23"/>
        <v>75.615881105051415</v>
      </c>
      <c r="ZY15">
        <f t="shared" si="23"/>
        <v>76.662094356371568</v>
      </c>
      <c r="ZZ15">
        <f t="shared" si="23"/>
        <v>75.600448294045549</v>
      </c>
      <c r="AAA15">
        <f t="shared" si="23"/>
        <v>76.429044887572815</v>
      </c>
      <c r="AAB15">
        <f t="shared" si="23"/>
        <v>77.086270701000402</v>
      </c>
      <c r="AAC15">
        <f t="shared" si="23"/>
        <v>77.873876056383907</v>
      </c>
      <c r="AAD15">
        <f t="shared" si="23"/>
        <v>76.512913322141642</v>
      </c>
      <c r="AAE15">
        <f t="shared" si="23"/>
        <v>75.583256475789554</v>
      </c>
      <c r="AAF15">
        <f t="shared" si="23"/>
        <v>76.38020533065756</v>
      </c>
      <c r="AAG15">
        <f t="shared" ref="AAG15:ACR15" si="24">AAF15*(1+AAG4)</f>
        <v>75.877527125576989</v>
      </c>
      <c r="AAH15">
        <f t="shared" si="24"/>
        <v>75.997916542128749</v>
      </c>
      <c r="AAI15">
        <f t="shared" si="24"/>
        <v>76.407560493558108</v>
      </c>
      <c r="AAJ15">
        <f t="shared" si="24"/>
        <v>75.578701758583364</v>
      </c>
      <c r="AAK15">
        <f t="shared" si="24"/>
        <v>76.318788638095683</v>
      </c>
      <c r="AAL15">
        <f t="shared" si="24"/>
        <v>76.114022915603925</v>
      </c>
      <c r="AAM15">
        <f t="shared" si="24"/>
        <v>76.734314588276575</v>
      </c>
      <c r="AAN15">
        <f t="shared" si="24"/>
        <v>75.722281386147912</v>
      </c>
      <c r="AAO15">
        <f t="shared" si="24"/>
        <v>75.376054717059716</v>
      </c>
      <c r="AAP15">
        <f t="shared" si="24"/>
        <v>75.123567619851528</v>
      </c>
      <c r="AAQ15">
        <f t="shared" si="24"/>
        <v>74.624289057898054</v>
      </c>
      <c r="AAR15">
        <f t="shared" si="24"/>
        <v>73.916099882199532</v>
      </c>
      <c r="AAS15">
        <f t="shared" si="24"/>
        <v>73.849063582638721</v>
      </c>
      <c r="AAT15">
        <f t="shared" si="24"/>
        <v>72.564605744813178</v>
      </c>
      <c r="AAU15">
        <f t="shared" si="24"/>
        <v>73.282809928902651</v>
      </c>
      <c r="AAV15">
        <f t="shared" si="24"/>
        <v>74.341684119111036</v>
      </c>
      <c r="AAW15">
        <f t="shared" si="24"/>
        <v>73.744196138981195</v>
      </c>
      <c r="AAX15">
        <f t="shared" si="24"/>
        <v>73.069178628574576</v>
      </c>
      <c r="AAY15">
        <f t="shared" si="24"/>
        <v>73.224147208743474</v>
      </c>
      <c r="AAZ15">
        <f t="shared" si="24"/>
        <v>73.517419143840669</v>
      </c>
      <c r="ABA15">
        <f t="shared" si="24"/>
        <v>72.699074234011505</v>
      </c>
      <c r="ABB15">
        <f t="shared" si="24"/>
        <v>72.481679068251367</v>
      </c>
      <c r="ABC15">
        <f t="shared" si="24"/>
        <v>72.704253138711977</v>
      </c>
      <c r="ABD15">
        <f t="shared" si="24"/>
        <v>72.524031162030013</v>
      </c>
      <c r="ABE15">
        <f t="shared" si="24"/>
        <v>72.681986842214741</v>
      </c>
      <c r="ABF15">
        <f t="shared" si="24"/>
        <v>72.765414085929663</v>
      </c>
      <c r="ABG15">
        <f t="shared" si="24"/>
        <v>72.711726141115889</v>
      </c>
      <c r="ABH15">
        <f t="shared" si="24"/>
        <v>73.447345610530377</v>
      </c>
      <c r="ABI15">
        <f t="shared" si="24"/>
        <v>73.472871460667037</v>
      </c>
      <c r="ABJ15">
        <f t="shared" si="24"/>
        <v>73.61419588510077</v>
      </c>
      <c r="ABK15">
        <f t="shared" si="24"/>
        <v>73.28327679711775</v>
      </c>
      <c r="ABL15">
        <f t="shared" si="24"/>
        <v>73.436975525121014</v>
      </c>
      <c r="ABM15">
        <f t="shared" si="24"/>
        <v>73.002110875613667</v>
      </c>
      <c r="ABN15">
        <f t="shared" si="24"/>
        <v>73.028020729344306</v>
      </c>
      <c r="ABO15">
        <f t="shared" si="24"/>
        <v>73.111328429741889</v>
      </c>
      <c r="ABP15">
        <f t="shared" si="24"/>
        <v>72.529121534018401</v>
      </c>
      <c r="ABQ15">
        <f t="shared" si="24"/>
        <v>72.436609412473047</v>
      </c>
      <c r="ABR15">
        <f t="shared" si="24"/>
        <v>72.363339884944892</v>
      </c>
      <c r="ABS15">
        <f t="shared" si="24"/>
        <v>72.173043006956789</v>
      </c>
      <c r="ABT15">
        <f t="shared" si="24"/>
        <v>72.223263105424422</v>
      </c>
      <c r="ABU15">
        <f t="shared" si="24"/>
        <v>72.012187528637952</v>
      </c>
      <c r="ABV15">
        <f t="shared" si="24"/>
        <v>72.495935701280899</v>
      </c>
      <c r="ABW15">
        <f t="shared" si="24"/>
        <v>72.065368015890414</v>
      </c>
      <c r="ABX15">
        <f t="shared" si="24"/>
        <v>71.96046683204338</v>
      </c>
      <c r="ABY15">
        <f t="shared" si="24"/>
        <v>72.40777467883386</v>
      </c>
      <c r="ABZ15">
        <f t="shared" si="24"/>
        <v>72.93860744870841</v>
      </c>
      <c r="ACA15">
        <f t="shared" si="24"/>
        <v>72.868756929802387</v>
      </c>
      <c r="ACB15">
        <f t="shared" si="24"/>
        <v>73.320328650935409</v>
      </c>
      <c r="ACC15">
        <f t="shared" si="24"/>
        <v>73.356901157845684</v>
      </c>
      <c r="ACD15">
        <f t="shared" si="24"/>
        <v>75.343257882911402</v>
      </c>
      <c r="ACE15">
        <f t="shared" si="24"/>
        <v>74.567302876701731</v>
      </c>
      <c r="ACF15">
        <f t="shared" si="24"/>
        <v>74.067257267410994</v>
      </c>
      <c r="ACG15">
        <f t="shared" si="24"/>
        <v>73.575841341071808</v>
      </c>
      <c r="ACH15">
        <f t="shared" si="24"/>
        <v>73.511395339163897</v>
      </c>
      <c r="ACI15">
        <f t="shared" si="24"/>
        <v>73.621382574063233</v>
      </c>
      <c r="ACJ15">
        <f t="shared" si="24"/>
        <v>73.801263195905648</v>
      </c>
      <c r="ACK15">
        <f t="shared" si="24"/>
        <v>73.884960899951025</v>
      </c>
      <c r="ACL15">
        <f t="shared" si="24"/>
        <v>74.638842272217886</v>
      </c>
      <c r="ACM15">
        <f t="shared" si="24"/>
        <v>75.500735683926706</v>
      </c>
      <c r="ACN15">
        <f t="shared" si="24"/>
        <v>76.835976344388669</v>
      </c>
      <c r="ACO15">
        <f t="shared" si="24"/>
        <v>75.28580671172044</v>
      </c>
      <c r="ACP15">
        <f t="shared" si="24"/>
        <v>75.004756786563973</v>
      </c>
      <c r="ACQ15">
        <f t="shared" si="24"/>
        <v>74.079720594207899</v>
      </c>
      <c r="ACR15">
        <f t="shared" si="24"/>
        <v>75.151034325699143</v>
      </c>
      <c r="ACS15">
        <f t="shared" ref="ACS15:ACV15" si="25">ACR15*(1+ACS4)</f>
        <v>75.70536756911082</v>
      </c>
      <c r="ACT15">
        <f t="shared" si="25"/>
        <v>74.842328204394931</v>
      </c>
      <c r="ACU15">
        <f t="shared" si="25"/>
        <v>74.682401625081681</v>
      </c>
      <c r="ACV15">
        <f t="shared" si="25"/>
        <v>74.384713485305895</v>
      </c>
    </row>
    <row r="16" spans="1:776" x14ac:dyDescent="0.2">
      <c r="A16" s="6" t="s">
        <v>70663</v>
      </c>
      <c r="B16">
        <f t="shared" ref="B15:Q30" si="26">$A$13*(1+B5)</f>
        <v>100.61760799510719</v>
      </c>
      <c r="C16">
        <f>B16*(1+C5)</f>
        <v>98.968586402762895</v>
      </c>
      <c r="D16">
        <f>C16*(1+D5)</f>
        <v>97.018603314674152</v>
      </c>
      <c r="E16">
        <f t="shared" ref="E16:BP16" si="27">D16*(1+E5)</f>
        <v>96.070316314250533</v>
      </c>
      <c r="F16">
        <f t="shared" si="27"/>
        <v>94.624645652036918</v>
      </c>
      <c r="G16">
        <f t="shared" si="27"/>
        <v>98.68410731672742</v>
      </c>
      <c r="H16">
        <f t="shared" si="27"/>
        <v>96.676305420294383</v>
      </c>
      <c r="I16">
        <f t="shared" si="27"/>
        <v>97.530365683439143</v>
      </c>
      <c r="J16">
        <f t="shared" si="27"/>
        <v>96.2777174128002</v>
      </c>
      <c r="K16">
        <f t="shared" si="27"/>
        <v>96.69666550606911</v>
      </c>
      <c r="L16">
        <f t="shared" si="27"/>
        <v>98.378477000097632</v>
      </c>
      <c r="M16">
        <f t="shared" si="27"/>
        <v>100.55057639123103</v>
      </c>
      <c r="N16">
        <f t="shared" si="27"/>
        <v>101.92772797513089</v>
      </c>
      <c r="O16">
        <f t="shared" si="27"/>
        <v>101.40632106111676</v>
      </c>
      <c r="P16">
        <f t="shared" si="27"/>
        <v>103.13063891190055</v>
      </c>
      <c r="Q16">
        <f t="shared" si="27"/>
        <v>102.54684928977186</v>
      </c>
      <c r="R16">
        <f t="shared" si="27"/>
        <v>101.87402366239584</v>
      </c>
      <c r="S16">
        <f t="shared" si="27"/>
        <v>101.33376727708969</v>
      </c>
      <c r="T16">
        <f t="shared" si="27"/>
        <v>102.13363216725135</v>
      </c>
      <c r="U16">
        <f t="shared" si="27"/>
        <v>102.44487837131931</v>
      </c>
      <c r="V16">
        <f t="shared" si="27"/>
        <v>102.33622776208561</v>
      </c>
      <c r="W16">
        <f t="shared" si="27"/>
        <v>104.04077311738196</v>
      </c>
      <c r="X16">
        <f t="shared" si="27"/>
        <v>103.53185517278955</v>
      </c>
      <c r="Y16">
        <f t="shared" si="27"/>
        <v>106.42530654331672</v>
      </c>
      <c r="Z16">
        <f t="shared" si="27"/>
        <v>107.8634022783254</v>
      </c>
      <c r="AA16">
        <f t="shared" si="27"/>
        <v>109.06936641740111</v>
      </c>
      <c r="AB16">
        <f t="shared" si="27"/>
        <v>108.78232597408515</v>
      </c>
      <c r="AC16">
        <f t="shared" si="27"/>
        <v>111.93017328984064</v>
      </c>
      <c r="AD16">
        <f t="shared" si="27"/>
        <v>114.20655364912092</v>
      </c>
      <c r="AE16">
        <f t="shared" si="27"/>
        <v>111.16912044655211</v>
      </c>
      <c r="AF16">
        <f t="shared" si="27"/>
        <v>109.9267404211248</v>
      </c>
      <c r="AG16">
        <f t="shared" si="27"/>
        <v>111.27522419841709</v>
      </c>
      <c r="AH16">
        <f t="shared" si="27"/>
        <v>108.62435139354125</v>
      </c>
      <c r="AI16">
        <f t="shared" si="27"/>
        <v>108.67058889285545</v>
      </c>
      <c r="AJ16">
        <f t="shared" si="27"/>
        <v>108.80292679152109</v>
      </c>
      <c r="AK16">
        <f t="shared" si="27"/>
        <v>110.72611678800075</v>
      </c>
      <c r="AL16">
        <f t="shared" si="27"/>
        <v>111.59391074492869</v>
      </c>
      <c r="AM16">
        <f t="shared" si="27"/>
        <v>110.81541250903801</v>
      </c>
      <c r="AN16">
        <f t="shared" si="27"/>
        <v>109.88938209342331</v>
      </c>
      <c r="AO16">
        <f t="shared" si="27"/>
        <v>109.70626483354616</v>
      </c>
      <c r="AP16">
        <f t="shared" si="27"/>
        <v>108.94442801450411</v>
      </c>
      <c r="AQ16">
        <f t="shared" si="27"/>
        <v>107.85454617457407</v>
      </c>
      <c r="AR16">
        <f t="shared" si="27"/>
        <v>107.38567169996627</v>
      </c>
      <c r="AS16">
        <f t="shared" si="27"/>
        <v>107.94695806887805</v>
      </c>
      <c r="AT16">
        <f t="shared" si="27"/>
        <v>105.40781963153454</v>
      </c>
      <c r="AU16">
        <f t="shared" si="27"/>
        <v>107.35209380162077</v>
      </c>
      <c r="AV16">
        <f t="shared" si="27"/>
        <v>108.37522197105757</v>
      </c>
      <c r="AW16">
        <f t="shared" si="27"/>
        <v>109.77385987781253</v>
      </c>
      <c r="AX16">
        <f t="shared" si="27"/>
        <v>112.36424310401702</v>
      </c>
      <c r="AY16">
        <f t="shared" si="27"/>
        <v>113.3681580229442</v>
      </c>
      <c r="AZ16">
        <f t="shared" si="27"/>
        <v>112.08481806408969</v>
      </c>
      <c r="BA16">
        <f t="shared" si="27"/>
        <v>113.09381144161738</v>
      </c>
      <c r="BB16">
        <f t="shared" si="27"/>
        <v>113.63616742310786</v>
      </c>
      <c r="BC16">
        <f t="shared" si="27"/>
        <v>108.56043755870468</v>
      </c>
      <c r="BD16">
        <f t="shared" si="27"/>
        <v>109.17964031727358</v>
      </c>
      <c r="BE16">
        <f t="shared" si="27"/>
        <v>105.51166854956328</v>
      </c>
      <c r="BF16">
        <f t="shared" si="27"/>
        <v>107.9577237752909</v>
      </c>
      <c r="BG16">
        <f t="shared" si="27"/>
        <v>109.32493404045822</v>
      </c>
      <c r="BH16">
        <f t="shared" si="27"/>
        <v>108.10004343874627</v>
      </c>
      <c r="BI16">
        <f t="shared" si="27"/>
        <v>109.19905869061252</v>
      </c>
      <c r="BJ16">
        <f t="shared" si="27"/>
        <v>106.675201998525</v>
      </c>
      <c r="BK16">
        <f t="shared" si="27"/>
        <v>104.37638808203899</v>
      </c>
      <c r="BL16">
        <f t="shared" si="27"/>
        <v>106.64931583334972</v>
      </c>
      <c r="BM16">
        <f t="shared" si="27"/>
        <v>109.41305127862088</v>
      </c>
      <c r="BN16">
        <f t="shared" si="27"/>
        <v>106.11787858060455</v>
      </c>
      <c r="BO16">
        <f t="shared" si="27"/>
        <v>106.54855956031506</v>
      </c>
      <c r="BP16">
        <f t="shared" si="27"/>
        <v>106.70488804287136</v>
      </c>
      <c r="BQ16">
        <f t="shared" ref="BQ16:EB16" si="28">BP16*(1+BQ5)</f>
        <v>107.01747629563745</v>
      </c>
      <c r="BR16">
        <f t="shared" si="28"/>
        <v>107.07001410503281</v>
      </c>
      <c r="BS16">
        <f t="shared" si="28"/>
        <v>105.59488971397823</v>
      </c>
      <c r="BT16">
        <f t="shared" si="28"/>
        <v>105.21049598006726</v>
      </c>
      <c r="BU16">
        <f t="shared" si="28"/>
        <v>103.99550291328407</v>
      </c>
      <c r="BV16">
        <f t="shared" si="28"/>
        <v>103.99692200058549</v>
      </c>
      <c r="BW16">
        <f t="shared" si="28"/>
        <v>104.46874418868397</v>
      </c>
      <c r="BX16">
        <f t="shared" si="28"/>
        <v>104.72745088826305</v>
      </c>
      <c r="BY16">
        <f t="shared" si="28"/>
        <v>106.23298579490795</v>
      </c>
      <c r="BZ16">
        <f t="shared" si="28"/>
        <v>106.33421311411232</v>
      </c>
      <c r="CA16">
        <f t="shared" si="28"/>
        <v>108.38867884848842</v>
      </c>
      <c r="CB16">
        <f t="shared" si="28"/>
        <v>108.87910653026678</v>
      </c>
      <c r="CC16">
        <f t="shared" si="28"/>
        <v>111.23971818839037</v>
      </c>
      <c r="CD16">
        <f t="shared" si="28"/>
        <v>110.54030429525538</v>
      </c>
      <c r="CE16">
        <f t="shared" si="28"/>
        <v>108.42712991257159</v>
      </c>
      <c r="CF16">
        <f t="shared" si="28"/>
        <v>108.35129710077558</v>
      </c>
      <c r="CG16">
        <f t="shared" si="28"/>
        <v>110.49226073781594</v>
      </c>
      <c r="CH16">
        <f t="shared" si="28"/>
        <v>108.04437912512441</v>
      </c>
      <c r="CI16">
        <f t="shared" si="28"/>
        <v>109.74579407678489</v>
      </c>
      <c r="CJ16">
        <f t="shared" si="28"/>
        <v>106.17019002930684</v>
      </c>
      <c r="CK16">
        <f t="shared" si="28"/>
        <v>106.11295536825065</v>
      </c>
      <c r="CL16">
        <f t="shared" si="28"/>
        <v>107.35597908432209</v>
      </c>
      <c r="CM16">
        <f t="shared" si="28"/>
        <v>107.43188590192527</v>
      </c>
      <c r="CN16">
        <f t="shared" si="28"/>
        <v>109.84629715383926</v>
      </c>
      <c r="CO16">
        <f t="shared" si="28"/>
        <v>108.74455222784938</v>
      </c>
      <c r="CP16">
        <f t="shared" si="28"/>
        <v>107.84403774310638</v>
      </c>
      <c r="CQ16">
        <f t="shared" si="28"/>
        <v>105.92834094402414</v>
      </c>
      <c r="CR16">
        <f t="shared" si="28"/>
        <v>104.09344491905695</v>
      </c>
      <c r="CS16">
        <f t="shared" si="28"/>
        <v>103.82186099317248</v>
      </c>
      <c r="CT16">
        <f t="shared" si="28"/>
        <v>104.20545690894305</v>
      </c>
      <c r="CU16">
        <f t="shared" si="28"/>
        <v>105.71283490831443</v>
      </c>
      <c r="CV16">
        <f t="shared" si="28"/>
        <v>107.2641547870289</v>
      </c>
      <c r="CW16">
        <f t="shared" si="28"/>
        <v>106.22425467714288</v>
      </c>
      <c r="CX16">
        <f t="shared" si="28"/>
        <v>106.23397239138097</v>
      </c>
      <c r="CY16">
        <f t="shared" si="28"/>
        <v>107.53491636155891</v>
      </c>
      <c r="CZ16">
        <f t="shared" si="28"/>
        <v>104.3150445106116</v>
      </c>
      <c r="DA16">
        <f t="shared" si="28"/>
        <v>105.12030892209395</v>
      </c>
      <c r="DB16">
        <f t="shared" si="28"/>
        <v>98.209830384726374</v>
      </c>
      <c r="DC16">
        <f t="shared" si="28"/>
        <v>96.777644983602883</v>
      </c>
      <c r="DD16">
        <f t="shared" si="28"/>
        <v>100.30456633710781</v>
      </c>
      <c r="DE16">
        <f t="shared" si="28"/>
        <v>100.63109455389565</v>
      </c>
      <c r="DF16">
        <f t="shared" si="28"/>
        <v>97.832092950310397</v>
      </c>
      <c r="DG16">
        <f t="shared" si="28"/>
        <v>94.023665673810484</v>
      </c>
      <c r="DH16">
        <f t="shared" si="28"/>
        <v>96.694844340328956</v>
      </c>
      <c r="DI16">
        <f t="shared" si="28"/>
        <v>100.42002052273352</v>
      </c>
      <c r="DJ16">
        <f t="shared" si="28"/>
        <v>98.638902344224277</v>
      </c>
      <c r="DK16">
        <f t="shared" si="28"/>
        <v>96.62865177630124</v>
      </c>
      <c r="DL16">
        <f t="shared" si="28"/>
        <v>96.864700312681421</v>
      </c>
      <c r="DM16">
        <f t="shared" si="28"/>
        <v>98.539671347328806</v>
      </c>
      <c r="DN16">
        <f t="shared" si="28"/>
        <v>100.10370212874739</v>
      </c>
      <c r="DO16">
        <f t="shared" si="28"/>
        <v>100.98353982935583</v>
      </c>
      <c r="DP16">
        <f t="shared" si="28"/>
        <v>102.06617759415651</v>
      </c>
      <c r="DQ16">
        <f t="shared" si="28"/>
        <v>100.42423979562574</v>
      </c>
      <c r="DR16">
        <f t="shared" si="28"/>
        <v>97.763324650665282</v>
      </c>
      <c r="DS16">
        <f t="shared" si="28"/>
        <v>97.224910831250043</v>
      </c>
      <c r="DT16">
        <f t="shared" si="28"/>
        <v>97.065494494504804</v>
      </c>
      <c r="DU16">
        <f t="shared" si="28"/>
        <v>97.088544310739366</v>
      </c>
      <c r="DV16">
        <f t="shared" si="28"/>
        <v>97.314333413959346</v>
      </c>
      <c r="DW16">
        <f t="shared" si="28"/>
        <v>97.88730005039703</v>
      </c>
      <c r="DX16">
        <f t="shared" si="28"/>
        <v>97.457642430734609</v>
      </c>
      <c r="DY16">
        <f t="shared" si="28"/>
        <v>100.23305010717218</v>
      </c>
      <c r="DZ16">
        <f t="shared" si="28"/>
        <v>100.23005102798744</v>
      </c>
      <c r="EA16">
        <f t="shared" si="28"/>
        <v>98.864560253917332</v>
      </c>
      <c r="EB16">
        <f t="shared" si="28"/>
        <v>99.171969369446629</v>
      </c>
      <c r="EC16">
        <f t="shared" ref="EC16:GN16" si="29">EB16*(1+EC5)</f>
        <v>102.79157117152738</v>
      </c>
      <c r="ED16">
        <f t="shared" si="29"/>
        <v>102.27127143992377</v>
      </c>
      <c r="EE16">
        <f t="shared" si="29"/>
        <v>103.75988009026462</v>
      </c>
      <c r="EF16">
        <f t="shared" si="29"/>
        <v>104.24138927818079</v>
      </c>
      <c r="EG16">
        <f t="shared" si="29"/>
        <v>103.40571900364799</v>
      </c>
      <c r="EH16">
        <f t="shared" si="29"/>
        <v>101.72675273383051</v>
      </c>
      <c r="EI16">
        <f t="shared" si="29"/>
        <v>100.95897664704697</v>
      </c>
      <c r="EJ16">
        <f t="shared" si="29"/>
        <v>97.996920460129118</v>
      </c>
      <c r="EK16">
        <f t="shared" si="29"/>
        <v>98.958094773498146</v>
      </c>
      <c r="EL16">
        <f t="shared" si="29"/>
        <v>98.275742102824424</v>
      </c>
      <c r="EM16">
        <f t="shared" si="29"/>
        <v>99.936623131789887</v>
      </c>
      <c r="EN16">
        <f t="shared" si="29"/>
        <v>102.44338805543784</v>
      </c>
      <c r="EO16">
        <f t="shared" si="29"/>
        <v>102.86372285355627</v>
      </c>
      <c r="EP16">
        <f t="shared" si="29"/>
        <v>103.48311755979263</v>
      </c>
      <c r="EQ16">
        <f t="shared" si="29"/>
        <v>103.52888370523745</v>
      </c>
      <c r="ER16">
        <f t="shared" si="29"/>
        <v>105.5542486295399</v>
      </c>
      <c r="ES16">
        <f t="shared" si="29"/>
        <v>105.50168805877914</v>
      </c>
      <c r="ET16">
        <f t="shared" si="29"/>
        <v>105.0969175732764</v>
      </c>
      <c r="EU16">
        <f t="shared" si="29"/>
        <v>102.36380240748557</v>
      </c>
      <c r="EV16">
        <f t="shared" si="29"/>
        <v>101.24176858846063</v>
      </c>
      <c r="EW16">
        <f t="shared" si="29"/>
        <v>101.04112576858364</v>
      </c>
      <c r="EX16">
        <f t="shared" si="29"/>
        <v>99.619968850671526</v>
      </c>
      <c r="EY16">
        <f t="shared" si="29"/>
        <v>98.050445823904056</v>
      </c>
      <c r="EZ16">
        <f t="shared" si="29"/>
        <v>99.119744800186979</v>
      </c>
      <c r="FA16">
        <f t="shared" si="29"/>
        <v>98.995107487729925</v>
      </c>
      <c r="FB16">
        <f t="shared" si="29"/>
        <v>98.169980416273518</v>
      </c>
      <c r="FC16">
        <f t="shared" si="29"/>
        <v>99.310096646762986</v>
      </c>
      <c r="FD16">
        <f t="shared" si="29"/>
        <v>100.25422650342709</v>
      </c>
      <c r="FE16">
        <f t="shared" si="29"/>
        <v>99.914807918121852</v>
      </c>
      <c r="FF16">
        <f t="shared" si="29"/>
        <v>102.13397029034309</v>
      </c>
      <c r="FG16">
        <f t="shared" si="29"/>
        <v>101.65592859866105</v>
      </c>
      <c r="FH16">
        <f t="shared" si="29"/>
        <v>103.25769393763888</v>
      </c>
      <c r="FI16">
        <f t="shared" si="29"/>
        <v>103.89969695774529</v>
      </c>
      <c r="FJ16">
        <f t="shared" si="29"/>
        <v>103.73167711517203</v>
      </c>
      <c r="FK16">
        <f t="shared" si="29"/>
        <v>101.83576079988531</v>
      </c>
      <c r="FL16">
        <f t="shared" si="29"/>
        <v>102.12707525637856</v>
      </c>
      <c r="FM16">
        <f t="shared" si="29"/>
        <v>100.36907521254332</v>
      </c>
      <c r="FN16">
        <f t="shared" si="29"/>
        <v>97.557043546907906</v>
      </c>
      <c r="FO16">
        <f t="shared" si="29"/>
        <v>94.734612384515074</v>
      </c>
      <c r="FP16">
        <f t="shared" si="29"/>
        <v>95.668018128788944</v>
      </c>
      <c r="FQ16">
        <f t="shared" si="29"/>
        <v>96.862859624052959</v>
      </c>
      <c r="FR16">
        <f t="shared" si="29"/>
        <v>93.717577248981428</v>
      </c>
      <c r="FS16">
        <f t="shared" si="29"/>
        <v>93.657175364763106</v>
      </c>
      <c r="FT16">
        <f t="shared" si="29"/>
        <v>94.764014444310348</v>
      </c>
      <c r="FU16">
        <f t="shared" si="29"/>
        <v>97.011320016529723</v>
      </c>
      <c r="FV16">
        <f t="shared" si="29"/>
        <v>97.784376615568334</v>
      </c>
      <c r="FW16">
        <f t="shared" si="29"/>
        <v>98.246440068585116</v>
      </c>
      <c r="FX16">
        <f t="shared" si="29"/>
        <v>98.370437841853516</v>
      </c>
      <c r="FY16">
        <f t="shared" si="29"/>
        <v>97.9582720436198</v>
      </c>
      <c r="FZ16">
        <f t="shared" si="29"/>
        <v>98.790955171989694</v>
      </c>
      <c r="GA16">
        <f t="shared" si="29"/>
        <v>102.86988590329891</v>
      </c>
      <c r="GB16">
        <f t="shared" si="29"/>
        <v>100.76690549710831</v>
      </c>
      <c r="GC16">
        <f t="shared" si="29"/>
        <v>101.69639939614777</v>
      </c>
      <c r="GD16">
        <f t="shared" si="29"/>
        <v>102.55728661368701</v>
      </c>
      <c r="GE16">
        <f t="shared" si="29"/>
        <v>99.677798828028145</v>
      </c>
      <c r="GF16">
        <f t="shared" si="29"/>
        <v>99.576835660384575</v>
      </c>
      <c r="GG16">
        <f t="shared" si="29"/>
        <v>97.016350797613285</v>
      </c>
      <c r="GH16">
        <f t="shared" si="29"/>
        <v>95.640537240107108</v>
      </c>
      <c r="GI16">
        <f t="shared" si="29"/>
        <v>87.281921129848001</v>
      </c>
      <c r="GJ16">
        <f t="shared" si="29"/>
        <v>88.259392026517887</v>
      </c>
      <c r="GK16">
        <f t="shared" si="29"/>
        <v>91.117903646532142</v>
      </c>
      <c r="GL16">
        <f t="shared" si="29"/>
        <v>91.617966649738349</v>
      </c>
      <c r="GM16">
        <f t="shared" si="29"/>
        <v>89.911233405969156</v>
      </c>
      <c r="GN16">
        <f t="shared" si="29"/>
        <v>89.657327503480943</v>
      </c>
      <c r="GO16">
        <f t="shared" ref="GO16:IZ16" si="30">GN16*(1+GO5)</f>
        <v>88.552634938389389</v>
      </c>
      <c r="GP16">
        <f t="shared" si="30"/>
        <v>88.635111479000528</v>
      </c>
      <c r="GQ16">
        <f t="shared" si="30"/>
        <v>88.688425084577517</v>
      </c>
      <c r="GR16">
        <f t="shared" si="30"/>
        <v>88.711951334335922</v>
      </c>
      <c r="GS16">
        <f t="shared" si="30"/>
        <v>87.456950688844046</v>
      </c>
      <c r="GT16">
        <f t="shared" si="30"/>
        <v>87.440469559754831</v>
      </c>
      <c r="GU16">
        <f t="shared" si="30"/>
        <v>87.735280444826685</v>
      </c>
      <c r="GV16">
        <f t="shared" si="30"/>
        <v>86.655629369599708</v>
      </c>
      <c r="GW16">
        <f t="shared" si="30"/>
        <v>86.616817982862955</v>
      </c>
      <c r="GX16">
        <f t="shared" si="30"/>
        <v>86.400456032207174</v>
      </c>
      <c r="GY16">
        <f t="shared" si="30"/>
        <v>87.492547297791774</v>
      </c>
      <c r="GZ16">
        <f t="shared" si="30"/>
        <v>85.786882583107001</v>
      </c>
      <c r="HA16">
        <f t="shared" si="30"/>
        <v>86.667118767519355</v>
      </c>
      <c r="HB16">
        <f t="shared" si="30"/>
        <v>90.195482717873446</v>
      </c>
      <c r="HC16">
        <f t="shared" si="30"/>
        <v>90.310313496600997</v>
      </c>
      <c r="HD16">
        <f t="shared" si="30"/>
        <v>88.951525073198823</v>
      </c>
      <c r="HE16">
        <f t="shared" si="30"/>
        <v>88.608722745271493</v>
      </c>
      <c r="HF16">
        <f t="shared" si="30"/>
        <v>87.953792548823245</v>
      </c>
      <c r="HG16">
        <f t="shared" si="30"/>
        <v>86.589972551388044</v>
      </c>
      <c r="HH16">
        <f t="shared" si="30"/>
        <v>85.272551774012257</v>
      </c>
      <c r="HI16">
        <f t="shared" si="30"/>
        <v>85.130947974284467</v>
      </c>
      <c r="HJ16">
        <f t="shared" si="30"/>
        <v>85.765510824361925</v>
      </c>
      <c r="HK16">
        <f t="shared" si="30"/>
        <v>84.232418248527608</v>
      </c>
      <c r="HL16">
        <f t="shared" si="30"/>
        <v>83.047218472343289</v>
      </c>
      <c r="HM16">
        <f t="shared" si="30"/>
        <v>82.683353156277192</v>
      </c>
      <c r="HN16">
        <f t="shared" si="30"/>
        <v>86.025292020607466</v>
      </c>
      <c r="HO16">
        <f t="shared" si="30"/>
        <v>83.460172176609021</v>
      </c>
      <c r="HP16">
        <f t="shared" si="30"/>
        <v>82.652941287808517</v>
      </c>
      <c r="HQ16">
        <f t="shared" si="30"/>
        <v>83.942549801476659</v>
      </c>
      <c r="HR16">
        <f t="shared" si="30"/>
        <v>81.493208975658419</v>
      </c>
      <c r="HS16">
        <f t="shared" si="30"/>
        <v>79.0938198791535</v>
      </c>
      <c r="HT16">
        <f t="shared" si="30"/>
        <v>79.026611990796837</v>
      </c>
      <c r="HU16">
        <f t="shared" si="30"/>
        <v>77.684150788563883</v>
      </c>
      <c r="HV16">
        <f t="shared" si="30"/>
        <v>75.494118095593052</v>
      </c>
      <c r="HW16">
        <f t="shared" si="30"/>
        <v>75.314175434035604</v>
      </c>
      <c r="HX16">
        <f t="shared" si="30"/>
        <v>75.20354549756054</v>
      </c>
      <c r="HY16">
        <f t="shared" si="30"/>
        <v>74.589664239631176</v>
      </c>
      <c r="HZ16">
        <f t="shared" si="30"/>
        <v>70.803052351746189</v>
      </c>
      <c r="IA16">
        <f t="shared" si="30"/>
        <v>66.090758372748255</v>
      </c>
      <c r="IB16">
        <f t="shared" si="30"/>
        <v>63.868414799386919</v>
      </c>
      <c r="IC16">
        <f t="shared" si="30"/>
        <v>63.242032063076827</v>
      </c>
      <c r="ID16">
        <f t="shared" si="30"/>
        <v>64.761816322660948</v>
      </c>
      <c r="IE16">
        <f t="shared" si="30"/>
        <v>66.642735865899326</v>
      </c>
      <c r="IF16">
        <f t="shared" si="30"/>
        <v>67.919363314735861</v>
      </c>
      <c r="IG16">
        <f t="shared" si="30"/>
        <v>68.62370524460033</v>
      </c>
      <c r="IH16">
        <f t="shared" si="30"/>
        <v>67.418021543184466</v>
      </c>
      <c r="II16">
        <f t="shared" si="30"/>
        <v>65.829841821392719</v>
      </c>
      <c r="IJ16">
        <f t="shared" si="30"/>
        <v>66.203367574732582</v>
      </c>
      <c r="IK16">
        <f t="shared" si="30"/>
        <v>64.066551697025602</v>
      </c>
      <c r="IL16">
        <f t="shared" si="30"/>
        <v>60.869553038415695</v>
      </c>
      <c r="IM16">
        <f t="shared" si="30"/>
        <v>59.392816537194037</v>
      </c>
      <c r="IN16">
        <f t="shared" si="30"/>
        <v>59.400512162967601</v>
      </c>
      <c r="IO16">
        <f t="shared" si="30"/>
        <v>64.497012597456177</v>
      </c>
      <c r="IP16">
        <f t="shared" si="30"/>
        <v>63.925606413127312</v>
      </c>
      <c r="IQ16">
        <f t="shared" si="30"/>
        <v>66.165776857221843</v>
      </c>
      <c r="IR16">
        <f t="shared" si="30"/>
        <v>64.894109668097173</v>
      </c>
      <c r="IS16">
        <f t="shared" si="30"/>
        <v>63.860825587701555</v>
      </c>
      <c r="IT16">
        <f t="shared" si="30"/>
        <v>64.222011074756239</v>
      </c>
      <c r="IU16">
        <f t="shared" si="30"/>
        <v>66.851127292529569</v>
      </c>
      <c r="IV16">
        <f t="shared" si="30"/>
        <v>67.400788833047912</v>
      </c>
      <c r="IW16">
        <f t="shared" si="30"/>
        <v>64.65641001813789</v>
      </c>
      <c r="IX16">
        <f t="shared" si="30"/>
        <v>63.617250280335405</v>
      </c>
      <c r="IY16">
        <f t="shared" si="30"/>
        <v>60.063003637577005</v>
      </c>
      <c r="IZ16">
        <f t="shared" si="30"/>
        <v>58.985595337846931</v>
      </c>
      <c r="JA16">
        <f t="shared" ref="JA16:LL16" si="31">IZ16*(1+JA5)</f>
        <v>59.411745929445381</v>
      </c>
      <c r="JB16">
        <f t="shared" si="31"/>
        <v>56.29645553627023</v>
      </c>
      <c r="JC16">
        <f t="shared" si="31"/>
        <v>57.45205642353087</v>
      </c>
      <c r="JD16">
        <f t="shared" si="31"/>
        <v>55.571491942146174</v>
      </c>
      <c r="JE16">
        <f t="shared" si="31"/>
        <v>53.782920783671486</v>
      </c>
      <c r="JF16">
        <f t="shared" si="31"/>
        <v>49.154557757682731</v>
      </c>
      <c r="JG16">
        <f t="shared" si="31"/>
        <v>49.701598506630148</v>
      </c>
      <c r="JH16">
        <f t="shared" si="31"/>
        <v>48.566518410686555</v>
      </c>
      <c r="JI16">
        <f t="shared" si="31"/>
        <v>52.381958710354859</v>
      </c>
      <c r="JJ16">
        <f t="shared" si="31"/>
        <v>49.176568990651944</v>
      </c>
      <c r="JK16">
        <f t="shared" si="31"/>
        <v>45.733174454583882</v>
      </c>
      <c r="JL16">
        <f t="shared" si="31"/>
        <v>43.842877187477562</v>
      </c>
      <c r="JM16">
        <f t="shared" si="31"/>
        <v>48.665413094570006</v>
      </c>
      <c r="JN16">
        <f t="shared" si="31"/>
        <v>45.532921053249616</v>
      </c>
      <c r="JO16">
        <f t="shared" si="31"/>
        <v>45.352662101981849</v>
      </c>
      <c r="JP16">
        <f t="shared" si="31"/>
        <v>42.93695111778753</v>
      </c>
      <c r="JQ16">
        <f t="shared" si="31"/>
        <v>44.067013532405156</v>
      </c>
      <c r="JR16">
        <f t="shared" si="31"/>
        <v>40.270713732665769</v>
      </c>
      <c r="JS16">
        <f t="shared" si="31"/>
        <v>39.540872153135879</v>
      </c>
      <c r="JT16">
        <f t="shared" si="31"/>
        <v>39.741819487114526</v>
      </c>
      <c r="JU16">
        <f t="shared" si="31"/>
        <v>38.158805635008029</v>
      </c>
      <c r="JV16">
        <f t="shared" si="31"/>
        <v>35.651040620069168</v>
      </c>
      <c r="JW16">
        <f t="shared" si="31"/>
        <v>34.512649640818495</v>
      </c>
      <c r="JX16">
        <f t="shared" si="31"/>
        <v>35.168950111945342</v>
      </c>
      <c r="JY16">
        <f t="shared" si="31"/>
        <v>36.141765318378596</v>
      </c>
      <c r="JZ16">
        <f t="shared" si="31"/>
        <v>31.684898789643377</v>
      </c>
      <c r="KA16">
        <f t="shared" si="31"/>
        <v>30.180177579962866</v>
      </c>
      <c r="KB16">
        <f t="shared" si="31"/>
        <v>32.516657994213141</v>
      </c>
      <c r="KC16">
        <f t="shared" si="31"/>
        <v>34.031981925908674</v>
      </c>
      <c r="KD16">
        <f t="shared" si="31"/>
        <v>38.134090114125726</v>
      </c>
      <c r="KE16">
        <f t="shared" si="31"/>
        <v>36.432311765376035</v>
      </c>
      <c r="KF16">
        <f t="shared" si="31"/>
        <v>40.242697345061792</v>
      </c>
      <c r="KG16">
        <f t="shared" si="31"/>
        <v>41.219538751938387</v>
      </c>
      <c r="KH16">
        <f t="shared" si="31"/>
        <v>43.258764275534226</v>
      </c>
      <c r="KI16">
        <f t="shared" si="31"/>
        <v>45.128125518908597</v>
      </c>
      <c r="KJ16">
        <f t="shared" si="31"/>
        <v>43.688477017862752</v>
      </c>
      <c r="KK16">
        <f t="shared" si="31"/>
        <v>42.54352657669709</v>
      </c>
      <c r="KL16">
        <f t="shared" si="31"/>
        <v>42.999051667969624</v>
      </c>
      <c r="KM16">
        <f t="shared" si="31"/>
        <v>42.274729934981075</v>
      </c>
      <c r="KN16">
        <f t="shared" si="31"/>
        <v>45.184488278118224</v>
      </c>
      <c r="KO16">
        <f t="shared" si="31"/>
        <v>49.504425389316403</v>
      </c>
      <c r="KP16">
        <f t="shared" si="31"/>
        <v>48.63141113333878</v>
      </c>
      <c r="KQ16">
        <f t="shared" si="31"/>
        <v>45.63143974445866</v>
      </c>
      <c r="KR16">
        <f t="shared" si="31"/>
        <v>43.114097622025966</v>
      </c>
      <c r="KS16">
        <f t="shared" si="31"/>
        <v>44.067257099434023</v>
      </c>
      <c r="KT16">
        <f t="shared" si="31"/>
        <v>43.803488982572176</v>
      </c>
      <c r="KU16">
        <f t="shared" si="31"/>
        <v>40.997450479722154</v>
      </c>
      <c r="KV16">
        <f t="shared" si="31"/>
        <v>42.456042122395374</v>
      </c>
      <c r="KW16">
        <f t="shared" si="31"/>
        <v>43.902081898678802</v>
      </c>
      <c r="KX16">
        <f t="shared" si="31"/>
        <v>42.952694778920019</v>
      </c>
      <c r="KY16">
        <f t="shared" si="31"/>
        <v>44.134620916329567</v>
      </c>
      <c r="KZ16">
        <f t="shared" si="31"/>
        <v>44.80239640148347</v>
      </c>
      <c r="LA16">
        <f t="shared" si="31"/>
        <v>47.867588841970935</v>
      </c>
      <c r="LB16">
        <f t="shared" si="31"/>
        <v>46.391863609583737</v>
      </c>
      <c r="LC16">
        <f t="shared" si="31"/>
        <v>46.03981457085893</v>
      </c>
      <c r="LD16">
        <f t="shared" si="31"/>
        <v>46.352159679143924</v>
      </c>
      <c r="LE16">
        <f t="shared" si="31"/>
        <v>45.715536260977508</v>
      </c>
      <c r="LF16">
        <f t="shared" si="31"/>
        <v>46.532199640998243</v>
      </c>
      <c r="LG16">
        <f t="shared" si="31"/>
        <v>47.305988570454147</v>
      </c>
      <c r="LH16">
        <f t="shared" si="31"/>
        <v>47.383738527352598</v>
      </c>
      <c r="LI16">
        <f t="shared" si="31"/>
        <v>48.669265240485366</v>
      </c>
      <c r="LJ16">
        <f t="shared" si="31"/>
        <v>48.620560628639019</v>
      </c>
      <c r="LK16">
        <f t="shared" si="31"/>
        <v>49.135686174788233</v>
      </c>
      <c r="LL16">
        <f t="shared" si="31"/>
        <v>51.020538357811148</v>
      </c>
      <c r="LM16">
        <f t="shared" ref="LM16:NX16" si="32">LL16*(1+LM5)</f>
        <v>54.403920080037992</v>
      </c>
      <c r="LN16">
        <f t="shared" si="32"/>
        <v>55.536088024186796</v>
      </c>
      <c r="LO16">
        <f t="shared" si="32"/>
        <v>55.640986223916613</v>
      </c>
      <c r="LP16">
        <f t="shared" si="32"/>
        <v>57.792194909408259</v>
      </c>
      <c r="LQ16">
        <f t="shared" si="32"/>
        <v>57.82660160772825</v>
      </c>
      <c r="LR16">
        <f t="shared" si="32"/>
        <v>66.57754866833902</v>
      </c>
      <c r="LS16">
        <f t="shared" si="32"/>
        <v>63.874752178565032</v>
      </c>
      <c r="LT16">
        <f t="shared" si="32"/>
        <v>68.833246518231235</v>
      </c>
      <c r="LU16">
        <f t="shared" si="32"/>
        <v>65.775552375366942</v>
      </c>
      <c r="LV16">
        <f t="shared" si="32"/>
        <v>68.208935786099062</v>
      </c>
      <c r="LW16">
        <f t="shared" si="32"/>
        <v>67.472502063782613</v>
      </c>
      <c r="LX16">
        <f t="shared" si="32"/>
        <v>65.75655926507163</v>
      </c>
      <c r="LY16">
        <f t="shared" si="32"/>
        <v>63.603974363684905</v>
      </c>
      <c r="LZ16">
        <f t="shared" si="32"/>
        <v>63.217017971901697</v>
      </c>
      <c r="MA16">
        <f t="shared" si="32"/>
        <v>65.810689296064353</v>
      </c>
      <c r="MB16">
        <f t="shared" si="32"/>
        <v>64.856562134194164</v>
      </c>
      <c r="MC16">
        <f t="shared" si="32"/>
        <v>69.521827920653706</v>
      </c>
      <c r="MD16">
        <f t="shared" si="32"/>
        <v>67.081321804231067</v>
      </c>
      <c r="ME16">
        <f t="shared" si="32"/>
        <v>67.508464792588427</v>
      </c>
      <c r="MF16">
        <f t="shared" si="32"/>
        <v>66.810017429734231</v>
      </c>
      <c r="MG16">
        <f t="shared" si="32"/>
        <v>65.471373142762019</v>
      </c>
      <c r="MH16">
        <f t="shared" si="32"/>
        <v>69.082316230632003</v>
      </c>
      <c r="MI16">
        <f t="shared" si="32"/>
        <v>68.279293193788718</v>
      </c>
      <c r="MJ16">
        <f t="shared" si="32"/>
        <v>70.394243086350627</v>
      </c>
      <c r="MK16">
        <f t="shared" si="32"/>
        <v>67.446933365656861</v>
      </c>
      <c r="ML16">
        <f t="shared" si="32"/>
        <v>68.636659752522434</v>
      </c>
      <c r="MM16">
        <f t="shared" si="32"/>
        <v>68.793164329041034</v>
      </c>
      <c r="MN16">
        <f t="shared" si="32"/>
        <v>64.426458079698705</v>
      </c>
      <c r="MO16">
        <f t="shared" si="32"/>
        <v>65.19038315296838</v>
      </c>
      <c r="MP16">
        <f t="shared" si="32"/>
        <v>65.728181367785922</v>
      </c>
      <c r="MQ16">
        <f t="shared" si="32"/>
        <v>62.330283370713289</v>
      </c>
      <c r="MR16">
        <f t="shared" si="32"/>
        <v>62.090874473409933</v>
      </c>
      <c r="MS16">
        <f t="shared" si="32"/>
        <v>63.319615635637845</v>
      </c>
      <c r="MT16">
        <f t="shared" si="32"/>
        <v>62.124515932545791</v>
      </c>
      <c r="MU16">
        <f t="shared" si="32"/>
        <v>61.416074197577643</v>
      </c>
      <c r="MV16">
        <f t="shared" si="32"/>
        <v>63.106326224701654</v>
      </c>
      <c r="MW16">
        <f t="shared" si="32"/>
        <v>61.274129585519411</v>
      </c>
      <c r="MX16">
        <f t="shared" si="32"/>
        <v>60.716185481818123</v>
      </c>
      <c r="MY16">
        <f t="shared" si="32"/>
        <v>65.874831371567225</v>
      </c>
      <c r="MZ16">
        <f t="shared" si="32"/>
        <v>67.270250761019383</v>
      </c>
      <c r="NA16">
        <f t="shared" si="32"/>
        <v>67.245582902424587</v>
      </c>
      <c r="NB16">
        <f t="shared" si="32"/>
        <v>66.970608685100061</v>
      </c>
      <c r="NC16">
        <f t="shared" si="32"/>
        <v>70.369843618530211</v>
      </c>
      <c r="ND16">
        <f t="shared" si="32"/>
        <v>72.045799023313634</v>
      </c>
      <c r="NE16">
        <f t="shared" si="32"/>
        <v>70.39548101631253</v>
      </c>
      <c r="NF16">
        <f t="shared" si="32"/>
        <v>70.717389591754397</v>
      </c>
      <c r="NG16">
        <f t="shared" si="32"/>
        <v>73.461325096525059</v>
      </c>
      <c r="NH16">
        <f t="shared" si="32"/>
        <v>74.231499716462778</v>
      </c>
      <c r="NI16">
        <f t="shared" si="32"/>
        <v>75.093154847999898</v>
      </c>
      <c r="NJ16">
        <f t="shared" si="32"/>
        <v>76.546358585080881</v>
      </c>
      <c r="NK16">
        <f t="shared" si="32"/>
        <v>77.916903105274841</v>
      </c>
      <c r="NL16">
        <f t="shared" si="32"/>
        <v>79.30004292633582</v>
      </c>
      <c r="NM16">
        <f t="shared" si="32"/>
        <v>82.433934841360369</v>
      </c>
      <c r="NN16">
        <f t="shared" si="32"/>
        <v>83.331908360897401</v>
      </c>
      <c r="NO16">
        <f t="shared" si="32"/>
        <v>83.894379361467955</v>
      </c>
      <c r="NP16">
        <f t="shared" si="32"/>
        <v>83.849701630292742</v>
      </c>
      <c r="NQ16">
        <f t="shared" si="32"/>
        <v>85.942579762070167</v>
      </c>
      <c r="NR16">
        <f t="shared" si="32"/>
        <v>84.958760986872335</v>
      </c>
      <c r="NS16">
        <f t="shared" si="32"/>
        <v>83.666451320240313</v>
      </c>
      <c r="NT16">
        <f t="shared" si="32"/>
        <v>84.599306290875987</v>
      </c>
      <c r="NU16">
        <f t="shared" si="32"/>
        <v>82.547468676073507</v>
      </c>
      <c r="NV16">
        <f t="shared" si="32"/>
        <v>85.498140068834317</v>
      </c>
      <c r="NW16">
        <f t="shared" si="32"/>
        <v>86.775202175323969</v>
      </c>
      <c r="NX16">
        <f t="shared" si="32"/>
        <v>87.8073611507278</v>
      </c>
      <c r="NY16">
        <f t="shared" ref="NY16:QJ16" si="33">NX16*(1+NY5)</f>
        <v>87.227127940052313</v>
      </c>
      <c r="NZ16">
        <f t="shared" si="33"/>
        <v>89.031350549611147</v>
      </c>
      <c r="OA16">
        <f t="shared" si="33"/>
        <v>91.88176451351157</v>
      </c>
      <c r="OB16">
        <f t="shared" si="33"/>
        <v>89.494888940811975</v>
      </c>
      <c r="OC16">
        <f t="shared" si="33"/>
        <v>85.974389552564347</v>
      </c>
      <c r="OD16">
        <f t="shared" si="33"/>
        <v>87.356135501100013</v>
      </c>
      <c r="OE16">
        <f t="shared" si="33"/>
        <v>86.8211225002552</v>
      </c>
      <c r="OF16">
        <f t="shared" si="33"/>
        <v>84.877670361357204</v>
      </c>
      <c r="OG16">
        <f t="shared" si="33"/>
        <v>85.656902488823178</v>
      </c>
      <c r="OH16">
        <f t="shared" si="33"/>
        <v>83.986797263418552</v>
      </c>
      <c r="OI16">
        <f t="shared" si="33"/>
        <v>81.523200521158813</v>
      </c>
      <c r="OJ16">
        <f t="shared" si="33"/>
        <v>85.921599349204357</v>
      </c>
      <c r="OK16">
        <f t="shared" si="33"/>
        <v>81.512543865585187</v>
      </c>
      <c r="OL16">
        <f t="shared" si="33"/>
        <v>81.953050955271834</v>
      </c>
      <c r="OM16">
        <f t="shared" si="33"/>
        <v>81.628293751487746</v>
      </c>
      <c r="ON16">
        <f t="shared" si="33"/>
        <v>84.55535510141938</v>
      </c>
      <c r="OO16">
        <f t="shared" si="33"/>
        <v>87.309260875141675</v>
      </c>
      <c r="OP16">
        <f t="shared" si="33"/>
        <v>85.46351844742334</v>
      </c>
      <c r="OQ16">
        <f t="shared" si="33"/>
        <v>85.574252739078176</v>
      </c>
      <c r="OR16">
        <f t="shared" si="33"/>
        <v>90.302261874638276</v>
      </c>
      <c r="OS16">
        <f t="shared" si="33"/>
        <v>94.039630542803408</v>
      </c>
      <c r="OT16">
        <f t="shared" si="33"/>
        <v>93.047994712099467</v>
      </c>
      <c r="OU16">
        <f t="shared" si="33"/>
        <v>95.197235937421866</v>
      </c>
      <c r="OV16">
        <f t="shared" si="33"/>
        <v>97.341021330947498</v>
      </c>
      <c r="OW16">
        <f t="shared" si="33"/>
        <v>96.041780030314541</v>
      </c>
      <c r="OX16">
        <f t="shared" si="33"/>
        <v>95.003294358166571</v>
      </c>
      <c r="OY16">
        <f t="shared" si="33"/>
        <v>94.80396648623379</v>
      </c>
      <c r="OZ16">
        <f t="shared" si="33"/>
        <v>93.990318870512667</v>
      </c>
      <c r="PA16">
        <f t="shared" si="33"/>
        <v>93.845527701803832</v>
      </c>
      <c r="PB16">
        <f t="shared" si="33"/>
        <v>91.804626793386589</v>
      </c>
      <c r="PC16">
        <f t="shared" si="33"/>
        <v>92.138022533045017</v>
      </c>
      <c r="PD16">
        <f t="shared" si="33"/>
        <v>90.560903121136406</v>
      </c>
      <c r="PE16">
        <f t="shared" si="33"/>
        <v>93.475147465735446</v>
      </c>
      <c r="PF16">
        <f t="shared" si="33"/>
        <v>95.878175970733722</v>
      </c>
      <c r="PG16">
        <f t="shared" si="33"/>
        <v>95.466102525513165</v>
      </c>
      <c r="PH16">
        <f t="shared" si="33"/>
        <v>93.993492740383488</v>
      </c>
      <c r="PI16">
        <f t="shared" si="33"/>
        <v>94.709052073567605</v>
      </c>
      <c r="PJ16">
        <f t="shared" si="33"/>
        <v>98.916635617723159</v>
      </c>
      <c r="PK16">
        <f t="shared" si="33"/>
        <v>97.043717388626817</v>
      </c>
      <c r="PL16">
        <f t="shared" si="33"/>
        <v>100.08610859339719</v>
      </c>
      <c r="PM16">
        <f t="shared" si="33"/>
        <v>101.36588175181868</v>
      </c>
      <c r="PN16">
        <f t="shared" si="33"/>
        <v>96.993949256107996</v>
      </c>
      <c r="PO16">
        <f t="shared" si="33"/>
        <v>95.034537065602919</v>
      </c>
      <c r="PP16">
        <f t="shared" si="33"/>
        <v>94.40484957804334</v>
      </c>
      <c r="PQ16">
        <f t="shared" si="33"/>
        <v>97.235145729977816</v>
      </c>
      <c r="PR16">
        <f t="shared" si="33"/>
        <v>94.010569006703321</v>
      </c>
      <c r="PS16">
        <f t="shared" si="33"/>
        <v>95.000296011642064</v>
      </c>
      <c r="PT16">
        <f t="shared" si="33"/>
        <v>90.129995952080733</v>
      </c>
      <c r="PU16">
        <f t="shared" si="33"/>
        <v>87.690397828502157</v>
      </c>
      <c r="PV16">
        <f t="shared" si="33"/>
        <v>87.761730717676429</v>
      </c>
      <c r="PW16">
        <f t="shared" si="33"/>
        <v>90.144610148232189</v>
      </c>
      <c r="PX16">
        <f t="shared" si="33"/>
        <v>89.534138449787221</v>
      </c>
      <c r="PY16">
        <f t="shared" si="33"/>
        <v>89.810624289945409</v>
      </c>
      <c r="PZ16">
        <f t="shared" si="33"/>
        <v>86.237018692294811</v>
      </c>
      <c r="QA16">
        <f t="shared" si="33"/>
        <v>87.961418602780853</v>
      </c>
      <c r="QB16">
        <f t="shared" si="33"/>
        <v>88.962577003778094</v>
      </c>
      <c r="QC16">
        <f t="shared" si="33"/>
        <v>88.414602519733265</v>
      </c>
      <c r="QD16">
        <f t="shared" si="33"/>
        <v>90.971370829304334</v>
      </c>
      <c r="QE16">
        <f t="shared" si="33"/>
        <v>91.134560600757339</v>
      </c>
      <c r="QF16">
        <f t="shared" si="33"/>
        <v>93.92227554501622</v>
      </c>
      <c r="QG16">
        <f t="shared" si="33"/>
        <v>92.748978039492954</v>
      </c>
      <c r="QH16">
        <f t="shared" si="33"/>
        <v>90.735141145817394</v>
      </c>
      <c r="QI16">
        <f t="shared" si="33"/>
        <v>90.655196706583723</v>
      </c>
      <c r="QJ16">
        <f t="shared" si="33"/>
        <v>93.174593446057642</v>
      </c>
      <c r="QK16">
        <f t="shared" ref="QK16:SV16" si="34">QJ16*(1+QK5)</f>
        <v>93.697306117646704</v>
      </c>
      <c r="QL16">
        <f t="shared" si="34"/>
        <v>97.365837145453213</v>
      </c>
      <c r="QM16">
        <f t="shared" si="34"/>
        <v>98.387139658498953</v>
      </c>
      <c r="QN16">
        <f t="shared" si="34"/>
        <v>98.53826836910217</v>
      </c>
      <c r="QO16">
        <f t="shared" si="34"/>
        <v>96.286201035887515</v>
      </c>
      <c r="QP16">
        <f t="shared" si="34"/>
        <v>94.275317114125187</v>
      </c>
      <c r="QQ16">
        <f t="shared" si="34"/>
        <v>94.626731463716752</v>
      </c>
      <c r="QR16">
        <f t="shared" si="34"/>
        <v>94.152363368214168</v>
      </c>
      <c r="QS16">
        <f t="shared" si="34"/>
        <v>95.711853464611522</v>
      </c>
      <c r="QT16">
        <f t="shared" si="34"/>
        <v>97.278658986831147</v>
      </c>
      <c r="QU16">
        <f t="shared" si="34"/>
        <v>92.699408182677743</v>
      </c>
      <c r="QV16">
        <f t="shared" si="34"/>
        <v>91.441893653067766</v>
      </c>
      <c r="QW16">
        <f t="shared" si="34"/>
        <v>92.185790430721724</v>
      </c>
      <c r="QX16">
        <f t="shared" si="34"/>
        <v>91.409880911996851</v>
      </c>
      <c r="QY16">
        <f t="shared" si="34"/>
        <v>90.997954773214801</v>
      </c>
      <c r="QZ16">
        <f t="shared" si="34"/>
        <v>89.375599002046656</v>
      </c>
      <c r="RA16">
        <f t="shared" si="34"/>
        <v>87.976240392861499</v>
      </c>
      <c r="RB16">
        <f t="shared" si="34"/>
        <v>87.668275206696379</v>
      </c>
      <c r="RC16">
        <f t="shared" si="34"/>
        <v>88.519525618575813</v>
      </c>
      <c r="RD16">
        <f t="shared" si="34"/>
        <v>82.835550632892634</v>
      </c>
      <c r="RE16">
        <f t="shared" si="34"/>
        <v>80.872393015183874</v>
      </c>
      <c r="RF16">
        <f t="shared" si="34"/>
        <v>81.057126479146348</v>
      </c>
      <c r="RG16">
        <f t="shared" si="34"/>
        <v>76.32921678714952</v>
      </c>
      <c r="RH16">
        <f t="shared" si="34"/>
        <v>75.860933899045349</v>
      </c>
      <c r="RI16">
        <f t="shared" si="34"/>
        <v>78.133809009325162</v>
      </c>
      <c r="RJ16">
        <f t="shared" si="34"/>
        <v>80.542777278096523</v>
      </c>
      <c r="RK16">
        <f t="shared" si="34"/>
        <v>77.804416938765343</v>
      </c>
      <c r="RL16">
        <f t="shared" si="34"/>
        <v>76.552665020649442</v>
      </c>
      <c r="RM16">
        <f t="shared" si="34"/>
        <v>73.787920291849787</v>
      </c>
      <c r="RN16">
        <f t="shared" si="34"/>
        <v>75.122325842818256</v>
      </c>
      <c r="RO16">
        <f t="shared" si="34"/>
        <v>72.97691629920179</v>
      </c>
      <c r="RP16">
        <f t="shared" si="34"/>
        <v>72.953050455269008</v>
      </c>
      <c r="RQ16">
        <f t="shared" si="34"/>
        <v>73.923222134772885</v>
      </c>
      <c r="RR16">
        <f t="shared" si="34"/>
        <v>75.923513990971216</v>
      </c>
      <c r="RS16">
        <f t="shared" si="34"/>
        <v>74.706321831011337</v>
      </c>
      <c r="RT16">
        <f t="shared" si="34"/>
        <v>75.467827788616518</v>
      </c>
      <c r="RU16">
        <f t="shared" si="34"/>
        <v>75.710028875852345</v>
      </c>
      <c r="RV16">
        <f t="shared" si="34"/>
        <v>74.208576099334138</v>
      </c>
      <c r="RW16">
        <f t="shared" si="34"/>
        <v>76.05105017479049</v>
      </c>
      <c r="RX16">
        <f t="shared" si="34"/>
        <v>73.463426640666754</v>
      </c>
      <c r="RY16">
        <f t="shared" si="34"/>
        <v>72.735434078098592</v>
      </c>
      <c r="RZ16">
        <f t="shared" si="34"/>
        <v>72.178134029600699</v>
      </c>
      <c r="SA16">
        <f t="shared" si="34"/>
        <v>72.85557839540931</v>
      </c>
      <c r="SB16">
        <f t="shared" si="34"/>
        <v>75.654227824877765</v>
      </c>
      <c r="SC16">
        <f t="shared" si="34"/>
        <v>72.818796051344648</v>
      </c>
      <c r="SD16">
        <f t="shared" si="34"/>
        <v>71.076690273850289</v>
      </c>
      <c r="SE16">
        <f t="shared" si="34"/>
        <v>70.336172452327745</v>
      </c>
      <c r="SF16">
        <f t="shared" si="34"/>
        <v>71.345445311689602</v>
      </c>
      <c r="SG16">
        <f t="shared" si="34"/>
        <v>68.943284791762821</v>
      </c>
      <c r="SH16">
        <f t="shared" si="34"/>
        <v>68.003081512730887</v>
      </c>
      <c r="SI16">
        <f t="shared" si="34"/>
        <v>63.89669827926199</v>
      </c>
      <c r="SJ16">
        <f t="shared" si="34"/>
        <v>64.779143194395033</v>
      </c>
      <c r="SK16">
        <f t="shared" si="34"/>
        <v>69.384128043493746</v>
      </c>
      <c r="SL16">
        <f t="shared" si="34"/>
        <v>67.655522815299705</v>
      </c>
      <c r="SM16">
        <f t="shared" si="34"/>
        <v>69.844345018371655</v>
      </c>
      <c r="SN16">
        <f t="shared" si="34"/>
        <v>68.812645935128401</v>
      </c>
      <c r="SO16">
        <f t="shared" si="34"/>
        <v>69.290053932421671</v>
      </c>
      <c r="SP16">
        <f t="shared" si="34"/>
        <v>65.150326962655399</v>
      </c>
      <c r="SQ16">
        <f t="shared" si="34"/>
        <v>65.779394036635352</v>
      </c>
      <c r="SR16">
        <f t="shared" si="34"/>
        <v>66.349484651559891</v>
      </c>
      <c r="SS16">
        <f t="shared" si="34"/>
        <v>66.602523334811906</v>
      </c>
      <c r="ST16">
        <f t="shared" si="34"/>
        <v>69.594398661870528</v>
      </c>
      <c r="SU16">
        <f t="shared" si="34"/>
        <v>72.628995421930028</v>
      </c>
      <c r="SV16">
        <f t="shared" si="34"/>
        <v>73.315627250467443</v>
      </c>
      <c r="SW16">
        <f t="shared" ref="SW16:VH16" si="35">SV16*(1+SW5)</f>
        <v>74.162807184437852</v>
      </c>
      <c r="SX16">
        <f t="shared" si="35"/>
        <v>72.64904970157653</v>
      </c>
      <c r="SY16">
        <f t="shared" si="35"/>
        <v>70.71005623082732</v>
      </c>
      <c r="SZ16">
        <f t="shared" si="35"/>
        <v>68.118414910923761</v>
      </c>
      <c r="TA16">
        <f t="shared" si="35"/>
        <v>67.168047205962523</v>
      </c>
      <c r="TB16">
        <f t="shared" si="35"/>
        <v>68.701363344738212</v>
      </c>
      <c r="TC16">
        <f t="shared" si="35"/>
        <v>68.722749609078349</v>
      </c>
      <c r="TD16">
        <f t="shared" si="35"/>
        <v>69.624643777885936</v>
      </c>
      <c r="TE16">
        <f t="shared" si="35"/>
        <v>70.83634981387209</v>
      </c>
      <c r="TF16">
        <f t="shared" si="35"/>
        <v>70.361176579724315</v>
      </c>
      <c r="TG16">
        <f t="shared" si="35"/>
        <v>70.63585398392101</v>
      </c>
      <c r="TH16">
        <f t="shared" si="35"/>
        <v>69.427699302491234</v>
      </c>
      <c r="TI16">
        <f t="shared" si="35"/>
        <v>70.16611509953718</v>
      </c>
      <c r="TJ16">
        <f t="shared" si="35"/>
        <v>68.749373774807594</v>
      </c>
      <c r="TK16">
        <f t="shared" si="35"/>
        <v>68.99075572816308</v>
      </c>
      <c r="TL16">
        <f t="shared" si="35"/>
        <v>68.752853003109337</v>
      </c>
      <c r="TM16">
        <f t="shared" si="35"/>
        <v>66.801127330541632</v>
      </c>
      <c r="TN16">
        <f t="shared" si="35"/>
        <v>67.765183669247321</v>
      </c>
      <c r="TO16">
        <f t="shared" si="35"/>
        <v>68.685253518936165</v>
      </c>
      <c r="TP16">
        <f t="shared" si="35"/>
        <v>67.903230646277876</v>
      </c>
      <c r="TQ16">
        <f t="shared" si="35"/>
        <v>67.840231522248857</v>
      </c>
      <c r="TR16">
        <f t="shared" si="35"/>
        <v>65.874914761001406</v>
      </c>
      <c r="TS16">
        <f t="shared" si="35"/>
        <v>68.732308300755335</v>
      </c>
      <c r="TT16">
        <f t="shared" si="35"/>
        <v>69.231324766811213</v>
      </c>
      <c r="TU16">
        <f t="shared" si="35"/>
        <v>73.617228077135351</v>
      </c>
      <c r="TV16">
        <f t="shared" si="35"/>
        <v>77.084098122144567</v>
      </c>
      <c r="TW16">
        <f t="shared" si="35"/>
        <v>77.047683403391233</v>
      </c>
      <c r="TX16">
        <f t="shared" si="35"/>
        <v>74.319905583585353</v>
      </c>
      <c r="TY16">
        <f t="shared" si="35"/>
        <v>75.109576039133628</v>
      </c>
      <c r="TZ16">
        <f t="shared" si="35"/>
        <v>74.578897230053386</v>
      </c>
      <c r="UA16">
        <f t="shared" si="35"/>
        <v>80.564069957742419</v>
      </c>
      <c r="UB16">
        <f t="shared" si="35"/>
        <v>79.954168263452985</v>
      </c>
      <c r="UC16">
        <f t="shared" si="35"/>
        <v>80.78956959171245</v>
      </c>
      <c r="UD16">
        <f t="shared" si="35"/>
        <v>75.672352719279317</v>
      </c>
      <c r="UE16">
        <f t="shared" si="35"/>
        <v>74.828767268571937</v>
      </c>
      <c r="UF16">
        <f t="shared" si="35"/>
        <v>76.17450853836732</v>
      </c>
      <c r="UG16">
        <f t="shared" si="35"/>
        <v>81.214459931321102</v>
      </c>
      <c r="UH16">
        <f t="shared" si="35"/>
        <v>81.470948824284235</v>
      </c>
      <c r="UI16">
        <f t="shared" si="35"/>
        <v>79.15509134950301</v>
      </c>
      <c r="UJ16">
        <f t="shared" si="35"/>
        <v>77.993032657541377</v>
      </c>
      <c r="UK16">
        <f t="shared" si="35"/>
        <v>75.269602064478647</v>
      </c>
      <c r="UL16">
        <f t="shared" si="35"/>
        <v>77.00113183333751</v>
      </c>
      <c r="UM16">
        <f t="shared" si="35"/>
        <v>75.574384643478211</v>
      </c>
      <c r="UN16">
        <f t="shared" si="35"/>
        <v>75.777643789014519</v>
      </c>
      <c r="UO16">
        <f t="shared" si="35"/>
        <v>76.191867393057223</v>
      </c>
      <c r="UP16">
        <f t="shared" si="35"/>
        <v>76.607224587538184</v>
      </c>
      <c r="UQ16">
        <f t="shared" si="35"/>
        <v>76.864714208814775</v>
      </c>
      <c r="UR16">
        <f t="shared" si="35"/>
        <v>79.309555351487802</v>
      </c>
      <c r="US16">
        <f t="shared" si="35"/>
        <v>78.732311368102728</v>
      </c>
      <c r="UT16">
        <f t="shared" si="35"/>
        <v>75.175426946313877</v>
      </c>
      <c r="UU16">
        <f t="shared" si="35"/>
        <v>74.553107007941762</v>
      </c>
      <c r="UV16">
        <f t="shared" si="35"/>
        <v>75.564349140187176</v>
      </c>
      <c r="UW16">
        <f t="shared" si="35"/>
        <v>75.778827900051951</v>
      </c>
      <c r="UX16">
        <f t="shared" si="35"/>
        <v>75.918502926699517</v>
      </c>
      <c r="UY16">
        <f t="shared" si="35"/>
        <v>81.188783092489373</v>
      </c>
      <c r="UZ16">
        <f t="shared" si="35"/>
        <v>82.323482123965434</v>
      </c>
      <c r="VA16">
        <f t="shared" si="35"/>
        <v>84.235048862739319</v>
      </c>
      <c r="VB16">
        <f t="shared" si="35"/>
        <v>82.571400010639223</v>
      </c>
      <c r="VC16">
        <f t="shared" si="35"/>
        <v>84.127165784895539</v>
      </c>
      <c r="VD16">
        <f t="shared" si="35"/>
        <v>86.507250994830258</v>
      </c>
      <c r="VE16">
        <f t="shared" si="35"/>
        <v>88.389998831391338</v>
      </c>
      <c r="VF16">
        <f t="shared" si="35"/>
        <v>89.124257520457547</v>
      </c>
      <c r="VG16">
        <f t="shared" si="35"/>
        <v>85.625720119073833</v>
      </c>
      <c r="VH16">
        <f t="shared" si="35"/>
        <v>87.996518485094811</v>
      </c>
      <c r="VI16">
        <f t="shared" ref="VI16:XT16" si="36">VH16*(1+VI5)</f>
        <v>90.550221678478749</v>
      </c>
      <c r="VJ16">
        <f t="shared" si="36"/>
        <v>94.780087348663542</v>
      </c>
      <c r="VK16">
        <f t="shared" si="36"/>
        <v>90.831732698548876</v>
      </c>
      <c r="VL16">
        <f t="shared" si="36"/>
        <v>88.804142635026636</v>
      </c>
      <c r="VM16">
        <f t="shared" si="36"/>
        <v>92.772415455763152</v>
      </c>
      <c r="VN16">
        <f t="shared" si="36"/>
        <v>90.053095779210736</v>
      </c>
      <c r="VO16">
        <f t="shared" si="36"/>
        <v>91.078001945960239</v>
      </c>
      <c r="VP16">
        <f t="shared" si="36"/>
        <v>86.842037895727202</v>
      </c>
      <c r="VQ16">
        <f t="shared" si="36"/>
        <v>86.098574837573551</v>
      </c>
      <c r="VR16">
        <f t="shared" si="36"/>
        <v>81.290870516805327</v>
      </c>
      <c r="VS16">
        <f t="shared" si="36"/>
        <v>81.332241299117484</v>
      </c>
      <c r="VT16">
        <f t="shared" si="36"/>
        <v>80.418965991601041</v>
      </c>
      <c r="VU16">
        <f t="shared" si="36"/>
        <v>83.107501424553973</v>
      </c>
      <c r="VV16">
        <f t="shared" si="36"/>
        <v>81.59195957104059</v>
      </c>
      <c r="VW16">
        <f t="shared" si="36"/>
        <v>85.96255166099624</v>
      </c>
      <c r="VX16">
        <f t="shared" si="36"/>
        <v>86.058148083830588</v>
      </c>
      <c r="VY16">
        <f t="shared" si="36"/>
        <v>85.92935569911414</v>
      </c>
      <c r="VZ16">
        <f t="shared" si="36"/>
        <v>85.832944692178344</v>
      </c>
      <c r="WA16">
        <f t="shared" si="36"/>
        <v>88.430269624318456</v>
      </c>
      <c r="WB16">
        <f t="shared" si="36"/>
        <v>89.689267983641017</v>
      </c>
      <c r="WC16">
        <f t="shared" si="36"/>
        <v>90.184504671525005</v>
      </c>
      <c r="WD16">
        <f t="shared" si="36"/>
        <v>90.435977368402718</v>
      </c>
      <c r="WE16">
        <f t="shared" si="36"/>
        <v>93.449160932449502</v>
      </c>
      <c r="WF16">
        <f t="shared" si="36"/>
        <v>98.740214998286703</v>
      </c>
      <c r="WG16">
        <f t="shared" si="36"/>
        <v>95.734014279648576</v>
      </c>
      <c r="WH16">
        <f t="shared" si="36"/>
        <v>98.056884179503427</v>
      </c>
      <c r="WI16">
        <f t="shared" si="36"/>
        <v>105.49507156146768</v>
      </c>
      <c r="WJ16">
        <f t="shared" si="36"/>
        <v>105.18155431861625</v>
      </c>
      <c r="WK16">
        <f t="shared" si="36"/>
        <v>101.71207839297023</v>
      </c>
      <c r="WL16">
        <f t="shared" si="36"/>
        <v>107.32668630791491</v>
      </c>
      <c r="WM16">
        <f t="shared" si="36"/>
        <v>110.63406884837482</v>
      </c>
      <c r="WN16">
        <f t="shared" si="36"/>
        <v>113.05323460719947</v>
      </c>
      <c r="WO16">
        <f t="shared" si="36"/>
        <v>115.71026047088473</v>
      </c>
      <c r="WP16">
        <f t="shared" si="36"/>
        <v>108.96838470500188</v>
      </c>
      <c r="WQ16">
        <f t="shared" si="36"/>
        <v>112.67178337503231</v>
      </c>
      <c r="WR16">
        <f t="shared" si="36"/>
        <v>113.53493865958933</v>
      </c>
      <c r="WS16">
        <f t="shared" si="36"/>
        <v>111.99654584092406</v>
      </c>
      <c r="WT16">
        <f t="shared" si="36"/>
        <v>118.92652108064874</v>
      </c>
      <c r="WU16">
        <f t="shared" si="36"/>
        <v>118.58127167698915</v>
      </c>
      <c r="WV16">
        <f t="shared" si="36"/>
        <v>123.39414940938586</v>
      </c>
      <c r="WW16">
        <f t="shared" si="36"/>
        <v>122.5287643891303</v>
      </c>
      <c r="WX16">
        <f t="shared" si="36"/>
        <v>116.52536277357734</v>
      </c>
      <c r="WY16">
        <f t="shared" si="36"/>
        <v>113.89772145884814</v>
      </c>
      <c r="WZ16">
        <f t="shared" si="36"/>
        <v>111.41381268510608</v>
      </c>
      <c r="XA16">
        <f t="shared" si="36"/>
        <v>111.07454322282021</v>
      </c>
      <c r="XB16">
        <f t="shared" si="36"/>
        <v>110.25949313129571</v>
      </c>
      <c r="XC16">
        <f t="shared" si="36"/>
        <v>110.52742167159384</v>
      </c>
      <c r="XD16">
        <f t="shared" si="36"/>
        <v>116.22866718263629</v>
      </c>
      <c r="XE16">
        <f t="shared" si="36"/>
        <v>113.38065601548703</v>
      </c>
      <c r="XF16">
        <f t="shared" si="36"/>
        <v>111.43517026761722</v>
      </c>
      <c r="XG16">
        <f t="shared" si="36"/>
        <v>118.28709593456328</v>
      </c>
      <c r="XH16">
        <f t="shared" si="36"/>
        <v>122.37196313780767</v>
      </c>
      <c r="XI16">
        <f t="shared" si="36"/>
        <v>121.70250568434174</v>
      </c>
      <c r="XJ16">
        <f t="shared" si="36"/>
        <v>126.28235768094291</v>
      </c>
      <c r="XK16">
        <f t="shared" si="36"/>
        <v>129.69523807418068</v>
      </c>
      <c r="XL16">
        <f t="shared" si="36"/>
        <v>127.92423244349821</v>
      </c>
      <c r="XM16">
        <f t="shared" si="36"/>
        <v>127.27092454642157</v>
      </c>
      <c r="XN16">
        <f t="shared" si="36"/>
        <v>123.49072171476475</v>
      </c>
      <c r="XO16">
        <f t="shared" si="36"/>
        <v>122.81994535630638</v>
      </c>
      <c r="XP16">
        <f t="shared" si="36"/>
        <v>125.60714785790407</v>
      </c>
      <c r="XQ16">
        <f t="shared" si="36"/>
        <v>117.89619833173651</v>
      </c>
      <c r="XR16">
        <f t="shared" si="36"/>
        <v>123.80456255925222</v>
      </c>
      <c r="XS16">
        <f t="shared" si="36"/>
        <v>118.22612613953272</v>
      </c>
      <c r="XT16">
        <f t="shared" si="36"/>
        <v>119.68387657626143</v>
      </c>
      <c r="XU16">
        <f t="shared" ref="XU16:AAF16" si="37">XT16*(1+XU5)</f>
        <v>121.96156628026051</v>
      </c>
      <c r="XV16">
        <f t="shared" si="37"/>
        <v>126.06907268678351</v>
      </c>
      <c r="XW16">
        <f t="shared" si="37"/>
        <v>125.67855417787787</v>
      </c>
      <c r="XX16">
        <f t="shared" si="37"/>
        <v>126.06818749496605</v>
      </c>
      <c r="XY16">
        <f t="shared" si="37"/>
        <v>124.76544278201749</v>
      </c>
      <c r="XZ16">
        <f t="shared" si="37"/>
        <v>125.4109001562498</v>
      </c>
      <c r="YA16">
        <f t="shared" si="37"/>
        <v>121.1892863302883</v>
      </c>
      <c r="YB16">
        <f t="shared" si="37"/>
        <v>120.47853170724612</v>
      </c>
      <c r="YC16">
        <f t="shared" si="37"/>
        <v>123.71570940083633</v>
      </c>
      <c r="YD16">
        <f t="shared" si="37"/>
        <v>124.62561848094238</v>
      </c>
      <c r="YE16">
        <f t="shared" si="37"/>
        <v>122.51969807568771</v>
      </c>
      <c r="YF16">
        <f t="shared" si="37"/>
        <v>122.24120457490662</v>
      </c>
      <c r="YG16">
        <f t="shared" si="37"/>
        <v>122.19887830271226</v>
      </c>
      <c r="YH16">
        <f t="shared" si="37"/>
        <v>120.94307605500067</v>
      </c>
      <c r="YI16">
        <f t="shared" si="37"/>
        <v>124.49300876463977</v>
      </c>
      <c r="YJ16">
        <f t="shared" si="37"/>
        <v>120.09429931774584</v>
      </c>
      <c r="YK16">
        <f t="shared" si="37"/>
        <v>114.27008466152358</v>
      </c>
      <c r="YL16">
        <f t="shared" si="37"/>
        <v>112.41705479977762</v>
      </c>
      <c r="YM16">
        <f t="shared" si="37"/>
        <v>114.35995423301532</v>
      </c>
      <c r="YN16">
        <f t="shared" si="37"/>
        <v>110.44008243543483</v>
      </c>
      <c r="YO16">
        <f t="shared" si="37"/>
        <v>112.53804214683605</v>
      </c>
      <c r="YP16">
        <f t="shared" si="37"/>
        <v>111.10290371921636</v>
      </c>
      <c r="YQ16">
        <f t="shared" si="37"/>
        <v>108.67122190888539</v>
      </c>
      <c r="YR16">
        <f t="shared" si="37"/>
        <v>108.0941963693235</v>
      </c>
      <c r="YS16">
        <f t="shared" si="37"/>
        <v>110.36299585058195</v>
      </c>
      <c r="YT16">
        <f t="shared" si="37"/>
        <v>111.58454671147071</v>
      </c>
      <c r="YU16">
        <f t="shared" si="37"/>
        <v>109.62910526083287</v>
      </c>
      <c r="YV16">
        <f t="shared" si="37"/>
        <v>109.63427263163894</v>
      </c>
      <c r="YW16">
        <f t="shared" si="37"/>
        <v>109.86804251016946</v>
      </c>
      <c r="YX16">
        <f t="shared" si="37"/>
        <v>113.9028100083177</v>
      </c>
      <c r="YY16">
        <f t="shared" si="37"/>
        <v>110.87897907931868</v>
      </c>
      <c r="YZ16">
        <f t="shared" si="37"/>
        <v>112.4638816380817</v>
      </c>
      <c r="ZA16">
        <f t="shared" si="37"/>
        <v>111.95871327369346</v>
      </c>
      <c r="ZB16">
        <f t="shared" si="37"/>
        <v>109.58942813380257</v>
      </c>
      <c r="ZC16">
        <f t="shared" si="37"/>
        <v>108.2460176099264</v>
      </c>
      <c r="ZD16">
        <f t="shared" si="37"/>
        <v>108.04963768091559</v>
      </c>
      <c r="ZE16">
        <f t="shared" si="37"/>
        <v>109.06023556464646</v>
      </c>
      <c r="ZF16">
        <f t="shared" si="37"/>
        <v>109.14672431114158</v>
      </c>
      <c r="ZG16">
        <f t="shared" si="37"/>
        <v>109.42531095447413</v>
      </c>
      <c r="ZH16">
        <f t="shared" si="37"/>
        <v>109.10839262571211</v>
      </c>
      <c r="ZI16">
        <f t="shared" si="37"/>
        <v>113.2339353269229</v>
      </c>
      <c r="ZJ16">
        <f t="shared" si="37"/>
        <v>112.6041022410552</v>
      </c>
      <c r="ZK16">
        <f t="shared" si="37"/>
        <v>115.67585839598945</v>
      </c>
      <c r="ZL16">
        <f t="shared" si="37"/>
        <v>114.40948495256242</v>
      </c>
      <c r="ZM16">
        <f t="shared" si="37"/>
        <v>119.29248391814386</v>
      </c>
      <c r="ZN16">
        <f t="shared" si="37"/>
        <v>120.48651933980192</v>
      </c>
      <c r="ZO16">
        <f t="shared" si="37"/>
        <v>116.97033408806881</v>
      </c>
      <c r="ZP16">
        <f t="shared" si="37"/>
        <v>116.88634290315247</v>
      </c>
      <c r="ZQ16">
        <f t="shared" si="37"/>
        <v>121.40726023633486</v>
      </c>
      <c r="ZR16">
        <f t="shared" si="37"/>
        <v>119.12792728319214</v>
      </c>
      <c r="ZS16">
        <f t="shared" si="37"/>
        <v>118.38730091371987</v>
      </c>
      <c r="ZT16">
        <f t="shared" si="37"/>
        <v>117.88921760145207</v>
      </c>
      <c r="ZU16">
        <f t="shared" si="37"/>
        <v>119.86849689479115</v>
      </c>
      <c r="ZV16">
        <f t="shared" si="37"/>
        <v>118.58246752507615</v>
      </c>
      <c r="ZW16">
        <f t="shared" si="37"/>
        <v>116.77625176007199</v>
      </c>
      <c r="ZX16">
        <f t="shared" si="37"/>
        <v>112.79687580718463</v>
      </c>
      <c r="ZY16">
        <f t="shared" si="37"/>
        <v>114.21322689945941</v>
      </c>
      <c r="ZZ16">
        <f t="shared" si="37"/>
        <v>115.18917600424746</v>
      </c>
      <c r="AAA16">
        <f t="shared" si="37"/>
        <v>115.18437248405482</v>
      </c>
      <c r="AAB16">
        <f t="shared" si="37"/>
        <v>113.99947642414813</v>
      </c>
      <c r="AAC16">
        <f t="shared" si="37"/>
        <v>112.19294027265511</v>
      </c>
      <c r="AAD16">
        <f t="shared" si="37"/>
        <v>109.18894951476437</v>
      </c>
      <c r="AAE16">
        <f t="shared" si="37"/>
        <v>108.54183247128194</v>
      </c>
      <c r="AAF16">
        <f t="shared" si="37"/>
        <v>107.78515180283314</v>
      </c>
      <c r="AAG16">
        <f t="shared" ref="AAG16:ACR16" si="38">AAF16*(1+AAG5)</f>
        <v>108.17178594064117</v>
      </c>
      <c r="AAH16">
        <f t="shared" si="38"/>
        <v>107.23311818526706</v>
      </c>
      <c r="AAI16">
        <f t="shared" si="38"/>
        <v>106.76574458807514</v>
      </c>
      <c r="AAJ16">
        <f t="shared" si="38"/>
        <v>106.57846187136158</v>
      </c>
      <c r="AAK16">
        <f t="shared" si="38"/>
        <v>100.86906223662994</v>
      </c>
      <c r="AAL16">
        <f t="shared" si="38"/>
        <v>104.73620327840226</v>
      </c>
      <c r="AAM16">
        <f t="shared" si="38"/>
        <v>103.44861598187056</v>
      </c>
      <c r="AAN16">
        <f t="shared" si="38"/>
        <v>105.12388012267658</v>
      </c>
      <c r="AAO16">
        <f t="shared" si="38"/>
        <v>108.08916060072022</v>
      </c>
      <c r="AAP16">
        <f t="shared" si="38"/>
        <v>110.4624200650432</v>
      </c>
      <c r="AAQ16">
        <f t="shared" si="38"/>
        <v>112.84239540473172</v>
      </c>
      <c r="AAR16">
        <f t="shared" si="38"/>
        <v>113.35093843480122</v>
      </c>
      <c r="AAS16">
        <f t="shared" si="38"/>
        <v>113.41880214344332</v>
      </c>
      <c r="AAT16">
        <f t="shared" si="38"/>
        <v>112.99866682296764</v>
      </c>
      <c r="AAU16">
        <f t="shared" si="38"/>
        <v>114.67602352640178</v>
      </c>
      <c r="AAV16">
        <f t="shared" si="38"/>
        <v>116.17973045651418</v>
      </c>
      <c r="AAW16">
        <f t="shared" si="38"/>
        <v>115.37327079509505</v>
      </c>
      <c r="AAX16">
        <f t="shared" si="38"/>
        <v>111.68360931917969</v>
      </c>
      <c r="AAY16">
        <f t="shared" si="38"/>
        <v>106.8294650216386</v>
      </c>
      <c r="AAZ16">
        <f t="shared" si="38"/>
        <v>107.24624766062973</v>
      </c>
      <c r="ABA16">
        <f t="shared" si="38"/>
        <v>108.14442998386106</v>
      </c>
      <c r="ABB16">
        <f t="shared" si="38"/>
        <v>106.35926856329998</v>
      </c>
      <c r="ABC16">
        <f t="shared" si="38"/>
        <v>103.08801691449339</v>
      </c>
      <c r="ABD16">
        <f t="shared" si="38"/>
        <v>101.64942294459951</v>
      </c>
      <c r="ABE16">
        <f t="shared" si="38"/>
        <v>98.614008785097411</v>
      </c>
      <c r="ABF16">
        <f t="shared" si="38"/>
        <v>98.615199799903309</v>
      </c>
      <c r="ABG16">
        <f t="shared" si="38"/>
        <v>94.385802737706911</v>
      </c>
      <c r="ABH16">
        <f t="shared" si="38"/>
        <v>94.246901155530608</v>
      </c>
      <c r="ABI16">
        <f t="shared" si="38"/>
        <v>94.338618151890401</v>
      </c>
      <c r="ABJ16">
        <f t="shared" si="38"/>
        <v>91.281773575203971</v>
      </c>
      <c r="ABK16">
        <f t="shared" si="38"/>
        <v>93.104368830865909</v>
      </c>
      <c r="ABL16">
        <f t="shared" si="38"/>
        <v>90.665828114793669</v>
      </c>
      <c r="ABM16">
        <f t="shared" si="38"/>
        <v>96.341860033339742</v>
      </c>
      <c r="ABN16">
        <f t="shared" si="38"/>
        <v>98.080241581345263</v>
      </c>
      <c r="ABO16">
        <f t="shared" si="38"/>
        <v>96.645798265514742</v>
      </c>
      <c r="ABP16">
        <f t="shared" si="38"/>
        <v>93.863103953380374</v>
      </c>
      <c r="ABQ16">
        <f t="shared" si="38"/>
        <v>92.834595940536914</v>
      </c>
      <c r="ABR16">
        <f t="shared" si="38"/>
        <v>93.43820553946334</v>
      </c>
      <c r="ABS16">
        <f t="shared" si="38"/>
        <v>94.649135999449086</v>
      </c>
      <c r="ABT16">
        <f t="shared" si="38"/>
        <v>95.209167100126137</v>
      </c>
      <c r="ABU16">
        <f t="shared" si="38"/>
        <v>94.12490977592509</v>
      </c>
      <c r="ABV16">
        <f t="shared" si="38"/>
        <v>94.828539450101147</v>
      </c>
      <c r="ABW16">
        <f t="shared" si="38"/>
        <v>93.505164911516061</v>
      </c>
      <c r="ABX16">
        <f t="shared" si="38"/>
        <v>92.203797809606584</v>
      </c>
      <c r="ABY16">
        <f t="shared" si="38"/>
        <v>91.832509000757327</v>
      </c>
      <c r="ABZ16">
        <f t="shared" si="38"/>
        <v>92.855219914036084</v>
      </c>
      <c r="ACA16">
        <f t="shared" si="38"/>
        <v>93.252413705188957</v>
      </c>
      <c r="ACB16">
        <f t="shared" si="38"/>
        <v>90.994986062511842</v>
      </c>
      <c r="ACC16">
        <f t="shared" si="38"/>
        <v>92.684131878622949</v>
      </c>
      <c r="ACD16">
        <f t="shared" si="38"/>
        <v>92.30870517532523</v>
      </c>
      <c r="ACE16">
        <f t="shared" si="38"/>
        <v>90.700932323323443</v>
      </c>
      <c r="ACF16">
        <f t="shared" si="38"/>
        <v>89.710081448388038</v>
      </c>
      <c r="ACG16">
        <f t="shared" si="38"/>
        <v>89.304353014501586</v>
      </c>
      <c r="ACH16">
        <f t="shared" si="38"/>
        <v>89.915709585757924</v>
      </c>
      <c r="ACI16">
        <f t="shared" si="38"/>
        <v>89.015329921778033</v>
      </c>
      <c r="ACJ16">
        <f t="shared" si="38"/>
        <v>84.95603527687723</v>
      </c>
      <c r="ACK16">
        <f t="shared" si="38"/>
        <v>85.065050845264182</v>
      </c>
      <c r="ACL16">
        <f t="shared" si="38"/>
        <v>82.090668771094343</v>
      </c>
      <c r="ACM16">
        <f t="shared" si="38"/>
        <v>79.135285268825641</v>
      </c>
      <c r="ACN16">
        <f t="shared" si="38"/>
        <v>77.163190844099603</v>
      </c>
      <c r="ACO16">
        <f t="shared" si="38"/>
        <v>75.14676999824519</v>
      </c>
      <c r="ACP16">
        <f t="shared" si="38"/>
        <v>73.823238782525408</v>
      </c>
      <c r="ACQ16">
        <f t="shared" si="38"/>
        <v>76.705485448315969</v>
      </c>
      <c r="ACR16">
        <f t="shared" si="38"/>
        <v>75.124252218386061</v>
      </c>
      <c r="ACS16">
        <f t="shared" ref="ACS16:ACV16" si="39">ACR16*(1+ACS5)</f>
        <v>73.067247246778379</v>
      </c>
      <c r="ACT16">
        <f t="shared" si="39"/>
        <v>74.563824147150484</v>
      </c>
      <c r="ACU16">
        <f t="shared" si="39"/>
        <v>71.870638288326717</v>
      </c>
      <c r="ACV16">
        <f t="shared" si="39"/>
        <v>72.378379882094663</v>
      </c>
    </row>
    <row r="17" spans="1:776" x14ac:dyDescent="0.2">
      <c r="A17" s="7" t="s">
        <v>70664</v>
      </c>
      <c r="B17">
        <f>$A$13*(1+B6)</f>
        <v>101.03431343858469</v>
      </c>
      <c r="C17">
        <f>B17*(1+C6)</f>
        <v>102.94688892692385</v>
      </c>
      <c r="D17">
        <f>C17*(1+D6)</f>
        <v>106.43297097499088</v>
      </c>
      <c r="E17">
        <f t="shared" ref="E17:BP17" si="40">D17*(1+E6)</f>
        <v>108.04093181540335</v>
      </c>
      <c r="F17">
        <f t="shared" si="40"/>
        <v>111.49706188900029</v>
      </c>
      <c r="G17">
        <f t="shared" si="40"/>
        <v>107.18267391653409</v>
      </c>
      <c r="H17">
        <f t="shared" si="40"/>
        <v>109.45706960837587</v>
      </c>
      <c r="I17">
        <f t="shared" si="40"/>
        <v>106.94580197565665</v>
      </c>
      <c r="J17">
        <f t="shared" si="40"/>
        <v>108.35164885679598</v>
      </c>
      <c r="K17">
        <f t="shared" si="40"/>
        <v>107.89311179028098</v>
      </c>
      <c r="L17">
        <f t="shared" si="40"/>
        <v>105.07379099011963</v>
      </c>
      <c r="M17">
        <f t="shared" si="40"/>
        <v>103.15608716473915</v>
      </c>
      <c r="N17">
        <f t="shared" si="40"/>
        <v>101.6862417830506</v>
      </c>
      <c r="O17">
        <f t="shared" si="40"/>
        <v>103.12652090551541</v>
      </c>
      <c r="P17">
        <f t="shared" si="40"/>
        <v>102.88548408461205</v>
      </c>
      <c r="Q17">
        <f t="shared" si="40"/>
        <v>103.91998672928776</v>
      </c>
      <c r="R17">
        <f t="shared" si="40"/>
        <v>102.85250724795544</v>
      </c>
      <c r="S17">
        <f t="shared" si="40"/>
        <v>103.81019104312269</v>
      </c>
      <c r="T17">
        <f t="shared" si="40"/>
        <v>102.44259506530386</v>
      </c>
      <c r="U17">
        <f t="shared" si="40"/>
        <v>103.5274582014498</v>
      </c>
      <c r="V17">
        <f t="shared" si="40"/>
        <v>103.16983626471666</v>
      </c>
      <c r="W17">
        <f t="shared" si="40"/>
        <v>100.93095241953311</v>
      </c>
      <c r="X17">
        <f t="shared" si="40"/>
        <v>101.54003420084868</v>
      </c>
      <c r="Y17">
        <f t="shared" si="40"/>
        <v>99.568223741744632</v>
      </c>
      <c r="Z17">
        <f t="shared" si="40"/>
        <v>94.918800105450003</v>
      </c>
      <c r="AA17">
        <f t="shared" si="40"/>
        <v>96.23894983145604</v>
      </c>
      <c r="AB17">
        <f t="shared" si="40"/>
        <v>97.348242256497073</v>
      </c>
      <c r="AC17">
        <f t="shared" si="40"/>
        <v>95.730023980981301</v>
      </c>
      <c r="AD17">
        <f t="shared" si="40"/>
        <v>93.666293271177409</v>
      </c>
      <c r="AE17">
        <f t="shared" si="40"/>
        <v>97.142383655217884</v>
      </c>
      <c r="AF17">
        <f t="shared" si="40"/>
        <v>98.60747599578427</v>
      </c>
      <c r="AG17">
        <f t="shared" si="40"/>
        <v>97.882618490514687</v>
      </c>
      <c r="AH17">
        <f t="shared" si="40"/>
        <v>101.43647960585186</v>
      </c>
      <c r="AI17">
        <f t="shared" si="40"/>
        <v>101.33993248213791</v>
      </c>
      <c r="AJ17">
        <f t="shared" si="40"/>
        <v>100.84217021645095</v>
      </c>
      <c r="AK17">
        <f t="shared" si="40"/>
        <v>100.91417854789896</v>
      </c>
      <c r="AL17">
        <f t="shared" si="40"/>
        <v>102.72625528399372</v>
      </c>
      <c r="AM17">
        <f t="shared" si="40"/>
        <v>103.82795671613484</v>
      </c>
      <c r="AN17">
        <f t="shared" si="40"/>
        <v>103.81727623459052</v>
      </c>
      <c r="AO17">
        <f t="shared" si="40"/>
        <v>102.53374375864045</v>
      </c>
      <c r="AP17">
        <f t="shared" si="40"/>
        <v>101.30568615174231</v>
      </c>
      <c r="AQ17">
        <f t="shared" si="40"/>
        <v>101.89706917958749</v>
      </c>
      <c r="AR17">
        <f t="shared" si="40"/>
        <v>101.29888928576952</v>
      </c>
      <c r="AS17">
        <f t="shared" si="40"/>
        <v>101.31585983022606</v>
      </c>
      <c r="AT17">
        <f t="shared" si="40"/>
        <v>101.89754188590861</v>
      </c>
      <c r="AU17">
        <f t="shared" si="40"/>
        <v>99.287587221556834</v>
      </c>
      <c r="AV17">
        <f t="shared" si="40"/>
        <v>99.061744208458265</v>
      </c>
      <c r="AW17">
        <f t="shared" si="40"/>
        <v>98.284134520265724</v>
      </c>
      <c r="AX17">
        <f t="shared" si="40"/>
        <v>96.636741398506786</v>
      </c>
      <c r="AY17">
        <f t="shared" si="40"/>
        <v>98.811984170131197</v>
      </c>
      <c r="AZ17">
        <f t="shared" si="40"/>
        <v>103.06665485166448</v>
      </c>
      <c r="BA17">
        <f t="shared" si="40"/>
        <v>103.16278610526373</v>
      </c>
      <c r="BB17">
        <f t="shared" si="40"/>
        <v>103.1153260048725</v>
      </c>
      <c r="BC17">
        <f t="shared" si="40"/>
        <v>109.92594867250924</v>
      </c>
      <c r="BD17">
        <f t="shared" si="40"/>
        <v>113.50405882004497</v>
      </c>
      <c r="BE17">
        <f t="shared" si="40"/>
        <v>115.13172689191565</v>
      </c>
      <c r="BF17">
        <f t="shared" si="40"/>
        <v>113.00869275412684</v>
      </c>
      <c r="BG17">
        <f t="shared" si="40"/>
        <v>113.64742198462882</v>
      </c>
      <c r="BH17">
        <f t="shared" si="40"/>
        <v>117.67535052510044</v>
      </c>
      <c r="BI17">
        <f t="shared" si="40"/>
        <v>114.96016822191437</v>
      </c>
      <c r="BJ17">
        <f t="shared" si="40"/>
        <v>116.99642256143908</v>
      </c>
      <c r="BK17">
        <f t="shared" si="40"/>
        <v>118.07053962360013</v>
      </c>
      <c r="BL17">
        <f t="shared" si="40"/>
        <v>115.91897726876115</v>
      </c>
      <c r="BM17">
        <f t="shared" si="40"/>
        <v>115.11887579924868</v>
      </c>
      <c r="BN17">
        <f t="shared" si="40"/>
        <v>117.82854448475528</v>
      </c>
      <c r="BO17">
        <f t="shared" si="40"/>
        <v>119.19125225920504</v>
      </c>
      <c r="BP17">
        <f t="shared" si="40"/>
        <v>121.36819828845378</v>
      </c>
      <c r="BQ17">
        <f t="shared" ref="BQ17:EB17" si="41">BP17*(1+BQ6)</f>
        <v>122.78674658608944</v>
      </c>
      <c r="BR17">
        <f t="shared" si="41"/>
        <v>121.25520530441841</v>
      </c>
      <c r="BS17">
        <f t="shared" si="41"/>
        <v>123.60606222445232</v>
      </c>
      <c r="BT17">
        <f t="shared" si="41"/>
        <v>123.2085388278314</v>
      </c>
      <c r="BU17">
        <f t="shared" si="41"/>
        <v>122.49844000951684</v>
      </c>
      <c r="BV17">
        <f t="shared" si="41"/>
        <v>121.57291482408021</v>
      </c>
      <c r="BW17">
        <f t="shared" si="41"/>
        <v>122.21098391578033</v>
      </c>
      <c r="BX17">
        <f t="shared" si="41"/>
        <v>119.66780255861195</v>
      </c>
      <c r="BY17">
        <f t="shared" si="41"/>
        <v>119.99280461112419</v>
      </c>
      <c r="BZ17">
        <f t="shared" si="41"/>
        <v>119.72385117090332</v>
      </c>
      <c r="CA17">
        <f t="shared" si="41"/>
        <v>115.16028157518281</v>
      </c>
      <c r="CB17">
        <f t="shared" si="41"/>
        <v>115.95470536443307</v>
      </c>
      <c r="CC17">
        <f t="shared" si="41"/>
        <v>113.78768703109026</v>
      </c>
      <c r="CD17">
        <f t="shared" si="41"/>
        <v>116.91759405951177</v>
      </c>
      <c r="CE17">
        <f t="shared" si="41"/>
        <v>116.37644300005746</v>
      </c>
      <c r="CF17">
        <f t="shared" si="41"/>
        <v>113.72290359314295</v>
      </c>
      <c r="CG17">
        <f t="shared" si="41"/>
        <v>110.47601015074602</v>
      </c>
      <c r="CH17">
        <f t="shared" si="41"/>
        <v>111.15558486156026</v>
      </c>
      <c r="CI17">
        <f t="shared" si="41"/>
        <v>108.21860631353711</v>
      </c>
      <c r="CJ17">
        <f t="shared" si="41"/>
        <v>110.26827816798439</v>
      </c>
      <c r="CK17">
        <f t="shared" si="41"/>
        <v>110.57056186613265</v>
      </c>
      <c r="CL17">
        <f t="shared" si="41"/>
        <v>108.65174804216234</v>
      </c>
      <c r="CM17">
        <f t="shared" si="41"/>
        <v>108.72565388432032</v>
      </c>
      <c r="CN17">
        <f t="shared" si="41"/>
        <v>107.45988828220479</v>
      </c>
      <c r="CO17">
        <f t="shared" si="41"/>
        <v>108.89224365686461</v>
      </c>
      <c r="CP17">
        <f t="shared" si="41"/>
        <v>109.65247966588065</v>
      </c>
      <c r="CQ17">
        <f t="shared" si="41"/>
        <v>114.42807932850582</v>
      </c>
      <c r="CR17">
        <f t="shared" si="41"/>
        <v>116.82602177914788</v>
      </c>
      <c r="CS17">
        <f t="shared" si="41"/>
        <v>122.80720825920844</v>
      </c>
      <c r="CT17">
        <f t="shared" si="41"/>
        <v>126.62048447522508</v>
      </c>
      <c r="CU17">
        <f t="shared" si="41"/>
        <v>120.39820026943228</v>
      </c>
      <c r="CV17">
        <f t="shared" si="41"/>
        <v>119.48267241124076</v>
      </c>
      <c r="CW17">
        <f t="shared" si="41"/>
        <v>120.41074802175305</v>
      </c>
      <c r="CX17">
        <f t="shared" si="41"/>
        <v>120.41041142789915</v>
      </c>
      <c r="CY17">
        <f t="shared" si="41"/>
        <v>122.19581626582877</v>
      </c>
      <c r="CZ17">
        <f t="shared" si="41"/>
        <v>123.85356032976198</v>
      </c>
      <c r="DA17">
        <f t="shared" si="41"/>
        <v>122.27851798349263</v>
      </c>
      <c r="DB17">
        <f t="shared" si="41"/>
        <v>130.53185296009863</v>
      </c>
      <c r="DC17">
        <f t="shared" si="41"/>
        <v>130.58503966042005</v>
      </c>
      <c r="DD17">
        <f t="shared" si="41"/>
        <v>128.46499225755153</v>
      </c>
      <c r="DE17">
        <f t="shared" si="41"/>
        <v>129.6111350112088</v>
      </c>
      <c r="DF17">
        <f t="shared" si="41"/>
        <v>126.56191653093009</v>
      </c>
      <c r="DG17">
        <f t="shared" si="41"/>
        <v>125.75950294090987</v>
      </c>
      <c r="DH17">
        <f t="shared" si="41"/>
        <v>123.44427575667608</v>
      </c>
      <c r="DI17">
        <f t="shared" si="41"/>
        <v>118.2899334195011</v>
      </c>
      <c r="DJ17">
        <f t="shared" si="41"/>
        <v>123.32762802229068</v>
      </c>
      <c r="DK17">
        <f t="shared" si="41"/>
        <v>123.51828247545815</v>
      </c>
      <c r="DL17">
        <f t="shared" si="41"/>
        <v>122.74121737450029</v>
      </c>
      <c r="DM17">
        <f t="shared" si="41"/>
        <v>122.00497670162399</v>
      </c>
      <c r="DN17">
        <f t="shared" si="41"/>
        <v>117.67149440626157</v>
      </c>
      <c r="DO17">
        <f t="shared" si="41"/>
        <v>117.03591990200236</v>
      </c>
      <c r="DP17">
        <f t="shared" si="41"/>
        <v>116.89813429819996</v>
      </c>
      <c r="DQ17">
        <f t="shared" si="41"/>
        <v>121.98244811099082</v>
      </c>
      <c r="DR17">
        <f t="shared" si="41"/>
        <v>121.33252344307739</v>
      </c>
      <c r="DS17">
        <f t="shared" si="41"/>
        <v>118.58629658590672</v>
      </c>
      <c r="DT17">
        <f t="shared" si="41"/>
        <v>119.91454502266519</v>
      </c>
      <c r="DU17">
        <f t="shared" si="41"/>
        <v>114.8666806631518</v>
      </c>
      <c r="DV17">
        <f t="shared" si="41"/>
        <v>114.54968665056067</v>
      </c>
      <c r="DW17">
        <f t="shared" si="41"/>
        <v>112.33566209859816</v>
      </c>
      <c r="DX17">
        <f t="shared" si="41"/>
        <v>113.62432654818301</v>
      </c>
      <c r="DY17">
        <f t="shared" si="41"/>
        <v>109.59978691016779</v>
      </c>
      <c r="DZ17">
        <f t="shared" si="41"/>
        <v>107.54913731648733</v>
      </c>
      <c r="EA17">
        <f t="shared" si="41"/>
        <v>110.42520730429959</v>
      </c>
      <c r="EB17">
        <f t="shared" si="41"/>
        <v>109.7616521158161</v>
      </c>
      <c r="EC17">
        <f t="shared" ref="EC17:GN17" si="42">EB17*(1+EC6)</f>
        <v>104.85477303663569</v>
      </c>
      <c r="ED17">
        <f t="shared" si="42"/>
        <v>104.92985839672424</v>
      </c>
      <c r="EE17">
        <f t="shared" si="42"/>
        <v>102.87257580581523</v>
      </c>
      <c r="EF17">
        <f t="shared" si="42"/>
        <v>104.50161664503581</v>
      </c>
      <c r="EG17">
        <f t="shared" si="42"/>
        <v>102.59214964067745</v>
      </c>
      <c r="EH17">
        <f t="shared" si="42"/>
        <v>102.99993053067796</v>
      </c>
      <c r="EI17">
        <f t="shared" si="42"/>
        <v>105.37425163936902</v>
      </c>
      <c r="EJ17">
        <f t="shared" si="42"/>
        <v>109.62753558815633</v>
      </c>
      <c r="EK17">
        <f t="shared" si="42"/>
        <v>105.90153438211485</v>
      </c>
      <c r="EL17">
        <f t="shared" si="42"/>
        <v>107.8235826825284</v>
      </c>
      <c r="EM17">
        <f t="shared" si="42"/>
        <v>104.80688779571392</v>
      </c>
      <c r="EN17">
        <f t="shared" si="42"/>
        <v>105.66571413185659</v>
      </c>
      <c r="EO17">
        <f t="shared" si="42"/>
        <v>105.83491248357791</v>
      </c>
      <c r="EP17">
        <f t="shared" si="42"/>
        <v>105.45671131762874</v>
      </c>
      <c r="EQ17">
        <f t="shared" si="42"/>
        <v>104.86119606477558</v>
      </c>
      <c r="ER17">
        <f t="shared" si="42"/>
        <v>105.14759820069075</v>
      </c>
      <c r="ES17">
        <f t="shared" si="42"/>
        <v>101.4372159855341</v>
      </c>
      <c r="ET17">
        <f t="shared" si="42"/>
        <v>101.5183465528536</v>
      </c>
      <c r="EU17">
        <f t="shared" si="42"/>
        <v>100.84532514536912</v>
      </c>
      <c r="EV17">
        <f t="shared" si="42"/>
        <v>99.089164677380396</v>
      </c>
      <c r="EW17">
        <f t="shared" si="42"/>
        <v>98.677045308284463</v>
      </c>
      <c r="EX17">
        <f t="shared" si="42"/>
        <v>101.34588023180942</v>
      </c>
      <c r="EY17">
        <f t="shared" si="42"/>
        <v>97.912210503773238</v>
      </c>
      <c r="EZ17">
        <f t="shared" si="42"/>
        <v>94.725091070040676</v>
      </c>
      <c r="FA17">
        <f t="shared" si="42"/>
        <v>95.2320913977739</v>
      </c>
      <c r="FB17">
        <f t="shared" si="42"/>
        <v>95.13888031525839</v>
      </c>
      <c r="FC17">
        <f t="shared" si="42"/>
        <v>92.065574722245458</v>
      </c>
      <c r="FD17">
        <f t="shared" si="42"/>
        <v>87.874470704518956</v>
      </c>
      <c r="FE17">
        <f t="shared" si="42"/>
        <v>91.384174900448613</v>
      </c>
      <c r="FF17">
        <f t="shared" si="42"/>
        <v>85.092316872898294</v>
      </c>
      <c r="FG17">
        <f t="shared" si="42"/>
        <v>84.083387832369667</v>
      </c>
      <c r="FH17">
        <f t="shared" si="42"/>
        <v>82.421919690494846</v>
      </c>
      <c r="FI17">
        <f t="shared" si="42"/>
        <v>78.197739607930217</v>
      </c>
      <c r="FJ17">
        <f t="shared" si="42"/>
        <v>76.965327257094074</v>
      </c>
      <c r="FK17">
        <f t="shared" si="42"/>
        <v>75.765557978180809</v>
      </c>
      <c r="FL17">
        <f t="shared" si="42"/>
        <v>75.4789027243432</v>
      </c>
      <c r="FM17">
        <f t="shared" si="42"/>
        <v>75.445932324552857</v>
      </c>
      <c r="FN17">
        <f t="shared" si="42"/>
        <v>77.640568146945597</v>
      </c>
      <c r="FO17">
        <f t="shared" si="42"/>
        <v>80.614551442499632</v>
      </c>
      <c r="FP17">
        <f t="shared" si="42"/>
        <v>79.912058466270722</v>
      </c>
      <c r="FQ17">
        <f t="shared" si="42"/>
        <v>76.696598532100325</v>
      </c>
      <c r="FR17">
        <f t="shared" si="42"/>
        <v>79.433533349749609</v>
      </c>
      <c r="FS17">
        <f t="shared" si="42"/>
        <v>76.941016030792099</v>
      </c>
      <c r="FT17">
        <f t="shared" si="42"/>
        <v>76.43188111205319</v>
      </c>
      <c r="FU17">
        <f t="shared" si="42"/>
        <v>74.045792900170923</v>
      </c>
      <c r="FV17">
        <f t="shared" si="42"/>
        <v>73.393754848116814</v>
      </c>
      <c r="FW17">
        <f t="shared" si="42"/>
        <v>69.600599052012754</v>
      </c>
      <c r="FX17">
        <f t="shared" si="42"/>
        <v>69.666497295670766</v>
      </c>
      <c r="FY17">
        <f t="shared" si="42"/>
        <v>70.894103240125972</v>
      </c>
      <c r="FZ17">
        <f t="shared" si="42"/>
        <v>71.508389408713569</v>
      </c>
      <c r="GA17">
        <f t="shared" si="42"/>
        <v>70.08790586590051</v>
      </c>
      <c r="GB17">
        <f t="shared" si="42"/>
        <v>71.746564378794204</v>
      </c>
      <c r="GC17">
        <f t="shared" si="42"/>
        <v>72.077890257049845</v>
      </c>
      <c r="GD17">
        <f t="shared" si="42"/>
        <v>70.546194873185755</v>
      </c>
      <c r="GE17">
        <f t="shared" si="42"/>
        <v>73.039745741770332</v>
      </c>
      <c r="GF17">
        <f t="shared" si="42"/>
        <v>72.949458868474196</v>
      </c>
      <c r="GG17">
        <f t="shared" si="42"/>
        <v>73.25427831914844</v>
      </c>
      <c r="GH17">
        <f t="shared" si="42"/>
        <v>73.059028405933645</v>
      </c>
      <c r="GI17">
        <f t="shared" si="42"/>
        <v>79.509144603478134</v>
      </c>
      <c r="GJ17">
        <f t="shared" si="42"/>
        <v>78.207140388557946</v>
      </c>
      <c r="GK17">
        <f t="shared" si="42"/>
        <v>75.789505439366138</v>
      </c>
      <c r="GL17">
        <f t="shared" si="42"/>
        <v>72.799619862302336</v>
      </c>
      <c r="GM17">
        <f t="shared" si="42"/>
        <v>75.029172904872127</v>
      </c>
      <c r="GN17">
        <f t="shared" si="42"/>
        <v>72.317915721096085</v>
      </c>
      <c r="GO17">
        <f t="shared" ref="GO17:IZ17" si="43">GN17*(1+GO6)</f>
        <v>74.90993222967036</v>
      </c>
      <c r="GP17">
        <f t="shared" si="43"/>
        <v>74.348082087139687</v>
      </c>
      <c r="GQ17">
        <f t="shared" si="43"/>
        <v>72.050343389128727</v>
      </c>
      <c r="GR17">
        <f t="shared" si="43"/>
        <v>71.54953498529575</v>
      </c>
      <c r="GS17">
        <f t="shared" si="43"/>
        <v>70.708445107900474</v>
      </c>
      <c r="GT17">
        <f t="shared" si="43"/>
        <v>69.351327713824418</v>
      </c>
      <c r="GU17">
        <f t="shared" si="43"/>
        <v>69.14095695071569</v>
      </c>
      <c r="GV17">
        <f t="shared" si="43"/>
        <v>71.057677846078036</v>
      </c>
      <c r="GW17">
        <f t="shared" si="43"/>
        <v>70.829222476696728</v>
      </c>
      <c r="GX17">
        <f t="shared" si="43"/>
        <v>71.477164029120175</v>
      </c>
      <c r="GY17">
        <f t="shared" si="43"/>
        <v>71.976565021193892</v>
      </c>
      <c r="GZ17">
        <f t="shared" si="43"/>
        <v>75.628838599462043</v>
      </c>
      <c r="HA17">
        <f t="shared" si="43"/>
        <v>75.267564533360684</v>
      </c>
      <c r="HB17">
        <f t="shared" si="43"/>
        <v>73.187098475457688</v>
      </c>
      <c r="HC17">
        <f t="shared" si="43"/>
        <v>74.606890350899747</v>
      </c>
      <c r="HD17">
        <f t="shared" si="43"/>
        <v>74.560491381913309</v>
      </c>
      <c r="HE17">
        <f t="shared" si="43"/>
        <v>75.051647117000655</v>
      </c>
      <c r="HF17">
        <f t="shared" si="43"/>
        <v>76.276879107761786</v>
      </c>
      <c r="HG17">
        <f t="shared" si="43"/>
        <v>79.793985048892878</v>
      </c>
      <c r="HH17">
        <f t="shared" si="43"/>
        <v>79.137580452018298</v>
      </c>
      <c r="HI17">
        <f t="shared" si="43"/>
        <v>77.309183269840034</v>
      </c>
      <c r="HJ17">
        <f t="shared" si="43"/>
        <v>76.074856165425984</v>
      </c>
      <c r="HK17">
        <f t="shared" si="43"/>
        <v>78.45029983007602</v>
      </c>
      <c r="HL17">
        <f t="shared" si="43"/>
        <v>76.778119275454458</v>
      </c>
      <c r="HM17">
        <f t="shared" si="43"/>
        <v>76.678910691486777</v>
      </c>
      <c r="HN17">
        <f t="shared" si="43"/>
        <v>73.62678751750353</v>
      </c>
      <c r="HO17">
        <f t="shared" si="43"/>
        <v>72.922417328009971</v>
      </c>
      <c r="HP17">
        <f t="shared" si="43"/>
        <v>72.183686785725953</v>
      </c>
      <c r="HQ17">
        <f t="shared" si="43"/>
        <v>74.174058412407476</v>
      </c>
      <c r="HR17">
        <f t="shared" si="43"/>
        <v>76.082161237608787</v>
      </c>
      <c r="HS17">
        <f t="shared" si="43"/>
        <v>78.640551551620547</v>
      </c>
      <c r="HT17">
        <f t="shared" si="43"/>
        <v>80.121755385657067</v>
      </c>
      <c r="HU17">
        <f t="shared" si="43"/>
        <v>82.221828555375069</v>
      </c>
      <c r="HV17">
        <f t="shared" si="43"/>
        <v>85.476775737320025</v>
      </c>
      <c r="HW17">
        <f t="shared" si="43"/>
        <v>82.352116345223891</v>
      </c>
      <c r="HX17">
        <f t="shared" si="43"/>
        <v>83.909091477238476</v>
      </c>
      <c r="HY17">
        <f t="shared" si="43"/>
        <v>84.779953559203165</v>
      </c>
      <c r="HZ17">
        <f t="shared" si="43"/>
        <v>93.60239950424895</v>
      </c>
      <c r="IA17">
        <f t="shared" si="43"/>
        <v>100.77335961358826</v>
      </c>
      <c r="IB17">
        <f t="shared" si="43"/>
        <v>98.610020396239975</v>
      </c>
      <c r="IC17">
        <f t="shared" si="43"/>
        <v>103.65505735955773</v>
      </c>
      <c r="ID17">
        <f t="shared" si="43"/>
        <v>99.209229663512559</v>
      </c>
      <c r="IE17">
        <f t="shared" si="43"/>
        <v>93.84464975349178</v>
      </c>
      <c r="IF17">
        <f t="shared" si="43"/>
        <v>89.959885222161304</v>
      </c>
      <c r="IG17">
        <f t="shared" si="43"/>
        <v>90.972452298266475</v>
      </c>
      <c r="IH17">
        <f t="shared" si="43"/>
        <v>91.395819771474095</v>
      </c>
      <c r="II17">
        <f t="shared" si="43"/>
        <v>90.482370890221688</v>
      </c>
      <c r="IJ17">
        <f t="shared" si="43"/>
        <v>94.815790366169423</v>
      </c>
      <c r="IK17">
        <f t="shared" si="43"/>
        <v>96.739147092546659</v>
      </c>
      <c r="IL17">
        <f t="shared" si="43"/>
        <v>100.83538532034281</v>
      </c>
      <c r="IM17">
        <f t="shared" si="43"/>
        <v>102.46631601634317</v>
      </c>
      <c r="IN17">
        <f t="shared" si="43"/>
        <v>102.16429494278482</v>
      </c>
      <c r="IO17">
        <f t="shared" si="43"/>
        <v>98.769619988854501</v>
      </c>
      <c r="IP17">
        <f t="shared" si="43"/>
        <v>97.379044796835743</v>
      </c>
      <c r="IQ17">
        <f t="shared" si="43"/>
        <v>93.910603525636603</v>
      </c>
      <c r="IR17">
        <f t="shared" si="43"/>
        <v>94.529687206458817</v>
      </c>
      <c r="IS17">
        <f t="shared" si="43"/>
        <v>92.275361726019099</v>
      </c>
      <c r="IT17">
        <f t="shared" si="43"/>
        <v>92.691573533338413</v>
      </c>
      <c r="IU17">
        <f t="shared" si="43"/>
        <v>89.750299181919203</v>
      </c>
      <c r="IV17">
        <f t="shared" si="43"/>
        <v>90.504163330751311</v>
      </c>
      <c r="IW17">
        <f t="shared" si="43"/>
        <v>93.272506773043062</v>
      </c>
      <c r="IX17">
        <f t="shared" si="43"/>
        <v>93.975954416020002</v>
      </c>
      <c r="IY17">
        <f t="shared" si="43"/>
        <v>96.107880502520345</v>
      </c>
      <c r="IZ17">
        <f t="shared" si="43"/>
        <v>98.474598326701738</v>
      </c>
      <c r="JA17">
        <f t="shared" ref="JA17:LL17" si="44">IZ17*(1+JA6)</f>
        <v>95.424768435424028</v>
      </c>
      <c r="JB17">
        <f t="shared" si="44"/>
        <v>95.765437877191061</v>
      </c>
      <c r="JC17">
        <f t="shared" si="44"/>
        <v>93.792677438784963</v>
      </c>
      <c r="JD17">
        <f t="shared" si="44"/>
        <v>96.550190548409375</v>
      </c>
      <c r="JE17">
        <f t="shared" si="44"/>
        <v>99.839330286410046</v>
      </c>
      <c r="JF17">
        <f t="shared" si="44"/>
        <v>108.46796978164188</v>
      </c>
      <c r="JG17">
        <f t="shared" si="44"/>
        <v>105.76081030163832</v>
      </c>
      <c r="JH17">
        <f t="shared" si="44"/>
        <v>103.76107151020858</v>
      </c>
      <c r="JI17">
        <f t="shared" si="44"/>
        <v>95.061259284654284</v>
      </c>
      <c r="JJ17">
        <f t="shared" si="44"/>
        <v>107.76816820319391</v>
      </c>
      <c r="JK17">
        <f t="shared" si="44"/>
        <v>112.39700602427091</v>
      </c>
      <c r="JL17">
        <f t="shared" si="44"/>
        <v>116.60835523698624</v>
      </c>
      <c r="JM17">
        <f t="shared" si="44"/>
        <v>100.74894169824384</v>
      </c>
      <c r="JN17">
        <f t="shared" si="44"/>
        <v>104.24728467379998</v>
      </c>
      <c r="JO17">
        <f t="shared" si="44"/>
        <v>104.71598195474941</v>
      </c>
      <c r="JP17">
        <f t="shared" si="44"/>
        <v>108.46166814032966</v>
      </c>
      <c r="JQ17">
        <f t="shared" si="44"/>
        <v>107.39380796811578</v>
      </c>
      <c r="JR17">
        <f t="shared" si="44"/>
        <v>114.14909371048881</v>
      </c>
      <c r="JS17">
        <f t="shared" si="44"/>
        <v>117.62233383832606</v>
      </c>
      <c r="JT17">
        <f t="shared" si="44"/>
        <v>115.81353527942058</v>
      </c>
      <c r="JU17">
        <f t="shared" si="44"/>
        <v>123.26415373250455</v>
      </c>
      <c r="JV17">
        <f t="shared" si="44"/>
        <v>142.92324113004085</v>
      </c>
      <c r="JW17">
        <f t="shared" si="44"/>
        <v>147.68652421866923</v>
      </c>
      <c r="JX17">
        <f t="shared" si="44"/>
        <v>137.96224134358107</v>
      </c>
      <c r="JY17">
        <f t="shared" si="44"/>
        <v>137.49569705685391</v>
      </c>
      <c r="JZ17">
        <f t="shared" si="44"/>
        <v>157.52863491193665</v>
      </c>
      <c r="KA17">
        <f t="shared" si="44"/>
        <v>164.78661135166672</v>
      </c>
      <c r="KB17">
        <f t="shared" si="44"/>
        <v>153.85901913526993</v>
      </c>
      <c r="KC17">
        <f t="shared" si="44"/>
        <v>143.47139114584888</v>
      </c>
      <c r="KD17">
        <f t="shared" si="44"/>
        <v>132.54337615051739</v>
      </c>
      <c r="KE17">
        <f t="shared" si="44"/>
        <v>142.48297538487478</v>
      </c>
      <c r="KF17">
        <f t="shared" si="44"/>
        <v>133.34697409725356</v>
      </c>
      <c r="KG17">
        <f t="shared" si="44"/>
        <v>139.25071129685938</v>
      </c>
      <c r="KH17">
        <f t="shared" si="44"/>
        <v>119.81406419807993</v>
      </c>
      <c r="KI17">
        <f t="shared" si="44"/>
        <v>114.18845645245906</v>
      </c>
      <c r="KJ17">
        <f t="shared" si="44"/>
        <v>118.96779045544491</v>
      </c>
      <c r="KK17">
        <f t="shared" si="44"/>
        <v>119.69780378986808</v>
      </c>
      <c r="KL17">
        <f t="shared" si="44"/>
        <v>119.18848824663468</v>
      </c>
      <c r="KM17">
        <f t="shared" si="44"/>
        <v>123.71227216678201</v>
      </c>
      <c r="KN17">
        <f t="shared" si="44"/>
        <v>116.23152488441895</v>
      </c>
      <c r="KO17">
        <f t="shared" si="44"/>
        <v>105.64378185623264</v>
      </c>
      <c r="KP17">
        <f t="shared" si="44"/>
        <v>108.30308257249629</v>
      </c>
      <c r="KQ17">
        <f t="shared" si="44"/>
        <v>114.57175205657136</v>
      </c>
      <c r="KR17">
        <f t="shared" si="44"/>
        <v>117.90468897290928</v>
      </c>
      <c r="KS17">
        <f t="shared" si="44"/>
        <v>115.53959529282959</v>
      </c>
      <c r="KT17">
        <f t="shared" si="44"/>
        <v>115.20113402169284</v>
      </c>
      <c r="KU17">
        <f t="shared" si="44"/>
        <v>125.1547655034514</v>
      </c>
      <c r="KV17">
        <f t="shared" si="44"/>
        <v>129.54136879947299</v>
      </c>
      <c r="KW17">
        <f t="shared" si="44"/>
        <v>124.45276019732458</v>
      </c>
      <c r="KX17">
        <f t="shared" si="44"/>
        <v>130.37401197256497</v>
      </c>
      <c r="KY17">
        <f t="shared" si="44"/>
        <v>123.68910211389112</v>
      </c>
      <c r="KZ17">
        <f t="shared" si="44"/>
        <v>128.6637610497373</v>
      </c>
      <c r="LA17">
        <f t="shared" si="44"/>
        <v>124.16012347345473</v>
      </c>
      <c r="LB17">
        <f t="shared" si="44"/>
        <v>126.09382282912163</v>
      </c>
      <c r="LC17">
        <f t="shared" si="44"/>
        <v>120.94146392021376</v>
      </c>
      <c r="LD17">
        <f t="shared" si="44"/>
        <v>118.46544787238082</v>
      </c>
      <c r="LE17">
        <f t="shared" si="44"/>
        <v>117.86308066790545</v>
      </c>
      <c r="LF17">
        <f t="shared" si="44"/>
        <v>115.0699401879052</v>
      </c>
      <c r="LG17">
        <f t="shared" si="44"/>
        <v>115.10476333231811</v>
      </c>
      <c r="LH17">
        <f t="shared" si="44"/>
        <v>109.23257451304187</v>
      </c>
      <c r="LI17">
        <f t="shared" si="44"/>
        <v>107.83487990221398</v>
      </c>
      <c r="LJ17">
        <f t="shared" si="44"/>
        <v>107.36005757413675</v>
      </c>
      <c r="LK17">
        <f t="shared" si="44"/>
        <v>107.12903579862112</v>
      </c>
      <c r="LL17">
        <f t="shared" si="44"/>
        <v>102.82913854108136</v>
      </c>
      <c r="LM17">
        <f t="shared" ref="LM17:NX17" si="45">LL17*(1+LM6)</f>
        <v>100.15538082490053</v>
      </c>
      <c r="LN17">
        <f t="shared" si="45"/>
        <v>96.492789009016931</v>
      </c>
      <c r="LO17">
        <f t="shared" si="45"/>
        <v>99.455691186413446</v>
      </c>
      <c r="LP17">
        <f t="shared" si="45"/>
        <v>96.909354478404126</v>
      </c>
      <c r="LQ17">
        <f t="shared" si="45"/>
        <v>99.254123707384039</v>
      </c>
      <c r="LR17">
        <f t="shared" si="45"/>
        <v>87.335681922440287</v>
      </c>
      <c r="LS17">
        <f t="shared" si="45"/>
        <v>89.417399880181037</v>
      </c>
      <c r="LT17">
        <f t="shared" si="45"/>
        <v>85.86039403377552</v>
      </c>
      <c r="LU17">
        <f t="shared" si="45"/>
        <v>90.34775272529258</v>
      </c>
      <c r="LV17">
        <f t="shared" si="45"/>
        <v>89.615934031846635</v>
      </c>
      <c r="LW17">
        <f t="shared" si="45"/>
        <v>86.864732861847827</v>
      </c>
      <c r="LX17">
        <f t="shared" si="45"/>
        <v>90.471781332035206</v>
      </c>
      <c r="LY17">
        <f t="shared" si="45"/>
        <v>94.630394386030417</v>
      </c>
      <c r="LZ17">
        <f t="shared" si="45"/>
        <v>92.753162006179906</v>
      </c>
      <c r="MA17">
        <f t="shared" si="45"/>
        <v>88.570741109807287</v>
      </c>
      <c r="MB17">
        <f t="shared" si="45"/>
        <v>88.464487212913028</v>
      </c>
      <c r="MC17">
        <f t="shared" si="45"/>
        <v>81.466830153386567</v>
      </c>
      <c r="MD17">
        <f t="shared" si="45"/>
        <v>84.35765476767331</v>
      </c>
      <c r="ME17">
        <f t="shared" si="45"/>
        <v>84.715506790205467</v>
      </c>
      <c r="MF17">
        <f t="shared" si="45"/>
        <v>86.946458233981161</v>
      </c>
      <c r="MG17">
        <f t="shared" si="45"/>
        <v>86.71761015310156</v>
      </c>
      <c r="MH17">
        <f t="shared" si="45"/>
        <v>83.038456002389594</v>
      </c>
      <c r="MI17">
        <f t="shared" si="45"/>
        <v>84.118585847640944</v>
      </c>
      <c r="MJ17">
        <f t="shared" si="45"/>
        <v>82.612039610117066</v>
      </c>
      <c r="MK17">
        <f t="shared" si="45"/>
        <v>86.605698963249409</v>
      </c>
      <c r="ML17">
        <f t="shared" si="45"/>
        <v>84.003716736949386</v>
      </c>
      <c r="MM17">
        <f t="shared" si="45"/>
        <v>82.440106236272129</v>
      </c>
      <c r="MN17">
        <f t="shared" si="45"/>
        <v>87.376454844326744</v>
      </c>
      <c r="MO17">
        <f t="shared" si="45"/>
        <v>87.082194642364954</v>
      </c>
      <c r="MP17">
        <f t="shared" si="45"/>
        <v>84.729434114532722</v>
      </c>
      <c r="MQ17">
        <f t="shared" si="45"/>
        <v>87.94544816969092</v>
      </c>
      <c r="MR17">
        <f t="shared" si="45"/>
        <v>89.015403967937687</v>
      </c>
      <c r="MS17">
        <f t="shared" si="45"/>
        <v>90.115674235804235</v>
      </c>
      <c r="MT17">
        <f t="shared" si="45"/>
        <v>91.048585653735927</v>
      </c>
      <c r="MU17">
        <f t="shared" si="45"/>
        <v>91.627058393949625</v>
      </c>
      <c r="MV17">
        <f t="shared" si="45"/>
        <v>88.795765120712545</v>
      </c>
      <c r="MW17">
        <f t="shared" si="45"/>
        <v>88.23598331348694</v>
      </c>
      <c r="MX17">
        <f t="shared" si="45"/>
        <v>88.974143756415643</v>
      </c>
      <c r="MY17">
        <f t="shared" si="45"/>
        <v>83.630919080018387</v>
      </c>
      <c r="MZ17">
        <f t="shared" si="45"/>
        <v>83.150607280274173</v>
      </c>
      <c r="NA17">
        <f t="shared" si="45"/>
        <v>85.067709018665397</v>
      </c>
      <c r="NB17">
        <f t="shared" si="45"/>
        <v>84.182381401469343</v>
      </c>
      <c r="NC17">
        <f t="shared" si="45"/>
        <v>83.136748429661125</v>
      </c>
      <c r="ND17">
        <f t="shared" si="45"/>
        <v>77.19515558855791</v>
      </c>
      <c r="NE17">
        <f t="shared" si="45"/>
        <v>79.78582846585148</v>
      </c>
      <c r="NF17">
        <f t="shared" si="45"/>
        <v>81.425447416666444</v>
      </c>
      <c r="NG17">
        <f t="shared" si="45"/>
        <v>75.190445390446015</v>
      </c>
      <c r="NH17">
        <f t="shared" si="45"/>
        <v>76.631226966492889</v>
      </c>
      <c r="NI17">
        <f t="shared" si="45"/>
        <v>77.948610186196007</v>
      </c>
      <c r="NJ17">
        <f t="shared" si="45"/>
        <v>79.707342855911904</v>
      </c>
      <c r="NK17">
        <f t="shared" si="45"/>
        <v>80.049481589611631</v>
      </c>
      <c r="NL17">
        <f t="shared" si="45"/>
        <v>79.976364922065059</v>
      </c>
      <c r="NM17">
        <f t="shared" si="45"/>
        <v>76.576018133637575</v>
      </c>
      <c r="NN17">
        <f t="shared" si="45"/>
        <v>75.521799073424845</v>
      </c>
      <c r="NO17">
        <f t="shared" si="45"/>
        <v>72.192889775214724</v>
      </c>
      <c r="NP17">
        <f t="shared" si="45"/>
        <v>70.463431947085354</v>
      </c>
      <c r="NQ17">
        <f t="shared" si="45"/>
        <v>67.174079337381016</v>
      </c>
      <c r="NR17">
        <f t="shared" si="45"/>
        <v>68.584732236596054</v>
      </c>
      <c r="NS17">
        <f t="shared" si="45"/>
        <v>72.015298121421907</v>
      </c>
      <c r="NT17">
        <f t="shared" si="45"/>
        <v>69.722937029564889</v>
      </c>
      <c r="NU17">
        <f t="shared" si="45"/>
        <v>73.157900809204136</v>
      </c>
      <c r="NV17">
        <f t="shared" si="45"/>
        <v>71.76639734022018</v>
      </c>
      <c r="NW17">
        <f t="shared" si="45"/>
        <v>72.393159946974535</v>
      </c>
      <c r="NX17">
        <f t="shared" si="45"/>
        <v>72.956057386519277</v>
      </c>
      <c r="NY17">
        <f t="shared" ref="NY17:QJ17" si="46">NX17*(1+NY6)</f>
        <v>73.550667974332512</v>
      </c>
      <c r="NZ17">
        <f t="shared" si="46"/>
        <v>70.504904362556147</v>
      </c>
      <c r="OA17">
        <f t="shared" si="46"/>
        <v>68.827421977681439</v>
      </c>
      <c r="OB17">
        <f t="shared" si="46"/>
        <v>69.775331309956854</v>
      </c>
      <c r="OC17">
        <f t="shared" si="46"/>
        <v>74.075799827671716</v>
      </c>
      <c r="OD17">
        <f t="shared" si="46"/>
        <v>72.101822088802834</v>
      </c>
      <c r="OE17">
        <f t="shared" si="46"/>
        <v>76.050124911521991</v>
      </c>
      <c r="OF17">
        <f t="shared" si="46"/>
        <v>76.098230052541254</v>
      </c>
      <c r="OG17">
        <f t="shared" si="46"/>
        <v>75.816942505566715</v>
      </c>
      <c r="OH17">
        <f t="shared" si="46"/>
        <v>78.265323941251324</v>
      </c>
      <c r="OI17">
        <f t="shared" si="46"/>
        <v>80.01116571770298</v>
      </c>
      <c r="OJ17">
        <f t="shared" si="46"/>
        <v>78.215318984853184</v>
      </c>
      <c r="OK17">
        <f t="shared" si="46"/>
        <v>83.915954421978142</v>
      </c>
      <c r="OL17">
        <f t="shared" si="46"/>
        <v>85.055471911511162</v>
      </c>
      <c r="OM17">
        <f t="shared" si="46"/>
        <v>84.939188706686338</v>
      </c>
      <c r="ON17">
        <f t="shared" si="46"/>
        <v>83.934271173039178</v>
      </c>
      <c r="OO17">
        <f t="shared" si="46"/>
        <v>81.214743788969443</v>
      </c>
      <c r="OP17">
        <f t="shared" si="46"/>
        <v>81.254620399448896</v>
      </c>
      <c r="OQ17">
        <f t="shared" si="46"/>
        <v>80.897511681844193</v>
      </c>
      <c r="OR17">
        <f t="shared" si="46"/>
        <v>81.981932562272391</v>
      </c>
      <c r="OS17">
        <f t="shared" si="46"/>
        <v>76.426558379515455</v>
      </c>
      <c r="OT17">
        <f t="shared" si="46"/>
        <v>79.880066160707315</v>
      </c>
      <c r="OU17">
        <f t="shared" si="46"/>
        <v>77.209453018912157</v>
      </c>
      <c r="OV17">
        <f t="shared" si="46"/>
        <v>73.533356308457286</v>
      </c>
      <c r="OW17">
        <f t="shared" si="46"/>
        <v>74.771459927871746</v>
      </c>
      <c r="OX17">
        <f t="shared" si="46"/>
        <v>75.657320094056274</v>
      </c>
      <c r="OY17">
        <f t="shared" si="46"/>
        <v>76.461056957617501</v>
      </c>
      <c r="OZ17">
        <f t="shared" si="46"/>
        <v>77.248966773863799</v>
      </c>
      <c r="PA17">
        <f t="shared" si="46"/>
        <v>77.331195393188111</v>
      </c>
      <c r="PB17">
        <f t="shared" si="46"/>
        <v>79.180203305734182</v>
      </c>
      <c r="PC17">
        <f t="shared" si="46"/>
        <v>77.867885943951606</v>
      </c>
      <c r="PD17">
        <f t="shared" si="46"/>
        <v>75.896757499255671</v>
      </c>
      <c r="PE17">
        <f t="shared" si="46"/>
        <v>76.247698751172607</v>
      </c>
      <c r="PF17">
        <f t="shared" si="46"/>
        <v>72.877175030808928</v>
      </c>
      <c r="PG17">
        <f t="shared" si="46"/>
        <v>72.443914488978692</v>
      </c>
      <c r="PH17">
        <f t="shared" si="46"/>
        <v>72.849695478178532</v>
      </c>
      <c r="PI17">
        <f t="shared" si="46"/>
        <v>71.221063888307327</v>
      </c>
      <c r="PJ17">
        <f t="shared" si="46"/>
        <v>71.405795542859252</v>
      </c>
      <c r="PK17">
        <f t="shared" si="46"/>
        <v>67.409498533250158</v>
      </c>
      <c r="PL17">
        <f t="shared" si="46"/>
        <v>65.31038032595697</v>
      </c>
      <c r="PM17">
        <f t="shared" si="46"/>
        <v>64.518079226864515</v>
      </c>
      <c r="PN17">
        <f t="shared" si="46"/>
        <v>69.011701626699463</v>
      </c>
      <c r="PO17">
        <f t="shared" si="46"/>
        <v>71.634936555897966</v>
      </c>
      <c r="PP17">
        <f t="shared" si="46"/>
        <v>74.535539080963872</v>
      </c>
      <c r="PQ17">
        <f t="shared" si="46"/>
        <v>70.027936427489337</v>
      </c>
      <c r="PR17">
        <f t="shared" si="46"/>
        <v>71.418545002433817</v>
      </c>
      <c r="PS17">
        <f t="shared" si="46"/>
        <v>70.522098131130079</v>
      </c>
      <c r="PT17">
        <f t="shared" si="46"/>
        <v>72.525524315831419</v>
      </c>
      <c r="PU17">
        <f t="shared" si="46"/>
        <v>73.353544878122605</v>
      </c>
      <c r="PV17">
        <f t="shared" si="46"/>
        <v>73.168981696867448</v>
      </c>
      <c r="PW17">
        <f t="shared" si="46"/>
        <v>72.298173428848557</v>
      </c>
      <c r="PX17">
        <f t="shared" si="46"/>
        <v>75.222400082361105</v>
      </c>
      <c r="PY17">
        <f t="shared" si="46"/>
        <v>74.848858425583614</v>
      </c>
      <c r="PZ17">
        <f t="shared" si="46"/>
        <v>77.488751440014937</v>
      </c>
      <c r="QA17">
        <f t="shared" si="46"/>
        <v>75.083207123383033</v>
      </c>
      <c r="QB17">
        <f t="shared" si="46"/>
        <v>72.277517427597701</v>
      </c>
      <c r="QC17">
        <f t="shared" si="46"/>
        <v>72.869768196671487</v>
      </c>
      <c r="QD17">
        <f t="shared" si="46"/>
        <v>71.191002044923465</v>
      </c>
      <c r="QE17">
        <f t="shared" si="46"/>
        <v>65.810309794038886</v>
      </c>
      <c r="QF17">
        <f t="shared" si="46"/>
        <v>64.165488766347991</v>
      </c>
      <c r="QG17">
        <f t="shared" si="46"/>
        <v>64.737716242950015</v>
      </c>
      <c r="QH17">
        <f t="shared" si="46"/>
        <v>62.673876141389854</v>
      </c>
      <c r="QI17">
        <f t="shared" si="46"/>
        <v>61.251523299420029</v>
      </c>
      <c r="QJ17">
        <f t="shared" si="46"/>
        <v>58.979624142354062</v>
      </c>
      <c r="QK17">
        <f t="shared" ref="QK17:SV17" si="47">QJ17*(1+QK6)</f>
        <v>56.713226055565805</v>
      </c>
      <c r="QL17">
        <f t="shared" si="47"/>
        <v>56.003556895363168</v>
      </c>
      <c r="QM17">
        <f t="shared" si="47"/>
        <v>53.994923524157798</v>
      </c>
      <c r="QN17">
        <f t="shared" si="47"/>
        <v>55.726680773374682</v>
      </c>
      <c r="QO17">
        <f t="shared" si="47"/>
        <v>56.045625754869263</v>
      </c>
      <c r="QP17">
        <f t="shared" si="47"/>
        <v>56.343309467397269</v>
      </c>
      <c r="QQ17">
        <f t="shared" si="47"/>
        <v>56.721388408460108</v>
      </c>
      <c r="QR17">
        <f t="shared" si="47"/>
        <v>57.716017515834579</v>
      </c>
      <c r="QS17">
        <f t="shared" si="47"/>
        <v>57.615834925390757</v>
      </c>
      <c r="QT17">
        <f t="shared" si="47"/>
        <v>59.347071097687675</v>
      </c>
      <c r="QU17">
        <f t="shared" si="47"/>
        <v>62.131601881992573</v>
      </c>
      <c r="QV17">
        <f t="shared" si="47"/>
        <v>63.207246109858481</v>
      </c>
      <c r="QW17">
        <f t="shared" si="47"/>
        <v>63.79779065249609</v>
      </c>
      <c r="QX17">
        <f t="shared" si="47"/>
        <v>65.200198840067159</v>
      </c>
      <c r="QY17">
        <f t="shared" si="47"/>
        <v>64.689224703337914</v>
      </c>
      <c r="QZ17">
        <f t="shared" si="47"/>
        <v>64.252807027826051</v>
      </c>
      <c r="RA17">
        <f t="shared" si="47"/>
        <v>65.104678673494192</v>
      </c>
      <c r="RB17">
        <f t="shared" si="47"/>
        <v>65.649428352479717</v>
      </c>
      <c r="RC17">
        <f t="shared" si="47"/>
        <v>64.086260935507624</v>
      </c>
      <c r="RD17">
        <f t="shared" si="47"/>
        <v>68.620014309362716</v>
      </c>
      <c r="RE17">
        <f t="shared" si="47"/>
        <v>70.207701755707063</v>
      </c>
      <c r="RF17">
        <f t="shared" si="47"/>
        <v>72.462768322889701</v>
      </c>
      <c r="RG17">
        <f t="shared" si="47"/>
        <v>76.986355931278538</v>
      </c>
      <c r="RH17">
        <f t="shared" si="47"/>
        <v>72.57856566007969</v>
      </c>
      <c r="RI17">
        <f t="shared" si="47"/>
        <v>71.122234326951926</v>
      </c>
      <c r="RJ17">
        <f t="shared" si="47"/>
        <v>66.931310174179742</v>
      </c>
      <c r="RK17">
        <f t="shared" si="47"/>
        <v>67.720054699650902</v>
      </c>
      <c r="RL17">
        <f t="shared" si="47"/>
        <v>66.455820255165108</v>
      </c>
      <c r="RM17">
        <f t="shared" si="47"/>
        <v>64.926494999971595</v>
      </c>
      <c r="RN17">
        <f t="shared" si="47"/>
        <v>63.364879985174582</v>
      </c>
      <c r="RO17">
        <f t="shared" si="47"/>
        <v>64.144330382909445</v>
      </c>
      <c r="RP17">
        <f t="shared" si="47"/>
        <v>66.436535923799767</v>
      </c>
      <c r="RQ17">
        <f t="shared" si="47"/>
        <v>64.1900360569052</v>
      </c>
      <c r="RR17">
        <f t="shared" si="47"/>
        <v>59.915096419970375</v>
      </c>
      <c r="RS17">
        <f t="shared" si="47"/>
        <v>60.676806814863895</v>
      </c>
      <c r="RT17">
        <f t="shared" si="47"/>
        <v>58.819168631913797</v>
      </c>
      <c r="RU17">
        <f t="shared" si="47"/>
        <v>57.335859856926021</v>
      </c>
      <c r="RV17">
        <f t="shared" si="47"/>
        <v>57.200099731558083</v>
      </c>
      <c r="RW17">
        <f t="shared" si="47"/>
        <v>54.533598873792307</v>
      </c>
      <c r="RX17">
        <f t="shared" si="47"/>
        <v>54.897007727487896</v>
      </c>
      <c r="RY17">
        <f t="shared" si="47"/>
        <v>57.091506486084327</v>
      </c>
      <c r="RZ17">
        <f t="shared" si="47"/>
        <v>58.234205382859358</v>
      </c>
      <c r="SA17">
        <f t="shared" si="47"/>
        <v>55.353714678236294</v>
      </c>
      <c r="SB17">
        <f t="shared" si="47"/>
        <v>52.100744445300705</v>
      </c>
      <c r="SC17">
        <f t="shared" si="47"/>
        <v>55.482570376886422</v>
      </c>
      <c r="SD17">
        <f t="shared" si="47"/>
        <v>56.221524584380454</v>
      </c>
      <c r="SE17">
        <f t="shared" si="47"/>
        <v>56.557202938964487</v>
      </c>
      <c r="SF17">
        <f t="shared" si="47"/>
        <v>52.382501564673518</v>
      </c>
      <c r="SG17">
        <f t="shared" si="47"/>
        <v>55.998756602345729</v>
      </c>
      <c r="SH17">
        <f t="shared" si="47"/>
        <v>60.454081323452634</v>
      </c>
      <c r="SI17">
        <f t="shared" si="47"/>
        <v>63.427296878824549</v>
      </c>
      <c r="SJ17">
        <f t="shared" si="47"/>
        <v>66.025604605919753</v>
      </c>
      <c r="SK17">
        <f t="shared" si="47"/>
        <v>67.197351233162991</v>
      </c>
      <c r="SL17">
        <f t="shared" si="47"/>
        <v>63.633056079074628</v>
      </c>
      <c r="SM17">
        <f t="shared" si="47"/>
        <v>60.366435419149916</v>
      </c>
      <c r="SN17">
        <f t="shared" si="47"/>
        <v>58.658920637101275</v>
      </c>
      <c r="SO17">
        <f t="shared" si="47"/>
        <v>58.884032250103097</v>
      </c>
      <c r="SP17">
        <f t="shared" si="47"/>
        <v>65.853331364129161</v>
      </c>
      <c r="SQ17">
        <f t="shared" si="47"/>
        <v>63.625803177687715</v>
      </c>
      <c r="SR17">
        <f t="shared" si="47"/>
        <v>64.309619767675002</v>
      </c>
      <c r="SS17">
        <f t="shared" si="47"/>
        <v>64.19368563663447</v>
      </c>
      <c r="ST17">
        <f t="shared" si="47"/>
        <v>59.020343833368258</v>
      </c>
      <c r="SU17">
        <f t="shared" si="47"/>
        <v>54.461135929782351</v>
      </c>
      <c r="SV17">
        <f t="shared" si="47"/>
        <v>52.065682195164406</v>
      </c>
      <c r="SW17">
        <f t="shared" ref="SW17:VH17" si="48">SV17*(1+SW6)</f>
        <v>54.475671314592304</v>
      </c>
      <c r="SX17">
        <f t="shared" si="48"/>
        <v>56.77165539836043</v>
      </c>
      <c r="SY17">
        <f t="shared" si="48"/>
        <v>58.230539132728822</v>
      </c>
      <c r="SZ17">
        <f t="shared" si="48"/>
        <v>61.842647628667208</v>
      </c>
      <c r="TA17">
        <f t="shared" si="48"/>
        <v>62.755660337138259</v>
      </c>
      <c r="TB17">
        <f t="shared" si="48"/>
        <v>63.116364586789551</v>
      </c>
      <c r="TC17">
        <f t="shared" si="48"/>
        <v>62.525664953724423</v>
      </c>
      <c r="TD17">
        <f t="shared" si="48"/>
        <v>61.895402492087221</v>
      </c>
      <c r="TE17">
        <f t="shared" si="48"/>
        <v>59.870943544994084</v>
      </c>
      <c r="TF17">
        <f t="shared" si="48"/>
        <v>55.429577877460225</v>
      </c>
      <c r="TG17">
        <f t="shared" si="48"/>
        <v>56.806301392707688</v>
      </c>
      <c r="TH17">
        <f t="shared" si="48"/>
        <v>57.49400397097768</v>
      </c>
      <c r="TI17">
        <f t="shared" si="48"/>
        <v>53.664405740982197</v>
      </c>
      <c r="TJ17">
        <f t="shared" si="48"/>
        <v>54.915416240301774</v>
      </c>
      <c r="TK17">
        <f t="shared" si="48"/>
        <v>55.283738669813808</v>
      </c>
      <c r="TL17">
        <f t="shared" si="48"/>
        <v>54.778529683446408</v>
      </c>
      <c r="TM17">
        <f t="shared" si="48"/>
        <v>57.506702737498891</v>
      </c>
      <c r="TN17">
        <f t="shared" si="48"/>
        <v>55.64298346461149</v>
      </c>
      <c r="TO17">
        <f t="shared" si="48"/>
        <v>52.12254488409193</v>
      </c>
      <c r="TP17">
        <f t="shared" si="48"/>
        <v>52.39857045031679</v>
      </c>
      <c r="TQ17">
        <f t="shared" si="48"/>
        <v>52.808436205115939</v>
      </c>
      <c r="TR17">
        <f t="shared" si="48"/>
        <v>54.056617684079185</v>
      </c>
      <c r="TS17">
        <f t="shared" si="48"/>
        <v>51.956391880192569</v>
      </c>
      <c r="TT17">
        <f t="shared" si="48"/>
        <v>48.481238624109722</v>
      </c>
      <c r="TU17">
        <f t="shared" si="48"/>
        <v>44.347442177683504</v>
      </c>
      <c r="TV17">
        <f t="shared" si="48"/>
        <v>44.17295098833398</v>
      </c>
      <c r="TW17">
        <f t="shared" si="48"/>
        <v>42.724391453899322</v>
      </c>
      <c r="TX17">
        <f t="shared" si="48"/>
        <v>43.542346689614426</v>
      </c>
      <c r="TY17">
        <f t="shared" si="48"/>
        <v>43.251015774856896</v>
      </c>
      <c r="TZ17">
        <f t="shared" si="48"/>
        <v>42.650916823408217</v>
      </c>
      <c r="UA17">
        <f t="shared" si="48"/>
        <v>39.916131778011582</v>
      </c>
      <c r="UB17">
        <f t="shared" si="48"/>
        <v>39.074838391071822</v>
      </c>
      <c r="UC17">
        <f t="shared" si="48"/>
        <v>38.219809776146839</v>
      </c>
      <c r="UD17">
        <f t="shared" si="48"/>
        <v>42.066631028100055</v>
      </c>
      <c r="UE17">
        <f t="shared" si="48"/>
        <v>40.02033365235971</v>
      </c>
      <c r="UF17">
        <f t="shared" si="48"/>
        <v>38.848785637267184</v>
      </c>
      <c r="UG17">
        <f t="shared" si="48"/>
        <v>34.201787313104759</v>
      </c>
      <c r="UH17">
        <f t="shared" si="48"/>
        <v>34.14859807012833</v>
      </c>
      <c r="UI17">
        <f t="shared" si="48"/>
        <v>34.399399780834877</v>
      </c>
      <c r="UJ17">
        <f t="shared" si="48"/>
        <v>35.878574379965706</v>
      </c>
      <c r="UK17">
        <f t="shared" si="48"/>
        <v>36.126751014619494</v>
      </c>
      <c r="UL17">
        <f t="shared" si="48"/>
        <v>33.799111868585868</v>
      </c>
      <c r="UM17">
        <f t="shared" si="48"/>
        <v>36.078477178247596</v>
      </c>
      <c r="UN17">
        <f t="shared" si="48"/>
        <v>35.581566933628892</v>
      </c>
      <c r="UO17">
        <f t="shared" si="48"/>
        <v>34.801144630990805</v>
      </c>
      <c r="UP17">
        <f t="shared" si="48"/>
        <v>34.890464807053696</v>
      </c>
      <c r="UQ17">
        <f t="shared" si="48"/>
        <v>35.251332702813045</v>
      </c>
      <c r="UR17">
        <f t="shared" si="48"/>
        <v>36.568123995895327</v>
      </c>
      <c r="US17">
        <f t="shared" si="48"/>
        <v>38.302875822672803</v>
      </c>
      <c r="UT17">
        <f t="shared" si="48"/>
        <v>41.353727406711258</v>
      </c>
      <c r="UU17">
        <f t="shared" si="48"/>
        <v>41.532399218696973</v>
      </c>
      <c r="UV17">
        <f t="shared" si="48"/>
        <v>39.456705015546625</v>
      </c>
      <c r="UW17">
        <f t="shared" si="48"/>
        <v>39.494237251947951</v>
      </c>
      <c r="UX17">
        <f t="shared" si="48"/>
        <v>38.854172765425886</v>
      </c>
      <c r="UY17">
        <f t="shared" si="48"/>
        <v>35.547282530548664</v>
      </c>
      <c r="UZ17">
        <f t="shared" si="48"/>
        <v>35.357678929039302</v>
      </c>
      <c r="VA17">
        <f t="shared" si="48"/>
        <v>35.725171539894227</v>
      </c>
      <c r="VB17">
        <f t="shared" si="48"/>
        <v>36.3410579701873</v>
      </c>
      <c r="VC17">
        <f t="shared" si="48"/>
        <v>35.604891810272669</v>
      </c>
      <c r="VD17">
        <f t="shared" si="48"/>
        <v>34.460985888753733</v>
      </c>
      <c r="VE17">
        <f t="shared" si="48"/>
        <v>33.471997103966395</v>
      </c>
      <c r="VF17">
        <f t="shared" si="48"/>
        <v>32.682348838457273</v>
      </c>
      <c r="VG17">
        <f t="shared" si="48"/>
        <v>36.282808008675033</v>
      </c>
      <c r="VH17">
        <f t="shared" si="48"/>
        <v>34.750355676803352</v>
      </c>
      <c r="VI17">
        <f t="shared" ref="VI17:XT17" si="49">VH17*(1+VI6)</f>
        <v>34.579162648623679</v>
      </c>
      <c r="VJ17">
        <f t="shared" si="49"/>
        <v>34.084390564453585</v>
      </c>
      <c r="VK17">
        <f t="shared" si="49"/>
        <v>35.295110314111504</v>
      </c>
      <c r="VL17">
        <f t="shared" si="49"/>
        <v>35.325325402591218</v>
      </c>
      <c r="VM17">
        <f t="shared" si="49"/>
        <v>36.365339673043394</v>
      </c>
      <c r="VN17">
        <f t="shared" si="49"/>
        <v>34.536826639650222</v>
      </c>
      <c r="VO17">
        <f t="shared" si="49"/>
        <v>34.321403562988209</v>
      </c>
      <c r="VP17">
        <f t="shared" si="49"/>
        <v>36.362154379175109</v>
      </c>
      <c r="VQ17">
        <f t="shared" si="49"/>
        <v>36.223912917432727</v>
      </c>
      <c r="VR17">
        <f t="shared" si="49"/>
        <v>36.753599520207743</v>
      </c>
      <c r="VS17">
        <f t="shared" si="49"/>
        <v>39.710664544870987</v>
      </c>
      <c r="VT17">
        <f t="shared" si="49"/>
        <v>40.427665342277614</v>
      </c>
      <c r="VU17">
        <f t="shared" si="49"/>
        <v>41.272790233130458</v>
      </c>
      <c r="VV17">
        <f t="shared" si="49"/>
        <v>40.070740147267124</v>
      </c>
      <c r="VW17">
        <f t="shared" si="49"/>
        <v>38.033989300699233</v>
      </c>
      <c r="VX17">
        <f t="shared" si="49"/>
        <v>39.097354037697798</v>
      </c>
      <c r="VY17">
        <f t="shared" si="49"/>
        <v>38.595676333575263</v>
      </c>
      <c r="VZ17">
        <f t="shared" si="49"/>
        <v>39.243809743306407</v>
      </c>
      <c r="WA17">
        <f t="shared" si="49"/>
        <v>36.549702827563607</v>
      </c>
      <c r="WB17">
        <f t="shared" si="49"/>
        <v>36.303236632238928</v>
      </c>
      <c r="WC17">
        <f t="shared" si="49"/>
        <v>36.639977974947961</v>
      </c>
      <c r="WD17">
        <f t="shared" si="49"/>
        <v>35.391238032608385</v>
      </c>
      <c r="WE17">
        <f t="shared" si="49"/>
        <v>35.021637245535437</v>
      </c>
      <c r="WF17">
        <f t="shared" si="49"/>
        <v>33.878509946956392</v>
      </c>
      <c r="WG17">
        <f t="shared" si="49"/>
        <v>36.039165791227724</v>
      </c>
      <c r="WH17">
        <f t="shared" si="49"/>
        <v>34.61646399741052</v>
      </c>
      <c r="WI17">
        <f t="shared" si="49"/>
        <v>35.997142983320167</v>
      </c>
      <c r="WJ17">
        <f t="shared" si="49"/>
        <v>38.11216047643498</v>
      </c>
      <c r="WK17">
        <f t="shared" si="49"/>
        <v>37.707656063722759</v>
      </c>
      <c r="WL17">
        <f t="shared" si="49"/>
        <v>37.783047895760092</v>
      </c>
      <c r="WM17">
        <f t="shared" si="49"/>
        <v>37.854625322805603</v>
      </c>
      <c r="WN17">
        <f t="shared" si="49"/>
        <v>37.02204374937665</v>
      </c>
      <c r="WO17">
        <f t="shared" si="49"/>
        <v>37.088664361031775</v>
      </c>
      <c r="WP17">
        <f t="shared" si="49"/>
        <v>38.534693566205924</v>
      </c>
      <c r="WQ17">
        <f t="shared" si="49"/>
        <v>37.850767913551728</v>
      </c>
      <c r="WR17">
        <f t="shared" si="49"/>
        <v>38.356912499915168</v>
      </c>
      <c r="WS17">
        <f t="shared" si="49"/>
        <v>36.156237699781677</v>
      </c>
      <c r="WT17">
        <f t="shared" si="49"/>
        <v>35.663195066456268</v>
      </c>
      <c r="WU17">
        <f t="shared" si="49"/>
        <v>34.835055526323679</v>
      </c>
      <c r="WV17">
        <f t="shared" si="49"/>
        <v>33.403726594937503</v>
      </c>
      <c r="WW17">
        <f t="shared" si="49"/>
        <v>34.718218693352739</v>
      </c>
      <c r="WX17">
        <f t="shared" si="49"/>
        <v>35.345923709104476</v>
      </c>
      <c r="WY17">
        <f t="shared" si="49"/>
        <v>35.571207829926735</v>
      </c>
      <c r="WZ17">
        <f t="shared" si="49"/>
        <v>35.342760533442977</v>
      </c>
      <c r="XA17">
        <f t="shared" si="49"/>
        <v>34.883613491425251</v>
      </c>
      <c r="XB17">
        <f t="shared" si="49"/>
        <v>36.959066299693603</v>
      </c>
      <c r="XC17">
        <f t="shared" si="49"/>
        <v>36.473032031053293</v>
      </c>
      <c r="XD17">
        <f t="shared" si="49"/>
        <v>34.79920342877223</v>
      </c>
      <c r="XE17">
        <f t="shared" si="49"/>
        <v>35.746250026334728</v>
      </c>
      <c r="XF17">
        <f t="shared" si="49"/>
        <v>35.491563372443927</v>
      </c>
      <c r="XG17">
        <f t="shared" si="49"/>
        <v>35.606178159427792</v>
      </c>
      <c r="XH17">
        <f t="shared" si="49"/>
        <v>33.837642805153664</v>
      </c>
      <c r="XI17">
        <f t="shared" si="49"/>
        <v>33.648621103476884</v>
      </c>
      <c r="XJ17">
        <f t="shared" si="49"/>
        <v>31.565133691888096</v>
      </c>
      <c r="XK17">
        <f t="shared" si="49"/>
        <v>30.705005934078773</v>
      </c>
      <c r="XL17">
        <f t="shared" si="49"/>
        <v>31.678274135808312</v>
      </c>
      <c r="XM17">
        <f t="shared" si="49"/>
        <v>32.468025170769579</v>
      </c>
      <c r="XN17">
        <f t="shared" si="49"/>
        <v>33.344864500590347</v>
      </c>
      <c r="XO17">
        <f t="shared" si="49"/>
        <v>32.141372790162848</v>
      </c>
      <c r="XP17">
        <f t="shared" si="49"/>
        <v>32.55220517756824</v>
      </c>
      <c r="XQ17">
        <f t="shared" si="49"/>
        <v>33.467424049543339</v>
      </c>
      <c r="XR17">
        <f t="shared" si="49"/>
        <v>32.297958342760595</v>
      </c>
      <c r="XS17">
        <f t="shared" si="49"/>
        <v>35.373136906018928</v>
      </c>
      <c r="XT17">
        <f t="shared" si="49"/>
        <v>34.665784599177293</v>
      </c>
      <c r="XU17">
        <f t="shared" ref="XU17:AAF17" si="50">XT17*(1+XU6)</f>
        <v>35.826970017248726</v>
      </c>
      <c r="XV17">
        <f t="shared" si="50"/>
        <v>34.027121656892945</v>
      </c>
      <c r="XW17">
        <f t="shared" si="50"/>
        <v>34.081326409411979</v>
      </c>
      <c r="XX17">
        <f t="shared" si="50"/>
        <v>34.794127705205511</v>
      </c>
      <c r="XY17">
        <f t="shared" si="50"/>
        <v>35.331988332947731</v>
      </c>
      <c r="XZ17">
        <f t="shared" si="50"/>
        <v>34.693447542441085</v>
      </c>
      <c r="YA17">
        <f t="shared" si="50"/>
        <v>35.892782140319461</v>
      </c>
      <c r="YB17">
        <f t="shared" si="50"/>
        <v>36.775210739702878</v>
      </c>
      <c r="YC17">
        <f t="shared" si="50"/>
        <v>37.371298270620386</v>
      </c>
      <c r="YD17">
        <f t="shared" si="50"/>
        <v>37.243011629865698</v>
      </c>
      <c r="YE17">
        <f t="shared" si="50"/>
        <v>36.870090644588146</v>
      </c>
      <c r="YF17">
        <f t="shared" si="50"/>
        <v>37.676225023403042</v>
      </c>
      <c r="YG17">
        <f t="shared" si="50"/>
        <v>37.927684564271701</v>
      </c>
      <c r="YH17">
        <f t="shared" si="50"/>
        <v>37.594449670638191</v>
      </c>
      <c r="YI17">
        <f t="shared" si="50"/>
        <v>38.226309652772422</v>
      </c>
      <c r="YJ17">
        <f t="shared" si="50"/>
        <v>38.883474574923994</v>
      </c>
      <c r="YK17">
        <f t="shared" si="50"/>
        <v>43.915909172286014</v>
      </c>
      <c r="YL17">
        <f t="shared" si="50"/>
        <v>45.823159516381693</v>
      </c>
      <c r="YM17">
        <f t="shared" si="50"/>
        <v>46.51976054044583</v>
      </c>
      <c r="YN17">
        <f t="shared" si="50"/>
        <v>50.337198956489189</v>
      </c>
      <c r="YO17">
        <f t="shared" si="50"/>
        <v>48.997582114599332</v>
      </c>
      <c r="YP17">
        <f t="shared" si="50"/>
        <v>46.85533553501304</v>
      </c>
      <c r="YQ17">
        <f t="shared" si="50"/>
        <v>48.352206427104136</v>
      </c>
      <c r="YR17">
        <f t="shared" si="50"/>
        <v>48.939051814917654</v>
      </c>
      <c r="YS17">
        <f t="shared" si="50"/>
        <v>49.540756734513188</v>
      </c>
      <c r="YT17">
        <f t="shared" si="50"/>
        <v>48.564338544448447</v>
      </c>
      <c r="YU17">
        <f t="shared" si="50"/>
        <v>50.003508076914812</v>
      </c>
      <c r="YV17">
        <f t="shared" si="50"/>
        <v>50.260669730734982</v>
      </c>
      <c r="YW17">
        <f t="shared" si="50"/>
        <v>50.849857526954722</v>
      </c>
      <c r="YX17">
        <f t="shared" si="50"/>
        <v>49.046976417438863</v>
      </c>
      <c r="YY17">
        <f t="shared" si="50"/>
        <v>52.647630975676165</v>
      </c>
      <c r="YZ17">
        <f t="shared" si="50"/>
        <v>52.071031256208386</v>
      </c>
      <c r="ZA17">
        <f t="shared" si="50"/>
        <v>51.79529331033379</v>
      </c>
      <c r="ZB17">
        <f t="shared" si="50"/>
        <v>51.933889779569611</v>
      </c>
      <c r="ZC17">
        <f t="shared" si="50"/>
        <v>52.17502861080613</v>
      </c>
      <c r="ZD17">
        <f t="shared" si="50"/>
        <v>51.32941756906903</v>
      </c>
      <c r="ZE17">
        <f t="shared" si="50"/>
        <v>51.536898753649268</v>
      </c>
      <c r="ZF17">
        <f t="shared" si="50"/>
        <v>51.14169040987543</v>
      </c>
      <c r="ZG17">
        <f t="shared" si="50"/>
        <v>51.572700986976578</v>
      </c>
      <c r="ZH17">
        <f t="shared" si="50"/>
        <v>52.56369368163611</v>
      </c>
      <c r="ZI17">
        <f t="shared" si="50"/>
        <v>54.607432882862931</v>
      </c>
      <c r="ZJ17">
        <f t="shared" si="50"/>
        <v>57.577066019632042</v>
      </c>
      <c r="ZK17">
        <f t="shared" si="50"/>
        <v>51.453266984445662</v>
      </c>
      <c r="ZL17">
        <f t="shared" si="50"/>
        <v>52.363315722677122</v>
      </c>
      <c r="ZM17">
        <f t="shared" si="50"/>
        <v>47.938511423511265</v>
      </c>
      <c r="ZN17">
        <f t="shared" si="50"/>
        <v>51.60865808368316</v>
      </c>
      <c r="ZO17">
        <f t="shared" si="50"/>
        <v>54.736359666625582</v>
      </c>
      <c r="ZP17">
        <f t="shared" si="50"/>
        <v>57.624799129132732</v>
      </c>
      <c r="ZQ17">
        <f t="shared" si="50"/>
        <v>57.195220098322856</v>
      </c>
      <c r="ZR17">
        <f t="shared" si="50"/>
        <v>56.027488836824517</v>
      </c>
      <c r="ZS17">
        <f t="shared" si="50"/>
        <v>56.773846233963575</v>
      </c>
      <c r="ZT17">
        <f t="shared" si="50"/>
        <v>56.004562413750989</v>
      </c>
      <c r="ZU17">
        <f t="shared" si="50"/>
        <v>57.803106459279732</v>
      </c>
      <c r="ZV17">
        <f t="shared" si="50"/>
        <v>61.982589336150198</v>
      </c>
      <c r="ZW17">
        <f t="shared" si="50"/>
        <v>59.964851804806976</v>
      </c>
      <c r="ZX17">
        <f t="shared" si="50"/>
        <v>60.925845723592431</v>
      </c>
      <c r="ZY17">
        <f t="shared" si="50"/>
        <v>57.72269121789688</v>
      </c>
      <c r="ZZ17">
        <f t="shared" si="50"/>
        <v>56.22816870002314</v>
      </c>
      <c r="AAA17">
        <f t="shared" si="50"/>
        <v>55.166880516703927</v>
      </c>
      <c r="AAB17">
        <f t="shared" si="50"/>
        <v>56.708594020985657</v>
      </c>
      <c r="AAC17">
        <f t="shared" si="50"/>
        <v>57.686009953085993</v>
      </c>
      <c r="AAD17">
        <f t="shared" si="50"/>
        <v>60.173100448504215</v>
      </c>
      <c r="AAE17">
        <f t="shared" si="50"/>
        <v>62.800173537285772</v>
      </c>
      <c r="AAF17">
        <f t="shared" si="50"/>
        <v>65.281400573477882</v>
      </c>
      <c r="AAG17">
        <f t="shared" ref="AAG17:ACR17" si="51">AAF17*(1+AAG6)</f>
        <v>61.475237927956115</v>
      </c>
      <c r="AAH17">
        <f t="shared" si="51"/>
        <v>63.085296953562853</v>
      </c>
      <c r="AAI17">
        <f t="shared" si="51"/>
        <v>65.589742282899223</v>
      </c>
      <c r="AAJ17">
        <f t="shared" si="51"/>
        <v>69.618484040305958</v>
      </c>
      <c r="AAK17">
        <f t="shared" si="51"/>
        <v>69.861662699887191</v>
      </c>
      <c r="AAL17">
        <f t="shared" si="51"/>
        <v>67.490189207054257</v>
      </c>
      <c r="AAM17">
        <f t="shared" si="51"/>
        <v>70.438611217183748</v>
      </c>
      <c r="AAN17">
        <f t="shared" si="51"/>
        <v>69.036559844205357</v>
      </c>
      <c r="AAO17">
        <f t="shared" si="51"/>
        <v>64.782955878569823</v>
      </c>
      <c r="AAP17">
        <f t="shared" si="51"/>
        <v>65.040812816358553</v>
      </c>
      <c r="AAQ17">
        <f t="shared" si="51"/>
        <v>68.070892654724972</v>
      </c>
      <c r="AAR17">
        <f t="shared" si="51"/>
        <v>66.189741630075829</v>
      </c>
      <c r="AAS17">
        <f t="shared" si="51"/>
        <v>64.611322013394428</v>
      </c>
      <c r="AAT17">
        <f t="shared" si="51"/>
        <v>60.923875599572106</v>
      </c>
      <c r="AAU17">
        <f t="shared" si="51"/>
        <v>61.590878320348388</v>
      </c>
      <c r="AAV17">
        <f t="shared" si="51"/>
        <v>63.047462656668174</v>
      </c>
      <c r="AAW17">
        <f t="shared" si="51"/>
        <v>65.896202289751656</v>
      </c>
      <c r="AAX17">
        <f t="shared" si="51"/>
        <v>67.277859853489375</v>
      </c>
      <c r="AAY17">
        <f t="shared" si="51"/>
        <v>67.85844156941333</v>
      </c>
      <c r="AAZ17">
        <f t="shared" si="51"/>
        <v>69.726763894288283</v>
      </c>
      <c r="ABA17">
        <f t="shared" si="51"/>
        <v>69.576955798550543</v>
      </c>
      <c r="ABB17">
        <f t="shared" si="51"/>
        <v>71.440013494536359</v>
      </c>
      <c r="ABC17">
        <f t="shared" si="51"/>
        <v>73.768591810958412</v>
      </c>
      <c r="ABD17">
        <f t="shared" si="51"/>
        <v>71.488804141751373</v>
      </c>
      <c r="ABE17">
        <f t="shared" si="51"/>
        <v>74.7327119386768</v>
      </c>
      <c r="ABF17">
        <f t="shared" si="51"/>
        <v>78.203528366793506</v>
      </c>
      <c r="ABG17">
        <f t="shared" si="51"/>
        <v>81.083827278378379</v>
      </c>
      <c r="ABH17">
        <f t="shared" si="51"/>
        <v>77.422461571270361</v>
      </c>
      <c r="ABI17">
        <f t="shared" si="51"/>
        <v>81.76766334038156</v>
      </c>
      <c r="ABJ17">
        <f t="shared" si="51"/>
        <v>84.145385053582515</v>
      </c>
      <c r="ABK17">
        <f t="shared" si="51"/>
        <v>82.111686313212061</v>
      </c>
      <c r="ABL17">
        <f t="shared" si="51"/>
        <v>81.604115960823989</v>
      </c>
      <c r="ABM17">
        <f t="shared" si="51"/>
        <v>78.029071694093304</v>
      </c>
      <c r="ABN17">
        <f t="shared" si="51"/>
        <v>71.917630058492051</v>
      </c>
      <c r="ABO17">
        <f t="shared" si="51"/>
        <v>75.165831720063807</v>
      </c>
      <c r="ABP17">
        <f t="shared" si="51"/>
        <v>80.07177390717942</v>
      </c>
      <c r="ABQ17">
        <f t="shared" si="51"/>
        <v>74.449933129056177</v>
      </c>
      <c r="ABR17">
        <f t="shared" si="51"/>
        <v>74.378069988802864</v>
      </c>
      <c r="ABS17">
        <f t="shared" si="51"/>
        <v>74.771518923220015</v>
      </c>
      <c r="ABT17">
        <f t="shared" si="51"/>
        <v>73.995722995754363</v>
      </c>
      <c r="ABU17">
        <f t="shared" si="51"/>
        <v>78.414212244621865</v>
      </c>
      <c r="ABV17">
        <f t="shared" si="51"/>
        <v>77.154799646220795</v>
      </c>
      <c r="ABW17">
        <f t="shared" si="51"/>
        <v>78.202178215243592</v>
      </c>
      <c r="ABX17">
        <f t="shared" si="51"/>
        <v>79.255677564608121</v>
      </c>
      <c r="ABY17">
        <f t="shared" si="51"/>
        <v>80.318620513548581</v>
      </c>
      <c r="ABZ17">
        <f t="shared" si="51"/>
        <v>80.137260579187199</v>
      </c>
      <c r="ACA17">
        <f t="shared" si="51"/>
        <v>81.847439583285578</v>
      </c>
      <c r="ACB17">
        <f t="shared" si="51"/>
        <v>81.349155310762455</v>
      </c>
      <c r="ACC17">
        <f t="shared" si="51"/>
        <v>81.911550384692703</v>
      </c>
      <c r="ACD17">
        <f t="shared" si="51"/>
        <v>83.177234916273321</v>
      </c>
      <c r="ACE17">
        <f t="shared" si="51"/>
        <v>83.60822574931737</v>
      </c>
      <c r="ACF17">
        <f t="shared" si="51"/>
        <v>88.014994718928691</v>
      </c>
      <c r="ACG17">
        <f t="shared" si="51"/>
        <v>88.037275011498991</v>
      </c>
      <c r="ACH17">
        <f t="shared" si="51"/>
        <v>88.606572442567128</v>
      </c>
      <c r="ACI17">
        <f t="shared" si="51"/>
        <v>90.206305623216195</v>
      </c>
      <c r="ACJ17">
        <f t="shared" si="51"/>
        <v>85.018888207570853</v>
      </c>
      <c r="ACK17">
        <f t="shared" si="51"/>
        <v>86.710013289247883</v>
      </c>
      <c r="ACL17">
        <f t="shared" si="51"/>
        <v>88.356326481972104</v>
      </c>
      <c r="ACM17">
        <f t="shared" si="51"/>
        <v>90.25161405655011</v>
      </c>
      <c r="ACN17">
        <f t="shared" si="51"/>
        <v>99.049030314524359</v>
      </c>
      <c r="ACO17">
        <f t="shared" si="51"/>
        <v>100.61453427094666</v>
      </c>
      <c r="ACP17">
        <f t="shared" si="51"/>
        <v>96.740265202550006</v>
      </c>
      <c r="ACQ17">
        <f t="shared" si="51"/>
        <v>96.081622066334873</v>
      </c>
      <c r="ACR17">
        <f t="shared" si="51"/>
        <v>95.147955072663379</v>
      </c>
      <c r="ACS17">
        <f t="shared" ref="ACS17:ACV17" si="52">ACR17*(1+ACS6)</f>
        <v>96.737884497516077</v>
      </c>
      <c r="ACT17">
        <f t="shared" si="52"/>
        <v>92.934537742166569</v>
      </c>
      <c r="ACU17">
        <f t="shared" si="52"/>
        <v>84.702206430129451</v>
      </c>
      <c r="ACV17">
        <f t="shared" si="52"/>
        <v>86.124087471717857</v>
      </c>
    </row>
    <row r="18" spans="1:776" x14ac:dyDescent="0.2">
      <c r="A18" s="6" t="s">
        <v>70665</v>
      </c>
      <c r="B18">
        <f t="shared" ref="B18:B22" si="53">$A$13*(1+B7)</f>
        <v>99.677211977947138</v>
      </c>
      <c r="C18">
        <f t="shared" ref="C18:D22" si="54">B18*(1+C7)</f>
        <v>100.36265385702995</v>
      </c>
      <c r="D18">
        <f t="shared" si="54"/>
        <v>99.7052267033947</v>
      </c>
      <c r="E18">
        <f t="shared" ref="E18:BP18" si="55">D18*(1+E7)</f>
        <v>100.36369994498587</v>
      </c>
      <c r="F18">
        <f t="shared" si="55"/>
        <v>99.40831834765136</v>
      </c>
      <c r="G18">
        <f t="shared" si="55"/>
        <v>100.83059739594283</v>
      </c>
      <c r="H18">
        <f t="shared" si="55"/>
        <v>100.91646411412259</v>
      </c>
      <c r="I18">
        <f t="shared" si="55"/>
        <v>100.59914728261502</v>
      </c>
      <c r="J18">
        <f t="shared" si="55"/>
        <v>100.20965876219806</v>
      </c>
      <c r="K18">
        <f t="shared" si="55"/>
        <v>100.1777618454088</v>
      </c>
      <c r="L18">
        <f t="shared" si="55"/>
        <v>100.70538677755296</v>
      </c>
      <c r="M18">
        <f t="shared" si="55"/>
        <v>101.96993012305056</v>
      </c>
      <c r="N18">
        <f t="shared" si="55"/>
        <v>101.62664762689398</v>
      </c>
      <c r="O18">
        <f t="shared" si="55"/>
        <v>100.72694930250037</v>
      </c>
      <c r="P18">
        <f t="shared" si="55"/>
        <v>100.21760278142885</v>
      </c>
      <c r="Q18">
        <f t="shared" si="55"/>
        <v>101.12230416772715</v>
      </c>
      <c r="R18">
        <f t="shared" si="55"/>
        <v>100.4928007323916</v>
      </c>
      <c r="S18">
        <f t="shared" si="55"/>
        <v>101.0037257049684</v>
      </c>
      <c r="T18">
        <f t="shared" si="55"/>
        <v>99.642553926061197</v>
      </c>
      <c r="U18">
        <f t="shared" si="55"/>
        <v>98.600804745378085</v>
      </c>
      <c r="V18">
        <f t="shared" si="55"/>
        <v>98.30722309342454</v>
      </c>
      <c r="W18">
        <f t="shared" si="55"/>
        <v>98.472854301456195</v>
      </c>
      <c r="X18">
        <f t="shared" si="55"/>
        <v>97.41792782996113</v>
      </c>
      <c r="Y18">
        <f t="shared" si="55"/>
        <v>97.287907527290798</v>
      </c>
      <c r="Z18">
        <f t="shared" si="55"/>
        <v>99.30764633281737</v>
      </c>
      <c r="AA18">
        <f t="shared" si="55"/>
        <v>100.4255994885651</v>
      </c>
      <c r="AB18">
        <f t="shared" si="55"/>
        <v>100.79519853439638</v>
      </c>
      <c r="AC18">
        <f t="shared" si="55"/>
        <v>104.44385367350856</v>
      </c>
      <c r="AD18">
        <f t="shared" si="55"/>
        <v>105.22206146358862</v>
      </c>
      <c r="AE18">
        <f t="shared" si="55"/>
        <v>104.69771207418168</v>
      </c>
      <c r="AF18">
        <f t="shared" si="55"/>
        <v>104.06786249287323</v>
      </c>
      <c r="AG18">
        <f t="shared" si="55"/>
        <v>104.2836672218603</v>
      </c>
      <c r="AH18">
        <f t="shared" si="55"/>
        <v>103.51669303635569</v>
      </c>
      <c r="AI18">
        <f t="shared" si="55"/>
        <v>102.4872612181633</v>
      </c>
      <c r="AJ18">
        <f t="shared" si="55"/>
        <v>102.47186980497533</v>
      </c>
      <c r="AK18">
        <f t="shared" si="55"/>
        <v>100.22801310617513</v>
      </c>
      <c r="AL18">
        <f t="shared" si="55"/>
        <v>100.28965898308915</v>
      </c>
      <c r="AM18">
        <f t="shared" si="55"/>
        <v>100.37432181953736</v>
      </c>
      <c r="AN18">
        <f t="shared" si="55"/>
        <v>101.86275681492893</v>
      </c>
      <c r="AO18">
        <f t="shared" si="55"/>
        <v>101.3829485157746</v>
      </c>
      <c r="AP18">
        <f t="shared" si="55"/>
        <v>102.08342666122624</v>
      </c>
      <c r="AQ18">
        <f t="shared" si="55"/>
        <v>104.54529106769695</v>
      </c>
      <c r="AR18">
        <f t="shared" si="55"/>
        <v>105.28718110802591</v>
      </c>
      <c r="AS18">
        <f t="shared" si="55"/>
        <v>105.4220882954174</v>
      </c>
      <c r="AT18">
        <f t="shared" si="55"/>
        <v>105.14675840173811</v>
      </c>
      <c r="AU18">
        <f t="shared" si="55"/>
        <v>104.02028483234756</v>
      </c>
      <c r="AV18">
        <f t="shared" si="55"/>
        <v>101.7638956645801</v>
      </c>
      <c r="AW18">
        <f t="shared" si="55"/>
        <v>102.72471903051074</v>
      </c>
      <c r="AX18">
        <f t="shared" si="55"/>
        <v>103.14892336161</v>
      </c>
      <c r="AY18">
        <f t="shared" si="55"/>
        <v>103.0377120088007</v>
      </c>
      <c r="AZ18">
        <f t="shared" si="55"/>
        <v>102.47481885028751</v>
      </c>
      <c r="BA18">
        <f t="shared" si="55"/>
        <v>101.27583114662063</v>
      </c>
      <c r="BB18">
        <f t="shared" si="55"/>
        <v>99.972276173846325</v>
      </c>
      <c r="BC18">
        <f t="shared" si="55"/>
        <v>96.851555286016008</v>
      </c>
      <c r="BD18">
        <f t="shared" si="55"/>
        <v>97.317851510569966</v>
      </c>
      <c r="BE18">
        <f t="shared" si="55"/>
        <v>95.341999336492478</v>
      </c>
      <c r="BF18">
        <f t="shared" si="55"/>
        <v>95.28367751053058</v>
      </c>
      <c r="BG18">
        <f t="shared" si="55"/>
        <v>94.772130862624863</v>
      </c>
      <c r="BH18">
        <f t="shared" si="55"/>
        <v>94.342106498238039</v>
      </c>
      <c r="BI18">
        <f t="shared" si="55"/>
        <v>95.873046790311733</v>
      </c>
      <c r="BJ18">
        <f t="shared" si="55"/>
        <v>96.162492917498327</v>
      </c>
      <c r="BK18">
        <f t="shared" si="55"/>
        <v>93.716558397501245</v>
      </c>
      <c r="BL18">
        <f t="shared" si="55"/>
        <v>94.576428648571309</v>
      </c>
      <c r="BM18">
        <f t="shared" si="55"/>
        <v>95.865937164446066</v>
      </c>
      <c r="BN18">
        <f t="shared" si="55"/>
        <v>97.06570469892479</v>
      </c>
      <c r="BO18">
        <f t="shared" si="55"/>
        <v>96.844283995819524</v>
      </c>
      <c r="BP18">
        <f t="shared" si="55"/>
        <v>93.944569082945705</v>
      </c>
      <c r="BQ18">
        <f t="shared" ref="BQ18:EB18" si="56">BP18*(1+BQ7)</f>
        <v>93.199289381384048</v>
      </c>
      <c r="BR18">
        <f t="shared" si="56"/>
        <v>93.52769977037859</v>
      </c>
      <c r="BS18">
        <f t="shared" si="56"/>
        <v>92.597196609208197</v>
      </c>
      <c r="BT18">
        <f t="shared" si="56"/>
        <v>92.493721195613318</v>
      </c>
      <c r="BU18">
        <f t="shared" si="56"/>
        <v>92.746238470971363</v>
      </c>
      <c r="BV18">
        <f t="shared" si="56"/>
        <v>92.525966484630857</v>
      </c>
      <c r="BW18">
        <f t="shared" si="56"/>
        <v>92.125904187520803</v>
      </c>
      <c r="BX18">
        <f t="shared" si="56"/>
        <v>92.055289221568373</v>
      </c>
      <c r="BY18">
        <f t="shared" si="56"/>
        <v>91.72735124540965</v>
      </c>
      <c r="BZ18">
        <f t="shared" si="56"/>
        <v>91.307233802258537</v>
      </c>
      <c r="CA18">
        <f t="shared" si="56"/>
        <v>93.006089106872778</v>
      </c>
      <c r="CB18">
        <f t="shared" si="56"/>
        <v>93.509951701445061</v>
      </c>
      <c r="CC18">
        <f t="shared" si="56"/>
        <v>92.108759388595743</v>
      </c>
      <c r="CD18">
        <f t="shared" si="56"/>
        <v>91.416369201942004</v>
      </c>
      <c r="CE18">
        <f t="shared" si="56"/>
        <v>92.720846422886467</v>
      </c>
      <c r="CF18">
        <f t="shared" si="56"/>
        <v>92.400770766203109</v>
      </c>
      <c r="CG18">
        <f t="shared" si="56"/>
        <v>92.468463674693027</v>
      </c>
      <c r="CH18">
        <f t="shared" si="56"/>
        <v>92.113153202059365</v>
      </c>
      <c r="CI18">
        <f t="shared" si="56"/>
        <v>93.077335691899208</v>
      </c>
      <c r="CJ18">
        <f t="shared" si="56"/>
        <v>92.592276652407492</v>
      </c>
      <c r="CK18">
        <f t="shared" si="56"/>
        <v>92.536179686618397</v>
      </c>
      <c r="CL18">
        <f t="shared" si="56"/>
        <v>92.566293065833349</v>
      </c>
      <c r="CM18">
        <f t="shared" si="56"/>
        <v>92.442767538319615</v>
      </c>
      <c r="CN18">
        <f t="shared" si="56"/>
        <v>92.223328516609243</v>
      </c>
      <c r="CO18">
        <f t="shared" si="56"/>
        <v>91.921158651710641</v>
      </c>
      <c r="CP18">
        <f t="shared" si="56"/>
        <v>90.553979459417121</v>
      </c>
      <c r="CQ18">
        <f t="shared" si="56"/>
        <v>90.551240955506245</v>
      </c>
      <c r="CR18">
        <f t="shared" si="56"/>
        <v>90.497615980225348</v>
      </c>
      <c r="CS18">
        <f t="shared" si="56"/>
        <v>90.028974620345807</v>
      </c>
      <c r="CT18">
        <f t="shared" si="56"/>
        <v>89.357914775441827</v>
      </c>
      <c r="CU18">
        <f t="shared" si="56"/>
        <v>89.505536246445914</v>
      </c>
      <c r="CV18">
        <f t="shared" si="56"/>
        <v>89.60256807302639</v>
      </c>
      <c r="CW18">
        <f t="shared" si="56"/>
        <v>89.6572836392087</v>
      </c>
      <c r="CX18">
        <f t="shared" si="56"/>
        <v>88.227126226006504</v>
      </c>
      <c r="CY18">
        <f t="shared" si="56"/>
        <v>87.671700473503989</v>
      </c>
      <c r="CZ18">
        <f t="shared" si="56"/>
        <v>87.810392233752239</v>
      </c>
      <c r="DA18">
        <f t="shared" si="56"/>
        <v>87.743993044219408</v>
      </c>
      <c r="DB18">
        <f t="shared" si="56"/>
        <v>87.42447001857731</v>
      </c>
      <c r="DC18">
        <f t="shared" si="56"/>
        <v>86.707343481151796</v>
      </c>
      <c r="DD18">
        <f t="shared" si="56"/>
        <v>86.676730544456035</v>
      </c>
      <c r="DE18">
        <f t="shared" si="56"/>
        <v>88.941476880159541</v>
      </c>
      <c r="DF18">
        <f t="shared" si="56"/>
        <v>87.44526384766057</v>
      </c>
      <c r="DG18">
        <f t="shared" si="56"/>
        <v>88.970769318767424</v>
      </c>
      <c r="DH18">
        <f t="shared" si="56"/>
        <v>88.883486067000263</v>
      </c>
      <c r="DI18">
        <f t="shared" si="56"/>
        <v>91.593054083563928</v>
      </c>
      <c r="DJ18">
        <f t="shared" si="56"/>
        <v>89.760987258163638</v>
      </c>
      <c r="DK18">
        <f t="shared" si="56"/>
        <v>89.340637812682473</v>
      </c>
      <c r="DL18">
        <f t="shared" si="56"/>
        <v>94.199449794102705</v>
      </c>
      <c r="DM18">
        <f t="shared" si="56"/>
        <v>92.95536081386436</v>
      </c>
      <c r="DN18">
        <f t="shared" si="56"/>
        <v>92.435586660762354</v>
      </c>
      <c r="DO18">
        <f t="shared" si="56"/>
        <v>91.505302912732759</v>
      </c>
      <c r="DP18">
        <f t="shared" si="56"/>
        <v>92.705048212817218</v>
      </c>
      <c r="DQ18">
        <f t="shared" si="56"/>
        <v>91.557440973083828</v>
      </c>
      <c r="DR18">
        <f t="shared" si="56"/>
        <v>92.996957012722916</v>
      </c>
      <c r="DS18">
        <f t="shared" si="56"/>
        <v>95.446784553046257</v>
      </c>
      <c r="DT18">
        <f t="shared" si="56"/>
        <v>96.059713893831059</v>
      </c>
      <c r="DU18">
        <f t="shared" si="56"/>
        <v>95.007105073144658</v>
      </c>
      <c r="DV18">
        <f t="shared" si="56"/>
        <v>94.94154305080734</v>
      </c>
      <c r="DW18">
        <f t="shared" si="56"/>
        <v>93.640205147698083</v>
      </c>
      <c r="DX18">
        <f t="shared" si="56"/>
        <v>92.562728383371436</v>
      </c>
      <c r="DY18">
        <f t="shared" si="56"/>
        <v>94.251810415349922</v>
      </c>
      <c r="DZ18">
        <f t="shared" si="56"/>
        <v>95.044644033827439</v>
      </c>
      <c r="EA18">
        <f t="shared" si="56"/>
        <v>97.943725899828152</v>
      </c>
      <c r="EB18">
        <f t="shared" si="56"/>
        <v>99.031381942325154</v>
      </c>
      <c r="EC18">
        <f t="shared" ref="EC18:GN18" si="57">EB18*(1+EC7)</f>
        <v>99.481721526495079</v>
      </c>
      <c r="ED18">
        <f t="shared" si="57"/>
        <v>98.303674224959494</v>
      </c>
      <c r="EE18">
        <f t="shared" si="57"/>
        <v>99.341691789233153</v>
      </c>
      <c r="EF18">
        <f t="shared" si="57"/>
        <v>99.553346404668829</v>
      </c>
      <c r="EG18">
        <f t="shared" si="57"/>
        <v>99.844571204703371</v>
      </c>
      <c r="EH18">
        <f t="shared" si="57"/>
        <v>101.05496952718572</v>
      </c>
      <c r="EI18">
        <f t="shared" si="57"/>
        <v>102.39517843340319</v>
      </c>
      <c r="EJ18">
        <f t="shared" si="57"/>
        <v>102.17047823828455</v>
      </c>
      <c r="EK18">
        <f t="shared" si="57"/>
        <v>99.976876944873979</v>
      </c>
      <c r="EL18">
        <f t="shared" si="57"/>
        <v>98.538604903317193</v>
      </c>
      <c r="EM18">
        <f t="shared" si="57"/>
        <v>98.737151675304133</v>
      </c>
      <c r="EN18">
        <f t="shared" si="57"/>
        <v>100.08117755424919</v>
      </c>
      <c r="EO18">
        <f t="shared" si="57"/>
        <v>100.84083339641046</v>
      </c>
      <c r="EP18">
        <f t="shared" si="57"/>
        <v>101.04058856894986</v>
      </c>
      <c r="EQ18">
        <f t="shared" si="57"/>
        <v>102.9212506737516</v>
      </c>
      <c r="ER18">
        <f t="shared" si="57"/>
        <v>106.36984856921157</v>
      </c>
      <c r="ES18">
        <f t="shared" si="57"/>
        <v>107.45157129119069</v>
      </c>
      <c r="ET18">
        <f t="shared" si="57"/>
        <v>111.07863183422029</v>
      </c>
      <c r="EU18">
        <f t="shared" si="57"/>
        <v>110.97955028635074</v>
      </c>
      <c r="EV18">
        <f t="shared" si="57"/>
        <v>110.76422592430343</v>
      </c>
      <c r="EW18">
        <f t="shared" si="57"/>
        <v>109.2160986702736</v>
      </c>
      <c r="EX18">
        <f t="shared" si="57"/>
        <v>107.53483536357047</v>
      </c>
      <c r="EY18">
        <f t="shared" si="57"/>
        <v>109.59214962430774</v>
      </c>
      <c r="EZ18">
        <f t="shared" si="57"/>
        <v>110.91319829284728</v>
      </c>
      <c r="FA18">
        <f t="shared" si="57"/>
        <v>110.57691212085902</v>
      </c>
      <c r="FB18">
        <f t="shared" si="57"/>
        <v>111.88504329359742</v>
      </c>
      <c r="FC18">
        <f t="shared" si="57"/>
        <v>112.37534445424309</v>
      </c>
      <c r="FD18">
        <f t="shared" si="57"/>
        <v>112.95613128489026</v>
      </c>
      <c r="FE18">
        <f t="shared" si="57"/>
        <v>112.23013097206305</v>
      </c>
      <c r="FF18">
        <f t="shared" si="57"/>
        <v>114.09230885338789</v>
      </c>
      <c r="FG18">
        <f t="shared" si="57"/>
        <v>112.91800649898148</v>
      </c>
      <c r="FH18">
        <f t="shared" si="57"/>
        <v>112.99270001339586</v>
      </c>
      <c r="FI18">
        <f t="shared" si="57"/>
        <v>112.48190037273278</v>
      </c>
      <c r="FJ18">
        <f t="shared" si="57"/>
        <v>110.47919232085844</v>
      </c>
      <c r="FK18">
        <f t="shared" si="57"/>
        <v>111.1840060812514</v>
      </c>
      <c r="FL18">
        <f t="shared" si="57"/>
        <v>110.90318805494898</v>
      </c>
      <c r="FM18">
        <f t="shared" si="57"/>
        <v>111.03930862548197</v>
      </c>
      <c r="FN18">
        <f t="shared" si="57"/>
        <v>110.66026241854929</v>
      </c>
      <c r="FO18">
        <f t="shared" si="57"/>
        <v>111.39713514484107</v>
      </c>
      <c r="FP18">
        <f t="shared" si="57"/>
        <v>111.68740164820927</v>
      </c>
      <c r="FQ18">
        <f t="shared" si="57"/>
        <v>111.4394880475875</v>
      </c>
      <c r="FR18">
        <f t="shared" si="57"/>
        <v>112.42644502320525</v>
      </c>
      <c r="FS18">
        <f t="shared" si="57"/>
        <v>112.94545302282044</v>
      </c>
      <c r="FT18">
        <f t="shared" si="57"/>
        <v>114.67168309860658</v>
      </c>
      <c r="FU18">
        <f t="shared" si="57"/>
        <v>114.90867467083568</v>
      </c>
      <c r="FV18">
        <f t="shared" si="57"/>
        <v>114.34892605750701</v>
      </c>
      <c r="FW18">
        <f t="shared" si="57"/>
        <v>116.0595071411888</v>
      </c>
      <c r="FX18">
        <f t="shared" si="57"/>
        <v>117.10440010681397</v>
      </c>
      <c r="FY18">
        <f t="shared" si="57"/>
        <v>117.81586812613597</v>
      </c>
      <c r="FZ18">
        <f t="shared" si="57"/>
        <v>118.93841836978969</v>
      </c>
      <c r="GA18">
        <f t="shared" si="57"/>
        <v>119.96735217439605</v>
      </c>
      <c r="GB18">
        <f t="shared" si="57"/>
        <v>119.45706836609868</v>
      </c>
      <c r="GC18">
        <f t="shared" si="57"/>
        <v>120.84618318171461</v>
      </c>
      <c r="GD18">
        <f t="shared" si="57"/>
        <v>121.52316327347657</v>
      </c>
      <c r="GE18">
        <f t="shared" si="57"/>
        <v>123.72335644359326</v>
      </c>
      <c r="GF18">
        <f t="shared" si="57"/>
        <v>126.33978942960127</v>
      </c>
      <c r="GG18">
        <f t="shared" si="57"/>
        <v>126.0371524258393</v>
      </c>
      <c r="GH18">
        <f t="shared" si="57"/>
        <v>126.45502738682727</v>
      </c>
      <c r="GI18">
        <f t="shared" si="57"/>
        <v>124.52944120423133</v>
      </c>
      <c r="GJ18">
        <f t="shared" si="57"/>
        <v>122.70440941571172</v>
      </c>
      <c r="GK18">
        <f t="shared" si="57"/>
        <v>120.46348245199241</v>
      </c>
      <c r="GL18">
        <f t="shared" si="57"/>
        <v>119.81905454383994</v>
      </c>
      <c r="GM18">
        <f t="shared" si="57"/>
        <v>117.93923834719615</v>
      </c>
      <c r="GN18">
        <f t="shared" si="57"/>
        <v>118.42927901575645</v>
      </c>
      <c r="GO18">
        <f t="shared" ref="GO18:IZ18" si="58">GN18*(1+GO7)</f>
        <v>117.50040978699218</v>
      </c>
      <c r="GP18">
        <f t="shared" si="58"/>
        <v>116.40950971675605</v>
      </c>
      <c r="GQ18">
        <f t="shared" si="58"/>
        <v>116.87463693375685</v>
      </c>
      <c r="GR18">
        <f t="shared" si="58"/>
        <v>117.42752397992543</v>
      </c>
      <c r="GS18">
        <f t="shared" si="58"/>
        <v>120.32658649027707</v>
      </c>
      <c r="GT18">
        <f t="shared" si="58"/>
        <v>122.83594701098629</v>
      </c>
      <c r="GU18">
        <f t="shared" si="58"/>
        <v>123.26479262317548</v>
      </c>
      <c r="GV18">
        <f t="shared" si="58"/>
        <v>124.49446069405812</v>
      </c>
      <c r="GW18">
        <f t="shared" si="58"/>
        <v>124.69311019462667</v>
      </c>
      <c r="GX18">
        <f t="shared" si="58"/>
        <v>123.74863693111229</v>
      </c>
      <c r="GY18">
        <f t="shared" si="58"/>
        <v>125.5980604761715</v>
      </c>
      <c r="GZ18">
        <f t="shared" si="58"/>
        <v>124.54541609864962</v>
      </c>
      <c r="HA18">
        <f t="shared" si="58"/>
        <v>123.52328725193307</v>
      </c>
      <c r="HB18">
        <f t="shared" si="58"/>
        <v>120.78694768050819</v>
      </c>
      <c r="HC18">
        <f t="shared" si="58"/>
        <v>120.26048575247765</v>
      </c>
      <c r="HD18">
        <f t="shared" si="58"/>
        <v>120.06624954370652</v>
      </c>
      <c r="HE18">
        <f t="shared" si="58"/>
        <v>119.92203847000179</v>
      </c>
      <c r="HF18">
        <f t="shared" si="58"/>
        <v>120.86263652743764</v>
      </c>
      <c r="HG18">
        <f t="shared" si="58"/>
        <v>121.68242022540831</v>
      </c>
      <c r="HH18">
        <f t="shared" si="58"/>
        <v>120.70387925185692</v>
      </c>
      <c r="HI18">
        <f t="shared" si="58"/>
        <v>122.31827118049934</v>
      </c>
      <c r="HJ18">
        <f t="shared" si="58"/>
        <v>122.82523076266945</v>
      </c>
      <c r="HK18">
        <f t="shared" si="58"/>
        <v>122.23058757329967</v>
      </c>
      <c r="HL18">
        <f t="shared" si="58"/>
        <v>120.89429103481982</v>
      </c>
      <c r="HM18">
        <f t="shared" si="58"/>
        <v>118.70589776269357</v>
      </c>
      <c r="HN18">
        <f t="shared" si="58"/>
        <v>118.94483385732704</v>
      </c>
      <c r="HO18">
        <f t="shared" si="58"/>
        <v>119.18799893546894</v>
      </c>
      <c r="HP18">
        <f t="shared" si="58"/>
        <v>119.33953463581706</v>
      </c>
      <c r="HQ18">
        <f t="shared" si="58"/>
        <v>121.3809858450017</v>
      </c>
      <c r="HR18">
        <f t="shared" si="58"/>
        <v>119.89366820870097</v>
      </c>
      <c r="HS18">
        <f t="shared" si="58"/>
        <v>118.56031572366616</v>
      </c>
      <c r="HT18">
        <f t="shared" si="58"/>
        <v>117.13559380096068</v>
      </c>
      <c r="HU18">
        <f t="shared" si="58"/>
        <v>118.42193907589544</v>
      </c>
      <c r="HV18">
        <f t="shared" si="58"/>
        <v>116.89195259204216</v>
      </c>
      <c r="HW18">
        <f t="shared" si="58"/>
        <v>117.65172425313001</v>
      </c>
      <c r="HX18">
        <f t="shared" si="58"/>
        <v>118.37142101993624</v>
      </c>
      <c r="HY18">
        <f t="shared" si="58"/>
        <v>117.07162167396619</v>
      </c>
      <c r="HZ18">
        <f t="shared" si="58"/>
        <v>114.46485142570278</v>
      </c>
      <c r="IA18">
        <f t="shared" si="58"/>
        <v>113.99161575752147</v>
      </c>
      <c r="IB18">
        <f t="shared" si="58"/>
        <v>114.86478099325376</v>
      </c>
      <c r="IC18">
        <f t="shared" si="58"/>
        <v>115.56694981912351</v>
      </c>
      <c r="ID18">
        <f t="shared" si="58"/>
        <v>115.38096732251864</v>
      </c>
      <c r="IE18">
        <f t="shared" si="58"/>
        <v>115.53020209833134</v>
      </c>
      <c r="IF18">
        <f t="shared" si="58"/>
        <v>114.87832493613814</v>
      </c>
      <c r="IG18">
        <f t="shared" si="58"/>
        <v>115.68073100074969</v>
      </c>
      <c r="IH18">
        <f t="shared" si="58"/>
        <v>116.03227197765392</v>
      </c>
      <c r="II18">
        <f t="shared" si="58"/>
        <v>117.79137777847387</v>
      </c>
      <c r="IJ18">
        <f t="shared" si="58"/>
        <v>117.69493225869374</v>
      </c>
      <c r="IK18">
        <f t="shared" si="58"/>
        <v>114.67585476686348</v>
      </c>
      <c r="IL18">
        <f t="shared" si="58"/>
        <v>114.52677230742373</v>
      </c>
      <c r="IM18">
        <f t="shared" si="58"/>
        <v>116.31151956451724</v>
      </c>
      <c r="IN18">
        <f t="shared" si="58"/>
        <v>116.98790066675237</v>
      </c>
      <c r="IO18">
        <f t="shared" si="58"/>
        <v>119.23244380924476</v>
      </c>
      <c r="IP18">
        <f t="shared" si="58"/>
        <v>118.21239969528818</v>
      </c>
      <c r="IQ18">
        <f t="shared" si="58"/>
        <v>119.00036321058438</v>
      </c>
      <c r="IR18">
        <f t="shared" si="58"/>
        <v>120.0367070964511</v>
      </c>
      <c r="IS18">
        <f t="shared" si="58"/>
        <v>121.49964384337726</v>
      </c>
      <c r="IT18">
        <f t="shared" si="58"/>
        <v>122.14492827459078</v>
      </c>
      <c r="IU18">
        <f t="shared" si="58"/>
        <v>123.2720010878615</v>
      </c>
      <c r="IV18">
        <f t="shared" si="58"/>
        <v>122.57331206600941</v>
      </c>
      <c r="IW18">
        <f t="shared" si="58"/>
        <v>122.52723931527434</v>
      </c>
      <c r="IX18">
        <f t="shared" si="58"/>
        <v>122.75916909805542</v>
      </c>
      <c r="IY18">
        <f t="shared" si="58"/>
        <v>122.6082050026935</v>
      </c>
      <c r="IZ18">
        <f t="shared" si="58"/>
        <v>123.34222528315534</v>
      </c>
      <c r="JA18">
        <f t="shared" ref="JA18:LL18" si="59">IZ18*(1+JA7)</f>
        <v>124.49446469248994</v>
      </c>
      <c r="JB18">
        <f t="shared" si="59"/>
        <v>126.28909131706114</v>
      </c>
      <c r="JC18">
        <f t="shared" si="59"/>
        <v>127.45895250729529</v>
      </c>
      <c r="JD18">
        <f t="shared" si="59"/>
        <v>125.93041188839344</v>
      </c>
      <c r="JE18">
        <f t="shared" si="59"/>
        <v>127.79745105415662</v>
      </c>
      <c r="JF18">
        <f t="shared" si="59"/>
        <v>124.84795078143388</v>
      </c>
      <c r="JG18">
        <f t="shared" si="59"/>
        <v>126.70433131738879</v>
      </c>
      <c r="JH18">
        <f t="shared" si="59"/>
        <v>127.67403627030589</v>
      </c>
      <c r="JI18">
        <f t="shared" si="59"/>
        <v>128.42633746051419</v>
      </c>
      <c r="JJ18">
        <f t="shared" si="59"/>
        <v>127.78666969527016</v>
      </c>
      <c r="JK18">
        <f t="shared" si="59"/>
        <v>130.7209043945204</v>
      </c>
      <c r="JL18">
        <f t="shared" si="59"/>
        <v>134.83570208792034</v>
      </c>
      <c r="JM18">
        <f t="shared" si="59"/>
        <v>136.08890605441977</v>
      </c>
      <c r="JN18">
        <f t="shared" si="59"/>
        <v>134.1427281450693</v>
      </c>
      <c r="JO18">
        <f t="shared" si="59"/>
        <v>137.64216052689844</v>
      </c>
      <c r="JP18">
        <f t="shared" si="59"/>
        <v>142.38866350444607</v>
      </c>
      <c r="JQ18">
        <f t="shared" si="59"/>
        <v>141.56577280312572</v>
      </c>
      <c r="JR18">
        <f t="shared" si="59"/>
        <v>146.04328364852523</v>
      </c>
      <c r="JS18">
        <f t="shared" si="59"/>
        <v>147.17746918019651</v>
      </c>
      <c r="JT18">
        <f t="shared" si="59"/>
        <v>150.3498382265951</v>
      </c>
      <c r="JU18">
        <f t="shared" si="59"/>
        <v>151.72006671098274</v>
      </c>
      <c r="JV18">
        <f t="shared" si="59"/>
        <v>163.31583745968175</v>
      </c>
      <c r="JW18">
        <f t="shared" si="59"/>
        <v>156.24351591713344</v>
      </c>
      <c r="JX18">
        <f t="shared" si="59"/>
        <v>154.20043904543147</v>
      </c>
      <c r="JY18">
        <f t="shared" si="59"/>
        <v>155.50135068902475</v>
      </c>
      <c r="JZ18">
        <f t="shared" si="59"/>
        <v>155.6817161895211</v>
      </c>
      <c r="KA18">
        <f t="shared" si="59"/>
        <v>157.13043134939812</v>
      </c>
      <c r="KB18">
        <f t="shared" si="59"/>
        <v>157.24177259845177</v>
      </c>
      <c r="KC18">
        <f t="shared" si="59"/>
        <v>147.03377878484773</v>
      </c>
      <c r="KD18">
        <f t="shared" si="59"/>
        <v>142.37173751394701</v>
      </c>
      <c r="KE18">
        <f t="shared" si="59"/>
        <v>137.00823426462111</v>
      </c>
      <c r="KF18">
        <f t="shared" si="59"/>
        <v>136.37008801494551</v>
      </c>
      <c r="KG18">
        <f t="shared" si="59"/>
        <v>136.24288367748244</v>
      </c>
      <c r="KH18">
        <f t="shared" si="59"/>
        <v>133.81993041930903</v>
      </c>
      <c r="KI18">
        <f t="shared" si="59"/>
        <v>132.23465861293349</v>
      </c>
      <c r="KJ18">
        <f t="shared" si="59"/>
        <v>132.40390207217615</v>
      </c>
      <c r="KK18">
        <f t="shared" si="59"/>
        <v>133.22501222816669</v>
      </c>
      <c r="KL18">
        <f t="shared" si="59"/>
        <v>128.17194971048951</v>
      </c>
      <c r="KM18">
        <f t="shared" si="59"/>
        <v>127.70317268813085</v>
      </c>
      <c r="KN18">
        <f t="shared" si="59"/>
        <v>125.3571820639859</v>
      </c>
      <c r="KO18">
        <f t="shared" si="59"/>
        <v>121.0494754115211</v>
      </c>
      <c r="KP18">
        <f t="shared" si="59"/>
        <v>121.15062575613354</v>
      </c>
      <c r="KQ18">
        <f t="shared" si="59"/>
        <v>124.51573101803093</v>
      </c>
      <c r="KR18">
        <f t="shared" si="59"/>
        <v>129.36952566693196</v>
      </c>
      <c r="KS18">
        <f t="shared" si="59"/>
        <v>132.97988771800388</v>
      </c>
      <c r="KT18">
        <f t="shared" si="59"/>
        <v>134.32649642936161</v>
      </c>
      <c r="KU18">
        <f t="shared" si="59"/>
        <v>129.75562428438803</v>
      </c>
      <c r="KV18">
        <f t="shared" si="59"/>
        <v>126.5646466140588</v>
      </c>
      <c r="KW18">
        <f t="shared" si="59"/>
        <v>124.84675065369147</v>
      </c>
      <c r="KX18">
        <f t="shared" si="59"/>
        <v>122.14157109780419</v>
      </c>
      <c r="KY18">
        <f t="shared" si="59"/>
        <v>119.29230480696518</v>
      </c>
      <c r="KZ18">
        <f t="shared" si="59"/>
        <v>115.88967535800869</v>
      </c>
      <c r="LA18">
        <f t="shared" si="59"/>
        <v>113.28894201138485</v>
      </c>
      <c r="LB18">
        <f t="shared" si="59"/>
        <v>112.50737521484825</v>
      </c>
      <c r="LC18">
        <f t="shared" si="59"/>
        <v>110.12554157524819</v>
      </c>
      <c r="LD18">
        <f t="shared" si="59"/>
        <v>107.4186498272559</v>
      </c>
      <c r="LE18">
        <f t="shared" si="59"/>
        <v>107.10661882027138</v>
      </c>
      <c r="LF18">
        <f t="shared" si="59"/>
        <v>109.58984385821333</v>
      </c>
      <c r="LG18">
        <f t="shared" si="59"/>
        <v>113.64826340714473</v>
      </c>
      <c r="LH18">
        <f t="shared" si="59"/>
        <v>117.8911410354907</v>
      </c>
      <c r="LI18">
        <f t="shared" si="59"/>
        <v>116.21009815580193</v>
      </c>
      <c r="LJ18">
        <f t="shared" si="59"/>
        <v>116.1498341479944</v>
      </c>
      <c r="LK18">
        <f t="shared" si="59"/>
        <v>113.73981179638314</v>
      </c>
      <c r="LL18">
        <f t="shared" si="59"/>
        <v>114.44697037885162</v>
      </c>
      <c r="LM18">
        <f t="shared" ref="LM18:NX18" si="60">LL18*(1+LM7)</f>
        <v>114.20880544579377</v>
      </c>
      <c r="LN18">
        <f t="shared" si="60"/>
        <v>116.87321248406322</v>
      </c>
      <c r="LO18">
        <f t="shared" si="60"/>
        <v>114.98601184507838</v>
      </c>
      <c r="LP18">
        <f t="shared" si="60"/>
        <v>112.97087481058989</v>
      </c>
      <c r="LQ18">
        <f t="shared" si="60"/>
        <v>111.54706837876282</v>
      </c>
      <c r="LR18">
        <f t="shared" si="60"/>
        <v>114.7207386013803</v>
      </c>
      <c r="LS18">
        <f t="shared" si="60"/>
        <v>114.8751496507938</v>
      </c>
      <c r="LT18">
        <f t="shared" si="60"/>
        <v>113.39533960945437</v>
      </c>
      <c r="LU18">
        <f t="shared" si="60"/>
        <v>113.27537407916293</v>
      </c>
      <c r="LV18">
        <f t="shared" si="60"/>
        <v>111.55318669910653</v>
      </c>
      <c r="LW18">
        <f t="shared" si="60"/>
        <v>113.66509265539337</v>
      </c>
      <c r="LX18">
        <f t="shared" si="60"/>
        <v>113.51400773406411</v>
      </c>
      <c r="LY18">
        <f t="shared" si="60"/>
        <v>111.55616237869677</v>
      </c>
      <c r="LZ18">
        <f t="shared" si="60"/>
        <v>111.39723498173518</v>
      </c>
      <c r="MA18">
        <f t="shared" si="60"/>
        <v>112.82003051393318</v>
      </c>
      <c r="MB18">
        <f t="shared" si="60"/>
        <v>113.01681887732424</v>
      </c>
      <c r="MC18">
        <f t="shared" si="60"/>
        <v>111.92999964312412</v>
      </c>
      <c r="MD18">
        <f t="shared" si="60"/>
        <v>111.1429346971947</v>
      </c>
      <c r="ME18">
        <f t="shared" si="60"/>
        <v>110.89193669757466</v>
      </c>
      <c r="MF18">
        <f t="shared" si="60"/>
        <v>108.77924690126636</v>
      </c>
      <c r="MG18">
        <f t="shared" si="60"/>
        <v>109.6948644382307</v>
      </c>
      <c r="MH18">
        <f t="shared" si="60"/>
        <v>109.40218685943358</v>
      </c>
      <c r="MI18">
        <f t="shared" si="60"/>
        <v>110.93538633406838</v>
      </c>
      <c r="MJ18">
        <f t="shared" si="60"/>
        <v>109.24304158378405</v>
      </c>
      <c r="MK18">
        <f t="shared" si="60"/>
        <v>108.85763682374606</v>
      </c>
      <c r="ML18">
        <f t="shared" si="60"/>
        <v>115.51750900369559</v>
      </c>
      <c r="MM18">
        <f t="shared" si="60"/>
        <v>119.69101177289762</v>
      </c>
      <c r="MN18">
        <f t="shared" si="60"/>
        <v>118.2026922400843</v>
      </c>
      <c r="MO18">
        <f t="shared" si="60"/>
        <v>118.65915627182133</v>
      </c>
      <c r="MP18">
        <f t="shared" si="60"/>
        <v>121.26216832936186</v>
      </c>
      <c r="MQ18">
        <f t="shared" si="60"/>
        <v>126.28295162322726</v>
      </c>
      <c r="MR18">
        <f t="shared" si="60"/>
        <v>124.18648990147844</v>
      </c>
      <c r="MS18">
        <f t="shared" si="60"/>
        <v>125.59957981991359</v>
      </c>
      <c r="MT18">
        <f t="shared" si="60"/>
        <v>123.3366466427304</v>
      </c>
      <c r="MU18">
        <f t="shared" si="60"/>
        <v>123.17528234022264</v>
      </c>
      <c r="MV18">
        <f t="shared" si="60"/>
        <v>120.82905801246555</v>
      </c>
      <c r="MW18">
        <f t="shared" si="60"/>
        <v>120.83217059265841</v>
      </c>
      <c r="MX18">
        <f t="shared" si="60"/>
        <v>122.56357956688865</v>
      </c>
      <c r="MY18">
        <f t="shared" si="60"/>
        <v>121.64425630958814</v>
      </c>
      <c r="MZ18">
        <f t="shared" si="60"/>
        <v>122.06836935913236</v>
      </c>
      <c r="NA18">
        <f t="shared" si="60"/>
        <v>121.06238067097023</v>
      </c>
      <c r="NB18">
        <f t="shared" si="60"/>
        <v>120.30704060792281</v>
      </c>
      <c r="NC18">
        <f t="shared" si="60"/>
        <v>119.49050645005916</v>
      </c>
      <c r="ND18">
        <f t="shared" si="60"/>
        <v>120.0436479395116</v>
      </c>
      <c r="NE18">
        <f t="shared" si="60"/>
        <v>118.75561001048028</v>
      </c>
      <c r="NF18">
        <f t="shared" si="60"/>
        <v>117.13246125914389</v>
      </c>
      <c r="NG18">
        <f t="shared" si="60"/>
        <v>116.7227502515164</v>
      </c>
      <c r="NH18">
        <f t="shared" si="60"/>
        <v>114.8000138710681</v>
      </c>
      <c r="NI18">
        <f t="shared" si="60"/>
        <v>116.18351930589155</v>
      </c>
      <c r="NJ18">
        <f t="shared" si="60"/>
        <v>118.53817351061302</v>
      </c>
      <c r="NK18">
        <f t="shared" si="60"/>
        <v>117.91359300116864</v>
      </c>
      <c r="NL18">
        <f t="shared" si="60"/>
        <v>119.66762395433233</v>
      </c>
      <c r="NM18">
        <f t="shared" si="60"/>
        <v>120.33169389050181</v>
      </c>
      <c r="NN18">
        <f t="shared" si="60"/>
        <v>115.65473815375437</v>
      </c>
      <c r="NO18">
        <f t="shared" si="60"/>
        <v>117.90385694005228</v>
      </c>
      <c r="NP18">
        <f t="shared" si="60"/>
        <v>119.87022380970859</v>
      </c>
      <c r="NQ18">
        <f t="shared" si="60"/>
        <v>119.36208997268034</v>
      </c>
      <c r="NR18">
        <f t="shared" si="60"/>
        <v>118.82703060813172</v>
      </c>
      <c r="NS18">
        <f t="shared" si="60"/>
        <v>118.69033755833146</v>
      </c>
      <c r="NT18">
        <f t="shared" si="60"/>
        <v>117.90393203049055</v>
      </c>
      <c r="NU18">
        <f t="shared" si="60"/>
        <v>113.30006053963312</v>
      </c>
      <c r="NV18">
        <f t="shared" si="60"/>
        <v>113.22699203299753</v>
      </c>
      <c r="NW18">
        <f t="shared" si="60"/>
        <v>110.2460772930586</v>
      </c>
      <c r="NX18">
        <f t="shared" si="60"/>
        <v>107.92229745366373</v>
      </c>
      <c r="NY18">
        <f t="shared" ref="NY18:QJ18" si="61">NX18*(1+NY7)</f>
        <v>104.18412111857204</v>
      </c>
      <c r="NZ18">
        <f t="shared" si="61"/>
        <v>106.12679824899925</v>
      </c>
      <c r="OA18">
        <f t="shared" si="61"/>
        <v>107.52227500973873</v>
      </c>
      <c r="OB18">
        <f t="shared" si="61"/>
        <v>106.50634087049094</v>
      </c>
      <c r="OC18">
        <f t="shared" si="61"/>
        <v>102.50304744520336</v>
      </c>
      <c r="OD18">
        <f t="shared" si="61"/>
        <v>104.9382012533591</v>
      </c>
      <c r="OE18">
        <f t="shared" si="61"/>
        <v>103.12649838843726</v>
      </c>
      <c r="OF18">
        <f t="shared" si="61"/>
        <v>101.08500086904554</v>
      </c>
      <c r="OG18">
        <f t="shared" si="61"/>
        <v>101.00935138891792</v>
      </c>
      <c r="OH18">
        <f t="shared" si="61"/>
        <v>102.0595832518157</v>
      </c>
      <c r="OI18">
        <f t="shared" si="61"/>
        <v>104.79372161246177</v>
      </c>
      <c r="OJ18">
        <f t="shared" si="61"/>
        <v>104.23293186422659</v>
      </c>
      <c r="OK18">
        <f t="shared" si="61"/>
        <v>104.26779190617282</v>
      </c>
      <c r="OL18">
        <f t="shared" si="61"/>
        <v>105.17417258329201</v>
      </c>
      <c r="OM18">
        <f t="shared" si="61"/>
        <v>106.65668535559641</v>
      </c>
      <c r="ON18">
        <f t="shared" si="61"/>
        <v>106.7056054872051</v>
      </c>
      <c r="OO18">
        <f t="shared" si="61"/>
        <v>105.01858056045428</v>
      </c>
      <c r="OP18">
        <f t="shared" si="61"/>
        <v>108.32659926406335</v>
      </c>
      <c r="OQ18">
        <f t="shared" si="61"/>
        <v>107.99291219129492</v>
      </c>
      <c r="OR18">
        <f t="shared" si="61"/>
        <v>108.30615401196201</v>
      </c>
      <c r="OS18">
        <f t="shared" si="61"/>
        <v>113.17843025805995</v>
      </c>
      <c r="OT18">
        <f t="shared" si="61"/>
        <v>113.02075942517716</v>
      </c>
      <c r="OU18">
        <f t="shared" si="61"/>
        <v>112.28195399647174</v>
      </c>
      <c r="OV18">
        <f t="shared" si="61"/>
        <v>116.11274082357332</v>
      </c>
      <c r="OW18">
        <f t="shared" si="61"/>
        <v>118.69224714000333</v>
      </c>
      <c r="OX18">
        <f t="shared" si="61"/>
        <v>118.24282067167067</v>
      </c>
      <c r="OY18">
        <f t="shared" si="61"/>
        <v>121.2794617796965</v>
      </c>
      <c r="OZ18">
        <f t="shared" si="61"/>
        <v>120.74706514529903</v>
      </c>
      <c r="PA18">
        <f t="shared" si="61"/>
        <v>120.46702729963934</v>
      </c>
      <c r="PB18">
        <f t="shared" si="61"/>
        <v>122.14922043704259</v>
      </c>
      <c r="PC18">
        <f t="shared" si="61"/>
        <v>120.22979137546662</v>
      </c>
      <c r="PD18">
        <f t="shared" si="61"/>
        <v>119.3890708603673</v>
      </c>
      <c r="PE18">
        <f t="shared" si="61"/>
        <v>122.37676664244024</v>
      </c>
      <c r="PF18">
        <f t="shared" si="61"/>
        <v>124.39124559080561</v>
      </c>
      <c r="PG18">
        <f t="shared" si="61"/>
        <v>121.08657443962809</v>
      </c>
      <c r="PH18">
        <f t="shared" si="61"/>
        <v>122.09635529583741</v>
      </c>
      <c r="PI18">
        <f t="shared" si="61"/>
        <v>121.05419283021277</v>
      </c>
      <c r="PJ18">
        <f t="shared" si="61"/>
        <v>123.89569065232422</v>
      </c>
      <c r="PK18">
        <f t="shared" si="61"/>
        <v>120.34485445457973</v>
      </c>
      <c r="PL18">
        <f t="shared" si="61"/>
        <v>117.60239230060887</v>
      </c>
      <c r="PM18">
        <f t="shared" si="61"/>
        <v>118.15683555170661</v>
      </c>
      <c r="PN18">
        <f t="shared" si="61"/>
        <v>112.38113785054405</v>
      </c>
      <c r="PO18">
        <f t="shared" si="61"/>
        <v>111.98663741581181</v>
      </c>
      <c r="PP18">
        <f t="shared" si="61"/>
        <v>110.38414314764738</v>
      </c>
      <c r="PQ18">
        <f t="shared" si="61"/>
        <v>108.93400762428722</v>
      </c>
      <c r="PR18">
        <f t="shared" si="61"/>
        <v>106.52172771279565</v>
      </c>
      <c r="PS18">
        <f t="shared" si="61"/>
        <v>104.79737765162064</v>
      </c>
      <c r="PT18">
        <f t="shared" si="61"/>
        <v>102.36566429810281</v>
      </c>
      <c r="PU18">
        <f t="shared" si="61"/>
        <v>100.91369267569935</v>
      </c>
      <c r="PV18">
        <f t="shared" si="61"/>
        <v>100.58951361316662</v>
      </c>
      <c r="PW18">
        <f t="shared" si="61"/>
        <v>100.30994262340384</v>
      </c>
      <c r="PX18">
        <f t="shared" si="61"/>
        <v>99.879226132951729</v>
      </c>
      <c r="PY18">
        <f t="shared" si="61"/>
        <v>99.770066872839521</v>
      </c>
      <c r="PZ18">
        <f t="shared" si="61"/>
        <v>97.953950847103016</v>
      </c>
      <c r="QA18">
        <f t="shared" si="61"/>
        <v>99.384147250017705</v>
      </c>
      <c r="QB18">
        <f t="shared" si="61"/>
        <v>99.987152171819943</v>
      </c>
      <c r="QC18">
        <f t="shared" si="61"/>
        <v>100.26462158276567</v>
      </c>
      <c r="QD18">
        <f t="shared" si="61"/>
        <v>98.769349700077626</v>
      </c>
      <c r="QE18">
        <f t="shared" si="61"/>
        <v>99.731881137395192</v>
      </c>
      <c r="QF18">
        <f t="shared" si="61"/>
        <v>105.16799697321049</v>
      </c>
      <c r="QG18">
        <f t="shared" si="61"/>
        <v>103.45907301040074</v>
      </c>
      <c r="QH18">
        <f t="shared" si="61"/>
        <v>106.3151245473485</v>
      </c>
      <c r="QI18">
        <f t="shared" si="61"/>
        <v>106.11555442936532</v>
      </c>
      <c r="QJ18">
        <f t="shared" si="61"/>
        <v>107.21874529725177</v>
      </c>
      <c r="QK18">
        <f t="shared" ref="QK18:SV18" si="62">QJ18*(1+QK7)</f>
        <v>107.2953019586912</v>
      </c>
      <c r="QL18">
        <f t="shared" si="62"/>
        <v>107.81619975956382</v>
      </c>
      <c r="QM18">
        <f t="shared" si="62"/>
        <v>106.84272927972609</v>
      </c>
      <c r="QN18">
        <f t="shared" si="62"/>
        <v>106.39451065034091</v>
      </c>
      <c r="QO18">
        <f t="shared" si="62"/>
        <v>104.90268785558351</v>
      </c>
      <c r="QP18">
        <f t="shared" si="62"/>
        <v>105.9701465086394</v>
      </c>
      <c r="QQ18">
        <f t="shared" si="62"/>
        <v>105.3719604249607</v>
      </c>
      <c r="QR18">
        <f t="shared" si="62"/>
        <v>101.57334890801653</v>
      </c>
      <c r="QS18">
        <f t="shared" si="62"/>
        <v>103.39179726999714</v>
      </c>
      <c r="QT18">
        <f t="shared" si="62"/>
        <v>101.49680423333886</v>
      </c>
      <c r="QU18">
        <f t="shared" si="62"/>
        <v>99.122066350847803</v>
      </c>
      <c r="QV18">
        <f t="shared" si="62"/>
        <v>103.33782558134952</v>
      </c>
      <c r="QW18">
        <f t="shared" si="62"/>
        <v>102.42704644970816</v>
      </c>
      <c r="QX18">
        <f t="shared" si="62"/>
        <v>101.54234364872474</v>
      </c>
      <c r="QY18">
        <f t="shared" si="62"/>
        <v>101.05075131691642</v>
      </c>
      <c r="QZ18">
        <f t="shared" si="62"/>
        <v>103.23510295356739</v>
      </c>
      <c r="RA18">
        <f t="shared" si="62"/>
        <v>99.37114865699688</v>
      </c>
      <c r="RB18">
        <f t="shared" si="62"/>
        <v>100.57891730890128</v>
      </c>
      <c r="RC18">
        <f t="shared" si="62"/>
        <v>104.62669513731615</v>
      </c>
      <c r="RD18">
        <f t="shared" si="62"/>
        <v>101.35910484212978</v>
      </c>
      <c r="RE18">
        <f t="shared" si="62"/>
        <v>101.46505366341819</v>
      </c>
      <c r="RF18">
        <f t="shared" si="62"/>
        <v>102.54157351871045</v>
      </c>
      <c r="RG18">
        <f t="shared" si="62"/>
        <v>105.09574006199247</v>
      </c>
      <c r="RH18">
        <f t="shared" si="62"/>
        <v>103.1979664079324</v>
      </c>
      <c r="RI18">
        <f t="shared" si="62"/>
        <v>100.68804176078287</v>
      </c>
      <c r="RJ18">
        <f t="shared" si="62"/>
        <v>103.68063469486891</v>
      </c>
      <c r="RK18">
        <f t="shared" si="62"/>
        <v>101.10544579257429</v>
      </c>
      <c r="RL18">
        <f t="shared" si="62"/>
        <v>99.63028206956055</v>
      </c>
      <c r="RM18">
        <f t="shared" si="62"/>
        <v>96.716929084701675</v>
      </c>
      <c r="RN18">
        <f t="shared" si="62"/>
        <v>98.678268433896676</v>
      </c>
      <c r="RO18">
        <f t="shared" si="62"/>
        <v>99.685936754841762</v>
      </c>
      <c r="RP18">
        <f t="shared" si="62"/>
        <v>95.978369690844929</v>
      </c>
      <c r="RQ18">
        <f t="shared" si="62"/>
        <v>98.383582261726801</v>
      </c>
      <c r="RR18">
        <f t="shared" si="62"/>
        <v>96.043900915973012</v>
      </c>
      <c r="RS18">
        <f t="shared" si="62"/>
        <v>94.493127484273657</v>
      </c>
      <c r="RT18">
        <f t="shared" si="62"/>
        <v>96.154964429069409</v>
      </c>
      <c r="RU18">
        <f t="shared" si="62"/>
        <v>97.400479519917155</v>
      </c>
      <c r="RV18">
        <f t="shared" si="62"/>
        <v>98.295638685521141</v>
      </c>
      <c r="RW18">
        <f t="shared" si="62"/>
        <v>99.386911575266396</v>
      </c>
      <c r="RX18">
        <f t="shared" si="62"/>
        <v>100.08472262050745</v>
      </c>
      <c r="RY18">
        <f t="shared" si="62"/>
        <v>100.81821576182598</v>
      </c>
      <c r="RZ18">
        <f t="shared" si="62"/>
        <v>101.79786288063409</v>
      </c>
      <c r="SA18">
        <f t="shared" si="62"/>
        <v>101.32948273623829</v>
      </c>
      <c r="SB18">
        <f t="shared" si="62"/>
        <v>99.992708871944345</v>
      </c>
      <c r="SC18">
        <f t="shared" si="62"/>
        <v>100.78248691468907</v>
      </c>
      <c r="SD18">
        <f t="shared" si="62"/>
        <v>100.67634824014446</v>
      </c>
      <c r="SE18">
        <f t="shared" si="62"/>
        <v>100.95076680079312</v>
      </c>
      <c r="SF18">
        <f t="shared" si="62"/>
        <v>102.13618360933816</v>
      </c>
      <c r="SG18">
        <f t="shared" si="62"/>
        <v>102.77267094863653</v>
      </c>
      <c r="SH18">
        <f t="shared" si="62"/>
        <v>102.69153893225624</v>
      </c>
      <c r="SI18">
        <f t="shared" si="62"/>
        <v>98.387453926346993</v>
      </c>
      <c r="SJ18">
        <f t="shared" si="62"/>
        <v>93.250708321120214</v>
      </c>
      <c r="SK18">
        <f t="shared" si="62"/>
        <v>92.079400205546492</v>
      </c>
      <c r="SL18">
        <f t="shared" si="62"/>
        <v>94.858060089723139</v>
      </c>
      <c r="SM18">
        <f t="shared" si="62"/>
        <v>96.680528541782905</v>
      </c>
      <c r="SN18">
        <f t="shared" si="62"/>
        <v>100.10092013236181</v>
      </c>
      <c r="SO18">
        <f t="shared" si="62"/>
        <v>99.380366673857651</v>
      </c>
      <c r="SP18">
        <f t="shared" si="62"/>
        <v>101.04600794457033</v>
      </c>
      <c r="SQ18">
        <f t="shared" si="62"/>
        <v>104.69447580521629</v>
      </c>
      <c r="SR18">
        <f t="shared" si="62"/>
        <v>104.04491344020397</v>
      </c>
      <c r="SS18">
        <f t="shared" si="62"/>
        <v>103.93439575431151</v>
      </c>
      <c r="ST18">
        <f t="shared" si="62"/>
        <v>103.10547009749558</v>
      </c>
      <c r="SU18">
        <f t="shared" si="62"/>
        <v>104.72474342422102</v>
      </c>
      <c r="SV18">
        <f t="shared" si="62"/>
        <v>111.6574735950871</v>
      </c>
      <c r="SW18">
        <f t="shared" ref="SW18:VH18" si="63">SV18*(1+SW7)</f>
        <v>108.65606322413608</v>
      </c>
      <c r="SX18">
        <f t="shared" si="63"/>
        <v>108.93697377440526</v>
      </c>
      <c r="SY18">
        <f t="shared" si="63"/>
        <v>106.41763359306074</v>
      </c>
      <c r="SZ18">
        <f t="shared" si="63"/>
        <v>106.23547272726795</v>
      </c>
      <c r="TA18">
        <f t="shared" si="63"/>
        <v>106.47850058699817</v>
      </c>
      <c r="TB18">
        <f t="shared" si="63"/>
        <v>105.27968839880275</v>
      </c>
      <c r="TC18">
        <f t="shared" si="63"/>
        <v>104.88515479735341</v>
      </c>
      <c r="TD18">
        <f t="shared" si="63"/>
        <v>104.46373259955034</v>
      </c>
      <c r="TE18">
        <f t="shared" si="63"/>
        <v>103.98187834274414</v>
      </c>
      <c r="TF18">
        <f t="shared" si="63"/>
        <v>103.89925641033277</v>
      </c>
      <c r="TG18">
        <f t="shared" si="63"/>
        <v>102.58593028079973</v>
      </c>
      <c r="TH18">
        <f t="shared" si="63"/>
        <v>104.28472579785463</v>
      </c>
      <c r="TI18">
        <f t="shared" si="63"/>
        <v>106.05937289287702</v>
      </c>
      <c r="TJ18">
        <f t="shared" si="63"/>
        <v>102.33780599176173</v>
      </c>
      <c r="TK18">
        <f t="shared" si="63"/>
        <v>102.11848834765438</v>
      </c>
      <c r="TL18">
        <f t="shared" si="63"/>
        <v>102.23937605823133</v>
      </c>
      <c r="TM18">
        <f t="shared" si="63"/>
        <v>99.496608330212197</v>
      </c>
      <c r="TN18">
        <f t="shared" si="63"/>
        <v>101.80944204426147</v>
      </c>
      <c r="TO18">
        <f t="shared" si="63"/>
        <v>98.835977100878111</v>
      </c>
      <c r="TP18">
        <f t="shared" si="63"/>
        <v>96.134392578244572</v>
      </c>
      <c r="TQ18">
        <f t="shared" si="63"/>
        <v>95.683028282413829</v>
      </c>
      <c r="TR18">
        <f t="shared" si="63"/>
        <v>96.160775947145154</v>
      </c>
      <c r="TS18">
        <f t="shared" si="63"/>
        <v>99.392451081654059</v>
      </c>
      <c r="TT18">
        <f t="shared" si="63"/>
        <v>98.994710582708692</v>
      </c>
      <c r="TU18">
        <f t="shared" si="63"/>
        <v>99.999318535744635</v>
      </c>
      <c r="TV18">
        <f t="shared" si="63"/>
        <v>101.96237962419046</v>
      </c>
      <c r="TW18">
        <f t="shared" si="63"/>
        <v>99.596633275765868</v>
      </c>
      <c r="TX18">
        <f t="shared" si="63"/>
        <v>97.535061946167502</v>
      </c>
      <c r="TY18">
        <f t="shared" si="63"/>
        <v>97.680280170255827</v>
      </c>
      <c r="TZ18">
        <f t="shared" si="63"/>
        <v>97.800183634943679</v>
      </c>
      <c r="UA18">
        <f t="shared" si="63"/>
        <v>102.70829520717393</v>
      </c>
      <c r="UB18">
        <f t="shared" si="63"/>
        <v>104.3957349158523</v>
      </c>
      <c r="UC18">
        <f t="shared" si="63"/>
        <v>102.83797318291454</v>
      </c>
      <c r="UD18">
        <f t="shared" si="63"/>
        <v>102.75786300386692</v>
      </c>
      <c r="UE18">
        <f t="shared" si="63"/>
        <v>101.56383768394153</v>
      </c>
      <c r="UF18">
        <f t="shared" si="63"/>
        <v>99.499611535154528</v>
      </c>
      <c r="UG18">
        <f t="shared" si="63"/>
        <v>100.80766164098472</v>
      </c>
      <c r="UH18">
        <f t="shared" si="63"/>
        <v>100.69466697407272</v>
      </c>
      <c r="UI18">
        <f t="shared" si="63"/>
        <v>104.22593165122623</v>
      </c>
      <c r="UJ18">
        <f t="shared" si="63"/>
        <v>104.42838633504249</v>
      </c>
      <c r="UK18">
        <f t="shared" si="63"/>
        <v>102.698844908189</v>
      </c>
      <c r="UL18">
        <f t="shared" si="63"/>
        <v>104.432593098756</v>
      </c>
      <c r="UM18">
        <f t="shared" si="63"/>
        <v>103.96723218952607</v>
      </c>
      <c r="UN18">
        <f t="shared" si="63"/>
        <v>103.55861929532949</v>
      </c>
      <c r="UO18">
        <f t="shared" si="63"/>
        <v>104.99457525850582</v>
      </c>
      <c r="UP18">
        <f t="shared" si="63"/>
        <v>104.94010403541752</v>
      </c>
      <c r="UQ18">
        <f t="shared" si="63"/>
        <v>107.43087375201966</v>
      </c>
      <c r="UR18">
        <f t="shared" si="63"/>
        <v>104.37716095318909</v>
      </c>
      <c r="US18">
        <f t="shared" si="63"/>
        <v>101.7105163392385</v>
      </c>
      <c r="UT18">
        <f t="shared" si="63"/>
        <v>100.86173166080522</v>
      </c>
      <c r="UU18">
        <f t="shared" si="63"/>
        <v>100.1832666582458</v>
      </c>
      <c r="UV18">
        <f t="shared" si="63"/>
        <v>99.159856716563795</v>
      </c>
      <c r="UW18">
        <f t="shared" si="63"/>
        <v>99.792742174529778</v>
      </c>
      <c r="UX18">
        <f t="shared" si="63"/>
        <v>100.20109296075114</v>
      </c>
      <c r="UY18">
        <f t="shared" si="63"/>
        <v>100.75398041346195</v>
      </c>
      <c r="UZ18">
        <f t="shared" si="63"/>
        <v>100.08831095029437</v>
      </c>
      <c r="VA18">
        <f t="shared" si="63"/>
        <v>98.070954276259698</v>
      </c>
      <c r="VB18">
        <f t="shared" si="63"/>
        <v>99.504712450798024</v>
      </c>
      <c r="VC18">
        <f t="shared" si="63"/>
        <v>100.14819361120506</v>
      </c>
      <c r="VD18">
        <f t="shared" si="63"/>
        <v>97.738956965877293</v>
      </c>
      <c r="VE18">
        <f t="shared" si="63"/>
        <v>94.913673770307781</v>
      </c>
      <c r="VF18">
        <f t="shared" si="63"/>
        <v>96.690050010483887</v>
      </c>
      <c r="VG18">
        <f t="shared" si="63"/>
        <v>93.135356439545163</v>
      </c>
      <c r="VH18">
        <f t="shared" si="63"/>
        <v>93.136210200564165</v>
      </c>
      <c r="VI18">
        <f t="shared" ref="VI18:XT18" si="64">VH18*(1+VI7)</f>
        <v>92.516184576156817</v>
      </c>
      <c r="VJ18">
        <f t="shared" si="64"/>
        <v>91.085585853568517</v>
      </c>
      <c r="VK18">
        <f t="shared" si="64"/>
        <v>90.26303223133651</v>
      </c>
      <c r="VL18">
        <f t="shared" si="64"/>
        <v>90.264463964727469</v>
      </c>
      <c r="VM18">
        <f t="shared" si="64"/>
        <v>91.013922498278674</v>
      </c>
      <c r="VN18">
        <f t="shared" si="64"/>
        <v>90.689875817435038</v>
      </c>
      <c r="VO18">
        <f t="shared" si="64"/>
        <v>91.024489742564995</v>
      </c>
      <c r="VP18">
        <f t="shared" si="64"/>
        <v>91.86382018992937</v>
      </c>
      <c r="VQ18">
        <f t="shared" si="64"/>
        <v>94.151398412165534</v>
      </c>
      <c r="VR18">
        <f t="shared" si="64"/>
        <v>92.829230508218203</v>
      </c>
      <c r="VS18">
        <f t="shared" si="64"/>
        <v>94.407638554788932</v>
      </c>
      <c r="VT18">
        <f t="shared" si="64"/>
        <v>96.668241925234909</v>
      </c>
      <c r="VU18">
        <f t="shared" si="64"/>
        <v>99.380239379671224</v>
      </c>
      <c r="VV18">
        <f t="shared" si="64"/>
        <v>97.0106420466808</v>
      </c>
      <c r="VW18">
        <f t="shared" si="64"/>
        <v>99.818645872811288</v>
      </c>
      <c r="VX18">
        <f t="shared" si="64"/>
        <v>95.708608942056969</v>
      </c>
      <c r="VY18">
        <f t="shared" si="64"/>
        <v>96.788782545990188</v>
      </c>
      <c r="VZ18">
        <f t="shared" si="64"/>
        <v>97.166905825280125</v>
      </c>
      <c r="WA18">
        <f t="shared" si="64"/>
        <v>96.439256302645518</v>
      </c>
      <c r="WB18">
        <f t="shared" si="64"/>
        <v>98.984470814885611</v>
      </c>
      <c r="WC18">
        <f t="shared" si="64"/>
        <v>96.943925603490385</v>
      </c>
      <c r="WD18">
        <f t="shared" si="64"/>
        <v>99.058990910886266</v>
      </c>
      <c r="WE18">
        <f t="shared" si="64"/>
        <v>99.861421521872927</v>
      </c>
      <c r="WF18">
        <f t="shared" si="64"/>
        <v>99.070682016890828</v>
      </c>
      <c r="WG18">
        <f t="shared" si="64"/>
        <v>96.27455300703889</v>
      </c>
      <c r="WH18">
        <f t="shared" si="64"/>
        <v>94.281757209184491</v>
      </c>
      <c r="WI18">
        <f t="shared" si="64"/>
        <v>86.542761047291094</v>
      </c>
      <c r="WJ18">
        <f t="shared" si="64"/>
        <v>88.708671439652861</v>
      </c>
      <c r="WK18">
        <f t="shared" si="64"/>
        <v>88.389458073124288</v>
      </c>
      <c r="WL18">
        <f t="shared" si="64"/>
        <v>85.869425922759646</v>
      </c>
      <c r="WM18">
        <f t="shared" si="64"/>
        <v>85.925991772681186</v>
      </c>
      <c r="WN18">
        <f t="shared" si="64"/>
        <v>85.616890521077167</v>
      </c>
      <c r="WO18">
        <f t="shared" si="64"/>
        <v>84.883209820099452</v>
      </c>
      <c r="WP18">
        <f t="shared" si="64"/>
        <v>87.780581622067103</v>
      </c>
      <c r="WQ18">
        <f t="shared" si="64"/>
        <v>88.446501194029764</v>
      </c>
      <c r="WR18">
        <f t="shared" si="64"/>
        <v>88.006108267538224</v>
      </c>
      <c r="WS18">
        <f t="shared" si="64"/>
        <v>89.360336205490654</v>
      </c>
      <c r="WT18">
        <f t="shared" si="64"/>
        <v>89.665055639805317</v>
      </c>
      <c r="WU18">
        <f t="shared" si="64"/>
        <v>89.616837966637391</v>
      </c>
      <c r="WV18">
        <f t="shared" si="64"/>
        <v>90.284308469541401</v>
      </c>
      <c r="WW18">
        <f t="shared" si="64"/>
        <v>92.82396244000293</v>
      </c>
      <c r="WX18">
        <f t="shared" si="64"/>
        <v>91.248965941024224</v>
      </c>
      <c r="WY18">
        <f t="shared" si="64"/>
        <v>92.21936322020251</v>
      </c>
      <c r="WZ18">
        <f t="shared" si="64"/>
        <v>98.47248803709094</v>
      </c>
      <c r="XA18">
        <f t="shared" si="64"/>
        <v>98.983051077142235</v>
      </c>
      <c r="XB18">
        <f t="shared" si="64"/>
        <v>98.979068149682277</v>
      </c>
      <c r="XC18">
        <f t="shared" si="64"/>
        <v>99.038073877978093</v>
      </c>
      <c r="XD18">
        <f t="shared" si="64"/>
        <v>98.191705692117779</v>
      </c>
      <c r="XE18">
        <f t="shared" si="64"/>
        <v>98.272869717035704</v>
      </c>
      <c r="XF18">
        <f t="shared" si="64"/>
        <v>95.655395350798088</v>
      </c>
      <c r="XG18">
        <f t="shared" si="64"/>
        <v>95.916245749696984</v>
      </c>
      <c r="XH18">
        <f t="shared" si="64"/>
        <v>93.193257270425789</v>
      </c>
      <c r="XI18">
        <f t="shared" si="64"/>
        <v>93.302300534027509</v>
      </c>
      <c r="XJ18">
        <f t="shared" si="64"/>
        <v>92.018953341683357</v>
      </c>
      <c r="XK18">
        <f t="shared" si="64"/>
        <v>92.087239874965533</v>
      </c>
      <c r="XL18">
        <f t="shared" si="64"/>
        <v>90.695330698859919</v>
      </c>
      <c r="XM18">
        <f t="shared" si="64"/>
        <v>89.085757273605822</v>
      </c>
      <c r="XN18">
        <f t="shared" si="64"/>
        <v>90.855743726190568</v>
      </c>
      <c r="XO18">
        <f t="shared" si="64"/>
        <v>91.484624096504106</v>
      </c>
      <c r="XP18">
        <f t="shared" si="64"/>
        <v>91.6629258018489</v>
      </c>
      <c r="XQ18">
        <f t="shared" si="64"/>
        <v>90.116955578114911</v>
      </c>
      <c r="XR18">
        <f t="shared" si="64"/>
        <v>92.706646492820653</v>
      </c>
      <c r="XS18">
        <f t="shared" si="64"/>
        <v>94.706506748992837</v>
      </c>
      <c r="XT18">
        <f t="shared" si="64"/>
        <v>96.684630784135862</v>
      </c>
      <c r="XU18">
        <f t="shared" ref="XU18:AAF18" si="65">XT18*(1+XU7)</f>
        <v>96.083503526454564</v>
      </c>
      <c r="XV18">
        <f t="shared" si="65"/>
        <v>100.75738260718703</v>
      </c>
      <c r="XW18">
        <f t="shared" si="65"/>
        <v>99.624336946249358</v>
      </c>
      <c r="XX18">
        <f t="shared" si="65"/>
        <v>101.12143490829858</v>
      </c>
      <c r="XY18">
        <f t="shared" si="65"/>
        <v>99.291776738802056</v>
      </c>
      <c r="XZ18">
        <f t="shared" si="65"/>
        <v>100.5938033817278</v>
      </c>
      <c r="YA18">
        <f t="shared" si="65"/>
        <v>102.56705660266735</v>
      </c>
      <c r="YB18">
        <f t="shared" si="65"/>
        <v>101.94905154956001</v>
      </c>
      <c r="YC18">
        <f t="shared" si="65"/>
        <v>102.88727215513529</v>
      </c>
      <c r="YD18">
        <f t="shared" si="65"/>
        <v>105.18396871374074</v>
      </c>
      <c r="YE18">
        <f t="shared" si="65"/>
        <v>105.14904192154013</v>
      </c>
      <c r="YF18">
        <f t="shared" si="65"/>
        <v>106.52533540887596</v>
      </c>
      <c r="YG18">
        <f t="shared" si="65"/>
        <v>107.88721491194973</v>
      </c>
      <c r="YH18">
        <f t="shared" si="65"/>
        <v>106.17158635811144</v>
      </c>
      <c r="YI18">
        <f t="shared" si="65"/>
        <v>106.36332120417515</v>
      </c>
      <c r="YJ18">
        <f t="shared" si="65"/>
        <v>105.45888617466085</v>
      </c>
      <c r="YK18">
        <f t="shared" si="65"/>
        <v>103.56896188901709</v>
      </c>
      <c r="YL18">
        <f t="shared" si="65"/>
        <v>104.1496946825858</v>
      </c>
      <c r="YM18">
        <f t="shared" si="65"/>
        <v>105.18523937654281</v>
      </c>
      <c r="YN18">
        <f t="shared" si="65"/>
        <v>104.53587005840662</v>
      </c>
      <c r="YO18">
        <f t="shared" si="65"/>
        <v>103.24377054533826</v>
      </c>
      <c r="YP18">
        <f t="shared" si="65"/>
        <v>103.42284148283191</v>
      </c>
      <c r="YQ18">
        <f t="shared" si="65"/>
        <v>104.4349504253031</v>
      </c>
      <c r="YR18">
        <f t="shared" si="65"/>
        <v>105.05908816964133</v>
      </c>
      <c r="YS18">
        <f t="shared" si="65"/>
        <v>109.80398432919463</v>
      </c>
      <c r="YT18">
        <f t="shared" si="65"/>
        <v>112.26089938928521</v>
      </c>
      <c r="YU18">
        <f t="shared" si="65"/>
        <v>110.82981458046346</v>
      </c>
      <c r="YV18">
        <f t="shared" si="65"/>
        <v>110.54957156012448</v>
      </c>
      <c r="YW18">
        <f t="shared" si="65"/>
        <v>106.09247256894511</v>
      </c>
      <c r="YX18">
        <f t="shared" si="65"/>
        <v>103.62242520401531</v>
      </c>
      <c r="YY18">
        <f t="shared" si="65"/>
        <v>104.05346691259997</v>
      </c>
      <c r="YZ18">
        <f t="shared" si="65"/>
        <v>105.74630944845973</v>
      </c>
      <c r="ZA18">
        <f t="shared" si="65"/>
        <v>105.46969670501154</v>
      </c>
      <c r="ZB18">
        <f t="shared" si="65"/>
        <v>106.25866880829258</v>
      </c>
      <c r="ZC18">
        <f t="shared" si="65"/>
        <v>104.31827625310849</v>
      </c>
      <c r="ZD18">
        <f t="shared" si="65"/>
        <v>103.51406091726284</v>
      </c>
      <c r="ZE18">
        <f t="shared" si="65"/>
        <v>104.92785238995836</v>
      </c>
      <c r="ZF18">
        <f t="shared" si="65"/>
        <v>105.58253696377696</v>
      </c>
      <c r="ZG18">
        <f t="shared" si="65"/>
        <v>106.09872137755497</v>
      </c>
      <c r="ZH18">
        <f t="shared" si="65"/>
        <v>103.46250366322748</v>
      </c>
      <c r="ZI18">
        <f t="shared" si="65"/>
        <v>105.21066343315988</v>
      </c>
      <c r="ZJ18">
        <f t="shared" si="65"/>
        <v>106.03754903673169</v>
      </c>
      <c r="ZK18">
        <f t="shared" si="65"/>
        <v>106.4590307124608</v>
      </c>
      <c r="ZL18">
        <f t="shared" si="65"/>
        <v>105.36555006422469</v>
      </c>
      <c r="ZM18">
        <f t="shared" si="65"/>
        <v>105.13439108872589</v>
      </c>
      <c r="ZN18">
        <f t="shared" si="65"/>
        <v>105.52712383693586</v>
      </c>
      <c r="ZO18">
        <f t="shared" si="65"/>
        <v>103.85252990480436</v>
      </c>
      <c r="ZP18">
        <f t="shared" si="65"/>
        <v>102.63214941491785</v>
      </c>
      <c r="ZQ18">
        <f t="shared" si="65"/>
        <v>101.0349996935168</v>
      </c>
      <c r="ZR18">
        <f t="shared" si="65"/>
        <v>101.17020466618418</v>
      </c>
      <c r="ZS18">
        <f t="shared" si="65"/>
        <v>103.60279430555438</v>
      </c>
      <c r="ZT18">
        <f t="shared" si="65"/>
        <v>105.34899046864228</v>
      </c>
      <c r="ZU18">
        <f t="shared" si="65"/>
        <v>105.67879155392217</v>
      </c>
      <c r="ZV18">
        <f t="shared" si="65"/>
        <v>105.89770457851016</v>
      </c>
      <c r="ZW18">
        <f t="shared" si="65"/>
        <v>104.27220429834895</v>
      </c>
      <c r="ZX18">
        <f t="shared" si="65"/>
        <v>103.25418785428334</v>
      </c>
      <c r="ZY18">
        <f t="shared" si="65"/>
        <v>99.224159616840012</v>
      </c>
      <c r="ZZ18">
        <f t="shared" si="65"/>
        <v>101.12348250144815</v>
      </c>
      <c r="AAA18">
        <f t="shared" si="65"/>
        <v>102.52912171200752</v>
      </c>
      <c r="AAB18">
        <f t="shared" si="65"/>
        <v>101.11475313776079</v>
      </c>
      <c r="AAC18">
        <f t="shared" si="65"/>
        <v>100.79000564247306</v>
      </c>
      <c r="AAD18">
        <f t="shared" si="65"/>
        <v>101.53486218070198</v>
      </c>
      <c r="AAE18">
        <f t="shared" si="65"/>
        <v>101.8012868155903</v>
      </c>
      <c r="AAF18">
        <f t="shared" si="65"/>
        <v>103.03999764297308</v>
      </c>
      <c r="AAG18">
        <f t="shared" ref="AAG18:ACR18" si="66">AAF18*(1+AAG7)</f>
        <v>103.91001010236526</v>
      </c>
      <c r="AAH18">
        <f t="shared" si="66"/>
        <v>105.35001808070112</v>
      </c>
      <c r="AAI18">
        <f t="shared" si="66"/>
        <v>103.24275948340646</v>
      </c>
      <c r="AAJ18">
        <f t="shared" si="66"/>
        <v>101.46889029908635</v>
      </c>
      <c r="AAK18">
        <f t="shared" si="66"/>
        <v>104.13668766229826</v>
      </c>
      <c r="AAL18">
        <f t="shared" si="66"/>
        <v>104.86974912539615</v>
      </c>
      <c r="AAM18">
        <f t="shared" si="66"/>
        <v>107.16095720646936</v>
      </c>
      <c r="AAN18">
        <f t="shared" si="66"/>
        <v>107.16338753501562</v>
      </c>
      <c r="AAO18">
        <f t="shared" si="66"/>
        <v>105.38343483530664</v>
      </c>
      <c r="AAP18">
        <f t="shared" si="66"/>
        <v>106.18036575916634</v>
      </c>
      <c r="AAQ18">
        <f t="shared" si="66"/>
        <v>105.61702118616056</v>
      </c>
      <c r="AAR18">
        <f t="shared" si="66"/>
        <v>105.42461790705278</v>
      </c>
      <c r="AAS18">
        <f t="shared" si="66"/>
        <v>105.62894725656345</v>
      </c>
      <c r="AAT18">
        <f t="shared" si="66"/>
        <v>105.99745200588333</v>
      </c>
      <c r="AAU18">
        <f t="shared" si="66"/>
        <v>105.09975000885204</v>
      </c>
      <c r="AAV18">
        <f t="shared" si="66"/>
        <v>106.61298300193549</v>
      </c>
      <c r="AAW18">
        <f t="shared" si="66"/>
        <v>107.4411190597653</v>
      </c>
      <c r="AAX18">
        <f t="shared" si="66"/>
        <v>102.06446264529696</v>
      </c>
      <c r="AAY18">
        <f t="shared" si="66"/>
        <v>97.941629135170487</v>
      </c>
      <c r="AAZ18">
        <f t="shared" si="66"/>
        <v>99.057624619677412</v>
      </c>
      <c r="ABA18">
        <f t="shared" si="66"/>
        <v>98.781397595323028</v>
      </c>
      <c r="ABB18">
        <f t="shared" si="66"/>
        <v>100.40050328181607</v>
      </c>
      <c r="ABC18">
        <f t="shared" si="66"/>
        <v>100.18034629450129</v>
      </c>
      <c r="ABD18">
        <f t="shared" si="66"/>
        <v>100.58105001513499</v>
      </c>
      <c r="ABE18">
        <f t="shared" si="66"/>
        <v>98.603683610556374</v>
      </c>
      <c r="ABF18">
        <f t="shared" si="66"/>
        <v>97.422479184064926</v>
      </c>
      <c r="ABG18">
        <f t="shared" si="66"/>
        <v>95.880845511092787</v>
      </c>
      <c r="ABH18">
        <f t="shared" si="66"/>
        <v>96.153070814397054</v>
      </c>
      <c r="ABI18">
        <f t="shared" si="66"/>
        <v>95.415652652162251</v>
      </c>
      <c r="ABJ18">
        <f t="shared" si="66"/>
        <v>95.41835567578164</v>
      </c>
      <c r="ABK18">
        <f t="shared" si="66"/>
        <v>94.643109897111216</v>
      </c>
      <c r="ABL18">
        <f t="shared" si="66"/>
        <v>91.219183403517775</v>
      </c>
      <c r="ABM18">
        <f t="shared" si="66"/>
        <v>92.380596116754631</v>
      </c>
      <c r="ABN18">
        <f t="shared" si="66"/>
        <v>93.493540653617714</v>
      </c>
      <c r="ABO18">
        <f t="shared" si="66"/>
        <v>93.392520966804184</v>
      </c>
      <c r="ABP18">
        <f t="shared" si="66"/>
        <v>92.128762975738113</v>
      </c>
      <c r="ABQ18">
        <f t="shared" si="66"/>
        <v>91.406575986216822</v>
      </c>
      <c r="ABR18">
        <f t="shared" si="66"/>
        <v>90.295100445901312</v>
      </c>
      <c r="ABS18">
        <f t="shared" si="66"/>
        <v>89.600550041148125</v>
      </c>
      <c r="ABT18">
        <f t="shared" si="66"/>
        <v>90.096296979942849</v>
      </c>
      <c r="ABU18">
        <f t="shared" si="66"/>
        <v>87.373432596656741</v>
      </c>
      <c r="ABV18">
        <f t="shared" si="66"/>
        <v>86.779912060420116</v>
      </c>
      <c r="ABW18">
        <f t="shared" si="66"/>
        <v>87.659723691072031</v>
      </c>
      <c r="ABX18">
        <f t="shared" si="66"/>
        <v>86.569618109852286</v>
      </c>
      <c r="ABY18">
        <f t="shared" si="66"/>
        <v>85.921902573856556</v>
      </c>
      <c r="ABZ18">
        <f t="shared" si="66"/>
        <v>87.485294242196744</v>
      </c>
      <c r="ACA18">
        <f t="shared" si="66"/>
        <v>87.037538186377247</v>
      </c>
      <c r="ACB18">
        <f t="shared" si="66"/>
        <v>86.644311786910308</v>
      </c>
      <c r="ACC18">
        <f t="shared" si="66"/>
        <v>87.968290018870363</v>
      </c>
      <c r="ACD18">
        <f t="shared" si="66"/>
        <v>87.549357638749044</v>
      </c>
      <c r="ACE18">
        <f t="shared" si="66"/>
        <v>89.559377302774934</v>
      </c>
      <c r="ACF18">
        <f t="shared" si="66"/>
        <v>88.979674234055224</v>
      </c>
      <c r="ACG18">
        <f t="shared" si="66"/>
        <v>92.50589765897206</v>
      </c>
      <c r="ACH18">
        <f t="shared" si="66"/>
        <v>93.393342475641035</v>
      </c>
      <c r="ACI18">
        <f t="shared" si="66"/>
        <v>92.794298980987023</v>
      </c>
      <c r="ACJ18">
        <f t="shared" si="66"/>
        <v>93.155298577838863</v>
      </c>
      <c r="ACK18">
        <f t="shared" si="66"/>
        <v>92.38466777769321</v>
      </c>
      <c r="ACL18">
        <f t="shared" si="66"/>
        <v>89.833428104288615</v>
      </c>
      <c r="ACM18">
        <f t="shared" si="66"/>
        <v>88.501495300315199</v>
      </c>
      <c r="ACN18">
        <f t="shared" si="66"/>
        <v>90.002413002513009</v>
      </c>
      <c r="ACO18">
        <f t="shared" si="66"/>
        <v>88.753553944472088</v>
      </c>
      <c r="ACP18">
        <f t="shared" si="66"/>
        <v>87.350456181257329</v>
      </c>
      <c r="ACQ18">
        <f t="shared" si="66"/>
        <v>87.788580605454953</v>
      </c>
      <c r="ACR18">
        <f t="shared" si="66"/>
        <v>86.454192114405359</v>
      </c>
      <c r="ACS18">
        <f t="shared" ref="ACS18:ACV18" si="67">ACR18*(1+ACS7)</f>
        <v>85.410129921326131</v>
      </c>
      <c r="ACT18">
        <f t="shared" si="67"/>
        <v>88.766926615275551</v>
      </c>
      <c r="ACU18">
        <f t="shared" si="67"/>
        <v>89.206801002169172</v>
      </c>
      <c r="ACV18">
        <f t="shared" si="67"/>
        <v>89.755542821700288</v>
      </c>
    </row>
    <row r="19" spans="1:776" x14ac:dyDescent="0.2">
      <c r="A19" s="7" t="s">
        <v>70666</v>
      </c>
      <c r="B19">
        <f t="shared" si="53"/>
        <v>99.306134481004591</v>
      </c>
      <c r="C19">
        <f t="shared" si="54"/>
        <v>97.45139899978291</v>
      </c>
      <c r="D19">
        <f t="shared" si="54"/>
        <v>97.902989403953114</v>
      </c>
      <c r="E19">
        <f t="shared" ref="E19:BP19" si="68">D19*(1+E8)</f>
        <v>96.19146290151852</v>
      </c>
      <c r="F19">
        <f t="shared" si="68"/>
        <v>99.211018129198308</v>
      </c>
      <c r="G19">
        <f t="shared" si="68"/>
        <v>100.21959989276938</v>
      </c>
      <c r="H19">
        <f t="shared" si="68"/>
        <v>101.25963597626063</v>
      </c>
      <c r="I19">
        <f t="shared" si="68"/>
        <v>100.19879128113138</v>
      </c>
      <c r="J19">
        <f t="shared" si="68"/>
        <v>99.917174103006332</v>
      </c>
      <c r="K19">
        <f t="shared" si="68"/>
        <v>102.19371970923487</v>
      </c>
      <c r="L19">
        <f t="shared" si="68"/>
        <v>100.59324882300301</v>
      </c>
      <c r="M19">
        <f t="shared" si="68"/>
        <v>100.92538407923864</v>
      </c>
      <c r="N19">
        <f t="shared" si="68"/>
        <v>101.41640500089684</v>
      </c>
      <c r="O19">
        <f t="shared" si="68"/>
        <v>103.6434849510153</v>
      </c>
      <c r="P19">
        <f t="shared" si="68"/>
        <v>104.74932750759615</v>
      </c>
      <c r="Q19">
        <f t="shared" si="68"/>
        <v>103.40752591708956</v>
      </c>
      <c r="R19">
        <f t="shared" si="68"/>
        <v>103.75795779871383</v>
      </c>
      <c r="S19">
        <f t="shared" si="68"/>
        <v>103.59484654566995</v>
      </c>
      <c r="T19">
        <f t="shared" si="68"/>
        <v>105.30368375170482</v>
      </c>
      <c r="U19">
        <f t="shared" si="68"/>
        <v>104.50768235866985</v>
      </c>
      <c r="V19">
        <f t="shared" si="68"/>
        <v>100.58098632868987</v>
      </c>
      <c r="W19">
        <f t="shared" si="68"/>
        <v>101.42135570874593</v>
      </c>
      <c r="X19">
        <f t="shared" si="68"/>
        <v>101.59059392522704</v>
      </c>
      <c r="Y19">
        <f t="shared" si="68"/>
        <v>100.53484951538839</v>
      </c>
      <c r="Z19">
        <f t="shared" si="68"/>
        <v>99.333385220923333</v>
      </c>
      <c r="AA19">
        <f t="shared" si="68"/>
        <v>97.018161886480911</v>
      </c>
      <c r="AB19">
        <f t="shared" si="68"/>
        <v>97.658505427631084</v>
      </c>
      <c r="AC19">
        <f t="shared" si="68"/>
        <v>95.867460561572699</v>
      </c>
      <c r="AD19">
        <f t="shared" si="68"/>
        <v>94.947631444969204</v>
      </c>
      <c r="AE19">
        <f t="shared" si="68"/>
        <v>97.808495646826444</v>
      </c>
      <c r="AF19">
        <f t="shared" si="68"/>
        <v>97.607650788543779</v>
      </c>
      <c r="AG19">
        <f t="shared" si="68"/>
        <v>99.533720461104721</v>
      </c>
      <c r="AH19">
        <f t="shared" si="68"/>
        <v>99.792442165508149</v>
      </c>
      <c r="AI19">
        <f t="shared" si="68"/>
        <v>98.889280523245787</v>
      </c>
      <c r="AJ19">
        <f t="shared" si="68"/>
        <v>100.47392342167376</v>
      </c>
      <c r="AK19">
        <f t="shared" si="68"/>
        <v>100.72637772216193</v>
      </c>
      <c r="AL19">
        <f t="shared" si="68"/>
        <v>101.30039665298771</v>
      </c>
      <c r="AM19">
        <f t="shared" si="68"/>
        <v>101.12313416982708</v>
      </c>
      <c r="AN19">
        <f t="shared" si="68"/>
        <v>100.61218770055771</v>
      </c>
      <c r="AO19">
        <f t="shared" si="68"/>
        <v>101.34144095509505</v>
      </c>
      <c r="AP19">
        <f t="shared" si="68"/>
        <v>101.2382024157443</v>
      </c>
      <c r="AQ19">
        <f t="shared" si="68"/>
        <v>100.1353777253275</v>
      </c>
      <c r="AR19">
        <f t="shared" si="68"/>
        <v>98.581551191261241</v>
      </c>
      <c r="AS19">
        <f t="shared" si="68"/>
        <v>98.275628274271753</v>
      </c>
      <c r="AT19">
        <f t="shared" si="68"/>
        <v>98.21162839640823</v>
      </c>
      <c r="AU19">
        <f t="shared" si="68"/>
        <v>97.681916128522857</v>
      </c>
      <c r="AV19">
        <f t="shared" si="68"/>
        <v>98.199862102333825</v>
      </c>
      <c r="AW19">
        <f t="shared" si="68"/>
        <v>97.758381147347151</v>
      </c>
      <c r="AX19">
        <f t="shared" si="68"/>
        <v>99.589250468748219</v>
      </c>
      <c r="AY19">
        <f t="shared" si="68"/>
        <v>99.287062217596016</v>
      </c>
      <c r="AZ19">
        <f t="shared" si="68"/>
        <v>99.935689991107097</v>
      </c>
      <c r="BA19">
        <f t="shared" si="68"/>
        <v>100.20158330824417</v>
      </c>
      <c r="BB19">
        <f t="shared" si="68"/>
        <v>100.87978255752108</v>
      </c>
      <c r="BC19">
        <f t="shared" si="68"/>
        <v>101.87480036169832</v>
      </c>
      <c r="BD19">
        <f t="shared" si="68"/>
        <v>102.53936698391328</v>
      </c>
      <c r="BE19">
        <f t="shared" si="68"/>
        <v>103.9935434716282</v>
      </c>
      <c r="BF19">
        <f t="shared" si="68"/>
        <v>102.87443253462565</v>
      </c>
      <c r="BG19">
        <f t="shared" si="68"/>
        <v>104.59039354089802</v>
      </c>
      <c r="BH19">
        <f t="shared" si="68"/>
        <v>105.55106400177962</v>
      </c>
      <c r="BI19">
        <f t="shared" si="68"/>
        <v>104.73321099995077</v>
      </c>
      <c r="BJ19">
        <f t="shared" si="68"/>
        <v>101.65297113738916</v>
      </c>
      <c r="BK19">
        <f t="shared" si="68"/>
        <v>102.26396346388367</v>
      </c>
      <c r="BL19">
        <f t="shared" si="68"/>
        <v>102.69120955192166</v>
      </c>
      <c r="BM19">
        <f t="shared" si="68"/>
        <v>103.23827669668947</v>
      </c>
      <c r="BN19">
        <f t="shared" si="68"/>
        <v>104.29577824482584</v>
      </c>
      <c r="BO19">
        <f t="shared" si="68"/>
        <v>106.52582358828097</v>
      </c>
      <c r="BP19">
        <f t="shared" si="68"/>
        <v>107.17596272333</v>
      </c>
      <c r="BQ19">
        <f t="shared" ref="BQ19:EB19" si="69">BP19*(1+BQ8)</f>
        <v>108.48385487455485</v>
      </c>
      <c r="BR19">
        <f t="shared" si="69"/>
        <v>107.74845402633655</v>
      </c>
      <c r="BS19">
        <f t="shared" si="69"/>
        <v>107.87324226814573</v>
      </c>
      <c r="BT19">
        <f t="shared" si="69"/>
        <v>110.20226860782698</v>
      </c>
      <c r="BU19">
        <f t="shared" si="69"/>
        <v>110.52341544508958</v>
      </c>
      <c r="BV19">
        <f t="shared" si="69"/>
        <v>109.3180396162731</v>
      </c>
      <c r="BW19">
        <f t="shared" si="69"/>
        <v>109.88823345692559</v>
      </c>
      <c r="BX19">
        <f t="shared" si="69"/>
        <v>110.38165058736378</v>
      </c>
      <c r="BY19">
        <f t="shared" si="69"/>
        <v>109.65963915386597</v>
      </c>
      <c r="BZ19">
        <f t="shared" si="69"/>
        <v>109.81266033256703</v>
      </c>
      <c r="CA19">
        <f t="shared" si="69"/>
        <v>108.14870299765052</v>
      </c>
      <c r="CB19">
        <f t="shared" si="69"/>
        <v>106.3349218167849</v>
      </c>
      <c r="CC19">
        <f t="shared" si="69"/>
        <v>106.68163921464527</v>
      </c>
      <c r="CD19">
        <f t="shared" si="69"/>
        <v>105.88877557300411</v>
      </c>
      <c r="CE19">
        <f t="shared" si="69"/>
        <v>106.67820303986522</v>
      </c>
      <c r="CF19">
        <f t="shared" si="69"/>
        <v>106.73432114101682</v>
      </c>
      <c r="CG19">
        <f t="shared" si="69"/>
        <v>107.07991187075325</v>
      </c>
      <c r="CH19">
        <f t="shared" si="69"/>
        <v>107.34932124053826</v>
      </c>
      <c r="CI19">
        <f t="shared" si="69"/>
        <v>105.4706606488042</v>
      </c>
      <c r="CJ19">
        <f t="shared" si="69"/>
        <v>105.86091668631126</v>
      </c>
      <c r="CK19">
        <f t="shared" si="69"/>
        <v>107.10745528921653</v>
      </c>
      <c r="CL19">
        <f t="shared" si="69"/>
        <v>107.99790196110635</v>
      </c>
      <c r="CM19">
        <f t="shared" si="69"/>
        <v>107.54860902584241</v>
      </c>
      <c r="CN19">
        <f t="shared" si="69"/>
        <v>108.61957383692814</v>
      </c>
      <c r="CO19">
        <f t="shared" si="69"/>
        <v>109.49514418188058</v>
      </c>
      <c r="CP19">
        <f t="shared" si="69"/>
        <v>109.61758852738973</v>
      </c>
      <c r="CQ19">
        <f t="shared" si="69"/>
        <v>109.22274151944393</v>
      </c>
      <c r="CR19">
        <f t="shared" si="69"/>
        <v>109.74307715084684</v>
      </c>
      <c r="CS19">
        <f t="shared" si="69"/>
        <v>108.17534386258271</v>
      </c>
      <c r="CT19">
        <f t="shared" si="69"/>
        <v>108.97589282618009</v>
      </c>
      <c r="CU19">
        <f t="shared" si="69"/>
        <v>111.28593882374143</v>
      </c>
      <c r="CV19">
        <f t="shared" si="69"/>
        <v>110.77428341620902</v>
      </c>
      <c r="CW19">
        <f t="shared" si="69"/>
        <v>110.26979959328712</v>
      </c>
      <c r="CX19">
        <f t="shared" si="69"/>
        <v>111.21095224134874</v>
      </c>
      <c r="CY19">
        <f t="shared" si="69"/>
        <v>113.78714540234793</v>
      </c>
      <c r="CZ19">
        <f t="shared" si="69"/>
        <v>112.89228310322657</v>
      </c>
      <c r="DA19">
        <f t="shared" si="69"/>
        <v>114.31570453186853</v>
      </c>
      <c r="DB19">
        <f t="shared" si="69"/>
        <v>115.54443319191378</v>
      </c>
      <c r="DC19">
        <f t="shared" si="69"/>
        <v>114.79413883304126</v>
      </c>
      <c r="DD19">
        <f t="shared" si="69"/>
        <v>114.63490517951459</v>
      </c>
      <c r="DE19">
        <f t="shared" si="69"/>
        <v>111.89167255416764</v>
      </c>
      <c r="DF19">
        <f t="shared" si="69"/>
        <v>114.58114492063018</v>
      </c>
      <c r="DG19">
        <f t="shared" si="69"/>
        <v>114.2534166824727</v>
      </c>
      <c r="DH19">
        <f t="shared" si="69"/>
        <v>112.35789310054776</v>
      </c>
      <c r="DI19">
        <f t="shared" si="69"/>
        <v>108.62374943774718</v>
      </c>
      <c r="DJ19">
        <f t="shared" si="69"/>
        <v>111.18620211054942</v>
      </c>
      <c r="DK19">
        <f t="shared" si="69"/>
        <v>112.29139480565121</v>
      </c>
      <c r="DL19">
        <f t="shared" si="69"/>
        <v>110.0389113040701</v>
      </c>
      <c r="DM19">
        <f t="shared" si="69"/>
        <v>110.42192327048356</v>
      </c>
      <c r="DN19">
        <f t="shared" si="69"/>
        <v>111.59626987436596</v>
      </c>
      <c r="DO19">
        <f t="shared" si="69"/>
        <v>111.41807622747602</v>
      </c>
      <c r="DP19">
        <f t="shared" si="69"/>
        <v>110.51188469603422</v>
      </c>
      <c r="DQ19">
        <f t="shared" si="69"/>
        <v>113.87764244257795</v>
      </c>
      <c r="DR19">
        <f t="shared" si="69"/>
        <v>111.56463455761802</v>
      </c>
      <c r="DS19">
        <f t="shared" si="69"/>
        <v>110.64226760812672</v>
      </c>
      <c r="DT19">
        <f t="shared" si="69"/>
        <v>111.27563876906075</v>
      </c>
      <c r="DU19">
        <f t="shared" si="69"/>
        <v>113.8565716668021</v>
      </c>
      <c r="DV19">
        <f t="shared" si="69"/>
        <v>112.41689784081866</v>
      </c>
      <c r="DW19">
        <f t="shared" si="69"/>
        <v>111.93217673291743</v>
      </c>
      <c r="DX19">
        <f t="shared" si="69"/>
        <v>112.64456085881815</v>
      </c>
      <c r="DY19">
        <f t="shared" si="69"/>
        <v>112.82739965569752</v>
      </c>
      <c r="DZ19">
        <f t="shared" si="69"/>
        <v>109.40481937550091</v>
      </c>
      <c r="EA19">
        <f t="shared" si="69"/>
        <v>103.21956883500027</v>
      </c>
      <c r="EB19">
        <f t="shared" si="69"/>
        <v>103.54165437296884</v>
      </c>
      <c r="EC19">
        <f t="shared" ref="EC19:GN19" si="70">EB19*(1+EC8)</f>
        <v>102.14892521181731</v>
      </c>
      <c r="ED19">
        <f t="shared" si="70"/>
        <v>104.77426914782713</v>
      </c>
      <c r="EE19">
        <f t="shared" si="70"/>
        <v>102.54609263885035</v>
      </c>
      <c r="EF19">
        <f t="shared" si="70"/>
        <v>100.04092142404019</v>
      </c>
      <c r="EG19">
        <f t="shared" si="70"/>
        <v>98.4459282828401</v>
      </c>
      <c r="EH19">
        <f t="shared" si="70"/>
        <v>98.858264363402299</v>
      </c>
      <c r="EI19">
        <f t="shared" si="70"/>
        <v>98.250328253471878</v>
      </c>
      <c r="EJ19">
        <f t="shared" si="70"/>
        <v>97.64464685087097</v>
      </c>
      <c r="EK19">
        <f t="shared" si="70"/>
        <v>96.877169766411257</v>
      </c>
      <c r="EL19">
        <f t="shared" si="70"/>
        <v>96.887413193070088</v>
      </c>
      <c r="EM19">
        <f t="shared" si="70"/>
        <v>97.072848291678966</v>
      </c>
      <c r="EN19">
        <f t="shared" si="70"/>
        <v>96.336067005468792</v>
      </c>
      <c r="EO19">
        <f t="shared" si="70"/>
        <v>95.519535641262777</v>
      </c>
      <c r="EP19">
        <f t="shared" si="70"/>
        <v>94.995391834362366</v>
      </c>
      <c r="EQ19">
        <f t="shared" si="70"/>
        <v>94.017939643676698</v>
      </c>
      <c r="ER19">
        <f t="shared" si="70"/>
        <v>93.342347785212652</v>
      </c>
      <c r="ES19">
        <f t="shared" si="70"/>
        <v>92.841971934005485</v>
      </c>
      <c r="ET19">
        <f t="shared" si="70"/>
        <v>93.093860054362949</v>
      </c>
      <c r="EU19">
        <f t="shared" si="70"/>
        <v>90.911210175404733</v>
      </c>
      <c r="EV19">
        <f t="shared" si="70"/>
        <v>92.814609666354286</v>
      </c>
      <c r="EW19">
        <f t="shared" si="70"/>
        <v>92.057878044994879</v>
      </c>
      <c r="EX19">
        <f t="shared" si="70"/>
        <v>92.911089169781135</v>
      </c>
      <c r="EY19">
        <f t="shared" si="70"/>
        <v>91.8934591557489</v>
      </c>
      <c r="EZ19">
        <f t="shared" si="70"/>
        <v>91.304362641213885</v>
      </c>
      <c r="FA19">
        <f t="shared" si="70"/>
        <v>90.211399026042045</v>
      </c>
      <c r="FB19">
        <f t="shared" si="70"/>
        <v>89.430748178780362</v>
      </c>
      <c r="FC19">
        <f t="shared" si="70"/>
        <v>90.457362831488894</v>
      </c>
      <c r="FD19">
        <f t="shared" si="70"/>
        <v>88.094895806873865</v>
      </c>
      <c r="FE19">
        <f t="shared" si="70"/>
        <v>88.604876829642251</v>
      </c>
      <c r="FF19">
        <f t="shared" si="70"/>
        <v>88.418195226458892</v>
      </c>
      <c r="FG19">
        <f t="shared" si="70"/>
        <v>89.097621530863918</v>
      </c>
      <c r="FH19">
        <f t="shared" si="70"/>
        <v>88.826121410202063</v>
      </c>
      <c r="FI19">
        <f t="shared" si="70"/>
        <v>90.872531213985738</v>
      </c>
      <c r="FJ19">
        <f t="shared" si="70"/>
        <v>91.821497053365206</v>
      </c>
      <c r="FK19">
        <f t="shared" si="70"/>
        <v>89.946462809785757</v>
      </c>
      <c r="FL19">
        <f t="shared" si="70"/>
        <v>90.609067594930337</v>
      </c>
      <c r="FM19">
        <f t="shared" si="70"/>
        <v>90.688777484194901</v>
      </c>
      <c r="FN19">
        <f t="shared" si="70"/>
        <v>91.284459494334016</v>
      </c>
      <c r="FO19">
        <f t="shared" si="70"/>
        <v>92.829261354995637</v>
      </c>
      <c r="FP19">
        <f t="shared" si="70"/>
        <v>92.37254675596229</v>
      </c>
      <c r="FQ19">
        <f t="shared" si="70"/>
        <v>90.420023071571293</v>
      </c>
      <c r="FR19">
        <f t="shared" si="70"/>
        <v>92.014632798912089</v>
      </c>
      <c r="FS19">
        <f t="shared" si="70"/>
        <v>91.568851147141672</v>
      </c>
      <c r="FT19">
        <f t="shared" si="70"/>
        <v>90.892699197582999</v>
      </c>
      <c r="FU19">
        <f t="shared" si="70"/>
        <v>89.49832550392226</v>
      </c>
      <c r="FV19">
        <f t="shared" si="70"/>
        <v>89.145454691669826</v>
      </c>
      <c r="FW19">
        <f t="shared" si="70"/>
        <v>89.624630361037703</v>
      </c>
      <c r="FX19">
        <f t="shared" si="70"/>
        <v>88.984981927248626</v>
      </c>
      <c r="FY19">
        <f t="shared" si="70"/>
        <v>88.117048665787152</v>
      </c>
      <c r="FZ19">
        <f t="shared" si="70"/>
        <v>86.984605186124696</v>
      </c>
      <c r="GA19">
        <f t="shared" si="70"/>
        <v>85.65647449608305</v>
      </c>
      <c r="GB19">
        <f t="shared" si="70"/>
        <v>86.432914092619725</v>
      </c>
      <c r="GC19">
        <f t="shared" si="70"/>
        <v>85.071049130863969</v>
      </c>
      <c r="GD19">
        <f t="shared" si="70"/>
        <v>84.432951501470995</v>
      </c>
      <c r="GE19">
        <f t="shared" si="70"/>
        <v>82.035912581794108</v>
      </c>
      <c r="GF19">
        <f t="shared" si="70"/>
        <v>82.628517291668444</v>
      </c>
      <c r="GG19">
        <f t="shared" si="70"/>
        <v>82.405803558384903</v>
      </c>
      <c r="GH19">
        <f t="shared" si="70"/>
        <v>83.428913482118929</v>
      </c>
      <c r="GI19">
        <f t="shared" si="70"/>
        <v>85.711997422921385</v>
      </c>
      <c r="GJ19">
        <f t="shared" si="70"/>
        <v>85.38967830670201</v>
      </c>
      <c r="GK19">
        <f t="shared" si="70"/>
        <v>87.736507240022604</v>
      </c>
      <c r="GL19">
        <f t="shared" si="70"/>
        <v>86.233548392033356</v>
      </c>
      <c r="GM19">
        <f t="shared" si="70"/>
        <v>86.742131985284004</v>
      </c>
      <c r="GN19">
        <f t="shared" si="70"/>
        <v>85.685992555188832</v>
      </c>
      <c r="GO19">
        <f t="shared" ref="GO19:IZ19" si="71">GN19*(1+GO8)</f>
        <v>87.254737742156962</v>
      </c>
      <c r="GP19">
        <f t="shared" si="71"/>
        <v>87.326671259341765</v>
      </c>
      <c r="GQ19">
        <f t="shared" si="71"/>
        <v>87.177557182240747</v>
      </c>
      <c r="GR19">
        <f t="shared" si="71"/>
        <v>88.022341037616215</v>
      </c>
      <c r="GS19">
        <f t="shared" si="71"/>
        <v>87.43518161344933</v>
      </c>
      <c r="GT19">
        <f t="shared" si="71"/>
        <v>86.571363902626103</v>
      </c>
      <c r="GU19">
        <f t="shared" si="71"/>
        <v>85.617981410575993</v>
      </c>
      <c r="GV19">
        <f t="shared" si="71"/>
        <v>86.229993471641265</v>
      </c>
      <c r="GW19">
        <f t="shared" si="71"/>
        <v>85.570385249808567</v>
      </c>
      <c r="GX19">
        <f t="shared" si="71"/>
        <v>86.018253228737976</v>
      </c>
      <c r="GY19">
        <f t="shared" si="71"/>
        <v>85.668049716898267</v>
      </c>
      <c r="GZ19">
        <f t="shared" si="71"/>
        <v>87.057435989226192</v>
      </c>
      <c r="HA19">
        <f t="shared" si="71"/>
        <v>87.491183714907052</v>
      </c>
      <c r="HB19">
        <f t="shared" si="71"/>
        <v>87.472846892818296</v>
      </c>
      <c r="HC19">
        <f t="shared" si="71"/>
        <v>87.961177666946043</v>
      </c>
      <c r="HD19">
        <f t="shared" si="71"/>
        <v>87.440174808848809</v>
      </c>
      <c r="HE19">
        <f t="shared" si="71"/>
        <v>85.430896972961008</v>
      </c>
      <c r="HF19">
        <f t="shared" si="71"/>
        <v>85.19705587236264</v>
      </c>
      <c r="HG19">
        <f t="shared" si="71"/>
        <v>85.509225970408821</v>
      </c>
      <c r="HH19">
        <f t="shared" si="71"/>
        <v>84.719372937434443</v>
      </c>
      <c r="HI19">
        <f t="shared" si="71"/>
        <v>84.202846188738675</v>
      </c>
      <c r="HJ19">
        <f t="shared" si="71"/>
        <v>83.652858073103033</v>
      </c>
      <c r="HK19">
        <f t="shared" si="71"/>
        <v>83.918839740302261</v>
      </c>
      <c r="HL19">
        <f t="shared" si="71"/>
        <v>84.546718029120228</v>
      </c>
      <c r="HM19">
        <f t="shared" si="71"/>
        <v>84.362204106423761</v>
      </c>
      <c r="HN19">
        <f t="shared" si="71"/>
        <v>83.985684997290491</v>
      </c>
      <c r="HO19">
        <f t="shared" si="71"/>
        <v>83.968644957844688</v>
      </c>
      <c r="HP19">
        <f t="shared" si="71"/>
        <v>85.422743141455229</v>
      </c>
      <c r="HQ19">
        <f t="shared" si="71"/>
        <v>84.871741915108458</v>
      </c>
      <c r="HR19">
        <f t="shared" si="71"/>
        <v>88.012620944897378</v>
      </c>
      <c r="HS19">
        <f t="shared" si="71"/>
        <v>88.170627196624906</v>
      </c>
      <c r="HT19">
        <f t="shared" si="71"/>
        <v>89.440327919105343</v>
      </c>
      <c r="HU19">
        <f t="shared" si="71"/>
        <v>87.270319408887502</v>
      </c>
      <c r="HV19">
        <f t="shared" si="71"/>
        <v>87.875037932748825</v>
      </c>
      <c r="HW19">
        <f t="shared" si="71"/>
        <v>87.985511278198047</v>
      </c>
      <c r="HX19">
        <f t="shared" si="71"/>
        <v>87.524939260901917</v>
      </c>
      <c r="HY19">
        <f t="shared" si="71"/>
        <v>88.116745012584431</v>
      </c>
      <c r="HZ19">
        <f t="shared" si="71"/>
        <v>91.199296373361534</v>
      </c>
      <c r="IA19">
        <f t="shared" si="71"/>
        <v>91.988118495635831</v>
      </c>
      <c r="IB19">
        <f t="shared" si="71"/>
        <v>94.682419367157053</v>
      </c>
      <c r="IC19">
        <f t="shared" si="71"/>
        <v>94.802732225955936</v>
      </c>
      <c r="ID19">
        <f t="shared" si="71"/>
        <v>92.859485057233272</v>
      </c>
      <c r="IE19">
        <f t="shared" si="71"/>
        <v>92.542976783069662</v>
      </c>
      <c r="IF19">
        <f t="shared" si="71"/>
        <v>91.724342343714582</v>
      </c>
      <c r="IG19">
        <f t="shared" si="71"/>
        <v>90.001988091048148</v>
      </c>
      <c r="IH19">
        <f t="shared" si="71"/>
        <v>90.311781552028023</v>
      </c>
      <c r="II19">
        <f t="shared" si="71"/>
        <v>88.86397377958491</v>
      </c>
      <c r="IJ19">
        <f t="shared" si="71"/>
        <v>88.542017571593988</v>
      </c>
      <c r="IK19">
        <f t="shared" si="71"/>
        <v>89.316404877304279</v>
      </c>
      <c r="IL19">
        <f t="shared" si="71"/>
        <v>89.092576435827198</v>
      </c>
      <c r="IM19">
        <f t="shared" si="71"/>
        <v>91.490070200120783</v>
      </c>
      <c r="IN19">
        <f t="shared" si="71"/>
        <v>90.366669116215476</v>
      </c>
      <c r="IO19">
        <f t="shared" si="71"/>
        <v>88.86154781107426</v>
      </c>
      <c r="IP19">
        <f t="shared" si="71"/>
        <v>88.522375839953611</v>
      </c>
      <c r="IQ19">
        <f t="shared" si="71"/>
        <v>88.494386316041599</v>
      </c>
      <c r="IR19">
        <f t="shared" si="71"/>
        <v>89.023794355818126</v>
      </c>
      <c r="IS19">
        <f t="shared" si="71"/>
        <v>88.236199395259874</v>
      </c>
      <c r="IT19">
        <f t="shared" si="71"/>
        <v>88.401437847552415</v>
      </c>
      <c r="IU19">
        <f t="shared" si="71"/>
        <v>86.148860223902815</v>
      </c>
      <c r="IV19">
        <f t="shared" si="71"/>
        <v>87.982647154049005</v>
      </c>
      <c r="IW19">
        <f t="shared" si="71"/>
        <v>89.367428821123795</v>
      </c>
      <c r="IX19">
        <f t="shared" si="71"/>
        <v>89.134705204344215</v>
      </c>
      <c r="IY19">
        <f t="shared" si="71"/>
        <v>89.637977688976903</v>
      </c>
      <c r="IZ19">
        <f t="shared" si="71"/>
        <v>88.802406571155998</v>
      </c>
      <c r="JA19">
        <f t="shared" ref="JA19:LL19" si="72">IZ19*(1+JA8)</f>
        <v>89.813466775856227</v>
      </c>
      <c r="JB19">
        <f t="shared" si="72"/>
        <v>88.735912097065366</v>
      </c>
      <c r="JC19">
        <f t="shared" si="72"/>
        <v>87.489549163858754</v>
      </c>
      <c r="JD19">
        <f t="shared" si="72"/>
        <v>88.154796435821325</v>
      </c>
      <c r="JE19">
        <f t="shared" si="72"/>
        <v>87.391737935524034</v>
      </c>
      <c r="JF19">
        <f t="shared" si="72"/>
        <v>90.100623585290379</v>
      </c>
      <c r="JG19">
        <f t="shared" si="72"/>
        <v>89.21907138319736</v>
      </c>
      <c r="JH19">
        <f t="shared" si="72"/>
        <v>89.312559535181023</v>
      </c>
      <c r="JI19">
        <f t="shared" si="72"/>
        <v>88.923863791626601</v>
      </c>
      <c r="JJ19">
        <f t="shared" si="72"/>
        <v>89.01770673028652</v>
      </c>
      <c r="JK19">
        <f t="shared" si="72"/>
        <v>89.57993545528025</v>
      </c>
      <c r="JL19">
        <f t="shared" si="72"/>
        <v>88.98794679529928</v>
      </c>
      <c r="JM19">
        <f t="shared" si="72"/>
        <v>88.32346414449006</v>
      </c>
      <c r="JN19">
        <f t="shared" si="72"/>
        <v>89.306642703068889</v>
      </c>
      <c r="JO19">
        <f t="shared" si="72"/>
        <v>88.183624127671152</v>
      </c>
      <c r="JP19">
        <f t="shared" si="72"/>
        <v>88.031845305872366</v>
      </c>
      <c r="JQ19">
        <f t="shared" si="72"/>
        <v>90.336708881908976</v>
      </c>
      <c r="JR19">
        <f t="shared" si="72"/>
        <v>89.687807000479168</v>
      </c>
      <c r="JS19">
        <f t="shared" si="72"/>
        <v>87.658462531963593</v>
      </c>
      <c r="JT19">
        <f t="shared" si="72"/>
        <v>87.906578852784207</v>
      </c>
      <c r="JU19">
        <f t="shared" si="72"/>
        <v>88.161299775751402</v>
      </c>
      <c r="JV19">
        <f t="shared" si="72"/>
        <v>90.108257605723153</v>
      </c>
      <c r="JW19">
        <f t="shared" si="72"/>
        <v>93.04918154796006</v>
      </c>
      <c r="JX19">
        <f t="shared" si="72"/>
        <v>91.021250219577141</v>
      </c>
      <c r="JY19">
        <f t="shared" si="72"/>
        <v>89.93095400251849</v>
      </c>
      <c r="JZ19">
        <f t="shared" si="72"/>
        <v>91.443148551946635</v>
      </c>
      <c r="KA19">
        <f t="shared" si="72"/>
        <v>92.001897773291276</v>
      </c>
      <c r="KB19">
        <f t="shared" si="72"/>
        <v>91.348330147247921</v>
      </c>
      <c r="KC19">
        <f t="shared" si="72"/>
        <v>91.637370740094568</v>
      </c>
      <c r="KD19">
        <f t="shared" si="72"/>
        <v>90.582649738891931</v>
      </c>
      <c r="KE19">
        <f t="shared" si="72"/>
        <v>90.815196870632818</v>
      </c>
      <c r="KF19">
        <f t="shared" si="72"/>
        <v>90.20261800709288</v>
      </c>
      <c r="KG19">
        <f t="shared" si="72"/>
        <v>89.478869274185357</v>
      </c>
      <c r="KH19">
        <f t="shared" si="72"/>
        <v>90.300974451228782</v>
      </c>
      <c r="KI19">
        <f t="shared" si="72"/>
        <v>89.490994501075576</v>
      </c>
      <c r="KJ19">
        <f t="shared" si="72"/>
        <v>91.421821381422617</v>
      </c>
      <c r="KK19">
        <f t="shared" si="72"/>
        <v>91.473531003041131</v>
      </c>
      <c r="KL19">
        <f t="shared" si="72"/>
        <v>93.026507783636589</v>
      </c>
      <c r="KM19">
        <f t="shared" si="72"/>
        <v>93.490815079839194</v>
      </c>
      <c r="KN19">
        <f t="shared" si="72"/>
        <v>93.460343735927012</v>
      </c>
      <c r="KO19">
        <f t="shared" si="72"/>
        <v>92.23179406439894</v>
      </c>
      <c r="KP19">
        <f t="shared" si="72"/>
        <v>93.539127846326465</v>
      </c>
      <c r="KQ19">
        <f t="shared" si="72"/>
        <v>94.857807422029808</v>
      </c>
      <c r="KR19">
        <f t="shared" si="72"/>
        <v>94.413892306243469</v>
      </c>
      <c r="KS19">
        <f t="shared" si="72"/>
        <v>92.23424315560311</v>
      </c>
      <c r="KT19">
        <f t="shared" si="72"/>
        <v>92.35118478115082</v>
      </c>
      <c r="KU19">
        <f t="shared" si="72"/>
        <v>95.182837328951607</v>
      </c>
      <c r="KV19">
        <f t="shared" si="72"/>
        <v>94.259514334421127</v>
      </c>
      <c r="KW19">
        <f t="shared" si="72"/>
        <v>93.133146384132885</v>
      </c>
      <c r="KX19">
        <f t="shared" si="72"/>
        <v>94.515360413146041</v>
      </c>
      <c r="KY19">
        <f t="shared" si="72"/>
        <v>94.323382742575518</v>
      </c>
      <c r="KZ19">
        <f t="shared" si="72"/>
        <v>95.015595134579669</v>
      </c>
      <c r="LA19">
        <f t="shared" si="72"/>
        <v>95.668173101888044</v>
      </c>
      <c r="LB19">
        <f t="shared" si="72"/>
        <v>96.043835495494662</v>
      </c>
      <c r="LC19">
        <f t="shared" si="72"/>
        <v>97.258628414916132</v>
      </c>
      <c r="LD19">
        <f t="shared" si="72"/>
        <v>97.759757579376384</v>
      </c>
      <c r="LE19">
        <f t="shared" si="72"/>
        <v>98.058254629529713</v>
      </c>
      <c r="LF19">
        <f t="shared" si="72"/>
        <v>96.063425412389961</v>
      </c>
      <c r="LG19">
        <f t="shared" si="72"/>
        <v>94.523062234132652</v>
      </c>
      <c r="LH19">
        <f t="shared" si="72"/>
        <v>90.401556017486286</v>
      </c>
      <c r="LI19">
        <f t="shared" si="72"/>
        <v>89.81763293592914</v>
      </c>
      <c r="LJ19">
        <f t="shared" si="72"/>
        <v>89.230772222926475</v>
      </c>
      <c r="LK19">
        <f t="shared" si="72"/>
        <v>90.595039845675629</v>
      </c>
      <c r="LL19">
        <f t="shared" si="72"/>
        <v>89.323945199346852</v>
      </c>
      <c r="LM19">
        <f t="shared" ref="LM19:NX19" si="73">LL19*(1+LM8)</f>
        <v>88.027728367056952</v>
      </c>
      <c r="LN19">
        <f t="shared" si="73"/>
        <v>88.00851053369766</v>
      </c>
      <c r="LO19">
        <f t="shared" si="73"/>
        <v>88.800734243513091</v>
      </c>
      <c r="LP19">
        <f t="shared" si="73"/>
        <v>88.531106318783443</v>
      </c>
      <c r="LQ19">
        <f t="shared" si="73"/>
        <v>87.138360812558972</v>
      </c>
      <c r="LR19">
        <f t="shared" si="73"/>
        <v>83.720950022420922</v>
      </c>
      <c r="LS19">
        <f t="shared" si="73"/>
        <v>85.314935318002625</v>
      </c>
      <c r="LT19">
        <f t="shared" si="73"/>
        <v>86.361528863542091</v>
      </c>
      <c r="LU19">
        <f t="shared" si="73"/>
        <v>86.550095167145642</v>
      </c>
      <c r="LV19">
        <f t="shared" si="73"/>
        <v>87.483696042285274</v>
      </c>
      <c r="LW19">
        <f t="shared" si="73"/>
        <v>85.792070461757135</v>
      </c>
      <c r="LX19">
        <f t="shared" si="73"/>
        <v>85.976628233900641</v>
      </c>
      <c r="LY19">
        <f t="shared" si="73"/>
        <v>86.568435628012111</v>
      </c>
      <c r="LZ19">
        <f t="shared" si="73"/>
        <v>85.50400036727838</v>
      </c>
      <c r="MA19">
        <f t="shared" si="73"/>
        <v>86.309835961742749</v>
      </c>
      <c r="MB19">
        <f t="shared" si="73"/>
        <v>87.341580658080929</v>
      </c>
      <c r="MC19">
        <f t="shared" si="73"/>
        <v>88.109385967929143</v>
      </c>
      <c r="MD19">
        <f t="shared" si="73"/>
        <v>87.718363857851671</v>
      </c>
      <c r="ME19">
        <f t="shared" si="73"/>
        <v>87.986752846119998</v>
      </c>
      <c r="MF19">
        <f t="shared" si="73"/>
        <v>89.437460407285428</v>
      </c>
      <c r="MG19">
        <f t="shared" si="73"/>
        <v>90.300408814961457</v>
      </c>
      <c r="MH19">
        <f t="shared" si="73"/>
        <v>90.070954465948503</v>
      </c>
      <c r="MI19">
        <f t="shared" si="73"/>
        <v>89.857447120005133</v>
      </c>
      <c r="MJ19">
        <f t="shared" si="73"/>
        <v>91.168714841899046</v>
      </c>
      <c r="MK19">
        <f t="shared" si="73"/>
        <v>91.993501016170043</v>
      </c>
      <c r="ML19">
        <f t="shared" si="73"/>
        <v>89.296253767396124</v>
      </c>
      <c r="MM19">
        <f t="shared" si="73"/>
        <v>88.374960053316499</v>
      </c>
      <c r="MN19">
        <f t="shared" si="73"/>
        <v>89.567821780457464</v>
      </c>
      <c r="MO19">
        <f t="shared" si="73"/>
        <v>89.803573933606714</v>
      </c>
      <c r="MP19">
        <f t="shared" si="73"/>
        <v>88.604829004491378</v>
      </c>
      <c r="MQ19">
        <f t="shared" si="73"/>
        <v>86.753550357912999</v>
      </c>
      <c r="MR19">
        <f t="shared" si="73"/>
        <v>85.839336579333079</v>
      </c>
      <c r="MS19">
        <f t="shared" si="73"/>
        <v>85.573261787032891</v>
      </c>
      <c r="MT19">
        <f t="shared" si="73"/>
        <v>85.196044942077265</v>
      </c>
      <c r="MU19">
        <f t="shared" si="73"/>
        <v>85.800704781137242</v>
      </c>
      <c r="MV19">
        <f t="shared" si="73"/>
        <v>86.461519872483905</v>
      </c>
      <c r="MW19">
        <f t="shared" si="73"/>
        <v>86.044961221212716</v>
      </c>
      <c r="MX19">
        <f t="shared" si="73"/>
        <v>85.798958886958502</v>
      </c>
      <c r="MY19">
        <f t="shared" si="73"/>
        <v>85.4332107174898</v>
      </c>
      <c r="MZ19">
        <f t="shared" si="73"/>
        <v>84.671022578816476</v>
      </c>
      <c r="NA19">
        <f t="shared" si="73"/>
        <v>85.580116888093983</v>
      </c>
      <c r="NB19">
        <f t="shared" si="73"/>
        <v>87.60783367635085</v>
      </c>
      <c r="NC19">
        <f t="shared" si="73"/>
        <v>87.556766959707801</v>
      </c>
      <c r="ND19">
        <f t="shared" si="73"/>
        <v>86.983605386025815</v>
      </c>
      <c r="NE19">
        <f t="shared" si="73"/>
        <v>86.887848788860992</v>
      </c>
      <c r="NF19">
        <f t="shared" si="73"/>
        <v>86.990156053045268</v>
      </c>
      <c r="NG19">
        <f t="shared" si="73"/>
        <v>88.422587123019738</v>
      </c>
      <c r="NH19">
        <f t="shared" si="73"/>
        <v>88.052112021633945</v>
      </c>
      <c r="NI19">
        <f t="shared" si="73"/>
        <v>86.640181229310016</v>
      </c>
      <c r="NJ19">
        <f t="shared" si="73"/>
        <v>87.007527046383373</v>
      </c>
      <c r="NK19">
        <f t="shared" si="73"/>
        <v>85.139730401494589</v>
      </c>
      <c r="NL19">
        <f t="shared" si="73"/>
        <v>85.538271587494037</v>
      </c>
      <c r="NM19">
        <f t="shared" si="73"/>
        <v>84.354786396402687</v>
      </c>
      <c r="NN19">
        <f t="shared" si="73"/>
        <v>86.268659773068862</v>
      </c>
      <c r="NO19">
        <f t="shared" si="73"/>
        <v>84.277312445933674</v>
      </c>
      <c r="NP19">
        <f t="shared" si="73"/>
        <v>84.516993128063561</v>
      </c>
      <c r="NQ19">
        <f t="shared" si="73"/>
        <v>83.419971642347875</v>
      </c>
      <c r="NR19">
        <f t="shared" si="73"/>
        <v>84.128974592481995</v>
      </c>
      <c r="NS19">
        <f t="shared" si="73"/>
        <v>86.498966107415882</v>
      </c>
      <c r="NT19">
        <f t="shared" si="73"/>
        <v>88.704926956701527</v>
      </c>
      <c r="NU19">
        <f t="shared" si="73"/>
        <v>91.354460463487456</v>
      </c>
      <c r="NV19">
        <f t="shared" si="73"/>
        <v>90.338408187546136</v>
      </c>
      <c r="NW19">
        <f t="shared" si="73"/>
        <v>90.024473741639952</v>
      </c>
      <c r="NX19">
        <f t="shared" si="73"/>
        <v>89.316116420773582</v>
      </c>
      <c r="NY19">
        <f t="shared" ref="NY19:QJ19" si="74">NX19*(1+NY8)</f>
        <v>90.969513095212747</v>
      </c>
      <c r="NZ19">
        <f t="shared" si="74"/>
        <v>90.171821521871635</v>
      </c>
      <c r="OA19">
        <f t="shared" si="74"/>
        <v>89.396020667700597</v>
      </c>
      <c r="OB19">
        <f t="shared" si="74"/>
        <v>91.760354594979319</v>
      </c>
      <c r="OC19">
        <f t="shared" si="74"/>
        <v>93.526638908812458</v>
      </c>
      <c r="OD19">
        <f t="shared" si="74"/>
        <v>92.508419025708378</v>
      </c>
      <c r="OE19">
        <f t="shared" si="74"/>
        <v>93.486920337958992</v>
      </c>
      <c r="OF19">
        <f t="shared" si="74"/>
        <v>96.634342521526889</v>
      </c>
      <c r="OG19">
        <f t="shared" si="74"/>
        <v>97.117570265937644</v>
      </c>
      <c r="OH19">
        <f t="shared" si="74"/>
        <v>96.369350844241623</v>
      </c>
      <c r="OI19">
        <f t="shared" si="74"/>
        <v>95.513622781411115</v>
      </c>
      <c r="OJ19">
        <f t="shared" si="74"/>
        <v>94.468452980920972</v>
      </c>
      <c r="OK19">
        <f t="shared" si="74"/>
        <v>97.530146000108985</v>
      </c>
      <c r="OL19">
        <f t="shared" si="74"/>
        <v>97.208102262668476</v>
      </c>
      <c r="OM19">
        <f t="shared" si="74"/>
        <v>95.463962436583657</v>
      </c>
      <c r="ON19">
        <f t="shared" si="74"/>
        <v>94.964182496331787</v>
      </c>
      <c r="OO19">
        <f t="shared" si="74"/>
        <v>96.147856168653291</v>
      </c>
      <c r="OP19">
        <f t="shared" si="74"/>
        <v>96.132448050249124</v>
      </c>
      <c r="OQ19">
        <f t="shared" si="74"/>
        <v>94.768620006332583</v>
      </c>
      <c r="OR19">
        <f t="shared" si="74"/>
        <v>93.311108634255106</v>
      </c>
      <c r="OS19">
        <f t="shared" si="74"/>
        <v>90.80313518484455</v>
      </c>
      <c r="OT19">
        <f t="shared" si="74"/>
        <v>90.792895731713031</v>
      </c>
      <c r="OU19">
        <f t="shared" si="74"/>
        <v>89.900442221018722</v>
      </c>
      <c r="OV19">
        <f t="shared" si="74"/>
        <v>89.738540448349426</v>
      </c>
      <c r="OW19">
        <f t="shared" si="74"/>
        <v>90.405339393456146</v>
      </c>
      <c r="OX19">
        <f t="shared" si="74"/>
        <v>91.149562956125237</v>
      </c>
      <c r="OY19">
        <f t="shared" si="74"/>
        <v>89.420679770432258</v>
      </c>
      <c r="OZ19">
        <f t="shared" si="74"/>
        <v>89.410486648997718</v>
      </c>
      <c r="PA19">
        <f t="shared" si="74"/>
        <v>89.476808749381675</v>
      </c>
      <c r="PB19">
        <f t="shared" si="74"/>
        <v>89.074146227158494</v>
      </c>
      <c r="PC19">
        <f t="shared" si="74"/>
        <v>89.101049193407945</v>
      </c>
      <c r="PD19">
        <f t="shared" si="74"/>
        <v>89.746396461341661</v>
      </c>
      <c r="PE19">
        <f t="shared" si="74"/>
        <v>89.765349475495185</v>
      </c>
      <c r="PF19">
        <f t="shared" si="74"/>
        <v>88.394924858842657</v>
      </c>
      <c r="PG19">
        <f t="shared" si="74"/>
        <v>90.534784917255934</v>
      </c>
      <c r="PH19">
        <f t="shared" si="74"/>
        <v>89.612128335491022</v>
      </c>
      <c r="PI19">
        <f t="shared" si="74"/>
        <v>88.984465550632706</v>
      </c>
      <c r="PJ19">
        <f t="shared" si="74"/>
        <v>88.839530871073691</v>
      </c>
      <c r="PK19">
        <f t="shared" si="74"/>
        <v>87.950055657646615</v>
      </c>
      <c r="PL19">
        <f t="shared" si="74"/>
        <v>87.963985510604019</v>
      </c>
      <c r="PM19">
        <f t="shared" si="74"/>
        <v>86.457293090335952</v>
      </c>
      <c r="PN19">
        <f t="shared" si="74"/>
        <v>88.58132935402692</v>
      </c>
      <c r="PO19">
        <f t="shared" si="74"/>
        <v>88.003624961573209</v>
      </c>
      <c r="PP19">
        <f t="shared" si="74"/>
        <v>89.758796211287418</v>
      </c>
      <c r="PQ19">
        <f t="shared" si="74"/>
        <v>89.96696672074556</v>
      </c>
      <c r="PR19">
        <f t="shared" si="74"/>
        <v>92.06427288709196</v>
      </c>
      <c r="PS19">
        <f t="shared" si="74"/>
        <v>91.862024078811444</v>
      </c>
      <c r="PT19">
        <f t="shared" si="74"/>
        <v>94.728475432197655</v>
      </c>
      <c r="PU19">
        <f t="shared" si="74"/>
        <v>96.230023125644678</v>
      </c>
      <c r="PV19">
        <f t="shared" si="74"/>
        <v>95.503298165787257</v>
      </c>
      <c r="PW19">
        <f t="shared" si="74"/>
        <v>94.902199432834763</v>
      </c>
      <c r="PX19">
        <f t="shared" si="74"/>
        <v>96.456733200540029</v>
      </c>
      <c r="PY19">
        <f t="shared" si="74"/>
        <v>95.806228683881216</v>
      </c>
      <c r="PZ19">
        <f t="shared" si="74"/>
        <v>97.2460238698214</v>
      </c>
      <c r="QA19">
        <f t="shared" si="74"/>
        <v>97.547255442322211</v>
      </c>
      <c r="QB19">
        <f t="shared" si="74"/>
        <v>93.387852322787026</v>
      </c>
      <c r="QC19">
        <f t="shared" si="74"/>
        <v>91.778877267506942</v>
      </c>
      <c r="QD19">
        <f t="shared" si="74"/>
        <v>89.848506363797441</v>
      </c>
      <c r="QE19">
        <f t="shared" si="74"/>
        <v>88.04572367974832</v>
      </c>
      <c r="QF19">
        <f t="shared" si="74"/>
        <v>88.144351488891601</v>
      </c>
      <c r="QG19">
        <f t="shared" si="74"/>
        <v>88.530352629530384</v>
      </c>
      <c r="QH19">
        <f t="shared" si="74"/>
        <v>89.417590928662833</v>
      </c>
      <c r="QI19">
        <f t="shared" si="74"/>
        <v>90.206788278015409</v>
      </c>
      <c r="QJ19">
        <f t="shared" si="74"/>
        <v>88.186843373000841</v>
      </c>
      <c r="QK19">
        <f t="shared" ref="QK19:SV19" si="75">QJ19*(1+QK8)</f>
        <v>86.802474752947134</v>
      </c>
      <c r="QL19">
        <f t="shared" si="75"/>
        <v>88.313439685800219</v>
      </c>
      <c r="QM19">
        <f t="shared" si="75"/>
        <v>87.517954738963795</v>
      </c>
      <c r="QN19">
        <f t="shared" si="75"/>
        <v>89.502880294615963</v>
      </c>
      <c r="QO19">
        <f t="shared" si="75"/>
        <v>89.994344894092549</v>
      </c>
      <c r="QP19">
        <f t="shared" si="75"/>
        <v>89.404915321861324</v>
      </c>
      <c r="QQ19">
        <f t="shared" si="75"/>
        <v>89.98727972041155</v>
      </c>
      <c r="QR19">
        <f t="shared" si="75"/>
        <v>91.339469969906489</v>
      </c>
      <c r="QS19">
        <f t="shared" si="75"/>
        <v>89.769705010201164</v>
      </c>
      <c r="QT19">
        <f t="shared" si="75"/>
        <v>87.982573347988023</v>
      </c>
      <c r="QU19">
        <f t="shared" si="75"/>
        <v>89.148283090215557</v>
      </c>
      <c r="QV19">
        <f t="shared" si="75"/>
        <v>88.31574725816148</v>
      </c>
      <c r="QW19">
        <f t="shared" si="75"/>
        <v>90.027251917092428</v>
      </c>
      <c r="QX19">
        <f t="shared" si="75"/>
        <v>90.503865744733403</v>
      </c>
      <c r="QY19">
        <f t="shared" si="75"/>
        <v>89.343755564122816</v>
      </c>
      <c r="QZ19">
        <f t="shared" si="75"/>
        <v>89.018377357842468</v>
      </c>
      <c r="RA19">
        <f t="shared" si="75"/>
        <v>91.179876394826181</v>
      </c>
      <c r="RB19">
        <f t="shared" si="75"/>
        <v>91.943691345709027</v>
      </c>
      <c r="RC19">
        <f t="shared" si="75"/>
        <v>89.075938820937964</v>
      </c>
      <c r="RD19">
        <f t="shared" si="75"/>
        <v>91.700217354538381</v>
      </c>
      <c r="RE19">
        <f t="shared" si="75"/>
        <v>92.16536349575027</v>
      </c>
      <c r="RF19">
        <f t="shared" si="75"/>
        <v>90.580828521623971</v>
      </c>
      <c r="RG19">
        <f t="shared" si="75"/>
        <v>87.796322799228207</v>
      </c>
      <c r="RH19">
        <f t="shared" si="75"/>
        <v>89.534909337320784</v>
      </c>
      <c r="RI19">
        <f t="shared" si="75"/>
        <v>89.916163624966444</v>
      </c>
      <c r="RJ19">
        <f t="shared" si="75"/>
        <v>89.511957312651035</v>
      </c>
      <c r="RK19">
        <f t="shared" si="75"/>
        <v>90.465523287691241</v>
      </c>
      <c r="RL19">
        <f t="shared" si="75"/>
        <v>89.966703244624924</v>
      </c>
      <c r="RM19">
        <f t="shared" si="75"/>
        <v>90.779227262951551</v>
      </c>
      <c r="RN19">
        <f t="shared" si="75"/>
        <v>90.854953957409435</v>
      </c>
      <c r="RO19">
        <f t="shared" si="75"/>
        <v>90.71056480198196</v>
      </c>
      <c r="RP19">
        <f t="shared" si="75"/>
        <v>92.660479872295895</v>
      </c>
      <c r="RQ19">
        <f t="shared" si="75"/>
        <v>92.071782336096959</v>
      </c>
      <c r="RR19">
        <f t="shared" si="75"/>
        <v>91.818055389420593</v>
      </c>
      <c r="RS19">
        <f t="shared" si="75"/>
        <v>93.300493380991711</v>
      </c>
      <c r="RT19">
        <f t="shared" si="75"/>
        <v>92.312098371090102</v>
      </c>
      <c r="RU19">
        <f t="shared" si="75"/>
        <v>92.01109674371753</v>
      </c>
      <c r="RV19">
        <f t="shared" si="75"/>
        <v>93.057309205213755</v>
      </c>
      <c r="RW19">
        <f t="shared" si="75"/>
        <v>92.481410730126598</v>
      </c>
      <c r="RX19">
        <f t="shared" si="75"/>
        <v>93.680057615299788</v>
      </c>
      <c r="RY19">
        <f t="shared" si="75"/>
        <v>93.647098920466519</v>
      </c>
      <c r="RZ19">
        <f t="shared" si="75"/>
        <v>93.330284981211236</v>
      </c>
      <c r="SA19">
        <f t="shared" si="75"/>
        <v>93.517060069651677</v>
      </c>
      <c r="SB19">
        <f t="shared" si="75"/>
        <v>93.941486198773831</v>
      </c>
      <c r="SC19">
        <f t="shared" si="75"/>
        <v>94.260920492993307</v>
      </c>
      <c r="SD19">
        <f t="shared" si="75"/>
        <v>92.66781800423179</v>
      </c>
      <c r="SE19">
        <f t="shared" si="75"/>
        <v>92.611934301369757</v>
      </c>
      <c r="SF19">
        <f t="shared" si="75"/>
        <v>91.019921432639649</v>
      </c>
      <c r="SG19">
        <f t="shared" si="75"/>
        <v>92.250192009563918</v>
      </c>
      <c r="SH19">
        <f t="shared" si="75"/>
        <v>94.212594785435925</v>
      </c>
      <c r="SI19">
        <f t="shared" si="75"/>
        <v>95.760949678025938</v>
      </c>
      <c r="SJ19">
        <f t="shared" si="75"/>
        <v>97.241577261741242</v>
      </c>
      <c r="SK19">
        <f t="shared" si="75"/>
        <v>107.14647685029989</v>
      </c>
      <c r="SL19">
        <f t="shared" si="75"/>
        <v>108.14095622541269</v>
      </c>
      <c r="SM19">
        <f t="shared" si="75"/>
        <v>103.13843081217786</v>
      </c>
      <c r="SN19">
        <f t="shared" si="75"/>
        <v>100.72734242741556</v>
      </c>
      <c r="SO19">
        <f t="shared" si="75"/>
        <v>100.80052195728662</v>
      </c>
      <c r="SP19">
        <f t="shared" si="75"/>
        <v>100.02783441879315</v>
      </c>
      <c r="SQ19">
        <f t="shared" si="75"/>
        <v>97.46384030662982</v>
      </c>
      <c r="SR19">
        <f t="shared" si="75"/>
        <v>98.30569746151302</v>
      </c>
      <c r="SS19">
        <f t="shared" si="75"/>
        <v>97.61650447887412</v>
      </c>
      <c r="ST19">
        <f t="shared" si="75"/>
        <v>95.826958007882396</v>
      </c>
      <c r="SU19">
        <f t="shared" si="75"/>
        <v>94.877894317424165</v>
      </c>
      <c r="SV19">
        <f t="shared" si="75"/>
        <v>88.383531026341501</v>
      </c>
      <c r="SW19">
        <f t="shared" ref="SW19:VH19" si="76">SV19*(1+SW8)</f>
        <v>88.889457597223881</v>
      </c>
      <c r="SX19">
        <f t="shared" si="76"/>
        <v>88.060798861172188</v>
      </c>
      <c r="SY19">
        <f t="shared" si="76"/>
        <v>87.107964123736821</v>
      </c>
      <c r="SZ19">
        <f t="shared" si="76"/>
        <v>87.543481687413703</v>
      </c>
      <c r="TA19">
        <f t="shared" si="76"/>
        <v>84.965150330552945</v>
      </c>
      <c r="TB19">
        <f t="shared" si="76"/>
        <v>85.508746080245061</v>
      </c>
      <c r="TC19">
        <f t="shared" si="76"/>
        <v>85.741850183517201</v>
      </c>
      <c r="TD19">
        <f t="shared" si="76"/>
        <v>88.593420639334468</v>
      </c>
      <c r="TE19">
        <f t="shared" si="76"/>
        <v>90.178453080018755</v>
      </c>
      <c r="TF19">
        <f t="shared" si="76"/>
        <v>90.384066833671739</v>
      </c>
      <c r="TG19">
        <f t="shared" si="76"/>
        <v>91.502853202140201</v>
      </c>
      <c r="TH19">
        <f t="shared" si="76"/>
        <v>90.239958643704</v>
      </c>
      <c r="TI19">
        <f t="shared" si="76"/>
        <v>91.494129636274934</v>
      </c>
      <c r="TJ19">
        <f t="shared" si="76"/>
        <v>99.007939802045939</v>
      </c>
      <c r="TK19">
        <f t="shared" si="76"/>
        <v>99.545066798321926</v>
      </c>
      <c r="TL19">
        <f t="shared" si="76"/>
        <v>100.34784697876312</v>
      </c>
      <c r="TM19">
        <f t="shared" si="76"/>
        <v>100.10678800406073</v>
      </c>
      <c r="TN19">
        <f t="shared" si="76"/>
        <v>100.04445911886494</v>
      </c>
      <c r="TO19">
        <f t="shared" si="76"/>
        <v>101.69905406159361</v>
      </c>
      <c r="TP19">
        <f t="shared" si="76"/>
        <v>102.85338091099665</v>
      </c>
      <c r="TQ19">
        <f t="shared" si="76"/>
        <v>102.85616385591275</v>
      </c>
      <c r="TR19">
        <f t="shared" si="76"/>
        <v>104.08358973240203</v>
      </c>
      <c r="TS19">
        <f t="shared" si="76"/>
        <v>100.52836247563754</v>
      </c>
      <c r="TT19">
        <f t="shared" si="76"/>
        <v>97.327394661345707</v>
      </c>
      <c r="TU19">
        <f t="shared" si="76"/>
        <v>94.879477599962215</v>
      </c>
      <c r="TV19">
        <f t="shared" si="76"/>
        <v>93.323492306250586</v>
      </c>
      <c r="TW19">
        <f t="shared" si="76"/>
        <v>92.708343561130874</v>
      </c>
      <c r="TX19">
        <f t="shared" si="76"/>
        <v>92.907945203594181</v>
      </c>
      <c r="TY19">
        <f t="shared" si="76"/>
        <v>94.239623182506605</v>
      </c>
      <c r="TZ19">
        <f t="shared" si="76"/>
        <v>94.457789117877567</v>
      </c>
      <c r="UA19">
        <f t="shared" si="76"/>
        <v>92.486055865874476</v>
      </c>
      <c r="UB19">
        <f t="shared" si="76"/>
        <v>93.04325152564823</v>
      </c>
      <c r="UC19">
        <f t="shared" si="76"/>
        <v>96.350456608669461</v>
      </c>
      <c r="UD19">
        <f t="shared" si="76"/>
        <v>97.352033298443644</v>
      </c>
      <c r="UE19">
        <f t="shared" si="76"/>
        <v>95.316124252891484</v>
      </c>
      <c r="UF19">
        <f t="shared" si="76"/>
        <v>94.734889455389123</v>
      </c>
      <c r="UG19">
        <f t="shared" si="76"/>
        <v>93.909743472939965</v>
      </c>
      <c r="UH19">
        <f t="shared" si="76"/>
        <v>93.681412651444248</v>
      </c>
      <c r="UI19">
        <f t="shared" si="76"/>
        <v>91.959612910626674</v>
      </c>
      <c r="UJ19">
        <f t="shared" si="76"/>
        <v>93.280916068255365</v>
      </c>
      <c r="UK19">
        <f t="shared" si="76"/>
        <v>96.223343378282024</v>
      </c>
      <c r="UL19">
        <f t="shared" si="76"/>
        <v>96.334492301159898</v>
      </c>
      <c r="UM19">
        <f t="shared" si="76"/>
        <v>96.145711228362316</v>
      </c>
      <c r="UN19">
        <f t="shared" si="76"/>
        <v>94.861652754475784</v>
      </c>
      <c r="UO19">
        <f t="shared" si="76"/>
        <v>94.098553986801193</v>
      </c>
      <c r="UP19">
        <f t="shared" si="76"/>
        <v>92.283371779829722</v>
      </c>
      <c r="UQ19">
        <f t="shared" si="76"/>
        <v>90.332391639532304</v>
      </c>
      <c r="UR19">
        <f t="shared" si="76"/>
        <v>92.021657879837974</v>
      </c>
      <c r="US19">
        <f t="shared" si="76"/>
        <v>93.85847865653777</v>
      </c>
      <c r="UT19">
        <f t="shared" si="76"/>
        <v>94.752029711838134</v>
      </c>
      <c r="UU19">
        <f t="shared" si="76"/>
        <v>96.213611545651545</v>
      </c>
      <c r="UV19">
        <f t="shared" si="76"/>
        <v>97.11082988853471</v>
      </c>
      <c r="UW19">
        <f t="shared" si="76"/>
        <v>95.18245023519377</v>
      </c>
      <c r="UX19">
        <f t="shared" si="76"/>
        <v>96.607846529037062</v>
      </c>
      <c r="UY19">
        <f t="shared" si="76"/>
        <v>95.291304946324331</v>
      </c>
      <c r="UZ19">
        <f t="shared" si="76"/>
        <v>95.672988854828901</v>
      </c>
      <c r="VA19">
        <f t="shared" si="76"/>
        <v>96.30510202076016</v>
      </c>
      <c r="VB19">
        <f t="shared" si="76"/>
        <v>95.986499132663852</v>
      </c>
      <c r="VC19">
        <f t="shared" si="76"/>
        <v>95.951264816564617</v>
      </c>
      <c r="VD19">
        <f t="shared" si="76"/>
        <v>96.392807657082329</v>
      </c>
      <c r="VE19">
        <f t="shared" si="76"/>
        <v>94.87875486104025</v>
      </c>
      <c r="VF19">
        <f t="shared" si="76"/>
        <v>95.400934077576323</v>
      </c>
      <c r="VG19">
        <f t="shared" si="76"/>
        <v>97.042115526802164</v>
      </c>
      <c r="VH19">
        <f t="shared" si="76"/>
        <v>95.603712917648537</v>
      </c>
      <c r="VI19">
        <f t="shared" ref="VI19:XT19" si="77">VH19*(1+VI8)</f>
        <v>94.397660965248562</v>
      </c>
      <c r="VJ19">
        <f t="shared" si="77"/>
        <v>94.536096503454019</v>
      </c>
      <c r="VK19">
        <f t="shared" si="77"/>
        <v>94.612010642153081</v>
      </c>
      <c r="VL19">
        <f t="shared" si="77"/>
        <v>92.621803109051598</v>
      </c>
      <c r="VM19">
        <f t="shared" si="77"/>
        <v>89.078672139074442</v>
      </c>
      <c r="VN19">
        <f t="shared" si="77"/>
        <v>90.272453314078788</v>
      </c>
      <c r="VO19">
        <f t="shared" si="77"/>
        <v>90.266356537922846</v>
      </c>
      <c r="VP19">
        <f t="shared" si="77"/>
        <v>90.046767214776537</v>
      </c>
      <c r="VQ19">
        <f t="shared" si="77"/>
        <v>88.925238404253662</v>
      </c>
      <c r="VR19">
        <f t="shared" si="77"/>
        <v>89.795976028307805</v>
      </c>
      <c r="VS19">
        <f t="shared" si="77"/>
        <v>89.880239999204818</v>
      </c>
      <c r="VT19">
        <f t="shared" si="77"/>
        <v>88.428906027647741</v>
      </c>
      <c r="VU19">
        <f t="shared" si="77"/>
        <v>88.119097317218561</v>
      </c>
      <c r="VV19">
        <f t="shared" si="77"/>
        <v>87.726974297166279</v>
      </c>
      <c r="VW19">
        <f t="shared" si="77"/>
        <v>85.314298596211586</v>
      </c>
      <c r="VX19">
        <f t="shared" si="77"/>
        <v>84.80806482615634</v>
      </c>
      <c r="VY19">
        <f t="shared" si="77"/>
        <v>84.432650306569371</v>
      </c>
      <c r="VZ19">
        <f t="shared" si="77"/>
        <v>84.046014639805037</v>
      </c>
      <c r="WA19">
        <f t="shared" si="77"/>
        <v>83.823000429456044</v>
      </c>
      <c r="WB19">
        <f t="shared" si="77"/>
        <v>84.271495335194913</v>
      </c>
      <c r="WC19">
        <f t="shared" si="77"/>
        <v>87.030884865242882</v>
      </c>
      <c r="WD19">
        <f t="shared" si="77"/>
        <v>84.895318829548799</v>
      </c>
      <c r="WE19">
        <f t="shared" si="77"/>
        <v>83.44167487142478</v>
      </c>
      <c r="WF19">
        <f t="shared" si="77"/>
        <v>83.851824764396852</v>
      </c>
      <c r="WG19">
        <f t="shared" si="77"/>
        <v>84.073835841380571</v>
      </c>
      <c r="WH19">
        <f t="shared" si="77"/>
        <v>84.225828336241989</v>
      </c>
      <c r="WI19">
        <f t="shared" si="77"/>
        <v>86.912261104847417</v>
      </c>
      <c r="WJ19">
        <f t="shared" si="77"/>
        <v>84.863081616746598</v>
      </c>
      <c r="WK19">
        <f t="shared" si="77"/>
        <v>84.211814543927616</v>
      </c>
      <c r="WL19">
        <f t="shared" si="77"/>
        <v>84.978954419231258</v>
      </c>
      <c r="WM19">
        <f t="shared" si="77"/>
        <v>83.953124704980041</v>
      </c>
      <c r="WN19">
        <f t="shared" si="77"/>
        <v>85.291295208148355</v>
      </c>
      <c r="WO19">
        <f t="shared" si="77"/>
        <v>85.103347353731024</v>
      </c>
      <c r="WP19">
        <f t="shared" si="77"/>
        <v>85.953283552743898</v>
      </c>
      <c r="WQ19">
        <f t="shared" si="77"/>
        <v>85.239356324874791</v>
      </c>
      <c r="WR19">
        <f t="shared" si="77"/>
        <v>83.885328614564401</v>
      </c>
      <c r="WS19">
        <f t="shared" si="77"/>
        <v>84.416132822922364</v>
      </c>
      <c r="WT19">
        <f t="shared" si="77"/>
        <v>82.031443297991018</v>
      </c>
      <c r="WU19">
        <f t="shared" si="77"/>
        <v>82.429604886463153</v>
      </c>
      <c r="WV19">
        <f t="shared" si="77"/>
        <v>82.27357923117367</v>
      </c>
      <c r="WW19">
        <f t="shared" si="77"/>
        <v>82.563569908758438</v>
      </c>
      <c r="WX19">
        <f t="shared" si="77"/>
        <v>84.468055215264854</v>
      </c>
      <c r="WY19">
        <f t="shared" si="77"/>
        <v>85.721785701655534</v>
      </c>
      <c r="WZ19">
        <f t="shared" si="77"/>
        <v>82.716288319648683</v>
      </c>
      <c r="XA19">
        <f t="shared" si="77"/>
        <v>82.92889552308813</v>
      </c>
      <c r="XB19">
        <f t="shared" si="77"/>
        <v>82.311284052254379</v>
      </c>
      <c r="XC19">
        <f t="shared" si="77"/>
        <v>82.604741822622017</v>
      </c>
      <c r="XD19">
        <f t="shared" si="77"/>
        <v>81.899320371798979</v>
      </c>
      <c r="XE19">
        <f t="shared" si="77"/>
        <v>81.766848045544336</v>
      </c>
      <c r="XF19">
        <f t="shared" si="77"/>
        <v>84.066408890447761</v>
      </c>
      <c r="XG19">
        <f t="shared" si="77"/>
        <v>85.173599176212377</v>
      </c>
      <c r="XH19">
        <f t="shared" si="77"/>
        <v>85.726338877580474</v>
      </c>
      <c r="XI19">
        <f t="shared" si="77"/>
        <v>88.522312378169985</v>
      </c>
      <c r="XJ19">
        <f t="shared" si="77"/>
        <v>88.260459011008976</v>
      </c>
      <c r="XK19">
        <f t="shared" si="77"/>
        <v>85.746031043418185</v>
      </c>
      <c r="XL19">
        <f t="shared" si="77"/>
        <v>86.711596927236897</v>
      </c>
      <c r="XM19">
        <f t="shared" si="77"/>
        <v>88.125758914985852</v>
      </c>
      <c r="XN19">
        <f t="shared" si="77"/>
        <v>88.185626052500055</v>
      </c>
      <c r="XO19">
        <f t="shared" si="77"/>
        <v>87.795763204363084</v>
      </c>
      <c r="XP19">
        <f t="shared" si="77"/>
        <v>85.961659666967364</v>
      </c>
      <c r="XQ19">
        <f t="shared" si="77"/>
        <v>88.012247306938889</v>
      </c>
      <c r="XR19">
        <f t="shared" si="77"/>
        <v>86.71779527875303</v>
      </c>
      <c r="XS19">
        <f t="shared" si="77"/>
        <v>85.488591358478814</v>
      </c>
      <c r="XT19">
        <f t="shared" si="77"/>
        <v>84.82835832683341</v>
      </c>
      <c r="XU19">
        <f t="shared" ref="XU19:AAF19" si="78">XT19*(1+XU8)</f>
        <v>83.775159355046597</v>
      </c>
      <c r="XV19">
        <f t="shared" si="78"/>
        <v>82.670059436585532</v>
      </c>
      <c r="XW19">
        <f t="shared" si="78"/>
        <v>84.706148016590532</v>
      </c>
      <c r="XX19">
        <f t="shared" si="78"/>
        <v>82.844786738479513</v>
      </c>
      <c r="XY19">
        <f t="shared" si="78"/>
        <v>82.271028673156096</v>
      </c>
      <c r="XZ19">
        <f t="shared" si="78"/>
        <v>81.210468789551598</v>
      </c>
      <c r="YA19">
        <f t="shared" si="78"/>
        <v>82.475914184777878</v>
      </c>
      <c r="YB19">
        <f t="shared" si="78"/>
        <v>83.283581114017295</v>
      </c>
      <c r="YC19">
        <f t="shared" si="78"/>
        <v>83.88167202810483</v>
      </c>
      <c r="YD19">
        <f t="shared" si="78"/>
        <v>81.764591760239611</v>
      </c>
      <c r="YE19">
        <f t="shared" si="78"/>
        <v>81.677614519383567</v>
      </c>
      <c r="YF19">
        <f t="shared" si="78"/>
        <v>80.699601879876653</v>
      </c>
      <c r="YG19">
        <f t="shared" si="78"/>
        <v>80.951979851114785</v>
      </c>
      <c r="YH19">
        <f t="shared" si="78"/>
        <v>78.821857636728424</v>
      </c>
      <c r="YI19">
        <f t="shared" si="78"/>
        <v>77.452153728642884</v>
      </c>
      <c r="YJ19">
        <f t="shared" si="78"/>
        <v>75.327355557576752</v>
      </c>
      <c r="YK19">
        <f t="shared" si="78"/>
        <v>75.968444227217944</v>
      </c>
      <c r="YL19">
        <f t="shared" si="78"/>
        <v>76.948868256012545</v>
      </c>
      <c r="YM19">
        <f t="shared" si="78"/>
        <v>76.609426705168786</v>
      </c>
      <c r="YN19">
        <f t="shared" si="78"/>
        <v>76.042913021235137</v>
      </c>
      <c r="YO19">
        <f t="shared" si="78"/>
        <v>77.133749676495157</v>
      </c>
      <c r="YP19">
        <f t="shared" si="78"/>
        <v>77.005942208430255</v>
      </c>
      <c r="YQ19">
        <f t="shared" si="78"/>
        <v>76.507275638621707</v>
      </c>
      <c r="YR19">
        <f t="shared" si="78"/>
        <v>75.257635868668046</v>
      </c>
      <c r="YS19">
        <f t="shared" si="78"/>
        <v>73.789437562218325</v>
      </c>
      <c r="YT19">
        <f t="shared" si="78"/>
        <v>72.489659153029109</v>
      </c>
      <c r="YU19">
        <f t="shared" si="78"/>
        <v>73.853657333782692</v>
      </c>
      <c r="YV19">
        <f t="shared" si="78"/>
        <v>69.902040905022076</v>
      </c>
      <c r="YW19">
        <f t="shared" si="78"/>
        <v>73.588024046341332</v>
      </c>
      <c r="YX19">
        <f t="shared" si="78"/>
        <v>73.926407112974601</v>
      </c>
      <c r="YY19">
        <f t="shared" si="78"/>
        <v>74.372500941002727</v>
      </c>
      <c r="YZ19">
        <f t="shared" si="78"/>
        <v>74.029508089028567</v>
      </c>
      <c r="ZA19">
        <f t="shared" si="78"/>
        <v>74.037939825880684</v>
      </c>
      <c r="ZB19">
        <f t="shared" si="78"/>
        <v>75.385528327999936</v>
      </c>
      <c r="ZC19">
        <f t="shared" si="78"/>
        <v>74.824611363783603</v>
      </c>
      <c r="ZD19">
        <f t="shared" si="78"/>
        <v>77.334026383361234</v>
      </c>
      <c r="ZE19">
        <f t="shared" si="78"/>
        <v>75.932998562623652</v>
      </c>
      <c r="ZF19">
        <f t="shared" si="78"/>
        <v>74.802694872778389</v>
      </c>
      <c r="ZG19">
        <f t="shared" si="78"/>
        <v>74.704764965498967</v>
      </c>
      <c r="ZH19">
        <f t="shared" si="78"/>
        <v>75.211122338147348</v>
      </c>
      <c r="ZI19">
        <f t="shared" si="78"/>
        <v>75.253961303402065</v>
      </c>
      <c r="ZJ19">
        <f t="shared" si="78"/>
        <v>73.299100240368659</v>
      </c>
      <c r="ZK19">
        <f t="shared" si="78"/>
        <v>73.069599958383648</v>
      </c>
      <c r="ZL19">
        <f t="shared" si="78"/>
        <v>73.567905264881276</v>
      </c>
      <c r="ZM19">
        <f t="shared" si="78"/>
        <v>75.420929572319167</v>
      </c>
      <c r="ZN19">
        <f t="shared" si="78"/>
        <v>73.412133203530246</v>
      </c>
      <c r="ZO19">
        <f t="shared" si="78"/>
        <v>74.717686368915821</v>
      </c>
      <c r="ZP19">
        <f t="shared" si="78"/>
        <v>74.192396989250042</v>
      </c>
      <c r="ZQ19">
        <f t="shared" si="78"/>
        <v>76.320609490889126</v>
      </c>
      <c r="ZR19">
        <f t="shared" si="78"/>
        <v>77.626088510902761</v>
      </c>
      <c r="ZS19">
        <f t="shared" si="78"/>
        <v>78.012398988331256</v>
      </c>
      <c r="ZT19">
        <f t="shared" si="78"/>
        <v>77.679116264171014</v>
      </c>
      <c r="ZU19">
        <f t="shared" si="78"/>
        <v>78.224590822275815</v>
      </c>
      <c r="ZV19">
        <f t="shared" si="78"/>
        <v>76.907935379684702</v>
      </c>
      <c r="ZW19">
        <f t="shared" si="78"/>
        <v>77.940463793641399</v>
      </c>
      <c r="ZX19">
        <f t="shared" si="78"/>
        <v>76.442536092988234</v>
      </c>
      <c r="ZY19">
        <f t="shared" si="78"/>
        <v>76.147377779811521</v>
      </c>
      <c r="ZZ19">
        <f t="shared" si="78"/>
        <v>76.801346802330457</v>
      </c>
      <c r="AAA19">
        <f t="shared" si="78"/>
        <v>75.696254288435753</v>
      </c>
      <c r="AAB19">
        <f t="shared" si="78"/>
        <v>75.469326498390856</v>
      </c>
      <c r="AAC19">
        <f t="shared" si="78"/>
        <v>75.279961165523076</v>
      </c>
      <c r="AAD19">
        <f t="shared" si="78"/>
        <v>77.769970280134004</v>
      </c>
      <c r="AAE19">
        <f t="shared" si="78"/>
        <v>78.5616233280209</v>
      </c>
      <c r="AAF19">
        <f t="shared" si="78"/>
        <v>78.50194825897988</v>
      </c>
      <c r="AAG19">
        <f t="shared" ref="AAG19:ACR19" si="79">AAF19*(1+AAG8)</f>
        <v>78.421276649102367</v>
      </c>
      <c r="AAH19">
        <f t="shared" si="79"/>
        <v>76.870193459745991</v>
      </c>
      <c r="AAI19">
        <f t="shared" si="79"/>
        <v>76.084825112255416</v>
      </c>
      <c r="AAJ19">
        <f t="shared" si="79"/>
        <v>77.283516339841256</v>
      </c>
      <c r="AAK19">
        <f t="shared" si="79"/>
        <v>76.998713071792068</v>
      </c>
      <c r="AAL19">
        <f t="shared" si="79"/>
        <v>77.136785763910311</v>
      </c>
      <c r="AAM19">
        <f t="shared" si="79"/>
        <v>76.127383978673663</v>
      </c>
      <c r="AAN19">
        <f t="shared" si="79"/>
        <v>76.715353375292622</v>
      </c>
      <c r="AAO19">
        <f t="shared" si="79"/>
        <v>76.076974327903173</v>
      </c>
      <c r="AAP19">
        <f t="shared" si="79"/>
        <v>74.963280559431098</v>
      </c>
      <c r="AAQ19">
        <f t="shared" si="79"/>
        <v>75.92973427996283</v>
      </c>
      <c r="AAR19">
        <f t="shared" si="79"/>
        <v>76.846396005689613</v>
      </c>
      <c r="AAS19">
        <f t="shared" si="79"/>
        <v>76.639768336642078</v>
      </c>
      <c r="AAT19">
        <f t="shared" si="79"/>
        <v>77.515992145826118</v>
      </c>
      <c r="AAU19">
        <f t="shared" si="79"/>
        <v>77.381394756521232</v>
      </c>
      <c r="AAV19">
        <f t="shared" si="79"/>
        <v>75.619324716984366</v>
      </c>
      <c r="AAW19">
        <f t="shared" si="79"/>
        <v>75.907136579685329</v>
      </c>
      <c r="AAX19">
        <f t="shared" si="79"/>
        <v>78.467656018403218</v>
      </c>
      <c r="AAY19">
        <f t="shared" si="79"/>
        <v>80.283996132786967</v>
      </c>
      <c r="AAZ19">
        <f t="shared" si="79"/>
        <v>79.331408769581202</v>
      </c>
      <c r="ABA19">
        <f t="shared" si="79"/>
        <v>79.694494001540761</v>
      </c>
      <c r="ABB19">
        <f t="shared" si="79"/>
        <v>80.090599254802314</v>
      </c>
      <c r="ABC19">
        <f t="shared" si="79"/>
        <v>80.707632279489104</v>
      </c>
      <c r="ABD19">
        <f t="shared" si="79"/>
        <v>80.418505485375988</v>
      </c>
      <c r="ABE19">
        <f t="shared" si="79"/>
        <v>80.922924133395171</v>
      </c>
      <c r="ABF19">
        <f t="shared" si="79"/>
        <v>80.91683248683087</v>
      </c>
      <c r="ABG19">
        <f t="shared" si="79"/>
        <v>81.793780949460739</v>
      </c>
      <c r="ABH19">
        <f t="shared" si="79"/>
        <v>81.473263659635691</v>
      </c>
      <c r="ABI19">
        <f t="shared" si="79"/>
        <v>81.120320819022396</v>
      </c>
      <c r="ABJ19">
        <f t="shared" si="79"/>
        <v>80.375463371494547</v>
      </c>
      <c r="ABK19">
        <f t="shared" si="79"/>
        <v>80.314771756511433</v>
      </c>
      <c r="ABL19">
        <f t="shared" si="79"/>
        <v>83.237182493613489</v>
      </c>
      <c r="ABM19">
        <f t="shared" si="79"/>
        <v>82.517768561126161</v>
      </c>
      <c r="ABN19">
        <f t="shared" si="79"/>
        <v>82.091923728733718</v>
      </c>
      <c r="ABO19">
        <f t="shared" si="79"/>
        <v>81.880549004559583</v>
      </c>
      <c r="ABP19">
        <f t="shared" si="79"/>
        <v>81.304521423891643</v>
      </c>
      <c r="ABQ19">
        <f t="shared" si="79"/>
        <v>81.457793816560539</v>
      </c>
      <c r="ABR19">
        <f t="shared" si="79"/>
        <v>82.813725757969692</v>
      </c>
      <c r="ABS19">
        <f t="shared" si="79"/>
        <v>83.142285054233398</v>
      </c>
      <c r="ABT19">
        <f t="shared" si="79"/>
        <v>82.164522284767401</v>
      </c>
      <c r="ABU19">
        <f t="shared" si="79"/>
        <v>85.328528355792372</v>
      </c>
      <c r="ABV19">
        <f t="shared" si="79"/>
        <v>85.330653944338152</v>
      </c>
      <c r="ABW19">
        <f t="shared" si="79"/>
        <v>85.055807801615543</v>
      </c>
      <c r="ABX19">
        <f t="shared" si="79"/>
        <v>86.165490639030779</v>
      </c>
      <c r="ABY19">
        <f t="shared" si="79"/>
        <v>86.541505797274539</v>
      </c>
      <c r="ABZ19">
        <f t="shared" si="79"/>
        <v>85.302932639588974</v>
      </c>
      <c r="ACA19">
        <f t="shared" si="79"/>
        <v>85.153212291940591</v>
      </c>
      <c r="ACB19">
        <f t="shared" si="79"/>
        <v>84.831629703681614</v>
      </c>
      <c r="ACC19">
        <f t="shared" si="79"/>
        <v>84.167184321210556</v>
      </c>
      <c r="ACD19">
        <f t="shared" si="79"/>
        <v>82.139500324195325</v>
      </c>
      <c r="ACE19">
        <f t="shared" si="79"/>
        <v>81.314152021221929</v>
      </c>
      <c r="ACF19">
        <f t="shared" si="79"/>
        <v>81.519078352440573</v>
      </c>
      <c r="ACG19">
        <f t="shared" si="79"/>
        <v>80.144689808906207</v>
      </c>
      <c r="ACH19">
        <f t="shared" si="79"/>
        <v>78.629534111443689</v>
      </c>
      <c r="ACI19">
        <f t="shared" si="79"/>
        <v>77.876866426418317</v>
      </c>
      <c r="ACJ19">
        <f t="shared" si="79"/>
        <v>77.471862970032149</v>
      </c>
      <c r="ACK19">
        <f t="shared" si="79"/>
        <v>76.372804443581103</v>
      </c>
      <c r="ACL19">
        <f t="shared" si="79"/>
        <v>76.03433355346246</v>
      </c>
      <c r="ACM19">
        <f t="shared" si="79"/>
        <v>76.315012875401862</v>
      </c>
      <c r="ACN19">
        <f t="shared" si="79"/>
        <v>75.502928447699148</v>
      </c>
      <c r="ACO19">
        <f t="shared" si="79"/>
        <v>77.804688142796863</v>
      </c>
      <c r="ACP19">
        <f t="shared" si="79"/>
        <v>77.924590894068515</v>
      </c>
      <c r="ACQ19">
        <f t="shared" si="79"/>
        <v>77.65880365709414</v>
      </c>
      <c r="ACR19">
        <f t="shared" si="79"/>
        <v>77.617884834647953</v>
      </c>
      <c r="ACS19">
        <f t="shared" ref="ACS19:ACV19" si="80">ACR19*(1+ACS8)</f>
        <v>77.993621480322801</v>
      </c>
      <c r="ACT19">
        <f t="shared" si="80"/>
        <v>76.944118857700673</v>
      </c>
      <c r="ACU19">
        <f t="shared" si="80"/>
        <v>77.343928284788575</v>
      </c>
      <c r="ACV19">
        <f t="shared" si="80"/>
        <v>77.137706212435603</v>
      </c>
    </row>
    <row r="20" spans="1:776" x14ac:dyDescent="0.2">
      <c r="A20" s="6" t="s">
        <v>70667</v>
      </c>
      <c r="B20">
        <f t="shared" si="53"/>
        <v>99.981436273362561</v>
      </c>
      <c r="C20">
        <f t="shared" si="54"/>
        <v>101.60025622205464</v>
      </c>
      <c r="D20">
        <f t="shared" si="54"/>
        <v>103.91205766174906</v>
      </c>
      <c r="E20">
        <f t="shared" ref="E20:BP20" si="81">D20*(1+E9)</f>
        <v>104.91164065955815</v>
      </c>
      <c r="F20">
        <f t="shared" si="81"/>
        <v>104.46053459080187</v>
      </c>
      <c r="G20">
        <f t="shared" si="81"/>
        <v>101.17053006571513</v>
      </c>
      <c r="H20">
        <f t="shared" si="81"/>
        <v>102.1623387976969</v>
      </c>
      <c r="I20">
        <f t="shared" si="81"/>
        <v>103.08509396027605</v>
      </c>
      <c r="J20">
        <f t="shared" si="81"/>
        <v>101.54108316185091</v>
      </c>
      <c r="K20">
        <f t="shared" si="81"/>
        <v>98.772398052289716</v>
      </c>
      <c r="L20">
        <f t="shared" si="81"/>
        <v>99.601089712899977</v>
      </c>
      <c r="M20">
        <f t="shared" si="81"/>
        <v>99.019576216399869</v>
      </c>
      <c r="N20">
        <f t="shared" si="81"/>
        <v>98.658696138448931</v>
      </c>
      <c r="O20">
        <f t="shared" si="81"/>
        <v>98.055756351468617</v>
      </c>
      <c r="P20">
        <f t="shared" si="81"/>
        <v>95.734059157816816</v>
      </c>
      <c r="Q20">
        <f t="shared" si="81"/>
        <v>96.732236627654615</v>
      </c>
      <c r="R20">
        <f t="shared" si="81"/>
        <v>96.882244422772359</v>
      </c>
      <c r="S20">
        <f t="shared" si="81"/>
        <v>97.871878937286283</v>
      </c>
      <c r="T20">
        <f t="shared" si="81"/>
        <v>96.238842721495587</v>
      </c>
      <c r="U20">
        <f t="shared" si="81"/>
        <v>97.965701161094429</v>
      </c>
      <c r="V20">
        <f t="shared" si="81"/>
        <v>97.935883845914887</v>
      </c>
      <c r="W20">
        <f t="shared" si="81"/>
        <v>97.690556612075611</v>
      </c>
      <c r="X20">
        <f t="shared" si="81"/>
        <v>97.244610590187079</v>
      </c>
      <c r="Y20">
        <f t="shared" si="81"/>
        <v>98.110436120236457</v>
      </c>
      <c r="Z20">
        <f t="shared" si="81"/>
        <v>96.545132809050614</v>
      </c>
      <c r="AA20">
        <f t="shared" si="81"/>
        <v>96.475450517743582</v>
      </c>
      <c r="AB20">
        <f t="shared" si="81"/>
        <v>96.112763467200367</v>
      </c>
      <c r="AC20">
        <f t="shared" si="81"/>
        <v>93.699313541090106</v>
      </c>
      <c r="AD20">
        <f t="shared" si="81"/>
        <v>94.594716304080151</v>
      </c>
      <c r="AE20">
        <f t="shared" si="81"/>
        <v>94.207395793446992</v>
      </c>
      <c r="AF20">
        <f t="shared" si="81"/>
        <v>96.847520744523464</v>
      </c>
      <c r="AG20">
        <f t="shared" si="81"/>
        <v>95.318287322125997</v>
      </c>
      <c r="AH20">
        <f t="shared" si="81"/>
        <v>96.634497789261999</v>
      </c>
      <c r="AI20">
        <f t="shared" si="81"/>
        <v>98.321924705447969</v>
      </c>
      <c r="AJ20">
        <f t="shared" si="81"/>
        <v>96.940549337367671</v>
      </c>
      <c r="AK20">
        <f t="shared" si="81"/>
        <v>96.25972924851321</v>
      </c>
      <c r="AL20">
        <f t="shared" si="81"/>
        <v>96.562563215373757</v>
      </c>
      <c r="AM20">
        <f t="shared" si="81"/>
        <v>97.70350058506159</v>
      </c>
      <c r="AN20">
        <f t="shared" si="81"/>
        <v>97.279557458644192</v>
      </c>
      <c r="AO20">
        <f t="shared" si="81"/>
        <v>97.141209002351061</v>
      </c>
      <c r="AP20">
        <f t="shared" si="81"/>
        <v>97.377065551753176</v>
      </c>
      <c r="AQ20">
        <f t="shared" si="81"/>
        <v>95.249621454090658</v>
      </c>
      <c r="AR20">
        <f t="shared" si="81"/>
        <v>95.706988564379259</v>
      </c>
      <c r="AS20">
        <f t="shared" si="81"/>
        <v>95.669673742626216</v>
      </c>
      <c r="AT20">
        <f t="shared" si="81"/>
        <v>96.342933129210508</v>
      </c>
      <c r="AU20">
        <f t="shared" si="81"/>
        <v>97.87092723442349</v>
      </c>
      <c r="AV20">
        <f t="shared" si="81"/>
        <v>98.910166147803409</v>
      </c>
      <c r="AW20">
        <f t="shared" si="81"/>
        <v>99.043411407535061</v>
      </c>
      <c r="AX20">
        <f t="shared" si="81"/>
        <v>96.187016181996768</v>
      </c>
      <c r="AY20">
        <f t="shared" si="81"/>
        <v>98.11578348747264</v>
      </c>
      <c r="AZ20">
        <f t="shared" si="81"/>
        <v>96.906210645989717</v>
      </c>
      <c r="BA20">
        <f t="shared" si="81"/>
        <v>97.54099335105812</v>
      </c>
      <c r="BB20">
        <f t="shared" si="81"/>
        <v>98.812423995650946</v>
      </c>
      <c r="BC20">
        <f t="shared" si="81"/>
        <v>102.04651731257509</v>
      </c>
      <c r="BD20">
        <f t="shared" si="81"/>
        <v>100.62465719813959</v>
      </c>
      <c r="BE20">
        <f t="shared" si="81"/>
        <v>102.19318664662381</v>
      </c>
      <c r="BF20">
        <f t="shared" si="81"/>
        <v>104.59281643692627</v>
      </c>
      <c r="BG20">
        <f t="shared" si="81"/>
        <v>103.94752480483014</v>
      </c>
      <c r="BH20">
        <f t="shared" si="81"/>
        <v>102.09808102467822</v>
      </c>
      <c r="BI20">
        <f t="shared" si="81"/>
        <v>102.49373912324661</v>
      </c>
      <c r="BJ20">
        <f t="shared" si="81"/>
        <v>109.0495516255405</v>
      </c>
      <c r="BK20">
        <f t="shared" si="81"/>
        <v>110.17488931161975</v>
      </c>
      <c r="BL20">
        <f t="shared" si="81"/>
        <v>108.52957224470177</v>
      </c>
      <c r="BM20">
        <f t="shared" si="81"/>
        <v>106.63635861970371</v>
      </c>
      <c r="BN20">
        <f t="shared" si="81"/>
        <v>107.29925382604981</v>
      </c>
      <c r="BO20">
        <f t="shared" si="81"/>
        <v>105.64693642236759</v>
      </c>
      <c r="BP20">
        <f t="shared" si="81"/>
        <v>107.50798755897524</v>
      </c>
      <c r="BQ20">
        <f t="shared" ref="BQ20:EB20" si="82">BP20*(1+BQ9)</f>
        <v>107.33531433297308</v>
      </c>
      <c r="BR20">
        <f t="shared" si="82"/>
        <v>107.22276265781537</v>
      </c>
      <c r="BS20">
        <f t="shared" si="82"/>
        <v>108.14731006409181</v>
      </c>
      <c r="BT20">
        <f t="shared" si="82"/>
        <v>106.35836720328942</v>
      </c>
      <c r="BU20">
        <f t="shared" si="82"/>
        <v>105.32652906873396</v>
      </c>
      <c r="BV20">
        <f t="shared" si="82"/>
        <v>106.93881927084686</v>
      </c>
      <c r="BW20">
        <f t="shared" si="82"/>
        <v>106.18857338451782</v>
      </c>
      <c r="BX20">
        <f t="shared" si="82"/>
        <v>106.16336836598347</v>
      </c>
      <c r="BY20">
        <f t="shared" si="82"/>
        <v>106.48420423857209</v>
      </c>
      <c r="BZ20">
        <f t="shared" si="82"/>
        <v>106.02884062756445</v>
      </c>
      <c r="CA20">
        <f t="shared" si="82"/>
        <v>105.14932410192564</v>
      </c>
      <c r="CB20">
        <f t="shared" si="82"/>
        <v>105.20597527894945</v>
      </c>
      <c r="CC20">
        <f t="shared" si="82"/>
        <v>103.57097846450374</v>
      </c>
      <c r="CD20">
        <f t="shared" si="82"/>
        <v>104.16399821088015</v>
      </c>
      <c r="CE20">
        <f t="shared" si="82"/>
        <v>103.61689486042296</v>
      </c>
      <c r="CF20">
        <f t="shared" si="82"/>
        <v>103.27225851513215</v>
      </c>
      <c r="CG20">
        <f t="shared" si="82"/>
        <v>103.57725379807357</v>
      </c>
      <c r="CH20">
        <f t="shared" si="82"/>
        <v>102.9696828247631</v>
      </c>
      <c r="CI20">
        <f t="shared" si="82"/>
        <v>103.82749713214648</v>
      </c>
      <c r="CJ20">
        <f t="shared" si="82"/>
        <v>104.08546611800747</v>
      </c>
      <c r="CK20">
        <f t="shared" si="82"/>
        <v>101.05609433768394</v>
      </c>
      <c r="CL20">
        <f t="shared" si="82"/>
        <v>100.82378637198842</v>
      </c>
      <c r="CM20">
        <f t="shared" si="82"/>
        <v>100.85079600680854</v>
      </c>
      <c r="CN20">
        <f t="shared" si="82"/>
        <v>99.599040939598154</v>
      </c>
      <c r="CO20">
        <f t="shared" si="82"/>
        <v>100.06862619830505</v>
      </c>
      <c r="CP20">
        <f t="shared" si="82"/>
        <v>100.29179822614952</v>
      </c>
      <c r="CQ20">
        <f t="shared" si="82"/>
        <v>101.68688009246257</v>
      </c>
      <c r="CR20">
        <f t="shared" si="82"/>
        <v>103.81109210886946</v>
      </c>
      <c r="CS20">
        <f t="shared" si="82"/>
        <v>104.73921619965169</v>
      </c>
      <c r="CT20">
        <f t="shared" si="82"/>
        <v>104.9514241046775</v>
      </c>
      <c r="CU20">
        <f t="shared" si="82"/>
        <v>103.84532452980405</v>
      </c>
      <c r="CV20">
        <f t="shared" si="82"/>
        <v>106.579023459307</v>
      </c>
      <c r="CW20">
        <f t="shared" si="82"/>
        <v>105.08057423047319</v>
      </c>
      <c r="CX20">
        <f t="shared" si="82"/>
        <v>106.63938455594125</v>
      </c>
      <c r="CY20">
        <f t="shared" si="82"/>
        <v>105.93729830341213</v>
      </c>
      <c r="CZ20">
        <f t="shared" si="82"/>
        <v>108.10801405370947</v>
      </c>
      <c r="DA20">
        <f t="shared" si="82"/>
        <v>108.10821946317991</v>
      </c>
      <c r="DB20">
        <f t="shared" si="82"/>
        <v>110.54132579253901</v>
      </c>
      <c r="DC20">
        <f t="shared" si="82"/>
        <v>110.61246886090122</v>
      </c>
      <c r="DD20">
        <f t="shared" si="82"/>
        <v>110.48948782184054</v>
      </c>
      <c r="DE20">
        <f t="shared" si="82"/>
        <v>110.00877438204911</v>
      </c>
      <c r="DF20">
        <f t="shared" si="82"/>
        <v>110.09027522749791</v>
      </c>
      <c r="DG20">
        <f t="shared" si="82"/>
        <v>112.31811773929721</v>
      </c>
      <c r="DH20">
        <f t="shared" si="82"/>
        <v>111.36046473185179</v>
      </c>
      <c r="DI20">
        <f t="shared" si="82"/>
        <v>110.47965630986482</v>
      </c>
      <c r="DJ20">
        <f t="shared" si="82"/>
        <v>110.78350760995829</v>
      </c>
      <c r="DK20">
        <f t="shared" si="82"/>
        <v>109.41786225235802</v>
      </c>
      <c r="DL20">
        <f t="shared" si="82"/>
        <v>107.44438281513366</v>
      </c>
      <c r="DM20">
        <f t="shared" si="82"/>
        <v>106.8566489691185</v>
      </c>
      <c r="DN20">
        <f t="shared" si="82"/>
        <v>107.37313755597637</v>
      </c>
      <c r="DO20">
        <f t="shared" si="82"/>
        <v>106.39688408661844</v>
      </c>
      <c r="DP20">
        <f t="shared" si="82"/>
        <v>102.65058463782758</v>
      </c>
      <c r="DQ20">
        <f t="shared" si="82"/>
        <v>102.82321948664104</v>
      </c>
      <c r="DR20">
        <f t="shared" si="82"/>
        <v>104.3194690993311</v>
      </c>
      <c r="DS20">
        <f t="shared" si="82"/>
        <v>102.87758732155864</v>
      </c>
      <c r="DT20">
        <f t="shared" si="82"/>
        <v>103.89079995093891</v>
      </c>
      <c r="DU20">
        <f t="shared" si="82"/>
        <v>102.23474597758367</v>
      </c>
      <c r="DV20">
        <f t="shared" si="82"/>
        <v>102.59492366976031</v>
      </c>
      <c r="DW20">
        <f t="shared" si="82"/>
        <v>100.69060580279137</v>
      </c>
      <c r="DX20">
        <f t="shared" si="82"/>
        <v>100.12391105056808</v>
      </c>
      <c r="DY20">
        <f t="shared" si="82"/>
        <v>99.577646356883207</v>
      </c>
      <c r="DZ20">
        <f t="shared" si="82"/>
        <v>100.33731961787751</v>
      </c>
      <c r="EA20">
        <f t="shared" si="82"/>
        <v>100.55120518743981</v>
      </c>
      <c r="EB20">
        <f t="shared" si="82"/>
        <v>99.832500939202134</v>
      </c>
      <c r="EC20">
        <f t="shared" ref="EC20:GN20" si="83">EB20*(1+EC9)</f>
        <v>99.395052320053836</v>
      </c>
      <c r="ED20">
        <f t="shared" si="83"/>
        <v>99.732451206186397</v>
      </c>
      <c r="EE20">
        <f t="shared" si="83"/>
        <v>100.26652709003247</v>
      </c>
      <c r="EF20">
        <f t="shared" si="83"/>
        <v>100.52042986459637</v>
      </c>
      <c r="EG20">
        <f t="shared" si="83"/>
        <v>100.17695833585118</v>
      </c>
      <c r="EH20">
        <f t="shared" si="83"/>
        <v>99.91971470300075</v>
      </c>
      <c r="EI20">
        <f t="shared" si="83"/>
        <v>101.88177963008182</v>
      </c>
      <c r="EJ20">
        <f t="shared" si="83"/>
        <v>102.24167185595896</v>
      </c>
      <c r="EK20">
        <f t="shared" si="83"/>
        <v>102.20430226680323</v>
      </c>
      <c r="EL20">
        <f t="shared" si="83"/>
        <v>102.98306214828308</v>
      </c>
      <c r="EM20">
        <f t="shared" si="83"/>
        <v>102.50319750913279</v>
      </c>
      <c r="EN20">
        <f t="shared" si="83"/>
        <v>102.33572528411742</v>
      </c>
      <c r="EO20">
        <f t="shared" si="83"/>
        <v>105.35981229778548</v>
      </c>
      <c r="EP20">
        <f t="shared" si="83"/>
        <v>104.42845208086339</v>
      </c>
      <c r="EQ20">
        <f t="shared" si="83"/>
        <v>102.50543895902327</v>
      </c>
      <c r="ER20">
        <f t="shared" si="83"/>
        <v>101.26809154925071</v>
      </c>
      <c r="ES20">
        <f t="shared" si="83"/>
        <v>100.9313193195477</v>
      </c>
      <c r="ET20">
        <f t="shared" si="83"/>
        <v>94.350137379446238</v>
      </c>
      <c r="EU20">
        <f t="shared" si="83"/>
        <v>98.891759358876868</v>
      </c>
      <c r="EV20">
        <f t="shared" si="83"/>
        <v>97.576187731517777</v>
      </c>
      <c r="EW20">
        <f t="shared" si="83"/>
        <v>96.319274637262851</v>
      </c>
      <c r="EX20">
        <f t="shared" si="83"/>
        <v>97.95219657591268</v>
      </c>
      <c r="EY20">
        <f t="shared" si="83"/>
        <v>98.382664194562324</v>
      </c>
      <c r="EZ20">
        <f t="shared" si="83"/>
        <v>96.544330167480766</v>
      </c>
      <c r="FA20">
        <f t="shared" si="83"/>
        <v>99.053050829793705</v>
      </c>
      <c r="FB20">
        <f t="shared" si="83"/>
        <v>97.58841059308142</v>
      </c>
      <c r="FC20">
        <f t="shared" si="83"/>
        <v>93.977918013990745</v>
      </c>
      <c r="FD20">
        <f t="shared" si="83"/>
        <v>94.611172623504402</v>
      </c>
      <c r="FE20">
        <f t="shared" si="83"/>
        <v>93.66831313124608</v>
      </c>
      <c r="FF20">
        <f t="shared" si="83"/>
        <v>91.201272680935261</v>
      </c>
      <c r="FG20">
        <f t="shared" si="83"/>
        <v>92.77311490076589</v>
      </c>
      <c r="FH20">
        <f t="shared" si="83"/>
        <v>91.626319585225588</v>
      </c>
      <c r="FI20">
        <f t="shared" si="83"/>
        <v>90.927633307848225</v>
      </c>
      <c r="FJ20">
        <f t="shared" si="83"/>
        <v>91.292354871513908</v>
      </c>
      <c r="FK20">
        <f t="shared" si="83"/>
        <v>92.543236662249498</v>
      </c>
      <c r="FL20">
        <f t="shared" si="83"/>
        <v>91.402843699463475</v>
      </c>
      <c r="FM20">
        <f t="shared" si="83"/>
        <v>91.179124788157537</v>
      </c>
      <c r="FN20">
        <f t="shared" si="83"/>
        <v>90.67790802410002</v>
      </c>
      <c r="FO20">
        <f t="shared" si="83"/>
        <v>90.476366014927933</v>
      </c>
      <c r="FP20">
        <f t="shared" si="83"/>
        <v>89.961347247091467</v>
      </c>
      <c r="FQ20">
        <f t="shared" si="83"/>
        <v>90.776768183512857</v>
      </c>
      <c r="FR20">
        <f t="shared" si="83"/>
        <v>89.901803909729324</v>
      </c>
      <c r="FS20">
        <f t="shared" si="83"/>
        <v>91.136136469355861</v>
      </c>
      <c r="FT20">
        <f t="shared" si="83"/>
        <v>89.708057588169339</v>
      </c>
      <c r="FU20">
        <f t="shared" si="83"/>
        <v>89.338711401860607</v>
      </c>
      <c r="FV20">
        <f t="shared" si="83"/>
        <v>89.758982881220433</v>
      </c>
      <c r="FW20">
        <f t="shared" si="83"/>
        <v>89.287827577137733</v>
      </c>
      <c r="FX20">
        <f t="shared" si="83"/>
        <v>89.81481068758923</v>
      </c>
      <c r="FY20">
        <f t="shared" si="83"/>
        <v>89.52592658960809</v>
      </c>
      <c r="FZ20">
        <f t="shared" si="83"/>
        <v>89.157341478866158</v>
      </c>
      <c r="GA20">
        <f t="shared" si="83"/>
        <v>89.821987567527799</v>
      </c>
      <c r="GB20">
        <f t="shared" si="83"/>
        <v>90.334503342020795</v>
      </c>
      <c r="GC20">
        <f t="shared" si="83"/>
        <v>92.156902239027303</v>
      </c>
      <c r="GD20">
        <f t="shared" si="83"/>
        <v>92.238396964289066</v>
      </c>
      <c r="GE20">
        <f t="shared" si="83"/>
        <v>91.418511968610744</v>
      </c>
      <c r="GF20">
        <f t="shared" si="83"/>
        <v>90.981138330177146</v>
      </c>
      <c r="GG20">
        <f t="shared" si="83"/>
        <v>91.408928306685397</v>
      </c>
      <c r="GH20">
        <f t="shared" si="83"/>
        <v>88.298462841714382</v>
      </c>
      <c r="GI20">
        <f t="shared" si="83"/>
        <v>89.628878853319279</v>
      </c>
      <c r="GJ20">
        <f t="shared" si="83"/>
        <v>90.419042801961282</v>
      </c>
      <c r="GK20">
        <f t="shared" si="83"/>
        <v>87.573841055530949</v>
      </c>
      <c r="GL20">
        <f t="shared" si="83"/>
        <v>85.673722332699086</v>
      </c>
      <c r="GM20">
        <f t="shared" si="83"/>
        <v>88.011699263672455</v>
      </c>
      <c r="GN20">
        <f t="shared" si="83"/>
        <v>87.084146317747638</v>
      </c>
      <c r="GO20">
        <f t="shared" ref="GO20:IZ20" si="84">GN20*(1+GO9)</f>
        <v>85.939338878024813</v>
      </c>
      <c r="GP20">
        <f t="shared" si="84"/>
        <v>84.768879316792123</v>
      </c>
      <c r="GQ20">
        <f t="shared" si="84"/>
        <v>84.34951390061623</v>
      </c>
      <c r="GR20">
        <f t="shared" si="84"/>
        <v>85.074703233009558</v>
      </c>
      <c r="GS20">
        <f t="shared" si="84"/>
        <v>84.28835005854765</v>
      </c>
      <c r="GT20">
        <f t="shared" si="84"/>
        <v>84.409601112642051</v>
      </c>
      <c r="GU20">
        <f t="shared" si="84"/>
        <v>84.651135074501113</v>
      </c>
      <c r="GV20">
        <f t="shared" si="84"/>
        <v>84.330774218974113</v>
      </c>
      <c r="GW20">
        <f t="shared" si="84"/>
        <v>84.26160524532574</v>
      </c>
      <c r="GX20">
        <f t="shared" si="84"/>
        <v>85.220962471181721</v>
      </c>
      <c r="GY20">
        <f t="shared" si="84"/>
        <v>84.933700893372759</v>
      </c>
      <c r="GZ20">
        <f t="shared" si="84"/>
        <v>85.369493566374601</v>
      </c>
      <c r="HA20">
        <f t="shared" si="84"/>
        <v>84.954381248531917</v>
      </c>
      <c r="HB20">
        <f t="shared" si="84"/>
        <v>86.892823289247687</v>
      </c>
      <c r="HC20">
        <f t="shared" si="84"/>
        <v>86.795793471845229</v>
      </c>
      <c r="HD20">
        <f t="shared" si="84"/>
        <v>86.999804256492979</v>
      </c>
      <c r="HE20">
        <f t="shared" si="84"/>
        <v>90.807598187953317</v>
      </c>
      <c r="HF20">
        <f t="shared" si="84"/>
        <v>90.283422948780185</v>
      </c>
      <c r="HG20">
        <f t="shared" si="84"/>
        <v>90.323369550284653</v>
      </c>
      <c r="HH20">
        <f t="shared" si="84"/>
        <v>89.249079386112044</v>
      </c>
      <c r="HI20">
        <f t="shared" si="84"/>
        <v>89.642421690366461</v>
      </c>
      <c r="HJ20">
        <f t="shared" si="84"/>
        <v>89.832481844177124</v>
      </c>
      <c r="HK20">
        <f t="shared" si="84"/>
        <v>90.936090669631767</v>
      </c>
      <c r="HL20">
        <f t="shared" si="84"/>
        <v>90.780945550822764</v>
      </c>
      <c r="HM20">
        <f t="shared" si="84"/>
        <v>93.557552603298944</v>
      </c>
      <c r="HN20">
        <f t="shared" si="84"/>
        <v>93.537961784727884</v>
      </c>
      <c r="HO20">
        <f t="shared" si="84"/>
        <v>94.185408761944203</v>
      </c>
      <c r="HP20">
        <f t="shared" si="84"/>
        <v>93.350459682888854</v>
      </c>
      <c r="HQ20">
        <f t="shared" si="84"/>
        <v>93.776970652956962</v>
      </c>
      <c r="HR20">
        <f t="shared" si="84"/>
        <v>91.265424821314951</v>
      </c>
      <c r="HS20">
        <f t="shared" si="84"/>
        <v>93.091941064966292</v>
      </c>
      <c r="HT20">
        <f t="shared" si="84"/>
        <v>92.736020955421409</v>
      </c>
      <c r="HU20">
        <f t="shared" si="84"/>
        <v>93.783711349743342</v>
      </c>
      <c r="HV20">
        <f t="shared" si="84"/>
        <v>97.162682781641635</v>
      </c>
      <c r="HW20">
        <f t="shared" si="84"/>
        <v>97.489315707285229</v>
      </c>
      <c r="HX20">
        <f t="shared" si="84"/>
        <v>97.397994334116945</v>
      </c>
      <c r="HY20">
        <f t="shared" si="84"/>
        <v>96.50046823013605</v>
      </c>
      <c r="HZ20">
        <f t="shared" si="84"/>
        <v>98.699330935858384</v>
      </c>
      <c r="IA20">
        <f t="shared" si="84"/>
        <v>101.77398217211973</v>
      </c>
      <c r="IB20">
        <f t="shared" si="84"/>
        <v>100.97423096740968</v>
      </c>
      <c r="IC20">
        <f t="shared" si="84"/>
        <v>100.10796089357825</v>
      </c>
      <c r="ID20">
        <f t="shared" si="84"/>
        <v>101.95812311180731</v>
      </c>
      <c r="IE20">
        <f t="shared" si="84"/>
        <v>103.23330825527543</v>
      </c>
      <c r="IF20">
        <f t="shared" si="84"/>
        <v>103.37364039237515</v>
      </c>
      <c r="IG20">
        <f t="shared" si="84"/>
        <v>107.68757895295663</v>
      </c>
      <c r="IH20">
        <f t="shared" si="84"/>
        <v>107.70719975132138</v>
      </c>
      <c r="II20">
        <f t="shared" si="84"/>
        <v>107.75065470599029</v>
      </c>
      <c r="IJ20">
        <f t="shared" si="84"/>
        <v>108.56039909515684</v>
      </c>
      <c r="IK20">
        <f t="shared" si="84"/>
        <v>109.70618550113525</v>
      </c>
      <c r="IL20">
        <f t="shared" si="84"/>
        <v>109.27110652151437</v>
      </c>
      <c r="IM20">
        <f t="shared" si="84"/>
        <v>108.04816051361894</v>
      </c>
      <c r="IN20">
        <f t="shared" si="84"/>
        <v>108.38582230349735</v>
      </c>
      <c r="IO20">
        <f t="shared" si="84"/>
        <v>105.51263149976413</v>
      </c>
      <c r="IP20">
        <f t="shared" si="84"/>
        <v>106.34298738566712</v>
      </c>
      <c r="IQ20">
        <f t="shared" si="84"/>
        <v>102.30523831790356</v>
      </c>
      <c r="IR20">
        <f t="shared" si="84"/>
        <v>105.69404727106058</v>
      </c>
      <c r="IS20">
        <f t="shared" si="84"/>
        <v>104.96758729911248</v>
      </c>
      <c r="IT20">
        <f t="shared" si="84"/>
        <v>103.37655851487402</v>
      </c>
      <c r="IU20">
        <f t="shared" si="84"/>
        <v>101.74412671700495</v>
      </c>
      <c r="IV20">
        <f t="shared" si="84"/>
        <v>102.02243296805263</v>
      </c>
      <c r="IW20">
        <f t="shared" si="84"/>
        <v>102.76212301787989</v>
      </c>
      <c r="IX20">
        <f t="shared" si="84"/>
        <v>101.6029396482933</v>
      </c>
      <c r="IY20">
        <f t="shared" si="84"/>
        <v>101.40399876315713</v>
      </c>
      <c r="IZ20">
        <f t="shared" si="84"/>
        <v>103.52192350057865</v>
      </c>
      <c r="JA20">
        <f t="shared" ref="JA20:LL20" si="85">IZ20*(1+JA9)</f>
        <v>104.15889381083628</v>
      </c>
      <c r="JB20">
        <f t="shared" si="85"/>
        <v>105.5581822758533</v>
      </c>
      <c r="JC20">
        <f t="shared" si="85"/>
        <v>106.39183372460265</v>
      </c>
      <c r="JD20">
        <f t="shared" si="85"/>
        <v>108.64595588077728</v>
      </c>
      <c r="JE20">
        <f t="shared" si="85"/>
        <v>109.55914905765373</v>
      </c>
      <c r="JF20">
        <f t="shared" si="85"/>
        <v>112.86994531527017</v>
      </c>
      <c r="JG20">
        <f t="shared" si="85"/>
        <v>111.30724543402941</v>
      </c>
      <c r="JH20">
        <f t="shared" si="85"/>
        <v>112.0526435382632</v>
      </c>
      <c r="JI20">
        <f t="shared" si="85"/>
        <v>111.73965241578479</v>
      </c>
      <c r="JJ20">
        <f t="shared" si="85"/>
        <v>113.69481502848895</v>
      </c>
      <c r="JK20">
        <f t="shared" si="85"/>
        <v>115.18806096680169</v>
      </c>
      <c r="JL20">
        <f t="shared" si="85"/>
        <v>116.66046520751752</v>
      </c>
      <c r="JM20">
        <f t="shared" si="85"/>
        <v>112.97196783568769</v>
      </c>
      <c r="JN20">
        <f t="shared" si="85"/>
        <v>114.80336594993706</v>
      </c>
      <c r="JO20">
        <f t="shared" si="85"/>
        <v>113.47853852190487</v>
      </c>
      <c r="JP20">
        <f t="shared" si="85"/>
        <v>113.43578900615775</v>
      </c>
      <c r="JQ20">
        <f t="shared" si="85"/>
        <v>112.48321139612098</v>
      </c>
      <c r="JR20">
        <f t="shared" si="85"/>
        <v>118.34725063030282</v>
      </c>
      <c r="JS20">
        <f t="shared" si="85"/>
        <v>118.95954182490381</v>
      </c>
      <c r="JT20">
        <f t="shared" si="85"/>
        <v>118.81581396573034</v>
      </c>
      <c r="JU20">
        <f t="shared" si="85"/>
        <v>119.79836805606431</v>
      </c>
      <c r="JV20">
        <f t="shared" si="85"/>
        <v>115.53152675194769</v>
      </c>
      <c r="JW20">
        <f t="shared" si="85"/>
        <v>118.44827925349878</v>
      </c>
      <c r="JX20">
        <f t="shared" si="85"/>
        <v>116.25118746743235</v>
      </c>
      <c r="JY20">
        <f t="shared" si="85"/>
        <v>118.60860741362329</v>
      </c>
      <c r="JZ20">
        <f t="shared" si="85"/>
        <v>122.07994826860718</v>
      </c>
      <c r="KA20">
        <f t="shared" si="85"/>
        <v>122.62667724987931</v>
      </c>
      <c r="KB20">
        <f t="shared" si="85"/>
        <v>120.97549783022041</v>
      </c>
      <c r="KC20">
        <f t="shared" si="85"/>
        <v>121.66813536723923</v>
      </c>
      <c r="KD20">
        <f t="shared" si="85"/>
        <v>122.12537509679493</v>
      </c>
      <c r="KE20">
        <f t="shared" si="85"/>
        <v>126.9493599920165</v>
      </c>
      <c r="KF20">
        <f t="shared" si="85"/>
        <v>126.73834296194831</v>
      </c>
      <c r="KG20">
        <f t="shared" si="85"/>
        <v>126.42187541574498</v>
      </c>
      <c r="KH20">
        <f t="shared" si="85"/>
        <v>122.0326825536182</v>
      </c>
      <c r="KI20">
        <f t="shared" si="85"/>
        <v>124.59406728916372</v>
      </c>
      <c r="KJ20">
        <f t="shared" si="85"/>
        <v>123.13127097359563</v>
      </c>
      <c r="KK20">
        <f t="shared" si="85"/>
        <v>125.32077662907551</v>
      </c>
      <c r="KL20">
        <f t="shared" si="85"/>
        <v>125.06215800734849</v>
      </c>
      <c r="KM20">
        <f t="shared" si="85"/>
        <v>128.24356681277129</v>
      </c>
      <c r="KN20">
        <f t="shared" si="85"/>
        <v>123.69685412915013</v>
      </c>
      <c r="KO20">
        <f t="shared" si="85"/>
        <v>122.58551395614951</v>
      </c>
      <c r="KP20">
        <f t="shared" si="85"/>
        <v>124.30121980939116</v>
      </c>
      <c r="KQ20">
        <f t="shared" si="85"/>
        <v>126.561519316038</v>
      </c>
      <c r="KR20">
        <f t="shared" si="85"/>
        <v>125.2375958374825</v>
      </c>
      <c r="KS20">
        <f t="shared" si="85"/>
        <v>125.35720668731358</v>
      </c>
      <c r="KT20">
        <f t="shared" si="85"/>
        <v>124.51477531218951</v>
      </c>
      <c r="KU20">
        <f t="shared" si="85"/>
        <v>123.20341177200473</v>
      </c>
      <c r="KV20">
        <f t="shared" si="85"/>
        <v>126.07637136538403</v>
      </c>
      <c r="KW20">
        <f t="shared" si="85"/>
        <v>124.48443299077297</v>
      </c>
      <c r="KX20">
        <f t="shared" si="85"/>
        <v>123.71394638880847</v>
      </c>
      <c r="KY20">
        <f t="shared" si="85"/>
        <v>126.21968000322703</v>
      </c>
      <c r="KZ20">
        <f t="shared" si="85"/>
        <v>126.29787566800326</v>
      </c>
      <c r="LA20">
        <f t="shared" si="85"/>
        <v>125.91420652420058</v>
      </c>
      <c r="LB20">
        <f t="shared" si="85"/>
        <v>125.55307732707961</v>
      </c>
      <c r="LC20">
        <f t="shared" si="85"/>
        <v>126.55526453495965</v>
      </c>
      <c r="LD20">
        <f t="shared" si="85"/>
        <v>124.58333473213499</v>
      </c>
      <c r="LE20">
        <f t="shared" si="85"/>
        <v>122.78563611426937</v>
      </c>
      <c r="LF20">
        <f t="shared" si="85"/>
        <v>123.11654014043181</v>
      </c>
      <c r="LG20">
        <f t="shared" si="85"/>
        <v>122.15966986697885</v>
      </c>
      <c r="LH20">
        <f t="shared" si="85"/>
        <v>120.01931124038363</v>
      </c>
      <c r="LI20">
        <f t="shared" si="85"/>
        <v>120.17495344303782</v>
      </c>
      <c r="LJ20">
        <f t="shared" si="85"/>
        <v>120.01472305929936</v>
      </c>
      <c r="LK20">
        <f t="shared" si="85"/>
        <v>119.78148762278163</v>
      </c>
      <c r="LL20">
        <f t="shared" si="85"/>
        <v>122.56969042827131</v>
      </c>
      <c r="LM20">
        <f t="shared" ref="LM20:NX20" si="86">LL20*(1+LM9)</f>
        <v>121.37905887433254</v>
      </c>
      <c r="LN20">
        <f t="shared" si="86"/>
        <v>121.49806195599784</v>
      </c>
      <c r="LO20">
        <f t="shared" si="86"/>
        <v>122.97866113543519</v>
      </c>
      <c r="LP20">
        <f t="shared" si="86"/>
        <v>121.59544987247203</v>
      </c>
      <c r="LQ20">
        <f t="shared" si="86"/>
        <v>121.86449074836524</v>
      </c>
      <c r="LR20">
        <f t="shared" si="86"/>
        <v>119.65908345233248</v>
      </c>
      <c r="LS20">
        <f t="shared" si="86"/>
        <v>117.07838905075985</v>
      </c>
      <c r="LT20">
        <f t="shared" si="86"/>
        <v>114.96820802031716</v>
      </c>
      <c r="LU20">
        <f t="shared" si="86"/>
        <v>116.45408448561045</v>
      </c>
      <c r="LV20">
        <f t="shared" si="86"/>
        <v>114.38801484253878</v>
      </c>
      <c r="LW20">
        <f t="shared" si="86"/>
        <v>113.85155478674115</v>
      </c>
      <c r="LX20">
        <f t="shared" si="86"/>
        <v>115.70805320084769</v>
      </c>
      <c r="LY20">
        <f t="shared" si="86"/>
        <v>116.68122106187784</v>
      </c>
      <c r="LZ20">
        <f t="shared" si="86"/>
        <v>118.22497120708307</v>
      </c>
      <c r="MA20">
        <f t="shared" si="86"/>
        <v>118.47590576177764</v>
      </c>
      <c r="MB20">
        <f t="shared" si="86"/>
        <v>118.84095640640423</v>
      </c>
      <c r="MC20">
        <f t="shared" si="86"/>
        <v>117.14937901699959</v>
      </c>
      <c r="MD20">
        <f t="shared" si="86"/>
        <v>118.69039872057887</v>
      </c>
      <c r="ME20">
        <f t="shared" si="86"/>
        <v>117.72225441997466</v>
      </c>
      <c r="MF20">
        <f t="shared" si="86"/>
        <v>119.17741167410239</v>
      </c>
      <c r="MG20">
        <f t="shared" si="86"/>
        <v>118.00656775374695</v>
      </c>
      <c r="MH20">
        <f t="shared" si="86"/>
        <v>116.71023980439379</v>
      </c>
      <c r="MI20">
        <f t="shared" si="86"/>
        <v>117.12495835003753</v>
      </c>
      <c r="MJ20">
        <f t="shared" si="86"/>
        <v>116.71801719775777</v>
      </c>
      <c r="MK20">
        <f t="shared" si="86"/>
        <v>116.81525636260808</v>
      </c>
      <c r="ML20">
        <f t="shared" si="86"/>
        <v>118.06990438965231</v>
      </c>
      <c r="MM20">
        <f t="shared" si="86"/>
        <v>117.83724815567412</v>
      </c>
      <c r="MN20">
        <f t="shared" si="86"/>
        <v>117.94442547898777</v>
      </c>
      <c r="MO20">
        <f t="shared" si="86"/>
        <v>117.35876091146373</v>
      </c>
      <c r="MP20">
        <f t="shared" si="86"/>
        <v>115.66689796567327</v>
      </c>
      <c r="MQ20">
        <f t="shared" si="86"/>
        <v>116.67033926784015</v>
      </c>
      <c r="MR20">
        <f t="shared" si="86"/>
        <v>118.31727810209426</v>
      </c>
      <c r="MS20">
        <f t="shared" si="86"/>
        <v>119.05632480087039</v>
      </c>
      <c r="MT20">
        <f t="shared" si="86"/>
        <v>119.34123230231722</v>
      </c>
      <c r="MU20">
        <f t="shared" si="86"/>
        <v>119.82254492866559</v>
      </c>
      <c r="MV20">
        <f t="shared" si="86"/>
        <v>122.26770628964736</v>
      </c>
      <c r="MW20">
        <f t="shared" si="86"/>
        <v>122.9193857228813</v>
      </c>
      <c r="MX20">
        <f t="shared" si="86"/>
        <v>123.46547439252532</v>
      </c>
      <c r="MY20">
        <f t="shared" si="86"/>
        <v>121.81069685724189</v>
      </c>
      <c r="MZ20">
        <f t="shared" si="86"/>
        <v>121.80245039926871</v>
      </c>
      <c r="NA20">
        <f t="shared" si="86"/>
        <v>122.52063697247161</v>
      </c>
      <c r="NB20">
        <f t="shared" si="86"/>
        <v>121.47227795209383</v>
      </c>
      <c r="NC20">
        <f t="shared" si="86"/>
        <v>121.10685323274794</v>
      </c>
      <c r="ND20">
        <f t="shared" si="86"/>
        <v>121.38361409044239</v>
      </c>
      <c r="NE20">
        <f t="shared" si="86"/>
        <v>122.02583962592172</v>
      </c>
      <c r="NF20">
        <f t="shared" si="86"/>
        <v>122.34660745960029</v>
      </c>
      <c r="NG20">
        <f t="shared" si="86"/>
        <v>118.10533826432022</v>
      </c>
      <c r="NH20">
        <f t="shared" si="86"/>
        <v>120.86911662107234</v>
      </c>
      <c r="NI20">
        <f t="shared" si="86"/>
        <v>124.00301343102045</v>
      </c>
      <c r="NJ20">
        <f t="shared" si="86"/>
        <v>125.79186768274651</v>
      </c>
      <c r="NK20">
        <f t="shared" si="86"/>
        <v>126.94825990644897</v>
      </c>
      <c r="NL20">
        <f t="shared" si="86"/>
        <v>126.21974193700977</v>
      </c>
      <c r="NM20">
        <f t="shared" si="86"/>
        <v>125.75933713658469</v>
      </c>
      <c r="NN20">
        <f t="shared" si="86"/>
        <v>125.16809607546034</v>
      </c>
      <c r="NO20">
        <f t="shared" si="86"/>
        <v>126.23445999134468</v>
      </c>
      <c r="NP20">
        <f t="shared" si="86"/>
        <v>124.90794362181464</v>
      </c>
      <c r="NQ20">
        <f t="shared" si="86"/>
        <v>126.20391055027895</v>
      </c>
      <c r="NR20">
        <f t="shared" si="86"/>
        <v>125.68833536882053</v>
      </c>
      <c r="NS20">
        <f t="shared" si="86"/>
        <v>126.77582221927091</v>
      </c>
      <c r="NT20">
        <f t="shared" si="86"/>
        <v>124.07478865502696</v>
      </c>
      <c r="NU20">
        <f t="shared" si="86"/>
        <v>123.48290913188754</v>
      </c>
      <c r="NV20">
        <f t="shared" si="86"/>
        <v>123.53373184805255</v>
      </c>
      <c r="NW20">
        <f t="shared" si="86"/>
        <v>124.50608712639158</v>
      </c>
      <c r="NX20">
        <f t="shared" si="86"/>
        <v>123.75398858765054</v>
      </c>
      <c r="NY20">
        <f t="shared" ref="NY20:QJ20" si="87">NX20*(1+NY9)</f>
        <v>123.22650949940413</v>
      </c>
      <c r="NZ20">
        <f t="shared" si="87"/>
        <v>122.82257202887594</v>
      </c>
      <c r="OA20">
        <f t="shared" si="87"/>
        <v>116.96228936025511</v>
      </c>
      <c r="OB20">
        <f t="shared" si="87"/>
        <v>113.37736712609751</v>
      </c>
      <c r="OC20">
        <f t="shared" si="87"/>
        <v>112.04646125083173</v>
      </c>
      <c r="OD20">
        <f t="shared" si="87"/>
        <v>103.99681375273242</v>
      </c>
      <c r="OE20">
        <f t="shared" si="87"/>
        <v>108.29686275074651</v>
      </c>
      <c r="OF20">
        <f t="shared" si="87"/>
        <v>95.798103696243572</v>
      </c>
      <c r="OG20">
        <f t="shared" si="87"/>
        <v>93.192635064096024</v>
      </c>
      <c r="OH20">
        <f t="shared" si="87"/>
        <v>94.968371880858271</v>
      </c>
      <c r="OI20">
        <f t="shared" si="87"/>
        <v>95.743622740705064</v>
      </c>
      <c r="OJ20">
        <f t="shared" si="87"/>
        <v>95.825236873005835</v>
      </c>
      <c r="OK20">
        <f t="shared" si="87"/>
        <v>91.718561828291627</v>
      </c>
      <c r="OL20">
        <f t="shared" si="87"/>
        <v>90.369226937237258</v>
      </c>
      <c r="OM20">
        <f t="shared" si="87"/>
        <v>97.413325439550661</v>
      </c>
      <c r="ON20">
        <f t="shared" si="87"/>
        <v>98.866013500484073</v>
      </c>
      <c r="OO20">
        <f t="shared" si="87"/>
        <v>99.003396526798085</v>
      </c>
      <c r="OP20">
        <f t="shared" si="87"/>
        <v>98.893242224615136</v>
      </c>
      <c r="OQ20">
        <f t="shared" si="87"/>
        <v>97.86582354574891</v>
      </c>
      <c r="OR20">
        <f t="shared" si="87"/>
        <v>97.150482985779419</v>
      </c>
      <c r="OS20">
        <f t="shared" si="87"/>
        <v>97.291002463878087</v>
      </c>
      <c r="OT20">
        <f t="shared" si="87"/>
        <v>97.060046202920049</v>
      </c>
      <c r="OU20">
        <f t="shared" si="87"/>
        <v>100.59248369800395</v>
      </c>
      <c r="OV20">
        <f t="shared" si="87"/>
        <v>101.22799001101598</v>
      </c>
      <c r="OW20">
        <f t="shared" si="87"/>
        <v>99.635766047703953</v>
      </c>
      <c r="OX20">
        <f t="shared" si="87"/>
        <v>98.099393691454452</v>
      </c>
      <c r="OY20">
        <f t="shared" si="87"/>
        <v>99.100347595777563</v>
      </c>
      <c r="OZ20">
        <f t="shared" si="87"/>
        <v>99.741849923005802</v>
      </c>
      <c r="PA20">
        <f t="shared" si="87"/>
        <v>99.715846392573127</v>
      </c>
      <c r="PB20">
        <f t="shared" si="87"/>
        <v>98.351222341803691</v>
      </c>
      <c r="PC20">
        <f t="shared" si="87"/>
        <v>96.8566185259956</v>
      </c>
      <c r="PD20">
        <f t="shared" si="87"/>
        <v>96.836187881731306</v>
      </c>
      <c r="PE20">
        <f t="shared" si="87"/>
        <v>98.754466249559727</v>
      </c>
      <c r="PF20">
        <f t="shared" si="87"/>
        <v>100.92720283676563</v>
      </c>
      <c r="PG20">
        <f t="shared" si="87"/>
        <v>98.419578779621048</v>
      </c>
      <c r="PH20">
        <f t="shared" si="87"/>
        <v>98.574779794405373</v>
      </c>
      <c r="PI20">
        <f t="shared" si="87"/>
        <v>99.591347205951465</v>
      </c>
      <c r="PJ20">
        <f t="shared" si="87"/>
        <v>98.091055011770948</v>
      </c>
      <c r="PK20">
        <f t="shared" si="87"/>
        <v>99.345890141711081</v>
      </c>
      <c r="PL20">
        <f t="shared" si="87"/>
        <v>100.42647659264289</v>
      </c>
      <c r="PM20">
        <f t="shared" si="87"/>
        <v>101.50135957663034</v>
      </c>
      <c r="PN20">
        <f t="shared" si="87"/>
        <v>105.684556046772</v>
      </c>
      <c r="PO20">
        <f t="shared" si="87"/>
        <v>107.85711604186815</v>
      </c>
      <c r="PP20">
        <f t="shared" si="87"/>
        <v>107.35913277889347</v>
      </c>
      <c r="PQ20">
        <f t="shared" si="87"/>
        <v>102.7248079239822</v>
      </c>
      <c r="PR20">
        <f t="shared" si="87"/>
        <v>104.29992662902156</v>
      </c>
      <c r="PS20">
        <f t="shared" si="87"/>
        <v>103.3409567757311</v>
      </c>
      <c r="PT20">
        <f t="shared" si="87"/>
        <v>104.17857706144109</v>
      </c>
      <c r="PU20">
        <f t="shared" si="87"/>
        <v>102.634647395104</v>
      </c>
      <c r="PV20">
        <f t="shared" si="87"/>
        <v>104.43460509214636</v>
      </c>
      <c r="PW20">
        <f t="shared" si="87"/>
        <v>102.45688987115804</v>
      </c>
      <c r="PX20">
        <f t="shared" si="87"/>
        <v>101.79680340155866</v>
      </c>
      <c r="PY20">
        <f t="shared" si="87"/>
        <v>101.24958472313891</v>
      </c>
      <c r="PZ20">
        <f t="shared" si="87"/>
        <v>101.96840107304656</v>
      </c>
      <c r="QA20">
        <f t="shared" si="87"/>
        <v>100.4063677204947</v>
      </c>
      <c r="QB20">
        <f t="shared" si="87"/>
        <v>101.93533057018558</v>
      </c>
      <c r="QC20">
        <f t="shared" si="87"/>
        <v>102.24366347240263</v>
      </c>
      <c r="QD20">
        <f t="shared" si="87"/>
        <v>105.4175989984894</v>
      </c>
      <c r="QE20">
        <f t="shared" si="87"/>
        <v>107.99972569324538</v>
      </c>
      <c r="QF20">
        <f t="shared" si="87"/>
        <v>104.17392314266263</v>
      </c>
      <c r="QG20">
        <f t="shared" si="87"/>
        <v>103.89553922213905</v>
      </c>
      <c r="QH20">
        <f t="shared" si="87"/>
        <v>102.08756237175419</v>
      </c>
      <c r="QI20">
        <f t="shared" si="87"/>
        <v>102.88633057310984</v>
      </c>
      <c r="QJ20">
        <f t="shared" si="87"/>
        <v>100.82775344434698</v>
      </c>
      <c r="QK20">
        <f t="shared" ref="QK20:SV20" si="88">QJ20*(1+QK9)</f>
        <v>102.02423286185645</v>
      </c>
      <c r="QL20">
        <f t="shared" si="88"/>
        <v>100.56572089498334</v>
      </c>
      <c r="QM20">
        <f t="shared" si="88"/>
        <v>97.943025941580544</v>
      </c>
      <c r="QN20">
        <f t="shared" si="88"/>
        <v>97.292213345949932</v>
      </c>
      <c r="QO20">
        <f t="shared" si="88"/>
        <v>96.168709135213987</v>
      </c>
      <c r="QP20">
        <f t="shared" si="88"/>
        <v>96.97224163886537</v>
      </c>
      <c r="QQ20">
        <f t="shared" si="88"/>
        <v>95.066450052956952</v>
      </c>
      <c r="QR20">
        <f t="shared" si="88"/>
        <v>95.879693290141461</v>
      </c>
      <c r="QS20">
        <f t="shared" si="88"/>
        <v>96.392262022034643</v>
      </c>
      <c r="QT20">
        <f t="shared" si="88"/>
        <v>98.691311277066603</v>
      </c>
      <c r="QU20">
        <f t="shared" si="88"/>
        <v>101.40191010848258</v>
      </c>
      <c r="QV20">
        <f t="shared" si="88"/>
        <v>100.29692267200242</v>
      </c>
      <c r="QW20">
        <f t="shared" si="88"/>
        <v>100.24576848211355</v>
      </c>
      <c r="QX20">
        <f t="shared" si="88"/>
        <v>101.42998253953144</v>
      </c>
      <c r="QY20">
        <f t="shared" si="88"/>
        <v>102.86639355336223</v>
      </c>
      <c r="QZ20">
        <f t="shared" si="88"/>
        <v>104.12219627616074</v>
      </c>
      <c r="RA20">
        <f t="shared" si="88"/>
        <v>104.98948297930576</v>
      </c>
      <c r="RB20">
        <f t="shared" si="88"/>
        <v>104.97839264154662</v>
      </c>
      <c r="RC20">
        <f t="shared" si="88"/>
        <v>107.9668314085197</v>
      </c>
      <c r="RD20">
        <f t="shared" si="88"/>
        <v>107.29923413650134</v>
      </c>
      <c r="RE20">
        <f t="shared" si="88"/>
        <v>108.64034798967275</v>
      </c>
      <c r="RF20">
        <f t="shared" si="88"/>
        <v>110.881635374005</v>
      </c>
      <c r="RG20">
        <f t="shared" si="88"/>
        <v>113.72351471795488</v>
      </c>
      <c r="RH20">
        <f t="shared" si="88"/>
        <v>110.49182638319658</v>
      </c>
      <c r="RI20">
        <f t="shared" si="88"/>
        <v>107.35848557235978</v>
      </c>
      <c r="RJ20">
        <f t="shared" si="88"/>
        <v>104.1259485573017</v>
      </c>
      <c r="RK20">
        <f t="shared" si="88"/>
        <v>107.69416488570621</v>
      </c>
      <c r="RL20">
        <f t="shared" si="88"/>
        <v>107.87784224485664</v>
      </c>
      <c r="RM20">
        <f t="shared" si="88"/>
        <v>109.16208214589039</v>
      </c>
      <c r="RN20">
        <f t="shared" si="88"/>
        <v>108.01381723638609</v>
      </c>
      <c r="RO20">
        <f t="shared" si="88"/>
        <v>108.34948685231154</v>
      </c>
      <c r="RP20">
        <f t="shared" si="88"/>
        <v>108.75924025171996</v>
      </c>
      <c r="RQ20">
        <f t="shared" si="88"/>
        <v>107.23120674374412</v>
      </c>
      <c r="RR20">
        <f t="shared" si="88"/>
        <v>106.85712332467892</v>
      </c>
      <c r="RS20">
        <f t="shared" si="88"/>
        <v>107.70773351944469</v>
      </c>
      <c r="RT20">
        <f t="shared" si="88"/>
        <v>107.01354295349063</v>
      </c>
      <c r="RU20">
        <f t="shared" si="88"/>
        <v>108.90624627791905</v>
      </c>
      <c r="RV20">
        <f t="shared" si="88"/>
        <v>109.45916620149487</v>
      </c>
      <c r="RW20">
        <f t="shared" si="88"/>
        <v>106.83215614526212</v>
      </c>
      <c r="RX20">
        <f t="shared" si="88"/>
        <v>106.38838946282257</v>
      </c>
      <c r="RY20">
        <f t="shared" si="88"/>
        <v>107.23308993869414</v>
      </c>
      <c r="RZ20">
        <f t="shared" si="88"/>
        <v>107.80337221318949</v>
      </c>
      <c r="SA20">
        <f t="shared" si="88"/>
        <v>107.62963060310759</v>
      </c>
      <c r="SB20">
        <f t="shared" si="88"/>
        <v>106.58724531322594</v>
      </c>
      <c r="SC20">
        <f t="shared" si="88"/>
        <v>106.57298031450895</v>
      </c>
      <c r="SD20">
        <f t="shared" si="88"/>
        <v>109.36981195516715</v>
      </c>
      <c r="SE20">
        <f t="shared" si="88"/>
        <v>105.68675060634294</v>
      </c>
      <c r="SF20">
        <f t="shared" si="88"/>
        <v>103.75625236801076</v>
      </c>
      <c r="SG20">
        <f t="shared" si="88"/>
        <v>104.63307757806942</v>
      </c>
      <c r="SH20">
        <f t="shared" si="88"/>
        <v>103.00920213722267</v>
      </c>
      <c r="SI20">
        <f t="shared" si="88"/>
        <v>105.79361809733227</v>
      </c>
      <c r="SJ20">
        <f t="shared" si="88"/>
        <v>101.59300805260794</v>
      </c>
      <c r="SK20">
        <f t="shared" si="88"/>
        <v>86.607559157601614</v>
      </c>
      <c r="SL20">
        <f t="shared" si="88"/>
        <v>85.453144551336862</v>
      </c>
      <c r="SM20">
        <f t="shared" si="88"/>
        <v>79.821083831374338</v>
      </c>
      <c r="SN20">
        <f t="shared" si="88"/>
        <v>82.887604853000539</v>
      </c>
      <c r="SO20">
        <f t="shared" si="88"/>
        <v>87.607927453514648</v>
      </c>
      <c r="SP20">
        <f t="shared" si="88"/>
        <v>82.137493226935277</v>
      </c>
      <c r="SQ20">
        <f t="shared" si="88"/>
        <v>83.951942580249863</v>
      </c>
      <c r="SR20">
        <f t="shared" si="88"/>
        <v>82.520288114468016</v>
      </c>
      <c r="SS20">
        <f t="shared" si="88"/>
        <v>85.026673411155258</v>
      </c>
      <c r="ST20">
        <f t="shared" si="88"/>
        <v>88.304067799421603</v>
      </c>
      <c r="SU20">
        <f t="shared" si="88"/>
        <v>85.651059408911507</v>
      </c>
      <c r="SV20">
        <f t="shared" si="88"/>
        <v>95.274747508899225</v>
      </c>
      <c r="SW20">
        <f t="shared" ref="SW20:VH20" si="89">SV20*(1+SW9)</f>
        <v>96.666195419560424</v>
      </c>
      <c r="SX20">
        <f t="shared" si="89"/>
        <v>99.673049734765783</v>
      </c>
      <c r="SY20">
        <f t="shared" si="89"/>
        <v>98.830776082082181</v>
      </c>
      <c r="SZ20">
        <f t="shared" si="89"/>
        <v>101.62675838390069</v>
      </c>
      <c r="TA20">
        <f t="shared" si="89"/>
        <v>101.84670232599977</v>
      </c>
      <c r="TB20">
        <f t="shared" si="89"/>
        <v>101.91427095222485</v>
      </c>
      <c r="TC20">
        <f t="shared" si="89"/>
        <v>97.373962719524798</v>
      </c>
      <c r="TD20">
        <f t="shared" si="89"/>
        <v>94.448953122030332</v>
      </c>
      <c r="TE20">
        <f t="shared" si="89"/>
        <v>92.515192380693009</v>
      </c>
      <c r="TF20">
        <f t="shared" si="89"/>
        <v>90.622159787308632</v>
      </c>
      <c r="TG20">
        <f t="shared" si="89"/>
        <v>87.418464721011233</v>
      </c>
      <c r="TH20">
        <f t="shared" si="89"/>
        <v>88.012772454417387</v>
      </c>
      <c r="TI20">
        <f t="shared" si="89"/>
        <v>85.109605382688144</v>
      </c>
      <c r="TJ20">
        <f t="shared" si="89"/>
        <v>80.579812638900592</v>
      </c>
      <c r="TK20">
        <f t="shared" si="89"/>
        <v>80.419072374726426</v>
      </c>
      <c r="TL20">
        <f t="shared" si="89"/>
        <v>77.508785226070799</v>
      </c>
      <c r="TM20">
        <f t="shared" si="89"/>
        <v>78.460577765735778</v>
      </c>
      <c r="TN20">
        <f t="shared" si="89"/>
        <v>76.870019341256267</v>
      </c>
      <c r="TO20">
        <f t="shared" si="89"/>
        <v>77.232879191946495</v>
      </c>
      <c r="TP20">
        <f t="shared" si="89"/>
        <v>78.012067746211997</v>
      </c>
      <c r="TQ20">
        <f t="shared" si="89"/>
        <v>78.166315452323573</v>
      </c>
      <c r="TR20">
        <f t="shared" si="89"/>
        <v>78.654555600637863</v>
      </c>
      <c r="TS20">
        <f t="shared" si="89"/>
        <v>77.720318275394575</v>
      </c>
      <c r="TT20">
        <f t="shared" si="89"/>
        <v>80.494669483485666</v>
      </c>
      <c r="TU20">
        <f t="shared" si="89"/>
        <v>84.185442498012733</v>
      </c>
      <c r="TV20">
        <f t="shared" si="89"/>
        <v>88.523940182927163</v>
      </c>
      <c r="TW20">
        <f t="shared" si="89"/>
        <v>92.717021861626009</v>
      </c>
      <c r="TX20">
        <f t="shared" si="89"/>
        <v>94.094030030644049</v>
      </c>
      <c r="TY20">
        <f t="shared" si="89"/>
        <v>91.537124771586548</v>
      </c>
      <c r="TZ20">
        <f t="shared" si="89"/>
        <v>90.789040550759324</v>
      </c>
      <c r="UA20">
        <f t="shared" si="89"/>
        <v>84.623220094279091</v>
      </c>
      <c r="UB20">
        <f t="shared" si="89"/>
        <v>85.860582178218635</v>
      </c>
      <c r="UC20">
        <f t="shared" si="89"/>
        <v>83.284552045343403</v>
      </c>
      <c r="UD20">
        <f t="shared" si="89"/>
        <v>83.817031754365928</v>
      </c>
      <c r="UE20">
        <f t="shared" si="89"/>
        <v>84.744432134728271</v>
      </c>
      <c r="UF20">
        <f t="shared" si="89"/>
        <v>87.931139022425143</v>
      </c>
      <c r="UG20">
        <f t="shared" si="89"/>
        <v>85.316211802527647</v>
      </c>
      <c r="UH20">
        <f t="shared" si="89"/>
        <v>86.580425697027138</v>
      </c>
      <c r="UI20">
        <f t="shared" si="89"/>
        <v>88.652017443848294</v>
      </c>
      <c r="UJ20">
        <f t="shared" si="89"/>
        <v>86.38765769840505</v>
      </c>
      <c r="UK20">
        <f t="shared" si="89"/>
        <v>88.048391823607588</v>
      </c>
      <c r="UL20">
        <f t="shared" si="89"/>
        <v>86.404350980897746</v>
      </c>
      <c r="UM20">
        <f t="shared" si="89"/>
        <v>88.050055026377038</v>
      </c>
      <c r="UN20">
        <f t="shared" si="89"/>
        <v>90.015010960993337</v>
      </c>
      <c r="UO20">
        <f t="shared" si="89"/>
        <v>89.878266617090347</v>
      </c>
      <c r="UP20">
        <f t="shared" si="89"/>
        <v>93.791653728639091</v>
      </c>
      <c r="UQ20">
        <f t="shared" si="89"/>
        <v>94.610700820859847</v>
      </c>
      <c r="UR20">
        <f t="shared" si="89"/>
        <v>90.596085057421973</v>
      </c>
      <c r="US20">
        <f t="shared" si="89"/>
        <v>89.430798571170598</v>
      </c>
      <c r="UT20">
        <f t="shared" si="89"/>
        <v>87.734930127720858</v>
      </c>
      <c r="UU20">
        <f t="shared" si="89"/>
        <v>85.398200849533097</v>
      </c>
      <c r="UV20">
        <f t="shared" si="89"/>
        <v>84.248735101375004</v>
      </c>
      <c r="UW20">
        <f t="shared" si="89"/>
        <v>88.288449913579299</v>
      </c>
      <c r="UX20">
        <f t="shared" si="89"/>
        <v>89.297949000720166</v>
      </c>
      <c r="UY20">
        <f t="shared" si="89"/>
        <v>87.477204045902582</v>
      </c>
      <c r="UZ20">
        <f t="shared" si="89"/>
        <v>88.714614171466366</v>
      </c>
      <c r="VA20">
        <f t="shared" si="89"/>
        <v>90.332070031046968</v>
      </c>
      <c r="VB20">
        <f t="shared" si="89"/>
        <v>87.58686396815709</v>
      </c>
      <c r="VC20">
        <f t="shared" si="89"/>
        <v>87.791452265410754</v>
      </c>
      <c r="VD20">
        <f t="shared" si="89"/>
        <v>88.494475661746876</v>
      </c>
      <c r="VE20">
        <f t="shared" si="89"/>
        <v>88.549783065731219</v>
      </c>
      <c r="VF20">
        <f t="shared" si="89"/>
        <v>87.734266315087922</v>
      </c>
      <c r="VG20">
        <f t="shared" si="89"/>
        <v>87.398421327174447</v>
      </c>
      <c r="VH20">
        <f t="shared" si="89"/>
        <v>86.36255721748887</v>
      </c>
      <c r="VI20">
        <f t="shared" ref="VI20:XT20" si="90">VH20*(1+VI9)</f>
        <v>86.046263084737376</v>
      </c>
      <c r="VJ20">
        <f t="shared" si="90"/>
        <v>85.161514440902252</v>
      </c>
      <c r="VK20">
        <f t="shared" si="90"/>
        <v>86.774215365787597</v>
      </c>
      <c r="VL20">
        <f t="shared" si="90"/>
        <v>87.180723094464255</v>
      </c>
      <c r="VM20">
        <f t="shared" si="90"/>
        <v>85.346188738085687</v>
      </c>
      <c r="VN20">
        <f t="shared" si="90"/>
        <v>86.442550631947626</v>
      </c>
      <c r="VO20">
        <f t="shared" si="90"/>
        <v>84.883341724937097</v>
      </c>
      <c r="VP20">
        <f t="shared" si="90"/>
        <v>85.350975782536068</v>
      </c>
      <c r="VQ20">
        <f t="shared" si="90"/>
        <v>83.486389303151682</v>
      </c>
      <c r="VR20">
        <f t="shared" si="90"/>
        <v>85.799164567404972</v>
      </c>
      <c r="VS20">
        <f t="shared" si="90"/>
        <v>88.685900019421169</v>
      </c>
      <c r="VT20">
        <f t="shared" si="90"/>
        <v>89.286127675704563</v>
      </c>
      <c r="VU20">
        <f t="shared" si="90"/>
        <v>89.173930528688246</v>
      </c>
      <c r="VV20">
        <f t="shared" si="90"/>
        <v>90.720464472251251</v>
      </c>
      <c r="VW20">
        <f t="shared" si="90"/>
        <v>90.449873122120422</v>
      </c>
      <c r="VX20">
        <f t="shared" si="90"/>
        <v>91.440181699213213</v>
      </c>
      <c r="VY20">
        <f t="shared" si="90"/>
        <v>91.375856191808538</v>
      </c>
      <c r="VZ20">
        <f t="shared" si="90"/>
        <v>91.609160835739772</v>
      </c>
      <c r="WA20">
        <f t="shared" si="90"/>
        <v>91.65055889867368</v>
      </c>
      <c r="WB20">
        <f t="shared" si="90"/>
        <v>90.051973741412326</v>
      </c>
      <c r="WC20">
        <f t="shared" si="90"/>
        <v>89.21847101762441</v>
      </c>
      <c r="WD20">
        <f t="shared" si="90"/>
        <v>89.001676543123423</v>
      </c>
      <c r="WE20">
        <f t="shared" si="90"/>
        <v>88.374253702963543</v>
      </c>
      <c r="WF20">
        <f t="shared" si="90"/>
        <v>86.865225670511421</v>
      </c>
      <c r="WG20">
        <f t="shared" si="90"/>
        <v>89.47470854608585</v>
      </c>
      <c r="WH20">
        <f t="shared" si="90"/>
        <v>89.213418383885866</v>
      </c>
      <c r="WI20">
        <f t="shared" si="90"/>
        <v>91.597883960604889</v>
      </c>
      <c r="WJ20">
        <f t="shared" si="90"/>
        <v>89.296836443589498</v>
      </c>
      <c r="WK20">
        <f t="shared" si="90"/>
        <v>89.471234941572206</v>
      </c>
      <c r="WL20">
        <f t="shared" si="90"/>
        <v>90.62479996957849</v>
      </c>
      <c r="WM20">
        <f t="shared" si="90"/>
        <v>88.714638079656581</v>
      </c>
      <c r="WN20">
        <f t="shared" si="90"/>
        <v>89.321677836161996</v>
      </c>
      <c r="WO20">
        <f t="shared" si="90"/>
        <v>89.772564243634434</v>
      </c>
      <c r="WP20">
        <f t="shared" si="90"/>
        <v>88.166679081246031</v>
      </c>
      <c r="WQ20">
        <f t="shared" si="90"/>
        <v>87.580712996236358</v>
      </c>
      <c r="WR20">
        <f t="shared" si="90"/>
        <v>88.782018018800471</v>
      </c>
      <c r="WS20">
        <f t="shared" si="90"/>
        <v>88.99574777006201</v>
      </c>
      <c r="WT20">
        <f t="shared" si="90"/>
        <v>89.229386885277165</v>
      </c>
      <c r="WU20">
        <f t="shared" si="90"/>
        <v>90.380972117251744</v>
      </c>
      <c r="WV20">
        <f t="shared" si="90"/>
        <v>89.844301252399035</v>
      </c>
      <c r="WW20">
        <f t="shared" si="90"/>
        <v>91.459604326742678</v>
      </c>
      <c r="WX20">
        <f t="shared" si="90"/>
        <v>91.447101901563059</v>
      </c>
      <c r="WY20">
        <f t="shared" si="90"/>
        <v>90.276358055969524</v>
      </c>
      <c r="WZ20">
        <f t="shared" si="90"/>
        <v>88.78757696536853</v>
      </c>
      <c r="XA20">
        <f t="shared" si="90"/>
        <v>90.435171093516857</v>
      </c>
      <c r="XB20">
        <f t="shared" si="90"/>
        <v>90.887117685327837</v>
      </c>
      <c r="XC20">
        <f t="shared" si="90"/>
        <v>90.995656778108838</v>
      </c>
      <c r="XD20">
        <f t="shared" si="90"/>
        <v>92.015546621501059</v>
      </c>
      <c r="XE20">
        <f t="shared" si="90"/>
        <v>91.281744884922986</v>
      </c>
      <c r="XF20">
        <f t="shared" si="90"/>
        <v>89.959591001894111</v>
      </c>
      <c r="XG20">
        <f t="shared" si="90"/>
        <v>90.394726962472234</v>
      </c>
      <c r="XH20">
        <f t="shared" si="90"/>
        <v>88.841351943226002</v>
      </c>
      <c r="XI20">
        <f t="shared" si="90"/>
        <v>86.712875704468715</v>
      </c>
      <c r="XJ20">
        <f t="shared" si="90"/>
        <v>88.382261824339722</v>
      </c>
      <c r="XK20">
        <f t="shared" si="90"/>
        <v>89.473714890100084</v>
      </c>
      <c r="XL20">
        <f t="shared" si="90"/>
        <v>86.882155224557934</v>
      </c>
      <c r="XM20">
        <f t="shared" si="90"/>
        <v>86.774758601680944</v>
      </c>
      <c r="XN20">
        <f t="shared" si="90"/>
        <v>87.843024817960085</v>
      </c>
      <c r="XO20">
        <f t="shared" si="90"/>
        <v>87.885964308769232</v>
      </c>
      <c r="XP20">
        <f t="shared" si="90"/>
        <v>88.038448409625133</v>
      </c>
      <c r="XQ20">
        <f t="shared" si="90"/>
        <v>87.812889088436151</v>
      </c>
      <c r="XR20">
        <f t="shared" si="90"/>
        <v>86.303538098476793</v>
      </c>
      <c r="XS20">
        <f t="shared" si="90"/>
        <v>88.625437753401442</v>
      </c>
      <c r="XT20">
        <f t="shared" si="90"/>
        <v>89.715781249452206</v>
      </c>
      <c r="XU20">
        <f t="shared" ref="XU20:AAF20" si="91">XT20*(1+XU9)</f>
        <v>90.393600571175696</v>
      </c>
      <c r="XV20">
        <f t="shared" si="91"/>
        <v>88.926861306297155</v>
      </c>
      <c r="XW20">
        <f t="shared" si="91"/>
        <v>88.758557881085721</v>
      </c>
      <c r="XX20">
        <f t="shared" si="91"/>
        <v>91.667374329614347</v>
      </c>
      <c r="XY20">
        <f t="shared" si="91"/>
        <v>93.196157602825963</v>
      </c>
      <c r="XZ20">
        <f t="shared" si="91"/>
        <v>93.394643168172124</v>
      </c>
      <c r="YA20">
        <f t="shared" si="91"/>
        <v>90.447393607024054</v>
      </c>
      <c r="YB20">
        <f t="shared" si="91"/>
        <v>89.485871090743004</v>
      </c>
      <c r="YC20">
        <f t="shared" si="91"/>
        <v>88.959651506709548</v>
      </c>
      <c r="YD20">
        <f t="shared" si="91"/>
        <v>86.340399950224068</v>
      </c>
      <c r="YE20">
        <f t="shared" si="91"/>
        <v>86.477859422379083</v>
      </c>
      <c r="YF20">
        <f t="shared" si="91"/>
        <v>86.681463601608456</v>
      </c>
      <c r="YG20">
        <f t="shared" si="91"/>
        <v>85.096851556249092</v>
      </c>
      <c r="YH20">
        <f t="shared" si="91"/>
        <v>83.931709269480606</v>
      </c>
      <c r="YI20">
        <f t="shared" si="91"/>
        <v>83.753102403887254</v>
      </c>
      <c r="YJ20">
        <f t="shared" si="91"/>
        <v>85.251004392707813</v>
      </c>
      <c r="YK20">
        <f t="shared" si="91"/>
        <v>88.694018582608237</v>
      </c>
      <c r="YL20">
        <f t="shared" si="91"/>
        <v>87.026118485209508</v>
      </c>
      <c r="YM20">
        <f t="shared" si="91"/>
        <v>84.089878644588637</v>
      </c>
      <c r="YN20">
        <f t="shared" si="91"/>
        <v>86.536228023956781</v>
      </c>
      <c r="YO20">
        <f t="shared" si="91"/>
        <v>87.576530813869411</v>
      </c>
      <c r="YP20">
        <f t="shared" si="91"/>
        <v>87.005157823630555</v>
      </c>
      <c r="YQ20">
        <f t="shared" si="91"/>
        <v>87.161882228371184</v>
      </c>
      <c r="YR20">
        <f t="shared" si="91"/>
        <v>88.173585468701845</v>
      </c>
      <c r="YS20">
        <f t="shared" si="91"/>
        <v>87.062307552891866</v>
      </c>
      <c r="YT20">
        <f t="shared" si="91"/>
        <v>87.178503228017718</v>
      </c>
      <c r="YU20">
        <f t="shared" si="91"/>
        <v>85.799250016741127</v>
      </c>
      <c r="YV20">
        <f t="shared" si="91"/>
        <v>86.80253955352984</v>
      </c>
      <c r="YW20">
        <f t="shared" si="91"/>
        <v>84.057344492461326</v>
      </c>
      <c r="YX20">
        <f t="shared" si="91"/>
        <v>82.221118681932992</v>
      </c>
      <c r="YY20">
        <f t="shared" si="91"/>
        <v>82.594960861896141</v>
      </c>
      <c r="YZ20">
        <f t="shared" si="91"/>
        <v>82.131265528005585</v>
      </c>
      <c r="ZA20">
        <f t="shared" si="91"/>
        <v>82.446771314188467</v>
      </c>
      <c r="ZB20">
        <f t="shared" si="91"/>
        <v>80.648309808240299</v>
      </c>
      <c r="ZC20">
        <f t="shared" si="91"/>
        <v>82.259751424504358</v>
      </c>
      <c r="ZD20">
        <f t="shared" si="91"/>
        <v>81.234471944386627</v>
      </c>
      <c r="ZE20">
        <f t="shared" si="91"/>
        <v>82.709493846822696</v>
      </c>
      <c r="ZF20">
        <f t="shared" si="91"/>
        <v>83.980559749392256</v>
      </c>
      <c r="ZG20">
        <f t="shared" si="91"/>
        <v>82.651761804195203</v>
      </c>
      <c r="ZH20">
        <f t="shared" si="91"/>
        <v>83.671897340342724</v>
      </c>
      <c r="ZI20">
        <f t="shared" si="91"/>
        <v>82.500175704633293</v>
      </c>
      <c r="ZJ20">
        <f t="shared" si="91"/>
        <v>83.097673823230181</v>
      </c>
      <c r="ZK20">
        <f t="shared" si="91"/>
        <v>84.111260842993431</v>
      </c>
      <c r="ZL20">
        <f t="shared" si="91"/>
        <v>83.132752116608714</v>
      </c>
      <c r="ZM20">
        <f t="shared" si="91"/>
        <v>81.679490011733861</v>
      </c>
      <c r="ZN20">
        <f t="shared" si="91"/>
        <v>81.39493143364605</v>
      </c>
      <c r="ZO20">
        <f t="shared" si="91"/>
        <v>81.461852320372188</v>
      </c>
      <c r="ZP20">
        <f t="shared" si="91"/>
        <v>81.625491850071526</v>
      </c>
      <c r="ZQ20">
        <f t="shared" si="91"/>
        <v>80.680385527347966</v>
      </c>
      <c r="ZR20">
        <f t="shared" si="91"/>
        <v>81.140979196435723</v>
      </c>
      <c r="ZS20">
        <f t="shared" si="91"/>
        <v>80.007746345534784</v>
      </c>
      <c r="ZT20">
        <f t="shared" si="91"/>
        <v>79.582160076266788</v>
      </c>
      <c r="ZU20">
        <f t="shared" si="91"/>
        <v>79.302350805495792</v>
      </c>
      <c r="ZV20">
        <f t="shared" si="91"/>
        <v>82.027275700823211</v>
      </c>
      <c r="ZW20">
        <f t="shared" si="91"/>
        <v>85.652634670657463</v>
      </c>
      <c r="ZX20">
        <f t="shared" si="91"/>
        <v>87.405352222020355</v>
      </c>
      <c r="ZY20">
        <f t="shared" si="91"/>
        <v>88.014985247107717</v>
      </c>
      <c r="ZZ20">
        <f t="shared" si="91"/>
        <v>86.604243100046034</v>
      </c>
      <c r="AAA20">
        <f t="shared" si="91"/>
        <v>87.213304146670666</v>
      </c>
      <c r="AAB20">
        <f t="shared" si="91"/>
        <v>87.202940075607174</v>
      </c>
      <c r="AAC20">
        <f t="shared" si="91"/>
        <v>87.850045382847952</v>
      </c>
      <c r="AAD20">
        <f t="shared" si="91"/>
        <v>87.619118933484771</v>
      </c>
      <c r="AAE20">
        <f t="shared" si="91"/>
        <v>89.802502396605959</v>
      </c>
      <c r="AAF20">
        <f t="shared" si="91"/>
        <v>89.601193161509158</v>
      </c>
      <c r="AAG20">
        <f t="shared" ref="AAG20:ACR20" si="92">AAF20*(1+AAG9)</f>
        <v>88.593739106232434</v>
      </c>
      <c r="AAH20">
        <f t="shared" si="92"/>
        <v>89.851097752810261</v>
      </c>
      <c r="AAI20">
        <f t="shared" si="92"/>
        <v>90.057952268593922</v>
      </c>
      <c r="AAJ20">
        <f t="shared" si="92"/>
        <v>91.334124326325067</v>
      </c>
      <c r="AAK20">
        <f t="shared" si="92"/>
        <v>90.865030826453719</v>
      </c>
      <c r="AAL20">
        <f t="shared" si="92"/>
        <v>90.26296329039377</v>
      </c>
      <c r="AAM20">
        <f t="shared" si="92"/>
        <v>90.415546903387693</v>
      </c>
      <c r="AAN20">
        <f t="shared" si="92"/>
        <v>89.4067994965894</v>
      </c>
      <c r="AAO20">
        <f t="shared" si="92"/>
        <v>90.765068494659232</v>
      </c>
      <c r="AAP20">
        <f t="shared" si="92"/>
        <v>90.022793150686169</v>
      </c>
      <c r="AAQ20">
        <f t="shared" si="92"/>
        <v>89.622862630963098</v>
      </c>
      <c r="AAR20">
        <f t="shared" si="92"/>
        <v>89.267399469750103</v>
      </c>
      <c r="AAS20">
        <f t="shared" si="92"/>
        <v>88.449771371433414</v>
      </c>
      <c r="AAT20">
        <f t="shared" si="92"/>
        <v>87.608559693697202</v>
      </c>
      <c r="AAU20">
        <f t="shared" si="92"/>
        <v>87.051562735985399</v>
      </c>
      <c r="AAV20">
        <f t="shared" si="92"/>
        <v>87.893871999147038</v>
      </c>
      <c r="AAW20">
        <f t="shared" si="92"/>
        <v>89.750747922453243</v>
      </c>
      <c r="AAX20">
        <f t="shared" si="92"/>
        <v>87.316460911618847</v>
      </c>
      <c r="AAY20">
        <f t="shared" si="92"/>
        <v>86.677263421988499</v>
      </c>
      <c r="AAZ20">
        <f t="shared" si="92"/>
        <v>87.151745137075267</v>
      </c>
      <c r="ABA20">
        <f t="shared" si="92"/>
        <v>88.593155402506824</v>
      </c>
      <c r="ABB20">
        <f t="shared" si="92"/>
        <v>88.418157477519955</v>
      </c>
      <c r="ABC20">
        <f t="shared" si="92"/>
        <v>88.812935692167017</v>
      </c>
      <c r="ABD20">
        <f t="shared" si="92"/>
        <v>87.844185203102697</v>
      </c>
      <c r="ABE20">
        <f t="shared" si="92"/>
        <v>89.886191087858336</v>
      </c>
      <c r="ABF20">
        <f t="shared" si="92"/>
        <v>91.351122985967464</v>
      </c>
      <c r="ABG20">
        <f t="shared" si="92"/>
        <v>91.414860647050688</v>
      </c>
      <c r="ABH20">
        <f t="shared" si="92"/>
        <v>90.245374725881504</v>
      </c>
      <c r="ABI20">
        <f t="shared" si="92"/>
        <v>91.652436377891163</v>
      </c>
      <c r="ABJ20">
        <f t="shared" si="92"/>
        <v>94.556984435868742</v>
      </c>
      <c r="ABK20">
        <f t="shared" si="92"/>
        <v>96.394170124314286</v>
      </c>
      <c r="ABL20">
        <f t="shared" si="92"/>
        <v>94.027942979984871</v>
      </c>
      <c r="ABM20">
        <f t="shared" si="92"/>
        <v>91.890248712130287</v>
      </c>
      <c r="ABN20">
        <f t="shared" si="92"/>
        <v>91.623363096216764</v>
      </c>
      <c r="ABO20">
        <f t="shared" si="92"/>
        <v>91.936198189666683</v>
      </c>
      <c r="ABP20">
        <f t="shared" si="92"/>
        <v>91.862335440625387</v>
      </c>
      <c r="ABQ20">
        <f t="shared" si="92"/>
        <v>92.990099485459226</v>
      </c>
      <c r="ABR20">
        <f t="shared" si="92"/>
        <v>91.291376974547674</v>
      </c>
      <c r="ABS20">
        <f t="shared" si="92"/>
        <v>90.85437680543437</v>
      </c>
      <c r="ABT20">
        <f t="shared" si="92"/>
        <v>91.366232753110907</v>
      </c>
      <c r="ABU20">
        <f t="shared" si="92"/>
        <v>89.614533241130545</v>
      </c>
      <c r="ABV20">
        <f t="shared" si="92"/>
        <v>90.761381221393634</v>
      </c>
      <c r="ABW20">
        <f t="shared" si="92"/>
        <v>89.984987358801533</v>
      </c>
      <c r="ABX20">
        <f t="shared" si="92"/>
        <v>90.641971566378317</v>
      </c>
      <c r="ABY20">
        <f t="shared" si="92"/>
        <v>91.585746177544891</v>
      </c>
      <c r="ABZ20">
        <f t="shared" si="92"/>
        <v>90.557839019220893</v>
      </c>
      <c r="ACA20">
        <f t="shared" si="92"/>
        <v>91.318098077245679</v>
      </c>
      <c r="ACB20">
        <f t="shared" si="92"/>
        <v>91.827590950738696</v>
      </c>
      <c r="ACC20">
        <f t="shared" si="92"/>
        <v>90.341655135633914</v>
      </c>
      <c r="ACD20">
        <f t="shared" si="92"/>
        <v>90.226651416476798</v>
      </c>
      <c r="ACE20">
        <f t="shared" si="92"/>
        <v>91.286280069983263</v>
      </c>
      <c r="ACF20">
        <f t="shared" si="92"/>
        <v>89.795243072209047</v>
      </c>
      <c r="ACG20">
        <f t="shared" si="92"/>
        <v>91.217502632514353</v>
      </c>
      <c r="ACH20">
        <f t="shared" si="92"/>
        <v>92.007986965551851</v>
      </c>
      <c r="ACI20">
        <f t="shared" si="92"/>
        <v>92.796276237280736</v>
      </c>
      <c r="ACJ20">
        <f t="shared" si="92"/>
        <v>93.463483837974408</v>
      </c>
      <c r="ACK20">
        <f t="shared" si="92"/>
        <v>95.082568807348139</v>
      </c>
      <c r="ACL20">
        <f t="shared" si="92"/>
        <v>95.780808495421184</v>
      </c>
      <c r="ACM20">
        <f t="shared" si="92"/>
        <v>95.430751567870217</v>
      </c>
      <c r="ACN20">
        <f t="shared" si="92"/>
        <v>98.683498282853492</v>
      </c>
      <c r="ACO20">
        <f t="shared" si="92"/>
        <v>98.355904040979638</v>
      </c>
      <c r="ACP20">
        <f t="shared" si="92"/>
        <v>100.64590922756996</v>
      </c>
      <c r="ACQ20">
        <f t="shared" si="92"/>
        <v>99.263015119116943</v>
      </c>
      <c r="ACR20">
        <f t="shared" si="92"/>
        <v>99.243007357612029</v>
      </c>
      <c r="ACS20">
        <f t="shared" ref="ACS20:ACV20" si="93">ACR20*(1+ACS9)</f>
        <v>99.221364766280317</v>
      </c>
      <c r="ACT20">
        <f t="shared" si="93"/>
        <v>98.366931438329317</v>
      </c>
      <c r="ACU20">
        <f t="shared" si="93"/>
        <v>98.149398065477968</v>
      </c>
      <c r="ACV20">
        <f t="shared" si="93"/>
        <v>99.557047086020972</v>
      </c>
    </row>
    <row r="21" spans="1:776" x14ac:dyDescent="0.2">
      <c r="A21" s="7" t="s">
        <v>70668</v>
      </c>
      <c r="B21">
        <f t="shared" si="53"/>
        <v>97.834677146345271</v>
      </c>
      <c r="C21">
        <f t="shared" si="54"/>
        <v>95.373631268739274</v>
      </c>
      <c r="D21">
        <f t="shared" si="54"/>
        <v>93.655827468382981</v>
      </c>
      <c r="E21">
        <f t="shared" ref="E21:BP21" si="94">D21*(1+E10)</f>
        <v>92.764925595407846</v>
      </c>
      <c r="F21">
        <f t="shared" si="94"/>
        <v>91.29765737781608</v>
      </c>
      <c r="G21">
        <f t="shared" si="94"/>
        <v>91.756768445246735</v>
      </c>
      <c r="H21">
        <f t="shared" si="94"/>
        <v>91.308401843984058</v>
      </c>
      <c r="I21">
        <f t="shared" si="94"/>
        <v>91.780706451095966</v>
      </c>
      <c r="J21">
        <f t="shared" si="94"/>
        <v>91.581134590250514</v>
      </c>
      <c r="K21">
        <f t="shared" si="94"/>
        <v>92.453958085709544</v>
      </c>
      <c r="L21">
        <f t="shared" si="94"/>
        <v>93.805784762393827</v>
      </c>
      <c r="M21">
        <f t="shared" si="94"/>
        <v>93.061853270681866</v>
      </c>
      <c r="N21">
        <f t="shared" si="94"/>
        <v>92.87222627393291</v>
      </c>
      <c r="O21">
        <f t="shared" si="94"/>
        <v>92.616302590666692</v>
      </c>
      <c r="P21">
        <f t="shared" si="94"/>
        <v>91.501178763602582</v>
      </c>
      <c r="Q21">
        <f t="shared" si="94"/>
        <v>90.986126884540738</v>
      </c>
      <c r="R21">
        <f t="shared" si="94"/>
        <v>92.68323852066456</v>
      </c>
      <c r="S21">
        <f t="shared" si="94"/>
        <v>91.691735200371383</v>
      </c>
      <c r="T21">
        <f t="shared" si="94"/>
        <v>92.114293607945086</v>
      </c>
      <c r="U21">
        <f t="shared" si="94"/>
        <v>89.894481431620832</v>
      </c>
      <c r="V21">
        <f t="shared" si="94"/>
        <v>89.695104812637609</v>
      </c>
      <c r="W21">
        <f t="shared" si="94"/>
        <v>91.346826376474169</v>
      </c>
      <c r="X21">
        <f t="shared" si="94"/>
        <v>91.167761598437735</v>
      </c>
      <c r="Y21">
        <f t="shared" si="94"/>
        <v>91.323644706900069</v>
      </c>
      <c r="Z21">
        <f t="shared" si="94"/>
        <v>94.228876859761016</v>
      </c>
      <c r="AA21">
        <f t="shared" si="94"/>
        <v>90.431170857583268</v>
      </c>
      <c r="AB21">
        <f t="shared" si="94"/>
        <v>88.21177847014836</v>
      </c>
      <c r="AC21">
        <f t="shared" si="94"/>
        <v>86.586991132169985</v>
      </c>
      <c r="AD21">
        <f t="shared" si="94"/>
        <v>87.138564471003164</v>
      </c>
      <c r="AE21">
        <f t="shared" si="94"/>
        <v>87.300790889267546</v>
      </c>
      <c r="AF21">
        <f t="shared" si="94"/>
        <v>86.345690724352707</v>
      </c>
      <c r="AG21">
        <f t="shared" si="94"/>
        <v>85.224558427325064</v>
      </c>
      <c r="AH21">
        <f t="shared" si="94"/>
        <v>83.71614794692789</v>
      </c>
      <c r="AI21">
        <f t="shared" si="94"/>
        <v>82.713372232204463</v>
      </c>
      <c r="AJ21">
        <f t="shared" si="94"/>
        <v>82.774003745807207</v>
      </c>
      <c r="AK21">
        <f t="shared" si="94"/>
        <v>82.103316442254624</v>
      </c>
      <c r="AL21">
        <f t="shared" si="94"/>
        <v>79.414171325179822</v>
      </c>
      <c r="AM21">
        <f t="shared" si="94"/>
        <v>78.995601003511311</v>
      </c>
      <c r="AN21">
        <f t="shared" si="94"/>
        <v>78.904069599466411</v>
      </c>
      <c r="AO21">
        <f t="shared" si="94"/>
        <v>80.887976211345858</v>
      </c>
      <c r="AP21">
        <f t="shared" si="94"/>
        <v>82.528260229291831</v>
      </c>
      <c r="AQ21">
        <f t="shared" si="94"/>
        <v>81.13929323865456</v>
      </c>
      <c r="AR21">
        <f t="shared" si="94"/>
        <v>82.072232322066469</v>
      </c>
      <c r="AS21">
        <f t="shared" si="94"/>
        <v>81.757754233023107</v>
      </c>
      <c r="AT21">
        <f t="shared" si="94"/>
        <v>82.529657438695736</v>
      </c>
      <c r="AU21">
        <f t="shared" si="94"/>
        <v>83.461978283857036</v>
      </c>
      <c r="AV21">
        <f t="shared" si="94"/>
        <v>83.791664865677546</v>
      </c>
      <c r="AW21">
        <f t="shared" si="94"/>
        <v>83.095645445075988</v>
      </c>
      <c r="AX21">
        <f t="shared" si="94"/>
        <v>82.876441575808087</v>
      </c>
      <c r="AY21">
        <f t="shared" si="94"/>
        <v>79.449503993567902</v>
      </c>
      <c r="AZ21">
        <f t="shared" si="94"/>
        <v>76.401745333872938</v>
      </c>
      <c r="BA21">
        <f t="shared" si="94"/>
        <v>75.777418458134207</v>
      </c>
      <c r="BB21">
        <f t="shared" si="94"/>
        <v>75.830225314650264</v>
      </c>
      <c r="BC21">
        <f t="shared" si="94"/>
        <v>73.419172600289798</v>
      </c>
      <c r="BD21">
        <f t="shared" si="94"/>
        <v>71.304856166308241</v>
      </c>
      <c r="BE21">
        <f t="shared" si="94"/>
        <v>74.296539378443441</v>
      </c>
      <c r="BF21">
        <f t="shared" si="94"/>
        <v>73.961898894007462</v>
      </c>
      <c r="BG21">
        <f t="shared" si="94"/>
        <v>72.915669172535445</v>
      </c>
      <c r="BH21">
        <f t="shared" si="94"/>
        <v>70.790743460350356</v>
      </c>
      <c r="BI21">
        <f t="shared" si="94"/>
        <v>71.234032060026195</v>
      </c>
      <c r="BJ21">
        <f t="shared" si="94"/>
        <v>70.863867263135091</v>
      </c>
      <c r="BK21">
        <f t="shared" si="94"/>
        <v>71.932886994337949</v>
      </c>
      <c r="BL21">
        <f t="shared" si="94"/>
        <v>71.397169388282236</v>
      </c>
      <c r="BM21">
        <f t="shared" si="94"/>
        <v>69.951151130146471</v>
      </c>
      <c r="BN21">
        <f t="shared" si="94"/>
        <v>69.916805359659094</v>
      </c>
      <c r="BO21">
        <f t="shared" si="94"/>
        <v>68.726380727541752</v>
      </c>
      <c r="BP21">
        <f t="shared" si="94"/>
        <v>67.006579755645518</v>
      </c>
      <c r="BQ21">
        <f t="shared" ref="BQ21:EB21" si="95">BP21*(1+BQ10)</f>
        <v>65.945786346098913</v>
      </c>
      <c r="BR21">
        <f t="shared" si="95"/>
        <v>66.447840728955853</v>
      </c>
      <c r="BS21">
        <f t="shared" si="95"/>
        <v>65.714670854413924</v>
      </c>
      <c r="BT21">
        <f t="shared" si="95"/>
        <v>66.36230211208094</v>
      </c>
      <c r="BU21">
        <f t="shared" si="95"/>
        <v>67.676455931765148</v>
      </c>
      <c r="BV21">
        <f t="shared" si="95"/>
        <v>68.00896955762434</v>
      </c>
      <c r="BW21">
        <f t="shared" si="95"/>
        <v>67.293867516002223</v>
      </c>
      <c r="BX21">
        <f t="shared" si="95"/>
        <v>68.437591083589055</v>
      </c>
      <c r="BY21">
        <f t="shared" si="95"/>
        <v>67.894950779038794</v>
      </c>
      <c r="BZ21">
        <f t="shared" si="95"/>
        <v>67.716379136786216</v>
      </c>
      <c r="CA21">
        <f t="shared" si="95"/>
        <v>69.506479338240169</v>
      </c>
      <c r="CB21">
        <f t="shared" si="95"/>
        <v>69.533902653252412</v>
      </c>
      <c r="CC21">
        <f t="shared" si="95"/>
        <v>68.374668271508426</v>
      </c>
      <c r="CD21">
        <f t="shared" si="95"/>
        <v>66.795080317018076</v>
      </c>
      <c r="CE21">
        <f t="shared" si="95"/>
        <v>67.371528658406248</v>
      </c>
      <c r="CF21">
        <f t="shared" si="95"/>
        <v>69.546950825499295</v>
      </c>
      <c r="CG21">
        <f t="shared" si="95"/>
        <v>70.79417951800697</v>
      </c>
      <c r="CH21">
        <f t="shared" si="95"/>
        <v>71.207968071575792</v>
      </c>
      <c r="CI21">
        <f t="shared" si="95"/>
        <v>72.043721535837591</v>
      </c>
      <c r="CJ21">
        <f t="shared" si="95"/>
        <v>73.114335478705542</v>
      </c>
      <c r="CK21">
        <f t="shared" si="95"/>
        <v>72.039676574983019</v>
      </c>
      <c r="CL21">
        <f t="shared" si="95"/>
        <v>72.341176773460205</v>
      </c>
      <c r="CM21">
        <f t="shared" si="95"/>
        <v>72.377495010354636</v>
      </c>
      <c r="CN21">
        <f t="shared" si="95"/>
        <v>71.718139630022137</v>
      </c>
      <c r="CO21">
        <f t="shared" si="95"/>
        <v>71.360371748217304</v>
      </c>
      <c r="CP21">
        <f t="shared" si="95"/>
        <v>71.835936457759757</v>
      </c>
      <c r="CQ21">
        <f t="shared" si="95"/>
        <v>69.515221124007766</v>
      </c>
      <c r="CR21">
        <f t="shared" si="95"/>
        <v>68.126614870646847</v>
      </c>
      <c r="CS21">
        <f t="shared" si="95"/>
        <v>63.966660105209478</v>
      </c>
      <c r="CT21">
        <f t="shared" si="95"/>
        <v>62.201497333580193</v>
      </c>
      <c r="CU21">
        <f t="shared" si="95"/>
        <v>65.961251442977883</v>
      </c>
      <c r="CV21">
        <f t="shared" si="95"/>
        <v>65.18739147630221</v>
      </c>
      <c r="CW21">
        <f t="shared" si="95"/>
        <v>65.00196112909083</v>
      </c>
      <c r="CX21">
        <f t="shared" si="95"/>
        <v>64.498600226060887</v>
      </c>
      <c r="CY21">
        <f t="shared" si="95"/>
        <v>62.772269227797054</v>
      </c>
      <c r="CZ21">
        <f t="shared" si="95"/>
        <v>63.370113056535722</v>
      </c>
      <c r="DA21">
        <f t="shared" si="95"/>
        <v>64.686982713855272</v>
      </c>
      <c r="DB21">
        <f t="shared" si="95"/>
        <v>64.287406556545633</v>
      </c>
      <c r="DC21">
        <f t="shared" si="95"/>
        <v>65.317063132774848</v>
      </c>
      <c r="DD21">
        <f t="shared" si="95"/>
        <v>63.845039448218273</v>
      </c>
      <c r="DE21">
        <f t="shared" si="95"/>
        <v>62.2952404824984</v>
      </c>
      <c r="DF21">
        <f t="shared" si="95"/>
        <v>66.606156673596885</v>
      </c>
      <c r="DG21">
        <f t="shared" si="95"/>
        <v>68.898415929454302</v>
      </c>
      <c r="DH21">
        <f t="shared" si="95"/>
        <v>69.250994477946861</v>
      </c>
      <c r="DI21">
        <f t="shared" si="95"/>
        <v>67.863763034093253</v>
      </c>
      <c r="DJ21">
        <f t="shared" si="95"/>
        <v>66.172862981895435</v>
      </c>
      <c r="DK21">
        <f t="shared" si="95"/>
        <v>68.301625102701621</v>
      </c>
      <c r="DL21">
        <f t="shared" si="95"/>
        <v>67.323233624229957</v>
      </c>
      <c r="DM21">
        <f t="shared" si="95"/>
        <v>66.375020490829073</v>
      </c>
      <c r="DN21">
        <f t="shared" si="95"/>
        <v>68.880319164648157</v>
      </c>
      <c r="DO21">
        <f t="shared" si="95"/>
        <v>68.663423449235694</v>
      </c>
      <c r="DP21">
        <f t="shared" si="95"/>
        <v>67.710132787730288</v>
      </c>
      <c r="DQ21">
        <f t="shared" si="95"/>
        <v>65.573109109313535</v>
      </c>
      <c r="DR21">
        <f t="shared" si="95"/>
        <v>67.490858731506052</v>
      </c>
      <c r="DS21">
        <f t="shared" si="95"/>
        <v>68.756153425432004</v>
      </c>
      <c r="DT21">
        <f t="shared" si="95"/>
        <v>67.762742967419229</v>
      </c>
      <c r="DU21">
        <f t="shared" si="95"/>
        <v>71.580959244402081</v>
      </c>
      <c r="DV21">
        <f t="shared" si="95"/>
        <v>71.320081958988823</v>
      </c>
      <c r="DW21">
        <f t="shared" si="95"/>
        <v>73.671551722931724</v>
      </c>
      <c r="DX21">
        <f t="shared" si="95"/>
        <v>73.178353128330187</v>
      </c>
      <c r="DY21">
        <f t="shared" si="95"/>
        <v>73.435304097809151</v>
      </c>
      <c r="DZ21">
        <f t="shared" si="95"/>
        <v>75.617283495797196</v>
      </c>
      <c r="EA21">
        <f t="shared" si="95"/>
        <v>72.717000419894475</v>
      </c>
      <c r="EB21">
        <f t="shared" si="95"/>
        <v>72.664916984848844</v>
      </c>
      <c r="EC21">
        <f t="shared" ref="EC21:GN21" si="96">EB21*(1+EC10)</f>
        <v>74.284248740754023</v>
      </c>
      <c r="ED21">
        <f t="shared" si="96"/>
        <v>74.439696379849366</v>
      </c>
      <c r="EE21">
        <f t="shared" si="96"/>
        <v>74.235436376630474</v>
      </c>
      <c r="EF21">
        <f t="shared" si="96"/>
        <v>74.096272240758722</v>
      </c>
      <c r="EG21">
        <f t="shared" si="96"/>
        <v>74.319010372629549</v>
      </c>
      <c r="EH21">
        <f t="shared" si="96"/>
        <v>73.510414437039842</v>
      </c>
      <c r="EI21">
        <f t="shared" si="96"/>
        <v>72.948917535137923</v>
      </c>
      <c r="EJ21">
        <f t="shared" si="96"/>
        <v>73.928763463747586</v>
      </c>
      <c r="EK21">
        <f t="shared" si="96"/>
        <v>73.872649569023181</v>
      </c>
      <c r="EL21">
        <f t="shared" si="96"/>
        <v>71.559324005631197</v>
      </c>
      <c r="EM21">
        <f t="shared" si="96"/>
        <v>73.709353916711407</v>
      </c>
      <c r="EN21">
        <f t="shared" si="96"/>
        <v>75.013820618157524</v>
      </c>
      <c r="EO21">
        <f t="shared" si="96"/>
        <v>74.909465113305785</v>
      </c>
      <c r="EP21">
        <f t="shared" si="96"/>
        <v>76.483724052926476</v>
      </c>
      <c r="EQ21">
        <f t="shared" si="96"/>
        <v>73.173225913942048</v>
      </c>
      <c r="ER21">
        <f t="shared" si="96"/>
        <v>70.865786862158856</v>
      </c>
      <c r="ES21">
        <f t="shared" si="96"/>
        <v>71.913918620881702</v>
      </c>
      <c r="ET21">
        <f t="shared" si="96"/>
        <v>70.535539002125006</v>
      </c>
      <c r="EU21">
        <f t="shared" si="96"/>
        <v>70.400346863069146</v>
      </c>
      <c r="EV21">
        <f t="shared" si="96"/>
        <v>70.978042581603262</v>
      </c>
      <c r="EW21">
        <f t="shared" si="96"/>
        <v>71.941867995258249</v>
      </c>
      <c r="EX21">
        <f t="shared" si="96"/>
        <v>73.439030437386464</v>
      </c>
      <c r="EY21">
        <f t="shared" si="96"/>
        <v>74.098991212370251</v>
      </c>
      <c r="EZ21">
        <f t="shared" si="96"/>
        <v>74.264504716143165</v>
      </c>
      <c r="FA21">
        <f t="shared" si="96"/>
        <v>73.886966707040543</v>
      </c>
      <c r="FB21">
        <f t="shared" si="96"/>
        <v>76.140796040939833</v>
      </c>
      <c r="FC21">
        <f t="shared" si="96"/>
        <v>78.314433539520522</v>
      </c>
      <c r="FD21">
        <f t="shared" si="96"/>
        <v>80.759127841698145</v>
      </c>
      <c r="FE21">
        <f t="shared" si="96"/>
        <v>76.964824927579187</v>
      </c>
      <c r="FF21">
        <f t="shared" si="96"/>
        <v>78.183862616185209</v>
      </c>
      <c r="FG21">
        <f t="shared" si="96"/>
        <v>79.477037725666861</v>
      </c>
      <c r="FH21">
        <f t="shared" si="96"/>
        <v>80.12210076224666</v>
      </c>
      <c r="FI21">
        <f t="shared" si="96"/>
        <v>82.919876918971241</v>
      </c>
      <c r="FJ21">
        <f t="shared" si="96"/>
        <v>83.185894068448718</v>
      </c>
      <c r="FK21">
        <f t="shared" si="96"/>
        <v>82.628193374370895</v>
      </c>
      <c r="FL21">
        <f t="shared" si="96"/>
        <v>79.583417705998798</v>
      </c>
      <c r="FM21">
        <f t="shared" si="96"/>
        <v>82.541133870482568</v>
      </c>
      <c r="FN21">
        <f t="shared" si="96"/>
        <v>82.788110870389247</v>
      </c>
      <c r="FO21">
        <f t="shared" si="96"/>
        <v>80.042493782870579</v>
      </c>
      <c r="FP21">
        <f t="shared" si="96"/>
        <v>78.598055085718443</v>
      </c>
      <c r="FQ21">
        <f t="shared" si="96"/>
        <v>81.62735671636095</v>
      </c>
      <c r="FR21">
        <f t="shared" si="96"/>
        <v>80.976671718259468</v>
      </c>
      <c r="FS21">
        <f t="shared" si="96"/>
        <v>81.935036184788231</v>
      </c>
      <c r="FT21">
        <f t="shared" si="96"/>
        <v>82.008027083782437</v>
      </c>
      <c r="FU21">
        <f t="shared" si="96"/>
        <v>82.567350958470414</v>
      </c>
      <c r="FV21">
        <f t="shared" si="96"/>
        <v>82.380029655892358</v>
      </c>
      <c r="FW21">
        <f t="shared" si="96"/>
        <v>86.748568431486746</v>
      </c>
      <c r="FX21">
        <f t="shared" si="96"/>
        <v>85.98271011637884</v>
      </c>
      <c r="FY21">
        <f t="shared" si="96"/>
        <v>83.810949681684747</v>
      </c>
      <c r="FZ21">
        <f t="shared" si="96"/>
        <v>81.282572068910881</v>
      </c>
      <c r="GA21">
        <f t="shared" si="96"/>
        <v>79.364339265558229</v>
      </c>
      <c r="GB21">
        <f t="shared" si="96"/>
        <v>80.283277621198167</v>
      </c>
      <c r="GC21">
        <f t="shared" si="96"/>
        <v>76.150775527014929</v>
      </c>
      <c r="GD21">
        <f t="shared" si="96"/>
        <v>74.994966055214263</v>
      </c>
      <c r="GE21">
        <f t="shared" si="96"/>
        <v>72.633300653314237</v>
      </c>
      <c r="GF21">
        <f t="shared" si="96"/>
        <v>70.475513715714598</v>
      </c>
      <c r="GG21">
        <f t="shared" si="96"/>
        <v>71.478194148017877</v>
      </c>
      <c r="GH21">
        <f t="shared" si="96"/>
        <v>69.374647584981915</v>
      </c>
      <c r="GI21">
        <f t="shared" si="96"/>
        <v>67.623188607910933</v>
      </c>
      <c r="GJ21">
        <f t="shared" si="96"/>
        <v>70.136298728195612</v>
      </c>
      <c r="GK21">
        <f t="shared" si="96"/>
        <v>72.067029977806143</v>
      </c>
      <c r="GL21">
        <f t="shared" si="96"/>
        <v>71.717873473440022</v>
      </c>
      <c r="GM21">
        <f t="shared" si="96"/>
        <v>71.267149219274927</v>
      </c>
      <c r="GN21">
        <f t="shared" si="96"/>
        <v>73.409870173461215</v>
      </c>
      <c r="GO21">
        <f t="shared" ref="GO21:IZ21" si="97">GN21*(1+GO10)</f>
        <v>71.868927487079489</v>
      </c>
      <c r="GP21">
        <f t="shared" si="97"/>
        <v>72.42512233067157</v>
      </c>
      <c r="GQ21">
        <f t="shared" si="97"/>
        <v>73.060624862629894</v>
      </c>
      <c r="GR21">
        <f t="shared" si="97"/>
        <v>71.870232977788163</v>
      </c>
      <c r="GS21">
        <f t="shared" si="97"/>
        <v>74.222280702135564</v>
      </c>
      <c r="GT21">
        <f t="shared" si="97"/>
        <v>73.95760418337639</v>
      </c>
      <c r="GU21">
        <f t="shared" si="97"/>
        <v>74.589642697761761</v>
      </c>
      <c r="GV21">
        <f t="shared" si="97"/>
        <v>75.403381169057511</v>
      </c>
      <c r="GW21">
        <f t="shared" si="97"/>
        <v>73.686984496669353</v>
      </c>
      <c r="GX21">
        <f t="shared" si="97"/>
        <v>72.495170453523272</v>
      </c>
      <c r="GY21">
        <f t="shared" si="97"/>
        <v>72.74663459084104</v>
      </c>
      <c r="GZ21">
        <f t="shared" si="97"/>
        <v>71.570816129305626</v>
      </c>
      <c r="HA21">
        <f t="shared" si="97"/>
        <v>69.292918080273282</v>
      </c>
      <c r="HB21">
        <f t="shared" si="97"/>
        <v>71.525108826816336</v>
      </c>
      <c r="HC21">
        <f t="shared" si="97"/>
        <v>70.445575801230973</v>
      </c>
      <c r="HD21">
        <f t="shared" si="97"/>
        <v>70.008307453042548</v>
      </c>
      <c r="HE21">
        <f t="shared" si="97"/>
        <v>71.366811175465784</v>
      </c>
      <c r="HF21">
        <f t="shared" si="97"/>
        <v>69.940767993378401</v>
      </c>
      <c r="HG21">
        <f t="shared" si="97"/>
        <v>67.349269953924562</v>
      </c>
      <c r="HH21">
        <f t="shared" si="97"/>
        <v>67.912207076565366</v>
      </c>
      <c r="HI21">
        <f t="shared" si="97"/>
        <v>68.83177338483047</v>
      </c>
      <c r="HJ21">
        <f t="shared" si="97"/>
        <v>68.853677516914246</v>
      </c>
      <c r="HK21">
        <f t="shared" si="97"/>
        <v>67.910409594864149</v>
      </c>
      <c r="HL21">
        <f t="shared" si="97"/>
        <v>67.296579040673322</v>
      </c>
      <c r="HM21">
        <f t="shared" si="97"/>
        <v>68.152779738633626</v>
      </c>
      <c r="HN21">
        <f t="shared" si="97"/>
        <v>69.565871410173173</v>
      </c>
      <c r="HO21">
        <f t="shared" si="97"/>
        <v>69.91517813968963</v>
      </c>
      <c r="HP21">
        <f t="shared" si="97"/>
        <v>72.967713885431735</v>
      </c>
      <c r="HQ21">
        <f t="shared" si="97"/>
        <v>72.404093136696915</v>
      </c>
      <c r="HR21">
        <f t="shared" si="97"/>
        <v>72.113111032981365</v>
      </c>
      <c r="HS21">
        <f t="shared" si="97"/>
        <v>73.225239572735077</v>
      </c>
      <c r="HT21">
        <f t="shared" si="97"/>
        <v>73.692985630099344</v>
      </c>
      <c r="HU21">
        <f t="shared" si="97"/>
        <v>72.624359279182869</v>
      </c>
      <c r="HV21">
        <f t="shared" si="97"/>
        <v>70.13853272554293</v>
      </c>
      <c r="HW21">
        <f t="shared" si="97"/>
        <v>71.572928658855886</v>
      </c>
      <c r="HX21">
        <f t="shared" si="97"/>
        <v>71.599947447048621</v>
      </c>
      <c r="HY21">
        <f t="shared" si="97"/>
        <v>71.224176532470565</v>
      </c>
      <c r="HZ21">
        <f t="shared" si="97"/>
        <v>65.640964882959949</v>
      </c>
      <c r="IA21">
        <f t="shared" si="97"/>
        <v>63.896366372704961</v>
      </c>
      <c r="IB21">
        <f t="shared" si="97"/>
        <v>66.934101237112358</v>
      </c>
      <c r="IC21">
        <f t="shared" si="97"/>
        <v>64.065050709850638</v>
      </c>
      <c r="ID21">
        <f t="shared" si="97"/>
        <v>67.130248791625746</v>
      </c>
      <c r="IE21">
        <f t="shared" si="97"/>
        <v>68.721173049262887</v>
      </c>
      <c r="IF21">
        <f t="shared" si="97"/>
        <v>70.463017209632241</v>
      </c>
      <c r="IG21">
        <f t="shared" si="97"/>
        <v>69.295303052566524</v>
      </c>
      <c r="IH21">
        <f t="shared" si="97"/>
        <v>71.540256987274873</v>
      </c>
      <c r="II21">
        <f t="shared" si="97"/>
        <v>72.56426578379363</v>
      </c>
      <c r="IJ21">
        <f t="shared" si="97"/>
        <v>68.27662094948623</v>
      </c>
      <c r="IK21">
        <f t="shared" si="97"/>
        <v>68.797160127871408</v>
      </c>
      <c r="IL21">
        <f t="shared" si="97"/>
        <v>68.751828567895473</v>
      </c>
      <c r="IM21">
        <f t="shared" si="97"/>
        <v>69.053171611414953</v>
      </c>
      <c r="IN21">
        <f t="shared" si="97"/>
        <v>68.879319643589099</v>
      </c>
      <c r="IO21">
        <f t="shared" si="97"/>
        <v>66.316694163180529</v>
      </c>
      <c r="IP21">
        <f t="shared" si="97"/>
        <v>68.934706174553128</v>
      </c>
      <c r="IQ21">
        <f t="shared" si="97"/>
        <v>71.297042318850572</v>
      </c>
      <c r="IR21">
        <f t="shared" si="97"/>
        <v>71.30078130564651</v>
      </c>
      <c r="IS21">
        <f t="shared" si="97"/>
        <v>74.311266505630101</v>
      </c>
      <c r="IT21">
        <f t="shared" si="97"/>
        <v>72.394115332583496</v>
      </c>
      <c r="IU21">
        <f t="shared" si="97"/>
        <v>70.632435304884325</v>
      </c>
      <c r="IV21">
        <f t="shared" si="97"/>
        <v>71.706976768452989</v>
      </c>
      <c r="IW21">
        <f t="shared" si="97"/>
        <v>71.225969432645499</v>
      </c>
      <c r="IX21">
        <f t="shared" si="97"/>
        <v>70.623644941232683</v>
      </c>
      <c r="IY21">
        <f t="shared" si="97"/>
        <v>69.924595606444427</v>
      </c>
      <c r="IZ21">
        <f t="shared" si="97"/>
        <v>67.916256738482247</v>
      </c>
      <c r="JA21">
        <f t="shared" ref="JA21:LL21" si="98">IZ21*(1+JA10)</f>
        <v>72.254591899052912</v>
      </c>
      <c r="JB21">
        <f t="shared" si="98"/>
        <v>74.665993977149157</v>
      </c>
      <c r="JC21">
        <f t="shared" si="98"/>
        <v>74.295054402670701</v>
      </c>
      <c r="JD21">
        <f t="shared" si="98"/>
        <v>77.554142224097049</v>
      </c>
      <c r="JE21">
        <f t="shared" si="98"/>
        <v>78.208632665809034</v>
      </c>
      <c r="JF21">
        <f t="shared" si="98"/>
        <v>82.140174132733691</v>
      </c>
      <c r="JG21">
        <f t="shared" si="98"/>
        <v>81.47864367458061</v>
      </c>
      <c r="JH21">
        <f t="shared" si="98"/>
        <v>80.650340748287476</v>
      </c>
      <c r="JI21">
        <f t="shared" si="98"/>
        <v>76.556731227658858</v>
      </c>
      <c r="JJ21">
        <f t="shared" si="98"/>
        <v>72.930134971299381</v>
      </c>
      <c r="JK21">
        <f t="shared" si="98"/>
        <v>70.626660433330983</v>
      </c>
      <c r="JL21">
        <f t="shared" si="98"/>
        <v>69.672209736910162</v>
      </c>
      <c r="JM21">
        <f t="shared" si="98"/>
        <v>71.076877356384529</v>
      </c>
      <c r="JN21">
        <f t="shared" si="98"/>
        <v>70.59370130107763</v>
      </c>
      <c r="JO21">
        <f t="shared" si="98"/>
        <v>68.483273448034865</v>
      </c>
      <c r="JP21">
        <f t="shared" si="98"/>
        <v>67.112353970594626</v>
      </c>
      <c r="JQ21">
        <f t="shared" si="98"/>
        <v>67.777056678558608</v>
      </c>
      <c r="JR21">
        <f t="shared" si="98"/>
        <v>67.072443564249198</v>
      </c>
      <c r="JS21">
        <f t="shared" si="98"/>
        <v>66.472760139958339</v>
      </c>
      <c r="JT21">
        <f t="shared" si="98"/>
        <v>64.948818767423404</v>
      </c>
      <c r="JU21">
        <f t="shared" si="98"/>
        <v>59.545277332928741</v>
      </c>
      <c r="JV21">
        <f t="shared" si="98"/>
        <v>49.051253377569807</v>
      </c>
      <c r="JW21">
        <f t="shared" si="98"/>
        <v>50.004698505465115</v>
      </c>
      <c r="JX21">
        <f t="shared" si="98"/>
        <v>55.77128202391409</v>
      </c>
      <c r="JY21">
        <f t="shared" si="98"/>
        <v>54.055396063871967</v>
      </c>
      <c r="JZ21">
        <f t="shared" si="98"/>
        <v>51.969903421529352</v>
      </c>
      <c r="KA21">
        <f t="shared" si="98"/>
        <v>49.373943354836172</v>
      </c>
      <c r="KB21">
        <f t="shared" si="98"/>
        <v>48.180479885741931</v>
      </c>
      <c r="KC21">
        <f t="shared" si="98"/>
        <v>52.938810028732682</v>
      </c>
      <c r="KD21">
        <f t="shared" si="98"/>
        <v>52.19446974629664</v>
      </c>
      <c r="KE21">
        <f t="shared" si="98"/>
        <v>49.337577933886806</v>
      </c>
      <c r="KF21">
        <f t="shared" si="98"/>
        <v>47.789121645897112</v>
      </c>
      <c r="KG21">
        <f t="shared" si="98"/>
        <v>41.831599876369673</v>
      </c>
      <c r="KH21">
        <f t="shared" si="98"/>
        <v>50.366517342127132</v>
      </c>
      <c r="KI21">
        <f t="shared" si="98"/>
        <v>51.675264484293891</v>
      </c>
      <c r="KJ21">
        <f t="shared" si="98"/>
        <v>50.435892857406728</v>
      </c>
      <c r="KK21">
        <f t="shared" si="98"/>
        <v>50.571625279178214</v>
      </c>
      <c r="KL21">
        <f t="shared" si="98"/>
        <v>50.633448033359123</v>
      </c>
      <c r="KM21">
        <f t="shared" si="98"/>
        <v>49.661399547920126</v>
      </c>
      <c r="KN21">
        <f t="shared" si="98"/>
        <v>50.027471481288302</v>
      </c>
      <c r="KO21">
        <f t="shared" si="98"/>
        <v>52.364707717809175</v>
      </c>
      <c r="KP21">
        <f t="shared" si="98"/>
        <v>52.960582466249008</v>
      </c>
      <c r="KQ21">
        <f t="shared" si="98"/>
        <v>51.286655914835023</v>
      </c>
      <c r="KR21">
        <f t="shared" si="98"/>
        <v>50.962407469486294</v>
      </c>
      <c r="KS21">
        <f t="shared" si="98"/>
        <v>51.472748821498783</v>
      </c>
      <c r="KT21">
        <f t="shared" si="98"/>
        <v>51.984818736371693</v>
      </c>
      <c r="KU21">
        <f t="shared" si="98"/>
        <v>51.876087199997265</v>
      </c>
      <c r="KV21">
        <f t="shared" si="98"/>
        <v>48.202850941546608</v>
      </c>
      <c r="KW21">
        <f t="shared" si="98"/>
        <v>49.558118234773787</v>
      </c>
      <c r="KX21">
        <f t="shared" si="98"/>
        <v>46.753659840688094</v>
      </c>
      <c r="KY21">
        <f t="shared" si="98"/>
        <v>49.285525945187032</v>
      </c>
      <c r="KZ21">
        <f t="shared" si="98"/>
        <v>46.241208965348847</v>
      </c>
      <c r="LA21">
        <f t="shared" si="98"/>
        <v>45.413899867805057</v>
      </c>
      <c r="LB21">
        <f t="shared" si="98"/>
        <v>45.589616964514683</v>
      </c>
      <c r="LC21">
        <f t="shared" si="98"/>
        <v>49.631148833710753</v>
      </c>
      <c r="LD21">
        <f t="shared" si="98"/>
        <v>50.246957352999772</v>
      </c>
      <c r="LE21">
        <f t="shared" si="98"/>
        <v>52.23785911755418</v>
      </c>
      <c r="LF21">
        <f t="shared" si="98"/>
        <v>50.528612181391779</v>
      </c>
      <c r="LG21">
        <f t="shared" si="98"/>
        <v>49.255592156953675</v>
      </c>
      <c r="LH21">
        <f t="shared" si="98"/>
        <v>51.74620198985874</v>
      </c>
      <c r="LI21">
        <f t="shared" si="98"/>
        <v>52.261644408661425</v>
      </c>
      <c r="LJ21">
        <f t="shared" si="98"/>
        <v>52.633793178015104</v>
      </c>
      <c r="LK21">
        <f t="shared" si="98"/>
        <v>53.439451594121401</v>
      </c>
      <c r="LL21">
        <f t="shared" si="98"/>
        <v>54.1130006328858</v>
      </c>
      <c r="LM21">
        <f t="shared" ref="LM21:NX21" si="99">LL21*(1+LM10)</f>
        <v>52.612702683625358</v>
      </c>
      <c r="LN21">
        <f t="shared" si="99"/>
        <v>51.550751002274836</v>
      </c>
      <c r="LO21">
        <f t="shared" si="99"/>
        <v>49.465834575158091</v>
      </c>
      <c r="LP21">
        <f t="shared" si="99"/>
        <v>50.402456395286379</v>
      </c>
      <c r="LQ21">
        <f t="shared" si="99"/>
        <v>49.030377770584039</v>
      </c>
      <c r="LR21">
        <f t="shared" si="99"/>
        <v>48.39717709577117</v>
      </c>
      <c r="LS21">
        <f t="shared" si="99"/>
        <v>48.290363096387502</v>
      </c>
      <c r="LT21">
        <f t="shared" si="99"/>
        <v>47.064368092704719</v>
      </c>
      <c r="LU21">
        <f t="shared" si="99"/>
        <v>46.933292820437309</v>
      </c>
      <c r="LV21">
        <f t="shared" si="99"/>
        <v>48.288043016223909</v>
      </c>
      <c r="LW21">
        <f t="shared" si="99"/>
        <v>48.735068580043695</v>
      </c>
      <c r="LX21">
        <f t="shared" si="99"/>
        <v>48.331711279899942</v>
      </c>
      <c r="LY21">
        <f t="shared" si="99"/>
        <v>47.024113200965786</v>
      </c>
      <c r="LZ21">
        <f t="shared" si="99"/>
        <v>49.543689634859469</v>
      </c>
      <c r="MA21">
        <f t="shared" si="99"/>
        <v>50.273217619277133</v>
      </c>
      <c r="MB21">
        <f t="shared" si="99"/>
        <v>50.717119378907498</v>
      </c>
      <c r="MC21">
        <f t="shared" si="99"/>
        <v>52.064323276320174</v>
      </c>
      <c r="MD21">
        <f t="shared" si="99"/>
        <v>51.185905173872854</v>
      </c>
      <c r="ME21">
        <f t="shared" si="99"/>
        <v>51.783185072936689</v>
      </c>
      <c r="MF21">
        <f t="shared" si="99"/>
        <v>51.441569794988418</v>
      </c>
      <c r="MG21">
        <f t="shared" si="99"/>
        <v>50.711789627478289</v>
      </c>
      <c r="MH21">
        <f t="shared" si="99"/>
        <v>52.269489034058083</v>
      </c>
      <c r="MI21">
        <f t="shared" si="99"/>
        <v>50.912150286562856</v>
      </c>
      <c r="MJ21">
        <f t="shared" si="99"/>
        <v>50.922357374083127</v>
      </c>
      <c r="MK21">
        <f t="shared" si="99"/>
        <v>50.180496119661406</v>
      </c>
      <c r="ML21">
        <f t="shared" si="99"/>
        <v>49.770592618102292</v>
      </c>
      <c r="MM21">
        <f t="shared" si="99"/>
        <v>50.265821969143076</v>
      </c>
      <c r="MN21">
        <f t="shared" si="99"/>
        <v>50.382253065132467</v>
      </c>
      <c r="MO21">
        <f t="shared" si="99"/>
        <v>51.020699826375278</v>
      </c>
      <c r="MP21">
        <f t="shared" si="99"/>
        <v>51.125275043301038</v>
      </c>
      <c r="MQ21">
        <f t="shared" si="99"/>
        <v>49.728409165764845</v>
      </c>
      <c r="MR21">
        <f t="shared" si="99"/>
        <v>48.418498228384657</v>
      </c>
      <c r="MS21">
        <f t="shared" si="99"/>
        <v>48.04895991884004</v>
      </c>
      <c r="MT21">
        <f t="shared" si="99"/>
        <v>46.633199077073918</v>
      </c>
      <c r="MU21">
        <f t="shared" si="99"/>
        <v>48.119386140065451</v>
      </c>
      <c r="MV21">
        <f t="shared" si="99"/>
        <v>48.099949959534293</v>
      </c>
      <c r="MW21">
        <f t="shared" si="99"/>
        <v>49.170223301230308</v>
      </c>
      <c r="MX21">
        <f t="shared" si="99"/>
        <v>48.891966545993192</v>
      </c>
      <c r="MY21">
        <f t="shared" si="99"/>
        <v>48.80193616200765</v>
      </c>
      <c r="MZ21">
        <f t="shared" si="99"/>
        <v>47.956519953171941</v>
      </c>
      <c r="NA21">
        <f t="shared" si="99"/>
        <v>46.611689072316707</v>
      </c>
      <c r="NB21">
        <f t="shared" si="99"/>
        <v>48.620025387593707</v>
      </c>
      <c r="NC21">
        <f t="shared" si="99"/>
        <v>46.671942331801695</v>
      </c>
      <c r="ND21">
        <f t="shared" si="99"/>
        <v>48.123711768711395</v>
      </c>
      <c r="NE21">
        <f t="shared" si="99"/>
        <v>47.090138776556081</v>
      </c>
      <c r="NF21">
        <f t="shared" si="99"/>
        <v>46.097262556779135</v>
      </c>
      <c r="NG21">
        <f t="shared" si="99"/>
        <v>46.903480673373849</v>
      </c>
      <c r="NH21">
        <f t="shared" si="99"/>
        <v>46.289576209702368</v>
      </c>
      <c r="NI21">
        <f t="shared" si="99"/>
        <v>46.7128072804556</v>
      </c>
      <c r="NJ21">
        <f t="shared" si="99"/>
        <v>43.740207058173759</v>
      </c>
      <c r="NK21">
        <f t="shared" si="99"/>
        <v>44.701069003206086</v>
      </c>
      <c r="NL21">
        <f t="shared" si="99"/>
        <v>43.630182443830023</v>
      </c>
      <c r="NM21">
        <f t="shared" si="99"/>
        <v>43.458687293875009</v>
      </c>
      <c r="NN21">
        <f t="shared" si="99"/>
        <v>43.438165161864944</v>
      </c>
      <c r="NO21">
        <f t="shared" si="99"/>
        <v>44.128543000110923</v>
      </c>
      <c r="NP21">
        <f t="shared" si="99"/>
        <v>45.015644896879749</v>
      </c>
      <c r="NQ21">
        <f t="shared" si="99"/>
        <v>45.288742127378868</v>
      </c>
      <c r="NR21">
        <f t="shared" si="99"/>
        <v>45.0317924686399</v>
      </c>
      <c r="NS21">
        <f t="shared" si="99"/>
        <v>44.431552751644489</v>
      </c>
      <c r="NT21">
        <f t="shared" si="99"/>
        <v>45.908177966947427</v>
      </c>
      <c r="NU21">
        <f t="shared" si="99"/>
        <v>45.189007133661057</v>
      </c>
      <c r="NV21">
        <f t="shared" si="99"/>
        <v>43.436026855092912</v>
      </c>
      <c r="NW21">
        <f t="shared" si="99"/>
        <v>44.225115950995679</v>
      </c>
      <c r="NX21">
        <f t="shared" si="99"/>
        <v>44.645346559549203</v>
      </c>
      <c r="NY21">
        <f t="shared" ref="NY21:QJ21" si="100">NX21*(1+NY10)</f>
        <v>44.979914384302184</v>
      </c>
      <c r="NZ21">
        <f t="shared" si="100"/>
        <v>45.689871981165147</v>
      </c>
      <c r="OA21">
        <f t="shared" si="100"/>
        <v>45.085153652429803</v>
      </c>
      <c r="OB21">
        <f t="shared" si="100"/>
        <v>45.880752076382393</v>
      </c>
      <c r="OC21">
        <f t="shared" si="100"/>
        <v>46.112969546426434</v>
      </c>
      <c r="OD21">
        <f t="shared" si="100"/>
        <v>46.359779465734967</v>
      </c>
      <c r="OE21">
        <f t="shared" si="100"/>
        <v>44.306376789725775</v>
      </c>
      <c r="OF21">
        <f t="shared" si="100"/>
        <v>44.527272377982726</v>
      </c>
      <c r="OG21">
        <f t="shared" si="100"/>
        <v>45.954443307917792</v>
      </c>
      <c r="OH21">
        <f t="shared" si="100"/>
        <v>44.29380827076168</v>
      </c>
      <c r="OI21">
        <f t="shared" si="100"/>
        <v>43.586626743384798</v>
      </c>
      <c r="OJ21">
        <f t="shared" si="100"/>
        <v>42.381700583356491</v>
      </c>
      <c r="OK21">
        <f t="shared" si="100"/>
        <v>42.052688926798055</v>
      </c>
      <c r="OL21">
        <f t="shared" si="100"/>
        <v>39.784231929498176</v>
      </c>
      <c r="OM21">
        <f t="shared" si="100"/>
        <v>40.11654339320058</v>
      </c>
      <c r="ON21">
        <f t="shared" si="100"/>
        <v>39.04805822498372</v>
      </c>
      <c r="OO21">
        <f t="shared" si="100"/>
        <v>39.606359366633725</v>
      </c>
      <c r="OP21">
        <f t="shared" si="100"/>
        <v>40.797736816463065</v>
      </c>
      <c r="OQ21">
        <f t="shared" si="100"/>
        <v>41.322477944056281</v>
      </c>
      <c r="OR21">
        <f t="shared" si="100"/>
        <v>40.183235245182217</v>
      </c>
      <c r="OS21">
        <f t="shared" si="100"/>
        <v>40.124973724188074</v>
      </c>
      <c r="OT21">
        <f t="shared" si="100"/>
        <v>39.796921179011733</v>
      </c>
      <c r="OU21">
        <f t="shared" si="100"/>
        <v>40.26366963372066</v>
      </c>
      <c r="OV21">
        <f t="shared" si="100"/>
        <v>39.861309928017121</v>
      </c>
      <c r="OW21">
        <f t="shared" si="100"/>
        <v>40.610390669771128</v>
      </c>
      <c r="OX21">
        <f t="shared" si="100"/>
        <v>38.902967363265589</v>
      </c>
      <c r="OY21">
        <f t="shared" si="100"/>
        <v>40.294883729171744</v>
      </c>
      <c r="OZ21">
        <f t="shared" si="100"/>
        <v>41.228292962796949</v>
      </c>
      <c r="PA21">
        <f t="shared" si="100"/>
        <v>41.412241076145285</v>
      </c>
      <c r="PB21">
        <f t="shared" si="100"/>
        <v>40.611627317749729</v>
      </c>
      <c r="PC21">
        <f t="shared" si="100"/>
        <v>42.180010601120799</v>
      </c>
      <c r="PD21">
        <f t="shared" si="100"/>
        <v>41.670767230816992</v>
      </c>
      <c r="PE21">
        <f t="shared" si="100"/>
        <v>39.933747239703884</v>
      </c>
      <c r="PF21">
        <f t="shared" si="100"/>
        <v>40.852822230389322</v>
      </c>
      <c r="PG21">
        <f t="shared" si="100"/>
        <v>41.278097054789072</v>
      </c>
      <c r="PH21">
        <f t="shared" si="100"/>
        <v>41.551765470197033</v>
      </c>
      <c r="PI21">
        <f t="shared" si="100"/>
        <v>41.176683729515695</v>
      </c>
      <c r="PJ21">
        <f t="shared" si="100"/>
        <v>39.878942802615022</v>
      </c>
      <c r="PK21">
        <f t="shared" si="100"/>
        <v>47.335973038854839</v>
      </c>
      <c r="PL21">
        <f t="shared" si="100"/>
        <v>47.227006556006053</v>
      </c>
      <c r="PM21">
        <f t="shared" si="100"/>
        <v>44.6848216816865</v>
      </c>
      <c r="PN21">
        <f t="shared" si="100"/>
        <v>43.780666662482396</v>
      </c>
      <c r="PO21">
        <f t="shared" si="100"/>
        <v>43.013253036516367</v>
      </c>
      <c r="PP21">
        <f t="shared" si="100"/>
        <v>41.64193869463638</v>
      </c>
      <c r="PQ21">
        <f t="shared" si="100"/>
        <v>45.853197901468775</v>
      </c>
      <c r="PR21">
        <f t="shared" si="100"/>
        <v>48.412302559111126</v>
      </c>
      <c r="PS21">
        <f t="shared" si="100"/>
        <v>48.283811288678145</v>
      </c>
      <c r="PT21">
        <f t="shared" si="100"/>
        <v>50.096270476395901</v>
      </c>
      <c r="PU21">
        <f t="shared" si="100"/>
        <v>51.50383970236755</v>
      </c>
      <c r="PV21">
        <f t="shared" si="100"/>
        <v>50.740529508574049</v>
      </c>
      <c r="PW21">
        <f t="shared" si="100"/>
        <v>50.515674406771403</v>
      </c>
      <c r="PX21">
        <f t="shared" si="100"/>
        <v>50.198968851288086</v>
      </c>
      <c r="PY21">
        <f t="shared" si="100"/>
        <v>50.44440417599386</v>
      </c>
      <c r="PZ21">
        <f t="shared" si="100"/>
        <v>50.438115668300924</v>
      </c>
      <c r="QA21">
        <f t="shared" si="100"/>
        <v>50.483598186733573</v>
      </c>
      <c r="QB21">
        <f t="shared" si="100"/>
        <v>51.499307208254521</v>
      </c>
      <c r="QC21">
        <f t="shared" si="100"/>
        <v>52.641441618013232</v>
      </c>
      <c r="QD21">
        <f t="shared" si="100"/>
        <v>51.032468568590289</v>
      </c>
      <c r="QE21">
        <f t="shared" si="100"/>
        <v>52.8383490697151</v>
      </c>
      <c r="QF21">
        <f t="shared" si="100"/>
        <v>52.964789452026814</v>
      </c>
      <c r="QG21">
        <f t="shared" si="100"/>
        <v>53.235932575614051</v>
      </c>
      <c r="QH21">
        <f t="shared" si="100"/>
        <v>56.350358032172359</v>
      </c>
      <c r="QI21">
        <f t="shared" si="100"/>
        <v>58.267723745357308</v>
      </c>
      <c r="QJ21">
        <f t="shared" si="100"/>
        <v>59.184434719030747</v>
      </c>
      <c r="QK21">
        <f t="shared" ref="QK21:SV21" si="101">QJ21*(1+QK10)</f>
        <v>59.703242268765123</v>
      </c>
      <c r="QL21">
        <f t="shared" si="101"/>
        <v>57.530823880305171</v>
      </c>
      <c r="QM21">
        <f t="shared" si="101"/>
        <v>59.278738632420584</v>
      </c>
      <c r="QN21">
        <f t="shared" si="101"/>
        <v>58.766155786332206</v>
      </c>
      <c r="QO21">
        <f t="shared" si="101"/>
        <v>59.246424670773912</v>
      </c>
      <c r="QP21">
        <f t="shared" si="101"/>
        <v>59.455008892848795</v>
      </c>
      <c r="QQ21">
        <f t="shared" si="101"/>
        <v>59.324462056527842</v>
      </c>
      <c r="QR21">
        <f t="shared" si="101"/>
        <v>59.39654150565547</v>
      </c>
      <c r="QS21">
        <f t="shared" si="101"/>
        <v>58.712303529633253</v>
      </c>
      <c r="QT21">
        <f t="shared" si="101"/>
        <v>55.818768054251613</v>
      </c>
      <c r="QU21">
        <f t="shared" si="101"/>
        <v>56.282126740247492</v>
      </c>
      <c r="QV21">
        <f t="shared" si="101"/>
        <v>56.120310750128745</v>
      </c>
      <c r="QW21">
        <f t="shared" si="101"/>
        <v>56.550040083517381</v>
      </c>
      <c r="QX21">
        <f t="shared" si="101"/>
        <v>55.542524483816358</v>
      </c>
      <c r="QY21">
        <f t="shared" si="101"/>
        <v>54.86323907081713</v>
      </c>
      <c r="QZ21">
        <f t="shared" si="101"/>
        <v>56.730948425707794</v>
      </c>
      <c r="RA21">
        <f t="shared" si="101"/>
        <v>56.548057693755162</v>
      </c>
      <c r="RB21">
        <f t="shared" si="101"/>
        <v>55.216749432459167</v>
      </c>
      <c r="RC21">
        <f t="shared" si="101"/>
        <v>55.812154597017859</v>
      </c>
      <c r="RD21">
        <f t="shared" si="101"/>
        <v>53.923822083820255</v>
      </c>
      <c r="RE21">
        <f t="shared" si="101"/>
        <v>54.251054059130681</v>
      </c>
      <c r="RF21">
        <f t="shared" si="101"/>
        <v>51.380929874375255</v>
      </c>
      <c r="RG21">
        <f t="shared" si="101"/>
        <v>51.655248762306002</v>
      </c>
      <c r="RH21">
        <f t="shared" si="101"/>
        <v>58.083212000834649</v>
      </c>
      <c r="RI21">
        <f t="shared" si="101"/>
        <v>59.182755440220717</v>
      </c>
      <c r="RJ21">
        <f t="shared" si="101"/>
        <v>62.156278121841517</v>
      </c>
      <c r="RK21">
        <f t="shared" si="101"/>
        <v>63.026541445308098</v>
      </c>
      <c r="RL21">
        <f t="shared" si="101"/>
        <v>64.174444935424802</v>
      </c>
      <c r="RM21">
        <f t="shared" si="101"/>
        <v>68.409713368739475</v>
      </c>
      <c r="RN21">
        <f t="shared" si="101"/>
        <v>69.937265458984115</v>
      </c>
      <c r="RO21">
        <f t="shared" si="101"/>
        <v>68.631876505800648</v>
      </c>
      <c r="RP21">
        <f t="shared" si="101"/>
        <v>66.795869191675905</v>
      </c>
      <c r="RQ21">
        <f t="shared" si="101"/>
        <v>66.794349613843096</v>
      </c>
      <c r="RR21">
        <f t="shared" si="101"/>
        <v>69.891790908072323</v>
      </c>
      <c r="RS21">
        <f t="shared" si="101"/>
        <v>70.736068717680695</v>
      </c>
      <c r="RT21">
        <f t="shared" si="101"/>
        <v>72.009687114145308</v>
      </c>
      <c r="RU21">
        <f t="shared" si="101"/>
        <v>72.134121611876125</v>
      </c>
      <c r="RV21">
        <f t="shared" si="101"/>
        <v>74.494382069310063</v>
      </c>
      <c r="RW21">
        <f t="shared" si="101"/>
        <v>76.05372724572895</v>
      </c>
      <c r="RX21">
        <f t="shared" si="101"/>
        <v>77.047158129313345</v>
      </c>
      <c r="RY21">
        <f t="shared" si="101"/>
        <v>75.983968941374286</v>
      </c>
      <c r="RZ21">
        <f t="shared" si="101"/>
        <v>74.65650166548744</v>
      </c>
      <c r="SA21">
        <f t="shared" si="101"/>
        <v>77.118339750491984</v>
      </c>
      <c r="SB21">
        <f t="shared" si="101"/>
        <v>77.055625675404116</v>
      </c>
      <c r="SC21">
        <f t="shared" si="101"/>
        <v>71.794201619181592</v>
      </c>
      <c r="SD21">
        <f t="shared" si="101"/>
        <v>72.919270287210111</v>
      </c>
      <c r="SE21">
        <f t="shared" si="101"/>
        <v>74.293001367313806</v>
      </c>
      <c r="SF21">
        <f t="shared" si="101"/>
        <v>78.248213918396701</v>
      </c>
      <c r="SG21">
        <f t="shared" si="101"/>
        <v>76.018473868316846</v>
      </c>
      <c r="SH21">
        <f t="shared" si="101"/>
        <v>72.095499241578736</v>
      </c>
      <c r="SI21">
        <f t="shared" si="101"/>
        <v>71.369494591480702</v>
      </c>
      <c r="SJ21">
        <f t="shared" si="101"/>
        <v>69.279962329069718</v>
      </c>
      <c r="SK21">
        <f t="shared" si="101"/>
        <v>51.935271807060644</v>
      </c>
      <c r="SL21">
        <f t="shared" si="101"/>
        <v>56.74698414909895</v>
      </c>
      <c r="SM21">
        <f t="shared" si="101"/>
        <v>54.631866114152523</v>
      </c>
      <c r="SN21">
        <f t="shared" si="101"/>
        <v>58.501109073430854</v>
      </c>
      <c r="SO21">
        <f t="shared" si="101"/>
        <v>56.844231423854161</v>
      </c>
      <c r="SP21">
        <f t="shared" si="101"/>
        <v>51.53024167344924</v>
      </c>
      <c r="SQ21">
        <f t="shared" si="101"/>
        <v>53.937777605931828</v>
      </c>
      <c r="SR21">
        <f t="shared" si="101"/>
        <v>52.20255099130901</v>
      </c>
      <c r="SS21">
        <f t="shared" si="101"/>
        <v>51.905463772421783</v>
      </c>
      <c r="ST21">
        <f t="shared" si="101"/>
        <v>55.747636459231778</v>
      </c>
      <c r="SU21">
        <f t="shared" si="101"/>
        <v>58.231345266202304</v>
      </c>
      <c r="SV21">
        <f t="shared" si="101"/>
        <v>62.258811158158537</v>
      </c>
      <c r="SW21">
        <f t="shared" ref="SW21:VH21" si="102">SV21*(1+SW10)</f>
        <v>58.106416681435697</v>
      </c>
      <c r="SX21">
        <f t="shared" si="102"/>
        <v>57.187252459660499</v>
      </c>
      <c r="SY21">
        <f t="shared" si="102"/>
        <v>56.546256659400377</v>
      </c>
      <c r="SZ21">
        <f t="shared" si="102"/>
        <v>54.348452437484887</v>
      </c>
      <c r="TA21">
        <f t="shared" si="102"/>
        <v>56.901848276807144</v>
      </c>
      <c r="TB21">
        <f t="shared" si="102"/>
        <v>56.369022598592437</v>
      </c>
      <c r="TC21">
        <f t="shared" si="102"/>
        <v>55.783050375319867</v>
      </c>
      <c r="TD21">
        <f t="shared" si="102"/>
        <v>53.143933244044341</v>
      </c>
      <c r="TE21">
        <f t="shared" si="102"/>
        <v>53.364075070332539</v>
      </c>
      <c r="TF21">
        <f t="shared" si="102"/>
        <v>56.893518595584545</v>
      </c>
      <c r="TG21">
        <f t="shared" si="102"/>
        <v>56.259843293188894</v>
      </c>
      <c r="TH21">
        <f t="shared" si="102"/>
        <v>55.147970714417561</v>
      </c>
      <c r="TI21">
        <f t="shared" si="102"/>
        <v>57.320186258934157</v>
      </c>
      <c r="TJ21">
        <f t="shared" si="102"/>
        <v>59.573288706072738</v>
      </c>
      <c r="TK21">
        <f t="shared" si="102"/>
        <v>59.425034549423955</v>
      </c>
      <c r="TL21">
        <f t="shared" si="102"/>
        <v>58.397730813094405</v>
      </c>
      <c r="TM21">
        <f t="shared" si="102"/>
        <v>58.64730842421649</v>
      </c>
      <c r="TN21">
        <f t="shared" si="102"/>
        <v>58.912059703357933</v>
      </c>
      <c r="TO21">
        <f t="shared" si="102"/>
        <v>62.497781182390966</v>
      </c>
      <c r="TP21">
        <f t="shared" si="102"/>
        <v>64.075385100773445</v>
      </c>
      <c r="TQ21">
        <f t="shared" si="102"/>
        <v>59.810499234410372</v>
      </c>
      <c r="TR21">
        <f t="shared" si="102"/>
        <v>60.922749979302864</v>
      </c>
      <c r="TS21">
        <f t="shared" si="102"/>
        <v>61.133731148565111</v>
      </c>
      <c r="TT21">
        <f t="shared" si="102"/>
        <v>65.323738508032108</v>
      </c>
      <c r="TU21">
        <f t="shared" si="102"/>
        <v>67.08114433308819</v>
      </c>
      <c r="TV21">
        <f t="shared" si="102"/>
        <v>65.610269298154535</v>
      </c>
      <c r="TW21">
        <f t="shared" si="102"/>
        <v>70.208071177616247</v>
      </c>
      <c r="TX21">
        <f t="shared" si="102"/>
        <v>72.179670268843694</v>
      </c>
      <c r="TY21">
        <f t="shared" si="102"/>
        <v>71.763323164408106</v>
      </c>
      <c r="TZ21">
        <f t="shared" si="102"/>
        <v>72.893874942170385</v>
      </c>
      <c r="UA21">
        <f t="shared" si="102"/>
        <v>69.18553458438852</v>
      </c>
      <c r="UB21">
        <f t="shared" si="102"/>
        <v>70.525472067858189</v>
      </c>
      <c r="UC21">
        <f t="shared" si="102"/>
        <v>71.681937435671443</v>
      </c>
      <c r="UD21">
        <f t="shared" si="102"/>
        <v>69.29105211591002</v>
      </c>
      <c r="UE21">
        <f t="shared" si="102"/>
        <v>73.74414853378434</v>
      </c>
      <c r="UF21">
        <f t="shared" si="102"/>
        <v>75.19430315018279</v>
      </c>
      <c r="UG21">
        <f t="shared" si="102"/>
        <v>77.635780744405523</v>
      </c>
      <c r="UH21">
        <f t="shared" si="102"/>
        <v>79.954202863292309</v>
      </c>
      <c r="UI21">
        <f t="shared" si="102"/>
        <v>84.222346615617539</v>
      </c>
      <c r="UJ21">
        <f t="shared" si="102"/>
        <v>84.519344858190522</v>
      </c>
      <c r="UK21">
        <f t="shared" si="102"/>
        <v>84.678261770381098</v>
      </c>
      <c r="UL21">
        <f t="shared" si="102"/>
        <v>87.913896291731419</v>
      </c>
      <c r="UM21">
        <f t="shared" si="102"/>
        <v>85.448593992747533</v>
      </c>
      <c r="UN21">
        <f t="shared" si="102"/>
        <v>86.542538096081827</v>
      </c>
      <c r="UO21">
        <f t="shared" si="102"/>
        <v>85.688230547269768</v>
      </c>
      <c r="UP21">
        <f t="shared" si="102"/>
        <v>85.355478485046604</v>
      </c>
      <c r="UQ21">
        <f t="shared" si="102"/>
        <v>83.449082915877199</v>
      </c>
      <c r="UR21">
        <f t="shared" si="102"/>
        <v>79.33142423782779</v>
      </c>
      <c r="US21">
        <f t="shared" si="102"/>
        <v>76.814258062677496</v>
      </c>
      <c r="UT21">
        <f t="shared" si="102"/>
        <v>74.092711010602969</v>
      </c>
      <c r="UU21">
        <f t="shared" si="102"/>
        <v>74.974439004334116</v>
      </c>
      <c r="UV21">
        <f t="shared" si="102"/>
        <v>76.855557029884082</v>
      </c>
      <c r="UW21">
        <f t="shared" si="102"/>
        <v>76.888770275304481</v>
      </c>
      <c r="UX21">
        <f t="shared" si="102"/>
        <v>77.43663454124939</v>
      </c>
      <c r="UY21">
        <f t="shared" si="102"/>
        <v>80.267878981284085</v>
      </c>
      <c r="UZ21">
        <f t="shared" si="102"/>
        <v>79.566838676856634</v>
      </c>
      <c r="VA21">
        <f t="shared" si="102"/>
        <v>78.436390704956835</v>
      </c>
      <c r="VB21">
        <f t="shared" si="102"/>
        <v>76.82627325480685</v>
      </c>
      <c r="VC21">
        <f t="shared" si="102"/>
        <v>76.7682301589671</v>
      </c>
      <c r="VD21">
        <f t="shared" si="102"/>
        <v>79.496331376321081</v>
      </c>
      <c r="VE21">
        <f t="shared" si="102"/>
        <v>80.423114860119213</v>
      </c>
      <c r="VF21">
        <f t="shared" si="102"/>
        <v>79.030711894800035</v>
      </c>
      <c r="VG21">
        <f t="shared" si="102"/>
        <v>74.239891355313873</v>
      </c>
      <c r="VH21">
        <f t="shared" si="102"/>
        <v>76.729825999878813</v>
      </c>
      <c r="VI21">
        <f t="shared" ref="VI21:XT21" si="103">VH21*(1+VI10)</f>
        <v>74.051614580614626</v>
      </c>
      <c r="VJ21">
        <f t="shared" si="103"/>
        <v>70.993707604562445</v>
      </c>
      <c r="VK21">
        <f t="shared" si="103"/>
        <v>71.809689719278794</v>
      </c>
      <c r="VL21">
        <f t="shared" si="103"/>
        <v>72.809621645163759</v>
      </c>
      <c r="VM21">
        <f t="shared" si="103"/>
        <v>70.061399372446687</v>
      </c>
      <c r="VN21">
        <f t="shared" si="103"/>
        <v>77.275181206890565</v>
      </c>
      <c r="VO21">
        <f t="shared" si="103"/>
        <v>76.801681487174378</v>
      </c>
      <c r="VP21">
        <f t="shared" si="103"/>
        <v>75.046220170051711</v>
      </c>
      <c r="VQ21">
        <f t="shared" si="103"/>
        <v>74.638054995139072</v>
      </c>
      <c r="VR21">
        <f t="shared" si="103"/>
        <v>78.064667963371775</v>
      </c>
      <c r="VS21">
        <f t="shared" si="103"/>
        <v>72.609419740808477</v>
      </c>
      <c r="VT21">
        <f t="shared" si="103"/>
        <v>73.248908689589712</v>
      </c>
      <c r="VU21">
        <f t="shared" si="103"/>
        <v>68.966795521563895</v>
      </c>
      <c r="VV21">
        <f t="shared" si="103"/>
        <v>74.461897023592257</v>
      </c>
      <c r="VW21">
        <f t="shared" si="103"/>
        <v>73.760103172838839</v>
      </c>
      <c r="VX21">
        <f t="shared" si="103"/>
        <v>74.007776117633369</v>
      </c>
      <c r="VY21">
        <f t="shared" si="103"/>
        <v>74.192480754380384</v>
      </c>
      <c r="VZ21">
        <f t="shared" si="103"/>
        <v>73.753705328868705</v>
      </c>
      <c r="WA21">
        <f t="shared" si="103"/>
        <v>77.148490521189203</v>
      </c>
      <c r="WB21">
        <f t="shared" si="103"/>
        <v>73.550322368957026</v>
      </c>
      <c r="WC21">
        <f t="shared" si="103"/>
        <v>71.93004761781917</v>
      </c>
      <c r="WD21">
        <f t="shared" si="103"/>
        <v>74.381584664753674</v>
      </c>
      <c r="WE21">
        <f t="shared" si="103"/>
        <v>72.593187821196281</v>
      </c>
      <c r="WF21">
        <f t="shared" si="103"/>
        <v>73.352201383920374</v>
      </c>
      <c r="WG21">
        <f t="shared" si="103"/>
        <v>72.455991682135434</v>
      </c>
      <c r="WH21">
        <f t="shared" si="103"/>
        <v>77.186672462170748</v>
      </c>
      <c r="WI21">
        <f t="shared" si="103"/>
        <v>73.760909734565971</v>
      </c>
      <c r="WJ21">
        <f t="shared" si="103"/>
        <v>69.194420308959408</v>
      </c>
      <c r="WK21">
        <f t="shared" si="103"/>
        <v>71.077757085868825</v>
      </c>
      <c r="WL21">
        <f t="shared" si="103"/>
        <v>67.401616699463574</v>
      </c>
      <c r="WM21">
        <f t="shared" si="103"/>
        <v>66.080617096702326</v>
      </c>
      <c r="WN21">
        <f t="shared" si="103"/>
        <v>65.860949458458265</v>
      </c>
      <c r="WO21">
        <f t="shared" si="103"/>
        <v>64.195058010224585</v>
      </c>
      <c r="WP21">
        <f t="shared" si="103"/>
        <v>63.438653612900254</v>
      </c>
      <c r="WQ21">
        <f t="shared" si="103"/>
        <v>62.863854762539283</v>
      </c>
      <c r="WR21">
        <f t="shared" si="103"/>
        <v>62.047959597506292</v>
      </c>
      <c r="WS21">
        <f t="shared" si="103"/>
        <v>66.984360493364832</v>
      </c>
      <c r="WT21">
        <f t="shared" si="103"/>
        <v>64.389042773541291</v>
      </c>
      <c r="WU21">
        <f t="shared" si="103"/>
        <v>66.43454441443609</v>
      </c>
      <c r="WV21">
        <f t="shared" si="103"/>
        <v>66.027496532321877</v>
      </c>
      <c r="WW21">
        <f t="shared" si="103"/>
        <v>63.089462280353743</v>
      </c>
      <c r="WX21">
        <f t="shared" si="103"/>
        <v>65.768575085330369</v>
      </c>
      <c r="WY21">
        <f t="shared" si="103"/>
        <v>66.139145038102598</v>
      </c>
      <c r="WZ21">
        <f t="shared" si="103"/>
        <v>64.31507983392116</v>
      </c>
      <c r="XA21">
        <f t="shared" si="103"/>
        <v>65.606817930477405</v>
      </c>
      <c r="XB21">
        <f t="shared" si="103"/>
        <v>60.618881018877865</v>
      </c>
      <c r="XC21">
        <f t="shared" si="103"/>
        <v>61.472564593687856</v>
      </c>
      <c r="XD21">
        <f t="shared" si="103"/>
        <v>63.244135308031353</v>
      </c>
      <c r="XE21">
        <f t="shared" si="103"/>
        <v>62.568115588492866</v>
      </c>
      <c r="XF21">
        <f t="shared" si="103"/>
        <v>65.930714125987961</v>
      </c>
      <c r="XG21">
        <f t="shared" si="103"/>
        <v>62.064412440944075</v>
      </c>
      <c r="XH21">
        <f t="shared" si="103"/>
        <v>63.190456161991882</v>
      </c>
      <c r="XI21">
        <f t="shared" si="103"/>
        <v>63.867740639176695</v>
      </c>
      <c r="XJ21">
        <f t="shared" si="103"/>
        <v>65.662576636179892</v>
      </c>
      <c r="XK21">
        <f t="shared" si="103"/>
        <v>66.134662239197212</v>
      </c>
      <c r="XL21">
        <f t="shared" si="103"/>
        <v>63.838158721043364</v>
      </c>
      <c r="XM21">
        <f t="shared" si="103"/>
        <v>62.579103790876026</v>
      </c>
      <c r="XN21">
        <f t="shared" si="103"/>
        <v>63.278056227572883</v>
      </c>
      <c r="XO21">
        <f t="shared" si="103"/>
        <v>66.228145056682408</v>
      </c>
      <c r="XP21">
        <f t="shared" si="103"/>
        <v>64.805521433140981</v>
      </c>
      <c r="XQ21">
        <f t="shared" si="103"/>
        <v>67.785210583573829</v>
      </c>
      <c r="XR21">
        <f t="shared" si="103"/>
        <v>68.750990717475815</v>
      </c>
      <c r="XS21">
        <f t="shared" si="103"/>
        <v>64.078168086138504</v>
      </c>
      <c r="XT21">
        <f t="shared" si="103"/>
        <v>65.431804115701894</v>
      </c>
      <c r="XU21">
        <f t="shared" ref="XU21:AAF21" si="104">XT21*(1+XU10)</f>
        <v>63.563143555237914</v>
      </c>
      <c r="XV21">
        <f t="shared" si="104"/>
        <v>61.7567910031905</v>
      </c>
      <c r="XW21">
        <f t="shared" si="104"/>
        <v>61.169351721330266</v>
      </c>
      <c r="XX21">
        <f t="shared" si="104"/>
        <v>59.714434206242871</v>
      </c>
      <c r="XY21">
        <f t="shared" si="104"/>
        <v>60.801100243085351</v>
      </c>
      <c r="XZ21">
        <f t="shared" si="104"/>
        <v>61.578894593617001</v>
      </c>
      <c r="YA21">
        <f t="shared" si="104"/>
        <v>60.693407598901388</v>
      </c>
      <c r="YB21">
        <f t="shared" si="104"/>
        <v>59.287771523061714</v>
      </c>
      <c r="YC21">
        <f t="shared" si="104"/>
        <v>55.938432535485148</v>
      </c>
      <c r="YD21">
        <f t="shared" si="104"/>
        <v>55.056456160152408</v>
      </c>
      <c r="YE21">
        <f t="shared" si="104"/>
        <v>56.851186568900999</v>
      </c>
      <c r="YF21">
        <f t="shared" si="104"/>
        <v>54.68183591609948</v>
      </c>
      <c r="YG21">
        <f t="shared" si="104"/>
        <v>53.561242143412052</v>
      </c>
      <c r="YH21">
        <f t="shared" si="104"/>
        <v>54.210683745401695</v>
      </c>
      <c r="YI21">
        <f t="shared" si="104"/>
        <v>51.978280821453808</v>
      </c>
      <c r="YJ21">
        <f t="shared" si="104"/>
        <v>52.4395456005117</v>
      </c>
      <c r="YK21">
        <f t="shared" si="104"/>
        <v>49.992136477993817</v>
      </c>
      <c r="YL21">
        <f t="shared" si="104"/>
        <v>47.892881412771658</v>
      </c>
      <c r="YM21">
        <f t="shared" si="104"/>
        <v>46.63146403053581</v>
      </c>
      <c r="YN21">
        <f t="shared" si="104"/>
        <v>45.123533710304137</v>
      </c>
      <c r="YO21">
        <f t="shared" si="104"/>
        <v>46.627888325638985</v>
      </c>
      <c r="YP21">
        <f t="shared" si="104"/>
        <v>49.666936061685355</v>
      </c>
      <c r="YQ21">
        <f t="shared" si="104"/>
        <v>49.001562336582175</v>
      </c>
      <c r="YR21">
        <f t="shared" si="104"/>
        <v>47.760651252192169</v>
      </c>
      <c r="YS21">
        <f t="shared" si="104"/>
        <v>47.645425932268097</v>
      </c>
      <c r="YT21">
        <f t="shared" si="104"/>
        <v>47.607520629298421</v>
      </c>
      <c r="YU21">
        <f t="shared" si="104"/>
        <v>46.742215333161361</v>
      </c>
      <c r="YV21">
        <f t="shared" si="104"/>
        <v>46.812485244270512</v>
      </c>
      <c r="YW21">
        <f t="shared" si="104"/>
        <v>47.149727925007447</v>
      </c>
      <c r="YX21">
        <f t="shared" si="104"/>
        <v>46.485717987026867</v>
      </c>
      <c r="YY21">
        <f t="shared" si="104"/>
        <v>43.225120344737768</v>
      </c>
      <c r="YZ21">
        <f t="shared" si="104"/>
        <v>42.222459661084081</v>
      </c>
      <c r="ZA21">
        <f t="shared" si="104"/>
        <v>42.393514445564101</v>
      </c>
      <c r="ZB21">
        <f t="shared" si="104"/>
        <v>43.788091665074617</v>
      </c>
      <c r="ZC21">
        <f t="shared" si="104"/>
        <v>45.127927242096767</v>
      </c>
      <c r="ZD21">
        <f t="shared" si="104"/>
        <v>45.846543253840728</v>
      </c>
      <c r="ZE21">
        <f t="shared" si="104"/>
        <v>43.893744379338173</v>
      </c>
      <c r="ZF21">
        <f t="shared" si="104"/>
        <v>43.46562936835867</v>
      </c>
      <c r="ZG21">
        <f t="shared" si="104"/>
        <v>41.71321837614444</v>
      </c>
      <c r="ZH21">
        <f t="shared" si="104"/>
        <v>41.378651586226447</v>
      </c>
      <c r="ZI21">
        <f t="shared" si="104"/>
        <v>38.807567293409925</v>
      </c>
      <c r="ZJ21">
        <f t="shared" si="104"/>
        <v>36.818729154292598</v>
      </c>
      <c r="ZK21">
        <f t="shared" si="104"/>
        <v>39.250044771180498</v>
      </c>
      <c r="ZL21">
        <f t="shared" si="104"/>
        <v>39.860930174558639</v>
      </c>
      <c r="ZM21">
        <f t="shared" si="104"/>
        <v>41.73466435626019</v>
      </c>
      <c r="ZN21">
        <f t="shared" si="104"/>
        <v>38.182781298990648</v>
      </c>
      <c r="ZO21">
        <f t="shared" si="104"/>
        <v>39.350311891124278</v>
      </c>
      <c r="ZP21">
        <f t="shared" si="104"/>
        <v>37.281164934054352</v>
      </c>
      <c r="ZQ21">
        <f t="shared" si="104"/>
        <v>36.502075521190292</v>
      </c>
      <c r="ZR21">
        <f t="shared" si="104"/>
        <v>38.159748834631081</v>
      </c>
      <c r="ZS21">
        <f t="shared" si="104"/>
        <v>37.543981949696366</v>
      </c>
      <c r="ZT21">
        <f t="shared" si="104"/>
        <v>38.360876930714646</v>
      </c>
      <c r="ZU21">
        <f t="shared" si="104"/>
        <v>38.210893343705514</v>
      </c>
      <c r="ZV21">
        <f t="shared" si="104"/>
        <v>35.868872985075818</v>
      </c>
      <c r="ZW21">
        <f t="shared" si="104"/>
        <v>36.778218141939497</v>
      </c>
      <c r="ZX21">
        <f t="shared" si="104"/>
        <v>38.024627456449387</v>
      </c>
      <c r="ZY21">
        <f t="shared" si="104"/>
        <v>40.500803909127605</v>
      </c>
      <c r="ZZ21">
        <f t="shared" si="104"/>
        <v>41.517540874246308</v>
      </c>
      <c r="AAA21">
        <f t="shared" si="104"/>
        <v>40.745045050480044</v>
      </c>
      <c r="AAB21">
        <f t="shared" si="104"/>
        <v>40.019642270115604</v>
      </c>
      <c r="AAC21">
        <f t="shared" si="104"/>
        <v>40.316973605899122</v>
      </c>
      <c r="AAD21">
        <f t="shared" si="104"/>
        <v>39.255084810506865</v>
      </c>
      <c r="AAE21">
        <f t="shared" si="104"/>
        <v>37.524276017992378</v>
      </c>
      <c r="AAF21">
        <f t="shared" si="104"/>
        <v>35.326873037182978</v>
      </c>
      <c r="AAG21">
        <f t="shared" ref="AAG21:ACR21" si="105">AAF21*(1+AAG10)</f>
        <v>37.01255484964593</v>
      </c>
      <c r="AAH21">
        <f t="shared" si="105"/>
        <v>36.934098955100751</v>
      </c>
      <c r="AAI21">
        <f t="shared" si="105"/>
        <v>36.085780160774206</v>
      </c>
      <c r="AAJ21">
        <f t="shared" si="105"/>
        <v>34.814769305788545</v>
      </c>
      <c r="AAK21">
        <f t="shared" si="105"/>
        <v>37.016081785130865</v>
      </c>
      <c r="AAL21">
        <f t="shared" si="105"/>
        <v>36.970423723374822</v>
      </c>
      <c r="AAM21">
        <f t="shared" si="105"/>
        <v>35.234312857168675</v>
      </c>
      <c r="AAN21">
        <f t="shared" si="105"/>
        <v>35.778203246839702</v>
      </c>
      <c r="AAO21">
        <f t="shared" si="105"/>
        <v>37.574124770598061</v>
      </c>
      <c r="AAP21">
        <f t="shared" si="105"/>
        <v>36.418655125386572</v>
      </c>
      <c r="AAQ21">
        <f t="shared" si="105"/>
        <v>33.431528202709025</v>
      </c>
      <c r="AAR21">
        <f t="shared" si="105"/>
        <v>34.820880755860593</v>
      </c>
      <c r="AAS21">
        <f t="shared" si="105"/>
        <v>35.732704979869609</v>
      </c>
      <c r="AAT21">
        <f t="shared" si="105"/>
        <v>37.734446492273818</v>
      </c>
      <c r="AAU21">
        <f t="shared" si="105"/>
        <v>36.547009236794807</v>
      </c>
      <c r="AAV21">
        <f t="shared" si="105"/>
        <v>33.622064597005618</v>
      </c>
      <c r="AAW21">
        <f t="shared" si="105"/>
        <v>32.442478835177695</v>
      </c>
      <c r="AAX21">
        <f t="shared" si="105"/>
        <v>33.825604763140859</v>
      </c>
      <c r="AAY21">
        <f t="shared" si="105"/>
        <v>35.85446030820173</v>
      </c>
      <c r="AAZ21">
        <f t="shared" si="105"/>
        <v>35.507877612138138</v>
      </c>
      <c r="ABA21">
        <f t="shared" si="105"/>
        <v>35.74175937652587</v>
      </c>
      <c r="ABB21">
        <f t="shared" si="105"/>
        <v>35.020027155029275</v>
      </c>
      <c r="ABC21">
        <f t="shared" si="105"/>
        <v>35.152744273328132</v>
      </c>
      <c r="ABD21">
        <f t="shared" si="105"/>
        <v>37.600158516933675</v>
      </c>
      <c r="ABE21">
        <f t="shared" si="105"/>
        <v>37.029236200205887</v>
      </c>
      <c r="ABF21">
        <f t="shared" si="105"/>
        <v>35.737856232582487</v>
      </c>
      <c r="ABG21">
        <f t="shared" si="105"/>
        <v>36.46096175232698</v>
      </c>
      <c r="ABH21">
        <f t="shared" si="105"/>
        <v>37.420243568697181</v>
      </c>
      <c r="ABI21">
        <f t="shared" si="105"/>
        <v>35.136878695799744</v>
      </c>
      <c r="ABJ21">
        <f t="shared" si="105"/>
        <v>35.572452835430489</v>
      </c>
      <c r="ABK21">
        <f t="shared" si="105"/>
        <v>36.046081744572525</v>
      </c>
      <c r="ABL21">
        <f t="shared" si="105"/>
        <v>37.96943070886001</v>
      </c>
      <c r="ABM21">
        <f t="shared" si="105"/>
        <v>37.276436850166988</v>
      </c>
      <c r="ABN21">
        <f t="shared" si="105"/>
        <v>38.579286815822186</v>
      </c>
      <c r="ABO21">
        <f t="shared" si="105"/>
        <v>38.767842248836821</v>
      </c>
      <c r="ABP21">
        <f t="shared" si="105"/>
        <v>39.059456452408121</v>
      </c>
      <c r="ABQ21">
        <f t="shared" si="105"/>
        <v>41.885059478322049</v>
      </c>
      <c r="ABR21">
        <f t="shared" si="105"/>
        <v>41.434542052247842</v>
      </c>
      <c r="ABS21">
        <f t="shared" si="105"/>
        <v>40.549302883903813</v>
      </c>
      <c r="ABT21">
        <f t="shared" si="105"/>
        <v>40.654138760414114</v>
      </c>
      <c r="ABU21">
        <f t="shared" si="105"/>
        <v>39.167083412375661</v>
      </c>
      <c r="ABV21">
        <f t="shared" si="105"/>
        <v>39.244777684920365</v>
      </c>
      <c r="ABW21">
        <f t="shared" si="105"/>
        <v>38.727944960725651</v>
      </c>
      <c r="ABX21">
        <f t="shared" si="105"/>
        <v>38.224389747138886</v>
      </c>
      <c r="ABY21">
        <f t="shared" si="105"/>
        <v>38.395124643870616</v>
      </c>
      <c r="ABZ21">
        <f t="shared" si="105"/>
        <v>37.866872703907326</v>
      </c>
      <c r="ACA21">
        <f t="shared" si="105"/>
        <v>37.528348802389168</v>
      </c>
      <c r="ACB21">
        <f t="shared" si="105"/>
        <v>39.372184384239567</v>
      </c>
      <c r="ACC21">
        <f t="shared" si="105"/>
        <v>38.15917655058923</v>
      </c>
      <c r="ACD21">
        <f t="shared" si="105"/>
        <v>36.798671488877702</v>
      </c>
      <c r="ACE21">
        <f t="shared" si="105"/>
        <v>37.743254559105154</v>
      </c>
      <c r="ACF21">
        <f t="shared" si="105"/>
        <v>36.045487646904085</v>
      </c>
      <c r="ACG21">
        <f t="shared" si="105"/>
        <v>36.090498126018765</v>
      </c>
      <c r="ACH21">
        <f t="shared" si="105"/>
        <v>35.440999138505198</v>
      </c>
      <c r="ACI21">
        <f t="shared" si="105"/>
        <v>35.178244570318007</v>
      </c>
      <c r="ACJ21">
        <f t="shared" si="105"/>
        <v>39.786713395996955</v>
      </c>
      <c r="ACK21">
        <f t="shared" si="105"/>
        <v>38.37473325040812</v>
      </c>
      <c r="ACL21">
        <f t="shared" si="105"/>
        <v>39.492643766909325</v>
      </c>
      <c r="ACM21">
        <f t="shared" si="105"/>
        <v>39.563965526066603</v>
      </c>
      <c r="ACN21">
        <f t="shared" si="105"/>
        <v>34.847181328318314</v>
      </c>
      <c r="ACO21">
        <f t="shared" si="105"/>
        <v>36.422105972792629</v>
      </c>
      <c r="ACP21">
        <f t="shared" si="105"/>
        <v>38.374854827627587</v>
      </c>
      <c r="ACQ21">
        <f t="shared" si="105"/>
        <v>36.480223342690806</v>
      </c>
      <c r="ACR21">
        <f t="shared" si="105"/>
        <v>37.499549768265943</v>
      </c>
      <c r="ACS21">
        <f t="shared" ref="ACS21:ACV21" si="106">ACR21*(1+ACS10)</f>
        <v>37.379085535543091</v>
      </c>
      <c r="ACT21">
        <f t="shared" si="106"/>
        <v>37.981921935724074</v>
      </c>
      <c r="ACU21">
        <f t="shared" si="106"/>
        <v>42.935509217417199</v>
      </c>
      <c r="ACV21">
        <f t="shared" si="106"/>
        <v>40.833184781909111</v>
      </c>
    </row>
    <row r="22" spans="1:776" x14ac:dyDescent="0.2">
      <c r="A22" s="6" t="s">
        <v>70669</v>
      </c>
      <c r="B22">
        <f t="shared" si="53"/>
        <v>99.406888331139086</v>
      </c>
      <c r="C22">
        <f t="shared" si="54"/>
        <v>100.22689875921319</v>
      </c>
      <c r="D22">
        <f t="shared" si="54"/>
        <v>101.63016691140623</v>
      </c>
      <c r="E22">
        <f t="shared" ref="E22:BP22" si="107">D22*(1+E11)</f>
        <v>101.84507190397325</v>
      </c>
      <c r="F22">
        <f t="shared" si="107"/>
        <v>103.12463627800017</v>
      </c>
      <c r="G22">
        <f t="shared" si="107"/>
        <v>100.82468951845206</v>
      </c>
      <c r="H22">
        <f t="shared" si="107"/>
        <v>102.28784533272595</v>
      </c>
      <c r="I22">
        <f t="shared" si="107"/>
        <v>100.95302715884215</v>
      </c>
      <c r="J22">
        <f t="shared" si="107"/>
        <v>102.31963893708283</v>
      </c>
      <c r="K22">
        <f t="shared" si="107"/>
        <v>101.25148858375103</v>
      </c>
      <c r="L22">
        <f t="shared" si="107"/>
        <v>99.925279530379086</v>
      </c>
      <c r="M22">
        <f t="shared" si="107"/>
        <v>98.432267760708442</v>
      </c>
      <c r="N22">
        <f t="shared" si="107"/>
        <v>97.365971676008371</v>
      </c>
      <c r="O22">
        <f t="shared" si="107"/>
        <v>97.424762784419713</v>
      </c>
      <c r="P22">
        <f t="shared" si="107"/>
        <v>95.848103730240311</v>
      </c>
      <c r="Q22">
        <f t="shared" si="107"/>
        <v>94.864424284745709</v>
      </c>
      <c r="R22">
        <f t="shared" si="107"/>
        <v>94.892685233569992</v>
      </c>
      <c r="S22">
        <f t="shared" si="107"/>
        <v>95.48329641023571</v>
      </c>
      <c r="T22">
        <f t="shared" si="107"/>
        <v>93.51069670102703</v>
      </c>
      <c r="U22">
        <f t="shared" si="107"/>
        <v>93.598144244331834</v>
      </c>
      <c r="V22">
        <f t="shared" si="107"/>
        <v>92.642313090965274</v>
      </c>
      <c r="W22">
        <f t="shared" si="107"/>
        <v>92.197872145298689</v>
      </c>
      <c r="X22">
        <f t="shared" si="107"/>
        <v>92.76326954979227</v>
      </c>
      <c r="Y22">
        <f t="shared" si="107"/>
        <v>91.640906808577725</v>
      </c>
      <c r="Z22">
        <f t="shared" si="107"/>
        <v>90.664413855853596</v>
      </c>
      <c r="AA22">
        <f t="shared" si="107"/>
        <v>90.677890993015879</v>
      </c>
      <c r="AB22">
        <f t="shared" si="107"/>
        <v>91.763602064459931</v>
      </c>
      <c r="AC22">
        <f t="shared" si="107"/>
        <v>89.220110461578031</v>
      </c>
      <c r="AD22">
        <f t="shared" si="107"/>
        <v>87.563936896465094</v>
      </c>
      <c r="AE22">
        <f t="shared" si="107"/>
        <v>88.19899729615679</v>
      </c>
      <c r="AF22">
        <f t="shared" si="107"/>
        <v>88.643031516529689</v>
      </c>
      <c r="AG22">
        <f t="shared" si="107"/>
        <v>88.892863299989543</v>
      </c>
      <c r="AH22">
        <f t="shared" si="107"/>
        <v>91.553934310867149</v>
      </c>
      <c r="AI22">
        <f t="shared" si="107"/>
        <v>91.496182674130495</v>
      </c>
      <c r="AJ22">
        <f t="shared" si="107"/>
        <v>92.206236922345141</v>
      </c>
      <c r="AK22">
        <f t="shared" si="107"/>
        <v>92.571399339230922</v>
      </c>
      <c r="AL22">
        <f t="shared" si="107"/>
        <v>92.38707791644498</v>
      </c>
      <c r="AM22">
        <f t="shared" si="107"/>
        <v>92.472132549481699</v>
      </c>
      <c r="AN22">
        <f t="shared" si="107"/>
        <v>93.086289715210299</v>
      </c>
      <c r="AO22">
        <f t="shared" si="107"/>
        <v>93.216513756102628</v>
      </c>
      <c r="AP22">
        <f t="shared" si="107"/>
        <v>92.774645814516717</v>
      </c>
      <c r="AQ22">
        <f t="shared" si="107"/>
        <v>92.715953647870862</v>
      </c>
      <c r="AR22">
        <f t="shared" si="107"/>
        <v>93.116794855726766</v>
      </c>
      <c r="AS22">
        <f t="shared" si="107"/>
        <v>93.424496142786026</v>
      </c>
      <c r="AT22">
        <f t="shared" si="107"/>
        <v>94.604107925300298</v>
      </c>
      <c r="AU22">
        <f t="shared" si="107"/>
        <v>94.456351044833866</v>
      </c>
      <c r="AV22">
        <f t="shared" si="107"/>
        <v>94.582607176705295</v>
      </c>
      <c r="AW22">
        <f t="shared" si="107"/>
        <v>93.528063351980791</v>
      </c>
      <c r="AX22">
        <f t="shared" si="107"/>
        <v>92.913182470614842</v>
      </c>
      <c r="AY22">
        <f t="shared" si="107"/>
        <v>93.459655936634448</v>
      </c>
      <c r="AZ22">
        <f t="shared" si="107"/>
        <v>93.975026440968719</v>
      </c>
      <c r="BA22">
        <f t="shared" si="107"/>
        <v>94.392794701976101</v>
      </c>
      <c r="BB22">
        <f t="shared" si="107"/>
        <v>93.466900404023406</v>
      </c>
      <c r="BC22">
        <f t="shared" si="107"/>
        <v>96.821413949838046</v>
      </c>
      <c r="BD22">
        <f t="shared" si="107"/>
        <v>96.683910842485702</v>
      </c>
      <c r="BE22">
        <f t="shared" si="107"/>
        <v>98.111074359368786</v>
      </c>
      <c r="BF22">
        <f t="shared" si="107"/>
        <v>98.259770332928596</v>
      </c>
      <c r="BG22">
        <f t="shared" si="107"/>
        <v>97.176010683439657</v>
      </c>
      <c r="BH22">
        <f t="shared" si="107"/>
        <v>98.337816662261417</v>
      </c>
      <c r="BI22">
        <f t="shared" si="107"/>
        <v>97.032873933479522</v>
      </c>
      <c r="BJ22">
        <f t="shared" si="107"/>
        <v>97.706784869921023</v>
      </c>
      <c r="BK22">
        <f t="shared" si="107"/>
        <v>99.356587424780002</v>
      </c>
      <c r="BL22">
        <f t="shared" si="107"/>
        <v>98.913896555264174</v>
      </c>
      <c r="BM22">
        <f t="shared" si="107"/>
        <v>97.901583395527112</v>
      </c>
      <c r="BN22">
        <f t="shared" si="107"/>
        <v>98.277001993051954</v>
      </c>
      <c r="BO22">
        <f t="shared" si="107"/>
        <v>98.675861210375672</v>
      </c>
      <c r="BP22">
        <f t="shared" si="107"/>
        <v>99.795723013245023</v>
      </c>
      <c r="BQ22">
        <f t="shared" ref="BQ22:EB22" si="108">BP22*(1+BQ11)</f>
        <v>100.27859929351226</v>
      </c>
      <c r="BR22">
        <f t="shared" si="108"/>
        <v>99.386041965323386</v>
      </c>
      <c r="BS22">
        <f t="shared" si="108"/>
        <v>100.34652214972091</v>
      </c>
      <c r="BT22">
        <f t="shared" si="108"/>
        <v>100.33559961582361</v>
      </c>
      <c r="BU22">
        <f t="shared" si="108"/>
        <v>99.814707032233699</v>
      </c>
      <c r="BV22">
        <f t="shared" si="108"/>
        <v>100.4467782714482</v>
      </c>
      <c r="BW22">
        <f t="shared" si="108"/>
        <v>99.987471240654429</v>
      </c>
      <c r="BX22">
        <f t="shared" si="108"/>
        <v>99.613907437230765</v>
      </c>
      <c r="BY22">
        <f t="shared" si="108"/>
        <v>99.176186689101527</v>
      </c>
      <c r="BZ22">
        <f t="shared" si="108"/>
        <v>99.997173180891167</v>
      </c>
      <c r="CA22">
        <f t="shared" si="108"/>
        <v>96.892288476333562</v>
      </c>
      <c r="CB22">
        <f t="shared" si="108"/>
        <v>96.196293488645281</v>
      </c>
      <c r="CC22">
        <f t="shared" si="108"/>
        <v>96.058343279444685</v>
      </c>
      <c r="CD22">
        <f t="shared" si="108"/>
        <v>97.080333139954007</v>
      </c>
      <c r="CE22">
        <f t="shared" si="108"/>
        <v>98.297190636849308</v>
      </c>
      <c r="CF22">
        <f t="shared" si="108"/>
        <v>99.319732500706451</v>
      </c>
      <c r="CG22">
        <f t="shared" si="108"/>
        <v>97.551719261608326</v>
      </c>
      <c r="CH22">
        <f t="shared" si="108"/>
        <v>98.876163262241846</v>
      </c>
      <c r="CI22">
        <f t="shared" si="108"/>
        <v>96.301303720565826</v>
      </c>
      <c r="CJ22">
        <f t="shared" si="108"/>
        <v>99.093564265270871</v>
      </c>
      <c r="CK22">
        <f t="shared" si="108"/>
        <v>98.452879260090285</v>
      </c>
      <c r="CL22">
        <f t="shared" si="108"/>
        <v>97.437875536686263</v>
      </c>
      <c r="CM22">
        <f t="shared" si="108"/>
        <v>96.55496695248533</v>
      </c>
      <c r="CN22">
        <f t="shared" si="108"/>
        <v>95.507679704096986</v>
      </c>
      <c r="CO22">
        <f t="shared" si="108"/>
        <v>96.427092715227843</v>
      </c>
      <c r="CP22">
        <f t="shared" si="108"/>
        <v>96.852129123175501</v>
      </c>
      <c r="CQ22">
        <f t="shared" si="108"/>
        <v>98.434215163207639</v>
      </c>
      <c r="CR22">
        <f t="shared" si="108"/>
        <v>101.81619893328298</v>
      </c>
      <c r="CS22">
        <f t="shared" si="108"/>
        <v>103.28761105031873</v>
      </c>
      <c r="CT22">
        <f t="shared" si="108"/>
        <v>103.70480271979686</v>
      </c>
      <c r="CU22">
        <f t="shared" si="108"/>
        <v>103.10565909609943</v>
      </c>
      <c r="CV22">
        <f t="shared" si="108"/>
        <v>103.01502937771943</v>
      </c>
      <c r="CW22">
        <f t="shared" si="108"/>
        <v>103.60286545665653</v>
      </c>
      <c r="CX22">
        <f t="shared" si="108"/>
        <v>105.04299628267867</v>
      </c>
      <c r="CY22">
        <f t="shared" si="108"/>
        <v>103.5389105478791</v>
      </c>
      <c r="CZ22">
        <f t="shared" si="108"/>
        <v>104.97436541218664</v>
      </c>
      <c r="DA22">
        <f t="shared" si="108"/>
        <v>104.03958143427722</v>
      </c>
      <c r="DB22">
        <f t="shared" si="108"/>
        <v>107.19860862184362</v>
      </c>
      <c r="DC22">
        <f t="shared" si="108"/>
        <v>108.01791221617077</v>
      </c>
      <c r="DD22">
        <f t="shared" si="108"/>
        <v>105.48819804842148</v>
      </c>
      <c r="DE22">
        <f t="shared" si="108"/>
        <v>104.31851680060021</v>
      </c>
      <c r="DF22">
        <f t="shared" si="108"/>
        <v>105.34626881648695</v>
      </c>
      <c r="DG22">
        <f t="shared" si="108"/>
        <v>105.90695301633131</v>
      </c>
      <c r="DH22">
        <f t="shared" si="108"/>
        <v>102.38765040708822</v>
      </c>
      <c r="DI22">
        <f t="shared" si="108"/>
        <v>99.389312463788087</v>
      </c>
      <c r="DJ22">
        <f t="shared" si="108"/>
        <v>103.3456871923041</v>
      </c>
      <c r="DK22">
        <f t="shared" si="108"/>
        <v>102.51797543135827</v>
      </c>
      <c r="DL22">
        <f t="shared" si="108"/>
        <v>99.149529522900963</v>
      </c>
      <c r="DM22">
        <f t="shared" si="108"/>
        <v>98.846992373280472</v>
      </c>
      <c r="DN22">
        <f t="shared" si="108"/>
        <v>97.008274010265339</v>
      </c>
      <c r="DO22">
        <f t="shared" si="108"/>
        <v>96.121049851789138</v>
      </c>
      <c r="DP22">
        <f t="shared" si="108"/>
        <v>94.081028086556373</v>
      </c>
      <c r="DQ22">
        <f t="shared" si="108"/>
        <v>96.930456742022429</v>
      </c>
      <c r="DR22">
        <f t="shared" si="108"/>
        <v>96.524101982057374</v>
      </c>
      <c r="DS22">
        <f t="shared" si="108"/>
        <v>96.212670543818248</v>
      </c>
      <c r="DT22">
        <f t="shared" si="108"/>
        <v>95.358856423792687</v>
      </c>
      <c r="DU22">
        <f t="shared" si="108"/>
        <v>96.829492264454132</v>
      </c>
      <c r="DV22">
        <f t="shared" si="108"/>
        <v>96.222053703576336</v>
      </c>
      <c r="DW22">
        <f t="shared" si="108"/>
        <v>95.973297681341819</v>
      </c>
      <c r="DX22">
        <f t="shared" si="108"/>
        <v>96.078014115871397</v>
      </c>
      <c r="DY22">
        <f t="shared" si="108"/>
        <v>94.283822014475035</v>
      </c>
      <c r="DZ22">
        <f t="shared" si="108"/>
        <v>94.416361236577387</v>
      </c>
      <c r="EA22">
        <f t="shared" si="108"/>
        <v>92.524224696431659</v>
      </c>
      <c r="EB22">
        <f t="shared" si="108"/>
        <v>92.02301307526632</v>
      </c>
      <c r="EC22">
        <f t="shared" ref="EC22:GN22" si="109">EB22*(1+EC11)</f>
        <v>88.80459329902952</v>
      </c>
      <c r="ED22">
        <f t="shared" si="109"/>
        <v>91.183717301864419</v>
      </c>
      <c r="EE22">
        <f t="shared" si="109"/>
        <v>90.981497272727594</v>
      </c>
      <c r="EF22">
        <f t="shared" si="109"/>
        <v>82.532908724787816</v>
      </c>
      <c r="EG22">
        <f t="shared" si="109"/>
        <v>86.834904769780934</v>
      </c>
      <c r="EH22">
        <f t="shared" si="109"/>
        <v>90.395040053029803</v>
      </c>
      <c r="EI22">
        <f t="shared" si="109"/>
        <v>86.111366139578095</v>
      </c>
      <c r="EJ22">
        <f t="shared" si="109"/>
        <v>82.476265798310635</v>
      </c>
      <c r="EK22">
        <f t="shared" si="109"/>
        <v>87.941580430483555</v>
      </c>
      <c r="EL22">
        <f t="shared" si="109"/>
        <v>90.793086165171616</v>
      </c>
      <c r="EM22">
        <f t="shared" si="109"/>
        <v>88.657860406374525</v>
      </c>
      <c r="EN22">
        <f t="shared" si="109"/>
        <v>75.015610823501916</v>
      </c>
      <c r="EO22">
        <f t="shared" si="109"/>
        <v>74.865384467135627</v>
      </c>
      <c r="EP22">
        <f t="shared" si="109"/>
        <v>68.462393451950291</v>
      </c>
      <c r="EQ22">
        <f t="shared" si="109"/>
        <v>72.433429265276274</v>
      </c>
      <c r="ER22">
        <f t="shared" si="109"/>
        <v>66.000219202293493</v>
      </c>
      <c r="ES22">
        <f t="shared" si="109"/>
        <v>67.362284916742396</v>
      </c>
      <c r="ET22">
        <f t="shared" si="109"/>
        <v>66.577049600342605</v>
      </c>
      <c r="EU22">
        <f t="shared" si="109"/>
        <v>73.674309812139086</v>
      </c>
      <c r="EV22">
        <f t="shared" si="109"/>
        <v>77.572275765339469</v>
      </c>
      <c r="EW22">
        <f t="shared" si="109"/>
        <v>71.631046046852219</v>
      </c>
      <c r="EX22">
        <f t="shared" si="109"/>
        <v>68.931354793410634</v>
      </c>
      <c r="EY22">
        <f t="shared" si="109"/>
        <v>71.88301487266898</v>
      </c>
      <c r="EZ22">
        <f t="shared" si="109"/>
        <v>76.945755428917167</v>
      </c>
      <c r="FA22">
        <f t="shared" si="109"/>
        <v>78.386008479846467</v>
      </c>
      <c r="FB22">
        <f t="shared" si="109"/>
        <v>73.80114173644742</v>
      </c>
      <c r="FC22">
        <f t="shared" si="109"/>
        <v>70.42847756941616</v>
      </c>
      <c r="FD22">
        <f t="shared" si="109"/>
        <v>70.543214904290409</v>
      </c>
      <c r="FE22">
        <f t="shared" si="109"/>
        <v>74.782976741542754</v>
      </c>
      <c r="FF22">
        <f t="shared" si="109"/>
        <v>77.585151387394234</v>
      </c>
      <c r="FG22">
        <f t="shared" si="109"/>
        <v>81.329499701314077</v>
      </c>
      <c r="FH22">
        <f t="shared" si="109"/>
        <v>81.361755880544536</v>
      </c>
      <c r="FI22">
        <f t="shared" si="109"/>
        <v>86.22455431097049</v>
      </c>
      <c r="FJ22">
        <f t="shared" si="109"/>
        <v>93.739734275758181</v>
      </c>
      <c r="FK22">
        <f t="shared" si="109"/>
        <v>100.09782404215092</v>
      </c>
      <c r="FL22">
        <f t="shared" si="109"/>
        <v>105.15395361837749</v>
      </c>
      <c r="FM22">
        <f t="shared" si="109"/>
        <v>104.10085635899451</v>
      </c>
      <c r="FN22">
        <f t="shared" si="109"/>
        <v>106.75211034365748</v>
      </c>
      <c r="FO22">
        <f t="shared" si="109"/>
        <v>109.37698098847918</v>
      </c>
      <c r="FP22">
        <f t="shared" si="109"/>
        <v>113.91415683731319</v>
      </c>
      <c r="FQ22">
        <f t="shared" si="109"/>
        <v>111.88694408649965</v>
      </c>
      <c r="FR22">
        <f t="shared" si="109"/>
        <v>111.80725614875242</v>
      </c>
      <c r="FS22">
        <f t="shared" si="109"/>
        <v>112.90937256565216</v>
      </c>
      <c r="FT22">
        <f t="shared" si="109"/>
        <v>108.07064449412783</v>
      </c>
      <c r="FU22">
        <f t="shared" si="109"/>
        <v>108.72808392882776</v>
      </c>
      <c r="FV22">
        <f t="shared" si="109"/>
        <v>108.52321334964026</v>
      </c>
      <c r="FW22">
        <f t="shared" si="109"/>
        <v>108.04779666278432</v>
      </c>
      <c r="FX22">
        <f t="shared" si="109"/>
        <v>109.53591084913241</v>
      </c>
      <c r="FY22">
        <f t="shared" si="109"/>
        <v>111.74687154484907</v>
      </c>
      <c r="FZ22">
        <f t="shared" si="109"/>
        <v>111.69776850898042</v>
      </c>
      <c r="GA22">
        <f t="shared" si="109"/>
        <v>113.30369162520715</v>
      </c>
      <c r="GB22">
        <f t="shared" si="109"/>
        <v>109.79276648771994</v>
      </c>
      <c r="GC22">
        <f t="shared" si="109"/>
        <v>116.09686640830203</v>
      </c>
      <c r="GD22">
        <f t="shared" si="109"/>
        <v>123.36654637913399</v>
      </c>
      <c r="GE22">
        <f t="shared" si="109"/>
        <v>129.89321040826459</v>
      </c>
      <c r="GF22">
        <f t="shared" si="109"/>
        <v>140.97544146337361</v>
      </c>
      <c r="GG22">
        <f t="shared" si="109"/>
        <v>147.81133306510097</v>
      </c>
      <c r="GH22">
        <f t="shared" si="109"/>
        <v>160.72143831764285</v>
      </c>
      <c r="GI22">
        <f t="shared" si="109"/>
        <v>174.25923571869433</v>
      </c>
      <c r="GJ22">
        <f t="shared" si="109"/>
        <v>167.46526540148983</v>
      </c>
      <c r="GK22">
        <f t="shared" si="109"/>
        <v>161.99597603130442</v>
      </c>
      <c r="GL22">
        <f t="shared" si="109"/>
        <v>179.88948595485417</v>
      </c>
      <c r="GM22">
        <f t="shared" si="109"/>
        <v>184.15857883188116</v>
      </c>
      <c r="GN22">
        <f t="shared" si="109"/>
        <v>187.33190740578985</v>
      </c>
      <c r="GO22">
        <f t="shared" ref="GO22:IZ22" si="110">GN22*(1+GO11)</f>
        <v>187.80414801114966</v>
      </c>
      <c r="GP22">
        <f t="shared" si="110"/>
        <v>192.09550559704871</v>
      </c>
      <c r="GQ22">
        <f t="shared" si="110"/>
        <v>200.98490727120827</v>
      </c>
      <c r="GR22">
        <f t="shared" si="110"/>
        <v>207.61756388639324</v>
      </c>
      <c r="GS22">
        <f t="shared" si="110"/>
        <v>207.33747826394944</v>
      </c>
      <c r="GT22">
        <f t="shared" si="110"/>
        <v>208.41530874909455</v>
      </c>
      <c r="GU22">
        <f t="shared" si="110"/>
        <v>209.14830010650581</v>
      </c>
      <c r="GV22">
        <f t="shared" si="110"/>
        <v>190.49657344461824</v>
      </c>
      <c r="GW22">
        <f t="shared" si="110"/>
        <v>207.51719220956636</v>
      </c>
      <c r="GX22">
        <f t="shared" si="110"/>
        <v>214.33892971685634</v>
      </c>
      <c r="GY22">
        <f t="shared" si="110"/>
        <v>201.44493162193362</v>
      </c>
      <c r="GZ22">
        <f t="shared" si="110"/>
        <v>197.56915940497643</v>
      </c>
      <c r="HA22">
        <f t="shared" si="110"/>
        <v>206.55791105752988</v>
      </c>
      <c r="HB22">
        <f t="shared" si="110"/>
        <v>190.52276982594807</v>
      </c>
      <c r="HC22">
        <f t="shared" si="110"/>
        <v>186.02584708468743</v>
      </c>
      <c r="HD22">
        <f t="shared" si="110"/>
        <v>201.30618596169901</v>
      </c>
      <c r="HE22">
        <f t="shared" si="110"/>
        <v>186.68362739583353</v>
      </c>
      <c r="HF22">
        <f t="shared" si="110"/>
        <v>196.04075132845858</v>
      </c>
      <c r="HG22">
        <f t="shared" si="110"/>
        <v>193.31522530336466</v>
      </c>
      <c r="HH22">
        <f t="shared" si="110"/>
        <v>201.72400885750443</v>
      </c>
      <c r="HI22">
        <f t="shared" si="110"/>
        <v>205.85458170776747</v>
      </c>
      <c r="HJ22">
        <f t="shared" si="110"/>
        <v>211.59508894716228</v>
      </c>
      <c r="HK22">
        <f t="shared" si="110"/>
        <v>207.69913200170163</v>
      </c>
      <c r="HL22">
        <f t="shared" si="110"/>
        <v>232.5189598426706</v>
      </c>
      <c r="HM22">
        <f t="shared" si="110"/>
        <v>229.93871900322983</v>
      </c>
      <c r="HN22">
        <f t="shared" si="110"/>
        <v>225.37591480972438</v>
      </c>
      <c r="HO22">
        <f t="shared" si="110"/>
        <v>247.57095410483032</v>
      </c>
      <c r="HP22">
        <f t="shared" si="110"/>
        <v>240.71081668916904</v>
      </c>
      <c r="HQ22">
        <f t="shared" si="110"/>
        <v>213.50617944450678</v>
      </c>
      <c r="HR22">
        <f t="shared" si="110"/>
        <v>221.39158551137066</v>
      </c>
      <c r="HS22">
        <f t="shared" si="110"/>
        <v>229.21894301293932</v>
      </c>
      <c r="HT22">
        <f t="shared" si="110"/>
        <v>223.81356067374716</v>
      </c>
      <c r="HU22">
        <f t="shared" si="110"/>
        <v>222.97727061512094</v>
      </c>
      <c r="HV22">
        <f t="shared" si="110"/>
        <v>243.70440184533419</v>
      </c>
      <c r="HW22">
        <f t="shared" si="110"/>
        <v>254.16625828667691</v>
      </c>
      <c r="HX22">
        <f t="shared" si="110"/>
        <v>238.86029094894056</v>
      </c>
      <c r="HY22">
        <f t="shared" si="110"/>
        <v>240.34897880444632</v>
      </c>
      <c r="HZ22">
        <f t="shared" si="110"/>
        <v>261.66823316455697</v>
      </c>
      <c r="IA22">
        <f t="shared" si="110"/>
        <v>281.39097298559017</v>
      </c>
      <c r="IB22">
        <f t="shared" si="110"/>
        <v>295.27533187857267</v>
      </c>
      <c r="IC22">
        <f t="shared" si="110"/>
        <v>294.7940254626306</v>
      </c>
      <c r="ID22">
        <f t="shared" si="110"/>
        <v>278.05887641207664</v>
      </c>
      <c r="IE22">
        <f t="shared" si="110"/>
        <v>292.79674977559387</v>
      </c>
      <c r="IF22">
        <f t="shared" si="110"/>
        <v>283.81814382693659</v>
      </c>
      <c r="IG22">
        <f t="shared" si="110"/>
        <v>295.55154139949008</v>
      </c>
      <c r="IH22">
        <f t="shared" si="110"/>
        <v>286.79202803504478</v>
      </c>
      <c r="II22">
        <f t="shared" si="110"/>
        <v>305.2884694289246</v>
      </c>
      <c r="IJ22">
        <f t="shared" si="110"/>
        <v>313.28626273990432</v>
      </c>
      <c r="IK22">
        <f t="shared" si="110"/>
        <v>330.37626321922005</v>
      </c>
      <c r="IL22">
        <f t="shared" si="110"/>
        <v>325.9603811179897</v>
      </c>
      <c r="IM22">
        <f t="shared" si="110"/>
        <v>332.52204692316673</v>
      </c>
      <c r="IN22">
        <f t="shared" si="110"/>
        <v>340.07222354967854</v>
      </c>
      <c r="IO22">
        <f t="shared" si="110"/>
        <v>310.56790523959</v>
      </c>
      <c r="IP22">
        <f t="shared" si="110"/>
        <v>312.09679716325201</v>
      </c>
      <c r="IQ22">
        <f t="shared" si="110"/>
        <v>274.16454689433664</v>
      </c>
      <c r="IR22">
        <f t="shared" si="110"/>
        <v>283.41498145099968</v>
      </c>
      <c r="IS22">
        <f t="shared" si="110"/>
        <v>285.44928477319877</v>
      </c>
      <c r="IT22">
        <f t="shared" si="110"/>
        <v>278.03972714552509</v>
      </c>
      <c r="IU22">
        <f t="shared" si="110"/>
        <v>270.19709556072564</v>
      </c>
      <c r="IV22">
        <f t="shared" si="110"/>
        <v>258.11951504138318</v>
      </c>
      <c r="IW22">
        <f t="shared" si="110"/>
        <v>266.02684075901385</v>
      </c>
      <c r="IX22">
        <f t="shared" si="110"/>
        <v>278.03556498330124</v>
      </c>
      <c r="IY22">
        <f t="shared" si="110"/>
        <v>309.69209355447441</v>
      </c>
      <c r="IZ22">
        <f t="shared" si="110"/>
        <v>326.9135635659307</v>
      </c>
      <c r="JA22">
        <f t="shared" ref="JA22:LL22" si="111">IZ22*(1+JA11)</f>
        <v>311.46425171073975</v>
      </c>
      <c r="JB22">
        <f t="shared" si="111"/>
        <v>310.07758330268916</v>
      </c>
      <c r="JC22">
        <f t="shared" si="111"/>
        <v>303.7136330010706</v>
      </c>
      <c r="JD22">
        <f t="shared" si="111"/>
        <v>277.48239715643916</v>
      </c>
      <c r="JE22">
        <f t="shared" si="111"/>
        <v>263.58621851653839</v>
      </c>
      <c r="JF22">
        <f t="shared" si="111"/>
        <v>260.10050530580224</v>
      </c>
      <c r="JG22">
        <f t="shared" si="111"/>
        <v>258.25851170705425</v>
      </c>
      <c r="JH22">
        <f t="shared" si="111"/>
        <v>287.16300100240591</v>
      </c>
      <c r="JI22">
        <f t="shared" si="111"/>
        <v>330.02534296000573</v>
      </c>
      <c r="JJ22">
        <f t="shared" si="111"/>
        <v>289.21590081744841</v>
      </c>
      <c r="JK22">
        <f t="shared" si="111"/>
        <v>318.54963847399904</v>
      </c>
      <c r="JL22">
        <f t="shared" si="111"/>
        <v>330.74280825532929</v>
      </c>
      <c r="JM22">
        <f t="shared" si="111"/>
        <v>345.43413833993594</v>
      </c>
      <c r="JN22">
        <f t="shared" si="111"/>
        <v>383.6964160785555</v>
      </c>
      <c r="JO22">
        <f t="shared" si="111"/>
        <v>401.36428636870073</v>
      </c>
      <c r="JP22">
        <f t="shared" si="111"/>
        <v>428.22856850293289</v>
      </c>
      <c r="JQ22">
        <f t="shared" si="111"/>
        <v>383.04529584963035</v>
      </c>
      <c r="JR22">
        <f t="shared" si="111"/>
        <v>408.88548354701464</v>
      </c>
      <c r="JS22">
        <f t="shared" si="111"/>
        <v>403.89039288244402</v>
      </c>
      <c r="JT22">
        <f t="shared" si="111"/>
        <v>423.18616008711052</v>
      </c>
      <c r="JU22">
        <f t="shared" si="111"/>
        <v>458.58997813949264</v>
      </c>
      <c r="JV22">
        <f t="shared" si="111"/>
        <v>457.60071372893549</v>
      </c>
      <c r="JW22">
        <f t="shared" si="111"/>
        <v>491.22117876743118</v>
      </c>
      <c r="JX22">
        <f t="shared" si="111"/>
        <v>447.92558695704957</v>
      </c>
      <c r="JY22">
        <f t="shared" si="111"/>
        <v>431.72354270037488</v>
      </c>
      <c r="JZ22">
        <f t="shared" si="111"/>
        <v>448.66628170083987</v>
      </c>
      <c r="KA22">
        <f t="shared" si="111"/>
        <v>519.39498974036144</v>
      </c>
      <c r="KB22">
        <f t="shared" si="111"/>
        <v>510.71241618043047</v>
      </c>
      <c r="KC22">
        <f t="shared" si="111"/>
        <v>467.10837127868081</v>
      </c>
      <c r="KD22">
        <f t="shared" si="111"/>
        <v>445.19289645517944</v>
      </c>
      <c r="KE22">
        <f t="shared" si="111"/>
        <v>483.63133921001145</v>
      </c>
      <c r="KF22">
        <f t="shared" si="111"/>
        <v>461.05883802563415</v>
      </c>
      <c r="KG22">
        <f t="shared" si="111"/>
        <v>488.10132105804746</v>
      </c>
      <c r="KH22">
        <f t="shared" si="111"/>
        <v>402.49408143257</v>
      </c>
      <c r="KI22">
        <f t="shared" si="111"/>
        <v>390.31582233703421</v>
      </c>
      <c r="KJ22">
        <f t="shared" si="111"/>
        <v>417.51600587030254</v>
      </c>
      <c r="KK22">
        <f t="shared" si="111"/>
        <v>427.14248254335803</v>
      </c>
      <c r="KL22">
        <f t="shared" si="111"/>
        <v>424.14824197846701</v>
      </c>
      <c r="KM22">
        <f t="shared" si="111"/>
        <v>413.0868963289854</v>
      </c>
      <c r="KN22">
        <f t="shared" si="111"/>
        <v>400.56627303497373</v>
      </c>
      <c r="KO22">
        <f t="shared" si="111"/>
        <v>362.31574890750528</v>
      </c>
      <c r="KP22">
        <f t="shared" si="111"/>
        <v>348.32383694678748</v>
      </c>
      <c r="KQ22">
        <f t="shared" si="111"/>
        <v>361.24902424952711</v>
      </c>
      <c r="KR22">
        <f t="shared" si="111"/>
        <v>370.96368325336539</v>
      </c>
      <c r="KS22">
        <f t="shared" si="111"/>
        <v>342.68119350322218</v>
      </c>
      <c r="KT22">
        <f t="shared" si="111"/>
        <v>352.4738942199856</v>
      </c>
      <c r="KU22">
        <f t="shared" si="111"/>
        <v>355.86632691212748</v>
      </c>
      <c r="KV22">
        <f t="shared" si="111"/>
        <v>341.78447261227808</v>
      </c>
      <c r="KW22">
        <f t="shared" si="111"/>
        <v>323.95083357423329</v>
      </c>
      <c r="KX22">
        <f t="shared" si="111"/>
        <v>352.26229182348419</v>
      </c>
      <c r="KY22">
        <f t="shared" si="111"/>
        <v>333.62702901705313</v>
      </c>
      <c r="KZ22">
        <f t="shared" si="111"/>
        <v>339.93020085804909</v>
      </c>
      <c r="LA22">
        <f t="shared" si="111"/>
        <v>349.38248213390585</v>
      </c>
      <c r="LB22">
        <f t="shared" si="111"/>
        <v>362.11260175821565</v>
      </c>
      <c r="LC22">
        <f t="shared" si="111"/>
        <v>351.80190720220611</v>
      </c>
      <c r="LD22">
        <f t="shared" si="111"/>
        <v>375.01440584735127</v>
      </c>
      <c r="LE22">
        <f t="shared" si="111"/>
        <v>372.00364918242417</v>
      </c>
      <c r="LF22">
        <f t="shared" si="111"/>
        <v>383.27515417960518</v>
      </c>
      <c r="LG22">
        <f t="shared" si="111"/>
        <v>353.97369753628135</v>
      </c>
      <c r="LH22">
        <f t="shared" si="111"/>
        <v>335.87415635030266</v>
      </c>
      <c r="LI22">
        <f t="shared" si="111"/>
        <v>321.59692181601906</v>
      </c>
      <c r="LJ22">
        <f t="shared" si="111"/>
        <v>317.40236854670309</v>
      </c>
      <c r="LK22">
        <f t="shared" si="111"/>
        <v>315.56495228936336</v>
      </c>
      <c r="LL22">
        <f t="shared" si="111"/>
        <v>305.91345120503144</v>
      </c>
      <c r="LM22">
        <f t="shared" ref="LM22:NX22" si="112">LL22*(1+LM11)</f>
        <v>277.18461623285447</v>
      </c>
      <c r="LN22">
        <f t="shared" si="112"/>
        <v>282.48899193752368</v>
      </c>
      <c r="LO22">
        <f t="shared" si="112"/>
        <v>289.23440968271439</v>
      </c>
      <c r="LP22">
        <f t="shared" si="112"/>
        <v>262.73424201268892</v>
      </c>
      <c r="LQ22">
        <f t="shared" si="112"/>
        <v>269.80098960049605</v>
      </c>
      <c r="LR22">
        <f t="shared" si="112"/>
        <v>243.75493021783126</v>
      </c>
      <c r="LS22">
        <f t="shared" si="112"/>
        <v>251.5976355177593</v>
      </c>
      <c r="LT22">
        <f t="shared" si="112"/>
        <v>237.56147791579264</v>
      </c>
      <c r="LU22">
        <f t="shared" si="112"/>
        <v>239.03766082305319</v>
      </c>
      <c r="LV22">
        <f t="shared" si="112"/>
        <v>208.02554474801244</v>
      </c>
      <c r="LW22">
        <f t="shared" si="112"/>
        <v>212.98980300793309</v>
      </c>
      <c r="LX22">
        <f t="shared" si="112"/>
        <v>209.76164483462492</v>
      </c>
      <c r="LY22">
        <f t="shared" si="112"/>
        <v>223.38799571926728</v>
      </c>
      <c r="LZ22">
        <f t="shared" si="112"/>
        <v>220.91489116608153</v>
      </c>
      <c r="MA22">
        <f t="shared" si="112"/>
        <v>211.63855086951685</v>
      </c>
      <c r="MB22">
        <f t="shared" si="112"/>
        <v>214.15410547920757</v>
      </c>
      <c r="MC22">
        <f t="shared" si="112"/>
        <v>210.58289439479177</v>
      </c>
      <c r="MD22">
        <f t="shared" si="112"/>
        <v>213.67350930694499</v>
      </c>
      <c r="ME22">
        <f t="shared" si="112"/>
        <v>211.05918781830206</v>
      </c>
      <c r="MF22">
        <f t="shared" si="112"/>
        <v>213.95238770896475</v>
      </c>
      <c r="MG22">
        <f t="shared" si="112"/>
        <v>224.32139929663353</v>
      </c>
      <c r="MH22">
        <f t="shared" si="112"/>
        <v>209.04559997864359</v>
      </c>
      <c r="MI22">
        <f t="shared" si="112"/>
        <v>216.2377572768074</v>
      </c>
      <c r="MJ22">
        <f t="shared" si="112"/>
        <v>219.2315020198381</v>
      </c>
      <c r="MK22">
        <f t="shared" si="112"/>
        <v>229.19968492474234</v>
      </c>
      <c r="ML22">
        <f t="shared" si="112"/>
        <v>215.7199530305509</v>
      </c>
      <c r="MM22">
        <f t="shared" si="112"/>
        <v>224.70143956131679</v>
      </c>
      <c r="MN22">
        <f t="shared" si="112"/>
        <v>240.58337763892959</v>
      </c>
      <c r="MO22">
        <f t="shared" si="112"/>
        <v>226.50547850303641</v>
      </c>
      <c r="MP22">
        <f t="shared" si="112"/>
        <v>223.05556431278046</v>
      </c>
      <c r="MQ22">
        <f t="shared" si="112"/>
        <v>221.94287529423693</v>
      </c>
      <c r="MR22">
        <f t="shared" si="112"/>
        <v>234.86706341862947</v>
      </c>
      <c r="MS22">
        <f t="shared" si="112"/>
        <v>211.03644523258853</v>
      </c>
      <c r="MT22">
        <f t="shared" si="112"/>
        <v>227.59819657343866</v>
      </c>
      <c r="MU22">
        <f t="shared" si="112"/>
        <v>217.14837310335363</v>
      </c>
      <c r="MV22">
        <f t="shared" si="112"/>
        <v>227.53591253679249</v>
      </c>
      <c r="MW22">
        <f t="shared" si="112"/>
        <v>233.17514852710022</v>
      </c>
      <c r="MX22">
        <f t="shared" si="112"/>
        <v>236.74943404781067</v>
      </c>
      <c r="MY22">
        <f t="shared" si="112"/>
        <v>213.76590023624607</v>
      </c>
      <c r="MZ22">
        <f t="shared" si="112"/>
        <v>213.98816979603328</v>
      </c>
      <c r="NA22">
        <f t="shared" si="112"/>
        <v>218.22584638643332</v>
      </c>
      <c r="NB22">
        <f t="shared" si="112"/>
        <v>214.55083843422136</v>
      </c>
      <c r="NC22">
        <f t="shared" si="112"/>
        <v>213.836253063676</v>
      </c>
      <c r="ND22">
        <f t="shared" si="112"/>
        <v>229.77103554715043</v>
      </c>
      <c r="NE22">
        <f t="shared" si="112"/>
        <v>237.34181543241803</v>
      </c>
      <c r="NF22">
        <f t="shared" si="112"/>
        <v>232.69589594139887</v>
      </c>
      <c r="NG22">
        <f t="shared" si="112"/>
        <v>242.07011021742093</v>
      </c>
      <c r="NH22">
        <f t="shared" si="112"/>
        <v>231.92745108330496</v>
      </c>
      <c r="NI22">
        <f t="shared" si="112"/>
        <v>210.25536991114024</v>
      </c>
      <c r="NJ22">
        <f t="shared" si="112"/>
        <v>203.88163852726399</v>
      </c>
      <c r="NK22">
        <f t="shared" si="112"/>
        <v>185.9628879559169</v>
      </c>
      <c r="NL22">
        <f t="shared" si="112"/>
        <v>182.02416042917002</v>
      </c>
      <c r="NM22">
        <f t="shared" si="112"/>
        <v>183.27119248697778</v>
      </c>
      <c r="NN22">
        <f t="shared" si="112"/>
        <v>192.53572030237387</v>
      </c>
      <c r="NO22">
        <f t="shared" si="112"/>
        <v>196.74332854463651</v>
      </c>
      <c r="NP22">
        <f t="shared" si="112"/>
        <v>192.43400397756756</v>
      </c>
      <c r="NQ22">
        <f t="shared" si="112"/>
        <v>201.96664214290143</v>
      </c>
      <c r="NR22">
        <f t="shared" si="112"/>
        <v>202.69322064488435</v>
      </c>
      <c r="NS22">
        <f t="shared" si="112"/>
        <v>198.89224499417094</v>
      </c>
      <c r="NT22">
        <f t="shared" si="112"/>
        <v>199.73091519867017</v>
      </c>
      <c r="NU22">
        <f t="shared" si="112"/>
        <v>205.84481842794762</v>
      </c>
      <c r="NV22">
        <f t="shared" si="112"/>
        <v>198.69740840848246</v>
      </c>
      <c r="NW22">
        <f t="shared" si="112"/>
        <v>183.93164535263878</v>
      </c>
      <c r="NX22">
        <f t="shared" si="112"/>
        <v>180.65930082769177</v>
      </c>
      <c r="NY22">
        <f t="shared" ref="NY22:QJ22" si="113">NX22*(1+NY11)</f>
        <v>187.51589139862034</v>
      </c>
      <c r="NZ22">
        <f t="shared" si="113"/>
        <v>186.43499278362381</v>
      </c>
      <c r="OA22">
        <f t="shared" si="113"/>
        <v>179.41429281451212</v>
      </c>
      <c r="OB22">
        <f t="shared" si="113"/>
        <v>180.90215768731912</v>
      </c>
      <c r="OC22">
        <f t="shared" si="113"/>
        <v>179.6092909191465</v>
      </c>
      <c r="OD22">
        <f t="shared" si="113"/>
        <v>166.96944469777074</v>
      </c>
      <c r="OE22">
        <f t="shared" si="113"/>
        <v>169.1115943642873</v>
      </c>
      <c r="OF22">
        <f t="shared" si="113"/>
        <v>171.85837596780166</v>
      </c>
      <c r="OG22">
        <f t="shared" si="113"/>
        <v>155.3633474062471</v>
      </c>
      <c r="OH22">
        <f t="shared" si="113"/>
        <v>158.25294455792465</v>
      </c>
      <c r="OI22">
        <f t="shared" si="113"/>
        <v>166.06067482758456</v>
      </c>
      <c r="OJ22">
        <f t="shared" si="113"/>
        <v>158.52227425556927</v>
      </c>
      <c r="OK22">
        <f t="shared" si="113"/>
        <v>158.3418587219453</v>
      </c>
      <c r="OL22">
        <f t="shared" si="113"/>
        <v>165.2522589305415</v>
      </c>
      <c r="OM22">
        <f t="shared" si="113"/>
        <v>163.9686176630434</v>
      </c>
      <c r="ON22">
        <f t="shared" si="113"/>
        <v>165.91262679081561</v>
      </c>
      <c r="OO22">
        <f t="shared" si="113"/>
        <v>170.57275297958657</v>
      </c>
      <c r="OP22">
        <f t="shared" si="113"/>
        <v>160.91214486626492</v>
      </c>
      <c r="OQ22">
        <f t="shared" si="113"/>
        <v>154.75523051804299</v>
      </c>
      <c r="OR22">
        <f t="shared" si="113"/>
        <v>134.2573173952392</v>
      </c>
      <c r="OS22">
        <f t="shared" si="113"/>
        <v>130.46746861189482</v>
      </c>
      <c r="OT22">
        <f t="shared" si="113"/>
        <v>122.57477419915986</v>
      </c>
      <c r="OU22">
        <f t="shared" si="113"/>
        <v>126.13308256630836</v>
      </c>
      <c r="OV22">
        <f t="shared" si="113"/>
        <v>136.39226550341073</v>
      </c>
      <c r="OW22">
        <f t="shared" si="113"/>
        <v>127.37003900068163</v>
      </c>
      <c r="OX22">
        <f t="shared" si="113"/>
        <v>139.86051631890959</v>
      </c>
      <c r="OY22">
        <f t="shared" si="113"/>
        <v>120.34846389841061</v>
      </c>
      <c r="OZ22">
        <f t="shared" si="113"/>
        <v>114.31283631496119</v>
      </c>
      <c r="PA22">
        <f t="shared" si="113"/>
        <v>111.85084709749533</v>
      </c>
      <c r="PB22">
        <f t="shared" si="113"/>
        <v>113.48832988739488</v>
      </c>
      <c r="PC22">
        <f t="shared" si="113"/>
        <v>111.15785739703296</v>
      </c>
      <c r="PD22">
        <f t="shared" si="113"/>
        <v>126.81654059770922</v>
      </c>
      <c r="PE22">
        <f t="shared" si="113"/>
        <v>121.84195337295351</v>
      </c>
      <c r="PF22">
        <f t="shared" si="113"/>
        <v>118.25495516688558</v>
      </c>
      <c r="PG22">
        <f t="shared" si="113"/>
        <v>121.10228241910106</v>
      </c>
      <c r="PH22">
        <f t="shared" si="113"/>
        <v>123.32669648398526</v>
      </c>
      <c r="PI22">
        <f t="shared" si="113"/>
        <v>129.87334413561544</v>
      </c>
      <c r="PJ22">
        <f t="shared" si="113"/>
        <v>125.02270151167025</v>
      </c>
      <c r="PK22">
        <f t="shared" si="113"/>
        <v>112.42738437607363</v>
      </c>
      <c r="PL22">
        <f t="shared" si="113"/>
        <v>112.33645286087939</v>
      </c>
      <c r="PM22">
        <f t="shared" si="113"/>
        <v>123.95577302116261</v>
      </c>
      <c r="PN22">
        <f t="shared" si="113"/>
        <v>132.46641845568436</v>
      </c>
      <c r="PO22">
        <f t="shared" si="113"/>
        <v>133.04261291934742</v>
      </c>
      <c r="PP22">
        <f t="shared" si="113"/>
        <v>132.24428787335398</v>
      </c>
      <c r="PQ22">
        <f t="shared" si="113"/>
        <v>114.69542615557334</v>
      </c>
      <c r="PR22">
        <f t="shared" si="113"/>
        <v>111.73920958308692</v>
      </c>
      <c r="PS22">
        <f t="shared" si="113"/>
        <v>117.6770821839746</v>
      </c>
      <c r="PT22">
        <f t="shared" si="113"/>
        <v>116.32057241575681</v>
      </c>
      <c r="PU22">
        <f t="shared" si="113"/>
        <v>117.79122309676981</v>
      </c>
      <c r="PV22">
        <f t="shared" si="113"/>
        <v>119.24675032198618</v>
      </c>
      <c r="PW22">
        <f t="shared" si="113"/>
        <v>121.6490630432573</v>
      </c>
      <c r="PX22">
        <f t="shared" si="113"/>
        <v>113.18841993630028</v>
      </c>
      <c r="PY22">
        <f t="shared" si="113"/>
        <v>113.70387839948661</v>
      </c>
      <c r="PZ22">
        <f t="shared" si="113"/>
        <v>118.08253537805406</v>
      </c>
      <c r="QA22">
        <f t="shared" si="113"/>
        <v>121.14919637613042</v>
      </c>
      <c r="QB22">
        <f t="shared" si="113"/>
        <v>117.45219916714699</v>
      </c>
      <c r="QC22">
        <f t="shared" si="113"/>
        <v>115.61079066856064</v>
      </c>
      <c r="QD22">
        <f t="shared" si="113"/>
        <v>124.34551838989239</v>
      </c>
      <c r="QE22">
        <f t="shared" si="113"/>
        <v>137.1375755148359</v>
      </c>
      <c r="QF22">
        <f t="shared" si="113"/>
        <v>130.85905624829221</v>
      </c>
      <c r="QG22">
        <f t="shared" si="113"/>
        <v>129.31701001228805</v>
      </c>
      <c r="QH22">
        <f t="shared" si="113"/>
        <v>131.62485247940151</v>
      </c>
      <c r="QI22">
        <f t="shared" si="113"/>
        <v>126.88217324447801</v>
      </c>
      <c r="QJ22">
        <f t="shared" si="113"/>
        <v>122.05614387251684</v>
      </c>
      <c r="QK22">
        <f t="shared" ref="QK22:SV22" si="114">QJ22*(1+QK11)</f>
        <v>128.95025875458637</v>
      </c>
      <c r="QL22">
        <f t="shared" si="114"/>
        <v>126.64036752640098</v>
      </c>
      <c r="QM22">
        <f t="shared" si="114"/>
        <v>128.8563148699335</v>
      </c>
      <c r="QN22">
        <f t="shared" si="114"/>
        <v>115.08251341231201</v>
      </c>
      <c r="QO22">
        <f t="shared" si="114"/>
        <v>119.64123876910439</v>
      </c>
      <c r="QP22">
        <f t="shared" si="114"/>
        <v>119.86431563233857</v>
      </c>
      <c r="QQ22">
        <f t="shared" si="114"/>
        <v>118.43820421977034</v>
      </c>
      <c r="QR22">
        <f t="shared" si="114"/>
        <v>115.80357866223216</v>
      </c>
      <c r="QS22">
        <f t="shared" si="114"/>
        <v>108.26650058277181</v>
      </c>
      <c r="QT22">
        <f t="shared" si="114"/>
        <v>108.93499143095529</v>
      </c>
      <c r="QU22">
        <f t="shared" si="114"/>
        <v>118.95829638676229</v>
      </c>
      <c r="QV22">
        <f t="shared" si="114"/>
        <v>112.85526831278619</v>
      </c>
      <c r="QW22">
        <f t="shared" si="114"/>
        <v>110.45492948649564</v>
      </c>
      <c r="QX22">
        <f t="shared" si="114"/>
        <v>114.77645219173291</v>
      </c>
      <c r="QY22">
        <f t="shared" si="114"/>
        <v>119.86646837199331</v>
      </c>
      <c r="QZ22">
        <f t="shared" si="114"/>
        <v>115.51368064144124</v>
      </c>
      <c r="RA22">
        <f t="shared" si="114"/>
        <v>121.63580128555574</v>
      </c>
      <c r="RB22">
        <f t="shared" si="114"/>
        <v>126.20033414338181</v>
      </c>
      <c r="RC22">
        <f t="shared" si="114"/>
        <v>126.03544197241187</v>
      </c>
      <c r="RD22">
        <f t="shared" si="114"/>
        <v>127.33932303797872</v>
      </c>
      <c r="RE22">
        <f t="shared" si="114"/>
        <v>127.52383930177145</v>
      </c>
      <c r="RF22">
        <f t="shared" si="114"/>
        <v>129.93545659735344</v>
      </c>
      <c r="RG22">
        <f t="shared" si="114"/>
        <v>126.19724156875702</v>
      </c>
      <c r="RH22">
        <f t="shared" si="114"/>
        <v>117.99097996671772</v>
      </c>
      <c r="RI22">
        <f t="shared" si="114"/>
        <v>113.44607311089305</v>
      </c>
      <c r="RJ22">
        <f t="shared" si="114"/>
        <v>110.01610323864766</v>
      </c>
      <c r="RK22">
        <f t="shared" si="114"/>
        <v>119.62118294741612</v>
      </c>
      <c r="RL22">
        <f t="shared" si="114"/>
        <v>130.88448849990249</v>
      </c>
      <c r="RM22">
        <f t="shared" si="114"/>
        <v>137.35174511608767</v>
      </c>
      <c r="RN22">
        <f t="shared" si="114"/>
        <v>136.79807339067725</v>
      </c>
      <c r="RO22">
        <f t="shared" si="114"/>
        <v>147.9992725764134</v>
      </c>
      <c r="RP22">
        <f t="shared" si="114"/>
        <v>147.81585550762009</v>
      </c>
      <c r="RQ22">
        <f t="shared" si="114"/>
        <v>150.0582717201421</v>
      </c>
      <c r="RR22">
        <f t="shared" si="114"/>
        <v>151.79410490458346</v>
      </c>
      <c r="RS22">
        <f t="shared" si="114"/>
        <v>154.12518413921049</v>
      </c>
      <c r="RT22">
        <f t="shared" si="114"/>
        <v>152.50475461150592</v>
      </c>
      <c r="RU22">
        <f t="shared" si="114"/>
        <v>158.7852883095575</v>
      </c>
      <c r="RV22">
        <f t="shared" si="114"/>
        <v>159.29148664103744</v>
      </c>
      <c r="RW22">
        <f t="shared" si="114"/>
        <v>167.13632488272614</v>
      </c>
      <c r="RX22">
        <f t="shared" si="114"/>
        <v>169.96579778132667</v>
      </c>
      <c r="RY22">
        <f t="shared" si="114"/>
        <v>163.60981353463387</v>
      </c>
      <c r="RZ22">
        <f t="shared" si="114"/>
        <v>166.6935928758065</v>
      </c>
      <c r="SA22">
        <f t="shared" si="114"/>
        <v>164.05661364314116</v>
      </c>
      <c r="SB22">
        <f t="shared" si="114"/>
        <v>172.91251116239616</v>
      </c>
      <c r="SC22">
        <f t="shared" si="114"/>
        <v>180.80339140420435</v>
      </c>
      <c r="SD22">
        <f t="shared" si="114"/>
        <v>180.03362931567744</v>
      </c>
      <c r="SE22">
        <f t="shared" si="114"/>
        <v>177.00229301860887</v>
      </c>
      <c r="SF22">
        <f t="shared" si="114"/>
        <v>190.89865093744859</v>
      </c>
      <c r="SG22">
        <f t="shared" si="114"/>
        <v>187.61915642932982</v>
      </c>
      <c r="SH22">
        <f t="shared" si="114"/>
        <v>167.9546452441547</v>
      </c>
      <c r="SI22">
        <f t="shared" si="114"/>
        <v>177.55541209086107</v>
      </c>
      <c r="SJ22">
        <f t="shared" si="114"/>
        <v>165.27572068097501</v>
      </c>
      <c r="SK22">
        <f t="shared" si="114"/>
        <v>148.74134451894577</v>
      </c>
      <c r="SL22">
        <f t="shared" si="114"/>
        <v>142.647892233394</v>
      </c>
      <c r="SM22">
        <f t="shared" si="114"/>
        <v>128.52042435348324</v>
      </c>
      <c r="SN22">
        <f t="shared" si="114"/>
        <v>141.5381119097737</v>
      </c>
      <c r="SO22">
        <f t="shared" si="114"/>
        <v>147.95921121047994</v>
      </c>
      <c r="SP22">
        <f t="shared" si="114"/>
        <v>141.69356422054372</v>
      </c>
      <c r="SQ22">
        <f t="shared" si="114"/>
        <v>147.52928370895253</v>
      </c>
      <c r="SR22">
        <f t="shared" si="114"/>
        <v>137.72734940907912</v>
      </c>
      <c r="SS22">
        <f t="shared" si="114"/>
        <v>130.78699667728671</v>
      </c>
      <c r="ST22">
        <f t="shared" si="114"/>
        <v>129.92195686962657</v>
      </c>
      <c r="SU22">
        <f t="shared" si="114"/>
        <v>119.49920921623598</v>
      </c>
      <c r="SV22">
        <f t="shared" si="114"/>
        <v>135.08748677071623</v>
      </c>
      <c r="SW22">
        <f t="shared" ref="SW22:VH22" si="115">SV22*(1+SW11)</f>
        <v>131.23152254321215</v>
      </c>
      <c r="SX22">
        <f t="shared" si="115"/>
        <v>127.99410738449016</v>
      </c>
      <c r="SY22">
        <f t="shared" si="115"/>
        <v>123.84400048669229</v>
      </c>
      <c r="SZ22">
        <f t="shared" si="115"/>
        <v>123.98216329694331</v>
      </c>
      <c r="TA22">
        <f t="shared" si="115"/>
        <v>117.25298530980979</v>
      </c>
      <c r="TB22">
        <f t="shared" si="115"/>
        <v>115.90173214901363</v>
      </c>
      <c r="TC22">
        <f t="shared" si="115"/>
        <v>119.59226334138114</v>
      </c>
      <c r="TD22">
        <f t="shared" si="115"/>
        <v>123.54470950306616</v>
      </c>
      <c r="TE22">
        <f t="shared" si="115"/>
        <v>123.91085993422514</v>
      </c>
      <c r="TF22">
        <f t="shared" si="115"/>
        <v>135.04594053857602</v>
      </c>
      <c r="TG22">
        <f t="shared" si="115"/>
        <v>128.10601407055475</v>
      </c>
      <c r="TH22">
        <f t="shared" si="115"/>
        <v>127.44508682821031</v>
      </c>
      <c r="TI22">
        <f t="shared" si="115"/>
        <v>134.19327361517887</v>
      </c>
      <c r="TJ22">
        <f t="shared" si="115"/>
        <v>137.7754934464929</v>
      </c>
      <c r="TK22">
        <f t="shared" si="115"/>
        <v>133.34945595618083</v>
      </c>
      <c r="TL22">
        <f t="shared" si="115"/>
        <v>123.66720548580669</v>
      </c>
      <c r="TM22">
        <f t="shared" si="115"/>
        <v>134.59321309936087</v>
      </c>
      <c r="TN22">
        <f t="shared" si="115"/>
        <v>131.34337970535168</v>
      </c>
      <c r="TO22">
        <f t="shared" si="115"/>
        <v>129.93403531804609</v>
      </c>
      <c r="TP22">
        <f t="shared" si="115"/>
        <v>143.13248458354215</v>
      </c>
      <c r="TQ22">
        <f t="shared" si="115"/>
        <v>142.31957338838103</v>
      </c>
      <c r="TR22">
        <f t="shared" si="115"/>
        <v>151.69385974768144</v>
      </c>
      <c r="TS22">
        <f t="shared" si="115"/>
        <v>157.9626476422217</v>
      </c>
      <c r="TT22">
        <f t="shared" si="115"/>
        <v>163.24664582821981</v>
      </c>
      <c r="TU22">
        <f t="shared" si="115"/>
        <v>163.60950746360524</v>
      </c>
      <c r="TV22">
        <f t="shared" si="115"/>
        <v>163.95199777068356</v>
      </c>
      <c r="TW22">
        <f t="shared" si="115"/>
        <v>161.90040166538387</v>
      </c>
      <c r="TX22">
        <f t="shared" si="115"/>
        <v>169.71071342368782</v>
      </c>
      <c r="TY22">
        <f t="shared" si="115"/>
        <v>166.86658685582336</v>
      </c>
      <c r="TZ22">
        <f t="shared" si="115"/>
        <v>167.25511184588095</v>
      </c>
      <c r="UA22">
        <f t="shared" si="115"/>
        <v>157.48258252487324</v>
      </c>
      <c r="UB22">
        <f t="shared" si="115"/>
        <v>159.93261183987005</v>
      </c>
      <c r="UC22">
        <f t="shared" si="115"/>
        <v>158.5464360266779</v>
      </c>
      <c r="UD22">
        <f t="shared" si="115"/>
        <v>156.13160379041759</v>
      </c>
      <c r="UE22">
        <f t="shared" si="115"/>
        <v>171.18866144457741</v>
      </c>
      <c r="UF22">
        <f t="shared" si="115"/>
        <v>174.70811379372648</v>
      </c>
      <c r="UG22">
        <f t="shared" si="115"/>
        <v>178.69597158822356</v>
      </c>
      <c r="UH22">
        <f t="shared" si="115"/>
        <v>181.37768077507684</v>
      </c>
      <c r="UI22">
        <f t="shared" si="115"/>
        <v>176.58323869105837</v>
      </c>
      <c r="UJ22">
        <f t="shared" si="115"/>
        <v>163.02282642272655</v>
      </c>
      <c r="UK22">
        <f t="shared" si="115"/>
        <v>169.52499751650694</v>
      </c>
      <c r="UL22">
        <f t="shared" si="115"/>
        <v>167.04582569914007</v>
      </c>
      <c r="UM22">
        <f t="shared" si="115"/>
        <v>159.32372243516014</v>
      </c>
      <c r="UN22">
        <f t="shared" si="115"/>
        <v>160.88707718687002</v>
      </c>
      <c r="UO22">
        <f t="shared" si="115"/>
        <v>176.18299501682333</v>
      </c>
      <c r="UP22">
        <f t="shared" si="115"/>
        <v>168.41049872938041</v>
      </c>
      <c r="UQ22">
        <f t="shared" si="115"/>
        <v>172.55502143810565</v>
      </c>
      <c r="UR22">
        <f t="shared" si="115"/>
        <v>164.57916532543288</v>
      </c>
      <c r="US22">
        <f t="shared" si="115"/>
        <v>160.93678987606197</v>
      </c>
      <c r="UT22">
        <f t="shared" si="115"/>
        <v>158.71596389185302</v>
      </c>
      <c r="UU22">
        <f t="shared" si="115"/>
        <v>166.01234843865132</v>
      </c>
      <c r="UV22">
        <f t="shared" si="115"/>
        <v>174.88958358308514</v>
      </c>
      <c r="UW22">
        <f t="shared" si="115"/>
        <v>178.73210933773635</v>
      </c>
      <c r="UX22">
        <f t="shared" si="115"/>
        <v>178.35019251110859</v>
      </c>
      <c r="UY22">
        <f t="shared" si="115"/>
        <v>175.58953493262339</v>
      </c>
      <c r="UZ22">
        <f t="shared" si="115"/>
        <v>172.81174462716169</v>
      </c>
      <c r="VA22">
        <f t="shared" si="115"/>
        <v>174.09038042842167</v>
      </c>
      <c r="VB22">
        <f t="shared" si="115"/>
        <v>165.28607227757905</v>
      </c>
      <c r="VC22">
        <f t="shared" si="115"/>
        <v>166.9430607780522</v>
      </c>
      <c r="VD22">
        <f t="shared" si="115"/>
        <v>164.14480778709188</v>
      </c>
      <c r="VE22">
        <f t="shared" si="115"/>
        <v>169.01327330629485</v>
      </c>
      <c r="VF22">
        <f t="shared" si="115"/>
        <v>174.08638901089878</v>
      </c>
      <c r="VG22">
        <f t="shared" si="115"/>
        <v>170.85711845863841</v>
      </c>
      <c r="VH22">
        <f t="shared" si="115"/>
        <v>170.36044069231718</v>
      </c>
      <c r="VI22">
        <f t="shared" ref="VI22:XT22" si="116">VH22*(1+VI11)</f>
        <v>169.07847252987892</v>
      </c>
      <c r="VJ22">
        <f t="shared" si="116"/>
        <v>166.30709322341011</v>
      </c>
      <c r="VK22">
        <f t="shared" si="116"/>
        <v>170.12804811893432</v>
      </c>
      <c r="VL22">
        <f t="shared" si="116"/>
        <v>175.98969374025887</v>
      </c>
      <c r="VM22">
        <f t="shared" si="116"/>
        <v>161.81888083025942</v>
      </c>
      <c r="VN22">
        <f t="shared" si="116"/>
        <v>165.69235747644132</v>
      </c>
      <c r="VO22">
        <f t="shared" si="116"/>
        <v>163.39023346385002</v>
      </c>
      <c r="VP22">
        <f t="shared" si="116"/>
        <v>157.84343665937328</v>
      </c>
      <c r="VQ22">
        <f t="shared" si="116"/>
        <v>160.53545955593151</v>
      </c>
      <c r="VR22">
        <f t="shared" si="116"/>
        <v>163.56040315531911</v>
      </c>
      <c r="VS22">
        <f t="shared" si="116"/>
        <v>156.855860957923</v>
      </c>
      <c r="VT22">
        <f t="shared" si="116"/>
        <v>146.53099569317851</v>
      </c>
      <c r="VU22">
        <f t="shared" si="116"/>
        <v>136.85199683779035</v>
      </c>
      <c r="VV22">
        <f t="shared" si="116"/>
        <v>138.35239950074109</v>
      </c>
      <c r="VW22">
        <f t="shared" si="116"/>
        <v>136.94176213587352</v>
      </c>
      <c r="VX22">
        <f t="shared" si="116"/>
        <v>132.53307876928255</v>
      </c>
      <c r="VY22">
        <f t="shared" si="116"/>
        <v>134.37976626411174</v>
      </c>
      <c r="VZ22">
        <f t="shared" si="116"/>
        <v>130.3261584623271</v>
      </c>
      <c r="WA22">
        <f t="shared" si="116"/>
        <v>138.90303815115294</v>
      </c>
      <c r="WB22">
        <f t="shared" si="116"/>
        <v>149.43829094299161</v>
      </c>
      <c r="WC22">
        <f t="shared" si="116"/>
        <v>150.69210656317412</v>
      </c>
      <c r="WD22">
        <f t="shared" si="116"/>
        <v>153.79852331616115</v>
      </c>
      <c r="WE22">
        <f t="shared" si="116"/>
        <v>155.70852368125495</v>
      </c>
      <c r="WF22">
        <f t="shared" si="116"/>
        <v>151.59044778353385</v>
      </c>
      <c r="WG22">
        <f t="shared" si="116"/>
        <v>150.95881535883956</v>
      </c>
      <c r="WH22">
        <f t="shared" si="116"/>
        <v>149.86731131542393</v>
      </c>
      <c r="WI22">
        <f t="shared" si="116"/>
        <v>145.34899167071254</v>
      </c>
      <c r="WJ22">
        <f t="shared" si="116"/>
        <v>135.55657743322166</v>
      </c>
      <c r="WK22">
        <f t="shared" si="116"/>
        <v>139.27624090478665</v>
      </c>
      <c r="WL22">
        <f t="shared" si="116"/>
        <v>141.01979197316993</v>
      </c>
      <c r="WM22">
        <f t="shared" si="116"/>
        <v>134.32068060986785</v>
      </c>
      <c r="WN22">
        <f t="shared" si="116"/>
        <v>142.1252153089126</v>
      </c>
      <c r="WO22">
        <f t="shared" si="116"/>
        <v>138.08679679179085</v>
      </c>
      <c r="WP22">
        <f t="shared" si="116"/>
        <v>139.99945496821164</v>
      </c>
      <c r="WQ22">
        <f t="shared" si="116"/>
        <v>133.72619127491188</v>
      </c>
      <c r="WR22">
        <f t="shared" si="116"/>
        <v>125.7703358542817</v>
      </c>
      <c r="WS22">
        <f t="shared" si="116"/>
        <v>126.64090929669295</v>
      </c>
      <c r="WT22">
        <f t="shared" si="116"/>
        <v>126.16585912371727</v>
      </c>
      <c r="WU22">
        <f t="shared" si="116"/>
        <v>131.60085870459673</v>
      </c>
      <c r="WV22">
        <f t="shared" si="116"/>
        <v>131.97736479374018</v>
      </c>
      <c r="WW22">
        <f t="shared" si="116"/>
        <v>128.84972643886829</v>
      </c>
      <c r="WX22">
        <f t="shared" si="116"/>
        <v>126.90598037088562</v>
      </c>
      <c r="WY22">
        <f t="shared" si="116"/>
        <v>129.53841209862662</v>
      </c>
      <c r="WZ22">
        <f t="shared" si="116"/>
        <v>121.71342626571153</v>
      </c>
      <c r="XA22">
        <f t="shared" si="116"/>
        <v>122.04359330652808</v>
      </c>
      <c r="XB22">
        <f t="shared" si="116"/>
        <v>122.27140621667513</v>
      </c>
      <c r="XC22">
        <f t="shared" si="116"/>
        <v>121.38347701398045</v>
      </c>
      <c r="XD22">
        <f t="shared" si="116"/>
        <v>119.81693073294994</v>
      </c>
      <c r="XE22">
        <f t="shared" si="116"/>
        <v>123.88739337753033</v>
      </c>
      <c r="XF22">
        <f t="shared" si="116"/>
        <v>119.75394494603883</v>
      </c>
      <c r="XG22">
        <f t="shared" si="116"/>
        <v>116.59394446058229</v>
      </c>
      <c r="XH22">
        <f t="shared" si="116"/>
        <v>121.56060406694537</v>
      </c>
      <c r="XI22">
        <f t="shared" si="116"/>
        <v>123.90021305342519</v>
      </c>
      <c r="XJ22">
        <f t="shared" si="116"/>
        <v>129.79645330645505</v>
      </c>
      <c r="XK22">
        <f t="shared" si="116"/>
        <v>127.54699028264878</v>
      </c>
      <c r="XL22">
        <f t="shared" si="116"/>
        <v>129.61833248332357</v>
      </c>
      <c r="XM22">
        <f t="shared" si="116"/>
        <v>131.15262188342496</v>
      </c>
      <c r="XN22">
        <f t="shared" si="116"/>
        <v>124.9077499271261</v>
      </c>
      <c r="XO22">
        <f t="shared" si="116"/>
        <v>126.00185209743809</v>
      </c>
      <c r="XP22">
        <f t="shared" si="116"/>
        <v>128.01011693422447</v>
      </c>
      <c r="XQ22">
        <f t="shared" si="116"/>
        <v>129.5586439302885</v>
      </c>
      <c r="XR22">
        <f t="shared" si="116"/>
        <v>117.97036022368805</v>
      </c>
      <c r="XS22">
        <f t="shared" si="116"/>
        <v>115.26438864969855</v>
      </c>
      <c r="XT22">
        <f t="shared" si="116"/>
        <v>114.15916359691259</v>
      </c>
      <c r="XU22">
        <f t="shared" ref="XU22:AAF22" si="117">XT22*(1+XU11)</f>
        <v>110.71426696584732</v>
      </c>
      <c r="XV22">
        <f t="shared" si="117"/>
        <v>113.12064377081201</v>
      </c>
      <c r="XW22">
        <f t="shared" si="117"/>
        <v>115.94952959393538</v>
      </c>
      <c r="XX22">
        <f t="shared" si="117"/>
        <v>112.25918623801174</v>
      </c>
      <c r="XY22">
        <f t="shared" si="117"/>
        <v>114.37363760693533</v>
      </c>
      <c r="XZ22">
        <f t="shared" si="117"/>
        <v>112.32739475675645</v>
      </c>
      <c r="YA22">
        <f t="shared" si="117"/>
        <v>112.29214867487995</v>
      </c>
      <c r="YB22">
        <f t="shared" si="117"/>
        <v>113.93885729198459</v>
      </c>
      <c r="YC22">
        <f t="shared" si="117"/>
        <v>113.23367040403171</v>
      </c>
      <c r="YD22">
        <f t="shared" si="117"/>
        <v>110.27788908454805</v>
      </c>
      <c r="YE22">
        <f t="shared" si="117"/>
        <v>112.90958027256923</v>
      </c>
      <c r="YF22">
        <f t="shared" si="117"/>
        <v>111.67021315661559</v>
      </c>
      <c r="YG22">
        <f t="shared" si="117"/>
        <v>112.90150218551365</v>
      </c>
      <c r="YH22">
        <f t="shared" si="117"/>
        <v>110.88378902631986</v>
      </c>
      <c r="YI22">
        <f t="shared" si="117"/>
        <v>105.68115746749984</v>
      </c>
      <c r="YJ22">
        <f t="shared" si="117"/>
        <v>108.51574854777836</v>
      </c>
      <c r="YK22">
        <f t="shared" si="117"/>
        <v>101.3895228412517</v>
      </c>
      <c r="YL22">
        <f t="shared" si="117"/>
        <v>97.935684462060664</v>
      </c>
      <c r="YM22">
        <f t="shared" si="117"/>
        <v>96.195116795136613</v>
      </c>
      <c r="YN22">
        <f t="shared" si="117"/>
        <v>92.826501231633983</v>
      </c>
      <c r="YO22">
        <f t="shared" si="117"/>
        <v>93.095685158604184</v>
      </c>
      <c r="YP22">
        <f t="shared" si="117"/>
        <v>95.458262617604561</v>
      </c>
      <c r="YQ22">
        <f t="shared" si="117"/>
        <v>94.38543668820401</v>
      </c>
      <c r="YR22">
        <f t="shared" si="117"/>
        <v>97.285221323419265</v>
      </c>
      <c r="YS22">
        <f t="shared" si="117"/>
        <v>84.198809490057528</v>
      </c>
      <c r="YT22">
        <f t="shared" si="117"/>
        <v>84.230012003057368</v>
      </c>
      <c r="YU22">
        <f t="shared" si="117"/>
        <v>83.706782756253503</v>
      </c>
      <c r="YV22">
        <f t="shared" si="117"/>
        <v>81.586871830338808</v>
      </c>
      <c r="YW22">
        <f t="shared" si="117"/>
        <v>84.322307842765611</v>
      </c>
      <c r="YX22">
        <f t="shared" si="117"/>
        <v>82.770905213844131</v>
      </c>
      <c r="YY22">
        <f t="shared" si="117"/>
        <v>83.98397652603083</v>
      </c>
      <c r="YZ22">
        <f t="shared" si="117"/>
        <v>84.819571979205065</v>
      </c>
      <c r="ZA22">
        <f t="shared" si="117"/>
        <v>88.091645574143172</v>
      </c>
      <c r="ZB22">
        <f t="shared" si="117"/>
        <v>89.370772545465442</v>
      </c>
      <c r="ZC22">
        <f t="shared" si="117"/>
        <v>91.301867776967271</v>
      </c>
      <c r="ZD22">
        <f t="shared" si="117"/>
        <v>95.093605991395592</v>
      </c>
      <c r="ZE22">
        <f t="shared" si="117"/>
        <v>98.764256230588813</v>
      </c>
      <c r="ZF22">
        <f t="shared" si="117"/>
        <v>99.668119659781709</v>
      </c>
      <c r="ZG22">
        <f t="shared" si="117"/>
        <v>101.31011156158623</v>
      </c>
      <c r="ZH22">
        <f t="shared" si="117"/>
        <v>104.53728726586149</v>
      </c>
      <c r="ZI22">
        <f t="shared" si="117"/>
        <v>93.303168274579335</v>
      </c>
      <c r="ZJ22">
        <f t="shared" si="117"/>
        <v>91.285467094235983</v>
      </c>
      <c r="ZK22">
        <f t="shared" si="117"/>
        <v>99.61587363808097</v>
      </c>
      <c r="ZL22">
        <f t="shared" si="117"/>
        <v>100.11402565909916</v>
      </c>
      <c r="ZM22">
        <f t="shared" si="117"/>
        <v>99.392190659285859</v>
      </c>
      <c r="ZN22">
        <f t="shared" si="117"/>
        <v>91.159830094142393</v>
      </c>
      <c r="ZO22">
        <f t="shared" si="117"/>
        <v>83.957691512299562</v>
      </c>
      <c r="ZP22">
        <f t="shared" si="117"/>
        <v>81.383545230270684</v>
      </c>
      <c r="ZQ22">
        <f t="shared" si="117"/>
        <v>77.330781664725066</v>
      </c>
      <c r="ZR22">
        <f t="shared" si="117"/>
        <v>80.988018039202089</v>
      </c>
      <c r="ZS22">
        <f t="shared" si="117"/>
        <v>78.383590883620471</v>
      </c>
      <c r="ZT22">
        <f t="shared" si="117"/>
        <v>77.475188961111556</v>
      </c>
      <c r="ZU22">
        <f t="shared" si="117"/>
        <v>64.981043634807179</v>
      </c>
      <c r="ZV22">
        <f t="shared" si="117"/>
        <v>63.969363597451512</v>
      </c>
      <c r="ZW22">
        <f t="shared" si="117"/>
        <v>70.046701795310994</v>
      </c>
      <c r="ZX22">
        <f t="shared" si="117"/>
        <v>71.145900865823847</v>
      </c>
      <c r="ZY22">
        <f t="shared" si="117"/>
        <v>72.547565520563083</v>
      </c>
      <c r="ZZ22">
        <f t="shared" si="117"/>
        <v>69.472567268221482</v>
      </c>
      <c r="AAA22">
        <f t="shared" si="117"/>
        <v>71.933329046467321</v>
      </c>
      <c r="AAB22">
        <f t="shared" si="117"/>
        <v>73.254723335781947</v>
      </c>
      <c r="AAC22">
        <f t="shared" si="117"/>
        <v>68.709836998397734</v>
      </c>
      <c r="AAD22">
        <f t="shared" si="117"/>
        <v>69.557558547740044</v>
      </c>
      <c r="AAE22">
        <f t="shared" si="117"/>
        <v>70.530236240545761</v>
      </c>
      <c r="AAF22">
        <f t="shared" si="117"/>
        <v>68.020703473774844</v>
      </c>
      <c r="AAG22">
        <f t="shared" ref="AAG22:ACR22" si="118">AAF22*(1+AAG11)</f>
        <v>72.640631678971218</v>
      </c>
      <c r="AAH22">
        <f t="shared" si="118"/>
        <v>69.484889831126452</v>
      </c>
      <c r="AAI22">
        <f t="shared" si="118"/>
        <v>68.05384305419696</v>
      </c>
      <c r="AAJ22">
        <f t="shared" si="118"/>
        <v>66.445761589171198</v>
      </c>
      <c r="AAK22">
        <f t="shared" si="118"/>
        <v>65.096131910360128</v>
      </c>
      <c r="AAL22">
        <f t="shared" si="118"/>
        <v>63.476460472452317</v>
      </c>
      <c r="AAM22">
        <f t="shared" si="118"/>
        <v>62.216801122984982</v>
      </c>
      <c r="AAN22">
        <f t="shared" si="118"/>
        <v>62.759360261070121</v>
      </c>
      <c r="AAO22">
        <f t="shared" si="118"/>
        <v>61.628091684317276</v>
      </c>
      <c r="AAP22">
        <f t="shared" si="118"/>
        <v>59.870843944978411</v>
      </c>
      <c r="AAQ22">
        <f t="shared" si="118"/>
        <v>58.565836330116234</v>
      </c>
      <c r="AAR22">
        <f t="shared" si="118"/>
        <v>57.789210040860205</v>
      </c>
      <c r="AAS22">
        <f t="shared" si="118"/>
        <v>57.49584547933258</v>
      </c>
      <c r="AAT22">
        <f t="shared" si="118"/>
        <v>61.455987431554796</v>
      </c>
      <c r="AAU22">
        <f t="shared" si="118"/>
        <v>58.482556368891643</v>
      </c>
      <c r="AAV22">
        <f t="shared" si="118"/>
        <v>59.672189301387398</v>
      </c>
      <c r="AAW22">
        <f t="shared" si="118"/>
        <v>58.479321785834742</v>
      </c>
      <c r="AAX22">
        <f t="shared" si="118"/>
        <v>60.60719095075487</v>
      </c>
      <c r="AAY22">
        <f t="shared" si="118"/>
        <v>60.735008688241614</v>
      </c>
      <c r="AAZ22">
        <f t="shared" si="118"/>
        <v>56.508721776057861</v>
      </c>
      <c r="ABA22">
        <f t="shared" si="118"/>
        <v>57.467274137368449</v>
      </c>
      <c r="ABB22">
        <f t="shared" si="118"/>
        <v>57.680555688644446</v>
      </c>
      <c r="ABC22">
        <f t="shared" si="118"/>
        <v>56.685700259829112</v>
      </c>
      <c r="ABD22">
        <f t="shared" si="118"/>
        <v>54.959477710890653</v>
      </c>
      <c r="ABE22">
        <f t="shared" si="118"/>
        <v>56.186712206525016</v>
      </c>
      <c r="ABF22">
        <f t="shared" si="118"/>
        <v>53.585132962319641</v>
      </c>
      <c r="ABG22">
        <f t="shared" si="118"/>
        <v>55.227510764900686</v>
      </c>
      <c r="ABH22">
        <f t="shared" si="118"/>
        <v>58.093505461654701</v>
      </c>
      <c r="ABI22">
        <f t="shared" si="118"/>
        <v>57.389198146557703</v>
      </c>
      <c r="ABJ22">
        <f t="shared" si="118"/>
        <v>57.78942847295022</v>
      </c>
      <c r="ABK22">
        <f t="shared" si="118"/>
        <v>59.029356058637191</v>
      </c>
      <c r="ABL22">
        <f t="shared" si="118"/>
        <v>60.437350297164599</v>
      </c>
      <c r="ABM22">
        <f t="shared" si="118"/>
        <v>58.55587852061786</v>
      </c>
      <c r="ABN22">
        <f t="shared" si="118"/>
        <v>61.343850102705836</v>
      </c>
      <c r="ABO22">
        <f t="shared" si="118"/>
        <v>57.004120747078943</v>
      </c>
      <c r="ABP22">
        <f t="shared" si="118"/>
        <v>54.18480155977641</v>
      </c>
      <c r="ABQ22">
        <f t="shared" si="118"/>
        <v>60.41831214749191</v>
      </c>
      <c r="ABR22">
        <f t="shared" si="118"/>
        <v>61.037386992356453</v>
      </c>
      <c r="ABS22">
        <f t="shared" si="118"/>
        <v>62.015526091783215</v>
      </c>
      <c r="ABT22">
        <f t="shared" si="118"/>
        <v>61.243164043498986</v>
      </c>
      <c r="ABU22">
        <f t="shared" si="118"/>
        <v>60.596416409944148</v>
      </c>
      <c r="ABV22">
        <f t="shared" si="118"/>
        <v>60.282479871293468</v>
      </c>
      <c r="ABW22">
        <f t="shared" si="118"/>
        <v>61.56222467683304</v>
      </c>
      <c r="ABX22">
        <f t="shared" si="118"/>
        <v>63.211514879992414</v>
      </c>
      <c r="ABY22">
        <f t="shared" si="118"/>
        <v>61.346231942371176</v>
      </c>
      <c r="ABZ22">
        <f t="shared" si="118"/>
        <v>58.760639074608456</v>
      </c>
      <c r="ACA22">
        <f t="shared" si="118"/>
        <v>56.671650088522419</v>
      </c>
      <c r="ACB22">
        <f t="shared" si="118"/>
        <v>55.64077713904269</v>
      </c>
      <c r="ACC22">
        <f t="shared" si="118"/>
        <v>53.048601183031643</v>
      </c>
      <c r="ACD22">
        <f t="shared" si="118"/>
        <v>53.630690427920626</v>
      </c>
      <c r="ACE22">
        <f t="shared" si="118"/>
        <v>51.887550243110255</v>
      </c>
      <c r="ACF22">
        <f t="shared" si="118"/>
        <v>52.896728166653901</v>
      </c>
      <c r="ACG22">
        <f t="shared" si="118"/>
        <v>50.790371985119563</v>
      </c>
      <c r="ACH22">
        <f t="shared" si="118"/>
        <v>47.774405972812879</v>
      </c>
      <c r="ACI22">
        <f t="shared" si="118"/>
        <v>47.759313503151233</v>
      </c>
      <c r="ACJ22">
        <f t="shared" si="118"/>
        <v>48.50382626976009</v>
      </c>
      <c r="ACK22">
        <f t="shared" si="118"/>
        <v>49.452124581321911</v>
      </c>
      <c r="ACL22">
        <f t="shared" si="118"/>
        <v>50.177127728196631</v>
      </c>
      <c r="ACM22">
        <f t="shared" si="118"/>
        <v>51.394766568059971</v>
      </c>
      <c r="ACN22">
        <f t="shared" si="118"/>
        <v>49.602480454476762</v>
      </c>
      <c r="ACO22">
        <f t="shared" si="118"/>
        <v>49.544719790525605</v>
      </c>
      <c r="ACP22">
        <f t="shared" si="118"/>
        <v>53.268600290380981</v>
      </c>
      <c r="ACQ22">
        <f t="shared" si="118"/>
        <v>54.263504173938173</v>
      </c>
      <c r="ACR22">
        <f t="shared" si="118"/>
        <v>54.857459349700257</v>
      </c>
      <c r="ACS22">
        <f t="shared" ref="ACS22:ACV22" si="119">ACR22*(1+ACS11)</f>
        <v>57.562009984698626</v>
      </c>
      <c r="ACT22">
        <f t="shared" si="119"/>
        <v>57.101582048578933</v>
      </c>
      <c r="ACU22">
        <f t="shared" si="119"/>
        <v>62.129689439311484</v>
      </c>
      <c r="ACV22">
        <f t="shared" si="119"/>
        <v>65.745140746501292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4ACD-64A1-EA46-9DC1-C42833198E90}">
  <dimension ref="A1:ACV6"/>
  <sheetViews>
    <sheetView tabSelected="1" zoomScale="92" workbookViewId="0">
      <selection activeCell="R44" sqref="R44"/>
    </sheetView>
  </sheetViews>
  <sheetFormatPr baseColWidth="10" defaultRowHeight="16" x14ac:dyDescent="0.2"/>
  <cols>
    <col min="1" max="1" width="30.6640625" customWidth="1"/>
  </cols>
  <sheetData>
    <row r="1" spans="1:776" s="8" customFormat="1" x14ac:dyDescent="0.2">
      <c r="A1" s="8" t="s">
        <v>1496</v>
      </c>
      <c r="B1" s="8" t="s">
        <v>796</v>
      </c>
      <c r="C1" s="8" t="s">
        <v>797</v>
      </c>
      <c r="D1" s="8" t="s">
        <v>798</v>
      </c>
      <c r="E1" s="8" t="s">
        <v>799</v>
      </c>
      <c r="F1" s="8" t="s">
        <v>800</v>
      </c>
      <c r="G1" s="8" t="s">
        <v>801</v>
      </c>
      <c r="H1" s="8" t="s">
        <v>802</v>
      </c>
      <c r="I1" s="8" t="s">
        <v>803</v>
      </c>
      <c r="J1" s="8" t="s">
        <v>804</v>
      </c>
      <c r="K1" s="8" t="s">
        <v>805</v>
      </c>
      <c r="L1" s="8" t="s">
        <v>806</v>
      </c>
      <c r="M1" s="8" t="s">
        <v>807</v>
      </c>
      <c r="N1" s="8" t="s">
        <v>808</v>
      </c>
      <c r="O1" s="8" t="s">
        <v>809</v>
      </c>
      <c r="P1" s="8" t="s">
        <v>810</v>
      </c>
      <c r="Q1" s="8" t="s">
        <v>811</v>
      </c>
      <c r="R1" s="8" t="s">
        <v>812</v>
      </c>
      <c r="S1" s="8" t="s">
        <v>813</v>
      </c>
      <c r="T1" s="8" t="s">
        <v>814</v>
      </c>
      <c r="U1" s="8" t="s">
        <v>815</v>
      </c>
      <c r="V1" s="8" t="s">
        <v>816</v>
      </c>
      <c r="W1" s="8" t="s">
        <v>817</v>
      </c>
      <c r="X1" s="8" t="s">
        <v>818</v>
      </c>
      <c r="Y1" s="8" t="s">
        <v>819</v>
      </c>
      <c r="Z1" s="8" t="s">
        <v>820</v>
      </c>
      <c r="AA1" s="8" t="s">
        <v>821</v>
      </c>
      <c r="AB1" s="8" t="s">
        <v>822</v>
      </c>
      <c r="AC1" s="8" t="s">
        <v>823</v>
      </c>
      <c r="AD1" s="8" t="s">
        <v>824</v>
      </c>
      <c r="AE1" s="8" t="s">
        <v>825</v>
      </c>
      <c r="AF1" s="8" t="s">
        <v>826</v>
      </c>
      <c r="AG1" s="8" t="s">
        <v>827</v>
      </c>
      <c r="AH1" s="8" t="s">
        <v>828</v>
      </c>
      <c r="AI1" s="8" t="s">
        <v>829</v>
      </c>
      <c r="AJ1" s="8" t="s">
        <v>830</v>
      </c>
      <c r="AK1" s="8" t="s">
        <v>831</v>
      </c>
      <c r="AL1" s="8" t="s">
        <v>832</v>
      </c>
      <c r="AM1" s="8" t="s">
        <v>833</v>
      </c>
      <c r="AN1" s="8" t="s">
        <v>834</v>
      </c>
      <c r="AO1" s="8" t="s">
        <v>835</v>
      </c>
      <c r="AP1" s="8" t="s">
        <v>836</v>
      </c>
      <c r="AQ1" s="8" t="s">
        <v>837</v>
      </c>
      <c r="AR1" s="8" t="s">
        <v>838</v>
      </c>
      <c r="AS1" s="8" t="s">
        <v>839</v>
      </c>
      <c r="AT1" s="8" t="s">
        <v>840</v>
      </c>
      <c r="AU1" s="8" t="s">
        <v>841</v>
      </c>
      <c r="AV1" s="8" t="s">
        <v>842</v>
      </c>
      <c r="AW1" s="8" t="s">
        <v>843</v>
      </c>
      <c r="AX1" s="8" t="s">
        <v>844</v>
      </c>
      <c r="AY1" s="8" t="s">
        <v>845</v>
      </c>
      <c r="AZ1" s="8" t="s">
        <v>846</v>
      </c>
      <c r="BA1" s="8" t="s">
        <v>847</v>
      </c>
      <c r="BB1" s="8" t="s">
        <v>848</v>
      </c>
      <c r="BC1" s="8" t="s">
        <v>849</v>
      </c>
      <c r="BD1" s="8" t="s">
        <v>850</v>
      </c>
      <c r="BE1" s="8" t="s">
        <v>851</v>
      </c>
      <c r="BF1" s="8" t="s">
        <v>852</v>
      </c>
      <c r="BG1" s="8" t="s">
        <v>853</v>
      </c>
      <c r="BH1" s="8" t="s">
        <v>854</v>
      </c>
      <c r="BI1" s="8" t="s">
        <v>855</v>
      </c>
      <c r="BJ1" s="8" t="s">
        <v>856</v>
      </c>
      <c r="BK1" s="8" t="s">
        <v>857</v>
      </c>
      <c r="BL1" s="8" t="s">
        <v>858</v>
      </c>
      <c r="BM1" s="8" t="s">
        <v>859</v>
      </c>
      <c r="BN1" s="8" t="s">
        <v>860</v>
      </c>
      <c r="BO1" s="8" t="s">
        <v>861</v>
      </c>
      <c r="BP1" s="8" t="s">
        <v>862</v>
      </c>
      <c r="BQ1" s="8" t="s">
        <v>863</v>
      </c>
      <c r="BR1" s="8" t="s">
        <v>864</v>
      </c>
      <c r="BS1" s="8" t="s">
        <v>865</v>
      </c>
      <c r="BT1" s="8" t="s">
        <v>866</v>
      </c>
      <c r="BU1" s="8" t="s">
        <v>867</v>
      </c>
      <c r="BV1" s="8" t="s">
        <v>868</v>
      </c>
      <c r="BW1" s="8" t="s">
        <v>869</v>
      </c>
      <c r="BX1" s="8" t="s">
        <v>870</v>
      </c>
      <c r="BY1" s="8" t="s">
        <v>871</v>
      </c>
      <c r="BZ1" s="8" t="s">
        <v>872</v>
      </c>
      <c r="CA1" s="8" t="s">
        <v>873</v>
      </c>
      <c r="CB1" s="8" t="s">
        <v>874</v>
      </c>
      <c r="CC1" s="8" t="s">
        <v>875</v>
      </c>
      <c r="CD1" s="8" t="s">
        <v>876</v>
      </c>
      <c r="CE1" s="8" t="s">
        <v>877</v>
      </c>
      <c r="CF1" s="8" t="s">
        <v>878</v>
      </c>
      <c r="CG1" s="8" t="s">
        <v>879</v>
      </c>
      <c r="CH1" s="8" t="s">
        <v>880</v>
      </c>
      <c r="CI1" s="8" t="s">
        <v>881</v>
      </c>
      <c r="CJ1" s="8" t="s">
        <v>882</v>
      </c>
      <c r="CK1" s="8" t="s">
        <v>883</v>
      </c>
      <c r="CL1" s="8" t="s">
        <v>884</v>
      </c>
      <c r="CM1" s="8" t="s">
        <v>885</v>
      </c>
      <c r="CN1" s="8" t="s">
        <v>886</v>
      </c>
      <c r="CO1" s="8" t="s">
        <v>887</v>
      </c>
      <c r="CP1" s="8" t="s">
        <v>888</v>
      </c>
      <c r="CQ1" s="8" t="s">
        <v>889</v>
      </c>
      <c r="CR1" s="8" t="s">
        <v>890</v>
      </c>
      <c r="CS1" s="8" t="s">
        <v>891</v>
      </c>
      <c r="CT1" s="8" t="s">
        <v>892</v>
      </c>
      <c r="CU1" s="8" t="s">
        <v>893</v>
      </c>
      <c r="CV1" s="8" t="s">
        <v>894</v>
      </c>
      <c r="CW1" s="8" t="s">
        <v>895</v>
      </c>
      <c r="CX1" s="8" t="s">
        <v>896</v>
      </c>
      <c r="CY1" s="8" t="s">
        <v>897</v>
      </c>
      <c r="CZ1" s="8" t="s">
        <v>898</v>
      </c>
      <c r="DA1" s="8" t="s">
        <v>899</v>
      </c>
      <c r="DB1" s="8" t="s">
        <v>900</v>
      </c>
      <c r="DC1" s="8" t="s">
        <v>901</v>
      </c>
      <c r="DD1" s="8" t="s">
        <v>902</v>
      </c>
      <c r="DE1" s="8" t="s">
        <v>903</v>
      </c>
      <c r="DF1" s="8" t="s">
        <v>904</v>
      </c>
      <c r="DG1" s="8" t="s">
        <v>905</v>
      </c>
      <c r="DH1" s="8" t="s">
        <v>906</v>
      </c>
      <c r="DI1" s="8" t="s">
        <v>907</v>
      </c>
      <c r="DJ1" s="8" t="s">
        <v>908</v>
      </c>
      <c r="DK1" s="8" t="s">
        <v>909</v>
      </c>
      <c r="DL1" s="8" t="s">
        <v>910</v>
      </c>
      <c r="DM1" s="8" t="s">
        <v>911</v>
      </c>
      <c r="DN1" s="8" t="s">
        <v>912</v>
      </c>
      <c r="DO1" s="8" t="s">
        <v>913</v>
      </c>
      <c r="DP1" s="8" t="s">
        <v>914</v>
      </c>
      <c r="DQ1" s="8" t="s">
        <v>915</v>
      </c>
      <c r="DR1" s="8" t="s">
        <v>916</v>
      </c>
      <c r="DS1" s="8" t="s">
        <v>917</v>
      </c>
      <c r="DT1" s="8" t="s">
        <v>918</v>
      </c>
      <c r="DU1" s="8" t="s">
        <v>919</v>
      </c>
      <c r="DV1" s="8" t="s">
        <v>920</v>
      </c>
      <c r="DW1" s="8" t="s">
        <v>921</v>
      </c>
      <c r="DX1" s="8" t="s">
        <v>922</v>
      </c>
      <c r="DY1" s="8" t="s">
        <v>923</v>
      </c>
      <c r="DZ1" s="8" t="s">
        <v>924</v>
      </c>
      <c r="EA1" s="8" t="s">
        <v>925</v>
      </c>
      <c r="EB1" s="8" t="s">
        <v>926</v>
      </c>
      <c r="EC1" s="8" t="s">
        <v>927</v>
      </c>
      <c r="ED1" s="8" t="s">
        <v>928</v>
      </c>
      <c r="EE1" s="8" t="s">
        <v>929</v>
      </c>
      <c r="EF1" s="8" t="s">
        <v>930</v>
      </c>
      <c r="EG1" s="8" t="s">
        <v>931</v>
      </c>
      <c r="EH1" s="8" t="s">
        <v>932</v>
      </c>
      <c r="EI1" s="8" t="s">
        <v>933</v>
      </c>
      <c r="EJ1" s="8" t="s">
        <v>934</v>
      </c>
      <c r="EK1" s="8" t="s">
        <v>935</v>
      </c>
      <c r="EL1" s="8" t="s">
        <v>936</v>
      </c>
      <c r="EM1" s="8" t="s">
        <v>937</v>
      </c>
      <c r="EN1" s="8" t="s">
        <v>938</v>
      </c>
      <c r="EO1" s="8" t="s">
        <v>939</v>
      </c>
      <c r="EP1" s="8" t="s">
        <v>940</v>
      </c>
      <c r="EQ1" s="8" t="s">
        <v>941</v>
      </c>
      <c r="ER1" s="8" t="s">
        <v>942</v>
      </c>
      <c r="ES1" s="8" t="s">
        <v>943</v>
      </c>
      <c r="ET1" s="8" t="s">
        <v>944</v>
      </c>
      <c r="EU1" s="8" t="s">
        <v>945</v>
      </c>
      <c r="EV1" s="8" t="s">
        <v>946</v>
      </c>
      <c r="EW1" s="8" t="s">
        <v>947</v>
      </c>
      <c r="EX1" s="8" t="s">
        <v>948</v>
      </c>
      <c r="EY1" s="8" t="s">
        <v>949</v>
      </c>
      <c r="EZ1" s="8" t="s">
        <v>950</v>
      </c>
      <c r="FA1" s="8" t="s">
        <v>951</v>
      </c>
      <c r="FB1" s="8" t="s">
        <v>952</v>
      </c>
      <c r="FC1" s="8" t="s">
        <v>953</v>
      </c>
      <c r="FD1" s="8" t="s">
        <v>954</v>
      </c>
      <c r="FE1" s="8" t="s">
        <v>955</v>
      </c>
      <c r="FF1" s="8" t="s">
        <v>956</v>
      </c>
      <c r="FG1" s="8" t="s">
        <v>957</v>
      </c>
      <c r="FH1" s="8" t="s">
        <v>958</v>
      </c>
      <c r="FI1" s="8" t="s">
        <v>959</v>
      </c>
      <c r="FJ1" s="8" t="s">
        <v>960</v>
      </c>
      <c r="FK1" s="8" t="s">
        <v>961</v>
      </c>
      <c r="FL1" s="8" t="s">
        <v>962</v>
      </c>
      <c r="FM1" s="8" t="s">
        <v>963</v>
      </c>
      <c r="FN1" s="8" t="s">
        <v>964</v>
      </c>
      <c r="FO1" s="8" t="s">
        <v>965</v>
      </c>
      <c r="FP1" s="8" t="s">
        <v>966</v>
      </c>
      <c r="FQ1" s="8" t="s">
        <v>967</v>
      </c>
      <c r="FR1" s="8" t="s">
        <v>968</v>
      </c>
      <c r="FS1" s="8" t="s">
        <v>969</v>
      </c>
      <c r="FT1" s="8" t="s">
        <v>970</v>
      </c>
      <c r="FU1" s="8" t="s">
        <v>971</v>
      </c>
      <c r="FV1" s="8" t="s">
        <v>972</v>
      </c>
      <c r="FW1" s="8" t="s">
        <v>973</v>
      </c>
      <c r="FX1" s="8" t="s">
        <v>974</v>
      </c>
      <c r="FY1" s="8" t="s">
        <v>975</v>
      </c>
      <c r="FZ1" s="8" t="s">
        <v>976</v>
      </c>
      <c r="GA1" s="8" t="s">
        <v>977</v>
      </c>
      <c r="GB1" s="8" t="s">
        <v>978</v>
      </c>
      <c r="GC1" s="8" t="s">
        <v>979</v>
      </c>
      <c r="GD1" s="8" t="s">
        <v>980</v>
      </c>
      <c r="GE1" s="8" t="s">
        <v>981</v>
      </c>
      <c r="GF1" s="8" t="s">
        <v>982</v>
      </c>
      <c r="GG1" s="8" t="s">
        <v>983</v>
      </c>
      <c r="GH1" s="8" t="s">
        <v>984</v>
      </c>
      <c r="GI1" s="8" t="s">
        <v>985</v>
      </c>
      <c r="GJ1" s="8" t="s">
        <v>986</v>
      </c>
      <c r="GK1" s="8" t="s">
        <v>987</v>
      </c>
      <c r="GL1" s="8" t="s">
        <v>988</v>
      </c>
      <c r="GM1" s="8" t="s">
        <v>989</v>
      </c>
      <c r="GN1" s="8" t="s">
        <v>990</v>
      </c>
      <c r="GO1" s="8" t="s">
        <v>991</v>
      </c>
      <c r="GP1" s="8" t="s">
        <v>992</v>
      </c>
      <c r="GQ1" s="8" t="s">
        <v>993</v>
      </c>
      <c r="GR1" s="8" t="s">
        <v>994</v>
      </c>
      <c r="GS1" s="8" t="s">
        <v>995</v>
      </c>
      <c r="GT1" s="8" t="s">
        <v>996</v>
      </c>
      <c r="GU1" s="8" t="s">
        <v>997</v>
      </c>
      <c r="GV1" s="8" t="s">
        <v>998</v>
      </c>
      <c r="GW1" s="8" t="s">
        <v>999</v>
      </c>
      <c r="GX1" s="8" t="s">
        <v>1000</v>
      </c>
      <c r="GY1" s="8" t="s">
        <v>1001</v>
      </c>
      <c r="GZ1" s="8" t="s">
        <v>1002</v>
      </c>
      <c r="HA1" s="8" t="s">
        <v>1003</v>
      </c>
      <c r="HB1" s="8" t="s">
        <v>1004</v>
      </c>
      <c r="HC1" s="8" t="s">
        <v>1005</v>
      </c>
      <c r="HD1" s="8" t="s">
        <v>1006</v>
      </c>
      <c r="HE1" s="8" t="s">
        <v>1007</v>
      </c>
      <c r="HF1" s="8" t="s">
        <v>1008</v>
      </c>
      <c r="HG1" s="8" t="s">
        <v>1009</v>
      </c>
      <c r="HH1" s="8" t="s">
        <v>1010</v>
      </c>
      <c r="HI1" s="8" t="s">
        <v>1011</v>
      </c>
      <c r="HJ1" s="8" t="s">
        <v>1012</v>
      </c>
      <c r="HK1" s="8" t="s">
        <v>1013</v>
      </c>
      <c r="HL1" s="8" t="s">
        <v>1014</v>
      </c>
      <c r="HM1" s="8" t="s">
        <v>1015</v>
      </c>
      <c r="HN1" s="8" t="s">
        <v>1016</v>
      </c>
      <c r="HO1" s="8" t="s">
        <v>1017</v>
      </c>
      <c r="HP1" s="8" t="s">
        <v>1018</v>
      </c>
      <c r="HQ1" s="8" t="s">
        <v>1019</v>
      </c>
      <c r="HR1" s="8" t="s">
        <v>1020</v>
      </c>
      <c r="HS1" s="8" t="s">
        <v>1021</v>
      </c>
      <c r="HT1" s="8" t="s">
        <v>1022</v>
      </c>
      <c r="HU1" s="8" t="s">
        <v>1023</v>
      </c>
      <c r="HV1" s="8" t="s">
        <v>1024</v>
      </c>
      <c r="HW1" s="8" t="s">
        <v>1025</v>
      </c>
      <c r="HX1" s="8" t="s">
        <v>1026</v>
      </c>
      <c r="HY1" s="8" t="s">
        <v>1027</v>
      </c>
      <c r="HZ1" s="8" t="s">
        <v>1028</v>
      </c>
      <c r="IA1" s="8" t="s">
        <v>1029</v>
      </c>
      <c r="IB1" s="8" t="s">
        <v>1030</v>
      </c>
      <c r="IC1" s="8" t="s">
        <v>1031</v>
      </c>
      <c r="ID1" s="8" t="s">
        <v>1032</v>
      </c>
      <c r="IE1" s="8" t="s">
        <v>1033</v>
      </c>
      <c r="IF1" s="8" t="s">
        <v>1034</v>
      </c>
      <c r="IG1" s="8" t="s">
        <v>1035</v>
      </c>
      <c r="IH1" s="8" t="s">
        <v>1036</v>
      </c>
      <c r="II1" s="8" t="s">
        <v>1037</v>
      </c>
      <c r="IJ1" s="8" t="s">
        <v>1038</v>
      </c>
      <c r="IK1" s="8" t="s">
        <v>1039</v>
      </c>
      <c r="IL1" s="8" t="s">
        <v>1040</v>
      </c>
      <c r="IM1" s="8" t="s">
        <v>1041</v>
      </c>
      <c r="IN1" s="8" t="s">
        <v>1042</v>
      </c>
      <c r="IO1" s="8" t="s">
        <v>1043</v>
      </c>
      <c r="IP1" s="8" t="s">
        <v>1044</v>
      </c>
      <c r="IQ1" s="8" t="s">
        <v>1045</v>
      </c>
      <c r="IR1" s="8" t="s">
        <v>1046</v>
      </c>
      <c r="IS1" s="8" t="s">
        <v>1047</v>
      </c>
      <c r="IT1" s="8" t="s">
        <v>1048</v>
      </c>
      <c r="IU1" s="8" t="s">
        <v>1049</v>
      </c>
      <c r="IV1" s="8" t="s">
        <v>1050</v>
      </c>
      <c r="IW1" s="8" t="s">
        <v>1051</v>
      </c>
      <c r="IX1" s="8" t="s">
        <v>1052</v>
      </c>
      <c r="IY1" s="8" t="s">
        <v>1053</v>
      </c>
      <c r="IZ1" s="8" t="s">
        <v>1054</v>
      </c>
      <c r="JA1" s="8" t="s">
        <v>1055</v>
      </c>
      <c r="JB1" s="8" t="s">
        <v>1056</v>
      </c>
      <c r="JC1" s="8" t="s">
        <v>1057</v>
      </c>
      <c r="JD1" s="8" t="s">
        <v>1058</v>
      </c>
      <c r="JE1" s="8" t="s">
        <v>1059</v>
      </c>
      <c r="JF1" s="8" t="s">
        <v>1060</v>
      </c>
      <c r="JG1" s="8" t="s">
        <v>1061</v>
      </c>
      <c r="JH1" s="8" t="s">
        <v>1062</v>
      </c>
      <c r="JI1" s="8" t="s">
        <v>1063</v>
      </c>
      <c r="JJ1" s="8" t="s">
        <v>1064</v>
      </c>
      <c r="JK1" s="8" t="s">
        <v>1065</v>
      </c>
      <c r="JL1" s="8" t="s">
        <v>1066</v>
      </c>
      <c r="JM1" s="8" t="s">
        <v>1067</v>
      </c>
      <c r="JN1" s="8" t="s">
        <v>1068</v>
      </c>
      <c r="JO1" s="8" t="s">
        <v>1069</v>
      </c>
      <c r="JP1" s="8" t="s">
        <v>1070</v>
      </c>
      <c r="JQ1" s="8" t="s">
        <v>1071</v>
      </c>
      <c r="JR1" s="8" t="s">
        <v>1072</v>
      </c>
      <c r="JS1" s="8" t="s">
        <v>1073</v>
      </c>
      <c r="JT1" s="8" t="s">
        <v>1074</v>
      </c>
      <c r="JU1" s="8" t="s">
        <v>1075</v>
      </c>
      <c r="JV1" s="8" t="s">
        <v>1076</v>
      </c>
      <c r="JW1" s="8" t="s">
        <v>1077</v>
      </c>
      <c r="JX1" s="8" t="s">
        <v>1078</v>
      </c>
      <c r="JY1" s="8" t="s">
        <v>1079</v>
      </c>
      <c r="JZ1" s="8" t="s">
        <v>1080</v>
      </c>
      <c r="KA1" s="8" t="s">
        <v>1081</v>
      </c>
      <c r="KB1" s="8" t="s">
        <v>1082</v>
      </c>
      <c r="KC1" s="8" t="s">
        <v>1083</v>
      </c>
      <c r="KD1" s="8" t="s">
        <v>1084</v>
      </c>
      <c r="KE1" s="8" t="s">
        <v>1085</v>
      </c>
      <c r="KF1" s="8" t="s">
        <v>1086</v>
      </c>
      <c r="KG1" s="8" t="s">
        <v>1087</v>
      </c>
      <c r="KH1" s="8" t="s">
        <v>1088</v>
      </c>
      <c r="KI1" s="8" t="s">
        <v>1089</v>
      </c>
      <c r="KJ1" s="8" t="s">
        <v>1090</v>
      </c>
      <c r="KK1" s="8" t="s">
        <v>1091</v>
      </c>
      <c r="KL1" s="8" t="s">
        <v>1092</v>
      </c>
      <c r="KM1" s="8" t="s">
        <v>1093</v>
      </c>
      <c r="KN1" s="8" t="s">
        <v>1094</v>
      </c>
      <c r="KO1" s="8" t="s">
        <v>1095</v>
      </c>
      <c r="KP1" s="8" t="s">
        <v>1096</v>
      </c>
      <c r="KQ1" s="8" t="s">
        <v>1097</v>
      </c>
      <c r="KR1" s="8" t="s">
        <v>1098</v>
      </c>
      <c r="KS1" s="8" t="s">
        <v>1099</v>
      </c>
      <c r="KT1" s="8" t="s">
        <v>1100</v>
      </c>
      <c r="KU1" s="8" t="s">
        <v>1101</v>
      </c>
      <c r="KV1" s="8" t="s">
        <v>1102</v>
      </c>
      <c r="KW1" s="8" t="s">
        <v>1103</v>
      </c>
      <c r="KX1" s="8" t="s">
        <v>1104</v>
      </c>
      <c r="KY1" s="8" t="s">
        <v>1105</v>
      </c>
      <c r="KZ1" s="8" t="s">
        <v>1106</v>
      </c>
      <c r="LA1" s="8" t="s">
        <v>1107</v>
      </c>
      <c r="LB1" s="8" t="s">
        <v>1108</v>
      </c>
      <c r="LC1" s="8" t="s">
        <v>1109</v>
      </c>
      <c r="LD1" s="8" t="s">
        <v>1110</v>
      </c>
      <c r="LE1" s="8" t="s">
        <v>1111</v>
      </c>
      <c r="LF1" s="8" t="s">
        <v>1112</v>
      </c>
      <c r="LG1" s="8" t="s">
        <v>1113</v>
      </c>
      <c r="LH1" s="8" t="s">
        <v>1114</v>
      </c>
      <c r="LI1" s="8" t="s">
        <v>1115</v>
      </c>
      <c r="LJ1" s="8" t="s">
        <v>1116</v>
      </c>
      <c r="LK1" s="8" t="s">
        <v>1117</v>
      </c>
      <c r="LL1" s="8" t="s">
        <v>1118</v>
      </c>
      <c r="LM1" s="8" t="s">
        <v>1119</v>
      </c>
      <c r="LN1" s="8" t="s">
        <v>1120</v>
      </c>
      <c r="LO1" s="8" t="s">
        <v>1121</v>
      </c>
      <c r="LP1" s="8" t="s">
        <v>1122</v>
      </c>
      <c r="LQ1" s="8" t="s">
        <v>1123</v>
      </c>
      <c r="LR1" s="8" t="s">
        <v>1124</v>
      </c>
      <c r="LS1" s="8" t="s">
        <v>1125</v>
      </c>
      <c r="LT1" s="8" t="s">
        <v>1126</v>
      </c>
      <c r="LU1" s="8" t="s">
        <v>1127</v>
      </c>
      <c r="LV1" s="8" t="s">
        <v>1128</v>
      </c>
      <c r="LW1" s="8" t="s">
        <v>1129</v>
      </c>
      <c r="LX1" s="8" t="s">
        <v>1130</v>
      </c>
      <c r="LY1" s="8" t="s">
        <v>1131</v>
      </c>
      <c r="LZ1" s="8" t="s">
        <v>1132</v>
      </c>
      <c r="MA1" s="8" t="s">
        <v>1133</v>
      </c>
      <c r="MB1" s="8" t="s">
        <v>1134</v>
      </c>
      <c r="MC1" s="8" t="s">
        <v>1135</v>
      </c>
      <c r="MD1" s="8" t="s">
        <v>1136</v>
      </c>
      <c r="ME1" s="8" t="s">
        <v>1137</v>
      </c>
      <c r="MF1" s="8" t="s">
        <v>1138</v>
      </c>
      <c r="MG1" s="8" t="s">
        <v>1139</v>
      </c>
      <c r="MH1" s="8" t="s">
        <v>1140</v>
      </c>
      <c r="MI1" s="8" t="s">
        <v>1141</v>
      </c>
      <c r="MJ1" s="8" t="s">
        <v>1142</v>
      </c>
      <c r="MK1" s="8" t="s">
        <v>1143</v>
      </c>
      <c r="ML1" s="8" t="s">
        <v>1144</v>
      </c>
      <c r="MM1" s="8" t="s">
        <v>1145</v>
      </c>
      <c r="MN1" s="8" t="s">
        <v>1146</v>
      </c>
      <c r="MO1" s="8" t="s">
        <v>1147</v>
      </c>
      <c r="MP1" s="8" t="s">
        <v>1148</v>
      </c>
      <c r="MQ1" s="8" t="s">
        <v>1149</v>
      </c>
      <c r="MR1" s="8" t="s">
        <v>1150</v>
      </c>
      <c r="MS1" s="8" t="s">
        <v>1151</v>
      </c>
      <c r="MT1" s="8" t="s">
        <v>1152</v>
      </c>
      <c r="MU1" s="8" t="s">
        <v>1153</v>
      </c>
      <c r="MV1" s="8" t="s">
        <v>1154</v>
      </c>
      <c r="MW1" s="8" t="s">
        <v>1155</v>
      </c>
      <c r="MX1" s="8" t="s">
        <v>1156</v>
      </c>
      <c r="MY1" s="8" t="s">
        <v>1157</v>
      </c>
      <c r="MZ1" s="8" t="s">
        <v>1158</v>
      </c>
      <c r="NA1" s="8" t="s">
        <v>1159</v>
      </c>
      <c r="NB1" s="8" t="s">
        <v>1160</v>
      </c>
      <c r="NC1" s="8" t="s">
        <v>1161</v>
      </c>
      <c r="ND1" s="8" t="s">
        <v>1162</v>
      </c>
      <c r="NE1" s="8" t="s">
        <v>1163</v>
      </c>
      <c r="NF1" s="8" t="s">
        <v>1164</v>
      </c>
      <c r="NG1" s="8" t="s">
        <v>1165</v>
      </c>
      <c r="NH1" s="8" t="s">
        <v>1166</v>
      </c>
      <c r="NI1" s="8" t="s">
        <v>1167</v>
      </c>
      <c r="NJ1" s="8" t="s">
        <v>1168</v>
      </c>
      <c r="NK1" s="8" t="s">
        <v>1169</v>
      </c>
      <c r="NL1" s="8" t="s">
        <v>1170</v>
      </c>
      <c r="NM1" s="8" t="s">
        <v>1171</v>
      </c>
      <c r="NN1" s="8" t="s">
        <v>1172</v>
      </c>
      <c r="NO1" s="8" t="s">
        <v>1173</v>
      </c>
      <c r="NP1" s="8" t="s">
        <v>1174</v>
      </c>
      <c r="NQ1" s="8" t="s">
        <v>1175</v>
      </c>
      <c r="NR1" s="8" t="s">
        <v>1176</v>
      </c>
      <c r="NS1" s="8" t="s">
        <v>1177</v>
      </c>
      <c r="NT1" s="8" t="s">
        <v>1178</v>
      </c>
      <c r="NU1" s="8" t="s">
        <v>1179</v>
      </c>
      <c r="NV1" s="8" t="s">
        <v>1180</v>
      </c>
      <c r="NW1" s="8" t="s">
        <v>1181</v>
      </c>
      <c r="NX1" s="8" t="s">
        <v>1182</v>
      </c>
      <c r="NY1" s="8" t="s">
        <v>1183</v>
      </c>
      <c r="NZ1" s="8" t="s">
        <v>1184</v>
      </c>
      <c r="OA1" s="8" t="s">
        <v>1185</v>
      </c>
      <c r="OB1" s="8" t="s">
        <v>1186</v>
      </c>
      <c r="OC1" s="8" t="s">
        <v>1187</v>
      </c>
      <c r="OD1" s="8" t="s">
        <v>1188</v>
      </c>
      <c r="OE1" s="8" t="s">
        <v>1189</v>
      </c>
      <c r="OF1" s="8" t="s">
        <v>1190</v>
      </c>
      <c r="OG1" s="8" t="s">
        <v>1191</v>
      </c>
      <c r="OH1" s="8" t="s">
        <v>1192</v>
      </c>
      <c r="OI1" s="8" t="s">
        <v>1193</v>
      </c>
      <c r="OJ1" s="8" t="s">
        <v>1194</v>
      </c>
      <c r="OK1" s="8" t="s">
        <v>1195</v>
      </c>
      <c r="OL1" s="8" t="s">
        <v>1196</v>
      </c>
      <c r="OM1" s="8" t="s">
        <v>1197</v>
      </c>
      <c r="ON1" s="8" t="s">
        <v>1198</v>
      </c>
      <c r="OO1" s="8" t="s">
        <v>1199</v>
      </c>
      <c r="OP1" s="8" t="s">
        <v>1200</v>
      </c>
      <c r="OQ1" s="8" t="s">
        <v>1201</v>
      </c>
      <c r="OR1" s="8" t="s">
        <v>1202</v>
      </c>
      <c r="OS1" s="8" t="s">
        <v>1203</v>
      </c>
      <c r="OT1" s="8" t="s">
        <v>1204</v>
      </c>
      <c r="OU1" s="8" t="s">
        <v>1205</v>
      </c>
      <c r="OV1" s="8" t="s">
        <v>1206</v>
      </c>
      <c r="OW1" s="8" t="s">
        <v>1207</v>
      </c>
      <c r="OX1" s="8" t="s">
        <v>1208</v>
      </c>
      <c r="OY1" s="8" t="s">
        <v>1209</v>
      </c>
      <c r="OZ1" s="8" t="s">
        <v>1210</v>
      </c>
      <c r="PA1" s="8" t="s">
        <v>1211</v>
      </c>
      <c r="PB1" s="8" t="s">
        <v>1212</v>
      </c>
      <c r="PC1" s="8" t="s">
        <v>1213</v>
      </c>
      <c r="PD1" s="8" t="s">
        <v>1214</v>
      </c>
      <c r="PE1" s="8" t="s">
        <v>1215</v>
      </c>
      <c r="PF1" s="8" t="s">
        <v>1216</v>
      </c>
      <c r="PG1" s="8" t="s">
        <v>1217</v>
      </c>
      <c r="PH1" s="8" t="s">
        <v>1218</v>
      </c>
      <c r="PI1" s="8" t="s">
        <v>1219</v>
      </c>
      <c r="PJ1" s="8" t="s">
        <v>1220</v>
      </c>
      <c r="PK1" s="8" t="s">
        <v>1221</v>
      </c>
      <c r="PL1" s="8" t="s">
        <v>1222</v>
      </c>
      <c r="PM1" s="8" t="s">
        <v>1223</v>
      </c>
      <c r="PN1" s="8" t="s">
        <v>1224</v>
      </c>
      <c r="PO1" s="8" t="s">
        <v>1225</v>
      </c>
      <c r="PP1" s="8" t="s">
        <v>1226</v>
      </c>
      <c r="PQ1" s="8" t="s">
        <v>1227</v>
      </c>
      <c r="PR1" s="8" t="s">
        <v>1228</v>
      </c>
      <c r="PS1" s="8" t="s">
        <v>1229</v>
      </c>
      <c r="PT1" s="8" t="s">
        <v>1230</v>
      </c>
      <c r="PU1" s="8" t="s">
        <v>1231</v>
      </c>
      <c r="PV1" s="8" t="s">
        <v>1232</v>
      </c>
      <c r="PW1" s="8" t="s">
        <v>1233</v>
      </c>
      <c r="PX1" s="8" t="s">
        <v>1234</v>
      </c>
      <c r="PY1" s="8" t="s">
        <v>1235</v>
      </c>
      <c r="PZ1" s="8" t="s">
        <v>1236</v>
      </c>
      <c r="QA1" s="8" t="s">
        <v>1237</v>
      </c>
      <c r="QB1" s="8" t="s">
        <v>1238</v>
      </c>
      <c r="QC1" s="8" t="s">
        <v>1239</v>
      </c>
      <c r="QD1" s="8" t="s">
        <v>1240</v>
      </c>
      <c r="QE1" s="8" t="s">
        <v>1241</v>
      </c>
      <c r="QF1" s="8" t="s">
        <v>1242</v>
      </c>
      <c r="QG1" s="8" t="s">
        <v>1243</v>
      </c>
      <c r="QH1" s="8" t="s">
        <v>1244</v>
      </c>
      <c r="QI1" s="8" t="s">
        <v>1245</v>
      </c>
      <c r="QJ1" s="8" t="s">
        <v>1246</v>
      </c>
      <c r="QK1" s="8" t="s">
        <v>1247</v>
      </c>
      <c r="QL1" s="8" t="s">
        <v>1248</v>
      </c>
      <c r="QM1" s="8" t="s">
        <v>1249</v>
      </c>
      <c r="QN1" s="8" t="s">
        <v>1250</v>
      </c>
      <c r="QO1" s="8" t="s">
        <v>1251</v>
      </c>
      <c r="QP1" s="8" t="s">
        <v>1252</v>
      </c>
      <c r="QQ1" s="8" t="s">
        <v>1253</v>
      </c>
      <c r="QR1" s="8" t="s">
        <v>1254</v>
      </c>
      <c r="QS1" s="8" t="s">
        <v>1255</v>
      </c>
      <c r="QT1" s="8" t="s">
        <v>1256</v>
      </c>
      <c r="QU1" s="8" t="s">
        <v>1257</v>
      </c>
      <c r="QV1" s="8" t="s">
        <v>1258</v>
      </c>
      <c r="QW1" s="8" t="s">
        <v>1259</v>
      </c>
      <c r="QX1" s="8" t="s">
        <v>1260</v>
      </c>
      <c r="QY1" s="8" t="s">
        <v>1261</v>
      </c>
      <c r="QZ1" s="8" t="s">
        <v>1262</v>
      </c>
      <c r="RA1" s="8" t="s">
        <v>1263</v>
      </c>
      <c r="RB1" s="8" t="s">
        <v>1264</v>
      </c>
      <c r="RC1" s="8" t="s">
        <v>1265</v>
      </c>
      <c r="RD1" s="8" t="s">
        <v>1266</v>
      </c>
      <c r="RE1" s="8" t="s">
        <v>1267</v>
      </c>
      <c r="RF1" s="8" t="s">
        <v>1268</v>
      </c>
      <c r="RG1" s="8" t="s">
        <v>1269</v>
      </c>
      <c r="RH1" s="8" t="s">
        <v>1270</v>
      </c>
      <c r="RI1" s="8" t="s">
        <v>1271</v>
      </c>
      <c r="RJ1" s="8" t="s">
        <v>1272</v>
      </c>
      <c r="RK1" s="8" t="s">
        <v>1273</v>
      </c>
      <c r="RL1" s="8" t="s">
        <v>1274</v>
      </c>
      <c r="RM1" s="8" t="s">
        <v>1275</v>
      </c>
      <c r="RN1" s="8" t="s">
        <v>1276</v>
      </c>
      <c r="RO1" s="8" t="s">
        <v>1277</v>
      </c>
      <c r="RP1" s="8" t="s">
        <v>1278</v>
      </c>
      <c r="RQ1" s="8" t="s">
        <v>1279</v>
      </c>
      <c r="RR1" s="8" t="s">
        <v>1280</v>
      </c>
      <c r="RS1" s="8" t="s">
        <v>1281</v>
      </c>
      <c r="RT1" s="8" t="s">
        <v>1282</v>
      </c>
      <c r="RU1" s="8" t="s">
        <v>1283</v>
      </c>
      <c r="RV1" s="8" t="s">
        <v>1284</v>
      </c>
      <c r="RW1" s="8" t="s">
        <v>1285</v>
      </c>
      <c r="RX1" s="8" t="s">
        <v>1286</v>
      </c>
      <c r="RY1" s="8" t="s">
        <v>1287</v>
      </c>
      <c r="RZ1" s="8" t="s">
        <v>1288</v>
      </c>
      <c r="SA1" s="8" t="s">
        <v>1289</v>
      </c>
      <c r="SB1" s="8" t="s">
        <v>1290</v>
      </c>
      <c r="SC1" s="8" t="s">
        <v>1291</v>
      </c>
      <c r="SD1" s="8" t="s">
        <v>1292</v>
      </c>
      <c r="SE1" s="8" t="s">
        <v>1293</v>
      </c>
      <c r="SF1" s="8" t="s">
        <v>1294</v>
      </c>
      <c r="SG1" s="8" t="s">
        <v>1295</v>
      </c>
      <c r="SH1" s="8" t="s">
        <v>1296</v>
      </c>
      <c r="SI1" s="8" t="s">
        <v>1297</v>
      </c>
      <c r="SJ1" s="8" t="s">
        <v>1298</v>
      </c>
      <c r="SK1" s="8" t="s">
        <v>1299</v>
      </c>
      <c r="SL1" s="8" t="s">
        <v>1300</v>
      </c>
      <c r="SM1" s="8" t="s">
        <v>1301</v>
      </c>
      <c r="SN1" s="8" t="s">
        <v>1302</v>
      </c>
      <c r="SO1" s="8" t="s">
        <v>1303</v>
      </c>
      <c r="SP1" s="8" t="s">
        <v>1304</v>
      </c>
      <c r="SQ1" s="8" t="s">
        <v>1305</v>
      </c>
      <c r="SR1" s="8" t="s">
        <v>1306</v>
      </c>
      <c r="SS1" s="8" t="s">
        <v>1307</v>
      </c>
      <c r="ST1" s="8" t="s">
        <v>1308</v>
      </c>
      <c r="SU1" s="8" t="s">
        <v>1309</v>
      </c>
      <c r="SV1" s="8" t="s">
        <v>1310</v>
      </c>
      <c r="SW1" s="8" t="s">
        <v>1311</v>
      </c>
      <c r="SX1" s="8" t="s">
        <v>1312</v>
      </c>
      <c r="SY1" s="8" t="s">
        <v>1313</v>
      </c>
      <c r="SZ1" s="8" t="s">
        <v>1314</v>
      </c>
      <c r="TA1" s="8" t="s">
        <v>1315</v>
      </c>
      <c r="TB1" s="8" t="s">
        <v>1316</v>
      </c>
      <c r="TC1" s="8" t="s">
        <v>1317</v>
      </c>
      <c r="TD1" s="8" t="s">
        <v>1318</v>
      </c>
      <c r="TE1" s="8" t="s">
        <v>1319</v>
      </c>
      <c r="TF1" s="8" t="s">
        <v>1320</v>
      </c>
      <c r="TG1" s="8" t="s">
        <v>1321</v>
      </c>
      <c r="TH1" s="8" t="s">
        <v>1322</v>
      </c>
      <c r="TI1" s="8" t="s">
        <v>1323</v>
      </c>
      <c r="TJ1" s="8" t="s">
        <v>1324</v>
      </c>
      <c r="TK1" s="8" t="s">
        <v>1325</v>
      </c>
      <c r="TL1" s="8" t="s">
        <v>1326</v>
      </c>
      <c r="TM1" s="8" t="s">
        <v>1327</v>
      </c>
      <c r="TN1" s="8" t="s">
        <v>1328</v>
      </c>
      <c r="TO1" s="8" t="s">
        <v>1329</v>
      </c>
      <c r="TP1" s="8" t="s">
        <v>1330</v>
      </c>
      <c r="TQ1" s="8" t="s">
        <v>1331</v>
      </c>
      <c r="TR1" s="8" t="s">
        <v>1332</v>
      </c>
      <c r="TS1" s="8" t="s">
        <v>1333</v>
      </c>
      <c r="TT1" s="8" t="s">
        <v>1334</v>
      </c>
      <c r="TU1" s="8" t="s">
        <v>1335</v>
      </c>
      <c r="TV1" s="8" t="s">
        <v>1336</v>
      </c>
      <c r="TW1" s="8" t="s">
        <v>1337</v>
      </c>
      <c r="TX1" s="8" t="s">
        <v>1338</v>
      </c>
      <c r="TY1" s="8" t="s">
        <v>1339</v>
      </c>
      <c r="TZ1" s="8" t="s">
        <v>1340</v>
      </c>
      <c r="UA1" s="8" t="s">
        <v>1341</v>
      </c>
      <c r="UB1" s="8" t="s">
        <v>1342</v>
      </c>
      <c r="UC1" s="8" t="s">
        <v>1343</v>
      </c>
      <c r="UD1" s="8" t="s">
        <v>1344</v>
      </c>
      <c r="UE1" s="8" t="s">
        <v>1345</v>
      </c>
      <c r="UF1" s="8" t="s">
        <v>1346</v>
      </c>
      <c r="UG1" s="8" t="s">
        <v>1347</v>
      </c>
      <c r="UH1" s="8" t="s">
        <v>1348</v>
      </c>
      <c r="UI1" s="8" t="s">
        <v>1349</v>
      </c>
      <c r="UJ1" s="8" t="s">
        <v>1350</v>
      </c>
      <c r="UK1" s="8" t="s">
        <v>1351</v>
      </c>
      <c r="UL1" s="8" t="s">
        <v>1352</v>
      </c>
      <c r="UM1" s="8" t="s">
        <v>1353</v>
      </c>
      <c r="UN1" s="8" t="s">
        <v>1354</v>
      </c>
      <c r="UO1" s="8" t="s">
        <v>1355</v>
      </c>
      <c r="UP1" s="8" t="s">
        <v>1356</v>
      </c>
      <c r="UQ1" s="8" t="s">
        <v>1357</v>
      </c>
      <c r="UR1" s="8" t="s">
        <v>1358</v>
      </c>
      <c r="US1" s="8" t="s">
        <v>1359</v>
      </c>
      <c r="UT1" s="8" t="s">
        <v>1360</v>
      </c>
      <c r="UU1" s="8" t="s">
        <v>1361</v>
      </c>
      <c r="UV1" s="8" t="s">
        <v>1362</v>
      </c>
      <c r="UW1" s="8" t="s">
        <v>1363</v>
      </c>
      <c r="UX1" s="8" t="s">
        <v>1364</v>
      </c>
      <c r="UY1" s="8" t="s">
        <v>1365</v>
      </c>
      <c r="UZ1" s="8" t="s">
        <v>1366</v>
      </c>
      <c r="VA1" s="8" t="s">
        <v>1367</v>
      </c>
      <c r="VB1" s="8" t="s">
        <v>1368</v>
      </c>
      <c r="VC1" s="8" t="s">
        <v>1369</v>
      </c>
      <c r="VD1" s="8" t="s">
        <v>1370</v>
      </c>
      <c r="VE1" s="8" t="s">
        <v>1371</v>
      </c>
      <c r="VF1" s="8" t="s">
        <v>1372</v>
      </c>
      <c r="VG1" s="8" t="s">
        <v>1373</v>
      </c>
      <c r="VH1" s="8" t="s">
        <v>1374</v>
      </c>
      <c r="VI1" s="8" t="s">
        <v>1375</v>
      </c>
      <c r="VJ1" s="8" t="s">
        <v>1376</v>
      </c>
      <c r="VK1" s="8" t="s">
        <v>1377</v>
      </c>
      <c r="VL1" s="8" t="s">
        <v>1378</v>
      </c>
      <c r="VM1" s="8" t="s">
        <v>1379</v>
      </c>
      <c r="VN1" s="8" t="s">
        <v>1380</v>
      </c>
      <c r="VO1" s="8" t="s">
        <v>1381</v>
      </c>
      <c r="VP1" s="8" t="s">
        <v>1382</v>
      </c>
      <c r="VQ1" s="8" t="s">
        <v>1383</v>
      </c>
      <c r="VR1" s="8" t="s">
        <v>1384</v>
      </c>
      <c r="VS1" s="8" t="s">
        <v>1385</v>
      </c>
      <c r="VT1" s="8" t="s">
        <v>1386</v>
      </c>
      <c r="VU1" s="8" t="s">
        <v>1387</v>
      </c>
      <c r="VV1" s="8" t="s">
        <v>1388</v>
      </c>
      <c r="VW1" s="8" t="s">
        <v>1389</v>
      </c>
      <c r="VX1" s="8" t="s">
        <v>1390</v>
      </c>
      <c r="VY1" s="8" t="s">
        <v>1391</v>
      </c>
      <c r="VZ1" s="8" t="s">
        <v>1392</v>
      </c>
      <c r="WA1" s="8" t="s">
        <v>1393</v>
      </c>
      <c r="WB1" s="8" t="s">
        <v>1394</v>
      </c>
      <c r="WC1" s="8" t="s">
        <v>1395</v>
      </c>
      <c r="WD1" s="8" t="s">
        <v>1396</v>
      </c>
      <c r="WE1" s="8" t="s">
        <v>1397</v>
      </c>
      <c r="WF1" s="8" t="s">
        <v>1398</v>
      </c>
      <c r="WG1" s="8" t="s">
        <v>1399</v>
      </c>
      <c r="WH1" s="8" t="s">
        <v>1400</v>
      </c>
      <c r="WI1" s="8" t="s">
        <v>1401</v>
      </c>
      <c r="WJ1" s="8" t="s">
        <v>1402</v>
      </c>
      <c r="WK1" s="8" t="s">
        <v>1403</v>
      </c>
      <c r="WL1" s="8" t="s">
        <v>1404</v>
      </c>
      <c r="WM1" s="8" t="s">
        <v>1405</v>
      </c>
      <c r="WN1" s="8" t="s">
        <v>1406</v>
      </c>
      <c r="WO1" s="8" t="s">
        <v>1407</v>
      </c>
      <c r="WP1" s="8" t="s">
        <v>1408</v>
      </c>
      <c r="WQ1" s="8" t="s">
        <v>1409</v>
      </c>
      <c r="WR1" s="8" t="s">
        <v>1410</v>
      </c>
      <c r="WS1" s="8" t="s">
        <v>1411</v>
      </c>
      <c r="WT1" s="8" t="s">
        <v>1412</v>
      </c>
      <c r="WU1" s="8" t="s">
        <v>1413</v>
      </c>
      <c r="WV1" s="8" t="s">
        <v>1414</v>
      </c>
      <c r="WW1" s="8" t="s">
        <v>1415</v>
      </c>
      <c r="WX1" s="8" t="s">
        <v>1416</v>
      </c>
      <c r="WY1" s="8" t="s">
        <v>1417</v>
      </c>
      <c r="WZ1" s="8" t="s">
        <v>1418</v>
      </c>
      <c r="XA1" s="8" t="s">
        <v>1419</v>
      </c>
      <c r="XB1" s="8" t="s">
        <v>1420</v>
      </c>
      <c r="XC1" s="8" t="s">
        <v>1421</v>
      </c>
      <c r="XD1" s="8" t="s">
        <v>1422</v>
      </c>
      <c r="XE1" s="8" t="s">
        <v>1423</v>
      </c>
      <c r="XF1" s="8" t="s">
        <v>1424</v>
      </c>
      <c r="XG1" s="8" t="s">
        <v>1425</v>
      </c>
      <c r="XH1" s="8" t="s">
        <v>1426</v>
      </c>
      <c r="XI1" s="8" t="s">
        <v>1427</v>
      </c>
      <c r="XJ1" s="8" t="s">
        <v>1428</v>
      </c>
      <c r="XK1" s="8" t="s">
        <v>1429</v>
      </c>
      <c r="XL1" s="8" t="s">
        <v>1430</v>
      </c>
      <c r="XM1" s="8" t="s">
        <v>1431</v>
      </c>
      <c r="XN1" s="8" t="s">
        <v>1432</v>
      </c>
      <c r="XO1" s="8" t="s">
        <v>1433</v>
      </c>
      <c r="XP1" s="8" t="s">
        <v>1434</v>
      </c>
      <c r="XQ1" s="8" t="s">
        <v>1435</v>
      </c>
      <c r="XR1" s="8" t="s">
        <v>1436</v>
      </c>
      <c r="XS1" s="8" t="s">
        <v>1437</v>
      </c>
      <c r="XT1" s="8" t="s">
        <v>1438</v>
      </c>
      <c r="XU1" s="8" t="s">
        <v>1439</v>
      </c>
      <c r="XV1" s="8" t="s">
        <v>1440</v>
      </c>
      <c r="XW1" s="8" t="s">
        <v>1441</v>
      </c>
      <c r="XX1" s="8" t="s">
        <v>1442</v>
      </c>
      <c r="XY1" s="8" t="s">
        <v>1443</v>
      </c>
      <c r="XZ1" s="8" t="s">
        <v>1444</v>
      </c>
      <c r="YA1" s="8" t="s">
        <v>1445</v>
      </c>
      <c r="YB1" s="8" t="s">
        <v>1446</v>
      </c>
      <c r="YC1" s="8" t="s">
        <v>1447</v>
      </c>
      <c r="YD1" s="8" t="s">
        <v>1448</v>
      </c>
      <c r="YE1" s="8" t="s">
        <v>1449</v>
      </c>
      <c r="YF1" s="8" t="s">
        <v>1450</v>
      </c>
      <c r="YG1" s="8" t="s">
        <v>1451</v>
      </c>
      <c r="YH1" s="8" t="s">
        <v>1452</v>
      </c>
      <c r="YI1" s="8" t="s">
        <v>1453</v>
      </c>
      <c r="YJ1" s="8" t="s">
        <v>1454</v>
      </c>
      <c r="YK1" s="8" t="s">
        <v>1455</v>
      </c>
      <c r="YL1" s="8" t="s">
        <v>1456</v>
      </c>
      <c r="YM1" s="8" t="s">
        <v>1457</v>
      </c>
      <c r="YN1" s="8" t="s">
        <v>1458</v>
      </c>
      <c r="YO1" s="8" t="s">
        <v>1459</v>
      </c>
      <c r="YP1" s="8" t="s">
        <v>1460</v>
      </c>
      <c r="YQ1" s="8" t="s">
        <v>1461</v>
      </c>
      <c r="YR1" s="8" t="s">
        <v>1462</v>
      </c>
      <c r="YS1" s="8" t="s">
        <v>1463</v>
      </c>
      <c r="YT1" s="8" t="s">
        <v>1464</v>
      </c>
      <c r="YU1" s="8" t="s">
        <v>1465</v>
      </c>
      <c r="YV1" s="8" t="s">
        <v>1466</v>
      </c>
      <c r="YW1" s="8" t="s">
        <v>1467</v>
      </c>
      <c r="YX1" s="8" t="s">
        <v>1468</v>
      </c>
      <c r="YY1" s="8" t="s">
        <v>1469</v>
      </c>
      <c r="YZ1" s="8" t="s">
        <v>1470</v>
      </c>
      <c r="ZA1" s="8" t="s">
        <v>1471</v>
      </c>
      <c r="ZB1" s="8" t="s">
        <v>1472</v>
      </c>
      <c r="ZC1" s="8" t="s">
        <v>1473</v>
      </c>
      <c r="ZD1" s="8" t="s">
        <v>1474</v>
      </c>
      <c r="ZE1" s="8" t="s">
        <v>1475</v>
      </c>
      <c r="ZF1" s="8" t="s">
        <v>1476</v>
      </c>
      <c r="ZG1" s="8" t="s">
        <v>1477</v>
      </c>
      <c r="ZH1" s="8" t="s">
        <v>1478</v>
      </c>
      <c r="ZI1" s="8" t="s">
        <v>1479</v>
      </c>
      <c r="ZJ1" s="8" t="s">
        <v>1480</v>
      </c>
      <c r="ZK1" s="8" t="s">
        <v>1481</v>
      </c>
      <c r="ZL1" s="8" t="s">
        <v>1482</v>
      </c>
      <c r="ZM1" s="8" t="s">
        <v>1483</v>
      </c>
      <c r="ZN1" s="8" t="s">
        <v>1484</v>
      </c>
      <c r="ZO1" s="8" t="s">
        <v>1485</v>
      </c>
      <c r="ZP1" s="8" t="s">
        <v>1486</v>
      </c>
      <c r="ZQ1" s="8" t="s">
        <v>1487</v>
      </c>
      <c r="ZR1" s="8" t="s">
        <v>1488</v>
      </c>
      <c r="ZS1" s="8" t="s">
        <v>1489</v>
      </c>
      <c r="ZT1" s="8" t="s">
        <v>1490</v>
      </c>
      <c r="ZU1" s="8" t="s">
        <v>1491</v>
      </c>
      <c r="ZV1" s="8" t="s">
        <v>1492</v>
      </c>
      <c r="ZW1" s="8" t="s">
        <v>1493</v>
      </c>
      <c r="ZX1" s="8" t="s">
        <v>1494</v>
      </c>
      <c r="ZY1" s="8" t="s">
        <v>1495</v>
      </c>
      <c r="ZZ1" s="8" t="s">
        <v>1585</v>
      </c>
      <c r="AAA1" s="8" t="s">
        <v>1586</v>
      </c>
      <c r="AAB1" s="8" t="s">
        <v>1587</v>
      </c>
      <c r="AAC1" s="8" t="s">
        <v>1588</v>
      </c>
      <c r="AAD1" s="8" t="s">
        <v>1589</v>
      </c>
      <c r="AAE1" s="8" t="s">
        <v>1590</v>
      </c>
      <c r="AAF1" s="8" t="s">
        <v>1591</v>
      </c>
      <c r="AAG1" s="8" t="s">
        <v>1592</v>
      </c>
      <c r="AAH1" s="8" t="s">
        <v>1593</v>
      </c>
      <c r="AAI1" s="8" t="s">
        <v>1594</v>
      </c>
      <c r="AAJ1" s="8" t="s">
        <v>1595</v>
      </c>
      <c r="AAK1" s="8" t="s">
        <v>1596</v>
      </c>
      <c r="AAL1" s="8" t="s">
        <v>1597</v>
      </c>
      <c r="AAM1" s="8" t="s">
        <v>1598</v>
      </c>
      <c r="AAN1" s="8" t="s">
        <v>1599</v>
      </c>
      <c r="AAO1" s="8" t="s">
        <v>1600</v>
      </c>
      <c r="AAP1" s="8" t="s">
        <v>1601</v>
      </c>
      <c r="AAQ1" s="8" t="s">
        <v>1602</v>
      </c>
      <c r="AAR1" s="8" t="s">
        <v>1603</v>
      </c>
      <c r="AAS1" s="8" t="s">
        <v>1604</v>
      </c>
      <c r="AAT1" s="8" t="s">
        <v>1605</v>
      </c>
      <c r="AAU1" s="8" t="s">
        <v>1606</v>
      </c>
      <c r="AAV1" s="8" t="s">
        <v>1607</v>
      </c>
      <c r="AAW1" s="8" t="s">
        <v>1608</v>
      </c>
      <c r="AAX1" s="8" t="s">
        <v>1609</v>
      </c>
      <c r="AAY1" s="8" t="s">
        <v>1610</v>
      </c>
      <c r="AAZ1" s="8" t="s">
        <v>1611</v>
      </c>
      <c r="ABA1" s="8" t="s">
        <v>1612</v>
      </c>
      <c r="ABB1" s="8" t="s">
        <v>1613</v>
      </c>
      <c r="ABC1" s="8" t="s">
        <v>1614</v>
      </c>
      <c r="ABD1" s="8" t="s">
        <v>1615</v>
      </c>
      <c r="ABE1" s="8" t="s">
        <v>1616</v>
      </c>
      <c r="ABF1" s="8" t="s">
        <v>1617</v>
      </c>
      <c r="ABG1" s="8" t="s">
        <v>1618</v>
      </c>
      <c r="ABH1" s="8" t="s">
        <v>1619</v>
      </c>
      <c r="ABI1" s="8" t="s">
        <v>1620</v>
      </c>
      <c r="ABJ1" s="8" t="s">
        <v>1621</v>
      </c>
      <c r="ABK1" s="8" t="s">
        <v>1622</v>
      </c>
      <c r="ABL1" s="8" t="s">
        <v>1623</v>
      </c>
      <c r="ABM1" s="8" t="s">
        <v>1624</v>
      </c>
      <c r="ABN1" s="8" t="s">
        <v>1625</v>
      </c>
      <c r="ABO1" s="8" t="s">
        <v>1626</v>
      </c>
      <c r="ABP1" s="8" t="s">
        <v>1627</v>
      </c>
      <c r="ABQ1" s="8" t="s">
        <v>1628</v>
      </c>
      <c r="ABR1" s="8" t="s">
        <v>1629</v>
      </c>
      <c r="ABS1" s="8" t="s">
        <v>1630</v>
      </c>
      <c r="ABT1" s="8" t="s">
        <v>1631</v>
      </c>
      <c r="ABU1" s="8" t="s">
        <v>1632</v>
      </c>
      <c r="ABV1" s="8" t="s">
        <v>1633</v>
      </c>
      <c r="ABW1" s="8" t="s">
        <v>1634</v>
      </c>
      <c r="ABX1" s="8" t="s">
        <v>1635</v>
      </c>
      <c r="ABY1" s="8" t="s">
        <v>1636</v>
      </c>
      <c r="ABZ1" s="8" t="s">
        <v>1637</v>
      </c>
      <c r="ACA1" s="8" t="s">
        <v>1638</v>
      </c>
      <c r="ACB1" s="8" t="s">
        <v>1639</v>
      </c>
      <c r="ACC1" s="8" t="s">
        <v>1640</v>
      </c>
      <c r="ACD1" s="8" t="s">
        <v>1641</v>
      </c>
      <c r="ACE1" s="8" t="s">
        <v>1642</v>
      </c>
      <c r="ACF1" s="8" t="s">
        <v>1643</v>
      </c>
      <c r="ACG1" s="8" t="s">
        <v>1644</v>
      </c>
      <c r="ACH1" s="8" t="s">
        <v>1645</v>
      </c>
      <c r="ACI1" s="8" t="s">
        <v>1646</v>
      </c>
      <c r="ACJ1" s="8" t="s">
        <v>1647</v>
      </c>
      <c r="ACK1" s="8" t="s">
        <v>1648</v>
      </c>
      <c r="ACL1" s="8" t="s">
        <v>1649</v>
      </c>
      <c r="ACM1" s="8" t="s">
        <v>1650</v>
      </c>
      <c r="ACN1" s="8" t="s">
        <v>1651</v>
      </c>
      <c r="ACO1" s="8" t="s">
        <v>1652</v>
      </c>
      <c r="ACP1" s="8" t="s">
        <v>1653</v>
      </c>
      <c r="ACQ1" s="8" t="s">
        <v>1654</v>
      </c>
      <c r="ACR1" s="8" t="s">
        <v>1655</v>
      </c>
      <c r="ACS1" s="8" t="s">
        <v>1656</v>
      </c>
      <c r="ACT1" s="8" t="s">
        <v>1657</v>
      </c>
      <c r="ACU1" s="8" t="s">
        <v>1658</v>
      </c>
      <c r="ACV1" s="8" t="s">
        <v>1659</v>
      </c>
    </row>
    <row r="2" spans="1:776" x14ac:dyDescent="0.2">
      <c r="A2" t="s">
        <v>70663</v>
      </c>
      <c r="B2">
        <v>100.61760799510719</v>
      </c>
      <c r="C2">
        <v>98.968586402762895</v>
      </c>
      <c r="D2">
        <v>97.018603314674152</v>
      </c>
      <c r="E2">
        <v>96.070316314250533</v>
      </c>
      <c r="F2">
        <v>94.624645652036918</v>
      </c>
      <c r="G2">
        <v>98.68410731672742</v>
      </c>
      <c r="H2">
        <v>96.676305420294383</v>
      </c>
      <c r="I2">
        <v>97.530365683439143</v>
      </c>
      <c r="J2">
        <v>96.2777174128002</v>
      </c>
      <c r="K2">
        <v>96.69666550606911</v>
      </c>
      <c r="L2">
        <v>98.378477000097632</v>
      </c>
      <c r="M2">
        <v>100.55057639123103</v>
      </c>
      <c r="N2">
        <v>101.92772797513089</v>
      </c>
      <c r="O2">
        <v>101.40632106111676</v>
      </c>
      <c r="P2">
        <v>103.13063891190055</v>
      </c>
      <c r="Q2">
        <v>102.54684928977186</v>
      </c>
      <c r="R2">
        <v>101.87402366239584</v>
      </c>
      <c r="S2">
        <v>101.33376727708969</v>
      </c>
      <c r="T2">
        <v>102.13363216725135</v>
      </c>
      <c r="U2">
        <v>102.44487837131931</v>
      </c>
      <c r="V2">
        <v>102.33622776208561</v>
      </c>
      <c r="W2">
        <v>104.04077311738196</v>
      </c>
      <c r="X2">
        <v>103.53185517278955</v>
      </c>
      <c r="Y2">
        <v>106.42530654331672</v>
      </c>
      <c r="Z2">
        <v>107.8634022783254</v>
      </c>
      <c r="AA2">
        <v>109.06936641740111</v>
      </c>
      <c r="AB2">
        <v>108.78232597408515</v>
      </c>
      <c r="AC2">
        <v>111.93017328984064</v>
      </c>
      <c r="AD2">
        <v>114.20655364912092</v>
      </c>
      <c r="AE2">
        <v>111.16912044655211</v>
      </c>
      <c r="AF2">
        <v>109.9267404211248</v>
      </c>
      <c r="AG2">
        <v>111.27522419841709</v>
      </c>
      <c r="AH2">
        <v>108.62435139354125</v>
      </c>
      <c r="AI2">
        <v>108.67058889285545</v>
      </c>
      <c r="AJ2">
        <v>108.80292679152109</v>
      </c>
      <c r="AK2">
        <v>110.72611678800075</v>
      </c>
      <c r="AL2">
        <v>111.59391074492869</v>
      </c>
      <c r="AM2">
        <v>110.81541250903801</v>
      </c>
      <c r="AN2">
        <v>109.88938209342331</v>
      </c>
      <c r="AO2">
        <v>109.70626483354616</v>
      </c>
      <c r="AP2">
        <v>108.94442801450411</v>
      </c>
      <c r="AQ2">
        <v>107.85454617457407</v>
      </c>
      <c r="AR2">
        <v>107.38567169996627</v>
      </c>
      <c r="AS2">
        <v>107.94695806887805</v>
      </c>
      <c r="AT2">
        <v>105.40781963153454</v>
      </c>
      <c r="AU2">
        <v>107.35209380162077</v>
      </c>
      <c r="AV2">
        <v>108.37522197105757</v>
      </c>
      <c r="AW2">
        <v>109.77385987781253</v>
      </c>
      <c r="AX2">
        <v>112.36424310401702</v>
      </c>
      <c r="AY2">
        <v>113.3681580229442</v>
      </c>
      <c r="AZ2">
        <v>112.08481806408969</v>
      </c>
      <c r="BA2">
        <v>113.09381144161738</v>
      </c>
      <c r="BB2">
        <v>113.63616742310786</v>
      </c>
      <c r="BC2">
        <v>108.56043755870468</v>
      </c>
      <c r="BD2">
        <v>109.17964031727358</v>
      </c>
      <c r="BE2">
        <v>105.51166854956328</v>
      </c>
      <c r="BF2">
        <v>107.9577237752909</v>
      </c>
      <c r="BG2">
        <v>109.32493404045822</v>
      </c>
      <c r="BH2">
        <v>108.10004343874627</v>
      </c>
      <c r="BI2">
        <v>109.19905869061252</v>
      </c>
      <c r="BJ2">
        <v>106.675201998525</v>
      </c>
      <c r="BK2">
        <v>104.37638808203899</v>
      </c>
      <c r="BL2">
        <v>106.64931583334972</v>
      </c>
      <c r="BM2">
        <v>109.41305127862088</v>
      </c>
      <c r="BN2">
        <v>106.11787858060455</v>
      </c>
      <c r="BO2">
        <v>106.54855956031506</v>
      </c>
      <c r="BP2">
        <v>106.70488804287136</v>
      </c>
      <c r="BQ2">
        <v>107.01747629563745</v>
      </c>
      <c r="BR2">
        <v>107.07001410503281</v>
      </c>
      <c r="BS2">
        <v>105.59488971397823</v>
      </c>
      <c r="BT2">
        <v>105.21049598006726</v>
      </c>
      <c r="BU2">
        <v>103.99550291328407</v>
      </c>
      <c r="BV2">
        <v>103.99692200058549</v>
      </c>
      <c r="BW2">
        <v>104.46874418868397</v>
      </c>
      <c r="BX2">
        <v>104.72745088826305</v>
      </c>
      <c r="BY2">
        <v>106.23298579490795</v>
      </c>
      <c r="BZ2">
        <v>106.33421311411232</v>
      </c>
      <c r="CA2">
        <v>108.38867884848842</v>
      </c>
      <c r="CB2">
        <v>108.87910653026678</v>
      </c>
      <c r="CC2">
        <v>111.23971818839037</v>
      </c>
      <c r="CD2">
        <v>110.54030429525538</v>
      </c>
      <c r="CE2">
        <v>108.42712991257159</v>
      </c>
      <c r="CF2">
        <v>108.35129710077558</v>
      </c>
      <c r="CG2">
        <v>110.49226073781594</v>
      </c>
      <c r="CH2">
        <v>108.04437912512441</v>
      </c>
      <c r="CI2">
        <v>109.74579407678489</v>
      </c>
      <c r="CJ2">
        <v>106.17019002930684</v>
      </c>
      <c r="CK2">
        <v>106.11295536825065</v>
      </c>
      <c r="CL2">
        <v>107.35597908432209</v>
      </c>
      <c r="CM2">
        <v>107.43188590192527</v>
      </c>
      <c r="CN2">
        <v>109.84629715383926</v>
      </c>
      <c r="CO2">
        <v>108.74455222784938</v>
      </c>
      <c r="CP2">
        <v>107.84403774310638</v>
      </c>
      <c r="CQ2">
        <v>105.92834094402414</v>
      </c>
      <c r="CR2">
        <v>104.09344491905695</v>
      </c>
      <c r="CS2">
        <v>103.82186099317248</v>
      </c>
      <c r="CT2">
        <v>104.20545690894305</v>
      </c>
      <c r="CU2">
        <v>105.71283490831443</v>
      </c>
      <c r="CV2">
        <v>107.2641547870289</v>
      </c>
      <c r="CW2">
        <v>106.22425467714288</v>
      </c>
      <c r="CX2">
        <v>106.23397239138097</v>
      </c>
      <c r="CY2">
        <v>107.53491636155891</v>
      </c>
      <c r="CZ2">
        <v>104.3150445106116</v>
      </c>
      <c r="DA2">
        <v>105.12030892209395</v>
      </c>
      <c r="DB2">
        <v>98.209830384726374</v>
      </c>
      <c r="DC2">
        <v>96.777644983602883</v>
      </c>
      <c r="DD2">
        <v>100.30456633710781</v>
      </c>
      <c r="DE2">
        <v>100.63109455389565</v>
      </c>
      <c r="DF2">
        <v>97.832092950310397</v>
      </c>
      <c r="DG2">
        <v>94.023665673810484</v>
      </c>
      <c r="DH2">
        <v>96.694844340328956</v>
      </c>
      <c r="DI2">
        <v>100.42002052273352</v>
      </c>
      <c r="DJ2">
        <v>98.638902344224277</v>
      </c>
      <c r="DK2">
        <v>96.62865177630124</v>
      </c>
      <c r="DL2">
        <v>96.864700312681421</v>
      </c>
      <c r="DM2">
        <v>98.539671347328806</v>
      </c>
      <c r="DN2">
        <v>100.10370212874739</v>
      </c>
      <c r="DO2">
        <v>100.98353982935583</v>
      </c>
      <c r="DP2">
        <v>102.06617759415651</v>
      </c>
      <c r="DQ2">
        <v>100.42423979562574</v>
      </c>
      <c r="DR2">
        <v>97.763324650665282</v>
      </c>
      <c r="DS2">
        <v>97.224910831250043</v>
      </c>
      <c r="DT2">
        <v>97.065494494504804</v>
      </c>
      <c r="DU2">
        <v>97.088544310739366</v>
      </c>
      <c r="DV2">
        <v>97.314333413959346</v>
      </c>
      <c r="DW2">
        <v>97.88730005039703</v>
      </c>
      <c r="DX2">
        <v>97.457642430734609</v>
      </c>
      <c r="DY2">
        <v>100.23305010717218</v>
      </c>
      <c r="DZ2">
        <v>100.23005102798744</v>
      </c>
      <c r="EA2">
        <v>98.864560253917332</v>
      </c>
      <c r="EB2">
        <v>99.171969369446629</v>
      </c>
      <c r="EC2">
        <v>102.79157117152738</v>
      </c>
      <c r="ED2">
        <v>102.27127143992377</v>
      </c>
      <c r="EE2">
        <v>103.75988009026462</v>
      </c>
      <c r="EF2">
        <v>104.24138927818079</v>
      </c>
      <c r="EG2">
        <v>103.40571900364799</v>
      </c>
      <c r="EH2">
        <v>101.72675273383051</v>
      </c>
      <c r="EI2">
        <v>100.95897664704697</v>
      </c>
      <c r="EJ2">
        <v>97.996920460129118</v>
      </c>
      <c r="EK2">
        <v>98.958094773498146</v>
      </c>
      <c r="EL2">
        <v>98.275742102824424</v>
      </c>
      <c r="EM2">
        <v>99.936623131789887</v>
      </c>
      <c r="EN2">
        <v>102.44338805543784</v>
      </c>
      <c r="EO2">
        <v>102.86372285355627</v>
      </c>
      <c r="EP2">
        <v>103.48311755979263</v>
      </c>
      <c r="EQ2">
        <v>103.52888370523745</v>
      </c>
      <c r="ER2">
        <v>105.5542486295399</v>
      </c>
      <c r="ES2">
        <v>105.50168805877914</v>
      </c>
      <c r="ET2">
        <v>105.0969175732764</v>
      </c>
      <c r="EU2">
        <v>102.36380240748557</v>
      </c>
      <c r="EV2">
        <v>101.24176858846063</v>
      </c>
      <c r="EW2">
        <v>101.04112576858364</v>
      </c>
      <c r="EX2">
        <v>99.619968850671526</v>
      </c>
      <c r="EY2">
        <v>98.050445823904056</v>
      </c>
      <c r="EZ2">
        <v>99.119744800186979</v>
      </c>
      <c r="FA2">
        <v>98.995107487729925</v>
      </c>
      <c r="FB2">
        <v>98.169980416273518</v>
      </c>
      <c r="FC2">
        <v>99.310096646762986</v>
      </c>
      <c r="FD2">
        <v>100.25422650342709</v>
      </c>
      <c r="FE2">
        <v>99.914807918121852</v>
      </c>
      <c r="FF2">
        <v>102.13397029034309</v>
      </c>
      <c r="FG2">
        <v>101.65592859866105</v>
      </c>
      <c r="FH2">
        <v>103.25769393763888</v>
      </c>
      <c r="FI2">
        <v>103.89969695774529</v>
      </c>
      <c r="FJ2">
        <v>103.73167711517203</v>
      </c>
      <c r="FK2">
        <v>101.83576079988531</v>
      </c>
      <c r="FL2">
        <v>102.12707525637856</v>
      </c>
      <c r="FM2">
        <v>100.36907521254332</v>
      </c>
      <c r="FN2">
        <v>97.557043546907906</v>
      </c>
      <c r="FO2">
        <v>94.734612384515074</v>
      </c>
      <c r="FP2">
        <v>95.668018128788944</v>
      </c>
      <c r="FQ2">
        <v>96.862859624052959</v>
      </c>
      <c r="FR2">
        <v>93.717577248981428</v>
      </c>
      <c r="FS2">
        <v>93.657175364763106</v>
      </c>
      <c r="FT2">
        <v>94.764014444310348</v>
      </c>
      <c r="FU2">
        <v>97.011320016529723</v>
      </c>
      <c r="FV2">
        <v>97.784376615568334</v>
      </c>
      <c r="FW2">
        <v>98.246440068585116</v>
      </c>
      <c r="FX2">
        <v>98.370437841853516</v>
      </c>
      <c r="FY2">
        <v>97.9582720436198</v>
      </c>
      <c r="FZ2">
        <v>98.790955171989694</v>
      </c>
      <c r="GA2">
        <v>102.86988590329891</v>
      </c>
      <c r="GB2">
        <v>100.76690549710831</v>
      </c>
      <c r="GC2">
        <v>101.69639939614777</v>
      </c>
      <c r="GD2">
        <v>102.55728661368701</v>
      </c>
      <c r="GE2">
        <v>99.677798828028145</v>
      </c>
      <c r="GF2">
        <v>99.576835660384575</v>
      </c>
      <c r="GG2">
        <v>97.016350797613285</v>
      </c>
      <c r="GH2">
        <v>95.640537240107108</v>
      </c>
      <c r="GI2">
        <v>87.281921129848001</v>
      </c>
      <c r="GJ2">
        <v>88.259392026517887</v>
      </c>
      <c r="GK2">
        <v>91.117903646532142</v>
      </c>
      <c r="GL2">
        <v>91.617966649738349</v>
      </c>
      <c r="GM2">
        <v>89.911233405969156</v>
      </c>
      <c r="GN2">
        <v>89.657327503480943</v>
      </c>
      <c r="GO2">
        <v>88.552634938389389</v>
      </c>
      <c r="GP2">
        <v>88.635111479000528</v>
      </c>
      <c r="GQ2">
        <v>88.688425084577517</v>
      </c>
      <c r="GR2">
        <v>88.711951334335922</v>
      </c>
      <c r="GS2">
        <v>87.456950688844046</v>
      </c>
      <c r="GT2">
        <v>87.440469559754831</v>
      </c>
      <c r="GU2">
        <v>87.735280444826685</v>
      </c>
      <c r="GV2">
        <v>86.655629369599708</v>
      </c>
      <c r="GW2">
        <v>86.616817982862955</v>
      </c>
      <c r="GX2">
        <v>86.400456032207174</v>
      </c>
      <c r="GY2">
        <v>87.492547297791774</v>
      </c>
      <c r="GZ2">
        <v>85.786882583107001</v>
      </c>
      <c r="HA2">
        <v>86.667118767519355</v>
      </c>
      <c r="HB2">
        <v>90.195482717873446</v>
      </c>
      <c r="HC2">
        <v>90.310313496600997</v>
      </c>
      <c r="HD2">
        <v>88.951525073198823</v>
      </c>
      <c r="HE2">
        <v>88.608722745271493</v>
      </c>
      <c r="HF2">
        <v>87.953792548823245</v>
      </c>
      <c r="HG2">
        <v>86.589972551388044</v>
      </c>
      <c r="HH2">
        <v>85.272551774012257</v>
      </c>
      <c r="HI2">
        <v>85.130947974284467</v>
      </c>
      <c r="HJ2">
        <v>85.765510824361925</v>
      </c>
      <c r="HK2">
        <v>84.232418248527608</v>
      </c>
      <c r="HL2">
        <v>83.047218472343289</v>
      </c>
      <c r="HM2">
        <v>82.683353156277192</v>
      </c>
      <c r="HN2">
        <v>86.025292020607466</v>
      </c>
      <c r="HO2">
        <v>83.460172176609021</v>
      </c>
      <c r="HP2">
        <v>82.652941287808517</v>
      </c>
      <c r="HQ2">
        <v>83.942549801476659</v>
      </c>
      <c r="HR2">
        <v>81.493208975658419</v>
      </c>
      <c r="HS2">
        <v>79.0938198791535</v>
      </c>
      <c r="HT2">
        <v>79.026611990796837</v>
      </c>
      <c r="HU2">
        <v>77.684150788563883</v>
      </c>
      <c r="HV2">
        <v>75.494118095593052</v>
      </c>
      <c r="HW2">
        <v>75.314175434035604</v>
      </c>
      <c r="HX2">
        <v>75.20354549756054</v>
      </c>
      <c r="HY2">
        <v>74.589664239631176</v>
      </c>
      <c r="HZ2">
        <v>70.803052351746189</v>
      </c>
      <c r="IA2">
        <v>66.090758372748255</v>
      </c>
      <c r="IB2">
        <v>63.868414799386919</v>
      </c>
      <c r="IC2">
        <v>63.242032063076827</v>
      </c>
      <c r="ID2">
        <v>64.761816322660948</v>
      </c>
      <c r="IE2">
        <v>66.642735865899326</v>
      </c>
      <c r="IF2">
        <v>67.919363314735861</v>
      </c>
      <c r="IG2">
        <v>68.62370524460033</v>
      </c>
      <c r="IH2">
        <v>67.418021543184466</v>
      </c>
      <c r="II2">
        <v>65.829841821392719</v>
      </c>
      <c r="IJ2">
        <v>66.203367574732582</v>
      </c>
      <c r="IK2">
        <v>64.066551697025602</v>
      </c>
      <c r="IL2">
        <v>60.869553038415695</v>
      </c>
      <c r="IM2">
        <v>59.392816537194037</v>
      </c>
      <c r="IN2">
        <v>59.400512162967601</v>
      </c>
      <c r="IO2">
        <v>64.497012597456177</v>
      </c>
      <c r="IP2">
        <v>63.925606413127312</v>
      </c>
      <c r="IQ2">
        <v>66.165776857221843</v>
      </c>
      <c r="IR2">
        <v>64.894109668097173</v>
      </c>
      <c r="IS2">
        <v>63.860825587701555</v>
      </c>
      <c r="IT2">
        <v>64.222011074756239</v>
      </c>
      <c r="IU2">
        <v>66.851127292529569</v>
      </c>
      <c r="IV2">
        <v>67.400788833047912</v>
      </c>
      <c r="IW2">
        <v>64.65641001813789</v>
      </c>
      <c r="IX2">
        <v>63.617250280335405</v>
      </c>
      <c r="IY2">
        <v>60.063003637577005</v>
      </c>
      <c r="IZ2">
        <v>58.985595337846931</v>
      </c>
      <c r="JA2">
        <v>59.411745929445381</v>
      </c>
      <c r="JB2">
        <v>56.29645553627023</v>
      </c>
      <c r="JC2">
        <v>57.45205642353087</v>
      </c>
      <c r="JD2">
        <v>55.571491942146174</v>
      </c>
      <c r="JE2">
        <v>53.782920783671486</v>
      </c>
      <c r="JF2">
        <v>49.154557757682731</v>
      </c>
      <c r="JG2">
        <v>49.701598506630148</v>
      </c>
      <c r="JH2">
        <v>48.566518410686555</v>
      </c>
      <c r="JI2">
        <v>52.381958710354859</v>
      </c>
      <c r="JJ2">
        <v>49.176568990651944</v>
      </c>
      <c r="JK2">
        <v>45.733174454583882</v>
      </c>
      <c r="JL2">
        <v>43.842877187477562</v>
      </c>
      <c r="JM2">
        <v>48.665413094570006</v>
      </c>
      <c r="JN2">
        <v>45.532921053249616</v>
      </c>
      <c r="JO2">
        <v>45.352662101981849</v>
      </c>
      <c r="JP2">
        <v>42.93695111778753</v>
      </c>
      <c r="JQ2">
        <v>44.067013532405156</v>
      </c>
      <c r="JR2">
        <v>40.270713732665769</v>
      </c>
      <c r="JS2">
        <v>39.540872153135879</v>
      </c>
      <c r="JT2">
        <v>39.741819487114526</v>
      </c>
      <c r="JU2">
        <v>38.158805635008029</v>
      </c>
      <c r="JV2">
        <v>35.651040620069168</v>
      </c>
      <c r="JW2">
        <v>34.512649640818495</v>
      </c>
      <c r="JX2">
        <v>35.168950111945342</v>
      </c>
      <c r="JY2">
        <v>36.141765318378596</v>
      </c>
      <c r="JZ2">
        <v>31.684898789643377</v>
      </c>
      <c r="KA2">
        <v>30.180177579962866</v>
      </c>
      <c r="KB2">
        <v>32.516657994213141</v>
      </c>
      <c r="KC2">
        <v>34.031981925908674</v>
      </c>
      <c r="KD2">
        <v>38.134090114125726</v>
      </c>
      <c r="KE2">
        <v>36.432311765376035</v>
      </c>
      <c r="KF2">
        <v>40.242697345061792</v>
      </c>
      <c r="KG2">
        <v>41.219538751938387</v>
      </c>
      <c r="KH2">
        <v>43.258764275534226</v>
      </c>
      <c r="KI2">
        <v>45.128125518908597</v>
      </c>
      <c r="KJ2">
        <v>43.688477017862752</v>
      </c>
      <c r="KK2">
        <v>42.54352657669709</v>
      </c>
      <c r="KL2">
        <v>42.999051667969624</v>
      </c>
      <c r="KM2">
        <v>42.274729934981075</v>
      </c>
      <c r="KN2">
        <v>45.184488278118224</v>
      </c>
      <c r="KO2">
        <v>49.504425389316403</v>
      </c>
      <c r="KP2">
        <v>48.63141113333878</v>
      </c>
      <c r="KQ2">
        <v>45.63143974445866</v>
      </c>
      <c r="KR2">
        <v>43.114097622025966</v>
      </c>
      <c r="KS2">
        <v>44.067257099434023</v>
      </c>
      <c r="KT2">
        <v>43.803488982572176</v>
      </c>
      <c r="KU2">
        <v>40.997450479722154</v>
      </c>
      <c r="KV2">
        <v>42.456042122395374</v>
      </c>
      <c r="KW2">
        <v>43.902081898678802</v>
      </c>
      <c r="KX2">
        <v>42.952694778920019</v>
      </c>
      <c r="KY2">
        <v>44.134620916329567</v>
      </c>
      <c r="KZ2">
        <v>44.80239640148347</v>
      </c>
      <c r="LA2">
        <v>47.867588841970935</v>
      </c>
      <c r="LB2">
        <v>46.391863609583737</v>
      </c>
      <c r="LC2">
        <v>46.03981457085893</v>
      </c>
      <c r="LD2">
        <v>46.352159679143924</v>
      </c>
      <c r="LE2">
        <v>45.715536260977508</v>
      </c>
      <c r="LF2">
        <v>46.532199640998243</v>
      </c>
      <c r="LG2">
        <v>47.305988570454147</v>
      </c>
      <c r="LH2">
        <v>47.383738527352598</v>
      </c>
      <c r="LI2">
        <v>48.669265240485366</v>
      </c>
      <c r="LJ2">
        <v>48.620560628639019</v>
      </c>
      <c r="LK2">
        <v>49.135686174788233</v>
      </c>
      <c r="LL2">
        <v>51.020538357811148</v>
      </c>
      <c r="LM2">
        <v>54.403920080037992</v>
      </c>
      <c r="LN2">
        <v>55.536088024186796</v>
      </c>
      <c r="LO2">
        <v>55.640986223916613</v>
      </c>
      <c r="LP2">
        <v>57.792194909408259</v>
      </c>
      <c r="LQ2">
        <v>57.82660160772825</v>
      </c>
      <c r="LR2">
        <v>66.57754866833902</v>
      </c>
      <c r="LS2">
        <v>63.874752178565032</v>
      </c>
      <c r="LT2">
        <v>68.833246518231235</v>
      </c>
      <c r="LU2">
        <v>65.775552375366942</v>
      </c>
      <c r="LV2">
        <v>68.208935786099062</v>
      </c>
      <c r="LW2">
        <v>67.472502063782613</v>
      </c>
      <c r="LX2">
        <v>65.75655926507163</v>
      </c>
      <c r="LY2">
        <v>63.603974363684905</v>
      </c>
      <c r="LZ2">
        <v>63.217017971901697</v>
      </c>
      <c r="MA2">
        <v>65.810689296064353</v>
      </c>
      <c r="MB2">
        <v>64.856562134194164</v>
      </c>
      <c r="MC2">
        <v>69.521827920653706</v>
      </c>
      <c r="MD2">
        <v>67.081321804231067</v>
      </c>
      <c r="ME2">
        <v>67.508464792588427</v>
      </c>
      <c r="MF2">
        <v>66.810017429734231</v>
      </c>
      <c r="MG2">
        <v>65.471373142762019</v>
      </c>
      <c r="MH2">
        <v>69.082316230632003</v>
      </c>
      <c r="MI2">
        <v>68.279293193788718</v>
      </c>
      <c r="MJ2">
        <v>70.394243086350627</v>
      </c>
      <c r="MK2">
        <v>67.446933365656861</v>
      </c>
      <c r="ML2">
        <v>68.636659752522434</v>
      </c>
      <c r="MM2">
        <v>68.793164329041034</v>
      </c>
      <c r="MN2">
        <v>64.426458079698705</v>
      </c>
      <c r="MO2">
        <v>65.19038315296838</v>
      </c>
      <c r="MP2">
        <v>65.728181367785922</v>
      </c>
      <c r="MQ2">
        <v>62.330283370713289</v>
      </c>
      <c r="MR2">
        <v>62.090874473409933</v>
      </c>
      <c r="MS2">
        <v>63.319615635637845</v>
      </c>
      <c r="MT2">
        <v>62.124515932545791</v>
      </c>
      <c r="MU2">
        <v>61.416074197577643</v>
      </c>
      <c r="MV2">
        <v>63.106326224701654</v>
      </c>
      <c r="MW2">
        <v>61.274129585519411</v>
      </c>
      <c r="MX2">
        <v>60.716185481818123</v>
      </c>
      <c r="MY2">
        <v>65.874831371567225</v>
      </c>
      <c r="MZ2">
        <v>67.270250761019383</v>
      </c>
      <c r="NA2">
        <v>67.245582902424587</v>
      </c>
      <c r="NB2">
        <v>66.970608685100061</v>
      </c>
      <c r="NC2">
        <v>70.369843618530211</v>
      </c>
      <c r="ND2">
        <v>72.045799023313634</v>
      </c>
      <c r="NE2">
        <v>70.39548101631253</v>
      </c>
      <c r="NF2">
        <v>70.717389591754397</v>
      </c>
      <c r="NG2">
        <v>73.461325096525059</v>
      </c>
      <c r="NH2">
        <v>74.231499716462778</v>
      </c>
      <c r="NI2">
        <v>75.093154847999898</v>
      </c>
      <c r="NJ2">
        <v>76.546358585080881</v>
      </c>
      <c r="NK2">
        <v>77.916903105274841</v>
      </c>
      <c r="NL2">
        <v>79.30004292633582</v>
      </c>
      <c r="NM2">
        <v>82.433934841360369</v>
      </c>
      <c r="NN2">
        <v>83.331908360897401</v>
      </c>
      <c r="NO2">
        <v>83.894379361467955</v>
      </c>
      <c r="NP2">
        <v>83.849701630292742</v>
      </c>
      <c r="NQ2">
        <v>85.942579762070167</v>
      </c>
      <c r="NR2">
        <v>84.958760986872335</v>
      </c>
      <c r="NS2">
        <v>83.666451320240313</v>
      </c>
      <c r="NT2">
        <v>84.599306290875987</v>
      </c>
      <c r="NU2">
        <v>82.547468676073507</v>
      </c>
      <c r="NV2">
        <v>85.498140068834317</v>
      </c>
      <c r="NW2">
        <v>86.775202175323969</v>
      </c>
      <c r="NX2">
        <v>87.8073611507278</v>
      </c>
      <c r="NY2">
        <v>87.227127940052313</v>
      </c>
      <c r="NZ2">
        <v>89.031350549611147</v>
      </c>
      <c r="OA2">
        <v>91.88176451351157</v>
      </c>
      <c r="OB2">
        <v>89.494888940811975</v>
      </c>
      <c r="OC2">
        <v>85.974389552564347</v>
      </c>
      <c r="OD2">
        <v>87.356135501100013</v>
      </c>
      <c r="OE2">
        <v>86.8211225002552</v>
      </c>
      <c r="OF2">
        <v>84.877670361357204</v>
      </c>
      <c r="OG2">
        <v>85.656902488823178</v>
      </c>
      <c r="OH2">
        <v>83.986797263418552</v>
      </c>
      <c r="OI2">
        <v>81.523200521158813</v>
      </c>
      <c r="OJ2">
        <v>85.921599349204357</v>
      </c>
      <c r="OK2">
        <v>81.512543865585187</v>
      </c>
      <c r="OL2">
        <v>81.953050955271834</v>
      </c>
      <c r="OM2">
        <v>81.628293751487746</v>
      </c>
      <c r="ON2">
        <v>84.55535510141938</v>
      </c>
      <c r="OO2">
        <v>87.309260875141675</v>
      </c>
      <c r="OP2">
        <v>85.46351844742334</v>
      </c>
      <c r="OQ2">
        <v>85.574252739078176</v>
      </c>
      <c r="OR2">
        <v>90.302261874638276</v>
      </c>
      <c r="OS2">
        <v>94.039630542803408</v>
      </c>
      <c r="OT2">
        <v>93.047994712099467</v>
      </c>
      <c r="OU2">
        <v>95.197235937421866</v>
      </c>
      <c r="OV2">
        <v>97.341021330947498</v>
      </c>
      <c r="OW2">
        <v>96.041780030314541</v>
      </c>
      <c r="OX2">
        <v>95.003294358166571</v>
      </c>
      <c r="OY2">
        <v>94.80396648623379</v>
      </c>
      <c r="OZ2">
        <v>93.990318870512667</v>
      </c>
      <c r="PA2">
        <v>93.845527701803832</v>
      </c>
      <c r="PB2">
        <v>91.804626793386589</v>
      </c>
      <c r="PC2">
        <v>92.138022533045017</v>
      </c>
      <c r="PD2">
        <v>90.560903121136406</v>
      </c>
      <c r="PE2">
        <v>93.475147465735446</v>
      </c>
      <c r="PF2">
        <v>95.878175970733722</v>
      </c>
      <c r="PG2">
        <v>95.466102525513165</v>
      </c>
      <c r="PH2">
        <v>93.993492740383488</v>
      </c>
      <c r="PI2">
        <v>94.709052073567605</v>
      </c>
      <c r="PJ2">
        <v>98.916635617723159</v>
      </c>
      <c r="PK2">
        <v>97.043717388626817</v>
      </c>
      <c r="PL2">
        <v>100.08610859339719</v>
      </c>
      <c r="PM2">
        <v>101.36588175181868</v>
      </c>
      <c r="PN2">
        <v>96.993949256107996</v>
      </c>
      <c r="PO2">
        <v>95.034537065602919</v>
      </c>
      <c r="PP2">
        <v>94.40484957804334</v>
      </c>
      <c r="PQ2">
        <v>97.235145729977816</v>
      </c>
      <c r="PR2">
        <v>94.010569006703321</v>
      </c>
      <c r="PS2">
        <v>95.000296011642064</v>
      </c>
      <c r="PT2">
        <v>90.129995952080733</v>
      </c>
      <c r="PU2">
        <v>87.690397828502157</v>
      </c>
      <c r="PV2">
        <v>87.761730717676429</v>
      </c>
      <c r="PW2">
        <v>90.144610148232189</v>
      </c>
      <c r="PX2">
        <v>89.534138449787221</v>
      </c>
      <c r="PY2">
        <v>89.810624289945409</v>
      </c>
      <c r="PZ2">
        <v>86.237018692294811</v>
      </c>
      <c r="QA2">
        <v>87.961418602780853</v>
      </c>
      <c r="QB2">
        <v>88.962577003778094</v>
      </c>
      <c r="QC2">
        <v>88.414602519733265</v>
      </c>
      <c r="QD2">
        <v>90.971370829304334</v>
      </c>
      <c r="QE2">
        <v>91.134560600757339</v>
      </c>
      <c r="QF2">
        <v>93.92227554501622</v>
      </c>
      <c r="QG2">
        <v>92.748978039492954</v>
      </c>
      <c r="QH2">
        <v>90.735141145817394</v>
      </c>
      <c r="QI2">
        <v>90.655196706583723</v>
      </c>
      <c r="QJ2">
        <v>93.174593446057642</v>
      </c>
      <c r="QK2">
        <v>93.697306117646704</v>
      </c>
      <c r="QL2">
        <v>97.365837145453213</v>
      </c>
      <c r="QM2">
        <v>98.387139658498953</v>
      </c>
      <c r="QN2">
        <v>98.53826836910217</v>
      </c>
      <c r="QO2">
        <v>96.286201035887515</v>
      </c>
      <c r="QP2">
        <v>94.275317114125187</v>
      </c>
      <c r="QQ2">
        <v>94.626731463716752</v>
      </c>
      <c r="QR2">
        <v>94.152363368214168</v>
      </c>
      <c r="QS2">
        <v>95.711853464611522</v>
      </c>
      <c r="QT2">
        <v>97.278658986831147</v>
      </c>
      <c r="QU2">
        <v>92.699408182677743</v>
      </c>
      <c r="QV2">
        <v>91.441893653067766</v>
      </c>
      <c r="QW2">
        <v>92.185790430721724</v>
      </c>
      <c r="QX2">
        <v>91.409880911996851</v>
      </c>
      <c r="QY2">
        <v>90.997954773214801</v>
      </c>
      <c r="QZ2">
        <v>89.375599002046656</v>
      </c>
      <c r="RA2">
        <v>87.976240392861499</v>
      </c>
      <c r="RB2">
        <v>87.668275206696379</v>
      </c>
      <c r="RC2">
        <v>88.519525618575813</v>
      </c>
      <c r="RD2">
        <v>82.835550632892634</v>
      </c>
      <c r="RE2">
        <v>80.872393015183874</v>
      </c>
      <c r="RF2">
        <v>81.057126479146348</v>
      </c>
      <c r="RG2">
        <v>76.32921678714952</v>
      </c>
      <c r="RH2">
        <v>75.860933899045349</v>
      </c>
      <c r="RI2">
        <v>78.133809009325162</v>
      </c>
      <c r="RJ2">
        <v>80.542777278096523</v>
      </c>
      <c r="RK2">
        <v>77.804416938765343</v>
      </c>
      <c r="RL2">
        <v>76.552665020649442</v>
      </c>
      <c r="RM2">
        <v>73.787920291849787</v>
      </c>
      <c r="RN2">
        <v>75.122325842818256</v>
      </c>
      <c r="RO2">
        <v>72.97691629920179</v>
      </c>
      <c r="RP2">
        <v>72.953050455269008</v>
      </c>
      <c r="RQ2">
        <v>73.923222134772885</v>
      </c>
      <c r="RR2">
        <v>75.923513990971216</v>
      </c>
      <c r="RS2">
        <v>74.706321831011337</v>
      </c>
      <c r="RT2">
        <v>75.467827788616518</v>
      </c>
      <c r="RU2">
        <v>75.710028875852345</v>
      </c>
      <c r="RV2">
        <v>74.208576099334138</v>
      </c>
      <c r="RW2">
        <v>76.05105017479049</v>
      </c>
      <c r="RX2">
        <v>73.463426640666754</v>
      </c>
      <c r="RY2">
        <v>72.735434078098592</v>
      </c>
      <c r="RZ2">
        <v>72.178134029600699</v>
      </c>
      <c r="SA2">
        <v>72.85557839540931</v>
      </c>
      <c r="SB2">
        <v>75.654227824877765</v>
      </c>
      <c r="SC2">
        <v>72.818796051344648</v>
      </c>
      <c r="SD2">
        <v>71.076690273850289</v>
      </c>
      <c r="SE2">
        <v>70.336172452327745</v>
      </c>
      <c r="SF2">
        <v>71.345445311689602</v>
      </c>
      <c r="SG2">
        <v>68.943284791762821</v>
      </c>
      <c r="SH2">
        <v>68.003081512730887</v>
      </c>
      <c r="SI2">
        <v>63.89669827926199</v>
      </c>
      <c r="SJ2">
        <v>64.779143194395033</v>
      </c>
      <c r="SK2">
        <v>69.384128043493746</v>
      </c>
      <c r="SL2">
        <v>67.655522815299705</v>
      </c>
      <c r="SM2">
        <v>69.844345018371655</v>
      </c>
      <c r="SN2">
        <v>68.812645935128401</v>
      </c>
      <c r="SO2">
        <v>69.290053932421671</v>
      </c>
      <c r="SP2">
        <v>65.150326962655399</v>
      </c>
      <c r="SQ2">
        <v>65.779394036635352</v>
      </c>
      <c r="SR2">
        <v>66.349484651559891</v>
      </c>
      <c r="SS2">
        <v>66.602523334811906</v>
      </c>
      <c r="ST2">
        <v>69.594398661870528</v>
      </c>
      <c r="SU2">
        <v>72.628995421930028</v>
      </c>
      <c r="SV2">
        <v>73.315627250467443</v>
      </c>
      <c r="SW2">
        <v>74.162807184437852</v>
      </c>
      <c r="SX2">
        <v>72.64904970157653</v>
      </c>
      <c r="SY2">
        <v>70.71005623082732</v>
      </c>
      <c r="SZ2">
        <v>68.118414910923761</v>
      </c>
      <c r="TA2">
        <v>67.168047205962523</v>
      </c>
      <c r="TB2">
        <v>68.701363344738212</v>
      </c>
      <c r="TC2">
        <v>68.722749609078349</v>
      </c>
      <c r="TD2">
        <v>69.624643777885936</v>
      </c>
      <c r="TE2">
        <v>70.83634981387209</v>
      </c>
      <c r="TF2">
        <v>70.361176579724315</v>
      </c>
      <c r="TG2">
        <v>70.63585398392101</v>
      </c>
      <c r="TH2">
        <v>69.427699302491234</v>
      </c>
      <c r="TI2">
        <v>70.16611509953718</v>
      </c>
      <c r="TJ2">
        <v>68.749373774807594</v>
      </c>
      <c r="TK2">
        <v>68.99075572816308</v>
      </c>
      <c r="TL2">
        <v>68.752853003109337</v>
      </c>
      <c r="TM2">
        <v>66.801127330541632</v>
      </c>
      <c r="TN2">
        <v>67.765183669247321</v>
      </c>
      <c r="TO2">
        <v>68.685253518936165</v>
      </c>
      <c r="TP2">
        <v>67.903230646277876</v>
      </c>
      <c r="TQ2">
        <v>67.840231522248857</v>
      </c>
      <c r="TR2">
        <v>65.874914761001406</v>
      </c>
      <c r="TS2">
        <v>68.732308300755335</v>
      </c>
      <c r="TT2">
        <v>69.231324766811213</v>
      </c>
      <c r="TU2">
        <v>73.617228077135351</v>
      </c>
      <c r="TV2">
        <v>77.084098122144567</v>
      </c>
      <c r="TW2">
        <v>77.047683403391233</v>
      </c>
      <c r="TX2">
        <v>74.319905583585353</v>
      </c>
      <c r="TY2">
        <v>75.109576039133628</v>
      </c>
      <c r="TZ2">
        <v>74.578897230053386</v>
      </c>
      <c r="UA2">
        <v>80.564069957742419</v>
      </c>
      <c r="UB2">
        <v>79.954168263452985</v>
      </c>
      <c r="UC2">
        <v>80.78956959171245</v>
      </c>
      <c r="UD2">
        <v>75.672352719279317</v>
      </c>
      <c r="UE2">
        <v>74.828767268571937</v>
      </c>
      <c r="UF2">
        <v>76.17450853836732</v>
      </c>
      <c r="UG2">
        <v>81.214459931321102</v>
      </c>
      <c r="UH2">
        <v>81.470948824284235</v>
      </c>
      <c r="UI2">
        <v>79.15509134950301</v>
      </c>
      <c r="UJ2">
        <v>77.993032657541377</v>
      </c>
      <c r="UK2">
        <v>75.269602064478647</v>
      </c>
      <c r="UL2">
        <v>77.00113183333751</v>
      </c>
      <c r="UM2">
        <v>75.574384643478211</v>
      </c>
      <c r="UN2">
        <v>75.777643789014519</v>
      </c>
      <c r="UO2">
        <v>76.191867393057223</v>
      </c>
      <c r="UP2">
        <v>76.607224587538184</v>
      </c>
      <c r="UQ2">
        <v>76.864714208814775</v>
      </c>
      <c r="UR2">
        <v>79.309555351487802</v>
      </c>
      <c r="US2">
        <v>78.732311368102728</v>
      </c>
      <c r="UT2">
        <v>75.175426946313877</v>
      </c>
      <c r="UU2">
        <v>74.553107007941762</v>
      </c>
      <c r="UV2">
        <v>75.564349140187176</v>
      </c>
      <c r="UW2">
        <v>75.778827900051951</v>
      </c>
      <c r="UX2">
        <v>75.918502926699517</v>
      </c>
      <c r="UY2">
        <v>81.188783092489373</v>
      </c>
      <c r="UZ2">
        <v>82.323482123965434</v>
      </c>
      <c r="VA2">
        <v>84.235048862739319</v>
      </c>
      <c r="VB2">
        <v>82.571400010639223</v>
      </c>
      <c r="VC2">
        <v>84.127165784895539</v>
      </c>
      <c r="VD2">
        <v>86.507250994830258</v>
      </c>
      <c r="VE2">
        <v>88.389998831391338</v>
      </c>
      <c r="VF2">
        <v>89.124257520457547</v>
      </c>
      <c r="VG2">
        <v>85.625720119073833</v>
      </c>
      <c r="VH2">
        <v>87.996518485094811</v>
      </c>
      <c r="VI2">
        <v>90.550221678478749</v>
      </c>
      <c r="VJ2">
        <v>94.780087348663542</v>
      </c>
      <c r="VK2">
        <v>90.831732698548876</v>
      </c>
      <c r="VL2">
        <v>88.804142635026636</v>
      </c>
      <c r="VM2">
        <v>92.772415455763152</v>
      </c>
      <c r="VN2">
        <v>90.053095779210736</v>
      </c>
      <c r="VO2">
        <v>91.078001945960239</v>
      </c>
      <c r="VP2">
        <v>86.842037895727202</v>
      </c>
      <c r="VQ2">
        <v>86.098574837573551</v>
      </c>
      <c r="VR2">
        <v>81.290870516805327</v>
      </c>
      <c r="VS2">
        <v>81.332241299117484</v>
      </c>
      <c r="VT2">
        <v>80.418965991601041</v>
      </c>
      <c r="VU2">
        <v>83.107501424553973</v>
      </c>
      <c r="VV2">
        <v>81.59195957104059</v>
      </c>
      <c r="VW2">
        <v>85.96255166099624</v>
      </c>
      <c r="VX2">
        <v>86.058148083830588</v>
      </c>
      <c r="VY2">
        <v>85.92935569911414</v>
      </c>
      <c r="VZ2">
        <v>85.832944692178344</v>
      </c>
      <c r="WA2">
        <v>88.430269624318456</v>
      </c>
      <c r="WB2">
        <v>89.689267983641017</v>
      </c>
      <c r="WC2">
        <v>90.184504671525005</v>
      </c>
      <c r="WD2">
        <v>90.435977368402718</v>
      </c>
      <c r="WE2">
        <v>93.449160932449502</v>
      </c>
      <c r="WF2">
        <v>98.740214998286703</v>
      </c>
      <c r="WG2">
        <v>95.734014279648576</v>
      </c>
      <c r="WH2">
        <v>98.056884179503427</v>
      </c>
      <c r="WI2">
        <v>105.49507156146768</v>
      </c>
      <c r="WJ2">
        <v>105.18155431861625</v>
      </c>
      <c r="WK2">
        <v>101.71207839297023</v>
      </c>
      <c r="WL2">
        <v>107.32668630791491</v>
      </c>
      <c r="WM2">
        <v>110.63406884837482</v>
      </c>
      <c r="WN2">
        <v>113.05323460719947</v>
      </c>
      <c r="WO2">
        <v>115.71026047088473</v>
      </c>
      <c r="WP2">
        <v>108.96838470500188</v>
      </c>
      <c r="WQ2">
        <v>112.67178337503231</v>
      </c>
      <c r="WR2">
        <v>113.53493865958933</v>
      </c>
      <c r="WS2">
        <v>111.99654584092406</v>
      </c>
      <c r="WT2">
        <v>118.92652108064874</v>
      </c>
      <c r="WU2">
        <v>118.58127167698915</v>
      </c>
      <c r="WV2">
        <v>123.39414940938586</v>
      </c>
      <c r="WW2">
        <v>122.5287643891303</v>
      </c>
      <c r="WX2">
        <v>116.52536277357734</v>
      </c>
      <c r="WY2">
        <v>113.89772145884814</v>
      </c>
      <c r="WZ2">
        <v>111.41381268510608</v>
      </c>
      <c r="XA2">
        <v>111.07454322282021</v>
      </c>
      <c r="XB2">
        <v>110.25949313129571</v>
      </c>
      <c r="XC2">
        <v>110.52742167159384</v>
      </c>
      <c r="XD2">
        <v>116.22866718263629</v>
      </c>
      <c r="XE2">
        <v>113.38065601548703</v>
      </c>
      <c r="XF2">
        <v>111.43517026761722</v>
      </c>
      <c r="XG2">
        <v>118.28709593456328</v>
      </c>
      <c r="XH2">
        <v>122.37196313780767</v>
      </c>
      <c r="XI2">
        <v>121.70250568434174</v>
      </c>
      <c r="XJ2">
        <v>126.28235768094291</v>
      </c>
      <c r="XK2">
        <v>129.69523807418068</v>
      </c>
      <c r="XL2">
        <v>127.92423244349821</v>
      </c>
      <c r="XM2">
        <v>127.27092454642157</v>
      </c>
      <c r="XN2">
        <v>123.49072171476475</v>
      </c>
      <c r="XO2">
        <v>122.81994535630638</v>
      </c>
      <c r="XP2">
        <v>125.60714785790407</v>
      </c>
      <c r="XQ2">
        <v>117.89619833173651</v>
      </c>
      <c r="XR2">
        <v>123.80456255925222</v>
      </c>
      <c r="XS2">
        <v>118.22612613953272</v>
      </c>
      <c r="XT2">
        <v>119.68387657626143</v>
      </c>
      <c r="XU2">
        <v>121.96156628026051</v>
      </c>
      <c r="XV2">
        <v>126.06907268678351</v>
      </c>
      <c r="XW2">
        <v>125.67855417787787</v>
      </c>
      <c r="XX2">
        <v>126.06818749496605</v>
      </c>
      <c r="XY2">
        <v>124.76544278201749</v>
      </c>
      <c r="XZ2">
        <v>125.4109001562498</v>
      </c>
      <c r="YA2">
        <v>121.1892863302883</v>
      </c>
      <c r="YB2">
        <v>120.47853170724612</v>
      </c>
      <c r="YC2">
        <v>123.71570940083633</v>
      </c>
      <c r="YD2">
        <v>124.62561848094238</v>
      </c>
      <c r="YE2">
        <v>122.51969807568771</v>
      </c>
      <c r="YF2">
        <v>122.24120457490662</v>
      </c>
      <c r="YG2">
        <v>122.19887830271226</v>
      </c>
      <c r="YH2">
        <v>120.94307605500067</v>
      </c>
      <c r="YI2">
        <v>124.49300876463977</v>
      </c>
      <c r="YJ2">
        <v>120.09429931774584</v>
      </c>
      <c r="YK2">
        <v>114.27008466152358</v>
      </c>
      <c r="YL2">
        <v>112.41705479977762</v>
      </c>
      <c r="YM2">
        <v>114.35995423301532</v>
      </c>
      <c r="YN2">
        <v>110.44008243543483</v>
      </c>
      <c r="YO2">
        <v>112.53804214683605</v>
      </c>
      <c r="YP2">
        <v>111.10290371921636</v>
      </c>
      <c r="YQ2">
        <v>108.67122190888539</v>
      </c>
      <c r="YR2">
        <v>108.0941963693235</v>
      </c>
      <c r="YS2">
        <v>110.36299585058195</v>
      </c>
      <c r="YT2">
        <v>111.58454671147071</v>
      </c>
      <c r="YU2">
        <v>109.62910526083287</v>
      </c>
      <c r="YV2">
        <v>109.63427263163894</v>
      </c>
      <c r="YW2">
        <v>109.86804251016946</v>
      </c>
      <c r="YX2">
        <v>113.9028100083177</v>
      </c>
      <c r="YY2">
        <v>110.87897907931868</v>
      </c>
      <c r="YZ2">
        <v>112.4638816380817</v>
      </c>
      <c r="ZA2">
        <v>111.95871327369346</v>
      </c>
      <c r="ZB2">
        <v>109.58942813380257</v>
      </c>
      <c r="ZC2">
        <v>108.2460176099264</v>
      </c>
      <c r="ZD2">
        <v>108.04963768091559</v>
      </c>
      <c r="ZE2">
        <v>109.06023556464646</v>
      </c>
      <c r="ZF2">
        <v>109.14672431114158</v>
      </c>
      <c r="ZG2">
        <v>109.42531095447413</v>
      </c>
      <c r="ZH2">
        <v>109.10839262571211</v>
      </c>
      <c r="ZI2">
        <v>113.2339353269229</v>
      </c>
      <c r="ZJ2">
        <v>112.6041022410552</v>
      </c>
      <c r="ZK2">
        <v>115.67585839598945</v>
      </c>
      <c r="ZL2">
        <v>114.40948495256242</v>
      </c>
      <c r="ZM2">
        <v>119.29248391814386</v>
      </c>
      <c r="ZN2">
        <v>120.48651933980192</v>
      </c>
      <c r="ZO2">
        <v>116.97033408806881</v>
      </c>
      <c r="ZP2">
        <v>116.88634290315247</v>
      </c>
      <c r="ZQ2">
        <v>121.40726023633486</v>
      </c>
      <c r="ZR2">
        <v>119.12792728319214</v>
      </c>
      <c r="ZS2">
        <v>118.38730091371987</v>
      </c>
      <c r="ZT2">
        <v>117.88921760145207</v>
      </c>
      <c r="ZU2">
        <v>119.86849689479115</v>
      </c>
      <c r="ZV2">
        <v>118.58246752507615</v>
      </c>
      <c r="ZW2">
        <v>116.77625176007199</v>
      </c>
      <c r="ZX2">
        <v>112.79687580718463</v>
      </c>
      <c r="ZY2">
        <v>114.21322689945941</v>
      </c>
      <c r="ZZ2">
        <v>115.18917600424746</v>
      </c>
      <c r="AAA2">
        <v>115.18437248405482</v>
      </c>
      <c r="AAB2">
        <v>113.99947642414813</v>
      </c>
      <c r="AAC2">
        <v>112.19294027265511</v>
      </c>
      <c r="AAD2">
        <v>109.18894951476437</v>
      </c>
      <c r="AAE2">
        <v>108.54183247128194</v>
      </c>
      <c r="AAF2">
        <v>107.78515180283314</v>
      </c>
      <c r="AAG2">
        <v>108.17178594064117</v>
      </c>
      <c r="AAH2">
        <v>107.23311818526706</v>
      </c>
      <c r="AAI2">
        <v>106.76574458807514</v>
      </c>
      <c r="AAJ2">
        <v>106.57846187136158</v>
      </c>
      <c r="AAK2">
        <v>100.86906223662994</v>
      </c>
      <c r="AAL2">
        <v>104.73620327840226</v>
      </c>
      <c r="AAM2">
        <v>103.44861598187056</v>
      </c>
      <c r="AAN2">
        <v>105.12388012267658</v>
      </c>
      <c r="AAO2">
        <v>108.08916060072022</v>
      </c>
      <c r="AAP2">
        <v>110.4624200650432</v>
      </c>
      <c r="AAQ2">
        <v>112.84239540473172</v>
      </c>
      <c r="AAR2">
        <v>113.35093843480122</v>
      </c>
      <c r="AAS2">
        <v>113.41880214344332</v>
      </c>
      <c r="AAT2">
        <v>112.99866682296764</v>
      </c>
      <c r="AAU2">
        <v>114.67602352640178</v>
      </c>
      <c r="AAV2">
        <v>116.17973045651418</v>
      </c>
      <c r="AAW2">
        <v>115.37327079509505</v>
      </c>
      <c r="AAX2">
        <v>111.68360931917969</v>
      </c>
      <c r="AAY2">
        <v>106.8294650216386</v>
      </c>
      <c r="AAZ2">
        <v>107.24624766062973</v>
      </c>
      <c r="ABA2">
        <v>108.14442998386106</v>
      </c>
      <c r="ABB2">
        <v>106.35926856329998</v>
      </c>
      <c r="ABC2">
        <v>103.08801691449339</v>
      </c>
      <c r="ABD2">
        <v>101.64942294459951</v>
      </c>
      <c r="ABE2">
        <v>98.614008785097411</v>
      </c>
      <c r="ABF2">
        <v>98.615199799903309</v>
      </c>
      <c r="ABG2">
        <v>94.385802737706911</v>
      </c>
      <c r="ABH2">
        <v>94.246901155530608</v>
      </c>
      <c r="ABI2">
        <v>94.338618151890401</v>
      </c>
      <c r="ABJ2">
        <v>91.281773575203971</v>
      </c>
      <c r="ABK2">
        <v>93.104368830865909</v>
      </c>
      <c r="ABL2">
        <v>90.665828114793669</v>
      </c>
      <c r="ABM2">
        <v>96.341860033339742</v>
      </c>
      <c r="ABN2">
        <v>98.080241581345263</v>
      </c>
      <c r="ABO2">
        <v>96.645798265514742</v>
      </c>
      <c r="ABP2">
        <v>93.863103953380374</v>
      </c>
      <c r="ABQ2">
        <v>92.834595940536914</v>
      </c>
      <c r="ABR2">
        <v>93.43820553946334</v>
      </c>
      <c r="ABS2">
        <v>94.649135999449086</v>
      </c>
      <c r="ABT2">
        <v>95.209167100126137</v>
      </c>
      <c r="ABU2">
        <v>94.12490977592509</v>
      </c>
      <c r="ABV2">
        <v>94.828539450101147</v>
      </c>
      <c r="ABW2">
        <v>93.505164911516061</v>
      </c>
      <c r="ABX2">
        <v>92.203797809606584</v>
      </c>
      <c r="ABY2">
        <v>91.832509000757327</v>
      </c>
      <c r="ABZ2">
        <v>92.855219914036084</v>
      </c>
      <c r="ACA2">
        <v>93.252413705188957</v>
      </c>
      <c r="ACB2">
        <v>90.994986062511842</v>
      </c>
      <c r="ACC2">
        <v>92.684131878622949</v>
      </c>
      <c r="ACD2">
        <v>92.30870517532523</v>
      </c>
      <c r="ACE2">
        <v>90.700932323323443</v>
      </c>
      <c r="ACF2">
        <v>89.710081448388038</v>
      </c>
      <c r="ACG2">
        <v>89.304353014501586</v>
      </c>
      <c r="ACH2">
        <v>89.915709585757924</v>
      </c>
      <c r="ACI2">
        <v>89.015329921778033</v>
      </c>
      <c r="ACJ2">
        <v>84.95603527687723</v>
      </c>
      <c r="ACK2">
        <v>85.065050845264182</v>
      </c>
      <c r="ACL2">
        <v>82.090668771094343</v>
      </c>
      <c r="ACM2">
        <v>79.135285268825641</v>
      </c>
      <c r="ACN2">
        <v>77.163190844099603</v>
      </c>
      <c r="ACO2">
        <v>75.14676999824519</v>
      </c>
      <c r="ACP2">
        <v>73.823238782525408</v>
      </c>
      <c r="ACQ2">
        <v>76.705485448315969</v>
      </c>
      <c r="ACR2">
        <v>75.124252218386061</v>
      </c>
      <c r="ACS2">
        <v>73.067247246778379</v>
      </c>
      <c r="ACT2">
        <v>74.563824147150484</v>
      </c>
      <c r="ACU2">
        <v>71.870638288326717</v>
      </c>
      <c r="ACV2">
        <v>72.378379882094663</v>
      </c>
    </row>
    <row r="3" spans="1:776" x14ac:dyDescent="0.2">
      <c r="A3" s="7" t="s">
        <v>70664</v>
      </c>
      <c r="B3">
        <v>101.03431343858469</v>
      </c>
      <c r="C3">
        <v>102.94688892692385</v>
      </c>
      <c r="D3">
        <v>106.43297097499088</v>
      </c>
      <c r="E3">
        <v>108.04093181540335</v>
      </c>
      <c r="F3">
        <v>111.49706188900029</v>
      </c>
      <c r="G3">
        <v>107.18267391653409</v>
      </c>
      <c r="H3">
        <v>109.45706960837587</v>
      </c>
      <c r="I3">
        <v>106.94580197565665</v>
      </c>
      <c r="J3">
        <v>108.35164885679598</v>
      </c>
      <c r="K3">
        <v>107.89311179028098</v>
      </c>
      <c r="L3">
        <v>105.07379099011963</v>
      </c>
      <c r="M3">
        <v>103.15608716473915</v>
      </c>
      <c r="N3">
        <v>101.6862417830506</v>
      </c>
      <c r="O3">
        <v>103.12652090551541</v>
      </c>
      <c r="P3">
        <v>102.88548408461205</v>
      </c>
      <c r="Q3">
        <v>103.91998672928776</v>
      </c>
      <c r="R3">
        <v>102.85250724795544</v>
      </c>
      <c r="S3">
        <v>103.81019104312269</v>
      </c>
      <c r="T3">
        <v>102.44259506530386</v>
      </c>
      <c r="U3">
        <v>103.5274582014498</v>
      </c>
      <c r="V3">
        <v>103.16983626471666</v>
      </c>
      <c r="W3">
        <v>100.93095241953311</v>
      </c>
      <c r="X3">
        <v>101.54003420084868</v>
      </c>
      <c r="Y3">
        <v>99.568223741744632</v>
      </c>
      <c r="Z3">
        <v>94.918800105450003</v>
      </c>
      <c r="AA3">
        <v>96.23894983145604</v>
      </c>
      <c r="AB3">
        <v>97.348242256497073</v>
      </c>
      <c r="AC3">
        <v>95.730023980981301</v>
      </c>
      <c r="AD3">
        <v>93.666293271177409</v>
      </c>
      <c r="AE3">
        <v>97.142383655217884</v>
      </c>
      <c r="AF3">
        <v>98.60747599578427</v>
      </c>
      <c r="AG3">
        <v>97.882618490514687</v>
      </c>
      <c r="AH3">
        <v>101.43647960585186</v>
      </c>
      <c r="AI3">
        <v>101.33993248213791</v>
      </c>
      <c r="AJ3">
        <v>100.84217021645095</v>
      </c>
      <c r="AK3">
        <v>100.91417854789896</v>
      </c>
      <c r="AL3">
        <v>102.72625528399372</v>
      </c>
      <c r="AM3">
        <v>103.82795671613484</v>
      </c>
      <c r="AN3">
        <v>103.81727623459052</v>
      </c>
      <c r="AO3">
        <v>102.53374375864045</v>
      </c>
      <c r="AP3">
        <v>101.30568615174231</v>
      </c>
      <c r="AQ3">
        <v>101.89706917958749</v>
      </c>
      <c r="AR3">
        <v>101.29888928576952</v>
      </c>
      <c r="AS3">
        <v>101.31585983022606</v>
      </c>
      <c r="AT3">
        <v>101.89754188590861</v>
      </c>
      <c r="AU3">
        <v>99.287587221556834</v>
      </c>
      <c r="AV3">
        <v>99.061744208458265</v>
      </c>
      <c r="AW3">
        <v>98.284134520265724</v>
      </c>
      <c r="AX3">
        <v>96.636741398506786</v>
      </c>
      <c r="AY3">
        <v>98.811984170131197</v>
      </c>
      <c r="AZ3">
        <v>103.06665485166448</v>
      </c>
      <c r="BA3">
        <v>103.16278610526373</v>
      </c>
      <c r="BB3">
        <v>103.1153260048725</v>
      </c>
      <c r="BC3">
        <v>109.92594867250924</v>
      </c>
      <c r="BD3">
        <v>113.50405882004497</v>
      </c>
      <c r="BE3">
        <v>115.13172689191565</v>
      </c>
      <c r="BF3">
        <v>113.00869275412684</v>
      </c>
      <c r="BG3">
        <v>113.64742198462882</v>
      </c>
      <c r="BH3">
        <v>117.67535052510044</v>
      </c>
      <c r="BI3">
        <v>114.96016822191437</v>
      </c>
      <c r="BJ3">
        <v>116.99642256143908</v>
      </c>
      <c r="BK3">
        <v>118.07053962360013</v>
      </c>
      <c r="BL3">
        <v>115.91897726876115</v>
      </c>
      <c r="BM3">
        <v>115.11887579924868</v>
      </c>
      <c r="BN3">
        <v>117.82854448475528</v>
      </c>
      <c r="BO3">
        <v>119.19125225920504</v>
      </c>
      <c r="BP3">
        <v>121.36819828845378</v>
      </c>
      <c r="BQ3">
        <v>122.78674658608944</v>
      </c>
      <c r="BR3">
        <v>121.25520530441841</v>
      </c>
      <c r="BS3">
        <v>123.60606222445232</v>
      </c>
      <c r="BT3">
        <v>123.2085388278314</v>
      </c>
      <c r="BU3">
        <v>122.49844000951684</v>
      </c>
      <c r="BV3">
        <v>121.57291482408021</v>
      </c>
      <c r="BW3">
        <v>122.21098391578033</v>
      </c>
      <c r="BX3">
        <v>119.66780255861195</v>
      </c>
      <c r="BY3">
        <v>119.99280461112419</v>
      </c>
      <c r="BZ3">
        <v>119.72385117090332</v>
      </c>
      <c r="CA3">
        <v>115.16028157518281</v>
      </c>
      <c r="CB3">
        <v>115.95470536443307</v>
      </c>
      <c r="CC3">
        <v>113.78768703109026</v>
      </c>
      <c r="CD3">
        <v>116.91759405951177</v>
      </c>
      <c r="CE3">
        <v>116.37644300005746</v>
      </c>
      <c r="CF3">
        <v>113.72290359314295</v>
      </c>
      <c r="CG3">
        <v>110.47601015074602</v>
      </c>
      <c r="CH3">
        <v>111.15558486156026</v>
      </c>
      <c r="CI3">
        <v>108.21860631353711</v>
      </c>
      <c r="CJ3">
        <v>110.26827816798439</v>
      </c>
      <c r="CK3">
        <v>110.57056186613265</v>
      </c>
      <c r="CL3">
        <v>108.65174804216234</v>
      </c>
      <c r="CM3">
        <v>108.72565388432032</v>
      </c>
      <c r="CN3">
        <v>107.45988828220479</v>
      </c>
      <c r="CO3">
        <v>108.89224365686461</v>
      </c>
      <c r="CP3">
        <v>109.65247966588065</v>
      </c>
      <c r="CQ3">
        <v>114.42807932850582</v>
      </c>
      <c r="CR3">
        <v>116.82602177914788</v>
      </c>
      <c r="CS3">
        <v>122.80720825920844</v>
      </c>
      <c r="CT3">
        <v>126.62048447522508</v>
      </c>
      <c r="CU3">
        <v>120.39820026943228</v>
      </c>
      <c r="CV3">
        <v>119.48267241124076</v>
      </c>
      <c r="CW3">
        <v>120.41074802175305</v>
      </c>
      <c r="CX3">
        <v>120.41041142789915</v>
      </c>
      <c r="CY3">
        <v>122.19581626582877</v>
      </c>
      <c r="CZ3">
        <v>123.85356032976198</v>
      </c>
      <c r="DA3">
        <v>122.27851798349263</v>
      </c>
      <c r="DB3">
        <v>130.53185296009863</v>
      </c>
      <c r="DC3">
        <v>130.58503966042005</v>
      </c>
      <c r="DD3">
        <v>128.46499225755153</v>
      </c>
      <c r="DE3">
        <v>129.6111350112088</v>
      </c>
      <c r="DF3">
        <v>126.56191653093009</v>
      </c>
      <c r="DG3">
        <v>125.75950294090987</v>
      </c>
      <c r="DH3">
        <v>123.44427575667608</v>
      </c>
      <c r="DI3">
        <v>118.2899334195011</v>
      </c>
      <c r="DJ3">
        <v>123.32762802229068</v>
      </c>
      <c r="DK3">
        <v>123.51828247545815</v>
      </c>
      <c r="DL3">
        <v>122.74121737450029</v>
      </c>
      <c r="DM3">
        <v>122.00497670162399</v>
      </c>
      <c r="DN3">
        <v>117.67149440626157</v>
      </c>
      <c r="DO3">
        <v>117.03591990200236</v>
      </c>
      <c r="DP3">
        <v>116.89813429819996</v>
      </c>
      <c r="DQ3">
        <v>121.98244811099082</v>
      </c>
      <c r="DR3">
        <v>121.33252344307739</v>
      </c>
      <c r="DS3">
        <v>118.58629658590672</v>
      </c>
      <c r="DT3">
        <v>119.91454502266519</v>
      </c>
      <c r="DU3">
        <v>114.8666806631518</v>
      </c>
      <c r="DV3">
        <v>114.54968665056067</v>
      </c>
      <c r="DW3">
        <v>112.33566209859816</v>
      </c>
      <c r="DX3">
        <v>113.62432654818301</v>
      </c>
      <c r="DY3">
        <v>109.59978691016779</v>
      </c>
      <c r="DZ3">
        <v>107.54913731648733</v>
      </c>
      <c r="EA3">
        <v>110.42520730429959</v>
      </c>
      <c r="EB3">
        <v>109.7616521158161</v>
      </c>
      <c r="EC3">
        <v>104.85477303663569</v>
      </c>
      <c r="ED3">
        <v>104.92985839672424</v>
      </c>
      <c r="EE3">
        <v>102.87257580581523</v>
      </c>
      <c r="EF3">
        <v>104.50161664503581</v>
      </c>
      <c r="EG3">
        <v>102.59214964067745</v>
      </c>
      <c r="EH3">
        <v>102.99993053067796</v>
      </c>
      <c r="EI3">
        <v>105.37425163936902</v>
      </c>
      <c r="EJ3">
        <v>109.62753558815633</v>
      </c>
      <c r="EK3">
        <v>105.90153438211485</v>
      </c>
      <c r="EL3">
        <v>107.8235826825284</v>
      </c>
      <c r="EM3">
        <v>104.80688779571392</v>
      </c>
      <c r="EN3">
        <v>105.66571413185659</v>
      </c>
      <c r="EO3">
        <v>105.83491248357791</v>
      </c>
      <c r="EP3">
        <v>105.45671131762874</v>
      </c>
      <c r="EQ3">
        <v>104.86119606477558</v>
      </c>
      <c r="ER3">
        <v>105.14759820069075</v>
      </c>
      <c r="ES3">
        <v>101.4372159855341</v>
      </c>
      <c r="ET3">
        <v>101.5183465528536</v>
      </c>
      <c r="EU3">
        <v>100.84532514536912</v>
      </c>
      <c r="EV3">
        <v>99.089164677380396</v>
      </c>
      <c r="EW3">
        <v>98.677045308284463</v>
      </c>
      <c r="EX3">
        <v>101.34588023180942</v>
      </c>
      <c r="EY3">
        <v>97.912210503773238</v>
      </c>
      <c r="EZ3">
        <v>94.725091070040676</v>
      </c>
      <c r="FA3">
        <v>95.2320913977739</v>
      </c>
      <c r="FB3">
        <v>95.13888031525839</v>
      </c>
      <c r="FC3">
        <v>92.065574722245458</v>
      </c>
      <c r="FD3">
        <v>87.874470704518956</v>
      </c>
      <c r="FE3">
        <v>91.384174900448613</v>
      </c>
      <c r="FF3">
        <v>85.092316872898294</v>
      </c>
      <c r="FG3">
        <v>84.083387832369667</v>
      </c>
      <c r="FH3">
        <v>82.421919690494846</v>
      </c>
      <c r="FI3">
        <v>78.197739607930217</v>
      </c>
      <c r="FJ3">
        <v>76.965327257094074</v>
      </c>
      <c r="FK3">
        <v>75.765557978180809</v>
      </c>
      <c r="FL3">
        <v>75.4789027243432</v>
      </c>
      <c r="FM3">
        <v>75.445932324552857</v>
      </c>
      <c r="FN3">
        <v>77.640568146945597</v>
      </c>
      <c r="FO3">
        <v>80.614551442499632</v>
      </c>
      <c r="FP3">
        <v>79.912058466270722</v>
      </c>
      <c r="FQ3">
        <v>76.696598532100325</v>
      </c>
      <c r="FR3">
        <v>79.433533349749609</v>
      </c>
      <c r="FS3">
        <v>76.941016030792099</v>
      </c>
      <c r="FT3">
        <v>76.43188111205319</v>
      </c>
      <c r="FU3">
        <v>74.045792900170923</v>
      </c>
      <c r="FV3">
        <v>73.393754848116814</v>
      </c>
      <c r="FW3">
        <v>69.600599052012754</v>
      </c>
      <c r="FX3">
        <v>69.666497295670766</v>
      </c>
      <c r="FY3">
        <v>70.894103240125972</v>
      </c>
      <c r="FZ3">
        <v>71.508389408713569</v>
      </c>
      <c r="GA3">
        <v>70.08790586590051</v>
      </c>
      <c r="GB3">
        <v>71.746564378794204</v>
      </c>
      <c r="GC3">
        <v>72.077890257049845</v>
      </c>
      <c r="GD3">
        <v>70.546194873185755</v>
      </c>
      <c r="GE3">
        <v>73.039745741770332</v>
      </c>
      <c r="GF3">
        <v>72.949458868474196</v>
      </c>
      <c r="GG3">
        <v>73.25427831914844</v>
      </c>
      <c r="GH3">
        <v>73.059028405933645</v>
      </c>
      <c r="GI3">
        <v>79.509144603478134</v>
      </c>
      <c r="GJ3">
        <v>78.207140388557946</v>
      </c>
      <c r="GK3">
        <v>75.789505439366138</v>
      </c>
      <c r="GL3">
        <v>72.799619862302336</v>
      </c>
      <c r="GM3">
        <v>75.029172904872127</v>
      </c>
      <c r="GN3">
        <v>72.317915721096085</v>
      </c>
      <c r="GO3">
        <v>74.90993222967036</v>
      </c>
      <c r="GP3">
        <v>74.348082087139687</v>
      </c>
      <c r="GQ3">
        <v>72.050343389128727</v>
      </c>
      <c r="GR3">
        <v>71.54953498529575</v>
      </c>
      <c r="GS3">
        <v>70.708445107900474</v>
      </c>
      <c r="GT3">
        <v>69.351327713824418</v>
      </c>
      <c r="GU3">
        <v>69.14095695071569</v>
      </c>
      <c r="GV3">
        <v>71.057677846078036</v>
      </c>
      <c r="GW3">
        <v>70.829222476696728</v>
      </c>
      <c r="GX3">
        <v>71.477164029120175</v>
      </c>
      <c r="GY3">
        <v>71.976565021193892</v>
      </c>
      <c r="GZ3">
        <v>75.628838599462043</v>
      </c>
      <c r="HA3">
        <v>75.267564533360684</v>
      </c>
      <c r="HB3">
        <v>73.187098475457688</v>
      </c>
      <c r="HC3">
        <v>74.606890350899747</v>
      </c>
      <c r="HD3">
        <v>74.560491381913309</v>
      </c>
      <c r="HE3">
        <v>75.051647117000655</v>
      </c>
      <c r="HF3">
        <v>76.276879107761786</v>
      </c>
      <c r="HG3">
        <v>79.793985048892878</v>
      </c>
      <c r="HH3">
        <v>79.137580452018298</v>
      </c>
      <c r="HI3">
        <v>77.309183269840034</v>
      </c>
      <c r="HJ3">
        <v>76.074856165425984</v>
      </c>
      <c r="HK3">
        <v>78.45029983007602</v>
      </c>
      <c r="HL3">
        <v>76.778119275454458</v>
      </c>
      <c r="HM3">
        <v>76.678910691486777</v>
      </c>
      <c r="HN3">
        <v>73.62678751750353</v>
      </c>
      <c r="HO3">
        <v>72.922417328009971</v>
      </c>
      <c r="HP3">
        <v>72.183686785725953</v>
      </c>
      <c r="HQ3">
        <v>74.174058412407476</v>
      </c>
      <c r="HR3">
        <v>76.082161237608787</v>
      </c>
      <c r="HS3">
        <v>78.640551551620547</v>
      </c>
      <c r="HT3">
        <v>80.121755385657067</v>
      </c>
      <c r="HU3">
        <v>82.221828555375069</v>
      </c>
      <c r="HV3">
        <v>85.476775737320025</v>
      </c>
      <c r="HW3">
        <v>82.352116345223891</v>
      </c>
      <c r="HX3">
        <v>83.909091477238476</v>
      </c>
      <c r="HY3">
        <v>84.779953559203165</v>
      </c>
      <c r="HZ3">
        <v>93.60239950424895</v>
      </c>
      <c r="IA3">
        <v>100.77335961358826</v>
      </c>
      <c r="IB3">
        <v>98.610020396239975</v>
      </c>
      <c r="IC3">
        <v>103.65505735955773</v>
      </c>
      <c r="ID3">
        <v>99.209229663512559</v>
      </c>
      <c r="IE3">
        <v>93.84464975349178</v>
      </c>
      <c r="IF3">
        <v>89.959885222161304</v>
      </c>
      <c r="IG3">
        <v>90.972452298266475</v>
      </c>
      <c r="IH3">
        <v>91.395819771474095</v>
      </c>
      <c r="II3">
        <v>90.482370890221688</v>
      </c>
      <c r="IJ3">
        <v>94.815790366169423</v>
      </c>
      <c r="IK3">
        <v>96.739147092546659</v>
      </c>
      <c r="IL3">
        <v>100.83538532034281</v>
      </c>
      <c r="IM3">
        <v>102.46631601634317</v>
      </c>
      <c r="IN3">
        <v>102.16429494278482</v>
      </c>
      <c r="IO3">
        <v>98.769619988854501</v>
      </c>
      <c r="IP3">
        <v>97.379044796835743</v>
      </c>
      <c r="IQ3">
        <v>93.910603525636603</v>
      </c>
      <c r="IR3">
        <v>94.529687206458817</v>
      </c>
      <c r="IS3">
        <v>92.275361726019099</v>
      </c>
      <c r="IT3">
        <v>92.691573533338413</v>
      </c>
      <c r="IU3">
        <v>89.750299181919203</v>
      </c>
      <c r="IV3">
        <v>90.504163330751311</v>
      </c>
      <c r="IW3">
        <v>93.272506773043062</v>
      </c>
      <c r="IX3">
        <v>93.975954416020002</v>
      </c>
      <c r="IY3">
        <v>96.107880502520345</v>
      </c>
      <c r="IZ3">
        <v>98.474598326701738</v>
      </c>
      <c r="JA3">
        <v>95.424768435424028</v>
      </c>
      <c r="JB3">
        <v>95.765437877191061</v>
      </c>
      <c r="JC3">
        <v>93.792677438784963</v>
      </c>
      <c r="JD3">
        <v>96.550190548409375</v>
      </c>
      <c r="JE3">
        <v>99.839330286410046</v>
      </c>
      <c r="JF3">
        <v>108.46796978164188</v>
      </c>
      <c r="JG3">
        <v>105.76081030163832</v>
      </c>
      <c r="JH3">
        <v>103.76107151020858</v>
      </c>
      <c r="JI3">
        <v>95.061259284654284</v>
      </c>
      <c r="JJ3">
        <v>107.76816820319391</v>
      </c>
      <c r="JK3">
        <v>112.39700602427091</v>
      </c>
      <c r="JL3">
        <v>116.60835523698624</v>
      </c>
      <c r="JM3">
        <v>100.74894169824384</v>
      </c>
      <c r="JN3">
        <v>104.24728467379998</v>
      </c>
      <c r="JO3">
        <v>104.71598195474941</v>
      </c>
      <c r="JP3">
        <v>108.46166814032966</v>
      </c>
      <c r="JQ3">
        <v>107.39380796811578</v>
      </c>
      <c r="JR3">
        <v>114.14909371048881</v>
      </c>
      <c r="JS3">
        <v>117.62233383832606</v>
      </c>
      <c r="JT3">
        <v>115.81353527942058</v>
      </c>
      <c r="JU3">
        <v>123.26415373250455</v>
      </c>
      <c r="JV3">
        <v>142.92324113004085</v>
      </c>
      <c r="JW3">
        <v>147.68652421866923</v>
      </c>
      <c r="JX3">
        <v>137.96224134358107</v>
      </c>
      <c r="JY3">
        <v>137.49569705685391</v>
      </c>
      <c r="JZ3">
        <v>157.52863491193665</v>
      </c>
      <c r="KA3">
        <v>164.78661135166672</v>
      </c>
      <c r="KB3">
        <v>153.85901913526993</v>
      </c>
      <c r="KC3">
        <v>143.47139114584888</v>
      </c>
      <c r="KD3">
        <v>132.54337615051739</v>
      </c>
      <c r="KE3">
        <v>142.48297538487478</v>
      </c>
      <c r="KF3">
        <v>133.34697409725356</v>
      </c>
      <c r="KG3">
        <v>139.25071129685938</v>
      </c>
      <c r="KH3">
        <v>119.81406419807993</v>
      </c>
      <c r="KI3">
        <v>114.18845645245906</v>
      </c>
      <c r="KJ3">
        <v>118.96779045544491</v>
      </c>
      <c r="KK3">
        <v>119.69780378986808</v>
      </c>
      <c r="KL3">
        <v>119.18848824663468</v>
      </c>
      <c r="KM3">
        <v>123.71227216678201</v>
      </c>
      <c r="KN3">
        <v>116.23152488441895</v>
      </c>
      <c r="KO3">
        <v>105.64378185623264</v>
      </c>
      <c r="KP3">
        <v>108.30308257249629</v>
      </c>
      <c r="KQ3">
        <v>114.57175205657136</v>
      </c>
      <c r="KR3">
        <v>117.90468897290928</v>
      </c>
      <c r="KS3">
        <v>115.53959529282959</v>
      </c>
      <c r="KT3">
        <v>115.20113402169284</v>
      </c>
      <c r="KU3">
        <v>125.1547655034514</v>
      </c>
      <c r="KV3">
        <v>129.54136879947299</v>
      </c>
      <c r="KW3">
        <v>124.45276019732458</v>
      </c>
      <c r="KX3">
        <v>130.37401197256497</v>
      </c>
      <c r="KY3">
        <v>123.68910211389112</v>
      </c>
      <c r="KZ3">
        <v>128.6637610497373</v>
      </c>
      <c r="LA3">
        <v>124.16012347345473</v>
      </c>
      <c r="LB3">
        <v>126.09382282912163</v>
      </c>
      <c r="LC3">
        <v>120.94146392021376</v>
      </c>
      <c r="LD3">
        <v>118.46544787238082</v>
      </c>
      <c r="LE3">
        <v>117.86308066790545</v>
      </c>
      <c r="LF3">
        <v>115.0699401879052</v>
      </c>
      <c r="LG3">
        <v>115.10476333231811</v>
      </c>
      <c r="LH3">
        <v>109.23257451304187</v>
      </c>
      <c r="LI3">
        <v>107.83487990221398</v>
      </c>
      <c r="LJ3">
        <v>107.36005757413675</v>
      </c>
      <c r="LK3">
        <v>107.12903579862112</v>
      </c>
      <c r="LL3">
        <v>102.82913854108136</v>
      </c>
      <c r="LM3">
        <v>100.15538082490053</v>
      </c>
      <c r="LN3">
        <v>96.492789009016931</v>
      </c>
      <c r="LO3">
        <v>99.455691186413446</v>
      </c>
      <c r="LP3">
        <v>96.909354478404126</v>
      </c>
      <c r="LQ3">
        <v>99.254123707384039</v>
      </c>
      <c r="LR3">
        <v>87.335681922440287</v>
      </c>
      <c r="LS3">
        <v>89.417399880181037</v>
      </c>
      <c r="LT3">
        <v>85.86039403377552</v>
      </c>
      <c r="LU3">
        <v>90.34775272529258</v>
      </c>
      <c r="LV3">
        <v>89.615934031846635</v>
      </c>
      <c r="LW3">
        <v>86.864732861847827</v>
      </c>
      <c r="LX3">
        <v>90.471781332035206</v>
      </c>
      <c r="LY3">
        <v>94.630394386030417</v>
      </c>
      <c r="LZ3">
        <v>92.753162006179906</v>
      </c>
      <c r="MA3">
        <v>88.570741109807287</v>
      </c>
      <c r="MB3">
        <v>88.464487212913028</v>
      </c>
      <c r="MC3">
        <v>81.466830153386567</v>
      </c>
      <c r="MD3">
        <v>84.35765476767331</v>
      </c>
      <c r="ME3">
        <v>84.715506790205467</v>
      </c>
      <c r="MF3">
        <v>86.946458233981161</v>
      </c>
      <c r="MG3">
        <v>86.71761015310156</v>
      </c>
      <c r="MH3">
        <v>83.038456002389594</v>
      </c>
      <c r="MI3">
        <v>84.118585847640944</v>
      </c>
      <c r="MJ3">
        <v>82.612039610117066</v>
      </c>
      <c r="MK3">
        <v>86.605698963249409</v>
      </c>
      <c r="ML3">
        <v>84.003716736949386</v>
      </c>
      <c r="MM3">
        <v>82.440106236272129</v>
      </c>
      <c r="MN3">
        <v>87.376454844326744</v>
      </c>
      <c r="MO3">
        <v>87.082194642364954</v>
      </c>
      <c r="MP3">
        <v>84.729434114532722</v>
      </c>
      <c r="MQ3">
        <v>87.94544816969092</v>
      </c>
      <c r="MR3">
        <v>89.015403967937687</v>
      </c>
      <c r="MS3">
        <v>90.115674235804235</v>
      </c>
      <c r="MT3">
        <v>91.048585653735927</v>
      </c>
      <c r="MU3">
        <v>91.627058393949625</v>
      </c>
      <c r="MV3">
        <v>88.795765120712545</v>
      </c>
      <c r="MW3">
        <v>88.23598331348694</v>
      </c>
      <c r="MX3">
        <v>88.974143756415643</v>
      </c>
      <c r="MY3">
        <v>83.630919080018387</v>
      </c>
      <c r="MZ3">
        <v>83.150607280274173</v>
      </c>
      <c r="NA3">
        <v>85.067709018665397</v>
      </c>
      <c r="NB3">
        <v>84.182381401469343</v>
      </c>
      <c r="NC3">
        <v>83.136748429661125</v>
      </c>
      <c r="ND3">
        <v>77.19515558855791</v>
      </c>
      <c r="NE3">
        <v>79.78582846585148</v>
      </c>
      <c r="NF3">
        <v>81.425447416666444</v>
      </c>
      <c r="NG3">
        <v>75.190445390446015</v>
      </c>
      <c r="NH3">
        <v>76.631226966492889</v>
      </c>
      <c r="NI3">
        <v>77.948610186196007</v>
      </c>
      <c r="NJ3">
        <v>79.707342855911904</v>
      </c>
      <c r="NK3">
        <v>80.049481589611631</v>
      </c>
      <c r="NL3">
        <v>79.976364922065059</v>
      </c>
      <c r="NM3">
        <v>76.576018133637575</v>
      </c>
      <c r="NN3">
        <v>75.521799073424845</v>
      </c>
      <c r="NO3">
        <v>72.192889775214724</v>
      </c>
      <c r="NP3">
        <v>70.463431947085354</v>
      </c>
      <c r="NQ3">
        <v>67.174079337381016</v>
      </c>
      <c r="NR3">
        <v>68.584732236596054</v>
      </c>
      <c r="NS3">
        <v>72.015298121421907</v>
      </c>
      <c r="NT3">
        <v>69.722937029564889</v>
      </c>
      <c r="NU3">
        <v>73.157900809204136</v>
      </c>
      <c r="NV3">
        <v>71.76639734022018</v>
      </c>
      <c r="NW3">
        <v>72.393159946974535</v>
      </c>
      <c r="NX3">
        <v>72.956057386519277</v>
      </c>
      <c r="NY3">
        <v>73.550667974332512</v>
      </c>
      <c r="NZ3">
        <v>70.504904362556147</v>
      </c>
      <c r="OA3">
        <v>68.827421977681439</v>
      </c>
      <c r="OB3">
        <v>69.775331309956854</v>
      </c>
      <c r="OC3">
        <v>74.075799827671716</v>
      </c>
      <c r="OD3">
        <v>72.101822088802834</v>
      </c>
      <c r="OE3">
        <v>76.050124911521991</v>
      </c>
      <c r="OF3">
        <v>76.098230052541254</v>
      </c>
      <c r="OG3">
        <v>75.816942505566715</v>
      </c>
      <c r="OH3">
        <v>78.265323941251324</v>
      </c>
      <c r="OI3">
        <v>80.01116571770298</v>
      </c>
      <c r="OJ3">
        <v>78.215318984853184</v>
      </c>
      <c r="OK3">
        <v>83.915954421978142</v>
      </c>
      <c r="OL3">
        <v>85.055471911511162</v>
      </c>
      <c r="OM3">
        <v>84.939188706686338</v>
      </c>
      <c r="ON3">
        <v>83.934271173039178</v>
      </c>
      <c r="OO3">
        <v>81.214743788969443</v>
      </c>
      <c r="OP3">
        <v>81.254620399448896</v>
      </c>
      <c r="OQ3">
        <v>80.897511681844193</v>
      </c>
      <c r="OR3">
        <v>81.981932562272391</v>
      </c>
      <c r="OS3">
        <v>76.426558379515455</v>
      </c>
      <c r="OT3">
        <v>79.880066160707315</v>
      </c>
      <c r="OU3">
        <v>77.209453018912157</v>
      </c>
      <c r="OV3">
        <v>73.533356308457286</v>
      </c>
      <c r="OW3">
        <v>74.771459927871746</v>
      </c>
      <c r="OX3">
        <v>75.657320094056274</v>
      </c>
      <c r="OY3">
        <v>76.461056957617501</v>
      </c>
      <c r="OZ3">
        <v>77.248966773863799</v>
      </c>
      <c r="PA3">
        <v>77.331195393188111</v>
      </c>
      <c r="PB3">
        <v>79.180203305734182</v>
      </c>
      <c r="PC3">
        <v>77.867885943951606</v>
      </c>
      <c r="PD3">
        <v>75.896757499255671</v>
      </c>
      <c r="PE3">
        <v>76.247698751172607</v>
      </c>
      <c r="PF3">
        <v>72.877175030808928</v>
      </c>
      <c r="PG3">
        <v>72.443914488978692</v>
      </c>
      <c r="PH3">
        <v>72.849695478178532</v>
      </c>
      <c r="PI3">
        <v>71.221063888307327</v>
      </c>
      <c r="PJ3">
        <v>71.405795542859252</v>
      </c>
      <c r="PK3">
        <v>67.409498533250158</v>
      </c>
      <c r="PL3">
        <v>65.31038032595697</v>
      </c>
      <c r="PM3">
        <v>64.518079226864515</v>
      </c>
      <c r="PN3">
        <v>69.011701626699463</v>
      </c>
      <c r="PO3">
        <v>71.634936555897966</v>
      </c>
      <c r="PP3">
        <v>74.535539080963872</v>
      </c>
      <c r="PQ3">
        <v>70.027936427489337</v>
      </c>
      <c r="PR3">
        <v>71.418545002433817</v>
      </c>
      <c r="PS3">
        <v>70.522098131130079</v>
      </c>
      <c r="PT3">
        <v>72.525524315831419</v>
      </c>
      <c r="PU3">
        <v>73.353544878122605</v>
      </c>
      <c r="PV3">
        <v>73.168981696867448</v>
      </c>
      <c r="PW3">
        <v>72.298173428848557</v>
      </c>
      <c r="PX3">
        <v>75.222400082361105</v>
      </c>
      <c r="PY3">
        <v>74.848858425583614</v>
      </c>
      <c r="PZ3">
        <v>77.488751440014937</v>
      </c>
      <c r="QA3">
        <v>75.083207123383033</v>
      </c>
      <c r="QB3">
        <v>72.277517427597701</v>
      </c>
      <c r="QC3">
        <v>72.869768196671487</v>
      </c>
      <c r="QD3">
        <v>71.191002044923465</v>
      </c>
      <c r="QE3">
        <v>65.810309794038886</v>
      </c>
      <c r="QF3">
        <v>64.165488766347991</v>
      </c>
      <c r="QG3">
        <v>64.737716242950015</v>
      </c>
      <c r="QH3">
        <v>62.673876141389854</v>
      </c>
      <c r="QI3">
        <v>61.251523299420029</v>
      </c>
      <c r="QJ3">
        <v>58.979624142354062</v>
      </c>
      <c r="QK3">
        <v>56.713226055565805</v>
      </c>
      <c r="QL3">
        <v>56.003556895363168</v>
      </c>
      <c r="QM3">
        <v>53.994923524157798</v>
      </c>
      <c r="QN3">
        <v>55.726680773374682</v>
      </c>
      <c r="QO3">
        <v>56.045625754869263</v>
      </c>
      <c r="QP3">
        <v>56.343309467397269</v>
      </c>
      <c r="QQ3">
        <v>56.721388408460108</v>
      </c>
      <c r="QR3">
        <v>57.716017515834579</v>
      </c>
      <c r="QS3">
        <v>57.615834925390757</v>
      </c>
      <c r="QT3">
        <v>59.347071097687675</v>
      </c>
      <c r="QU3">
        <v>62.131601881992573</v>
      </c>
      <c r="QV3">
        <v>63.207246109858481</v>
      </c>
      <c r="QW3">
        <v>63.79779065249609</v>
      </c>
      <c r="QX3">
        <v>65.200198840067159</v>
      </c>
      <c r="QY3">
        <v>64.689224703337914</v>
      </c>
      <c r="QZ3">
        <v>64.252807027826051</v>
      </c>
      <c r="RA3">
        <v>65.104678673494192</v>
      </c>
      <c r="RB3">
        <v>65.649428352479717</v>
      </c>
      <c r="RC3">
        <v>64.086260935507624</v>
      </c>
      <c r="RD3">
        <v>68.620014309362716</v>
      </c>
      <c r="RE3">
        <v>70.207701755707063</v>
      </c>
      <c r="RF3">
        <v>72.462768322889701</v>
      </c>
      <c r="RG3">
        <v>76.986355931278538</v>
      </c>
      <c r="RH3">
        <v>72.57856566007969</v>
      </c>
      <c r="RI3">
        <v>71.122234326951926</v>
      </c>
      <c r="RJ3">
        <v>66.931310174179742</v>
      </c>
      <c r="RK3">
        <v>67.720054699650902</v>
      </c>
      <c r="RL3">
        <v>66.455820255165108</v>
      </c>
      <c r="RM3">
        <v>64.926494999971595</v>
      </c>
      <c r="RN3">
        <v>63.364879985174582</v>
      </c>
      <c r="RO3">
        <v>64.144330382909445</v>
      </c>
      <c r="RP3">
        <v>66.436535923799767</v>
      </c>
      <c r="RQ3">
        <v>64.1900360569052</v>
      </c>
      <c r="RR3">
        <v>59.915096419970375</v>
      </c>
      <c r="RS3">
        <v>60.676806814863895</v>
      </c>
      <c r="RT3">
        <v>58.819168631913797</v>
      </c>
      <c r="RU3">
        <v>57.335859856926021</v>
      </c>
      <c r="RV3">
        <v>57.200099731558083</v>
      </c>
      <c r="RW3">
        <v>54.533598873792307</v>
      </c>
      <c r="RX3">
        <v>54.897007727487896</v>
      </c>
      <c r="RY3">
        <v>57.091506486084327</v>
      </c>
      <c r="RZ3">
        <v>58.234205382859358</v>
      </c>
      <c r="SA3">
        <v>55.353714678236294</v>
      </c>
      <c r="SB3">
        <v>52.100744445300705</v>
      </c>
      <c r="SC3">
        <v>55.482570376886422</v>
      </c>
      <c r="SD3">
        <v>56.221524584380454</v>
      </c>
      <c r="SE3">
        <v>56.557202938964487</v>
      </c>
      <c r="SF3">
        <v>52.382501564673518</v>
      </c>
      <c r="SG3">
        <v>55.998756602345729</v>
      </c>
      <c r="SH3">
        <v>60.454081323452634</v>
      </c>
      <c r="SI3">
        <v>63.427296878824549</v>
      </c>
      <c r="SJ3">
        <v>66.025604605919753</v>
      </c>
      <c r="SK3">
        <v>67.197351233162991</v>
      </c>
      <c r="SL3">
        <v>63.633056079074628</v>
      </c>
      <c r="SM3">
        <v>60.366435419149916</v>
      </c>
      <c r="SN3">
        <v>58.658920637101275</v>
      </c>
      <c r="SO3">
        <v>58.884032250103097</v>
      </c>
      <c r="SP3">
        <v>65.853331364129161</v>
      </c>
      <c r="SQ3">
        <v>63.625803177687715</v>
      </c>
      <c r="SR3">
        <v>64.309619767675002</v>
      </c>
      <c r="SS3">
        <v>64.19368563663447</v>
      </c>
      <c r="ST3">
        <v>59.020343833368258</v>
      </c>
      <c r="SU3">
        <v>54.461135929782351</v>
      </c>
      <c r="SV3">
        <v>52.065682195164406</v>
      </c>
      <c r="SW3">
        <v>54.475671314592304</v>
      </c>
      <c r="SX3">
        <v>56.77165539836043</v>
      </c>
      <c r="SY3">
        <v>58.230539132728822</v>
      </c>
      <c r="SZ3">
        <v>61.842647628667208</v>
      </c>
      <c r="TA3">
        <v>62.755660337138259</v>
      </c>
      <c r="TB3">
        <v>63.116364586789551</v>
      </c>
      <c r="TC3">
        <v>62.525664953724423</v>
      </c>
      <c r="TD3">
        <v>61.895402492087221</v>
      </c>
      <c r="TE3">
        <v>59.870943544994084</v>
      </c>
      <c r="TF3">
        <v>55.429577877460225</v>
      </c>
      <c r="TG3">
        <v>56.806301392707688</v>
      </c>
      <c r="TH3">
        <v>57.49400397097768</v>
      </c>
      <c r="TI3">
        <v>53.664405740982197</v>
      </c>
      <c r="TJ3">
        <v>54.915416240301774</v>
      </c>
      <c r="TK3">
        <v>55.283738669813808</v>
      </c>
      <c r="TL3">
        <v>54.778529683446408</v>
      </c>
      <c r="TM3">
        <v>57.506702737498891</v>
      </c>
      <c r="TN3">
        <v>55.64298346461149</v>
      </c>
      <c r="TO3">
        <v>52.12254488409193</v>
      </c>
      <c r="TP3">
        <v>52.39857045031679</v>
      </c>
      <c r="TQ3">
        <v>52.808436205115939</v>
      </c>
      <c r="TR3">
        <v>54.056617684079185</v>
      </c>
      <c r="TS3">
        <v>51.956391880192569</v>
      </c>
      <c r="TT3">
        <v>48.481238624109722</v>
      </c>
      <c r="TU3">
        <v>44.347442177683504</v>
      </c>
      <c r="TV3">
        <v>44.17295098833398</v>
      </c>
      <c r="TW3">
        <v>42.724391453899322</v>
      </c>
      <c r="TX3">
        <v>43.542346689614426</v>
      </c>
      <c r="TY3">
        <v>43.251015774856896</v>
      </c>
      <c r="TZ3">
        <v>42.650916823408217</v>
      </c>
      <c r="UA3">
        <v>39.916131778011582</v>
      </c>
      <c r="UB3">
        <v>39.074838391071822</v>
      </c>
      <c r="UC3">
        <v>38.219809776146839</v>
      </c>
      <c r="UD3">
        <v>42.066631028100055</v>
      </c>
      <c r="UE3">
        <v>40.02033365235971</v>
      </c>
      <c r="UF3">
        <v>38.848785637267184</v>
      </c>
      <c r="UG3">
        <v>34.201787313104759</v>
      </c>
      <c r="UH3">
        <v>34.14859807012833</v>
      </c>
      <c r="UI3">
        <v>34.399399780834877</v>
      </c>
      <c r="UJ3">
        <v>35.878574379965706</v>
      </c>
      <c r="UK3">
        <v>36.126751014619494</v>
      </c>
      <c r="UL3">
        <v>33.799111868585868</v>
      </c>
      <c r="UM3">
        <v>36.078477178247596</v>
      </c>
      <c r="UN3">
        <v>35.581566933628892</v>
      </c>
      <c r="UO3">
        <v>34.801144630990805</v>
      </c>
      <c r="UP3">
        <v>34.890464807053696</v>
      </c>
      <c r="UQ3">
        <v>35.251332702813045</v>
      </c>
      <c r="UR3">
        <v>36.568123995895327</v>
      </c>
      <c r="US3">
        <v>38.302875822672803</v>
      </c>
      <c r="UT3">
        <v>41.353727406711258</v>
      </c>
      <c r="UU3">
        <v>41.532399218696973</v>
      </c>
      <c r="UV3">
        <v>39.456705015546625</v>
      </c>
      <c r="UW3">
        <v>39.494237251947951</v>
      </c>
      <c r="UX3">
        <v>38.854172765425886</v>
      </c>
      <c r="UY3">
        <v>35.547282530548664</v>
      </c>
      <c r="UZ3">
        <v>35.357678929039302</v>
      </c>
      <c r="VA3">
        <v>35.725171539894227</v>
      </c>
      <c r="VB3">
        <v>36.3410579701873</v>
      </c>
      <c r="VC3">
        <v>35.604891810272669</v>
      </c>
      <c r="VD3">
        <v>34.460985888753733</v>
      </c>
      <c r="VE3">
        <v>33.471997103966395</v>
      </c>
      <c r="VF3">
        <v>32.682348838457273</v>
      </c>
      <c r="VG3">
        <v>36.282808008675033</v>
      </c>
      <c r="VH3">
        <v>34.750355676803352</v>
      </c>
      <c r="VI3">
        <v>34.579162648623679</v>
      </c>
      <c r="VJ3">
        <v>34.084390564453585</v>
      </c>
      <c r="VK3">
        <v>35.295110314111504</v>
      </c>
      <c r="VL3">
        <v>35.325325402591218</v>
      </c>
      <c r="VM3">
        <v>36.365339673043394</v>
      </c>
      <c r="VN3">
        <v>34.536826639650222</v>
      </c>
      <c r="VO3">
        <v>34.321403562988209</v>
      </c>
      <c r="VP3">
        <v>36.362154379175109</v>
      </c>
      <c r="VQ3">
        <v>36.223912917432727</v>
      </c>
      <c r="VR3">
        <v>36.753599520207743</v>
      </c>
      <c r="VS3">
        <v>39.710664544870987</v>
      </c>
      <c r="VT3">
        <v>40.427665342277614</v>
      </c>
      <c r="VU3">
        <v>41.272790233130458</v>
      </c>
      <c r="VV3">
        <v>40.070740147267124</v>
      </c>
      <c r="VW3">
        <v>38.033989300699233</v>
      </c>
      <c r="VX3">
        <v>39.097354037697798</v>
      </c>
      <c r="VY3">
        <v>38.595676333575263</v>
      </c>
      <c r="VZ3">
        <v>39.243809743306407</v>
      </c>
      <c r="WA3">
        <v>36.549702827563607</v>
      </c>
      <c r="WB3">
        <v>36.303236632238928</v>
      </c>
      <c r="WC3">
        <v>36.639977974947961</v>
      </c>
      <c r="WD3">
        <v>35.391238032608385</v>
      </c>
      <c r="WE3">
        <v>35.021637245535437</v>
      </c>
      <c r="WF3">
        <v>33.878509946956392</v>
      </c>
      <c r="WG3">
        <v>36.039165791227724</v>
      </c>
      <c r="WH3">
        <v>34.61646399741052</v>
      </c>
      <c r="WI3">
        <v>35.997142983320167</v>
      </c>
      <c r="WJ3">
        <v>38.11216047643498</v>
      </c>
      <c r="WK3">
        <v>37.707656063722759</v>
      </c>
      <c r="WL3">
        <v>37.783047895760092</v>
      </c>
      <c r="WM3">
        <v>37.854625322805603</v>
      </c>
      <c r="WN3">
        <v>37.02204374937665</v>
      </c>
      <c r="WO3">
        <v>37.088664361031775</v>
      </c>
      <c r="WP3">
        <v>38.534693566205924</v>
      </c>
      <c r="WQ3">
        <v>37.850767913551728</v>
      </c>
      <c r="WR3">
        <v>38.356912499915168</v>
      </c>
      <c r="WS3">
        <v>36.156237699781677</v>
      </c>
      <c r="WT3">
        <v>35.663195066456268</v>
      </c>
      <c r="WU3">
        <v>34.835055526323679</v>
      </c>
      <c r="WV3">
        <v>33.403726594937503</v>
      </c>
      <c r="WW3">
        <v>34.718218693352739</v>
      </c>
      <c r="WX3">
        <v>35.345923709104476</v>
      </c>
      <c r="WY3">
        <v>35.571207829926735</v>
      </c>
      <c r="WZ3">
        <v>35.342760533442977</v>
      </c>
      <c r="XA3">
        <v>34.883613491425251</v>
      </c>
      <c r="XB3">
        <v>36.959066299693603</v>
      </c>
      <c r="XC3">
        <v>36.473032031053293</v>
      </c>
      <c r="XD3">
        <v>34.79920342877223</v>
      </c>
      <c r="XE3">
        <v>35.746250026334728</v>
      </c>
      <c r="XF3">
        <v>35.491563372443927</v>
      </c>
      <c r="XG3">
        <v>35.606178159427792</v>
      </c>
      <c r="XH3">
        <v>33.837642805153664</v>
      </c>
      <c r="XI3">
        <v>33.648621103476884</v>
      </c>
      <c r="XJ3">
        <v>31.565133691888096</v>
      </c>
      <c r="XK3">
        <v>30.705005934078773</v>
      </c>
      <c r="XL3">
        <v>31.678274135808312</v>
      </c>
      <c r="XM3">
        <v>32.468025170769579</v>
      </c>
      <c r="XN3">
        <v>33.344864500590347</v>
      </c>
      <c r="XO3">
        <v>32.141372790162848</v>
      </c>
      <c r="XP3">
        <v>32.55220517756824</v>
      </c>
      <c r="XQ3">
        <v>33.467424049543339</v>
      </c>
      <c r="XR3">
        <v>32.297958342760595</v>
      </c>
      <c r="XS3">
        <v>35.373136906018928</v>
      </c>
      <c r="XT3">
        <v>34.665784599177293</v>
      </c>
      <c r="XU3">
        <v>35.826970017248726</v>
      </c>
      <c r="XV3">
        <v>34.027121656892945</v>
      </c>
      <c r="XW3">
        <v>34.081326409411979</v>
      </c>
      <c r="XX3">
        <v>34.794127705205511</v>
      </c>
      <c r="XY3">
        <v>35.331988332947731</v>
      </c>
      <c r="XZ3">
        <v>34.693447542441085</v>
      </c>
      <c r="YA3">
        <v>35.892782140319461</v>
      </c>
      <c r="YB3">
        <v>36.775210739702878</v>
      </c>
      <c r="YC3">
        <v>37.371298270620386</v>
      </c>
      <c r="YD3">
        <v>37.243011629865698</v>
      </c>
      <c r="YE3">
        <v>36.870090644588146</v>
      </c>
      <c r="YF3">
        <v>37.676225023403042</v>
      </c>
      <c r="YG3">
        <v>37.927684564271701</v>
      </c>
      <c r="YH3">
        <v>37.594449670638191</v>
      </c>
      <c r="YI3">
        <v>38.226309652772422</v>
      </c>
      <c r="YJ3">
        <v>38.883474574923994</v>
      </c>
      <c r="YK3">
        <v>43.915909172286014</v>
      </c>
      <c r="YL3">
        <v>45.823159516381693</v>
      </c>
      <c r="YM3">
        <v>46.51976054044583</v>
      </c>
      <c r="YN3">
        <v>50.337198956489189</v>
      </c>
      <c r="YO3">
        <v>48.997582114599332</v>
      </c>
      <c r="YP3">
        <v>46.85533553501304</v>
      </c>
      <c r="YQ3">
        <v>48.352206427104136</v>
      </c>
      <c r="YR3">
        <v>48.939051814917654</v>
      </c>
      <c r="YS3">
        <v>49.540756734513188</v>
      </c>
      <c r="YT3">
        <v>48.564338544448447</v>
      </c>
      <c r="YU3">
        <v>50.003508076914812</v>
      </c>
      <c r="YV3">
        <v>50.260669730734982</v>
      </c>
      <c r="YW3">
        <v>50.849857526954722</v>
      </c>
      <c r="YX3">
        <v>49.046976417438863</v>
      </c>
      <c r="YY3">
        <v>52.647630975676165</v>
      </c>
      <c r="YZ3">
        <v>52.071031256208386</v>
      </c>
      <c r="ZA3">
        <v>51.79529331033379</v>
      </c>
      <c r="ZB3">
        <v>51.933889779569611</v>
      </c>
      <c r="ZC3">
        <v>52.17502861080613</v>
      </c>
      <c r="ZD3">
        <v>51.32941756906903</v>
      </c>
      <c r="ZE3">
        <v>51.536898753649268</v>
      </c>
      <c r="ZF3">
        <v>51.14169040987543</v>
      </c>
      <c r="ZG3">
        <v>51.572700986976578</v>
      </c>
      <c r="ZH3">
        <v>52.56369368163611</v>
      </c>
      <c r="ZI3">
        <v>54.607432882862931</v>
      </c>
      <c r="ZJ3">
        <v>57.577066019632042</v>
      </c>
      <c r="ZK3">
        <v>51.453266984445662</v>
      </c>
      <c r="ZL3">
        <v>52.363315722677122</v>
      </c>
      <c r="ZM3">
        <v>47.938511423511265</v>
      </c>
      <c r="ZN3">
        <v>51.60865808368316</v>
      </c>
      <c r="ZO3">
        <v>54.736359666625582</v>
      </c>
      <c r="ZP3">
        <v>57.624799129132732</v>
      </c>
      <c r="ZQ3">
        <v>57.195220098322856</v>
      </c>
      <c r="ZR3">
        <v>56.027488836824517</v>
      </c>
      <c r="ZS3">
        <v>56.773846233963575</v>
      </c>
      <c r="ZT3">
        <v>56.004562413750989</v>
      </c>
      <c r="ZU3">
        <v>57.803106459279732</v>
      </c>
      <c r="ZV3">
        <v>61.982589336150198</v>
      </c>
      <c r="ZW3">
        <v>59.964851804806976</v>
      </c>
      <c r="ZX3">
        <v>60.925845723592431</v>
      </c>
      <c r="ZY3">
        <v>57.72269121789688</v>
      </c>
      <c r="ZZ3">
        <v>56.22816870002314</v>
      </c>
      <c r="AAA3">
        <v>55.166880516703927</v>
      </c>
      <c r="AAB3">
        <v>56.708594020985657</v>
      </c>
      <c r="AAC3">
        <v>57.686009953085993</v>
      </c>
      <c r="AAD3">
        <v>60.173100448504215</v>
      </c>
      <c r="AAE3">
        <v>62.800173537285772</v>
      </c>
      <c r="AAF3">
        <v>65.281400573477882</v>
      </c>
      <c r="AAG3">
        <v>61.475237927956115</v>
      </c>
      <c r="AAH3">
        <v>63.085296953562853</v>
      </c>
      <c r="AAI3">
        <v>65.589742282899223</v>
      </c>
      <c r="AAJ3">
        <v>69.618484040305958</v>
      </c>
      <c r="AAK3">
        <v>69.861662699887191</v>
      </c>
      <c r="AAL3">
        <v>67.490189207054257</v>
      </c>
      <c r="AAM3">
        <v>70.438611217183748</v>
      </c>
      <c r="AAN3">
        <v>69.036559844205357</v>
      </c>
      <c r="AAO3">
        <v>64.782955878569823</v>
      </c>
      <c r="AAP3">
        <v>65.040812816358553</v>
      </c>
      <c r="AAQ3">
        <v>68.070892654724972</v>
      </c>
      <c r="AAR3">
        <v>66.189741630075829</v>
      </c>
      <c r="AAS3">
        <v>64.611322013394428</v>
      </c>
      <c r="AAT3">
        <v>60.923875599572106</v>
      </c>
      <c r="AAU3">
        <v>61.590878320348388</v>
      </c>
      <c r="AAV3">
        <v>63.047462656668174</v>
      </c>
      <c r="AAW3">
        <v>65.896202289751656</v>
      </c>
      <c r="AAX3">
        <v>67.277859853489375</v>
      </c>
      <c r="AAY3">
        <v>67.85844156941333</v>
      </c>
      <c r="AAZ3">
        <v>69.726763894288283</v>
      </c>
      <c r="ABA3">
        <v>69.576955798550543</v>
      </c>
      <c r="ABB3">
        <v>71.440013494536359</v>
      </c>
      <c r="ABC3">
        <v>73.768591810958412</v>
      </c>
      <c r="ABD3">
        <v>71.488804141751373</v>
      </c>
      <c r="ABE3">
        <v>74.7327119386768</v>
      </c>
      <c r="ABF3">
        <v>78.203528366793506</v>
      </c>
      <c r="ABG3">
        <v>81.083827278378379</v>
      </c>
      <c r="ABH3">
        <v>77.422461571270361</v>
      </c>
      <c r="ABI3">
        <v>81.76766334038156</v>
      </c>
      <c r="ABJ3">
        <v>84.145385053582515</v>
      </c>
      <c r="ABK3">
        <v>82.111686313212061</v>
      </c>
      <c r="ABL3">
        <v>81.604115960823989</v>
      </c>
      <c r="ABM3">
        <v>78.029071694093304</v>
      </c>
      <c r="ABN3">
        <v>71.917630058492051</v>
      </c>
      <c r="ABO3">
        <v>75.165831720063807</v>
      </c>
      <c r="ABP3">
        <v>80.07177390717942</v>
      </c>
      <c r="ABQ3">
        <v>74.449933129056177</v>
      </c>
      <c r="ABR3">
        <v>74.378069988802864</v>
      </c>
      <c r="ABS3">
        <v>74.771518923220015</v>
      </c>
      <c r="ABT3">
        <v>73.995722995754363</v>
      </c>
      <c r="ABU3">
        <v>78.414212244621865</v>
      </c>
      <c r="ABV3">
        <v>77.154799646220795</v>
      </c>
      <c r="ABW3">
        <v>78.202178215243592</v>
      </c>
      <c r="ABX3">
        <v>79.255677564608121</v>
      </c>
      <c r="ABY3">
        <v>80.318620513548581</v>
      </c>
      <c r="ABZ3">
        <v>80.137260579187199</v>
      </c>
      <c r="ACA3">
        <v>81.847439583285578</v>
      </c>
      <c r="ACB3">
        <v>81.349155310762455</v>
      </c>
      <c r="ACC3">
        <v>81.911550384692703</v>
      </c>
      <c r="ACD3">
        <v>83.177234916273321</v>
      </c>
      <c r="ACE3">
        <v>83.60822574931737</v>
      </c>
      <c r="ACF3">
        <v>88.014994718928691</v>
      </c>
      <c r="ACG3">
        <v>88.037275011498991</v>
      </c>
      <c r="ACH3">
        <v>88.606572442567128</v>
      </c>
      <c r="ACI3">
        <v>90.206305623216195</v>
      </c>
      <c r="ACJ3">
        <v>85.018888207570853</v>
      </c>
      <c r="ACK3">
        <v>86.710013289247883</v>
      </c>
      <c r="ACL3">
        <v>88.356326481972104</v>
      </c>
      <c r="ACM3">
        <v>90.25161405655011</v>
      </c>
      <c r="ACN3">
        <v>99.049030314524359</v>
      </c>
      <c r="ACO3">
        <v>100.61453427094666</v>
      </c>
      <c r="ACP3">
        <v>96.740265202550006</v>
      </c>
      <c r="ACQ3">
        <v>96.081622066334873</v>
      </c>
      <c r="ACR3">
        <v>95.147955072663379</v>
      </c>
      <c r="ACS3">
        <v>96.737884497516077</v>
      </c>
      <c r="ACT3">
        <v>92.934537742166569</v>
      </c>
      <c r="ACU3">
        <v>84.702206430129451</v>
      </c>
      <c r="ACV3">
        <v>86.124087471717857</v>
      </c>
    </row>
    <row r="4" spans="1:776" x14ac:dyDescent="0.2">
      <c r="A4" t="s">
        <v>70668</v>
      </c>
      <c r="B4">
        <v>97.834677146345271</v>
      </c>
      <c r="C4">
        <v>95.373631268739274</v>
      </c>
      <c r="D4">
        <v>93.655827468382981</v>
      </c>
      <c r="E4">
        <v>92.764925595407846</v>
      </c>
      <c r="F4">
        <v>91.29765737781608</v>
      </c>
      <c r="G4">
        <v>91.756768445246735</v>
      </c>
      <c r="H4">
        <v>91.308401843984058</v>
      </c>
      <c r="I4">
        <v>91.780706451095966</v>
      </c>
      <c r="J4">
        <v>91.581134590250514</v>
      </c>
      <c r="K4">
        <v>92.453958085709544</v>
      </c>
      <c r="L4">
        <v>93.805784762393827</v>
      </c>
      <c r="M4">
        <v>93.061853270681866</v>
      </c>
      <c r="N4">
        <v>92.87222627393291</v>
      </c>
      <c r="O4">
        <v>92.616302590666692</v>
      </c>
      <c r="P4">
        <v>91.501178763602582</v>
      </c>
      <c r="Q4">
        <v>90.986126884540738</v>
      </c>
      <c r="R4">
        <v>92.68323852066456</v>
      </c>
      <c r="S4">
        <v>91.691735200371383</v>
      </c>
      <c r="T4">
        <v>92.114293607945086</v>
      </c>
      <c r="U4">
        <v>89.894481431620832</v>
      </c>
      <c r="V4">
        <v>89.695104812637609</v>
      </c>
      <c r="W4">
        <v>91.346826376474169</v>
      </c>
      <c r="X4">
        <v>91.167761598437735</v>
      </c>
      <c r="Y4">
        <v>91.323644706900069</v>
      </c>
      <c r="Z4">
        <v>94.228876859761016</v>
      </c>
      <c r="AA4">
        <v>90.431170857583268</v>
      </c>
      <c r="AB4">
        <v>88.21177847014836</v>
      </c>
      <c r="AC4">
        <v>86.586991132169985</v>
      </c>
      <c r="AD4">
        <v>87.138564471003164</v>
      </c>
      <c r="AE4">
        <v>87.300790889267546</v>
      </c>
      <c r="AF4">
        <v>86.345690724352707</v>
      </c>
      <c r="AG4">
        <v>85.224558427325064</v>
      </c>
      <c r="AH4">
        <v>83.71614794692789</v>
      </c>
      <c r="AI4">
        <v>82.713372232204463</v>
      </c>
      <c r="AJ4">
        <v>82.774003745807207</v>
      </c>
      <c r="AK4">
        <v>82.103316442254624</v>
      </c>
      <c r="AL4">
        <v>79.414171325179822</v>
      </c>
      <c r="AM4">
        <v>78.995601003511311</v>
      </c>
      <c r="AN4">
        <v>78.904069599466411</v>
      </c>
      <c r="AO4">
        <v>80.887976211345858</v>
      </c>
      <c r="AP4">
        <v>82.528260229291831</v>
      </c>
      <c r="AQ4">
        <v>81.13929323865456</v>
      </c>
      <c r="AR4">
        <v>82.072232322066469</v>
      </c>
      <c r="AS4">
        <v>81.757754233023107</v>
      </c>
      <c r="AT4">
        <v>82.529657438695736</v>
      </c>
      <c r="AU4">
        <v>83.461978283857036</v>
      </c>
      <c r="AV4">
        <v>83.791664865677546</v>
      </c>
      <c r="AW4">
        <v>83.095645445075988</v>
      </c>
      <c r="AX4">
        <v>82.876441575808087</v>
      </c>
      <c r="AY4">
        <v>79.449503993567902</v>
      </c>
      <c r="AZ4">
        <v>76.401745333872938</v>
      </c>
      <c r="BA4">
        <v>75.777418458134207</v>
      </c>
      <c r="BB4">
        <v>75.830225314650264</v>
      </c>
      <c r="BC4">
        <v>73.419172600289798</v>
      </c>
      <c r="BD4">
        <v>71.304856166308241</v>
      </c>
      <c r="BE4">
        <v>74.296539378443441</v>
      </c>
      <c r="BF4">
        <v>73.961898894007462</v>
      </c>
      <c r="BG4">
        <v>72.915669172535445</v>
      </c>
      <c r="BH4">
        <v>70.790743460350356</v>
      </c>
      <c r="BI4">
        <v>71.234032060026195</v>
      </c>
      <c r="BJ4">
        <v>70.863867263135091</v>
      </c>
      <c r="BK4">
        <v>71.932886994337949</v>
      </c>
      <c r="BL4">
        <v>71.397169388282236</v>
      </c>
      <c r="BM4">
        <v>69.951151130146471</v>
      </c>
      <c r="BN4">
        <v>69.916805359659094</v>
      </c>
      <c r="BO4">
        <v>68.726380727541752</v>
      </c>
      <c r="BP4">
        <v>67.006579755645518</v>
      </c>
      <c r="BQ4">
        <v>65.945786346098913</v>
      </c>
      <c r="BR4">
        <v>66.447840728955853</v>
      </c>
      <c r="BS4">
        <v>65.714670854413924</v>
      </c>
      <c r="BT4">
        <v>66.36230211208094</v>
      </c>
      <c r="BU4">
        <v>67.676455931765148</v>
      </c>
      <c r="BV4">
        <v>68.00896955762434</v>
      </c>
      <c r="BW4">
        <v>67.293867516002223</v>
      </c>
      <c r="BX4">
        <v>68.437591083589055</v>
      </c>
      <c r="BY4">
        <v>67.894950779038794</v>
      </c>
      <c r="BZ4">
        <v>67.716379136786216</v>
      </c>
      <c r="CA4">
        <v>69.506479338240169</v>
      </c>
      <c r="CB4">
        <v>69.533902653252412</v>
      </c>
      <c r="CC4">
        <v>68.374668271508426</v>
      </c>
      <c r="CD4">
        <v>66.795080317018076</v>
      </c>
      <c r="CE4">
        <v>67.371528658406248</v>
      </c>
      <c r="CF4">
        <v>69.546950825499295</v>
      </c>
      <c r="CG4">
        <v>70.79417951800697</v>
      </c>
      <c r="CH4">
        <v>71.207968071575792</v>
      </c>
      <c r="CI4">
        <v>72.043721535837591</v>
      </c>
      <c r="CJ4">
        <v>73.114335478705542</v>
      </c>
      <c r="CK4">
        <v>72.039676574983019</v>
      </c>
      <c r="CL4">
        <v>72.341176773460205</v>
      </c>
      <c r="CM4">
        <v>72.377495010354636</v>
      </c>
      <c r="CN4">
        <v>71.718139630022137</v>
      </c>
      <c r="CO4">
        <v>71.360371748217304</v>
      </c>
      <c r="CP4">
        <v>71.835936457759757</v>
      </c>
      <c r="CQ4">
        <v>69.515221124007766</v>
      </c>
      <c r="CR4">
        <v>68.126614870646847</v>
      </c>
      <c r="CS4">
        <v>63.966660105209478</v>
      </c>
      <c r="CT4">
        <v>62.201497333580193</v>
      </c>
      <c r="CU4">
        <v>65.961251442977883</v>
      </c>
      <c r="CV4">
        <v>65.18739147630221</v>
      </c>
      <c r="CW4">
        <v>65.00196112909083</v>
      </c>
      <c r="CX4">
        <v>64.498600226060887</v>
      </c>
      <c r="CY4">
        <v>62.772269227797054</v>
      </c>
      <c r="CZ4">
        <v>63.370113056535722</v>
      </c>
      <c r="DA4">
        <v>64.686982713855272</v>
      </c>
      <c r="DB4">
        <v>64.287406556545633</v>
      </c>
      <c r="DC4">
        <v>65.317063132774848</v>
      </c>
      <c r="DD4">
        <v>63.845039448218273</v>
      </c>
      <c r="DE4">
        <v>62.2952404824984</v>
      </c>
      <c r="DF4">
        <v>66.606156673596885</v>
      </c>
      <c r="DG4">
        <v>68.898415929454302</v>
      </c>
      <c r="DH4">
        <v>69.250994477946861</v>
      </c>
      <c r="DI4">
        <v>67.863763034093253</v>
      </c>
      <c r="DJ4">
        <v>66.172862981895435</v>
      </c>
      <c r="DK4">
        <v>68.301625102701621</v>
      </c>
      <c r="DL4">
        <v>67.323233624229957</v>
      </c>
      <c r="DM4">
        <v>66.375020490829073</v>
      </c>
      <c r="DN4">
        <v>68.880319164648157</v>
      </c>
      <c r="DO4">
        <v>68.663423449235694</v>
      </c>
      <c r="DP4">
        <v>67.710132787730288</v>
      </c>
      <c r="DQ4">
        <v>65.573109109313535</v>
      </c>
      <c r="DR4">
        <v>67.490858731506052</v>
      </c>
      <c r="DS4">
        <v>68.756153425432004</v>
      </c>
      <c r="DT4">
        <v>67.762742967419229</v>
      </c>
      <c r="DU4">
        <v>71.580959244402081</v>
      </c>
      <c r="DV4">
        <v>71.320081958988823</v>
      </c>
      <c r="DW4">
        <v>73.671551722931724</v>
      </c>
      <c r="DX4">
        <v>73.178353128330187</v>
      </c>
      <c r="DY4">
        <v>73.435304097809151</v>
      </c>
      <c r="DZ4">
        <v>75.617283495797196</v>
      </c>
      <c r="EA4">
        <v>72.717000419894475</v>
      </c>
      <c r="EB4">
        <v>72.664916984848844</v>
      </c>
      <c r="EC4">
        <v>74.284248740754023</v>
      </c>
      <c r="ED4">
        <v>74.439696379849366</v>
      </c>
      <c r="EE4">
        <v>74.235436376630474</v>
      </c>
      <c r="EF4">
        <v>74.096272240758722</v>
      </c>
      <c r="EG4">
        <v>74.319010372629549</v>
      </c>
      <c r="EH4">
        <v>73.510414437039842</v>
      </c>
      <c r="EI4">
        <v>72.948917535137923</v>
      </c>
      <c r="EJ4">
        <v>73.928763463747586</v>
      </c>
      <c r="EK4">
        <v>73.872649569023181</v>
      </c>
      <c r="EL4">
        <v>71.559324005631197</v>
      </c>
      <c r="EM4">
        <v>73.709353916711407</v>
      </c>
      <c r="EN4">
        <v>75.013820618157524</v>
      </c>
      <c r="EO4">
        <v>74.909465113305785</v>
      </c>
      <c r="EP4">
        <v>76.483724052926476</v>
      </c>
      <c r="EQ4">
        <v>73.173225913942048</v>
      </c>
      <c r="ER4">
        <v>70.865786862158856</v>
      </c>
      <c r="ES4">
        <v>71.913918620881702</v>
      </c>
      <c r="ET4">
        <v>70.535539002125006</v>
      </c>
      <c r="EU4">
        <v>70.400346863069146</v>
      </c>
      <c r="EV4">
        <v>70.978042581603262</v>
      </c>
      <c r="EW4">
        <v>71.941867995258249</v>
      </c>
      <c r="EX4">
        <v>73.439030437386464</v>
      </c>
      <c r="EY4">
        <v>74.098991212370251</v>
      </c>
      <c r="EZ4">
        <v>74.264504716143165</v>
      </c>
      <c r="FA4">
        <v>73.886966707040543</v>
      </c>
      <c r="FB4">
        <v>76.140796040939833</v>
      </c>
      <c r="FC4">
        <v>78.314433539520522</v>
      </c>
      <c r="FD4">
        <v>80.759127841698145</v>
      </c>
      <c r="FE4">
        <v>76.964824927579187</v>
      </c>
      <c r="FF4">
        <v>78.183862616185209</v>
      </c>
      <c r="FG4">
        <v>79.477037725666861</v>
      </c>
      <c r="FH4">
        <v>80.12210076224666</v>
      </c>
      <c r="FI4">
        <v>82.919876918971241</v>
      </c>
      <c r="FJ4">
        <v>83.185894068448718</v>
      </c>
      <c r="FK4">
        <v>82.628193374370895</v>
      </c>
      <c r="FL4">
        <v>79.583417705998798</v>
      </c>
      <c r="FM4">
        <v>82.541133870482568</v>
      </c>
      <c r="FN4">
        <v>82.788110870389247</v>
      </c>
      <c r="FO4">
        <v>80.042493782870579</v>
      </c>
      <c r="FP4">
        <v>78.598055085718443</v>
      </c>
      <c r="FQ4">
        <v>81.62735671636095</v>
      </c>
      <c r="FR4">
        <v>80.976671718259468</v>
      </c>
      <c r="FS4">
        <v>81.935036184788231</v>
      </c>
      <c r="FT4">
        <v>82.008027083782437</v>
      </c>
      <c r="FU4">
        <v>82.567350958470414</v>
      </c>
      <c r="FV4">
        <v>82.380029655892358</v>
      </c>
      <c r="FW4">
        <v>86.748568431486746</v>
      </c>
      <c r="FX4">
        <v>85.98271011637884</v>
      </c>
      <c r="FY4">
        <v>83.810949681684747</v>
      </c>
      <c r="FZ4">
        <v>81.282572068910881</v>
      </c>
      <c r="GA4">
        <v>79.364339265558229</v>
      </c>
      <c r="GB4">
        <v>80.283277621198167</v>
      </c>
      <c r="GC4">
        <v>76.150775527014929</v>
      </c>
      <c r="GD4">
        <v>74.994966055214263</v>
      </c>
      <c r="GE4">
        <v>72.633300653314237</v>
      </c>
      <c r="GF4">
        <v>70.475513715714598</v>
      </c>
      <c r="GG4">
        <v>71.478194148017877</v>
      </c>
      <c r="GH4">
        <v>69.374647584981915</v>
      </c>
      <c r="GI4">
        <v>67.623188607910933</v>
      </c>
      <c r="GJ4">
        <v>70.136298728195612</v>
      </c>
      <c r="GK4">
        <v>72.067029977806143</v>
      </c>
      <c r="GL4">
        <v>71.717873473440022</v>
      </c>
      <c r="GM4">
        <v>71.267149219274927</v>
      </c>
      <c r="GN4">
        <v>73.409870173461215</v>
      </c>
      <c r="GO4">
        <v>71.868927487079489</v>
      </c>
      <c r="GP4">
        <v>72.42512233067157</v>
      </c>
      <c r="GQ4">
        <v>73.060624862629894</v>
      </c>
      <c r="GR4">
        <v>71.870232977788163</v>
      </c>
      <c r="GS4">
        <v>74.222280702135564</v>
      </c>
      <c r="GT4">
        <v>73.95760418337639</v>
      </c>
      <c r="GU4">
        <v>74.589642697761761</v>
      </c>
      <c r="GV4">
        <v>75.403381169057511</v>
      </c>
      <c r="GW4">
        <v>73.686984496669353</v>
      </c>
      <c r="GX4">
        <v>72.495170453523272</v>
      </c>
      <c r="GY4">
        <v>72.74663459084104</v>
      </c>
      <c r="GZ4">
        <v>71.570816129305626</v>
      </c>
      <c r="HA4">
        <v>69.292918080273282</v>
      </c>
      <c r="HB4">
        <v>71.525108826816336</v>
      </c>
      <c r="HC4">
        <v>70.445575801230973</v>
      </c>
      <c r="HD4">
        <v>70.008307453042548</v>
      </c>
      <c r="HE4">
        <v>71.366811175465784</v>
      </c>
      <c r="HF4">
        <v>69.940767993378401</v>
      </c>
      <c r="HG4">
        <v>67.349269953924562</v>
      </c>
      <c r="HH4">
        <v>67.912207076565366</v>
      </c>
      <c r="HI4">
        <v>68.83177338483047</v>
      </c>
      <c r="HJ4">
        <v>68.853677516914246</v>
      </c>
      <c r="HK4">
        <v>67.910409594864149</v>
      </c>
      <c r="HL4">
        <v>67.296579040673322</v>
      </c>
      <c r="HM4">
        <v>68.152779738633626</v>
      </c>
      <c r="HN4">
        <v>69.565871410173173</v>
      </c>
      <c r="HO4">
        <v>69.91517813968963</v>
      </c>
      <c r="HP4">
        <v>72.967713885431735</v>
      </c>
      <c r="HQ4">
        <v>72.404093136696915</v>
      </c>
      <c r="HR4">
        <v>72.113111032981365</v>
      </c>
      <c r="HS4">
        <v>73.225239572735077</v>
      </c>
      <c r="HT4">
        <v>73.692985630099344</v>
      </c>
      <c r="HU4">
        <v>72.624359279182869</v>
      </c>
      <c r="HV4">
        <v>70.13853272554293</v>
      </c>
      <c r="HW4">
        <v>71.572928658855886</v>
      </c>
      <c r="HX4">
        <v>71.599947447048621</v>
      </c>
      <c r="HY4">
        <v>71.224176532470565</v>
      </c>
      <c r="HZ4">
        <v>65.640964882959949</v>
      </c>
      <c r="IA4">
        <v>63.896366372704961</v>
      </c>
      <c r="IB4">
        <v>66.934101237112358</v>
      </c>
      <c r="IC4">
        <v>64.065050709850638</v>
      </c>
      <c r="ID4">
        <v>67.130248791625746</v>
      </c>
      <c r="IE4">
        <v>68.721173049262887</v>
      </c>
      <c r="IF4">
        <v>70.463017209632241</v>
      </c>
      <c r="IG4">
        <v>69.295303052566524</v>
      </c>
      <c r="IH4">
        <v>71.540256987274873</v>
      </c>
      <c r="II4">
        <v>72.56426578379363</v>
      </c>
      <c r="IJ4">
        <v>68.27662094948623</v>
      </c>
      <c r="IK4">
        <v>68.797160127871408</v>
      </c>
      <c r="IL4">
        <v>68.751828567895473</v>
      </c>
      <c r="IM4">
        <v>69.053171611414953</v>
      </c>
      <c r="IN4">
        <v>68.879319643589099</v>
      </c>
      <c r="IO4">
        <v>66.316694163180529</v>
      </c>
      <c r="IP4">
        <v>68.934706174553128</v>
      </c>
      <c r="IQ4">
        <v>71.297042318850572</v>
      </c>
      <c r="IR4">
        <v>71.30078130564651</v>
      </c>
      <c r="IS4">
        <v>74.311266505630101</v>
      </c>
      <c r="IT4">
        <v>72.394115332583496</v>
      </c>
      <c r="IU4">
        <v>70.632435304884325</v>
      </c>
      <c r="IV4">
        <v>71.706976768452989</v>
      </c>
      <c r="IW4">
        <v>71.225969432645499</v>
      </c>
      <c r="IX4">
        <v>70.623644941232683</v>
      </c>
      <c r="IY4">
        <v>69.924595606444427</v>
      </c>
      <c r="IZ4">
        <v>67.916256738482247</v>
      </c>
      <c r="JA4">
        <v>72.254591899052912</v>
      </c>
      <c r="JB4">
        <v>74.665993977149157</v>
      </c>
      <c r="JC4">
        <v>74.295054402670701</v>
      </c>
      <c r="JD4">
        <v>77.554142224097049</v>
      </c>
      <c r="JE4">
        <v>78.208632665809034</v>
      </c>
      <c r="JF4">
        <v>82.140174132733691</v>
      </c>
      <c r="JG4">
        <v>81.47864367458061</v>
      </c>
      <c r="JH4">
        <v>80.650340748287476</v>
      </c>
      <c r="JI4">
        <v>76.556731227658858</v>
      </c>
      <c r="JJ4">
        <v>72.930134971299381</v>
      </c>
      <c r="JK4">
        <v>70.626660433330983</v>
      </c>
      <c r="JL4">
        <v>69.672209736910162</v>
      </c>
      <c r="JM4">
        <v>71.076877356384529</v>
      </c>
      <c r="JN4">
        <v>70.59370130107763</v>
      </c>
      <c r="JO4">
        <v>68.483273448034865</v>
      </c>
      <c r="JP4">
        <v>67.112353970594626</v>
      </c>
      <c r="JQ4">
        <v>67.777056678558608</v>
      </c>
      <c r="JR4">
        <v>67.072443564249198</v>
      </c>
      <c r="JS4">
        <v>66.472760139958339</v>
      </c>
      <c r="JT4">
        <v>64.948818767423404</v>
      </c>
      <c r="JU4">
        <v>59.545277332928741</v>
      </c>
      <c r="JV4">
        <v>49.051253377569807</v>
      </c>
      <c r="JW4">
        <v>50.004698505465115</v>
      </c>
      <c r="JX4">
        <v>55.77128202391409</v>
      </c>
      <c r="JY4">
        <v>54.055396063871967</v>
      </c>
      <c r="JZ4">
        <v>51.969903421529352</v>
      </c>
      <c r="KA4">
        <v>49.373943354836172</v>
      </c>
      <c r="KB4">
        <v>48.180479885741931</v>
      </c>
      <c r="KC4">
        <v>52.938810028732682</v>
      </c>
      <c r="KD4">
        <v>52.19446974629664</v>
      </c>
      <c r="KE4">
        <v>49.337577933886806</v>
      </c>
      <c r="KF4">
        <v>47.789121645897112</v>
      </c>
      <c r="KG4">
        <v>41.831599876369673</v>
      </c>
      <c r="KH4">
        <v>50.366517342127132</v>
      </c>
      <c r="KI4">
        <v>51.675264484293891</v>
      </c>
      <c r="KJ4">
        <v>50.435892857406728</v>
      </c>
      <c r="KK4">
        <v>50.571625279178214</v>
      </c>
      <c r="KL4">
        <v>50.633448033359123</v>
      </c>
      <c r="KM4">
        <v>49.661399547920126</v>
      </c>
      <c r="KN4">
        <v>50.027471481288302</v>
      </c>
      <c r="KO4">
        <v>52.364707717809175</v>
      </c>
      <c r="KP4">
        <v>52.960582466249008</v>
      </c>
      <c r="KQ4">
        <v>51.286655914835023</v>
      </c>
      <c r="KR4">
        <v>50.962407469486294</v>
      </c>
      <c r="KS4">
        <v>51.472748821498783</v>
      </c>
      <c r="KT4">
        <v>51.984818736371693</v>
      </c>
      <c r="KU4">
        <v>51.876087199997265</v>
      </c>
      <c r="KV4">
        <v>48.202850941546608</v>
      </c>
      <c r="KW4">
        <v>49.558118234773787</v>
      </c>
      <c r="KX4">
        <v>46.753659840688094</v>
      </c>
      <c r="KY4">
        <v>49.285525945187032</v>
      </c>
      <c r="KZ4">
        <v>46.241208965348847</v>
      </c>
      <c r="LA4">
        <v>45.413899867805057</v>
      </c>
      <c r="LB4">
        <v>45.589616964514683</v>
      </c>
      <c r="LC4">
        <v>49.631148833710753</v>
      </c>
      <c r="LD4">
        <v>50.246957352999772</v>
      </c>
      <c r="LE4">
        <v>52.23785911755418</v>
      </c>
      <c r="LF4">
        <v>50.528612181391779</v>
      </c>
      <c r="LG4">
        <v>49.255592156953675</v>
      </c>
      <c r="LH4">
        <v>51.74620198985874</v>
      </c>
      <c r="LI4">
        <v>52.261644408661425</v>
      </c>
      <c r="LJ4">
        <v>52.633793178015104</v>
      </c>
      <c r="LK4">
        <v>53.439451594121401</v>
      </c>
      <c r="LL4">
        <v>54.1130006328858</v>
      </c>
      <c r="LM4">
        <v>52.612702683625358</v>
      </c>
      <c r="LN4">
        <v>51.550751002274836</v>
      </c>
      <c r="LO4">
        <v>49.465834575158091</v>
      </c>
      <c r="LP4">
        <v>50.402456395286379</v>
      </c>
      <c r="LQ4">
        <v>49.030377770584039</v>
      </c>
      <c r="LR4">
        <v>48.39717709577117</v>
      </c>
      <c r="LS4">
        <v>48.290363096387502</v>
      </c>
      <c r="LT4">
        <v>47.064368092704719</v>
      </c>
      <c r="LU4">
        <v>46.933292820437309</v>
      </c>
      <c r="LV4">
        <v>48.288043016223909</v>
      </c>
      <c r="LW4">
        <v>48.735068580043695</v>
      </c>
      <c r="LX4">
        <v>48.331711279899942</v>
      </c>
      <c r="LY4">
        <v>47.024113200965786</v>
      </c>
      <c r="LZ4">
        <v>49.543689634859469</v>
      </c>
      <c r="MA4">
        <v>50.273217619277133</v>
      </c>
      <c r="MB4">
        <v>50.717119378907498</v>
      </c>
      <c r="MC4">
        <v>52.064323276320174</v>
      </c>
      <c r="MD4">
        <v>51.185905173872854</v>
      </c>
      <c r="ME4">
        <v>51.783185072936689</v>
      </c>
      <c r="MF4">
        <v>51.441569794988418</v>
      </c>
      <c r="MG4">
        <v>50.711789627478289</v>
      </c>
      <c r="MH4">
        <v>52.269489034058083</v>
      </c>
      <c r="MI4">
        <v>50.912150286562856</v>
      </c>
      <c r="MJ4">
        <v>50.922357374083127</v>
      </c>
      <c r="MK4">
        <v>50.180496119661406</v>
      </c>
      <c r="ML4">
        <v>49.770592618102292</v>
      </c>
      <c r="MM4">
        <v>50.265821969143076</v>
      </c>
      <c r="MN4">
        <v>50.382253065132467</v>
      </c>
      <c r="MO4">
        <v>51.020699826375278</v>
      </c>
      <c r="MP4">
        <v>51.125275043301038</v>
      </c>
      <c r="MQ4">
        <v>49.728409165764845</v>
      </c>
      <c r="MR4">
        <v>48.418498228384657</v>
      </c>
      <c r="MS4">
        <v>48.04895991884004</v>
      </c>
      <c r="MT4">
        <v>46.633199077073918</v>
      </c>
      <c r="MU4">
        <v>48.119386140065451</v>
      </c>
      <c r="MV4">
        <v>48.099949959534293</v>
      </c>
      <c r="MW4">
        <v>49.170223301230308</v>
      </c>
      <c r="MX4">
        <v>48.891966545993192</v>
      </c>
      <c r="MY4">
        <v>48.80193616200765</v>
      </c>
      <c r="MZ4">
        <v>47.956519953171941</v>
      </c>
      <c r="NA4">
        <v>46.611689072316707</v>
      </c>
      <c r="NB4">
        <v>48.620025387593707</v>
      </c>
      <c r="NC4">
        <v>46.671942331801695</v>
      </c>
      <c r="ND4">
        <v>48.123711768711395</v>
      </c>
      <c r="NE4">
        <v>47.090138776556081</v>
      </c>
      <c r="NF4">
        <v>46.097262556779135</v>
      </c>
      <c r="NG4">
        <v>46.903480673373849</v>
      </c>
      <c r="NH4">
        <v>46.289576209702368</v>
      </c>
      <c r="NI4">
        <v>46.7128072804556</v>
      </c>
      <c r="NJ4">
        <v>43.740207058173759</v>
      </c>
      <c r="NK4">
        <v>44.701069003206086</v>
      </c>
      <c r="NL4">
        <v>43.630182443830023</v>
      </c>
      <c r="NM4">
        <v>43.458687293875009</v>
      </c>
      <c r="NN4">
        <v>43.438165161864944</v>
      </c>
      <c r="NO4">
        <v>44.128543000110923</v>
      </c>
      <c r="NP4">
        <v>45.015644896879749</v>
      </c>
      <c r="NQ4">
        <v>45.288742127378868</v>
      </c>
      <c r="NR4">
        <v>45.0317924686399</v>
      </c>
      <c r="NS4">
        <v>44.431552751644489</v>
      </c>
      <c r="NT4">
        <v>45.908177966947427</v>
      </c>
      <c r="NU4">
        <v>45.189007133661057</v>
      </c>
      <c r="NV4">
        <v>43.436026855092912</v>
      </c>
      <c r="NW4">
        <v>44.225115950995679</v>
      </c>
      <c r="NX4">
        <v>44.645346559549203</v>
      </c>
      <c r="NY4">
        <v>44.979914384302184</v>
      </c>
      <c r="NZ4">
        <v>45.689871981165147</v>
      </c>
      <c r="OA4">
        <v>45.085153652429803</v>
      </c>
      <c r="OB4">
        <v>45.880752076382393</v>
      </c>
      <c r="OC4">
        <v>46.112969546426434</v>
      </c>
      <c r="OD4">
        <v>46.359779465734967</v>
      </c>
      <c r="OE4">
        <v>44.306376789725775</v>
      </c>
      <c r="OF4">
        <v>44.527272377982726</v>
      </c>
      <c r="OG4">
        <v>45.954443307917792</v>
      </c>
      <c r="OH4">
        <v>44.29380827076168</v>
      </c>
      <c r="OI4">
        <v>43.586626743384798</v>
      </c>
      <c r="OJ4">
        <v>42.381700583356491</v>
      </c>
      <c r="OK4">
        <v>42.052688926798055</v>
      </c>
      <c r="OL4">
        <v>39.784231929498176</v>
      </c>
      <c r="OM4">
        <v>40.11654339320058</v>
      </c>
      <c r="ON4">
        <v>39.04805822498372</v>
      </c>
      <c r="OO4">
        <v>39.606359366633725</v>
      </c>
      <c r="OP4">
        <v>40.797736816463065</v>
      </c>
      <c r="OQ4">
        <v>41.322477944056281</v>
      </c>
      <c r="OR4">
        <v>40.183235245182217</v>
      </c>
      <c r="OS4">
        <v>40.124973724188074</v>
      </c>
      <c r="OT4">
        <v>39.796921179011733</v>
      </c>
      <c r="OU4">
        <v>40.26366963372066</v>
      </c>
      <c r="OV4">
        <v>39.861309928017121</v>
      </c>
      <c r="OW4">
        <v>40.610390669771128</v>
      </c>
      <c r="OX4">
        <v>38.902967363265589</v>
      </c>
      <c r="OY4">
        <v>40.294883729171744</v>
      </c>
      <c r="OZ4">
        <v>41.228292962796949</v>
      </c>
      <c r="PA4">
        <v>41.412241076145285</v>
      </c>
      <c r="PB4">
        <v>40.611627317749729</v>
      </c>
      <c r="PC4">
        <v>42.180010601120799</v>
      </c>
      <c r="PD4">
        <v>41.670767230816992</v>
      </c>
      <c r="PE4">
        <v>39.933747239703884</v>
      </c>
      <c r="PF4">
        <v>40.852822230389322</v>
      </c>
      <c r="PG4">
        <v>41.278097054789072</v>
      </c>
      <c r="PH4">
        <v>41.551765470197033</v>
      </c>
      <c r="PI4">
        <v>41.176683729515695</v>
      </c>
      <c r="PJ4">
        <v>39.878942802615022</v>
      </c>
      <c r="PK4">
        <v>47.335973038854839</v>
      </c>
      <c r="PL4">
        <v>47.227006556006053</v>
      </c>
      <c r="PM4">
        <v>44.6848216816865</v>
      </c>
      <c r="PN4">
        <v>43.780666662482396</v>
      </c>
      <c r="PO4">
        <v>43.013253036516367</v>
      </c>
      <c r="PP4">
        <v>41.64193869463638</v>
      </c>
      <c r="PQ4">
        <v>45.853197901468775</v>
      </c>
      <c r="PR4">
        <v>48.412302559111126</v>
      </c>
      <c r="PS4">
        <v>48.283811288678145</v>
      </c>
      <c r="PT4">
        <v>50.096270476395901</v>
      </c>
      <c r="PU4">
        <v>51.50383970236755</v>
      </c>
      <c r="PV4">
        <v>50.740529508574049</v>
      </c>
      <c r="PW4">
        <v>50.515674406771403</v>
      </c>
      <c r="PX4">
        <v>50.198968851288086</v>
      </c>
      <c r="PY4">
        <v>50.44440417599386</v>
      </c>
      <c r="PZ4">
        <v>50.438115668300924</v>
      </c>
      <c r="QA4">
        <v>50.483598186733573</v>
      </c>
      <c r="QB4">
        <v>51.499307208254521</v>
      </c>
      <c r="QC4">
        <v>52.641441618013232</v>
      </c>
      <c r="QD4">
        <v>51.032468568590289</v>
      </c>
      <c r="QE4">
        <v>52.8383490697151</v>
      </c>
      <c r="QF4">
        <v>52.964789452026814</v>
      </c>
      <c r="QG4">
        <v>53.235932575614051</v>
      </c>
      <c r="QH4">
        <v>56.350358032172359</v>
      </c>
      <c r="QI4">
        <v>58.267723745357308</v>
      </c>
      <c r="QJ4">
        <v>59.184434719030747</v>
      </c>
      <c r="QK4">
        <v>59.703242268765123</v>
      </c>
      <c r="QL4">
        <v>57.530823880305171</v>
      </c>
      <c r="QM4">
        <v>59.278738632420584</v>
      </c>
      <c r="QN4">
        <v>58.766155786332206</v>
      </c>
      <c r="QO4">
        <v>59.246424670773912</v>
      </c>
      <c r="QP4">
        <v>59.455008892848795</v>
      </c>
      <c r="QQ4">
        <v>59.324462056527842</v>
      </c>
      <c r="QR4">
        <v>59.39654150565547</v>
      </c>
      <c r="QS4">
        <v>58.712303529633253</v>
      </c>
      <c r="QT4">
        <v>55.818768054251613</v>
      </c>
      <c r="QU4">
        <v>56.282126740247492</v>
      </c>
      <c r="QV4">
        <v>56.120310750128745</v>
      </c>
      <c r="QW4">
        <v>56.550040083517381</v>
      </c>
      <c r="QX4">
        <v>55.542524483816358</v>
      </c>
      <c r="QY4">
        <v>54.86323907081713</v>
      </c>
      <c r="QZ4">
        <v>56.730948425707794</v>
      </c>
      <c r="RA4">
        <v>56.548057693755162</v>
      </c>
      <c r="RB4">
        <v>55.216749432459167</v>
      </c>
      <c r="RC4">
        <v>55.812154597017859</v>
      </c>
      <c r="RD4">
        <v>53.923822083820255</v>
      </c>
      <c r="RE4">
        <v>54.251054059130681</v>
      </c>
      <c r="RF4">
        <v>51.380929874375255</v>
      </c>
      <c r="RG4">
        <v>51.655248762306002</v>
      </c>
      <c r="RH4">
        <v>58.083212000834649</v>
      </c>
      <c r="RI4">
        <v>59.182755440220717</v>
      </c>
      <c r="RJ4">
        <v>62.156278121841517</v>
      </c>
      <c r="RK4">
        <v>63.026541445308098</v>
      </c>
      <c r="RL4">
        <v>64.174444935424802</v>
      </c>
      <c r="RM4">
        <v>68.409713368739475</v>
      </c>
      <c r="RN4">
        <v>69.937265458984115</v>
      </c>
      <c r="RO4">
        <v>68.631876505800648</v>
      </c>
      <c r="RP4">
        <v>66.795869191675905</v>
      </c>
      <c r="RQ4">
        <v>66.794349613843096</v>
      </c>
      <c r="RR4">
        <v>69.891790908072323</v>
      </c>
      <c r="RS4">
        <v>70.736068717680695</v>
      </c>
      <c r="RT4">
        <v>72.009687114145308</v>
      </c>
      <c r="RU4">
        <v>72.134121611876125</v>
      </c>
      <c r="RV4">
        <v>74.494382069310063</v>
      </c>
      <c r="RW4">
        <v>76.05372724572895</v>
      </c>
      <c r="RX4">
        <v>77.047158129313345</v>
      </c>
      <c r="RY4">
        <v>75.983968941374286</v>
      </c>
      <c r="RZ4">
        <v>74.65650166548744</v>
      </c>
      <c r="SA4">
        <v>77.118339750491984</v>
      </c>
      <c r="SB4">
        <v>77.055625675404116</v>
      </c>
      <c r="SC4">
        <v>71.794201619181592</v>
      </c>
      <c r="SD4">
        <v>72.919270287210111</v>
      </c>
      <c r="SE4">
        <v>74.293001367313806</v>
      </c>
      <c r="SF4">
        <v>78.248213918396701</v>
      </c>
      <c r="SG4">
        <v>76.018473868316846</v>
      </c>
      <c r="SH4">
        <v>72.095499241578736</v>
      </c>
      <c r="SI4">
        <v>71.369494591480702</v>
      </c>
      <c r="SJ4">
        <v>69.279962329069718</v>
      </c>
      <c r="SK4">
        <v>51.935271807060644</v>
      </c>
      <c r="SL4">
        <v>56.74698414909895</v>
      </c>
      <c r="SM4">
        <v>54.631866114152523</v>
      </c>
      <c r="SN4">
        <v>58.501109073430854</v>
      </c>
      <c r="SO4">
        <v>56.844231423854161</v>
      </c>
      <c r="SP4">
        <v>51.53024167344924</v>
      </c>
      <c r="SQ4">
        <v>53.937777605931828</v>
      </c>
      <c r="SR4">
        <v>52.20255099130901</v>
      </c>
      <c r="SS4">
        <v>51.905463772421783</v>
      </c>
      <c r="ST4">
        <v>55.747636459231778</v>
      </c>
      <c r="SU4">
        <v>58.231345266202304</v>
      </c>
      <c r="SV4">
        <v>62.258811158158537</v>
      </c>
      <c r="SW4">
        <v>58.106416681435697</v>
      </c>
      <c r="SX4">
        <v>57.187252459660499</v>
      </c>
      <c r="SY4">
        <v>56.546256659400377</v>
      </c>
      <c r="SZ4">
        <v>54.348452437484887</v>
      </c>
      <c r="TA4">
        <v>56.901848276807144</v>
      </c>
      <c r="TB4">
        <v>56.369022598592437</v>
      </c>
      <c r="TC4">
        <v>55.783050375319867</v>
      </c>
      <c r="TD4">
        <v>53.143933244044341</v>
      </c>
      <c r="TE4">
        <v>53.364075070332539</v>
      </c>
      <c r="TF4">
        <v>56.893518595584545</v>
      </c>
      <c r="TG4">
        <v>56.259843293188894</v>
      </c>
      <c r="TH4">
        <v>55.147970714417561</v>
      </c>
      <c r="TI4">
        <v>57.320186258934157</v>
      </c>
      <c r="TJ4">
        <v>59.573288706072738</v>
      </c>
      <c r="TK4">
        <v>59.425034549423955</v>
      </c>
      <c r="TL4">
        <v>58.397730813094405</v>
      </c>
      <c r="TM4">
        <v>58.64730842421649</v>
      </c>
      <c r="TN4">
        <v>58.912059703357933</v>
      </c>
      <c r="TO4">
        <v>62.497781182390966</v>
      </c>
      <c r="TP4">
        <v>64.075385100773445</v>
      </c>
      <c r="TQ4">
        <v>59.810499234410372</v>
      </c>
      <c r="TR4">
        <v>60.922749979302864</v>
      </c>
      <c r="TS4">
        <v>61.133731148565111</v>
      </c>
      <c r="TT4">
        <v>65.323738508032108</v>
      </c>
      <c r="TU4">
        <v>67.08114433308819</v>
      </c>
      <c r="TV4">
        <v>65.610269298154535</v>
      </c>
      <c r="TW4">
        <v>70.208071177616247</v>
      </c>
      <c r="TX4">
        <v>72.179670268843694</v>
      </c>
      <c r="TY4">
        <v>71.763323164408106</v>
      </c>
      <c r="TZ4">
        <v>72.893874942170385</v>
      </c>
      <c r="UA4">
        <v>69.18553458438852</v>
      </c>
      <c r="UB4">
        <v>70.525472067858189</v>
      </c>
      <c r="UC4">
        <v>71.681937435671443</v>
      </c>
      <c r="UD4">
        <v>69.29105211591002</v>
      </c>
      <c r="UE4">
        <v>73.74414853378434</v>
      </c>
      <c r="UF4">
        <v>75.19430315018279</v>
      </c>
      <c r="UG4">
        <v>77.635780744405523</v>
      </c>
      <c r="UH4">
        <v>79.954202863292309</v>
      </c>
      <c r="UI4">
        <v>84.222346615617539</v>
      </c>
      <c r="UJ4">
        <v>84.519344858190522</v>
      </c>
      <c r="UK4">
        <v>84.678261770381098</v>
      </c>
      <c r="UL4">
        <v>87.913896291731419</v>
      </c>
      <c r="UM4">
        <v>85.448593992747533</v>
      </c>
      <c r="UN4">
        <v>86.542538096081827</v>
      </c>
      <c r="UO4">
        <v>85.688230547269768</v>
      </c>
      <c r="UP4">
        <v>85.355478485046604</v>
      </c>
      <c r="UQ4">
        <v>83.449082915877199</v>
      </c>
      <c r="UR4">
        <v>79.33142423782779</v>
      </c>
      <c r="US4">
        <v>76.814258062677496</v>
      </c>
      <c r="UT4">
        <v>74.092711010602969</v>
      </c>
      <c r="UU4">
        <v>74.974439004334116</v>
      </c>
      <c r="UV4">
        <v>76.855557029884082</v>
      </c>
      <c r="UW4">
        <v>76.888770275304481</v>
      </c>
      <c r="UX4">
        <v>77.43663454124939</v>
      </c>
      <c r="UY4">
        <v>80.267878981284085</v>
      </c>
      <c r="UZ4">
        <v>79.566838676856634</v>
      </c>
      <c r="VA4">
        <v>78.436390704956835</v>
      </c>
      <c r="VB4">
        <v>76.82627325480685</v>
      </c>
      <c r="VC4">
        <v>76.7682301589671</v>
      </c>
      <c r="VD4">
        <v>79.496331376321081</v>
      </c>
      <c r="VE4">
        <v>80.423114860119213</v>
      </c>
      <c r="VF4">
        <v>79.030711894800035</v>
      </c>
      <c r="VG4">
        <v>74.239891355313873</v>
      </c>
      <c r="VH4">
        <v>76.729825999878813</v>
      </c>
      <c r="VI4">
        <v>74.051614580614626</v>
      </c>
      <c r="VJ4">
        <v>70.993707604562445</v>
      </c>
      <c r="VK4">
        <v>71.809689719278794</v>
      </c>
      <c r="VL4">
        <v>72.809621645163759</v>
      </c>
      <c r="VM4">
        <v>70.061399372446687</v>
      </c>
      <c r="VN4">
        <v>77.275181206890565</v>
      </c>
      <c r="VO4">
        <v>76.801681487174378</v>
      </c>
      <c r="VP4">
        <v>75.046220170051711</v>
      </c>
      <c r="VQ4">
        <v>74.638054995139072</v>
      </c>
      <c r="VR4">
        <v>78.064667963371775</v>
      </c>
      <c r="VS4">
        <v>72.609419740808477</v>
      </c>
      <c r="VT4">
        <v>73.248908689589712</v>
      </c>
      <c r="VU4">
        <v>68.966795521563895</v>
      </c>
      <c r="VV4">
        <v>74.461897023592257</v>
      </c>
      <c r="VW4">
        <v>73.760103172838839</v>
      </c>
      <c r="VX4">
        <v>74.007776117633369</v>
      </c>
      <c r="VY4">
        <v>74.192480754380384</v>
      </c>
      <c r="VZ4">
        <v>73.753705328868705</v>
      </c>
      <c r="WA4">
        <v>77.148490521189203</v>
      </c>
      <c r="WB4">
        <v>73.550322368957026</v>
      </c>
      <c r="WC4">
        <v>71.93004761781917</v>
      </c>
      <c r="WD4">
        <v>74.381584664753674</v>
      </c>
      <c r="WE4">
        <v>72.593187821196281</v>
      </c>
      <c r="WF4">
        <v>73.352201383920374</v>
      </c>
      <c r="WG4">
        <v>72.455991682135434</v>
      </c>
      <c r="WH4">
        <v>77.186672462170748</v>
      </c>
      <c r="WI4">
        <v>73.760909734565971</v>
      </c>
      <c r="WJ4">
        <v>69.194420308959408</v>
      </c>
      <c r="WK4">
        <v>71.077757085868825</v>
      </c>
      <c r="WL4">
        <v>67.401616699463574</v>
      </c>
      <c r="WM4">
        <v>66.080617096702326</v>
      </c>
      <c r="WN4">
        <v>65.860949458458265</v>
      </c>
      <c r="WO4">
        <v>64.195058010224585</v>
      </c>
      <c r="WP4">
        <v>63.438653612900254</v>
      </c>
      <c r="WQ4">
        <v>62.863854762539283</v>
      </c>
      <c r="WR4">
        <v>62.047959597506292</v>
      </c>
      <c r="WS4">
        <v>66.984360493364832</v>
      </c>
      <c r="WT4">
        <v>64.389042773541291</v>
      </c>
      <c r="WU4">
        <v>66.43454441443609</v>
      </c>
      <c r="WV4">
        <v>66.027496532321877</v>
      </c>
      <c r="WW4">
        <v>63.089462280353743</v>
      </c>
      <c r="WX4">
        <v>65.768575085330369</v>
      </c>
      <c r="WY4">
        <v>66.139145038102598</v>
      </c>
      <c r="WZ4">
        <v>64.31507983392116</v>
      </c>
      <c r="XA4">
        <v>65.606817930477405</v>
      </c>
      <c r="XB4">
        <v>60.618881018877865</v>
      </c>
      <c r="XC4">
        <v>61.472564593687856</v>
      </c>
      <c r="XD4">
        <v>63.244135308031353</v>
      </c>
      <c r="XE4">
        <v>62.568115588492866</v>
      </c>
      <c r="XF4">
        <v>65.930714125987961</v>
      </c>
      <c r="XG4">
        <v>62.064412440944075</v>
      </c>
      <c r="XH4">
        <v>63.190456161991882</v>
      </c>
      <c r="XI4">
        <v>63.867740639176695</v>
      </c>
      <c r="XJ4">
        <v>65.662576636179892</v>
      </c>
      <c r="XK4">
        <v>66.134662239197212</v>
      </c>
      <c r="XL4">
        <v>63.838158721043364</v>
      </c>
      <c r="XM4">
        <v>62.579103790876026</v>
      </c>
      <c r="XN4">
        <v>63.278056227572883</v>
      </c>
      <c r="XO4">
        <v>66.228145056682408</v>
      </c>
      <c r="XP4">
        <v>64.805521433140981</v>
      </c>
      <c r="XQ4">
        <v>67.785210583573829</v>
      </c>
      <c r="XR4">
        <v>68.750990717475815</v>
      </c>
      <c r="XS4">
        <v>64.078168086138504</v>
      </c>
      <c r="XT4">
        <v>65.431804115701894</v>
      </c>
      <c r="XU4">
        <v>63.563143555237914</v>
      </c>
      <c r="XV4">
        <v>61.7567910031905</v>
      </c>
      <c r="XW4">
        <v>61.169351721330266</v>
      </c>
      <c r="XX4">
        <v>59.714434206242871</v>
      </c>
      <c r="XY4">
        <v>60.801100243085351</v>
      </c>
      <c r="XZ4">
        <v>61.578894593617001</v>
      </c>
      <c r="YA4">
        <v>60.693407598901388</v>
      </c>
      <c r="YB4">
        <v>59.287771523061714</v>
      </c>
      <c r="YC4">
        <v>55.938432535485148</v>
      </c>
      <c r="YD4">
        <v>55.056456160152408</v>
      </c>
      <c r="YE4">
        <v>56.851186568900999</v>
      </c>
      <c r="YF4">
        <v>54.68183591609948</v>
      </c>
      <c r="YG4">
        <v>53.561242143412052</v>
      </c>
      <c r="YH4">
        <v>54.210683745401695</v>
      </c>
      <c r="YI4">
        <v>51.978280821453808</v>
      </c>
      <c r="YJ4">
        <v>52.4395456005117</v>
      </c>
      <c r="YK4">
        <v>49.992136477993817</v>
      </c>
      <c r="YL4">
        <v>47.892881412771658</v>
      </c>
      <c r="YM4">
        <v>46.63146403053581</v>
      </c>
      <c r="YN4">
        <v>45.123533710304137</v>
      </c>
      <c r="YO4">
        <v>46.627888325638985</v>
      </c>
      <c r="YP4">
        <v>49.666936061685355</v>
      </c>
      <c r="YQ4">
        <v>49.001562336582175</v>
      </c>
      <c r="YR4">
        <v>47.760651252192169</v>
      </c>
      <c r="YS4">
        <v>47.645425932268097</v>
      </c>
      <c r="YT4">
        <v>47.607520629298421</v>
      </c>
      <c r="YU4">
        <v>46.742215333161361</v>
      </c>
      <c r="YV4">
        <v>46.812485244270512</v>
      </c>
      <c r="YW4">
        <v>47.149727925007447</v>
      </c>
      <c r="YX4">
        <v>46.485717987026867</v>
      </c>
      <c r="YY4">
        <v>43.225120344737768</v>
      </c>
      <c r="YZ4">
        <v>42.222459661084081</v>
      </c>
      <c r="ZA4">
        <v>42.393514445564101</v>
      </c>
      <c r="ZB4">
        <v>43.788091665074617</v>
      </c>
      <c r="ZC4">
        <v>45.127927242096767</v>
      </c>
      <c r="ZD4">
        <v>45.846543253840728</v>
      </c>
      <c r="ZE4">
        <v>43.893744379338173</v>
      </c>
      <c r="ZF4">
        <v>43.46562936835867</v>
      </c>
      <c r="ZG4">
        <v>41.71321837614444</v>
      </c>
      <c r="ZH4">
        <v>41.378651586226447</v>
      </c>
      <c r="ZI4">
        <v>38.807567293409925</v>
      </c>
      <c r="ZJ4">
        <v>36.818729154292598</v>
      </c>
      <c r="ZK4">
        <v>39.250044771180498</v>
      </c>
      <c r="ZL4">
        <v>39.860930174558639</v>
      </c>
      <c r="ZM4">
        <v>41.73466435626019</v>
      </c>
      <c r="ZN4">
        <v>38.182781298990648</v>
      </c>
      <c r="ZO4">
        <v>39.350311891124278</v>
      </c>
      <c r="ZP4">
        <v>37.281164934054352</v>
      </c>
      <c r="ZQ4">
        <v>36.502075521190292</v>
      </c>
      <c r="ZR4">
        <v>38.159748834631081</v>
      </c>
      <c r="ZS4">
        <v>37.543981949696366</v>
      </c>
      <c r="ZT4">
        <v>38.360876930714646</v>
      </c>
      <c r="ZU4">
        <v>38.210893343705514</v>
      </c>
      <c r="ZV4">
        <v>35.868872985075818</v>
      </c>
      <c r="ZW4">
        <v>36.778218141939497</v>
      </c>
      <c r="ZX4">
        <v>38.024627456449387</v>
      </c>
      <c r="ZY4">
        <v>40.500803909127605</v>
      </c>
      <c r="ZZ4">
        <v>41.517540874246308</v>
      </c>
      <c r="AAA4">
        <v>40.745045050480044</v>
      </c>
      <c r="AAB4">
        <v>40.019642270115604</v>
      </c>
      <c r="AAC4">
        <v>40.316973605899122</v>
      </c>
      <c r="AAD4">
        <v>39.255084810506865</v>
      </c>
      <c r="AAE4">
        <v>37.524276017992378</v>
      </c>
      <c r="AAF4">
        <v>35.326873037182978</v>
      </c>
      <c r="AAG4">
        <v>37.01255484964593</v>
      </c>
      <c r="AAH4">
        <v>36.934098955100751</v>
      </c>
      <c r="AAI4">
        <v>36.085780160774206</v>
      </c>
      <c r="AAJ4">
        <v>34.814769305788545</v>
      </c>
      <c r="AAK4">
        <v>37.016081785130865</v>
      </c>
      <c r="AAL4">
        <v>36.970423723374822</v>
      </c>
      <c r="AAM4">
        <v>35.234312857168675</v>
      </c>
      <c r="AAN4">
        <v>35.778203246839702</v>
      </c>
      <c r="AAO4">
        <v>37.574124770598061</v>
      </c>
      <c r="AAP4">
        <v>36.418655125386572</v>
      </c>
      <c r="AAQ4">
        <v>33.431528202709025</v>
      </c>
      <c r="AAR4">
        <v>34.820880755860593</v>
      </c>
      <c r="AAS4">
        <v>35.732704979869609</v>
      </c>
      <c r="AAT4">
        <v>37.734446492273818</v>
      </c>
      <c r="AAU4">
        <v>36.547009236794807</v>
      </c>
      <c r="AAV4">
        <v>33.622064597005618</v>
      </c>
      <c r="AAW4">
        <v>32.442478835177695</v>
      </c>
      <c r="AAX4">
        <v>33.825604763140859</v>
      </c>
      <c r="AAY4">
        <v>35.85446030820173</v>
      </c>
      <c r="AAZ4">
        <v>35.507877612138138</v>
      </c>
      <c r="ABA4">
        <v>35.74175937652587</v>
      </c>
      <c r="ABB4">
        <v>35.020027155029275</v>
      </c>
      <c r="ABC4">
        <v>35.152744273328132</v>
      </c>
      <c r="ABD4">
        <v>37.600158516933675</v>
      </c>
      <c r="ABE4">
        <v>37.029236200205887</v>
      </c>
      <c r="ABF4">
        <v>35.737856232582487</v>
      </c>
      <c r="ABG4">
        <v>36.46096175232698</v>
      </c>
      <c r="ABH4">
        <v>37.420243568697181</v>
      </c>
      <c r="ABI4">
        <v>35.136878695799744</v>
      </c>
      <c r="ABJ4">
        <v>35.572452835430489</v>
      </c>
      <c r="ABK4">
        <v>36.046081744572525</v>
      </c>
      <c r="ABL4">
        <v>37.96943070886001</v>
      </c>
      <c r="ABM4">
        <v>37.276436850166988</v>
      </c>
      <c r="ABN4">
        <v>38.579286815822186</v>
      </c>
      <c r="ABO4">
        <v>38.767842248836821</v>
      </c>
      <c r="ABP4">
        <v>39.059456452408121</v>
      </c>
      <c r="ABQ4">
        <v>41.885059478322049</v>
      </c>
      <c r="ABR4">
        <v>41.434542052247842</v>
      </c>
      <c r="ABS4">
        <v>40.549302883903813</v>
      </c>
      <c r="ABT4">
        <v>40.654138760414114</v>
      </c>
      <c r="ABU4">
        <v>39.167083412375661</v>
      </c>
      <c r="ABV4">
        <v>39.244777684920365</v>
      </c>
      <c r="ABW4">
        <v>38.727944960725651</v>
      </c>
      <c r="ABX4">
        <v>38.224389747138886</v>
      </c>
      <c r="ABY4">
        <v>38.395124643870616</v>
      </c>
      <c r="ABZ4">
        <v>37.866872703907326</v>
      </c>
      <c r="ACA4">
        <v>37.528348802389168</v>
      </c>
      <c r="ACB4">
        <v>39.372184384239567</v>
      </c>
      <c r="ACC4">
        <v>38.15917655058923</v>
      </c>
      <c r="ACD4">
        <v>36.798671488877702</v>
      </c>
      <c r="ACE4">
        <v>37.743254559105154</v>
      </c>
      <c r="ACF4">
        <v>36.045487646904085</v>
      </c>
      <c r="ACG4">
        <v>36.090498126018765</v>
      </c>
      <c r="ACH4">
        <v>35.440999138505198</v>
      </c>
      <c r="ACI4">
        <v>35.178244570318007</v>
      </c>
      <c r="ACJ4">
        <v>39.786713395996955</v>
      </c>
      <c r="ACK4">
        <v>38.37473325040812</v>
      </c>
      <c r="ACL4">
        <v>39.492643766909325</v>
      </c>
      <c r="ACM4">
        <v>39.563965526066603</v>
      </c>
      <c r="ACN4">
        <v>34.847181328318314</v>
      </c>
      <c r="ACO4">
        <v>36.422105972792629</v>
      </c>
      <c r="ACP4">
        <v>38.374854827627587</v>
      </c>
      <c r="ACQ4">
        <v>36.480223342690806</v>
      </c>
      <c r="ACR4">
        <v>37.499549768265943</v>
      </c>
      <c r="ACS4">
        <v>37.379085535543091</v>
      </c>
      <c r="ACT4">
        <v>37.981921935724074</v>
      </c>
      <c r="ACU4">
        <v>42.935509217417199</v>
      </c>
      <c r="ACV4">
        <v>40.833184781909111</v>
      </c>
    </row>
    <row r="5" spans="1:776" x14ac:dyDescent="0.2">
      <c r="A5" t="s">
        <v>70658</v>
      </c>
      <c r="B5">
        <v>100.56032898014597</v>
      </c>
      <c r="C5">
        <v>100.93031046774344</v>
      </c>
      <c r="D5">
        <v>99.014044486631832</v>
      </c>
      <c r="E5">
        <v>97.862309888434609</v>
      </c>
      <c r="F5">
        <v>94.771818247815304</v>
      </c>
      <c r="G5">
        <v>97.961905677049018</v>
      </c>
      <c r="H5">
        <v>95.02193218715</v>
      </c>
      <c r="I5">
        <v>95.7658589982168</v>
      </c>
      <c r="J5">
        <v>93.802952377286275</v>
      </c>
      <c r="K5">
        <v>94.243737662896677</v>
      </c>
      <c r="L5">
        <v>96.142905699628272</v>
      </c>
      <c r="M5">
        <v>97.662111449701641</v>
      </c>
      <c r="N5">
        <v>97.692257756364626</v>
      </c>
      <c r="O5">
        <v>95.765239687936699</v>
      </c>
      <c r="P5">
        <v>95.530171598315491</v>
      </c>
      <c r="Q5">
        <v>96.83859603790863</v>
      </c>
      <c r="R5">
        <v>95.741562995140711</v>
      </c>
      <c r="S5">
        <v>93.560660800190135</v>
      </c>
      <c r="T5">
        <v>93.87716117577699</v>
      </c>
      <c r="U5">
        <v>92.996696085143512</v>
      </c>
      <c r="V5">
        <v>92.15174922359148</v>
      </c>
      <c r="W5">
        <v>96.442961621924297</v>
      </c>
      <c r="X5">
        <v>97.686566356640554</v>
      </c>
      <c r="Y5">
        <v>99.312949186006023</v>
      </c>
      <c r="Z5">
        <v>103.43198659068958</v>
      </c>
      <c r="AA5">
        <v>104.41194644144034</v>
      </c>
      <c r="AB5">
        <v>103.45349480355915</v>
      </c>
      <c r="AC5">
        <v>106.54724868446995</v>
      </c>
      <c r="AD5">
        <v>107.92538760274603</v>
      </c>
      <c r="AE5">
        <v>105.79366668582804</v>
      </c>
      <c r="AF5">
        <v>104.69266297678404</v>
      </c>
      <c r="AG5">
        <v>106.16424577705293</v>
      </c>
      <c r="AH5">
        <v>102.40834993322876</v>
      </c>
      <c r="AI5">
        <v>102.67075644901483</v>
      </c>
      <c r="AJ5">
        <v>102.2718933716335</v>
      </c>
      <c r="AK5">
        <v>104.10416412605842</v>
      </c>
      <c r="AL5">
        <v>104.72228870984031</v>
      </c>
      <c r="AM5">
        <v>102.02977911554004</v>
      </c>
      <c r="AN5">
        <v>101.27405420412451</v>
      </c>
      <c r="AO5">
        <v>101.09493475158568</v>
      </c>
      <c r="AP5">
        <v>101.33986696626522</v>
      </c>
      <c r="AQ5">
        <v>102.04192595372365</v>
      </c>
      <c r="AR5">
        <v>100.75846985455327</v>
      </c>
      <c r="AS5">
        <v>102.81205492939768</v>
      </c>
      <c r="AT5">
        <v>99.573334587428576</v>
      </c>
      <c r="AU5">
        <v>102.466911300015</v>
      </c>
      <c r="AV5">
        <v>103.41142910874277</v>
      </c>
      <c r="AW5">
        <v>103.19831344317632</v>
      </c>
      <c r="AX5">
        <v>106.61279638540155</v>
      </c>
      <c r="AY5">
        <v>106.68616065016363</v>
      </c>
      <c r="AZ5">
        <v>105.29185702354364</v>
      </c>
      <c r="BA5">
        <v>105.10708561988505</v>
      </c>
      <c r="BB5">
        <v>104.30212962212319</v>
      </c>
      <c r="BC5">
        <v>99.337723251608949</v>
      </c>
      <c r="BD5">
        <v>99.157374510244878</v>
      </c>
      <c r="BE5">
        <v>96.696307396172188</v>
      </c>
      <c r="BF5">
        <v>98.078751245569578</v>
      </c>
      <c r="BG5">
        <v>99.220108932648614</v>
      </c>
      <c r="BH5">
        <v>97.636436529998321</v>
      </c>
      <c r="BI5">
        <v>98.003517455555894</v>
      </c>
      <c r="BJ5">
        <v>96.574533555338135</v>
      </c>
      <c r="BK5">
        <v>94.071716040638862</v>
      </c>
      <c r="BL5">
        <v>96.777302440740101</v>
      </c>
      <c r="BM5">
        <v>98.981094577931088</v>
      </c>
      <c r="BN5">
        <v>95.591871151823284</v>
      </c>
      <c r="BO5">
        <v>95.838254190934336</v>
      </c>
      <c r="BP5">
        <v>95.281007060995648</v>
      </c>
      <c r="BQ5">
        <v>94.181051001368573</v>
      </c>
      <c r="BR5">
        <v>95.902445106657908</v>
      </c>
      <c r="BS5">
        <v>94.828300885747424</v>
      </c>
      <c r="BT5">
        <v>94.849225426616869</v>
      </c>
      <c r="BU5">
        <v>96.341895169933878</v>
      </c>
      <c r="BV5">
        <v>95.654671577735783</v>
      </c>
      <c r="BW5">
        <v>95.357785589108701</v>
      </c>
      <c r="BX5">
        <v>96.830711892846736</v>
      </c>
      <c r="BY5">
        <v>98.958716025955354</v>
      </c>
      <c r="BZ5">
        <v>98.153417116729074</v>
      </c>
      <c r="CA5">
        <v>101.49077587074119</v>
      </c>
      <c r="CB5">
        <v>102.62669793555493</v>
      </c>
      <c r="CC5">
        <v>102.13975419180686</v>
      </c>
      <c r="CD5">
        <v>100.96421252857085</v>
      </c>
      <c r="CE5">
        <v>100.96779549785789</v>
      </c>
      <c r="CF5">
        <v>102.4892230575156</v>
      </c>
      <c r="CG5">
        <v>105.78758013741884</v>
      </c>
      <c r="CH5">
        <v>103.88182517786186</v>
      </c>
      <c r="CI5">
        <v>104.30829805230918</v>
      </c>
      <c r="CJ5">
        <v>100.62064980549124</v>
      </c>
      <c r="CK5">
        <v>100.56052223200297</v>
      </c>
      <c r="CL5">
        <v>100.85810676493648</v>
      </c>
      <c r="CM5">
        <v>100.92635101458347</v>
      </c>
      <c r="CN5">
        <v>102.67556508521824</v>
      </c>
      <c r="CO5">
        <v>101.56584975880835</v>
      </c>
      <c r="CP5">
        <v>100.04999075582703</v>
      </c>
      <c r="CQ5">
        <v>98.692993248029296</v>
      </c>
      <c r="CR5">
        <v>96.654855889753449</v>
      </c>
      <c r="CS5">
        <v>95.957723492629256</v>
      </c>
      <c r="CT5">
        <v>97.643044032452252</v>
      </c>
      <c r="CU5">
        <v>99.536829282823007</v>
      </c>
      <c r="CV5">
        <v>100.26485331546021</v>
      </c>
      <c r="CW5">
        <v>99.989573180280885</v>
      </c>
      <c r="CX5">
        <v>99.226967130534234</v>
      </c>
      <c r="CY5">
        <v>99.704315334339412</v>
      </c>
      <c r="CZ5">
        <v>97.095154893684892</v>
      </c>
      <c r="DA5">
        <v>98.13187997203994</v>
      </c>
      <c r="DB5">
        <v>93.134706219950829</v>
      </c>
      <c r="DC5">
        <v>92.158231733154466</v>
      </c>
      <c r="DD5">
        <v>94.455168367061248</v>
      </c>
      <c r="DE5">
        <v>94.865951050100406</v>
      </c>
      <c r="DF5">
        <v>93.630238526192798</v>
      </c>
      <c r="DG5">
        <v>92.98675167650832</v>
      </c>
      <c r="DH5">
        <v>94.744326402606859</v>
      </c>
      <c r="DI5">
        <v>97.662203777954034</v>
      </c>
      <c r="DJ5">
        <v>95.269533757185116</v>
      </c>
      <c r="DK5">
        <v>94.466746654740419</v>
      </c>
      <c r="DL5">
        <v>94.914992542604281</v>
      </c>
      <c r="DM5">
        <v>96.702529769724379</v>
      </c>
      <c r="DN5">
        <v>99.591382120881946</v>
      </c>
      <c r="DO5">
        <v>98.861719200839389</v>
      </c>
      <c r="DP5">
        <v>99.460585532933209</v>
      </c>
      <c r="DQ5">
        <v>97.093463944723496</v>
      </c>
      <c r="DR5">
        <v>95.347917291385386</v>
      </c>
      <c r="DS5">
        <v>95.248562520965933</v>
      </c>
      <c r="DT5">
        <v>95.43366532407174</v>
      </c>
      <c r="DU5">
        <v>96.948288838534111</v>
      </c>
      <c r="DV5">
        <v>95.615993675525033</v>
      </c>
      <c r="DW5">
        <v>96.513717864084953</v>
      </c>
      <c r="DX5">
        <v>95.329288022293994</v>
      </c>
      <c r="DY5">
        <v>99.105194616740917</v>
      </c>
      <c r="DZ5">
        <v>99.102906909985279</v>
      </c>
      <c r="EA5">
        <v>98.046930599960959</v>
      </c>
      <c r="EB5">
        <v>97.830541967872207</v>
      </c>
      <c r="EC5">
        <v>101.46254429746877</v>
      </c>
      <c r="ED5">
        <v>99.473525949553689</v>
      </c>
      <c r="EE5">
        <v>102.43420553547543</v>
      </c>
      <c r="EF5">
        <v>103.33456255278962</v>
      </c>
      <c r="EG5">
        <v>103.00453473477542</v>
      </c>
      <c r="EH5">
        <v>102.50207718246189</v>
      </c>
      <c r="EI5">
        <v>101.56131522130283</v>
      </c>
      <c r="EJ5">
        <v>100.75880012911327</v>
      </c>
      <c r="EK5">
        <v>99.984331620759292</v>
      </c>
      <c r="EL5">
        <v>97.385680895886054</v>
      </c>
      <c r="EM5">
        <v>99.266000399396475</v>
      </c>
      <c r="EN5">
        <v>102.187553193742</v>
      </c>
      <c r="EO5">
        <v>101.37160631635039</v>
      </c>
      <c r="EP5">
        <v>101.63254449409963</v>
      </c>
      <c r="EQ5">
        <v>99.878085187883471</v>
      </c>
      <c r="ER5">
        <v>100.79813510393149</v>
      </c>
      <c r="ES5">
        <v>101.29260848279731</v>
      </c>
      <c r="ET5">
        <v>102.14958262211535</v>
      </c>
      <c r="EU5">
        <v>99.542167760819325</v>
      </c>
      <c r="EV5">
        <v>98.340554467516284</v>
      </c>
      <c r="EW5">
        <v>98.646684103551422</v>
      </c>
      <c r="EX5">
        <v>98.611401212909087</v>
      </c>
      <c r="EY5">
        <v>96.693526717631315</v>
      </c>
      <c r="EZ5">
        <v>99.824989770106384</v>
      </c>
      <c r="FA5">
        <v>98.225923256109567</v>
      </c>
      <c r="FB5">
        <v>99.161102139681432</v>
      </c>
      <c r="FC5">
        <v>100.94359642762748</v>
      </c>
      <c r="FD5">
        <v>102.68489176349803</v>
      </c>
      <c r="FE5">
        <v>102.33464460305166</v>
      </c>
      <c r="FF5">
        <v>105.51715843216574</v>
      </c>
      <c r="FG5">
        <v>105.01996732686182</v>
      </c>
      <c r="FH5">
        <v>106.714135274054</v>
      </c>
      <c r="FI5">
        <v>108.24633556809533</v>
      </c>
      <c r="FJ5">
        <v>106.53819270648616</v>
      </c>
      <c r="FK5">
        <v>104.80531116015538</v>
      </c>
      <c r="FL5">
        <v>105.3672740935279</v>
      </c>
      <c r="FM5">
        <v>105.69598465705396</v>
      </c>
      <c r="FN5">
        <v>103.60133910976921</v>
      </c>
      <c r="FO5">
        <v>100.80871794052915</v>
      </c>
      <c r="FP5">
        <v>102.58168969052257</v>
      </c>
      <c r="FQ5">
        <v>103.32306993080007</v>
      </c>
      <c r="FR5">
        <v>100.8768778911037</v>
      </c>
      <c r="FS5">
        <v>100.99317648357275</v>
      </c>
      <c r="FT5">
        <v>102.79305387290177</v>
      </c>
      <c r="FU5">
        <v>105.19677416322695</v>
      </c>
      <c r="FV5">
        <v>103.81674572079523</v>
      </c>
      <c r="FW5">
        <v>105.34255770141604</v>
      </c>
      <c r="FX5">
        <v>107.20248133415019</v>
      </c>
      <c r="FY5">
        <v>106.61742251452699</v>
      </c>
      <c r="FZ5">
        <v>106.41585922989313</v>
      </c>
      <c r="GA5">
        <v>109.62809175686527</v>
      </c>
      <c r="GB5">
        <v>108.24081962637749</v>
      </c>
      <c r="GC5">
        <v>106.78453404659564</v>
      </c>
      <c r="GD5">
        <v>107.92011592463705</v>
      </c>
      <c r="GE5">
        <v>105.9555761464038</v>
      </c>
      <c r="GF5">
        <v>106.10009303937265</v>
      </c>
      <c r="GG5">
        <v>104.2964880239294</v>
      </c>
      <c r="GH5">
        <v>103.84588006740803</v>
      </c>
      <c r="GI5">
        <v>98.021690551194823</v>
      </c>
      <c r="GJ5">
        <v>98.648704626818414</v>
      </c>
      <c r="GK5">
        <v>100.79999594828489</v>
      </c>
      <c r="GL5">
        <v>101.3851027806251</v>
      </c>
      <c r="GM5">
        <v>98.466487723460531</v>
      </c>
      <c r="GN5">
        <v>97.804491328201706</v>
      </c>
      <c r="GO5">
        <v>97.102464437273014</v>
      </c>
      <c r="GP5">
        <v>97.263665858911438</v>
      </c>
      <c r="GQ5">
        <v>99.050254195934102</v>
      </c>
      <c r="GR5">
        <v>97.987525274525936</v>
      </c>
      <c r="GS5">
        <v>99.297246841688946</v>
      </c>
      <c r="GT5">
        <v>99.451931249508462</v>
      </c>
      <c r="GU5">
        <v>102.07429944083984</v>
      </c>
      <c r="GV5">
        <v>100.41691687746247</v>
      </c>
      <c r="GW5">
        <v>100.47070673945287</v>
      </c>
      <c r="GX5">
        <v>99.655828101966634</v>
      </c>
      <c r="GY5">
        <v>101.22524199456565</v>
      </c>
      <c r="GZ5">
        <v>100.10900467456409</v>
      </c>
      <c r="HA5">
        <v>101.70794621940757</v>
      </c>
      <c r="HB5">
        <v>105.17536195870872</v>
      </c>
      <c r="HC5">
        <v>102.56055048527416</v>
      </c>
      <c r="HD5">
        <v>101.40239277475067</v>
      </c>
      <c r="HE5">
        <v>100.54313449427924</v>
      </c>
      <c r="HF5">
        <v>99.761057429203234</v>
      </c>
      <c r="HG5">
        <v>98.59552826288872</v>
      </c>
      <c r="HH5">
        <v>98.34291307381288</v>
      </c>
      <c r="HI5">
        <v>99.541147130209524</v>
      </c>
      <c r="HJ5">
        <v>100.15107251534131</v>
      </c>
      <c r="HK5">
        <v>96.954491827736121</v>
      </c>
      <c r="HL5">
        <v>96.481838561365691</v>
      </c>
      <c r="HM5">
        <v>94.240966926368884</v>
      </c>
      <c r="HN5">
        <v>97.099078526377326</v>
      </c>
      <c r="HO5">
        <v>94.692862050859532</v>
      </c>
      <c r="HP5">
        <v>94.250128642639368</v>
      </c>
      <c r="HQ5">
        <v>95.741092798962143</v>
      </c>
      <c r="HR5">
        <v>93.058782662522532</v>
      </c>
      <c r="HS5">
        <v>91.930596518027301</v>
      </c>
      <c r="HT5">
        <v>90.127864655973127</v>
      </c>
      <c r="HU5">
        <v>88.204902075332711</v>
      </c>
      <c r="HV5">
        <v>85.509969003123985</v>
      </c>
      <c r="HW5">
        <v>86.933099056165474</v>
      </c>
      <c r="HX5">
        <v>87.378711060494339</v>
      </c>
      <c r="HY5">
        <v>85.794339657644102</v>
      </c>
      <c r="HZ5">
        <v>82.522849668776857</v>
      </c>
      <c r="IA5">
        <v>80.073493571297305</v>
      </c>
      <c r="IB5">
        <v>79.110449672996964</v>
      </c>
      <c r="IC5">
        <v>79.103429326228309</v>
      </c>
      <c r="ID5">
        <v>81.95306952776663</v>
      </c>
      <c r="IE5">
        <v>84.350798159532431</v>
      </c>
      <c r="IF5">
        <v>84.803482505087743</v>
      </c>
      <c r="IG5">
        <v>85.930866029163838</v>
      </c>
      <c r="IH5">
        <v>85.171740990502329</v>
      </c>
      <c r="II5">
        <v>84.566190215002763</v>
      </c>
      <c r="IJ5">
        <v>85.045019732590887</v>
      </c>
      <c r="IK5">
        <v>82.71145284437543</v>
      </c>
      <c r="IL5">
        <v>78.867948298170546</v>
      </c>
      <c r="IM5">
        <v>78.136040731139587</v>
      </c>
      <c r="IN5">
        <v>78.909588787945964</v>
      </c>
      <c r="IO5">
        <v>82.330420713493609</v>
      </c>
      <c r="IP5">
        <v>81.597883052167333</v>
      </c>
      <c r="IQ5">
        <v>84.007002241145457</v>
      </c>
      <c r="IR5">
        <v>82.955767457039144</v>
      </c>
      <c r="IS5">
        <v>83.245033162553554</v>
      </c>
      <c r="IT5">
        <v>83.026999447812187</v>
      </c>
      <c r="IU5">
        <v>84.752058790438909</v>
      </c>
      <c r="IV5">
        <v>85.212609479172784</v>
      </c>
      <c r="IW5">
        <v>81.46967156614086</v>
      </c>
      <c r="IX5">
        <v>82.180656751251391</v>
      </c>
      <c r="IY5">
        <v>79.596496550849864</v>
      </c>
      <c r="IZ5">
        <v>78.134268318504922</v>
      </c>
      <c r="JA5">
        <v>79.266250653143643</v>
      </c>
      <c r="JB5">
        <v>77.145357124735995</v>
      </c>
      <c r="JC5">
        <v>78.892724174093388</v>
      </c>
      <c r="JD5">
        <v>76.75807831230496</v>
      </c>
      <c r="JE5">
        <v>75.106401386075859</v>
      </c>
      <c r="JF5">
        <v>73.032327858266413</v>
      </c>
      <c r="JG5">
        <v>74.215836702395379</v>
      </c>
      <c r="JH5">
        <v>72.902824306961435</v>
      </c>
      <c r="JI5">
        <v>75.644546679527181</v>
      </c>
      <c r="JJ5">
        <v>72.15816161250774</v>
      </c>
      <c r="JK5">
        <v>69.643602077681592</v>
      </c>
      <c r="JL5">
        <v>68.221582033609167</v>
      </c>
      <c r="JM5">
        <v>71.389580782249908</v>
      </c>
      <c r="JN5">
        <v>66.986424804452085</v>
      </c>
      <c r="JO5">
        <v>67.029386971010695</v>
      </c>
      <c r="JP5">
        <v>66.252602004515126</v>
      </c>
      <c r="JQ5">
        <v>67.107702891682777</v>
      </c>
      <c r="JR5">
        <v>64.939741674066283</v>
      </c>
      <c r="JS5">
        <v>64.535435541397575</v>
      </c>
      <c r="JT5">
        <v>64.292222719149734</v>
      </c>
      <c r="JU5">
        <v>62.368910759225308</v>
      </c>
      <c r="JV5">
        <v>61.720119247716475</v>
      </c>
      <c r="JW5">
        <v>60.782847398163867</v>
      </c>
      <c r="JX5">
        <v>62.232961227385928</v>
      </c>
      <c r="JY5">
        <v>62.593639545775765</v>
      </c>
      <c r="JZ5">
        <v>60.229986085284828</v>
      </c>
      <c r="KA5">
        <v>59.273134483426389</v>
      </c>
      <c r="KB5">
        <v>61.417531592696761</v>
      </c>
      <c r="KC5">
        <v>61.754348009997315</v>
      </c>
      <c r="KD5">
        <v>63.569629054103544</v>
      </c>
      <c r="KE5">
        <v>62.492566994848623</v>
      </c>
      <c r="KF5">
        <v>64.800555867247439</v>
      </c>
      <c r="KG5">
        <v>64.676576811066667</v>
      </c>
      <c r="KH5">
        <v>66.487288515149984</v>
      </c>
      <c r="KI5">
        <v>67.777576420543454</v>
      </c>
      <c r="KJ5">
        <v>66.765497993988248</v>
      </c>
      <c r="KK5">
        <v>65.524133244130198</v>
      </c>
      <c r="KL5">
        <v>64.644024371664187</v>
      </c>
      <c r="KM5">
        <v>62.9755157649221</v>
      </c>
      <c r="KN5">
        <v>65.527567013399221</v>
      </c>
      <c r="KO5">
        <v>68.177911294889398</v>
      </c>
      <c r="KP5">
        <v>67.377289357778295</v>
      </c>
      <c r="KQ5">
        <v>65.452303495746108</v>
      </c>
      <c r="KR5">
        <v>64.239642907668809</v>
      </c>
      <c r="KS5">
        <v>66.48864196976146</v>
      </c>
      <c r="KT5">
        <v>66.762421895864023</v>
      </c>
      <c r="KU5">
        <v>64.64173309088082</v>
      </c>
      <c r="KV5">
        <v>63.939435309601919</v>
      </c>
      <c r="KW5">
        <v>65.481206953590032</v>
      </c>
      <c r="KX5">
        <v>63.657818382804201</v>
      </c>
      <c r="KY5">
        <v>65.32621875274063</v>
      </c>
      <c r="KZ5">
        <v>65.466898531969349</v>
      </c>
      <c r="LA5">
        <v>68.511779462479666</v>
      </c>
      <c r="LB5">
        <v>67.337986685075307</v>
      </c>
      <c r="LC5">
        <v>67.342553294503446</v>
      </c>
      <c r="LD5">
        <v>68.000925730256199</v>
      </c>
      <c r="LE5">
        <v>68.501087909431405</v>
      </c>
      <c r="LF5">
        <v>68.939954645623644</v>
      </c>
      <c r="LG5">
        <v>69.994407099809052</v>
      </c>
      <c r="LH5">
        <v>70.905926976762913</v>
      </c>
      <c r="LI5">
        <v>71.762791650886257</v>
      </c>
      <c r="LJ5">
        <v>72.70028394388909</v>
      </c>
      <c r="LK5">
        <v>73.134789243588045</v>
      </c>
      <c r="LL5">
        <v>75.526984058962725</v>
      </c>
      <c r="LM5">
        <v>77.990271327508125</v>
      </c>
      <c r="LN5">
        <v>78.937512231827114</v>
      </c>
      <c r="LO5">
        <v>78.100596908068042</v>
      </c>
      <c r="LP5">
        <v>79.558471775260742</v>
      </c>
      <c r="LQ5">
        <v>79.187596287312743</v>
      </c>
      <c r="LR5">
        <v>83.911979490389456</v>
      </c>
      <c r="LS5">
        <v>82.320228219927671</v>
      </c>
      <c r="LT5">
        <v>85.667385404628519</v>
      </c>
      <c r="LU5">
        <v>83.691918779157831</v>
      </c>
      <c r="LV5">
        <v>86.866087423954355</v>
      </c>
      <c r="LW5">
        <v>86.049164924050601</v>
      </c>
      <c r="LX5">
        <v>84.296336434601045</v>
      </c>
      <c r="LY5">
        <v>81.639500593394033</v>
      </c>
      <c r="LZ5">
        <v>81.219157566065363</v>
      </c>
      <c r="MA5">
        <v>84.49685545096024</v>
      </c>
      <c r="MB5">
        <v>82.824659202133049</v>
      </c>
      <c r="MC5">
        <v>85.92068257560291</v>
      </c>
      <c r="MD5">
        <v>82.493191628363633</v>
      </c>
      <c r="ME5">
        <v>82.287094285419329</v>
      </c>
      <c r="MF5">
        <v>81.336361941942215</v>
      </c>
      <c r="MG5">
        <v>80.344081978636112</v>
      </c>
      <c r="MH5">
        <v>83.551794791493251</v>
      </c>
      <c r="MI5">
        <v>82.078508271703825</v>
      </c>
      <c r="MJ5">
        <v>83.710645545412561</v>
      </c>
      <c r="MK5">
        <v>80.514627811496467</v>
      </c>
      <c r="ML5">
        <v>82.056402132715462</v>
      </c>
      <c r="MM5">
        <v>83.07005433660558</v>
      </c>
      <c r="MN5">
        <v>80.072997443862974</v>
      </c>
      <c r="MO5">
        <v>80.220520693942888</v>
      </c>
      <c r="MP5">
        <v>81.422596374238879</v>
      </c>
      <c r="MQ5">
        <v>78.382376837924966</v>
      </c>
      <c r="MR5">
        <v>77.198311460624296</v>
      </c>
      <c r="MS5">
        <v>78.406968879873247</v>
      </c>
      <c r="MT5">
        <v>76.708251862095807</v>
      </c>
      <c r="MU5">
        <v>76.100064933802656</v>
      </c>
      <c r="MV5">
        <v>76.854559546984731</v>
      </c>
      <c r="MW5">
        <v>74.811076758507667</v>
      </c>
      <c r="MX5">
        <v>74.314861763329759</v>
      </c>
      <c r="MY5">
        <v>76.920831382564771</v>
      </c>
      <c r="MZ5">
        <v>79.127864888478513</v>
      </c>
      <c r="NA5">
        <v>79.295194848231404</v>
      </c>
      <c r="NB5">
        <v>79.639261171766393</v>
      </c>
      <c r="NC5">
        <v>81.786254018363451</v>
      </c>
      <c r="ND5">
        <v>82.95937421265954</v>
      </c>
      <c r="NE5">
        <v>81.525832141881793</v>
      </c>
      <c r="NF5">
        <v>80.8751376170041</v>
      </c>
      <c r="NG5">
        <v>83.05008053434581</v>
      </c>
      <c r="NH5">
        <v>82.97174068827556</v>
      </c>
      <c r="NI5">
        <v>83.856061826194178</v>
      </c>
      <c r="NJ5">
        <v>84.405205253901769</v>
      </c>
      <c r="NK5">
        <v>86.194619841874299</v>
      </c>
      <c r="NL5">
        <v>88.014651410081655</v>
      </c>
      <c r="NM5">
        <v>91.706839137558333</v>
      </c>
      <c r="NN5">
        <v>90.189070224603284</v>
      </c>
      <c r="NO5">
        <v>91.410436823783172</v>
      </c>
      <c r="NP5">
        <v>92.273810422865367</v>
      </c>
      <c r="NQ5">
        <v>93.867024895852339</v>
      </c>
      <c r="NR5">
        <v>93.265558563765509</v>
      </c>
      <c r="NS5">
        <v>92.171805875402029</v>
      </c>
      <c r="NT5">
        <v>94.007180710103782</v>
      </c>
      <c r="NU5">
        <v>92.557004976358684</v>
      </c>
      <c r="NV5">
        <v>94.023980412986589</v>
      </c>
      <c r="NW5">
        <v>95.092904861926272</v>
      </c>
      <c r="NX5">
        <v>95.573252007872824</v>
      </c>
      <c r="NY5">
        <v>94.066372351315295</v>
      </c>
      <c r="NZ5">
        <v>95.910765955634105</v>
      </c>
      <c r="OA5">
        <v>97.384836706314573</v>
      </c>
      <c r="OB5">
        <v>95.99320522357678</v>
      </c>
      <c r="OC5">
        <v>93.314509125918335</v>
      </c>
      <c r="OD5">
        <v>94.562706954401662</v>
      </c>
      <c r="OE5">
        <v>93.318527125769833</v>
      </c>
      <c r="OF5">
        <v>92.549164348895204</v>
      </c>
      <c r="OG5">
        <v>92.787301680375535</v>
      </c>
      <c r="OH5">
        <v>91.846026083880034</v>
      </c>
      <c r="OI5">
        <v>91.535574814568633</v>
      </c>
      <c r="OJ5">
        <v>92.956595644141771</v>
      </c>
      <c r="OK5">
        <v>91.042153736620151</v>
      </c>
      <c r="OL5">
        <v>91.200600298996193</v>
      </c>
      <c r="OM5">
        <v>91.180035495871948</v>
      </c>
      <c r="ON5">
        <v>92.740574234896513</v>
      </c>
      <c r="OO5">
        <v>95.134575611152826</v>
      </c>
      <c r="OP5">
        <v>94.842022221025275</v>
      </c>
      <c r="OQ5">
        <v>94.708704369711896</v>
      </c>
      <c r="OR5">
        <v>97.780705779635667</v>
      </c>
      <c r="OS5">
        <v>101.44933402327779</v>
      </c>
      <c r="OT5">
        <v>99.45846536708143</v>
      </c>
      <c r="OU5">
        <v>101.84786369378639</v>
      </c>
      <c r="OV5">
        <v>105.12755268211208</v>
      </c>
      <c r="OW5">
        <v>104.67582164836594</v>
      </c>
      <c r="OX5">
        <v>102.49775144545855</v>
      </c>
      <c r="OY5">
        <v>105.1910109053938</v>
      </c>
      <c r="OZ5">
        <v>103.57294517523665</v>
      </c>
      <c r="PA5">
        <v>104.14709334682435</v>
      </c>
      <c r="PB5">
        <v>102.72437611487329</v>
      </c>
      <c r="PC5">
        <v>104.77049608599266</v>
      </c>
      <c r="PD5">
        <v>104.08901594498163</v>
      </c>
      <c r="PE5">
        <v>106.19922441203819</v>
      </c>
      <c r="PF5">
        <v>107.58269290217845</v>
      </c>
      <c r="PG5">
        <v>107.53359726971095</v>
      </c>
      <c r="PH5">
        <v>108.16210840213566</v>
      </c>
      <c r="PI5">
        <v>108.05526449616752</v>
      </c>
      <c r="PJ5">
        <v>111.48742214319499</v>
      </c>
      <c r="PK5">
        <v>111.28666176682718</v>
      </c>
      <c r="PL5">
        <v>112.62357253973751</v>
      </c>
      <c r="PM5">
        <v>113.00077470165797</v>
      </c>
      <c r="PN5">
        <v>108.58133722445207</v>
      </c>
      <c r="PO5">
        <v>106.15591392859982</v>
      </c>
      <c r="PP5">
        <v>104.08028798598725</v>
      </c>
      <c r="PQ5">
        <v>104.91026606261757</v>
      </c>
      <c r="PR5">
        <v>104.52693977346522</v>
      </c>
      <c r="PS5">
        <v>103.33428301442117</v>
      </c>
      <c r="PT5">
        <v>98.355071456105648</v>
      </c>
      <c r="PU5">
        <v>97.037054298639305</v>
      </c>
      <c r="PV5">
        <v>97.285093091147914</v>
      </c>
      <c r="PW5">
        <v>98.96191368627791</v>
      </c>
      <c r="PX5">
        <v>98.637496625155137</v>
      </c>
      <c r="PY5">
        <v>99.830202885080951</v>
      </c>
      <c r="PZ5">
        <v>96.868523352276611</v>
      </c>
      <c r="QA5">
        <v>99.559369606490662</v>
      </c>
      <c r="QB5">
        <v>98.905812537426399</v>
      </c>
      <c r="QC5">
        <v>99.72059069458615</v>
      </c>
      <c r="QD5">
        <v>100.12720476109074</v>
      </c>
      <c r="QE5">
        <v>98.157691831540362</v>
      </c>
      <c r="QF5">
        <v>100.24134017933838</v>
      </c>
      <c r="QG5">
        <v>98.606760220547812</v>
      </c>
      <c r="QH5">
        <v>96.990944521664431</v>
      </c>
      <c r="QI5">
        <v>97.74477329166055</v>
      </c>
      <c r="QJ5">
        <v>99.589310763852495</v>
      </c>
      <c r="QK5">
        <v>99.294724533322835</v>
      </c>
      <c r="QL5">
        <v>99.947340774690247</v>
      </c>
      <c r="QM5">
        <v>100.28874432691809</v>
      </c>
      <c r="QN5">
        <v>100.60151181681321</v>
      </c>
      <c r="QO5">
        <v>97.147563424213999</v>
      </c>
      <c r="QP5">
        <v>98.73879403910081</v>
      </c>
      <c r="QQ5">
        <v>99.031522808283171</v>
      </c>
      <c r="QR5">
        <v>97.217284135355769</v>
      </c>
      <c r="QS5">
        <v>96.94693400893145</v>
      </c>
      <c r="QT5">
        <v>94.7235821313012</v>
      </c>
      <c r="QU5">
        <v>92.143244459281505</v>
      </c>
      <c r="QV5">
        <v>90.99849720104946</v>
      </c>
      <c r="QW5">
        <v>90.062166190838425</v>
      </c>
      <c r="QX5">
        <v>89.091718339893944</v>
      </c>
      <c r="QY5">
        <v>87.097331386059523</v>
      </c>
      <c r="QZ5">
        <v>84.142668175418322</v>
      </c>
      <c r="RA5">
        <v>82.324776659737594</v>
      </c>
      <c r="RB5">
        <v>82.632143933907017</v>
      </c>
      <c r="RC5">
        <v>83.739935051718518</v>
      </c>
      <c r="RD5">
        <v>79.703653632179012</v>
      </c>
      <c r="RE5">
        <v>78.266426588540426</v>
      </c>
      <c r="RF5">
        <v>79.461113302787183</v>
      </c>
      <c r="RG5">
        <v>77.21036979767257</v>
      </c>
      <c r="RH5">
        <v>79.470463526710233</v>
      </c>
      <c r="RI5">
        <v>78.388782107719294</v>
      </c>
      <c r="RJ5">
        <v>80.235109066486089</v>
      </c>
      <c r="RK5">
        <v>78.340603036218781</v>
      </c>
      <c r="RL5">
        <v>75.752534460525652</v>
      </c>
      <c r="RM5">
        <v>74.943225128681206</v>
      </c>
      <c r="RN5">
        <v>77.550802108950975</v>
      </c>
      <c r="RO5">
        <v>74.440981940931735</v>
      </c>
      <c r="RP5">
        <v>74.576672707445866</v>
      </c>
      <c r="RQ5">
        <v>75.24148045409332</v>
      </c>
      <c r="RR5">
        <v>76.944884436080486</v>
      </c>
      <c r="RS5">
        <v>76.025586863813402</v>
      </c>
      <c r="RT5">
        <v>76.202417573124507</v>
      </c>
      <c r="RU5">
        <v>77.350268767863085</v>
      </c>
      <c r="RV5">
        <v>77.520033798142308</v>
      </c>
      <c r="RW5">
        <v>80.155981668698203</v>
      </c>
      <c r="RX5">
        <v>78.945828977823979</v>
      </c>
      <c r="RY5">
        <v>77.256243169541179</v>
      </c>
      <c r="RZ5">
        <v>76.281935283822008</v>
      </c>
      <c r="SA5">
        <v>75.886039941688722</v>
      </c>
      <c r="SB5">
        <v>75.871831100911876</v>
      </c>
      <c r="SC5">
        <v>73.900856282030574</v>
      </c>
      <c r="SD5">
        <v>72.451328629259166</v>
      </c>
      <c r="SE5">
        <v>71.997202739484067</v>
      </c>
      <c r="SF5">
        <v>72.511518272675232</v>
      </c>
      <c r="SG5">
        <v>71.077750924292289</v>
      </c>
      <c r="SH5">
        <v>69.916068130559708</v>
      </c>
      <c r="SI5">
        <v>67.658092777740293</v>
      </c>
      <c r="SJ5">
        <v>66.641353781137511</v>
      </c>
      <c r="SK5">
        <v>66.354848227245043</v>
      </c>
      <c r="SL5">
        <v>66.238007162671551</v>
      </c>
      <c r="SM5">
        <v>67.233102594607814</v>
      </c>
      <c r="SN5">
        <v>68.734163279808129</v>
      </c>
      <c r="SO5">
        <v>68.015330049480355</v>
      </c>
      <c r="SP5">
        <v>67.215600159612919</v>
      </c>
      <c r="SQ5">
        <v>68.507055260387759</v>
      </c>
      <c r="SR5">
        <v>68.699136988808391</v>
      </c>
      <c r="SS5">
        <v>67.180075833647606</v>
      </c>
      <c r="ST5">
        <v>68.256784529822141</v>
      </c>
      <c r="SU5">
        <v>69.582014943233048</v>
      </c>
      <c r="SV5">
        <v>71.294738144345189</v>
      </c>
      <c r="SW5">
        <v>70.866330444637327</v>
      </c>
      <c r="SX5">
        <v>70.047834595609245</v>
      </c>
      <c r="SY5">
        <v>69.881189948908684</v>
      </c>
      <c r="SZ5">
        <v>68.577257311328324</v>
      </c>
      <c r="TA5">
        <v>68.295963663912588</v>
      </c>
      <c r="TB5">
        <v>70.074848338627348</v>
      </c>
      <c r="TC5">
        <v>70.272269617615606</v>
      </c>
      <c r="TD5">
        <v>70.047296062113546</v>
      </c>
      <c r="TE5">
        <v>72.087476238735761</v>
      </c>
      <c r="TF5">
        <v>71.865442943285402</v>
      </c>
      <c r="TG5">
        <v>70.779339810845229</v>
      </c>
      <c r="TH5">
        <v>69.479263175571802</v>
      </c>
      <c r="TI5">
        <v>70.408469260291099</v>
      </c>
      <c r="TJ5">
        <v>71.260928014916288</v>
      </c>
      <c r="TK5">
        <v>72.031250533944558</v>
      </c>
      <c r="TL5">
        <v>71.871900275902348</v>
      </c>
      <c r="TM5">
        <v>72.025766308434584</v>
      </c>
      <c r="TN5">
        <v>72.230413584061708</v>
      </c>
      <c r="TO5">
        <v>72.194526503344846</v>
      </c>
      <c r="TP5">
        <v>72.207248159410369</v>
      </c>
      <c r="TQ5">
        <v>70.092758947468738</v>
      </c>
      <c r="TR5">
        <v>69.937103059579869</v>
      </c>
      <c r="TS5">
        <v>70.884446498259194</v>
      </c>
      <c r="TT5">
        <v>71.67656892169633</v>
      </c>
      <c r="TU5">
        <v>75.191400321797474</v>
      </c>
      <c r="TV5">
        <v>76.205066368275723</v>
      </c>
      <c r="TW5">
        <v>78.093052295998305</v>
      </c>
      <c r="TX5">
        <v>76.409109650481113</v>
      </c>
      <c r="TY5">
        <v>75.740450954568374</v>
      </c>
      <c r="TZ5">
        <v>76.02742037294145</v>
      </c>
      <c r="UA5">
        <v>80.183996252242864</v>
      </c>
      <c r="UB5">
        <v>80.856297279390475</v>
      </c>
      <c r="UC5">
        <v>81.293835422047152</v>
      </c>
      <c r="UD5">
        <v>77.849839214119854</v>
      </c>
      <c r="UE5">
        <v>77.768970214281467</v>
      </c>
      <c r="UF5">
        <v>78.39302760916469</v>
      </c>
      <c r="UG5">
        <v>81.522853964799879</v>
      </c>
      <c r="UH5">
        <v>81.613230528006838</v>
      </c>
      <c r="UI5">
        <v>81.488804712042992</v>
      </c>
      <c r="UJ5">
        <v>81.834224824513441</v>
      </c>
      <c r="UK5">
        <v>79.531476325936694</v>
      </c>
      <c r="UL5">
        <v>81.904180345190767</v>
      </c>
      <c r="UM5">
        <v>80.778860967028379</v>
      </c>
      <c r="UN5">
        <v>80.163675760125457</v>
      </c>
      <c r="UO5">
        <v>81.194601963126019</v>
      </c>
      <c r="UP5">
        <v>81.43485193733008</v>
      </c>
      <c r="UQ5">
        <v>81.051495627352381</v>
      </c>
      <c r="UR5">
        <v>80.764401206610898</v>
      </c>
      <c r="US5">
        <v>80.288509581235346</v>
      </c>
      <c r="UT5">
        <v>77.033783292375674</v>
      </c>
      <c r="UU5">
        <v>76.50026208581798</v>
      </c>
      <c r="UV5">
        <v>78.465908490977455</v>
      </c>
      <c r="UW5">
        <v>78.048287635480946</v>
      </c>
      <c r="UX5">
        <v>77.5673792458538</v>
      </c>
      <c r="UY5">
        <v>82.753847332866471</v>
      </c>
      <c r="UZ5">
        <v>82.940704876937403</v>
      </c>
      <c r="VA5">
        <v>85.686874821678771</v>
      </c>
      <c r="VB5">
        <v>83.457811225809508</v>
      </c>
      <c r="VC5">
        <v>85.370280713208004</v>
      </c>
      <c r="VD5">
        <v>87.724235260659967</v>
      </c>
      <c r="VE5">
        <v>87.670172133793429</v>
      </c>
      <c r="VF5">
        <v>89.580309137551509</v>
      </c>
      <c r="VG5">
        <v>86.895079783401982</v>
      </c>
      <c r="VH5">
        <v>90.161725950004794</v>
      </c>
      <c r="VI5">
        <v>92.007510613507733</v>
      </c>
      <c r="VJ5">
        <v>94.38216071036382</v>
      </c>
      <c r="VK5">
        <v>91.749858375391341</v>
      </c>
      <c r="VL5">
        <v>91.037094213103217</v>
      </c>
      <c r="VM5">
        <v>93.907796874018544</v>
      </c>
      <c r="VN5">
        <v>93.521071379235636</v>
      </c>
      <c r="VO5">
        <v>93.562318532588421</v>
      </c>
      <c r="VP5">
        <v>88.644053594708197</v>
      </c>
      <c r="VQ5">
        <v>88.864210390459206</v>
      </c>
      <c r="VR5">
        <v>86.1770022136633</v>
      </c>
      <c r="VS5">
        <v>84.842908999482717</v>
      </c>
      <c r="VT5">
        <v>83.749419693873207</v>
      </c>
      <c r="VU5">
        <v>86.232612000624968</v>
      </c>
      <c r="VV5">
        <v>87.166972745310488</v>
      </c>
      <c r="VW5">
        <v>89.312948470330838</v>
      </c>
      <c r="VX5">
        <v>88.787491366625019</v>
      </c>
      <c r="VY5">
        <v>87.178474161749477</v>
      </c>
      <c r="VZ5">
        <v>87.26189372061495</v>
      </c>
      <c r="WA5">
        <v>89.266235669468401</v>
      </c>
      <c r="WB5">
        <v>90.846043162824259</v>
      </c>
      <c r="WC5">
        <v>90.321636908974043</v>
      </c>
      <c r="WD5">
        <v>92.043031399612772</v>
      </c>
      <c r="WE5">
        <v>93.7860895379401</v>
      </c>
      <c r="WF5">
        <v>98.204261622345285</v>
      </c>
      <c r="WG5">
        <v>97.829295482174473</v>
      </c>
      <c r="WH5">
        <v>99.495942582357941</v>
      </c>
      <c r="WI5">
        <v>101.42332678997836</v>
      </c>
      <c r="WJ5">
        <v>101.45079001283025</v>
      </c>
      <c r="WK5">
        <v>100.37085456674349</v>
      </c>
      <c r="WL5">
        <v>103.79574514642719</v>
      </c>
      <c r="WM5">
        <v>105.64858680940428</v>
      </c>
      <c r="WN5">
        <v>108.77912843823758</v>
      </c>
      <c r="WO5">
        <v>110.79539999187932</v>
      </c>
      <c r="WP5">
        <v>107.67298914608021</v>
      </c>
      <c r="WQ5">
        <v>112.18602707498337</v>
      </c>
      <c r="WR5">
        <v>114.72087437714548</v>
      </c>
      <c r="WS5">
        <v>115.57422375928655</v>
      </c>
      <c r="WT5">
        <v>119.65666395626255</v>
      </c>
      <c r="WU5">
        <v>118.67449761147687</v>
      </c>
      <c r="WV5">
        <v>121.19567790898016</v>
      </c>
      <c r="WW5">
        <v>120.56620789667149</v>
      </c>
      <c r="WX5">
        <v>117.0769741145207</v>
      </c>
      <c r="WY5">
        <v>115.36617933129402</v>
      </c>
      <c r="WZ5">
        <v>113.24959901857427</v>
      </c>
      <c r="XA5">
        <v>113.63490699467341</v>
      </c>
      <c r="XB5">
        <v>111.13794957459737</v>
      </c>
      <c r="XC5">
        <v>110.75503054069149</v>
      </c>
      <c r="XD5">
        <v>115.11110934713997</v>
      </c>
      <c r="XE5">
        <v>109.11658106250594</v>
      </c>
      <c r="XF5">
        <v>110.45151886646939</v>
      </c>
      <c r="XG5">
        <v>112.97086580744943</v>
      </c>
      <c r="XH5">
        <v>115.01983327555024</v>
      </c>
      <c r="XI5">
        <v>114.58986552751226</v>
      </c>
      <c r="XJ5">
        <v>117.05207228969054</v>
      </c>
      <c r="XK5">
        <v>119.7233135191122</v>
      </c>
      <c r="XL5">
        <v>117.4007543930331</v>
      </c>
      <c r="XM5">
        <v>118.26352316846719</v>
      </c>
      <c r="XN5">
        <v>116.78682714490296</v>
      </c>
      <c r="XO5">
        <v>118.69463853047775</v>
      </c>
      <c r="XP5">
        <v>121.59539085287572</v>
      </c>
      <c r="XQ5">
        <v>119.2652775384171</v>
      </c>
      <c r="XR5">
        <v>120.75629498929088</v>
      </c>
      <c r="XS5">
        <v>116.81204278902075</v>
      </c>
      <c r="XT5">
        <v>116.47991701545975</v>
      </c>
      <c r="XU5">
        <v>117.27004671599002</v>
      </c>
      <c r="XV5">
        <v>118.0495185357333</v>
      </c>
      <c r="XW5">
        <v>116.51354843281062</v>
      </c>
      <c r="XX5">
        <v>114.66458440077291</v>
      </c>
      <c r="XY5">
        <v>113.81125795246061</v>
      </c>
      <c r="XZ5">
        <v>114.73242214399413</v>
      </c>
      <c r="YA5">
        <v>112.05997674270343</v>
      </c>
      <c r="YB5">
        <v>111.8052263352517</v>
      </c>
      <c r="YC5">
        <v>114.63214733102691</v>
      </c>
      <c r="YD5">
        <v>116.62625663044908</v>
      </c>
      <c r="YE5">
        <v>115.80621442747085</v>
      </c>
      <c r="YF5">
        <v>111.92646513648864</v>
      </c>
      <c r="YG5">
        <v>111.46076848873452</v>
      </c>
      <c r="YH5">
        <v>108.94304212248856</v>
      </c>
      <c r="YI5">
        <v>110.63263769964288</v>
      </c>
      <c r="YJ5">
        <v>107.7254864988022</v>
      </c>
      <c r="YK5">
        <v>104.91277311351088</v>
      </c>
      <c r="YL5">
        <v>102.55063077230324</v>
      </c>
      <c r="YM5">
        <v>103.97305728231761</v>
      </c>
      <c r="YN5">
        <v>102.00118017864035</v>
      </c>
      <c r="YO5">
        <v>103.2781354559432</v>
      </c>
      <c r="YP5">
        <v>101.57899121496882</v>
      </c>
      <c r="YQ5">
        <v>98.875138029128124</v>
      </c>
      <c r="YR5">
        <v>98.214433548319249</v>
      </c>
      <c r="YS5">
        <v>101.87400331099779</v>
      </c>
      <c r="YT5">
        <v>102.70497036831175</v>
      </c>
      <c r="YU5">
        <v>101.65867264616524</v>
      </c>
      <c r="YV5">
        <v>102.02931824868111</v>
      </c>
      <c r="YW5">
        <v>101.42071636075725</v>
      </c>
      <c r="YX5">
        <v>103.03603007811772</v>
      </c>
      <c r="YY5">
        <v>99.290162436422293</v>
      </c>
      <c r="YZ5">
        <v>100.09763676705263</v>
      </c>
      <c r="ZA5">
        <v>101.29179154249975</v>
      </c>
      <c r="ZB5">
        <v>101.48265535272994</v>
      </c>
      <c r="ZC5">
        <v>99.433402731291508</v>
      </c>
      <c r="ZD5">
        <v>100.17289020735276</v>
      </c>
      <c r="ZE5">
        <v>99.916200415448685</v>
      </c>
      <c r="ZF5">
        <v>101.50708435833255</v>
      </c>
      <c r="ZG5">
        <v>100.36016509780734</v>
      </c>
      <c r="ZH5">
        <v>99.756231504983774</v>
      </c>
      <c r="ZI5">
        <v>102.82341184594178</v>
      </c>
      <c r="ZJ5">
        <v>102.05654820408607</v>
      </c>
      <c r="ZK5">
        <v>104.79865989968042</v>
      </c>
      <c r="ZL5">
        <v>105.30533220943897</v>
      </c>
      <c r="ZM5">
        <v>109.34695061553518</v>
      </c>
      <c r="ZN5">
        <v>108.31609180020202</v>
      </c>
      <c r="ZO5">
        <v>109.47011039520515</v>
      </c>
      <c r="ZP5">
        <v>107.07013941744736</v>
      </c>
      <c r="ZQ5">
        <v>109.50926658758542</v>
      </c>
      <c r="ZR5">
        <v>106.62783978579027</v>
      </c>
      <c r="ZS5">
        <v>106.26168594760875</v>
      </c>
      <c r="ZT5">
        <v>104.86545191218201</v>
      </c>
      <c r="ZU5">
        <v>105.39527970185321</v>
      </c>
      <c r="ZV5">
        <v>104.14485999309115</v>
      </c>
      <c r="ZW5">
        <v>102.79307202747721</v>
      </c>
      <c r="ZX5">
        <v>100.51296497887527</v>
      </c>
      <c r="ZY5">
        <v>103.16775092339215</v>
      </c>
      <c r="ZZ5">
        <v>103.94954313490862</v>
      </c>
      <c r="AAA5">
        <v>104.14846356540905</v>
      </c>
      <c r="AAB5">
        <v>102.20026209701756</v>
      </c>
      <c r="AAC5">
        <v>99.08318214276305</v>
      </c>
      <c r="AAD5">
        <v>97.664815348554711</v>
      </c>
      <c r="AAE5">
        <v>96.158630340141187</v>
      </c>
      <c r="AAF5">
        <v>93.722999298955486</v>
      </c>
      <c r="AAG5">
        <v>96.281326923864384</v>
      </c>
      <c r="AAH5">
        <v>96.043466823495066</v>
      </c>
      <c r="AAI5">
        <v>95.512540838104329</v>
      </c>
      <c r="AAJ5">
        <v>94.908649612287576</v>
      </c>
      <c r="AAK5">
        <v>93.128570625976096</v>
      </c>
      <c r="AAL5">
        <v>95.219095307603226</v>
      </c>
      <c r="AAM5">
        <v>93.772296827315458</v>
      </c>
      <c r="AAN5">
        <v>96.922784643914994</v>
      </c>
      <c r="AAO5">
        <v>98.825818755056005</v>
      </c>
      <c r="AAP5">
        <v>99.45317635859395</v>
      </c>
      <c r="AAQ5">
        <v>97.031441956007257</v>
      </c>
      <c r="AAR5">
        <v>98.177503185043989</v>
      </c>
      <c r="AAS5">
        <v>99.084096210640013</v>
      </c>
      <c r="AAT5">
        <v>98.528451274071102</v>
      </c>
      <c r="AAU5">
        <v>99.206821517788683</v>
      </c>
      <c r="AAV5">
        <v>98.16924674242189</v>
      </c>
      <c r="AAW5">
        <v>95.37874651249831</v>
      </c>
      <c r="AAX5">
        <v>94.519591290112515</v>
      </c>
      <c r="AAY5">
        <v>93.879520637215364</v>
      </c>
      <c r="AAZ5">
        <v>96.230102901582612</v>
      </c>
      <c r="ABA5">
        <v>97.762116543494756</v>
      </c>
      <c r="ABB5">
        <v>96.138769168769812</v>
      </c>
      <c r="ABC5">
        <v>93.082051060555969</v>
      </c>
      <c r="ABD5">
        <v>93.487573443564969</v>
      </c>
      <c r="ABE5">
        <v>88.272193158315218</v>
      </c>
      <c r="ABF5">
        <v>86.788265847746402</v>
      </c>
      <c r="ABG5">
        <v>84.079142339538876</v>
      </c>
      <c r="ABH5">
        <v>85.178253106551708</v>
      </c>
      <c r="ABI5">
        <v>83.921467962207174</v>
      </c>
      <c r="ABJ5">
        <v>81.840861286794507</v>
      </c>
      <c r="ABK5">
        <v>81.987027102369481</v>
      </c>
      <c r="ABL5">
        <v>79.972074710403419</v>
      </c>
      <c r="ABM5">
        <v>82.201708767090722</v>
      </c>
      <c r="ABN5">
        <v>84.499021657204196</v>
      </c>
      <c r="ABO5">
        <v>83.205936977804328</v>
      </c>
      <c r="ABP5">
        <v>81.062543234706865</v>
      </c>
      <c r="ABQ5">
        <v>80.315386291593356</v>
      </c>
      <c r="ABR5">
        <v>80.63470825276201</v>
      </c>
      <c r="ABS5">
        <v>81.855829746657605</v>
      </c>
      <c r="ABT5">
        <v>81.32164261848105</v>
      </c>
      <c r="ABU5">
        <v>81.398520081100827</v>
      </c>
      <c r="ABV5">
        <v>80.56818932619943</v>
      </c>
      <c r="ABW5">
        <v>79.244317402068503</v>
      </c>
      <c r="ABX5">
        <v>77.131977643086358</v>
      </c>
      <c r="ABY5">
        <v>76.77548914298238</v>
      </c>
      <c r="ABZ5">
        <v>76.886878004638334</v>
      </c>
      <c r="ACA5">
        <v>78.554975090334821</v>
      </c>
      <c r="ACB5">
        <v>78.359502727093755</v>
      </c>
      <c r="ACC5">
        <v>79.40212094949878</v>
      </c>
      <c r="ACD5">
        <v>77.266200051474925</v>
      </c>
      <c r="ACE5">
        <v>76.730104186910495</v>
      </c>
      <c r="ACF5">
        <v>74.334177268709368</v>
      </c>
      <c r="ACG5">
        <v>74.481788288177782</v>
      </c>
      <c r="ACH5">
        <v>74.146003101792658</v>
      </c>
      <c r="ACI5">
        <v>73.029676618475747</v>
      </c>
      <c r="ACJ5">
        <v>72.889763178838194</v>
      </c>
      <c r="ACK5">
        <v>71.692449735521947</v>
      </c>
      <c r="ACL5">
        <v>69.841351711946487</v>
      </c>
      <c r="ACM5">
        <v>66.210887009044427</v>
      </c>
      <c r="ACN5">
        <v>63.634964697268991</v>
      </c>
      <c r="ACO5">
        <v>63.855703205035731</v>
      </c>
      <c r="ACP5">
        <v>63.060466739068715</v>
      </c>
      <c r="ACQ5">
        <v>63.465825179568569</v>
      </c>
      <c r="ACR5">
        <v>61.722313598835314</v>
      </c>
      <c r="ACS5">
        <v>59.828169874430387</v>
      </c>
      <c r="ACT5">
        <v>60.933216507631727</v>
      </c>
      <c r="ACU5">
        <v>61.115530432165237</v>
      </c>
      <c r="ACV5">
        <v>61.380556793642604</v>
      </c>
    </row>
    <row r="6" spans="1:776" x14ac:dyDescent="0.2">
      <c r="A6" t="s">
        <v>70669</v>
      </c>
      <c r="B6">
        <v>99.406888331139086</v>
      </c>
      <c r="C6">
        <v>100.22689875921319</v>
      </c>
      <c r="D6">
        <v>101.63016691140623</v>
      </c>
      <c r="E6">
        <v>101.84507190397325</v>
      </c>
      <c r="F6">
        <v>103.12463627800017</v>
      </c>
      <c r="G6">
        <v>100.82468951845206</v>
      </c>
      <c r="H6">
        <v>102.28784533272595</v>
      </c>
      <c r="I6">
        <v>100.95302715884215</v>
      </c>
      <c r="J6">
        <v>102.31963893708283</v>
      </c>
      <c r="K6">
        <v>101.25148858375103</v>
      </c>
      <c r="L6">
        <v>99.925279530379086</v>
      </c>
      <c r="M6">
        <v>98.432267760708442</v>
      </c>
      <c r="N6">
        <v>97.365971676008371</v>
      </c>
      <c r="O6">
        <v>97.424762784419713</v>
      </c>
      <c r="P6">
        <v>95.848103730240311</v>
      </c>
      <c r="Q6">
        <v>94.864424284745709</v>
      </c>
      <c r="R6">
        <v>94.892685233569992</v>
      </c>
      <c r="S6">
        <v>95.48329641023571</v>
      </c>
      <c r="T6">
        <v>93.51069670102703</v>
      </c>
      <c r="U6">
        <v>93.598144244331834</v>
      </c>
      <c r="V6">
        <v>92.642313090965274</v>
      </c>
      <c r="W6">
        <v>92.197872145298689</v>
      </c>
      <c r="X6">
        <v>92.76326954979227</v>
      </c>
      <c r="Y6">
        <v>91.640906808577725</v>
      </c>
      <c r="Z6">
        <v>90.664413855853596</v>
      </c>
      <c r="AA6">
        <v>90.677890993015879</v>
      </c>
      <c r="AB6">
        <v>91.763602064459931</v>
      </c>
      <c r="AC6">
        <v>89.220110461578031</v>
      </c>
      <c r="AD6">
        <v>87.563936896465094</v>
      </c>
      <c r="AE6">
        <v>88.19899729615679</v>
      </c>
      <c r="AF6">
        <v>88.643031516529689</v>
      </c>
      <c r="AG6">
        <v>88.892863299989543</v>
      </c>
      <c r="AH6">
        <v>91.553934310867149</v>
      </c>
      <c r="AI6">
        <v>91.496182674130495</v>
      </c>
      <c r="AJ6">
        <v>92.206236922345141</v>
      </c>
      <c r="AK6">
        <v>92.571399339230922</v>
      </c>
      <c r="AL6">
        <v>92.38707791644498</v>
      </c>
      <c r="AM6">
        <v>92.472132549481699</v>
      </c>
      <c r="AN6">
        <v>93.086289715210299</v>
      </c>
      <c r="AO6">
        <v>93.216513756102628</v>
      </c>
      <c r="AP6">
        <v>92.774645814516717</v>
      </c>
      <c r="AQ6">
        <v>92.715953647870862</v>
      </c>
      <c r="AR6">
        <v>93.116794855726766</v>
      </c>
      <c r="AS6">
        <v>93.424496142786026</v>
      </c>
      <c r="AT6">
        <v>94.604107925300298</v>
      </c>
      <c r="AU6">
        <v>94.456351044833866</v>
      </c>
      <c r="AV6">
        <v>94.582607176705295</v>
      </c>
      <c r="AW6">
        <v>93.528063351980791</v>
      </c>
      <c r="AX6">
        <v>92.913182470614842</v>
      </c>
      <c r="AY6">
        <v>93.459655936634448</v>
      </c>
      <c r="AZ6">
        <v>93.975026440968719</v>
      </c>
      <c r="BA6">
        <v>94.392794701976101</v>
      </c>
      <c r="BB6">
        <v>93.466900404023406</v>
      </c>
      <c r="BC6">
        <v>96.821413949838046</v>
      </c>
      <c r="BD6">
        <v>96.683910842485702</v>
      </c>
      <c r="BE6">
        <v>98.111074359368786</v>
      </c>
      <c r="BF6">
        <v>98.259770332928596</v>
      </c>
      <c r="BG6">
        <v>97.176010683439657</v>
      </c>
      <c r="BH6">
        <v>98.337816662261417</v>
      </c>
      <c r="BI6">
        <v>97.032873933479522</v>
      </c>
      <c r="BJ6">
        <v>97.706784869921023</v>
      </c>
      <c r="BK6">
        <v>99.356587424780002</v>
      </c>
      <c r="BL6">
        <v>98.913896555264174</v>
      </c>
      <c r="BM6">
        <v>97.901583395527112</v>
      </c>
      <c r="BN6">
        <v>98.277001993051954</v>
      </c>
      <c r="BO6">
        <v>98.675861210375672</v>
      </c>
      <c r="BP6">
        <v>99.795723013245023</v>
      </c>
      <c r="BQ6">
        <v>100.27859929351226</v>
      </c>
      <c r="BR6">
        <v>99.386041965323386</v>
      </c>
      <c r="BS6">
        <v>100.34652214972091</v>
      </c>
      <c r="BT6">
        <v>100.33559961582361</v>
      </c>
      <c r="BU6">
        <v>99.814707032233699</v>
      </c>
      <c r="BV6">
        <v>100.4467782714482</v>
      </c>
      <c r="BW6">
        <v>99.987471240654429</v>
      </c>
      <c r="BX6">
        <v>99.613907437230765</v>
      </c>
      <c r="BY6">
        <v>99.176186689101527</v>
      </c>
      <c r="BZ6">
        <v>99.997173180891167</v>
      </c>
      <c r="CA6">
        <v>96.892288476333562</v>
      </c>
      <c r="CB6">
        <v>96.196293488645281</v>
      </c>
      <c r="CC6">
        <v>96.058343279444685</v>
      </c>
      <c r="CD6">
        <v>97.080333139954007</v>
      </c>
      <c r="CE6">
        <v>98.297190636849308</v>
      </c>
      <c r="CF6">
        <v>99.319732500706451</v>
      </c>
      <c r="CG6">
        <v>97.551719261608326</v>
      </c>
      <c r="CH6">
        <v>98.876163262241846</v>
      </c>
      <c r="CI6">
        <v>96.301303720565826</v>
      </c>
      <c r="CJ6">
        <v>99.093564265270871</v>
      </c>
      <c r="CK6">
        <v>98.452879260090285</v>
      </c>
      <c r="CL6">
        <v>97.437875536686263</v>
      </c>
      <c r="CM6">
        <v>96.55496695248533</v>
      </c>
      <c r="CN6">
        <v>95.507679704096986</v>
      </c>
      <c r="CO6">
        <v>96.427092715227843</v>
      </c>
      <c r="CP6">
        <v>96.852129123175501</v>
      </c>
      <c r="CQ6">
        <v>98.434215163207639</v>
      </c>
      <c r="CR6">
        <v>101.81619893328298</v>
      </c>
      <c r="CS6">
        <v>103.28761105031873</v>
      </c>
      <c r="CT6">
        <v>103.70480271979686</v>
      </c>
      <c r="CU6">
        <v>103.10565909609943</v>
      </c>
      <c r="CV6">
        <v>103.01502937771943</v>
      </c>
      <c r="CW6">
        <v>103.60286545665653</v>
      </c>
      <c r="CX6">
        <v>105.04299628267867</v>
      </c>
      <c r="CY6">
        <v>103.5389105478791</v>
      </c>
      <c r="CZ6">
        <v>104.97436541218664</v>
      </c>
      <c r="DA6">
        <v>104.03958143427722</v>
      </c>
      <c r="DB6">
        <v>107.19860862184362</v>
      </c>
      <c r="DC6">
        <v>108.01791221617077</v>
      </c>
      <c r="DD6">
        <v>105.48819804842148</v>
      </c>
      <c r="DE6">
        <v>104.31851680060021</v>
      </c>
      <c r="DF6">
        <v>105.34626881648695</v>
      </c>
      <c r="DG6">
        <v>105.90695301633131</v>
      </c>
      <c r="DH6">
        <v>102.38765040708822</v>
      </c>
      <c r="DI6">
        <v>99.389312463788087</v>
      </c>
      <c r="DJ6">
        <v>103.3456871923041</v>
      </c>
      <c r="DK6">
        <v>102.51797543135827</v>
      </c>
      <c r="DL6">
        <v>99.149529522900963</v>
      </c>
      <c r="DM6">
        <v>98.846992373280472</v>
      </c>
      <c r="DN6">
        <v>97.008274010265339</v>
      </c>
      <c r="DO6">
        <v>96.121049851789138</v>
      </c>
      <c r="DP6">
        <v>94.081028086556373</v>
      </c>
      <c r="DQ6">
        <v>96.930456742022429</v>
      </c>
      <c r="DR6">
        <v>96.524101982057374</v>
      </c>
      <c r="DS6">
        <v>96.212670543818248</v>
      </c>
      <c r="DT6">
        <v>95.358856423792687</v>
      </c>
      <c r="DU6">
        <v>96.829492264454132</v>
      </c>
      <c r="DV6">
        <v>96.222053703576336</v>
      </c>
      <c r="DW6">
        <v>95.973297681341819</v>
      </c>
      <c r="DX6">
        <v>96.078014115871397</v>
      </c>
      <c r="DY6">
        <v>94.283822014475035</v>
      </c>
      <c r="DZ6">
        <v>94.416361236577387</v>
      </c>
      <c r="EA6">
        <v>92.524224696431659</v>
      </c>
      <c r="EB6">
        <v>92.02301307526632</v>
      </c>
      <c r="EC6">
        <v>88.80459329902952</v>
      </c>
      <c r="ED6">
        <v>91.183717301864419</v>
      </c>
      <c r="EE6">
        <v>90.981497272727594</v>
      </c>
      <c r="EF6">
        <v>82.532908724787816</v>
      </c>
      <c r="EG6">
        <v>86.834904769780934</v>
      </c>
      <c r="EH6">
        <v>90.395040053029803</v>
      </c>
      <c r="EI6">
        <v>86.111366139578095</v>
      </c>
      <c r="EJ6">
        <v>82.476265798310635</v>
      </c>
      <c r="EK6">
        <v>87.941580430483555</v>
      </c>
      <c r="EL6">
        <v>90.793086165171616</v>
      </c>
      <c r="EM6">
        <v>88.657860406374525</v>
      </c>
      <c r="EN6">
        <v>75.015610823501916</v>
      </c>
      <c r="EO6">
        <v>74.865384467135627</v>
      </c>
      <c r="EP6">
        <v>68.462393451950291</v>
      </c>
      <c r="EQ6">
        <v>72.433429265276274</v>
      </c>
      <c r="ER6">
        <v>66.000219202293493</v>
      </c>
      <c r="ES6">
        <v>67.362284916742396</v>
      </c>
      <c r="ET6">
        <v>66.577049600342605</v>
      </c>
      <c r="EU6">
        <v>73.674309812139086</v>
      </c>
      <c r="EV6">
        <v>77.572275765339469</v>
      </c>
      <c r="EW6">
        <v>71.631046046852219</v>
      </c>
      <c r="EX6">
        <v>68.931354793410634</v>
      </c>
      <c r="EY6">
        <v>71.88301487266898</v>
      </c>
      <c r="EZ6">
        <v>76.945755428917167</v>
      </c>
      <c r="FA6">
        <v>78.386008479846467</v>
      </c>
      <c r="FB6">
        <v>73.80114173644742</v>
      </c>
      <c r="FC6">
        <v>70.42847756941616</v>
      </c>
      <c r="FD6">
        <v>70.543214904290409</v>
      </c>
      <c r="FE6">
        <v>74.782976741542754</v>
      </c>
      <c r="FF6">
        <v>77.585151387394234</v>
      </c>
      <c r="FG6">
        <v>81.329499701314077</v>
      </c>
      <c r="FH6">
        <v>81.361755880544536</v>
      </c>
      <c r="FI6">
        <v>86.22455431097049</v>
      </c>
      <c r="FJ6">
        <v>93.739734275758181</v>
      </c>
      <c r="FK6">
        <v>100.09782404215092</v>
      </c>
      <c r="FL6">
        <v>105.15395361837749</v>
      </c>
      <c r="FM6">
        <v>104.10085635899451</v>
      </c>
      <c r="FN6">
        <v>106.75211034365748</v>
      </c>
      <c r="FO6">
        <v>109.37698098847918</v>
      </c>
      <c r="FP6">
        <v>113.91415683731319</v>
      </c>
      <c r="FQ6">
        <v>111.88694408649965</v>
      </c>
      <c r="FR6">
        <v>111.80725614875242</v>
      </c>
      <c r="FS6">
        <v>112.90937256565216</v>
      </c>
      <c r="FT6">
        <v>108.07064449412783</v>
      </c>
      <c r="FU6">
        <v>108.72808392882776</v>
      </c>
      <c r="FV6">
        <v>108.52321334964026</v>
      </c>
      <c r="FW6">
        <v>108.04779666278432</v>
      </c>
      <c r="FX6">
        <v>109.53591084913241</v>
      </c>
      <c r="FY6">
        <v>111.74687154484907</v>
      </c>
      <c r="FZ6">
        <v>111.69776850898042</v>
      </c>
      <c r="GA6">
        <v>113.30369162520715</v>
      </c>
      <c r="GB6">
        <v>109.79276648771994</v>
      </c>
      <c r="GC6">
        <v>116.09686640830203</v>
      </c>
      <c r="GD6">
        <v>123.36654637913399</v>
      </c>
      <c r="GE6">
        <v>129.89321040826459</v>
      </c>
      <c r="GF6">
        <v>140.97544146337361</v>
      </c>
      <c r="GG6">
        <v>147.81133306510097</v>
      </c>
      <c r="GH6">
        <v>160.72143831764285</v>
      </c>
      <c r="GI6">
        <v>174.25923571869433</v>
      </c>
      <c r="GJ6">
        <v>167.46526540148983</v>
      </c>
      <c r="GK6">
        <v>161.99597603130442</v>
      </c>
      <c r="GL6">
        <v>179.88948595485417</v>
      </c>
      <c r="GM6">
        <v>184.15857883188116</v>
      </c>
      <c r="GN6">
        <v>187.33190740578985</v>
      </c>
      <c r="GO6">
        <v>187.80414801114966</v>
      </c>
      <c r="GP6">
        <v>192.09550559704871</v>
      </c>
      <c r="GQ6">
        <v>200.98490727120827</v>
      </c>
      <c r="GR6">
        <v>207.61756388639324</v>
      </c>
      <c r="GS6">
        <v>207.33747826394944</v>
      </c>
      <c r="GT6">
        <v>208.41530874909455</v>
      </c>
      <c r="GU6">
        <v>209.14830010650581</v>
      </c>
      <c r="GV6">
        <v>190.49657344461824</v>
      </c>
      <c r="GW6">
        <v>207.51719220956636</v>
      </c>
      <c r="GX6">
        <v>214.33892971685634</v>
      </c>
      <c r="GY6">
        <v>201.44493162193362</v>
      </c>
      <c r="GZ6">
        <v>197.56915940497643</v>
      </c>
      <c r="HA6">
        <v>206.55791105752988</v>
      </c>
      <c r="HB6">
        <v>190.52276982594807</v>
      </c>
      <c r="HC6">
        <v>186.02584708468743</v>
      </c>
      <c r="HD6">
        <v>201.30618596169901</v>
      </c>
      <c r="HE6">
        <v>186.68362739583353</v>
      </c>
      <c r="HF6">
        <v>196.04075132845858</v>
      </c>
      <c r="HG6">
        <v>193.31522530336466</v>
      </c>
      <c r="HH6">
        <v>201.72400885750443</v>
      </c>
      <c r="HI6">
        <v>205.85458170776747</v>
      </c>
      <c r="HJ6">
        <v>211.59508894716228</v>
      </c>
      <c r="HK6">
        <v>207.69913200170163</v>
      </c>
      <c r="HL6">
        <v>232.5189598426706</v>
      </c>
      <c r="HM6">
        <v>229.93871900322983</v>
      </c>
      <c r="HN6">
        <v>225.37591480972438</v>
      </c>
      <c r="HO6">
        <v>247.57095410483032</v>
      </c>
      <c r="HP6">
        <v>240.71081668916904</v>
      </c>
      <c r="HQ6">
        <v>213.50617944450678</v>
      </c>
      <c r="HR6">
        <v>221.39158551137066</v>
      </c>
      <c r="HS6">
        <v>229.21894301293932</v>
      </c>
      <c r="HT6">
        <v>223.81356067374716</v>
      </c>
      <c r="HU6">
        <v>222.97727061512094</v>
      </c>
      <c r="HV6">
        <v>243.70440184533419</v>
      </c>
      <c r="HW6">
        <v>254.16625828667691</v>
      </c>
      <c r="HX6">
        <v>238.86029094894056</v>
      </c>
      <c r="HY6">
        <v>240.34897880444632</v>
      </c>
      <c r="HZ6">
        <v>261.66823316455697</v>
      </c>
      <c r="IA6">
        <v>281.39097298559017</v>
      </c>
      <c r="IB6">
        <v>295.27533187857267</v>
      </c>
      <c r="IC6">
        <v>294.7940254626306</v>
      </c>
      <c r="ID6">
        <v>278.05887641207664</v>
      </c>
      <c r="IE6">
        <v>292.79674977559387</v>
      </c>
      <c r="IF6">
        <v>283.81814382693659</v>
      </c>
      <c r="IG6">
        <v>295.55154139949008</v>
      </c>
      <c r="IH6">
        <v>286.79202803504478</v>
      </c>
      <c r="II6">
        <v>305.2884694289246</v>
      </c>
      <c r="IJ6">
        <v>313.28626273990432</v>
      </c>
      <c r="IK6">
        <v>330.37626321922005</v>
      </c>
      <c r="IL6">
        <v>325.9603811179897</v>
      </c>
      <c r="IM6">
        <v>332.52204692316673</v>
      </c>
      <c r="IN6">
        <v>340.07222354967854</v>
      </c>
      <c r="IO6">
        <v>310.56790523959</v>
      </c>
      <c r="IP6">
        <v>312.09679716325201</v>
      </c>
      <c r="IQ6">
        <v>274.16454689433664</v>
      </c>
      <c r="IR6">
        <v>283.41498145099968</v>
      </c>
      <c r="IS6">
        <v>285.44928477319877</v>
      </c>
      <c r="IT6">
        <v>278.03972714552509</v>
      </c>
      <c r="IU6">
        <v>270.19709556072564</v>
      </c>
      <c r="IV6">
        <v>258.11951504138318</v>
      </c>
      <c r="IW6">
        <v>266.02684075901385</v>
      </c>
      <c r="IX6">
        <v>278.03556498330124</v>
      </c>
      <c r="IY6">
        <v>309.69209355447441</v>
      </c>
      <c r="IZ6">
        <v>326.9135635659307</v>
      </c>
      <c r="JA6">
        <v>311.46425171073975</v>
      </c>
      <c r="JB6">
        <v>310.07758330268916</v>
      </c>
      <c r="JC6">
        <v>303.7136330010706</v>
      </c>
      <c r="JD6">
        <v>277.48239715643916</v>
      </c>
      <c r="JE6">
        <v>263.58621851653839</v>
      </c>
      <c r="JF6">
        <v>260.10050530580224</v>
      </c>
      <c r="JG6">
        <v>258.25851170705425</v>
      </c>
      <c r="JH6">
        <v>287.16300100240591</v>
      </c>
      <c r="JI6">
        <v>330.02534296000573</v>
      </c>
      <c r="JJ6">
        <v>289.21590081744841</v>
      </c>
      <c r="JK6">
        <v>318.54963847399904</v>
      </c>
      <c r="JL6">
        <v>330.74280825532929</v>
      </c>
      <c r="JM6">
        <v>345.43413833993594</v>
      </c>
      <c r="JN6">
        <v>383.6964160785555</v>
      </c>
      <c r="JO6">
        <v>401.36428636870073</v>
      </c>
      <c r="JP6">
        <v>428.22856850293289</v>
      </c>
      <c r="JQ6">
        <v>383.04529584963035</v>
      </c>
      <c r="JR6">
        <v>408.88548354701464</v>
      </c>
      <c r="JS6">
        <v>403.89039288244402</v>
      </c>
      <c r="JT6">
        <v>423.18616008711052</v>
      </c>
      <c r="JU6">
        <v>458.58997813949264</v>
      </c>
      <c r="JV6">
        <v>457.60071372893549</v>
      </c>
      <c r="JW6">
        <v>491.22117876743118</v>
      </c>
      <c r="JX6">
        <v>447.92558695704957</v>
      </c>
      <c r="JY6">
        <v>431.72354270037488</v>
      </c>
      <c r="JZ6">
        <v>448.66628170083987</v>
      </c>
      <c r="KA6">
        <v>519.39498974036144</v>
      </c>
      <c r="KB6">
        <v>510.71241618043047</v>
      </c>
      <c r="KC6">
        <v>467.10837127868081</v>
      </c>
      <c r="KD6">
        <v>445.19289645517944</v>
      </c>
      <c r="KE6">
        <v>483.63133921001145</v>
      </c>
      <c r="KF6">
        <v>461.05883802563415</v>
      </c>
      <c r="KG6">
        <v>488.10132105804746</v>
      </c>
      <c r="KH6">
        <v>402.49408143257</v>
      </c>
      <c r="KI6">
        <v>390.31582233703421</v>
      </c>
      <c r="KJ6">
        <v>417.51600587030254</v>
      </c>
      <c r="KK6">
        <v>427.14248254335803</v>
      </c>
      <c r="KL6">
        <v>424.14824197846701</v>
      </c>
      <c r="KM6">
        <v>413.0868963289854</v>
      </c>
      <c r="KN6">
        <v>400.56627303497373</v>
      </c>
      <c r="KO6">
        <v>362.31574890750528</v>
      </c>
      <c r="KP6">
        <v>348.32383694678748</v>
      </c>
      <c r="KQ6">
        <v>361.24902424952711</v>
      </c>
      <c r="KR6">
        <v>370.96368325336539</v>
      </c>
      <c r="KS6">
        <v>342.68119350322218</v>
      </c>
      <c r="KT6">
        <v>352.4738942199856</v>
      </c>
      <c r="KU6">
        <v>355.86632691212748</v>
      </c>
      <c r="KV6">
        <v>341.78447261227808</v>
      </c>
      <c r="KW6">
        <v>323.95083357423329</v>
      </c>
      <c r="KX6">
        <v>352.26229182348419</v>
      </c>
      <c r="KY6">
        <v>333.62702901705313</v>
      </c>
      <c r="KZ6">
        <v>339.93020085804909</v>
      </c>
      <c r="LA6">
        <v>349.38248213390585</v>
      </c>
      <c r="LB6">
        <v>362.11260175821565</v>
      </c>
      <c r="LC6">
        <v>351.80190720220611</v>
      </c>
      <c r="LD6">
        <v>375.01440584735127</v>
      </c>
      <c r="LE6">
        <v>372.00364918242417</v>
      </c>
      <c r="LF6">
        <v>383.27515417960518</v>
      </c>
      <c r="LG6">
        <v>353.97369753628135</v>
      </c>
      <c r="LH6">
        <v>335.87415635030266</v>
      </c>
      <c r="LI6">
        <v>321.59692181601906</v>
      </c>
      <c r="LJ6">
        <v>317.40236854670309</v>
      </c>
      <c r="LK6">
        <v>315.56495228936336</v>
      </c>
      <c r="LL6">
        <v>305.91345120503144</v>
      </c>
      <c r="LM6">
        <v>277.18461623285447</v>
      </c>
      <c r="LN6">
        <v>282.48899193752368</v>
      </c>
      <c r="LO6">
        <v>289.23440968271439</v>
      </c>
      <c r="LP6">
        <v>262.73424201268892</v>
      </c>
      <c r="LQ6">
        <v>269.80098960049605</v>
      </c>
      <c r="LR6">
        <v>243.75493021783126</v>
      </c>
      <c r="LS6">
        <v>251.5976355177593</v>
      </c>
      <c r="LT6">
        <v>237.56147791579264</v>
      </c>
      <c r="LU6">
        <v>239.03766082305319</v>
      </c>
      <c r="LV6">
        <v>208.02554474801244</v>
      </c>
      <c r="LW6">
        <v>212.98980300793309</v>
      </c>
      <c r="LX6">
        <v>209.76164483462492</v>
      </c>
      <c r="LY6">
        <v>223.38799571926728</v>
      </c>
      <c r="LZ6">
        <v>220.91489116608153</v>
      </c>
      <c r="MA6">
        <v>211.63855086951685</v>
      </c>
      <c r="MB6">
        <v>214.15410547920757</v>
      </c>
      <c r="MC6">
        <v>210.58289439479177</v>
      </c>
      <c r="MD6">
        <v>213.67350930694499</v>
      </c>
      <c r="ME6">
        <v>211.05918781830206</v>
      </c>
      <c r="MF6">
        <v>213.95238770896475</v>
      </c>
      <c r="MG6">
        <v>224.32139929663353</v>
      </c>
      <c r="MH6">
        <v>209.04559997864359</v>
      </c>
      <c r="MI6">
        <v>216.2377572768074</v>
      </c>
      <c r="MJ6">
        <v>219.2315020198381</v>
      </c>
      <c r="MK6">
        <v>229.19968492474234</v>
      </c>
      <c r="ML6">
        <v>215.7199530305509</v>
      </c>
      <c r="MM6">
        <v>224.70143956131679</v>
      </c>
      <c r="MN6">
        <v>240.58337763892959</v>
      </c>
      <c r="MO6">
        <v>226.50547850303641</v>
      </c>
      <c r="MP6">
        <v>223.05556431278046</v>
      </c>
      <c r="MQ6">
        <v>221.94287529423693</v>
      </c>
      <c r="MR6">
        <v>234.86706341862947</v>
      </c>
      <c r="MS6">
        <v>211.03644523258853</v>
      </c>
      <c r="MT6">
        <v>227.59819657343866</v>
      </c>
      <c r="MU6">
        <v>217.14837310335363</v>
      </c>
      <c r="MV6">
        <v>227.53591253679249</v>
      </c>
      <c r="MW6">
        <v>233.17514852710022</v>
      </c>
      <c r="MX6">
        <v>236.74943404781067</v>
      </c>
      <c r="MY6">
        <v>213.76590023624607</v>
      </c>
      <c r="MZ6">
        <v>213.98816979603328</v>
      </c>
      <c r="NA6">
        <v>218.22584638643332</v>
      </c>
      <c r="NB6">
        <v>214.55083843422136</v>
      </c>
      <c r="NC6">
        <v>213.836253063676</v>
      </c>
      <c r="ND6">
        <v>229.77103554715043</v>
      </c>
      <c r="NE6">
        <v>237.34181543241803</v>
      </c>
      <c r="NF6">
        <v>232.69589594139887</v>
      </c>
      <c r="NG6">
        <v>242.07011021742093</v>
      </c>
      <c r="NH6">
        <v>231.92745108330496</v>
      </c>
      <c r="NI6">
        <v>210.25536991114024</v>
      </c>
      <c r="NJ6">
        <v>203.88163852726399</v>
      </c>
      <c r="NK6">
        <v>185.9628879559169</v>
      </c>
      <c r="NL6">
        <v>182.02416042917002</v>
      </c>
      <c r="NM6">
        <v>183.27119248697778</v>
      </c>
      <c r="NN6">
        <v>192.53572030237387</v>
      </c>
      <c r="NO6">
        <v>196.74332854463651</v>
      </c>
      <c r="NP6">
        <v>192.43400397756756</v>
      </c>
      <c r="NQ6">
        <v>201.96664214290143</v>
      </c>
      <c r="NR6">
        <v>202.69322064488435</v>
      </c>
      <c r="NS6">
        <v>198.89224499417094</v>
      </c>
      <c r="NT6">
        <v>199.73091519867017</v>
      </c>
      <c r="NU6">
        <v>205.84481842794762</v>
      </c>
      <c r="NV6">
        <v>198.69740840848246</v>
      </c>
      <c r="NW6">
        <v>183.93164535263878</v>
      </c>
      <c r="NX6">
        <v>180.65930082769177</v>
      </c>
      <c r="NY6">
        <v>187.51589139862034</v>
      </c>
      <c r="NZ6">
        <v>186.43499278362381</v>
      </c>
      <c r="OA6">
        <v>179.41429281451212</v>
      </c>
      <c r="OB6">
        <v>180.90215768731912</v>
      </c>
      <c r="OC6">
        <v>179.6092909191465</v>
      </c>
      <c r="OD6">
        <v>166.96944469777074</v>
      </c>
      <c r="OE6">
        <v>169.1115943642873</v>
      </c>
      <c r="OF6">
        <v>171.85837596780166</v>
      </c>
      <c r="OG6">
        <v>155.3633474062471</v>
      </c>
      <c r="OH6">
        <v>158.25294455792465</v>
      </c>
      <c r="OI6">
        <v>166.06067482758456</v>
      </c>
      <c r="OJ6">
        <v>158.52227425556927</v>
      </c>
      <c r="OK6">
        <v>158.3418587219453</v>
      </c>
      <c r="OL6">
        <v>165.2522589305415</v>
      </c>
      <c r="OM6">
        <v>163.9686176630434</v>
      </c>
      <c r="ON6">
        <v>165.91262679081561</v>
      </c>
      <c r="OO6">
        <v>170.57275297958657</v>
      </c>
      <c r="OP6">
        <v>160.91214486626492</v>
      </c>
      <c r="OQ6">
        <v>154.75523051804299</v>
      </c>
      <c r="OR6">
        <v>134.2573173952392</v>
      </c>
      <c r="OS6">
        <v>130.46746861189482</v>
      </c>
      <c r="OT6">
        <v>122.57477419915986</v>
      </c>
      <c r="OU6">
        <v>126.13308256630836</v>
      </c>
      <c r="OV6">
        <v>136.39226550341073</v>
      </c>
      <c r="OW6">
        <v>127.37003900068163</v>
      </c>
      <c r="OX6">
        <v>139.86051631890959</v>
      </c>
      <c r="OY6">
        <v>120.34846389841061</v>
      </c>
      <c r="OZ6">
        <v>114.31283631496119</v>
      </c>
      <c r="PA6">
        <v>111.85084709749533</v>
      </c>
      <c r="PB6">
        <v>113.48832988739488</v>
      </c>
      <c r="PC6">
        <v>111.15785739703296</v>
      </c>
      <c r="PD6">
        <v>126.81654059770922</v>
      </c>
      <c r="PE6">
        <v>121.84195337295351</v>
      </c>
      <c r="PF6">
        <v>118.25495516688558</v>
      </c>
      <c r="PG6">
        <v>121.10228241910106</v>
      </c>
      <c r="PH6">
        <v>123.32669648398526</v>
      </c>
      <c r="PI6">
        <v>129.87334413561544</v>
      </c>
      <c r="PJ6">
        <v>125.02270151167025</v>
      </c>
      <c r="PK6">
        <v>112.42738437607363</v>
      </c>
      <c r="PL6">
        <v>112.33645286087939</v>
      </c>
      <c r="PM6">
        <v>123.95577302116261</v>
      </c>
      <c r="PN6">
        <v>132.46641845568436</v>
      </c>
      <c r="PO6">
        <v>133.04261291934742</v>
      </c>
      <c r="PP6">
        <v>132.24428787335398</v>
      </c>
      <c r="PQ6">
        <v>114.69542615557334</v>
      </c>
      <c r="PR6">
        <v>111.73920958308692</v>
      </c>
      <c r="PS6">
        <v>117.6770821839746</v>
      </c>
      <c r="PT6">
        <v>116.32057241575681</v>
      </c>
      <c r="PU6">
        <v>117.79122309676981</v>
      </c>
      <c r="PV6">
        <v>119.24675032198618</v>
      </c>
      <c r="PW6">
        <v>121.6490630432573</v>
      </c>
      <c r="PX6">
        <v>113.18841993630028</v>
      </c>
      <c r="PY6">
        <v>113.70387839948661</v>
      </c>
      <c r="PZ6">
        <v>118.08253537805406</v>
      </c>
      <c r="QA6">
        <v>121.14919637613042</v>
      </c>
      <c r="QB6">
        <v>117.45219916714699</v>
      </c>
      <c r="QC6">
        <v>115.61079066856064</v>
      </c>
      <c r="QD6">
        <v>124.34551838989239</v>
      </c>
      <c r="QE6">
        <v>137.1375755148359</v>
      </c>
      <c r="QF6">
        <v>130.85905624829221</v>
      </c>
      <c r="QG6">
        <v>129.31701001228805</v>
      </c>
      <c r="QH6">
        <v>131.62485247940151</v>
      </c>
      <c r="QI6">
        <v>126.88217324447801</v>
      </c>
      <c r="QJ6">
        <v>122.05614387251684</v>
      </c>
      <c r="QK6">
        <v>128.95025875458637</v>
      </c>
      <c r="QL6">
        <v>126.64036752640098</v>
      </c>
      <c r="QM6">
        <v>128.8563148699335</v>
      </c>
      <c r="QN6">
        <v>115.08251341231201</v>
      </c>
      <c r="QO6">
        <v>119.64123876910439</v>
      </c>
      <c r="QP6">
        <v>119.86431563233857</v>
      </c>
      <c r="QQ6">
        <v>118.43820421977034</v>
      </c>
      <c r="QR6">
        <v>115.80357866223216</v>
      </c>
      <c r="QS6">
        <v>108.26650058277181</v>
      </c>
      <c r="QT6">
        <v>108.93499143095529</v>
      </c>
      <c r="QU6">
        <v>118.95829638676229</v>
      </c>
      <c r="QV6">
        <v>112.85526831278619</v>
      </c>
      <c r="QW6">
        <v>110.45492948649564</v>
      </c>
      <c r="QX6">
        <v>114.77645219173291</v>
      </c>
      <c r="QY6">
        <v>119.86646837199331</v>
      </c>
      <c r="QZ6">
        <v>115.51368064144124</v>
      </c>
      <c r="RA6">
        <v>121.63580128555574</v>
      </c>
      <c r="RB6">
        <v>126.20033414338181</v>
      </c>
      <c r="RC6">
        <v>126.03544197241187</v>
      </c>
      <c r="RD6">
        <v>127.33932303797872</v>
      </c>
      <c r="RE6">
        <v>127.52383930177145</v>
      </c>
      <c r="RF6">
        <v>129.93545659735344</v>
      </c>
      <c r="RG6">
        <v>126.19724156875702</v>
      </c>
      <c r="RH6">
        <v>117.99097996671772</v>
      </c>
      <c r="RI6">
        <v>113.44607311089305</v>
      </c>
      <c r="RJ6">
        <v>110.01610323864766</v>
      </c>
      <c r="RK6">
        <v>119.62118294741612</v>
      </c>
      <c r="RL6">
        <v>130.88448849990249</v>
      </c>
      <c r="RM6">
        <v>137.35174511608767</v>
      </c>
      <c r="RN6">
        <v>136.79807339067725</v>
      </c>
      <c r="RO6">
        <v>147.9992725764134</v>
      </c>
      <c r="RP6">
        <v>147.81585550762009</v>
      </c>
      <c r="RQ6">
        <v>150.0582717201421</v>
      </c>
      <c r="RR6">
        <v>151.79410490458346</v>
      </c>
      <c r="RS6">
        <v>154.12518413921049</v>
      </c>
      <c r="RT6">
        <v>152.50475461150592</v>
      </c>
      <c r="RU6">
        <v>158.7852883095575</v>
      </c>
      <c r="RV6">
        <v>159.29148664103744</v>
      </c>
      <c r="RW6">
        <v>167.13632488272614</v>
      </c>
      <c r="RX6">
        <v>169.96579778132667</v>
      </c>
      <c r="RY6">
        <v>163.60981353463387</v>
      </c>
      <c r="RZ6">
        <v>166.6935928758065</v>
      </c>
      <c r="SA6">
        <v>164.05661364314116</v>
      </c>
      <c r="SB6">
        <v>172.91251116239616</v>
      </c>
      <c r="SC6">
        <v>180.80339140420435</v>
      </c>
      <c r="SD6">
        <v>180.03362931567744</v>
      </c>
      <c r="SE6">
        <v>177.00229301860887</v>
      </c>
      <c r="SF6">
        <v>190.89865093744859</v>
      </c>
      <c r="SG6">
        <v>187.61915642932982</v>
      </c>
      <c r="SH6">
        <v>167.9546452441547</v>
      </c>
      <c r="SI6">
        <v>177.55541209086107</v>
      </c>
      <c r="SJ6">
        <v>165.27572068097501</v>
      </c>
      <c r="SK6">
        <v>148.74134451894577</v>
      </c>
      <c r="SL6">
        <v>142.647892233394</v>
      </c>
      <c r="SM6">
        <v>128.52042435348324</v>
      </c>
      <c r="SN6">
        <v>141.5381119097737</v>
      </c>
      <c r="SO6">
        <v>147.95921121047994</v>
      </c>
      <c r="SP6">
        <v>141.69356422054372</v>
      </c>
      <c r="SQ6">
        <v>147.52928370895253</v>
      </c>
      <c r="SR6">
        <v>137.72734940907912</v>
      </c>
      <c r="SS6">
        <v>130.78699667728671</v>
      </c>
      <c r="ST6">
        <v>129.92195686962657</v>
      </c>
      <c r="SU6">
        <v>119.49920921623598</v>
      </c>
      <c r="SV6">
        <v>135.08748677071623</v>
      </c>
      <c r="SW6">
        <v>131.23152254321215</v>
      </c>
      <c r="SX6">
        <v>127.99410738449016</v>
      </c>
      <c r="SY6">
        <v>123.84400048669229</v>
      </c>
      <c r="SZ6">
        <v>123.98216329694331</v>
      </c>
      <c r="TA6">
        <v>117.25298530980979</v>
      </c>
      <c r="TB6">
        <v>115.90173214901363</v>
      </c>
      <c r="TC6">
        <v>119.59226334138114</v>
      </c>
      <c r="TD6">
        <v>123.54470950306616</v>
      </c>
      <c r="TE6">
        <v>123.91085993422514</v>
      </c>
      <c r="TF6">
        <v>135.04594053857602</v>
      </c>
      <c r="TG6">
        <v>128.10601407055475</v>
      </c>
      <c r="TH6">
        <v>127.44508682821031</v>
      </c>
      <c r="TI6">
        <v>134.19327361517887</v>
      </c>
      <c r="TJ6">
        <v>137.7754934464929</v>
      </c>
      <c r="TK6">
        <v>133.34945595618083</v>
      </c>
      <c r="TL6">
        <v>123.66720548580669</v>
      </c>
      <c r="TM6">
        <v>134.59321309936087</v>
      </c>
      <c r="TN6">
        <v>131.34337970535168</v>
      </c>
      <c r="TO6">
        <v>129.93403531804609</v>
      </c>
      <c r="TP6">
        <v>143.13248458354215</v>
      </c>
      <c r="TQ6">
        <v>142.31957338838103</v>
      </c>
      <c r="TR6">
        <v>151.69385974768144</v>
      </c>
      <c r="TS6">
        <v>157.9626476422217</v>
      </c>
      <c r="TT6">
        <v>163.24664582821981</v>
      </c>
      <c r="TU6">
        <v>163.60950746360524</v>
      </c>
      <c r="TV6">
        <v>163.95199777068356</v>
      </c>
      <c r="TW6">
        <v>161.90040166538387</v>
      </c>
      <c r="TX6">
        <v>169.71071342368782</v>
      </c>
      <c r="TY6">
        <v>166.86658685582336</v>
      </c>
      <c r="TZ6">
        <v>167.25511184588095</v>
      </c>
      <c r="UA6">
        <v>157.48258252487324</v>
      </c>
      <c r="UB6">
        <v>159.93261183987005</v>
      </c>
      <c r="UC6">
        <v>158.5464360266779</v>
      </c>
      <c r="UD6">
        <v>156.13160379041759</v>
      </c>
      <c r="UE6">
        <v>171.18866144457741</v>
      </c>
      <c r="UF6">
        <v>174.70811379372648</v>
      </c>
      <c r="UG6">
        <v>178.69597158822356</v>
      </c>
      <c r="UH6">
        <v>181.37768077507684</v>
      </c>
      <c r="UI6">
        <v>176.58323869105837</v>
      </c>
      <c r="UJ6">
        <v>163.02282642272655</v>
      </c>
      <c r="UK6">
        <v>169.52499751650694</v>
      </c>
      <c r="UL6">
        <v>167.04582569914007</v>
      </c>
      <c r="UM6">
        <v>159.32372243516014</v>
      </c>
      <c r="UN6">
        <v>160.88707718687002</v>
      </c>
      <c r="UO6">
        <v>176.18299501682333</v>
      </c>
      <c r="UP6">
        <v>168.41049872938041</v>
      </c>
      <c r="UQ6">
        <v>172.55502143810565</v>
      </c>
      <c r="UR6">
        <v>164.57916532543288</v>
      </c>
      <c r="US6">
        <v>160.93678987606197</v>
      </c>
      <c r="UT6">
        <v>158.71596389185302</v>
      </c>
      <c r="UU6">
        <v>166.01234843865132</v>
      </c>
      <c r="UV6">
        <v>174.88958358308514</v>
      </c>
      <c r="UW6">
        <v>178.73210933773635</v>
      </c>
      <c r="UX6">
        <v>178.35019251110859</v>
      </c>
      <c r="UY6">
        <v>175.58953493262339</v>
      </c>
      <c r="UZ6">
        <v>172.81174462716169</v>
      </c>
      <c r="VA6">
        <v>174.09038042842167</v>
      </c>
      <c r="VB6">
        <v>165.28607227757905</v>
      </c>
      <c r="VC6">
        <v>166.9430607780522</v>
      </c>
      <c r="VD6">
        <v>164.14480778709188</v>
      </c>
      <c r="VE6">
        <v>169.01327330629485</v>
      </c>
      <c r="VF6">
        <v>174.08638901089878</v>
      </c>
      <c r="VG6">
        <v>170.85711845863841</v>
      </c>
      <c r="VH6">
        <v>170.36044069231718</v>
      </c>
      <c r="VI6">
        <v>169.07847252987892</v>
      </c>
      <c r="VJ6">
        <v>166.30709322341011</v>
      </c>
      <c r="VK6">
        <v>170.12804811893432</v>
      </c>
      <c r="VL6">
        <v>175.98969374025887</v>
      </c>
      <c r="VM6">
        <v>161.81888083025942</v>
      </c>
      <c r="VN6">
        <v>165.69235747644132</v>
      </c>
      <c r="VO6">
        <v>163.39023346385002</v>
      </c>
      <c r="VP6">
        <v>157.84343665937328</v>
      </c>
      <c r="VQ6">
        <v>160.53545955593151</v>
      </c>
      <c r="VR6">
        <v>163.56040315531911</v>
      </c>
      <c r="VS6">
        <v>156.855860957923</v>
      </c>
      <c r="VT6">
        <v>146.53099569317851</v>
      </c>
      <c r="VU6">
        <v>136.85199683779035</v>
      </c>
      <c r="VV6">
        <v>138.35239950074109</v>
      </c>
      <c r="VW6">
        <v>136.94176213587352</v>
      </c>
      <c r="VX6">
        <v>132.53307876928255</v>
      </c>
      <c r="VY6">
        <v>134.37976626411174</v>
      </c>
      <c r="VZ6">
        <v>130.3261584623271</v>
      </c>
      <c r="WA6">
        <v>138.90303815115294</v>
      </c>
      <c r="WB6">
        <v>149.43829094299161</v>
      </c>
      <c r="WC6">
        <v>150.69210656317412</v>
      </c>
      <c r="WD6">
        <v>153.79852331616115</v>
      </c>
      <c r="WE6">
        <v>155.70852368125495</v>
      </c>
      <c r="WF6">
        <v>151.59044778353385</v>
      </c>
      <c r="WG6">
        <v>150.95881535883956</v>
      </c>
      <c r="WH6">
        <v>149.86731131542393</v>
      </c>
      <c r="WI6">
        <v>145.34899167071254</v>
      </c>
      <c r="WJ6">
        <v>135.55657743322166</v>
      </c>
      <c r="WK6">
        <v>139.27624090478665</v>
      </c>
      <c r="WL6">
        <v>141.01979197316993</v>
      </c>
      <c r="WM6">
        <v>134.32068060986785</v>
      </c>
      <c r="WN6">
        <v>142.1252153089126</v>
      </c>
      <c r="WO6">
        <v>138.08679679179085</v>
      </c>
      <c r="WP6">
        <v>139.99945496821164</v>
      </c>
      <c r="WQ6">
        <v>133.72619127491188</v>
      </c>
      <c r="WR6">
        <v>125.7703358542817</v>
      </c>
      <c r="WS6">
        <v>126.64090929669295</v>
      </c>
      <c r="WT6">
        <v>126.16585912371727</v>
      </c>
      <c r="WU6">
        <v>131.60085870459673</v>
      </c>
      <c r="WV6">
        <v>131.97736479374018</v>
      </c>
      <c r="WW6">
        <v>128.84972643886829</v>
      </c>
      <c r="WX6">
        <v>126.90598037088562</v>
      </c>
      <c r="WY6">
        <v>129.53841209862662</v>
      </c>
      <c r="WZ6">
        <v>121.71342626571153</v>
      </c>
      <c r="XA6">
        <v>122.04359330652808</v>
      </c>
      <c r="XB6">
        <v>122.27140621667513</v>
      </c>
      <c r="XC6">
        <v>121.38347701398045</v>
      </c>
      <c r="XD6">
        <v>119.81693073294994</v>
      </c>
      <c r="XE6">
        <v>123.88739337753033</v>
      </c>
      <c r="XF6">
        <v>119.75394494603883</v>
      </c>
      <c r="XG6">
        <v>116.59394446058229</v>
      </c>
      <c r="XH6">
        <v>121.56060406694537</v>
      </c>
      <c r="XI6">
        <v>123.90021305342519</v>
      </c>
      <c r="XJ6">
        <v>129.79645330645505</v>
      </c>
      <c r="XK6">
        <v>127.54699028264878</v>
      </c>
      <c r="XL6">
        <v>129.61833248332357</v>
      </c>
      <c r="XM6">
        <v>131.15262188342496</v>
      </c>
      <c r="XN6">
        <v>124.9077499271261</v>
      </c>
      <c r="XO6">
        <v>126.00185209743809</v>
      </c>
      <c r="XP6">
        <v>128.01011693422447</v>
      </c>
      <c r="XQ6">
        <v>129.5586439302885</v>
      </c>
      <c r="XR6">
        <v>117.97036022368805</v>
      </c>
      <c r="XS6">
        <v>115.26438864969855</v>
      </c>
      <c r="XT6">
        <v>114.15916359691259</v>
      </c>
      <c r="XU6">
        <v>110.71426696584732</v>
      </c>
      <c r="XV6">
        <v>113.12064377081201</v>
      </c>
      <c r="XW6">
        <v>115.94952959393538</v>
      </c>
      <c r="XX6">
        <v>112.25918623801174</v>
      </c>
      <c r="XY6">
        <v>114.37363760693533</v>
      </c>
      <c r="XZ6">
        <v>112.32739475675645</v>
      </c>
      <c r="YA6">
        <v>112.29214867487995</v>
      </c>
      <c r="YB6">
        <v>113.93885729198459</v>
      </c>
      <c r="YC6">
        <v>113.23367040403171</v>
      </c>
      <c r="YD6">
        <v>110.27788908454805</v>
      </c>
      <c r="YE6">
        <v>112.90958027256923</v>
      </c>
      <c r="YF6">
        <v>111.67021315661559</v>
      </c>
      <c r="YG6">
        <v>112.90150218551365</v>
      </c>
      <c r="YH6">
        <v>110.88378902631986</v>
      </c>
      <c r="YI6">
        <v>105.68115746749984</v>
      </c>
      <c r="YJ6">
        <v>108.51574854777836</v>
      </c>
      <c r="YK6">
        <v>101.3895228412517</v>
      </c>
      <c r="YL6">
        <v>97.935684462060664</v>
      </c>
      <c r="YM6">
        <v>96.195116795136613</v>
      </c>
      <c r="YN6">
        <v>92.826501231633983</v>
      </c>
      <c r="YO6">
        <v>93.095685158604184</v>
      </c>
      <c r="YP6">
        <v>95.458262617604561</v>
      </c>
      <c r="YQ6">
        <v>94.38543668820401</v>
      </c>
      <c r="YR6">
        <v>97.285221323419265</v>
      </c>
      <c r="YS6">
        <v>84.198809490057528</v>
      </c>
      <c r="YT6">
        <v>84.230012003057368</v>
      </c>
      <c r="YU6">
        <v>83.706782756253503</v>
      </c>
      <c r="YV6">
        <v>81.586871830338808</v>
      </c>
      <c r="YW6">
        <v>84.322307842765611</v>
      </c>
      <c r="YX6">
        <v>82.770905213844131</v>
      </c>
      <c r="YY6">
        <v>83.98397652603083</v>
      </c>
      <c r="YZ6">
        <v>84.819571979205065</v>
      </c>
      <c r="ZA6">
        <v>88.091645574143172</v>
      </c>
      <c r="ZB6">
        <v>89.370772545465442</v>
      </c>
      <c r="ZC6">
        <v>91.301867776967271</v>
      </c>
      <c r="ZD6">
        <v>95.093605991395592</v>
      </c>
      <c r="ZE6">
        <v>98.764256230588813</v>
      </c>
      <c r="ZF6">
        <v>99.668119659781709</v>
      </c>
      <c r="ZG6">
        <v>101.31011156158623</v>
      </c>
      <c r="ZH6">
        <v>104.53728726586149</v>
      </c>
      <c r="ZI6">
        <v>93.303168274579335</v>
      </c>
      <c r="ZJ6">
        <v>91.285467094235983</v>
      </c>
      <c r="ZK6">
        <v>99.61587363808097</v>
      </c>
      <c r="ZL6">
        <v>100.11402565909916</v>
      </c>
      <c r="ZM6">
        <v>99.392190659285859</v>
      </c>
      <c r="ZN6">
        <v>91.159830094142393</v>
      </c>
      <c r="ZO6">
        <v>83.957691512299562</v>
      </c>
      <c r="ZP6">
        <v>81.383545230270684</v>
      </c>
      <c r="ZQ6">
        <v>77.330781664725066</v>
      </c>
      <c r="ZR6">
        <v>80.988018039202089</v>
      </c>
      <c r="ZS6">
        <v>78.383590883620471</v>
      </c>
      <c r="ZT6">
        <v>77.475188961111556</v>
      </c>
      <c r="ZU6">
        <v>64.981043634807179</v>
      </c>
      <c r="ZV6">
        <v>63.969363597451512</v>
      </c>
      <c r="ZW6">
        <v>70.046701795310994</v>
      </c>
      <c r="ZX6">
        <v>71.145900865823847</v>
      </c>
      <c r="ZY6">
        <v>72.547565520563083</v>
      </c>
      <c r="ZZ6">
        <v>69.472567268221482</v>
      </c>
      <c r="AAA6">
        <v>71.933329046467321</v>
      </c>
      <c r="AAB6">
        <v>73.254723335781947</v>
      </c>
      <c r="AAC6">
        <v>68.709836998397734</v>
      </c>
      <c r="AAD6">
        <v>69.557558547740044</v>
      </c>
      <c r="AAE6">
        <v>70.530236240545761</v>
      </c>
      <c r="AAF6">
        <v>68.020703473774844</v>
      </c>
      <c r="AAG6">
        <v>72.640631678971218</v>
      </c>
      <c r="AAH6">
        <v>69.484889831126452</v>
      </c>
      <c r="AAI6">
        <v>68.05384305419696</v>
      </c>
      <c r="AAJ6">
        <v>66.445761589171198</v>
      </c>
      <c r="AAK6">
        <v>65.096131910360128</v>
      </c>
      <c r="AAL6">
        <v>63.476460472452317</v>
      </c>
      <c r="AAM6">
        <v>62.216801122984982</v>
      </c>
      <c r="AAN6">
        <v>62.759360261070121</v>
      </c>
      <c r="AAO6">
        <v>61.628091684317276</v>
      </c>
      <c r="AAP6">
        <v>59.870843944978411</v>
      </c>
      <c r="AAQ6">
        <v>58.565836330116234</v>
      </c>
      <c r="AAR6">
        <v>57.789210040860205</v>
      </c>
      <c r="AAS6">
        <v>57.49584547933258</v>
      </c>
      <c r="AAT6">
        <v>61.455987431554796</v>
      </c>
      <c r="AAU6">
        <v>58.482556368891643</v>
      </c>
      <c r="AAV6">
        <v>59.672189301387398</v>
      </c>
      <c r="AAW6">
        <v>58.479321785834742</v>
      </c>
      <c r="AAX6">
        <v>60.60719095075487</v>
      </c>
      <c r="AAY6">
        <v>60.735008688241614</v>
      </c>
      <c r="AAZ6">
        <v>56.508721776057861</v>
      </c>
      <c r="ABA6">
        <v>57.467274137368449</v>
      </c>
      <c r="ABB6">
        <v>57.680555688644446</v>
      </c>
      <c r="ABC6">
        <v>56.685700259829112</v>
      </c>
      <c r="ABD6">
        <v>54.959477710890653</v>
      </c>
      <c r="ABE6">
        <v>56.186712206525016</v>
      </c>
      <c r="ABF6">
        <v>53.585132962319641</v>
      </c>
      <c r="ABG6">
        <v>55.227510764900686</v>
      </c>
      <c r="ABH6">
        <v>58.093505461654701</v>
      </c>
      <c r="ABI6">
        <v>57.389198146557703</v>
      </c>
      <c r="ABJ6">
        <v>57.78942847295022</v>
      </c>
      <c r="ABK6">
        <v>59.029356058637191</v>
      </c>
      <c r="ABL6">
        <v>60.437350297164599</v>
      </c>
      <c r="ABM6">
        <v>58.55587852061786</v>
      </c>
      <c r="ABN6">
        <v>61.343850102705836</v>
      </c>
      <c r="ABO6">
        <v>57.004120747078943</v>
      </c>
      <c r="ABP6">
        <v>54.18480155977641</v>
      </c>
      <c r="ABQ6">
        <v>60.41831214749191</v>
      </c>
      <c r="ABR6">
        <v>61.037386992356453</v>
      </c>
      <c r="ABS6">
        <v>62.015526091783215</v>
      </c>
      <c r="ABT6">
        <v>61.243164043498986</v>
      </c>
      <c r="ABU6">
        <v>60.596416409944148</v>
      </c>
      <c r="ABV6">
        <v>60.282479871293468</v>
      </c>
      <c r="ABW6">
        <v>61.56222467683304</v>
      </c>
      <c r="ABX6">
        <v>63.211514879992414</v>
      </c>
      <c r="ABY6">
        <v>61.346231942371176</v>
      </c>
      <c r="ABZ6">
        <v>58.760639074608456</v>
      </c>
      <c r="ACA6">
        <v>56.671650088522419</v>
      </c>
      <c r="ACB6">
        <v>55.64077713904269</v>
      </c>
      <c r="ACC6">
        <v>53.048601183031643</v>
      </c>
      <c r="ACD6">
        <v>53.630690427920626</v>
      </c>
      <c r="ACE6">
        <v>51.887550243110255</v>
      </c>
      <c r="ACF6">
        <v>52.896728166653901</v>
      </c>
      <c r="ACG6">
        <v>50.790371985119563</v>
      </c>
      <c r="ACH6">
        <v>47.774405972812879</v>
      </c>
      <c r="ACI6">
        <v>47.759313503151233</v>
      </c>
      <c r="ACJ6">
        <v>48.50382626976009</v>
      </c>
      <c r="ACK6">
        <v>49.452124581321911</v>
      </c>
      <c r="ACL6">
        <v>50.177127728196631</v>
      </c>
      <c r="ACM6">
        <v>51.394766568059971</v>
      </c>
      <c r="ACN6">
        <v>49.602480454476762</v>
      </c>
      <c r="ACO6">
        <v>49.544719790525605</v>
      </c>
      <c r="ACP6">
        <v>53.268600290380981</v>
      </c>
      <c r="ACQ6">
        <v>54.263504173938173</v>
      </c>
      <c r="ACR6">
        <v>54.857459349700257</v>
      </c>
      <c r="ACS6">
        <v>57.562009984698626</v>
      </c>
      <c r="ACT6">
        <v>57.101582048578933</v>
      </c>
      <c r="ACU6">
        <v>62.129689439311484</v>
      </c>
      <c r="ACV6">
        <v>65.745140746501292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8E15-59F3-3045-AE0B-29EDB5E61482}">
  <dimension ref="A1:ACV20"/>
  <sheetViews>
    <sheetView workbookViewId="0">
      <selection activeCell="A18" sqref="A18:XFD18"/>
    </sheetView>
  </sheetViews>
  <sheetFormatPr baseColWidth="10" defaultRowHeight="16" x14ac:dyDescent="0.2"/>
  <cols>
    <col min="1" max="1" width="29.6640625" customWidth="1"/>
    <col min="2" max="2" width="20.5" bestFit="1" customWidth="1"/>
    <col min="3" max="3" width="20.83203125" bestFit="1" customWidth="1"/>
    <col min="4" max="6" width="20.5" bestFit="1" customWidth="1"/>
    <col min="7" max="7" width="20.83203125" bestFit="1" customWidth="1"/>
    <col min="8" max="10" width="20.5" bestFit="1" customWidth="1"/>
    <col min="11" max="12" width="20.83203125" bestFit="1" customWidth="1"/>
    <col min="13" max="13" width="20.5" bestFit="1" customWidth="1"/>
    <col min="14" max="14" width="22" bestFit="1" customWidth="1"/>
    <col min="15" max="16" width="20.5" bestFit="1" customWidth="1"/>
    <col min="17" max="17" width="20.83203125" bestFit="1" customWidth="1"/>
    <col min="18" max="19" width="20.5" bestFit="1" customWidth="1"/>
    <col min="20" max="21" width="22.6640625" bestFit="1" customWidth="1"/>
    <col min="22" max="22" width="20.5" bestFit="1" customWidth="1"/>
    <col min="23" max="23" width="21.6640625" bestFit="1" customWidth="1"/>
    <col min="24" max="24" width="19.83203125" bestFit="1" customWidth="1"/>
    <col min="25" max="28" width="20.5" bestFit="1" customWidth="1"/>
    <col min="29" max="29" width="20.83203125" bestFit="1" customWidth="1"/>
    <col min="30" max="31" width="20.5" bestFit="1" customWidth="1"/>
    <col min="32" max="32" width="21.6640625" bestFit="1" customWidth="1"/>
    <col min="33" max="34" width="20.5" bestFit="1" customWidth="1"/>
    <col min="35" max="35" width="20.83203125" bestFit="1" customWidth="1"/>
    <col min="36" max="36" width="20.5" bestFit="1" customWidth="1"/>
    <col min="37" max="38" width="20.83203125" bestFit="1" customWidth="1"/>
    <col min="39" max="39" width="21.6640625" bestFit="1" customWidth="1"/>
    <col min="40" max="40" width="20.5" bestFit="1" customWidth="1"/>
    <col min="41" max="41" width="22" bestFit="1" customWidth="1"/>
    <col min="42" max="42" width="20.5" bestFit="1" customWidth="1"/>
    <col min="43" max="43" width="20.83203125" bestFit="1" customWidth="1"/>
    <col min="44" max="46" width="20.5" bestFit="1" customWidth="1"/>
    <col min="47" max="47" width="19.83203125" bestFit="1" customWidth="1"/>
    <col min="48" max="48" width="20.5" bestFit="1" customWidth="1"/>
    <col min="49" max="49" width="22.6640625" bestFit="1" customWidth="1"/>
    <col min="50" max="50" width="20.5" bestFit="1" customWidth="1"/>
    <col min="51" max="51" width="20.83203125" bestFit="1" customWidth="1"/>
    <col min="52" max="52" width="20.5" bestFit="1" customWidth="1"/>
    <col min="53" max="53" width="21.6640625" bestFit="1" customWidth="1"/>
    <col min="54" max="54" width="20.5" bestFit="1" customWidth="1"/>
    <col min="55" max="55" width="20.83203125" bestFit="1" customWidth="1"/>
    <col min="56" max="56" width="20.5" bestFit="1" customWidth="1"/>
    <col min="57" max="57" width="21.6640625" bestFit="1" customWidth="1"/>
    <col min="58" max="59" width="20.5" bestFit="1" customWidth="1"/>
    <col min="60" max="60" width="21.6640625" bestFit="1" customWidth="1"/>
    <col min="61" max="63" width="20.5" bestFit="1" customWidth="1"/>
    <col min="64" max="64" width="21.6640625" bestFit="1" customWidth="1"/>
    <col min="65" max="65" width="20.5" bestFit="1" customWidth="1"/>
    <col min="66" max="66" width="19.83203125" bestFit="1" customWidth="1"/>
    <col min="67" max="67" width="20.5" bestFit="1" customWidth="1"/>
    <col min="68" max="68" width="22" bestFit="1" customWidth="1"/>
    <col min="69" max="69" width="21.6640625" bestFit="1" customWidth="1"/>
    <col min="70" max="71" width="20.5" bestFit="1" customWidth="1"/>
    <col min="72" max="72" width="22" bestFit="1" customWidth="1"/>
    <col min="73" max="74" width="21.6640625" bestFit="1" customWidth="1"/>
    <col min="75" max="76" width="20.5" bestFit="1" customWidth="1"/>
    <col min="77" max="78" width="21.6640625" bestFit="1" customWidth="1"/>
    <col min="79" max="79" width="20.5" bestFit="1" customWidth="1"/>
    <col min="80" max="80" width="21.6640625" bestFit="1" customWidth="1"/>
    <col min="81" max="81" width="20.5" bestFit="1" customWidth="1"/>
    <col min="82" max="82" width="21.6640625" bestFit="1" customWidth="1"/>
    <col min="83" max="83" width="23" bestFit="1" customWidth="1"/>
    <col min="84" max="84" width="20.83203125" bestFit="1" customWidth="1"/>
    <col min="85" max="85" width="23" bestFit="1" customWidth="1"/>
    <col min="86" max="89" width="20.5" bestFit="1" customWidth="1"/>
    <col min="90" max="91" width="22.6640625" bestFit="1" customWidth="1"/>
    <col min="92" max="92" width="21.6640625" bestFit="1" customWidth="1"/>
    <col min="93" max="93" width="20.5" bestFit="1" customWidth="1"/>
    <col min="94" max="94" width="20.83203125" bestFit="1" customWidth="1"/>
    <col min="95" max="97" width="20.5" bestFit="1" customWidth="1"/>
    <col min="98" max="98" width="19.83203125" bestFit="1" customWidth="1"/>
    <col min="99" max="99" width="20.5" bestFit="1" customWidth="1"/>
    <col min="100" max="100" width="20.83203125" bestFit="1" customWidth="1"/>
    <col min="101" max="101" width="20.5" bestFit="1" customWidth="1"/>
    <col min="102" max="103" width="21.6640625" bestFit="1" customWidth="1"/>
    <col min="104" max="104" width="20.5" bestFit="1" customWidth="1"/>
    <col min="105" max="105" width="21.6640625" bestFit="1" customWidth="1"/>
    <col min="106" max="107" width="20.83203125" bestFit="1" customWidth="1"/>
    <col min="108" max="110" width="20.5" bestFit="1" customWidth="1"/>
    <col min="111" max="112" width="21.6640625" bestFit="1" customWidth="1"/>
    <col min="113" max="118" width="20.5" bestFit="1" customWidth="1"/>
    <col min="119" max="119" width="22" bestFit="1" customWidth="1"/>
    <col min="120" max="120" width="19.83203125" bestFit="1" customWidth="1"/>
    <col min="121" max="122" width="20.5" bestFit="1" customWidth="1"/>
    <col min="123" max="123" width="21.6640625" bestFit="1" customWidth="1"/>
    <col min="124" max="124" width="20.83203125" bestFit="1" customWidth="1"/>
    <col min="125" max="125" width="20.5" bestFit="1" customWidth="1"/>
    <col min="126" max="126" width="21.6640625" bestFit="1" customWidth="1"/>
    <col min="127" max="128" width="20.5" bestFit="1" customWidth="1"/>
    <col min="129" max="129" width="20.83203125" bestFit="1" customWidth="1"/>
    <col min="130" max="130" width="23.6640625" bestFit="1" customWidth="1"/>
    <col min="131" max="131" width="20.5" bestFit="1" customWidth="1"/>
    <col min="132" max="132" width="21.6640625" bestFit="1" customWidth="1"/>
    <col min="133" max="137" width="20.5" bestFit="1" customWidth="1"/>
    <col min="138" max="138" width="21.6640625" bestFit="1" customWidth="1"/>
    <col min="139" max="139" width="20.83203125" bestFit="1" customWidth="1"/>
    <col min="140" max="141" width="21.6640625" bestFit="1" customWidth="1"/>
    <col min="142" max="142" width="20.5" bestFit="1" customWidth="1"/>
    <col min="143" max="143" width="19.83203125" bestFit="1" customWidth="1"/>
    <col min="144" max="145" width="20.5" bestFit="1" customWidth="1"/>
    <col min="146" max="147" width="21.6640625" bestFit="1" customWidth="1"/>
    <col min="148" max="149" width="20.5" bestFit="1" customWidth="1"/>
    <col min="150" max="150" width="22" bestFit="1" customWidth="1"/>
    <col min="151" max="151" width="20.83203125" bestFit="1" customWidth="1"/>
    <col min="152" max="152" width="20.5" bestFit="1" customWidth="1"/>
    <col min="153" max="153" width="20.83203125" bestFit="1" customWidth="1"/>
    <col min="154" max="154" width="22.6640625" bestFit="1" customWidth="1"/>
    <col min="155" max="157" width="20.5" bestFit="1" customWidth="1"/>
    <col min="158" max="158" width="20.83203125" bestFit="1" customWidth="1"/>
    <col min="159" max="159" width="20.5" bestFit="1" customWidth="1"/>
    <col min="160" max="160" width="19.83203125" bestFit="1" customWidth="1"/>
    <col min="161" max="163" width="21.6640625" bestFit="1" customWidth="1"/>
    <col min="164" max="166" width="20.5" bestFit="1" customWidth="1"/>
    <col min="167" max="167" width="21.6640625" bestFit="1" customWidth="1"/>
    <col min="168" max="171" width="20.5" bestFit="1" customWidth="1"/>
    <col min="172" max="172" width="22.6640625" bestFit="1" customWidth="1"/>
    <col min="173" max="173" width="20.83203125" bestFit="1" customWidth="1"/>
    <col min="174" max="174" width="20.5" bestFit="1" customWidth="1"/>
    <col min="175" max="175" width="20.83203125" bestFit="1" customWidth="1"/>
    <col min="176" max="176" width="21.6640625" bestFit="1" customWidth="1"/>
    <col min="177" max="177" width="20.83203125" bestFit="1" customWidth="1"/>
    <col min="178" max="178" width="21.6640625" bestFit="1" customWidth="1"/>
    <col min="179" max="179" width="20.5" bestFit="1" customWidth="1"/>
    <col min="180" max="180" width="22" bestFit="1" customWidth="1"/>
    <col min="181" max="181" width="20.5" bestFit="1" customWidth="1"/>
    <col min="182" max="183" width="21.6640625" bestFit="1" customWidth="1"/>
    <col min="184" max="184" width="20.5" bestFit="1" customWidth="1"/>
    <col min="185" max="187" width="21.6640625" bestFit="1" customWidth="1"/>
    <col min="188" max="188" width="20.83203125" bestFit="1" customWidth="1"/>
    <col min="189" max="189" width="20.5" bestFit="1" customWidth="1"/>
    <col min="190" max="190" width="21.6640625" bestFit="1" customWidth="1"/>
    <col min="191" max="191" width="20.5" bestFit="1" customWidth="1"/>
    <col min="192" max="192" width="21.6640625" bestFit="1" customWidth="1"/>
    <col min="193" max="195" width="20.5" bestFit="1" customWidth="1"/>
    <col min="196" max="196" width="21.6640625" bestFit="1" customWidth="1"/>
    <col min="197" max="201" width="20.5" bestFit="1" customWidth="1"/>
    <col min="202" max="202" width="20.83203125" bestFit="1" customWidth="1"/>
    <col min="203" max="203" width="20.5" bestFit="1" customWidth="1"/>
    <col min="204" max="204" width="20.83203125" bestFit="1" customWidth="1"/>
    <col min="205" max="205" width="21.6640625" bestFit="1" customWidth="1"/>
    <col min="206" max="206" width="22" bestFit="1" customWidth="1"/>
    <col min="207" max="211" width="20.5" bestFit="1" customWidth="1"/>
    <col min="212" max="213" width="20.83203125" bestFit="1" customWidth="1"/>
    <col min="214" max="214" width="20.5" bestFit="1" customWidth="1"/>
    <col min="215" max="215" width="21.6640625" bestFit="1" customWidth="1"/>
    <col min="216" max="216" width="20.83203125" bestFit="1" customWidth="1"/>
    <col min="217" max="217" width="20.5" bestFit="1" customWidth="1"/>
    <col min="218" max="218" width="21.6640625" bestFit="1" customWidth="1"/>
    <col min="219" max="219" width="20.83203125" bestFit="1" customWidth="1"/>
    <col min="220" max="221" width="20.5" bestFit="1" customWidth="1"/>
    <col min="222" max="222" width="22" bestFit="1" customWidth="1"/>
    <col min="223" max="223" width="20.5" bestFit="1" customWidth="1"/>
    <col min="224" max="225" width="21.6640625" bestFit="1" customWidth="1"/>
    <col min="226" max="230" width="20.5" bestFit="1" customWidth="1"/>
    <col min="231" max="231" width="20.83203125" bestFit="1" customWidth="1"/>
    <col min="232" max="232" width="21.6640625" bestFit="1" customWidth="1"/>
    <col min="233" max="234" width="20.5" bestFit="1" customWidth="1"/>
    <col min="235" max="235" width="20.83203125" bestFit="1" customWidth="1"/>
    <col min="236" max="236" width="20.5" bestFit="1" customWidth="1"/>
    <col min="237" max="237" width="22.6640625" bestFit="1" customWidth="1"/>
    <col min="238" max="238" width="21.6640625" bestFit="1" customWidth="1"/>
    <col min="239" max="241" width="20.5" bestFit="1" customWidth="1"/>
    <col min="242" max="242" width="20.83203125" bestFit="1" customWidth="1"/>
    <col min="243" max="243" width="20.5" bestFit="1" customWidth="1"/>
    <col min="244" max="244" width="20.83203125" bestFit="1" customWidth="1"/>
    <col min="245" max="245" width="21.6640625" bestFit="1" customWidth="1"/>
    <col min="246" max="246" width="20.5" bestFit="1" customWidth="1"/>
    <col min="247" max="247" width="20.83203125" bestFit="1" customWidth="1"/>
    <col min="248" max="248" width="22" bestFit="1" customWidth="1"/>
    <col min="249" max="249" width="20.83203125" bestFit="1" customWidth="1"/>
    <col min="250" max="250" width="20.5" bestFit="1" customWidth="1"/>
    <col min="251" max="252" width="20.83203125" bestFit="1" customWidth="1"/>
    <col min="253" max="253" width="20.5" bestFit="1" customWidth="1"/>
    <col min="254" max="255" width="21.6640625" bestFit="1" customWidth="1"/>
    <col min="256" max="256" width="20.5" bestFit="1" customWidth="1"/>
    <col min="257" max="257" width="19.83203125" bestFit="1" customWidth="1"/>
    <col min="258" max="258" width="21.6640625" bestFit="1" customWidth="1"/>
    <col min="259" max="259" width="20.5" bestFit="1" customWidth="1"/>
    <col min="260" max="260" width="20.83203125" bestFit="1" customWidth="1"/>
    <col min="261" max="261" width="20.5" bestFit="1" customWidth="1"/>
    <col min="262" max="262" width="21.6640625" bestFit="1" customWidth="1"/>
    <col min="263" max="263" width="20.5" bestFit="1" customWidth="1"/>
    <col min="264" max="264" width="21.6640625" bestFit="1" customWidth="1"/>
    <col min="265" max="265" width="20.5" bestFit="1" customWidth="1"/>
    <col min="266" max="266" width="22.6640625" bestFit="1" customWidth="1"/>
    <col min="267" max="267" width="21.6640625" bestFit="1" customWidth="1"/>
    <col min="268" max="268" width="20.5" bestFit="1" customWidth="1"/>
    <col min="269" max="270" width="20.83203125" bestFit="1" customWidth="1"/>
    <col min="271" max="271" width="22.6640625" bestFit="1" customWidth="1"/>
    <col min="272" max="274" width="20.5" bestFit="1" customWidth="1"/>
    <col min="275" max="275" width="20.83203125" bestFit="1" customWidth="1"/>
    <col min="276" max="276" width="20.5" bestFit="1" customWidth="1"/>
    <col min="277" max="279" width="21.6640625" bestFit="1" customWidth="1"/>
    <col min="280" max="280" width="20.5" bestFit="1" customWidth="1"/>
    <col min="281" max="281" width="22.6640625" bestFit="1" customWidth="1"/>
    <col min="282" max="282" width="20.83203125" bestFit="1" customWidth="1"/>
    <col min="283" max="283" width="20.5" bestFit="1" customWidth="1"/>
    <col min="284" max="284" width="20.83203125" bestFit="1" customWidth="1"/>
    <col min="285" max="285" width="21.6640625" bestFit="1" customWidth="1"/>
    <col min="286" max="286" width="20.83203125" bestFit="1" customWidth="1"/>
    <col min="287" max="287" width="21.6640625" bestFit="1" customWidth="1"/>
    <col min="288" max="288" width="20.83203125" bestFit="1" customWidth="1"/>
    <col min="289" max="289" width="20.5" bestFit="1" customWidth="1"/>
    <col min="290" max="290" width="22" bestFit="1" customWidth="1"/>
    <col min="291" max="291" width="20.5" bestFit="1" customWidth="1"/>
    <col min="292" max="292" width="20.83203125" bestFit="1" customWidth="1"/>
    <col min="293" max="294" width="21.6640625" bestFit="1" customWidth="1"/>
    <col min="295" max="296" width="20.5" bestFit="1" customWidth="1"/>
    <col min="297" max="298" width="21.6640625" bestFit="1" customWidth="1"/>
    <col min="299" max="300" width="20.83203125" bestFit="1" customWidth="1"/>
    <col min="301" max="302" width="21.6640625" bestFit="1" customWidth="1"/>
    <col min="303" max="303" width="20.83203125" bestFit="1" customWidth="1"/>
    <col min="304" max="304" width="21.6640625" bestFit="1" customWidth="1"/>
    <col min="305" max="305" width="20.5" bestFit="1" customWidth="1"/>
    <col min="306" max="306" width="20.83203125" bestFit="1" customWidth="1"/>
    <col min="307" max="311" width="20.5" bestFit="1" customWidth="1"/>
    <col min="312" max="312" width="21.6640625" bestFit="1" customWidth="1"/>
    <col min="313" max="313" width="20.83203125" bestFit="1" customWidth="1"/>
    <col min="314" max="315" width="22" bestFit="1" customWidth="1"/>
    <col min="316" max="316" width="20.5" bestFit="1" customWidth="1"/>
    <col min="317" max="317" width="20.83203125" bestFit="1" customWidth="1"/>
    <col min="318" max="318" width="21.6640625" bestFit="1" customWidth="1"/>
    <col min="319" max="324" width="20.5" bestFit="1" customWidth="1"/>
    <col min="325" max="325" width="21.6640625" bestFit="1" customWidth="1"/>
    <col min="326" max="326" width="22" bestFit="1" customWidth="1"/>
    <col min="327" max="329" width="20.5" bestFit="1" customWidth="1"/>
    <col min="330" max="330" width="21.6640625" bestFit="1" customWidth="1"/>
    <col min="331" max="331" width="22" bestFit="1" customWidth="1"/>
    <col min="332" max="333" width="21.6640625" bestFit="1" customWidth="1"/>
    <col min="334" max="334" width="20.5" bestFit="1" customWidth="1"/>
    <col min="335" max="335" width="20.83203125" bestFit="1" customWidth="1"/>
    <col min="336" max="336" width="20.5" bestFit="1" customWidth="1"/>
    <col min="337" max="338" width="21.6640625" bestFit="1" customWidth="1"/>
    <col min="339" max="340" width="20.5" bestFit="1" customWidth="1"/>
    <col min="341" max="341" width="21.6640625" bestFit="1" customWidth="1"/>
    <col min="342" max="342" width="20.83203125" bestFit="1" customWidth="1"/>
    <col min="343" max="343" width="21.6640625" bestFit="1" customWidth="1"/>
    <col min="344" max="344" width="20.5" bestFit="1" customWidth="1"/>
    <col min="345" max="345" width="20.83203125" bestFit="1" customWidth="1"/>
    <col min="346" max="346" width="20.5" bestFit="1" customWidth="1"/>
    <col min="347" max="347" width="22" bestFit="1" customWidth="1"/>
    <col min="348" max="348" width="20.5" bestFit="1" customWidth="1"/>
    <col min="349" max="349" width="21.6640625" bestFit="1" customWidth="1"/>
    <col min="350" max="350" width="20.5" bestFit="1" customWidth="1"/>
    <col min="351" max="351" width="21.6640625" bestFit="1" customWidth="1"/>
    <col min="352" max="352" width="20.83203125" bestFit="1" customWidth="1"/>
    <col min="353" max="355" width="20.5" bestFit="1" customWidth="1"/>
    <col min="356" max="356" width="20.83203125" bestFit="1" customWidth="1"/>
    <col min="357" max="359" width="20.5" bestFit="1" customWidth="1"/>
    <col min="360" max="360" width="20.83203125" bestFit="1" customWidth="1"/>
    <col min="361" max="361" width="21.6640625" bestFit="1" customWidth="1"/>
    <col min="362" max="362" width="20.5" bestFit="1" customWidth="1"/>
    <col min="363" max="363" width="21.6640625" bestFit="1" customWidth="1"/>
    <col min="364" max="365" width="20.83203125" bestFit="1" customWidth="1"/>
    <col min="366" max="366" width="19.83203125" bestFit="1" customWidth="1"/>
    <col min="367" max="367" width="21.6640625" bestFit="1" customWidth="1"/>
    <col min="368" max="370" width="20.5" bestFit="1" customWidth="1"/>
    <col min="371" max="371" width="21.6640625" bestFit="1" customWidth="1"/>
    <col min="372" max="373" width="20.83203125" bestFit="1" customWidth="1"/>
    <col min="374" max="374" width="21.6640625" bestFit="1" customWidth="1"/>
    <col min="375" max="376" width="20.5" bestFit="1" customWidth="1"/>
    <col min="377" max="377" width="20.83203125" bestFit="1" customWidth="1"/>
    <col min="378" max="378" width="20.5" bestFit="1" customWidth="1"/>
    <col min="379" max="379" width="20.83203125" bestFit="1" customWidth="1"/>
    <col min="380" max="380" width="20.5" bestFit="1" customWidth="1"/>
    <col min="381" max="381" width="20.83203125" bestFit="1" customWidth="1"/>
    <col min="382" max="382" width="22.6640625" bestFit="1" customWidth="1"/>
    <col min="383" max="384" width="20.5" bestFit="1" customWidth="1"/>
    <col min="385" max="386" width="21.6640625" bestFit="1" customWidth="1"/>
    <col min="387" max="387" width="22" bestFit="1" customWidth="1"/>
    <col min="388" max="388" width="20.5" bestFit="1" customWidth="1"/>
    <col min="389" max="389" width="20.83203125" bestFit="1" customWidth="1"/>
    <col min="390" max="390" width="20.5" bestFit="1" customWidth="1"/>
    <col min="391" max="392" width="20.83203125" bestFit="1" customWidth="1"/>
    <col min="393" max="393" width="19.83203125" bestFit="1" customWidth="1"/>
    <col min="394" max="396" width="20.5" bestFit="1" customWidth="1"/>
    <col min="397" max="397" width="20.83203125" bestFit="1" customWidth="1"/>
    <col min="398" max="398" width="20.5" bestFit="1" customWidth="1"/>
    <col min="399" max="400" width="21.6640625" bestFit="1" customWidth="1"/>
    <col min="401" max="401" width="20.83203125" bestFit="1" customWidth="1"/>
    <col min="402" max="402" width="21.6640625" bestFit="1" customWidth="1"/>
    <col min="403" max="403" width="22.6640625" bestFit="1" customWidth="1"/>
    <col min="404" max="404" width="21.6640625" bestFit="1" customWidth="1"/>
    <col min="405" max="406" width="20.5" bestFit="1" customWidth="1"/>
    <col min="407" max="408" width="21.6640625" bestFit="1" customWidth="1"/>
    <col min="409" max="410" width="20.83203125" bestFit="1" customWidth="1"/>
    <col min="411" max="412" width="20.5" bestFit="1" customWidth="1"/>
    <col min="413" max="413" width="20.83203125" bestFit="1" customWidth="1"/>
    <col min="414" max="414" width="20.5" bestFit="1" customWidth="1"/>
    <col min="415" max="415" width="20.83203125" bestFit="1" customWidth="1"/>
    <col min="416" max="417" width="21.6640625" bestFit="1" customWidth="1"/>
    <col min="418" max="420" width="20.5" bestFit="1" customWidth="1"/>
    <col min="421" max="421" width="20.83203125" bestFit="1" customWidth="1"/>
    <col min="422" max="422" width="20.5" bestFit="1" customWidth="1"/>
    <col min="423" max="423" width="21.6640625" bestFit="1" customWidth="1"/>
    <col min="424" max="424" width="20.83203125" bestFit="1" customWidth="1"/>
    <col min="425" max="425" width="20.5" bestFit="1" customWidth="1"/>
    <col min="426" max="426" width="22.6640625" bestFit="1" customWidth="1"/>
    <col min="427" max="428" width="21.6640625" bestFit="1" customWidth="1"/>
    <col min="429" max="429" width="20.83203125" bestFit="1" customWidth="1"/>
    <col min="430" max="430" width="21.6640625" bestFit="1" customWidth="1"/>
    <col min="431" max="432" width="20.5" bestFit="1" customWidth="1"/>
    <col min="433" max="433" width="21.6640625" bestFit="1" customWidth="1"/>
    <col min="434" max="434" width="20.83203125" bestFit="1" customWidth="1"/>
    <col min="435" max="435" width="20.5" bestFit="1" customWidth="1"/>
    <col min="436" max="436" width="22" bestFit="1" customWidth="1"/>
    <col min="437" max="437" width="20.5" bestFit="1" customWidth="1"/>
    <col min="438" max="438" width="20.83203125" bestFit="1" customWidth="1"/>
    <col min="439" max="439" width="21.6640625" bestFit="1" customWidth="1"/>
    <col min="440" max="440" width="20.5" bestFit="1" customWidth="1"/>
    <col min="441" max="444" width="20.83203125" bestFit="1" customWidth="1"/>
    <col min="445" max="445" width="20.5" bestFit="1" customWidth="1"/>
    <col min="446" max="446" width="20.83203125" bestFit="1" customWidth="1"/>
    <col min="447" max="447" width="20.5" bestFit="1" customWidth="1"/>
    <col min="448" max="448" width="21.6640625" bestFit="1" customWidth="1"/>
    <col min="449" max="449" width="20.5" bestFit="1" customWidth="1"/>
    <col min="450" max="450" width="20.83203125" bestFit="1" customWidth="1"/>
    <col min="451" max="451" width="20.5" bestFit="1" customWidth="1"/>
    <col min="452" max="452" width="21.6640625" bestFit="1" customWidth="1"/>
    <col min="453" max="453" width="20.5" bestFit="1" customWidth="1"/>
    <col min="454" max="454" width="20.83203125" bestFit="1" customWidth="1"/>
    <col min="455" max="457" width="20.5" bestFit="1" customWidth="1"/>
    <col min="458" max="458" width="22" bestFit="1" customWidth="1"/>
    <col min="459" max="459" width="21.6640625" bestFit="1" customWidth="1"/>
    <col min="460" max="460" width="19.83203125" bestFit="1" customWidth="1"/>
    <col min="461" max="461" width="21.6640625" bestFit="1" customWidth="1"/>
    <col min="462" max="462" width="20.83203125" bestFit="1" customWidth="1"/>
    <col min="463" max="464" width="20.5" bestFit="1" customWidth="1"/>
    <col min="465" max="465" width="20.83203125" bestFit="1" customWidth="1"/>
    <col min="466" max="466" width="20.5" bestFit="1" customWidth="1"/>
    <col min="467" max="467" width="20.83203125" bestFit="1" customWidth="1"/>
    <col min="468" max="468" width="19.83203125" bestFit="1" customWidth="1"/>
    <col min="469" max="469" width="21.6640625" bestFit="1" customWidth="1"/>
    <col min="470" max="472" width="20.5" bestFit="1" customWidth="1"/>
    <col min="473" max="474" width="21.6640625" bestFit="1" customWidth="1"/>
    <col min="475" max="476" width="20.5" bestFit="1" customWidth="1"/>
    <col min="477" max="477" width="21.6640625" bestFit="1" customWidth="1"/>
    <col min="478" max="479" width="20.5" bestFit="1" customWidth="1"/>
    <col min="480" max="480" width="21.6640625" bestFit="1" customWidth="1"/>
    <col min="481" max="481" width="22.6640625" bestFit="1" customWidth="1"/>
    <col min="482" max="483" width="20.5" bestFit="1" customWidth="1"/>
    <col min="484" max="484" width="20.83203125" bestFit="1" customWidth="1"/>
    <col min="485" max="485" width="21.6640625" bestFit="1" customWidth="1"/>
    <col min="486" max="486" width="20.83203125" bestFit="1" customWidth="1"/>
    <col min="487" max="487" width="20.5" bestFit="1" customWidth="1"/>
    <col min="488" max="488" width="20.83203125" bestFit="1" customWidth="1"/>
    <col min="489" max="489" width="21.6640625" bestFit="1" customWidth="1"/>
    <col min="490" max="490" width="20.83203125" bestFit="1" customWidth="1"/>
    <col min="491" max="491" width="19.83203125" bestFit="1" customWidth="1"/>
    <col min="492" max="494" width="20.5" bestFit="1" customWidth="1"/>
    <col min="495" max="495" width="21.6640625" bestFit="1" customWidth="1"/>
    <col min="496" max="496" width="22.6640625" bestFit="1" customWidth="1"/>
    <col min="497" max="497" width="19.83203125" bestFit="1" customWidth="1"/>
    <col min="498" max="499" width="20.5" bestFit="1" customWidth="1"/>
    <col min="500" max="500" width="21.6640625" bestFit="1" customWidth="1"/>
    <col min="501" max="501" width="20.83203125" bestFit="1" customWidth="1"/>
    <col min="502" max="502" width="21.6640625" bestFit="1" customWidth="1"/>
    <col min="503" max="504" width="20.5" bestFit="1" customWidth="1"/>
    <col min="505" max="505" width="21.6640625" bestFit="1" customWidth="1"/>
    <col min="506" max="506" width="20.83203125" bestFit="1" customWidth="1"/>
    <col min="507" max="507" width="20.5" bestFit="1" customWidth="1"/>
    <col min="508" max="508" width="20.83203125" bestFit="1" customWidth="1"/>
    <col min="509" max="509" width="20.5" bestFit="1" customWidth="1"/>
    <col min="510" max="512" width="20.83203125" bestFit="1" customWidth="1"/>
    <col min="513" max="513" width="20.5" bestFit="1" customWidth="1"/>
    <col min="514" max="514" width="20.83203125" bestFit="1" customWidth="1"/>
    <col min="515" max="516" width="20.5" bestFit="1" customWidth="1"/>
    <col min="517" max="517" width="22.6640625" bestFit="1" customWidth="1"/>
    <col min="518" max="518" width="20.5" bestFit="1" customWidth="1"/>
    <col min="519" max="519" width="21.6640625" bestFit="1" customWidth="1"/>
    <col min="520" max="520" width="20.5" bestFit="1" customWidth="1"/>
    <col min="521" max="521" width="21.6640625" bestFit="1" customWidth="1"/>
    <col min="522" max="522" width="20.5" bestFit="1" customWidth="1"/>
    <col min="523" max="523" width="20.83203125" bestFit="1" customWidth="1"/>
    <col min="524" max="525" width="20.5" bestFit="1" customWidth="1"/>
    <col min="526" max="526" width="21.6640625" bestFit="1" customWidth="1"/>
    <col min="527" max="527" width="20.5" bestFit="1" customWidth="1"/>
    <col min="528" max="528" width="20.83203125" bestFit="1" customWidth="1"/>
    <col min="529" max="531" width="20.5" bestFit="1" customWidth="1"/>
    <col min="532" max="532" width="21.6640625" bestFit="1" customWidth="1"/>
    <col min="533" max="534" width="20.83203125" bestFit="1" customWidth="1"/>
    <col min="535" max="535" width="21.6640625" bestFit="1" customWidth="1"/>
    <col min="536" max="536" width="20.83203125" bestFit="1" customWidth="1"/>
    <col min="537" max="537" width="19.83203125" bestFit="1" customWidth="1"/>
    <col min="538" max="538" width="21.6640625" bestFit="1" customWidth="1"/>
    <col min="539" max="545" width="20.5" bestFit="1" customWidth="1"/>
    <col min="546" max="546" width="20.83203125" bestFit="1" customWidth="1"/>
    <col min="547" max="547" width="21.6640625" bestFit="1" customWidth="1"/>
    <col min="548" max="548" width="20.5" bestFit="1" customWidth="1"/>
    <col min="549" max="549" width="20.83203125" bestFit="1" customWidth="1"/>
    <col min="550" max="550" width="20.5" bestFit="1" customWidth="1"/>
    <col min="551" max="551" width="22.6640625" bestFit="1" customWidth="1"/>
    <col min="552" max="552" width="20.5" bestFit="1" customWidth="1"/>
    <col min="553" max="554" width="20.83203125" bestFit="1" customWidth="1"/>
    <col min="555" max="556" width="20.5" bestFit="1" customWidth="1"/>
    <col min="557" max="557" width="19.83203125" bestFit="1" customWidth="1"/>
    <col min="558" max="558" width="22.6640625" bestFit="1" customWidth="1"/>
    <col min="559" max="561" width="20.5" bestFit="1" customWidth="1"/>
    <col min="562" max="562" width="20.83203125" bestFit="1" customWidth="1"/>
    <col min="563" max="563" width="20.5" bestFit="1" customWidth="1"/>
    <col min="564" max="564" width="20.83203125" bestFit="1" customWidth="1"/>
    <col min="565" max="565" width="20.5" bestFit="1" customWidth="1"/>
    <col min="566" max="566" width="21.6640625" bestFit="1" customWidth="1"/>
    <col min="567" max="568" width="20.5" bestFit="1" customWidth="1"/>
    <col min="569" max="570" width="21.6640625" bestFit="1" customWidth="1"/>
    <col min="571" max="571" width="20.5" bestFit="1" customWidth="1"/>
    <col min="572" max="572" width="20.83203125" bestFit="1" customWidth="1"/>
    <col min="573" max="573" width="19.83203125" bestFit="1" customWidth="1"/>
    <col min="574" max="574" width="21.6640625" bestFit="1" customWidth="1"/>
    <col min="575" max="575" width="20.5" bestFit="1" customWidth="1"/>
    <col min="576" max="576" width="19.83203125" bestFit="1" customWidth="1"/>
    <col min="577" max="577" width="22.6640625" bestFit="1" customWidth="1"/>
    <col min="578" max="578" width="20.5" bestFit="1" customWidth="1"/>
    <col min="579" max="579" width="20.83203125" bestFit="1" customWidth="1"/>
    <col min="580" max="580" width="21.6640625" bestFit="1" customWidth="1"/>
    <col min="581" max="581" width="20.5" bestFit="1" customWidth="1"/>
    <col min="582" max="583" width="21.6640625" bestFit="1" customWidth="1"/>
    <col min="584" max="586" width="20.5" bestFit="1" customWidth="1"/>
    <col min="587" max="587" width="20.83203125" bestFit="1" customWidth="1"/>
    <col min="588" max="588" width="21.6640625" bestFit="1" customWidth="1"/>
    <col min="589" max="589" width="20.83203125" bestFit="1" customWidth="1"/>
    <col min="590" max="590" width="21.6640625" bestFit="1" customWidth="1"/>
    <col min="591" max="592" width="20.5" bestFit="1" customWidth="1"/>
    <col min="593" max="593" width="21.6640625" bestFit="1" customWidth="1"/>
    <col min="594" max="597" width="20.5" bestFit="1" customWidth="1"/>
    <col min="598" max="598" width="20.83203125" bestFit="1" customWidth="1"/>
    <col min="599" max="600" width="20.5" bestFit="1" customWidth="1"/>
    <col min="601" max="601" width="19.83203125" bestFit="1" customWidth="1"/>
    <col min="602" max="602" width="22.6640625" bestFit="1" customWidth="1"/>
    <col min="603" max="603" width="21.6640625" bestFit="1" customWidth="1"/>
    <col min="604" max="604" width="19.83203125" bestFit="1" customWidth="1"/>
    <col min="605" max="607" width="20.83203125" bestFit="1" customWidth="1"/>
    <col min="608" max="608" width="22.6640625" bestFit="1" customWidth="1"/>
    <col min="609" max="610" width="20.83203125" bestFit="1" customWidth="1"/>
    <col min="611" max="612" width="20.5" bestFit="1" customWidth="1"/>
    <col min="613" max="613" width="20.83203125" bestFit="1" customWidth="1"/>
    <col min="614" max="616" width="20.5" bestFit="1" customWidth="1"/>
    <col min="617" max="617" width="21.6640625" bestFit="1" customWidth="1"/>
    <col min="618" max="618" width="22" bestFit="1" customWidth="1"/>
    <col min="619" max="620" width="20.5" bestFit="1" customWidth="1"/>
    <col min="621" max="621" width="21.6640625" bestFit="1" customWidth="1"/>
    <col min="622" max="622" width="20.5" bestFit="1" customWidth="1"/>
    <col min="623" max="625" width="21.6640625" bestFit="1" customWidth="1"/>
    <col min="626" max="626" width="22.6640625" bestFit="1" customWidth="1"/>
    <col min="627" max="627" width="20.5" bestFit="1" customWidth="1"/>
    <col min="628" max="628" width="20.83203125" bestFit="1" customWidth="1"/>
    <col min="629" max="632" width="20.5" bestFit="1" customWidth="1"/>
    <col min="633" max="633" width="21.6640625" bestFit="1" customWidth="1"/>
    <col min="634" max="634" width="20.83203125" bestFit="1" customWidth="1"/>
    <col min="635" max="635" width="19.83203125" bestFit="1" customWidth="1"/>
    <col min="636" max="636" width="20.5" bestFit="1" customWidth="1"/>
    <col min="637" max="637" width="20.83203125" bestFit="1" customWidth="1"/>
    <col min="638" max="643" width="20.5" bestFit="1" customWidth="1"/>
    <col min="644" max="645" width="21.6640625" bestFit="1" customWidth="1"/>
    <col min="646" max="652" width="20.5" bestFit="1" customWidth="1"/>
    <col min="653" max="653" width="20.83203125" bestFit="1" customWidth="1"/>
    <col min="654" max="654" width="19.83203125" bestFit="1" customWidth="1"/>
    <col min="655" max="656" width="20.5" bestFit="1" customWidth="1"/>
    <col min="657" max="657" width="21.6640625" bestFit="1" customWidth="1"/>
    <col min="658" max="658" width="20.5" bestFit="1" customWidth="1"/>
    <col min="659" max="659" width="21.6640625" bestFit="1" customWidth="1"/>
    <col min="660" max="660" width="20.5" bestFit="1" customWidth="1"/>
    <col min="661" max="662" width="20.83203125" bestFit="1" customWidth="1"/>
    <col min="663" max="663" width="21.6640625" bestFit="1" customWidth="1"/>
    <col min="664" max="665" width="20.5" bestFit="1" customWidth="1"/>
    <col min="666" max="666" width="20.83203125" bestFit="1" customWidth="1"/>
    <col min="667" max="669" width="20.5" bestFit="1" customWidth="1"/>
    <col min="670" max="670" width="20.83203125" bestFit="1" customWidth="1"/>
    <col min="671" max="671" width="21.6640625" bestFit="1" customWidth="1"/>
    <col min="672" max="672" width="19.83203125" bestFit="1" customWidth="1"/>
    <col min="673" max="673" width="21.6640625" bestFit="1" customWidth="1"/>
    <col min="674" max="674" width="20.5" bestFit="1" customWidth="1"/>
    <col min="675" max="675" width="21.6640625" bestFit="1" customWidth="1"/>
    <col min="676" max="677" width="20.5" bestFit="1" customWidth="1"/>
    <col min="678" max="678" width="20.83203125" bestFit="1" customWidth="1"/>
    <col min="679" max="679" width="20.5" bestFit="1" customWidth="1"/>
    <col min="680" max="681" width="21.6640625" bestFit="1" customWidth="1"/>
    <col min="682" max="684" width="20.5" bestFit="1" customWidth="1"/>
    <col min="685" max="686" width="20.83203125" bestFit="1" customWidth="1"/>
    <col min="687" max="687" width="20.5" bestFit="1" customWidth="1"/>
    <col min="688" max="688" width="19.83203125" bestFit="1" customWidth="1"/>
    <col min="689" max="690" width="20.5" bestFit="1" customWidth="1"/>
    <col min="691" max="692" width="21.6640625" bestFit="1" customWidth="1"/>
    <col min="693" max="693" width="20.5" bestFit="1" customWidth="1"/>
    <col min="694" max="694" width="22" bestFit="1" customWidth="1"/>
    <col min="695" max="696" width="19.83203125" bestFit="1" customWidth="1"/>
    <col min="697" max="699" width="20.5" bestFit="1" customWidth="1"/>
    <col min="700" max="700" width="21.6640625" bestFit="1" customWidth="1"/>
    <col min="701" max="701" width="20.5" bestFit="1" customWidth="1"/>
    <col min="702" max="702" width="21.6640625" bestFit="1" customWidth="1"/>
    <col min="703" max="703" width="20.83203125" bestFit="1" customWidth="1"/>
    <col min="704" max="707" width="20.5" bestFit="1" customWidth="1"/>
    <col min="708" max="708" width="21.6640625" bestFit="1" customWidth="1"/>
    <col min="709" max="709" width="20.5" bestFit="1" customWidth="1"/>
    <col min="710" max="710" width="20.83203125" bestFit="1" customWidth="1"/>
    <col min="711" max="712" width="20.5" bestFit="1" customWidth="1"/>
    <col min="713" max="713" width="20.83203125" bestFit="1" customWidth="1"/>
    <col min="714" max="714" width="22.6640625" bestFit="1" customWidth="1"/>
    <col min="715" max="715" width="22" bestFit="1" customWidth="1"/>
    <col min="716" max="716" width="20.5" bestFit="1" customWidth="1"/>
    <col min="717" max="718" width="20.83203125" bestFit="1" customWidth="1"/>
    <col min="719" max="719" width="21.6640625" bestFit="1" customWidth="1"/>
    <col min="720" max="720" width="22" bestFit="1" customWidth="1"/>
    <col min="721" max="721" width="21.6640625" bestFit="1" customWidth="1"/>
    <col min="722" max="722" width="20.83203125" bestFit="1" customWidth="1"/>
    <col min="723" max="724" width="21.6640625" bestFit="1" customWidth="1"/>
    <col min="725" max="725" width="20.83203125" bestFit="1" customWidth="1"/>
    <col min="726" max="727" width="20.5" bestFit="1" customWidth="1"/>
    <col min="728" max="728" width="21.6640625" bestFit="1" customWidth="1"/>
    <col min="729" max="729" width="20.83203125" bestFit="1" customWidth="1"/>
    <col min="730" max="731" width="20.5" bestFit="1" customWidth="1"/>
    <col min="732" max="732" width="21.6640625" bestFit="1" customWidth="1"/>
    <col min="733" max="733" width="20.5" bestFit="1" customWidth="1"/>
    <col min="734" max="734" width="21.6640625" bestFit="1" customWidth="1"/>
    <col min="735" max="735" width="20.5" bestFit="1" customWidth="1"/>
    <col min="736" max="736" width="20.83203125" bestFit="1" customWidth="1"/>
    <col min="737" max="737" width="20.5" bestFit="1" customWidth="1"/>
    <col min="738" max="738" width="20.83203125" bestFit="1" customWidth="1"/>
    <col min="739" max="739" width="21.6640625" bestFit="1" customWidth="1"/>
    <col min="740" max="741" width="20.5" bestFit="1" customWidth="1"/>
    <col min="742" max="742" width="20.83203125" bestFit="1" customWidth="1"/>
    <col min="743" max="744" width="20.5" bestFit="1" customWidth="1"/>
    <col min="745" max="745" width="22" bestFit="1" customWidth="1"/>
    <col min="746" max="746" width="20.5" bestFit="1" customWidth="1"/>
    <col min="747" max="747" width="21.6640625" bestFit="1" customWidth="1"/>
    <col min="748" max="748" width="20.5" bestFit="1" customWidth="1"/>
    <col min="749" max="749" width="21.6640625" bestFit="1" customWidth="1"/>
    <col min="750" max="750" width="20.5" bestFit="1" customWidth="1"/>
    <col min="751" max="751" width="21.6640625" bestFit="1" customWidth="1"/>
    <col min="752" max="753" width="20.5" bestFit="1" customWidth="1"/>
    <col min="754" max="755" width="20.83203125" bestFit="1" customWidth="1"/>
    <col min="756" max="757" width="21.6640625" bestFit="1" customWidth="1"/>
    <col min="758" max="760" width="20.5" bestFit="1" customWidth="1"/>
    <col min="761" max="761" width="20.83203125" bestFit="1" customWidth="1"/>
    <col min="762" max="763" width="20.5" bestFit="1" customWidth="1"/>
    <col min="764" max="764" width="21.6640625" bestFit="1" customWidth="1"/>
    <col min="765" max="765" width="20.5" bestFit="1" customWidth="1"/>
    <col min="766" max="767" width="20.83203125" bestFit="1" customWidth="1"/>
    <col min="768" max="770" width="20.5" bestFit="1" customWidth="1"/>
    <col min="771" max="771" width="21.6640625" bestFit="1" customWidth="1"/>
    <col min="772" max="774" width="20.5" bestFit="1" customWidth="1"/>
    <col min="775" max="776" width="20.83203125" bestFit="1" customWidth="1"/>
  </cols>
  <sheetData>
    <row r="1" spans="1:776" x14ac:dyDescent="0.2">
      <c r="A1" t="s">
        <v>0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  <c r="AZ1" t="s">
        <v>144</v>
      </c>
      <c r="BA1" t="s">
        <v>145</v>
      </c>
      <c r="BB1" t="s">
        <v>146</v>
      </c>
      <c r="BC1" t="s">
        <v>147</v>
      </c>
      <c r="BD1" t="s">
        <v>148</v>
      </c>
      <c r="BE1" t="s">
        <v>149</v>
      </c>
      <c r="BF1" t="s">
        <v>150</v>
      </c>
      <c r="BG1" t="s">
        <v>151</v>
      </c>
      <c r="BH1" t="s">
        <v>152</v>
      </c>
      <c r="BI1" t="s">
        <v>153</v>
      </c>
      <c r="BJ1" t="s">
        <v>154</v>
      </c>
      <c r="BK1" t="s">
        <v>155</v>
      </c>
      <c r="BL1" t="s">
        <v>156</v>
      </c>
      <c r="BM1" t="s">
        <v>157</v>
      </c>
      <c r="BN1" t="s">
        <v>158</v>
      </c>
      <c r="BO1" t="s">
        <v>159</v>
      </c>
      <c r="BP1" t="s">
        <v>160</v>
      </c>
      <c r="BQ1" t="s">
        <v>161</v>
      </c>
      <c r="BR1" t="s">
        <v>162</v>
      </c>
      <c r="BS1" t="s">
        <v>163</v>
      </c>
      <c r="BT1" t="s">
        <v>164</v>
      </c>
      <c r="BU1" t="s">
        <v>165</v>
      </c>
      <c r="BV1" t="s">
        <v>166</v>
      </c>
      <c r="BW1" t="s">
        <v>167</v>
      </c>
      <c r="BX1" t="s">
        <v>168</v>
      </c>
      <c r="BY1" t="s">
        <v>169</v>
      </c>
      <c r="BZ1" t="s">
        <v>170</v>
      </c>
      <c r="CA1" t="s">
        <v>171</v>
      </c>
      <c r="CB1" t="s">
        <v>172</v>
      </c>
      <c r="CC1" t="s">
        <v>173</v>
      </c>
      <c r="CD1" t="s">
        <v>174</v>
      </c>
      <c r="CE1" t="s">
        <v>175</v>
      </c>
      <c r="CF1" t="s">
        <v>176</v>
      </c>
      <c r="CG1" t="s">
        <v>177</v>
      </c>
      <c r="CH1" t="s">
        <v>178</v>
      </c>
      <c r="CI1" t="s">
        <v>179</v>
      </c>
      <c r="CJ1" t="s">
        <v>180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191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212</v>
      </c>
      <c r="DQ1" t="s">
        <v>213</v>
      </c>
      <c r="DR1" t="s">
        <v>214</v>
      </c>
      <c r="DS1" t="s">
        <v>215</v>
      </c>
      <c r="DT1" t="s">
        <v>216</v>
      </c>
      <c r="DU1" t="s">
        <v>217</v>
      </c>
      <c r="DV1" t="s">
        <v>218</v>
      </c>
      <c r="DW1" t="s">
        <v>219</v>
      </c>
      <c r="DX1" t="s">
        <v>220</v>
      </c>
      <c r="DY1" t="s">
        <v>221</v>
      </c>
      <c r="DZ1" t="s">
        <v>222</v>
      </c>
      <c r="EA1" t="s">
        <v>223</v>
      </c>
      <c r="EB1" t="s">
        <v>224</v>
      </c>
      <c r="EC1" t="s">
        <v>225</v>
      </c>
      <c r="ED1" t="s">
        <v>226</v>
      </c>
      <c r="EE1" t="s">
        <v>227</v>
      </c>
      <c r="EF1" t="s">
        <v>228</v>
      </c>
      <c r="EG1" t="s">
        <v>229</v>
      </c>
      <c r="EH1" t="s">
        <v>230</v>
      </c>
      <c r="EI1" t="s">
        <v>231</v>
      </c>
      <c r="EJ1" t="s">
        <v>232</v>
      </c>
      <c r="EK1" t="s">
        <v>233</v>
      </c>
      <c r="EL1" t="s">
        <v>234</v>
      </c>
      <c r="EM1" t="s">
        <v>235</v>
      </c>
      <c r="EN1" t="s">
        <v>236</v>
      </c>
      <c r="EO1" t="s">
        <v>237</v>
      </c>
      <c r="EP1" t="s">
        <v>238</v>
      </c>
      <c r="EQ1" t="s">
        <v>239</v>
      </c>
      <c r="ER1" t="s">
        <v>240</v>
      </c>
      <c r="ES1" t="s">
        <v>241</v>
      </c>
      <c r="ET1" t="s">
        <v>242</v>
      </c>
      <c r="EU1" t="s">
        <v>243</v>
      </c>
      <c r="EV1" t="s">
        <v>244</v>
      </c>
      <c r="EW1" t="s">
        <v>245</v>
      </c>
      <c r="EX1" t="s">
        <v>246</v>
      </c>
      <c r="EY1" t="s">
        <v>247</v>
      </c>
      <c r="EZ1" t="s">
        <v>248</v>
      </c>
      <c r="FA1" t="s">
        <v>249</v>
      </c>
      <c r="FB1" t="s">
        <v>250</v>
      </c>
      <c r="FC1" t="s">
        <v>251</v>
      </c>
      <c r="FD1" t="s">
        <v>252</v>
      </c>
      <c r="FE1" t="s">
        <v>253</v>
      </c>
      <c r="FF1" t="s">
        <v>254</v>
      </c>
      <c r="FG1" t="s">
        <v>255</v>
      </c>
      <c r="FH1" t="s">
        <v>256</v>
      </c>
      <c r="FI1" t="s">
        <v>257</v>
      </c>
      <c r="FJ1" t="s">
        <v>258</v>
      </c>
      <c r="FK1" t="s">
        <v>259</v>
      </c>
      <c r="FL1" t="s">
        <v>260</v>
      </c>
      <c r="FM1" t="s">
        <v>261</v>
      </c>
      <c r="FN1" t="s">
        <v>262</v>
      </c>
      <c r="FO1" t="s">
        <v>263</v>
      </c>
      <c r="FP1" t="s">
        <v>264</v>
      </c>
      <c r="FQ1" t="s">
        <v>265</v>
      </c>
      <c r="FR1" t="s">
        <v>266</v>
      </c>
      <c r="FS1" t="s">
        <v>267</v>
      </c>
      <c r="FT1" t="s">
        <v>268</v>
      </c>
      <c r="FU1" t="s">
        <v>269</v>
      </c>
      <c r="FV1" t="s">
        <v>270</v>
      </c>
      <c r="FW1" t="s">
        <v>271</v>
      </c>
      <c r="FX1" t="s">
        <v>272</v>
      </c>
      <c r="FY1" t="s">
        <v>273</v>
      </c>
      <c r="FZ1" t="s">
        <v>274</v>
      </c>
      <c r="GA1" t="s">
        <v>275</v>
      </c>
      <c r="GB1" t="s">
        <v>276</v>
      </c>
      <c r="GC1" t="s">
        <v>277</v>
      </c>
      <c r="GD1" t="s">
        <v>278</v>
      </c>
      <c r="GE1" t="s">
        <v>279</v>
      </c>
      <c r="GF1" t="s">
        <v>280</v>
      </c>
      <c r="GG1" t="s">
        <v>281</v>
      </c>
      <c r="GH1" t="s">
        <v>282</v>
      </c>
      <c r="GI1" t="s">
        <v>283</v>
      </c>
      <c r="GJ1" t="s">
        <v>284</v>
      </c>
      <c r="GK1" t="s">
        <v>285</v>
      </c>
      <c r="GL1" t="s">
        <v>286</v>
      </c>
      <c r="GM1" t="s">
        <v>287</v>
      </c>
      <c r="GN1" t="s">
        <v>288</v>
      </c>
      <c r="GO1" t="s">
        <v>289</v>
      </c>
      <c r="GP1" t="s">
        <v>290</v>
      </c>
      <c r="GQ1" t="s">
        <v>291</v>
      </c>
      <c r="GR1" t="s">
        <v>292</v>
      </c>
      <c r="GS1" t="s">
        <v>293</v>
      </c>
      <c r="GT1" t="s">
        <v>294</v>
      </c>
      <c r="GU1" t="s">
        <v>295</v>
      </c>
      <c r="GV1" t="s">
        <v>296</v>
      </c>
      <c r="GW1" t="s">
        <v>297</v>
      </c>
      <c r="GX1" t="s">
        <v>298</v>
      </c>
      <c r="GY1" t="s">
        <v>299</v>
      </c>
      <c r="GZ1" t="s">
        <v>300</v>
      </c>
      <c r="HA1" t="s">
        <v>301</v>
      </c>
      <c r="HB1" t="s">
        <v>302</v>
      </c>
      <c r="HC1" t="s">
        <v>303</v>
      </c>
      <c r="HD1" t="s">
        <v>304</v>
      </c>
      <c r="HE1" t="s">
        <v>305</v>
      </c>
      <c r="HF1" t="s">
        <v>306</v>
      </c>
      <c r="HG1" t="s">
        <v>307</v>
      </c>
      <c r="HH1" t="s">
        <v>308</v>
      </c>
      <c r="HI1" t="s">
        <v>309</v>
      </c>
      <c r="HJ1" t="s">
        <v>310</v>
      </c>
      <c r="HK1" t="s">
        <v>311</v>
      </c>
      <c r="HL1" t="s">
        <v>312</v>
      </c>
      <c r="HM1" t="s">
        <v>313</v>
      </c>
      <c r="HN1" t="s">
        <v>314</v>
      </c>
      <c r="HO1" t="s">
        <v>315</v>
      </c>
      <c r="HP1" t="s">
        <v>316</v>
      </c>
      <c r="HQ1" t="s">
        <v>317</v>
      </c>
      <c r="HR1" t="s">
        <v>318</v>
      </c>
      <c r="HS1" t="s">
        <v>319</v>
      </c>
      <c r="HT1" t="s">
        <v>320</v>
      </c>
      <c r="HU1" t="s">
        <v>321</v>
      </c>
      <c r="HV1" t="s">
        <v>322</v>
      </c>
      <c r="HW1" t="s">
        <v>323</v>
      </c>
      <c r="HX1" t="s">
        <v>324</v>
      </c>
      <c r="HY1" t="s">
        <v>325</v>
      </c>
      <c r="HZ1" t="s">
        <v>326</v>
      </c>
      <c r="IA1" t="s">
        <v>327</v>
      </c>
      <c r="IB1" t="s">
        <v>328</v>
      </c>
      <c r="IC1" t="s">
        <v>329</v>
      </c>
      <c r="ID1" t="s">
        <v>330</v>
      </c>
      <c r="IE1" t="s">
        <v>331</v>
      </c>
      <c r="IF1" t="s">
        <v>332</v>
      </c>
      <c r="IG1" t="s">
        <v>333</v>
      </c>
      <c r="IH1" t="s">
        <v>334</v>
      </c>
      <c r="II1" t="s">
        <v>335</v>
      </c>
      <c r="IJ1" t="s">
        <v>336</v>
      </c>
      <c r="IK1" t="s">
        <v>337</v>
      </c>
      <c r="IL1" t="s">
        <v>338</v>
      </c>
      <c r="IM1" t="s">
        <v>339</v>
      </c>
      <c r="IN1" t="s">
        <v>340</v>
      </c>
      <c r="IO1" t="s">
        <v>341</v>
      </c>
      <c r="IP1" t="s">
        <v>342</v>
      </c>
      <c r="IQ1" t="s">
        <v>343</v>
      </c>
      <c r="IR1" t="s">
        <v>344</v>
      </c>
      <c r="IS1" t="s">
        <v>345</v>
      </c>
      <c r="IT1" t="s">
        <v>346</v>
      </c>
      <c r="IU1" t="s">
        <v>347</v>
      </c>
      <c r="IV1" t="s">
        <v>348</v>
      </c>
      <c r="IW1" t="s">
        <v>349</v>
      </c>
      <c r="IX1" t="s">
        <v>350</v>
      </c>
      <c r="IY1" t="s">
        <v>351</v>
      </c>
      <c r="IZ1" t="s">
        <v>352</v>
      </c>
      <c r="JA1" t="s">
        <v>353</v>
      </c>
      <c r="JB1" t="s">
        <v>354</v>
      </c>
      <c r="JC1" t="s">
        <v>355</v>
      </c>
      <c r="JD1" t="s">
        <v>356</v>
      </c>
      <c r="JE1" t="s">
        <v>357</v>
      </c>
      <c r="JF1" t="s">
        <v>358</v>
      </c>
      <c r="JG1" t="s">
        <v>359</v>
      </c>
      <c r="JH1" t="s">
        <v>360</v>
      </c>
      <c r="JI1" t="s">
        <v>361</v>
      </c>
      <c r="JJ1" t="s">
        <v>362</v>
      </c>
      <c r="JK1" t="s">
        <v>363</v>
      </c>
      <c r="JL1" t="s">
        <v>364</v>
      </c>
      <c r="JM1" t="s">
        <v>365</v>
      </c>
      <c r="JN1" t="s">
        <v>366</v>
      </c>
      <c r="JO1" t="s">
        <v>367</v>
      </c>
      <c r="JP1" t="s">
        <v>368</v>
      </c>
      <c r="JQ1" t="s">
        <v>369</v>
      </c>
      <c r="JR1" t="s">
        <v>370</v>
      </c>
      <c r="JS1" t="s">
        <v>371</v>
      </c>
      <c r="JT1" t="s">
        <v>372</v>
      </c>
      <c r="JU1" t="s">
        <v>373</v>
      </c>
      <c r="JV1" t="s">
        <v>374</v>
      </c>
      <c r="JW1" t="s">
        <v>375</v>
      </c>
      <c r="JX1" t="s">
        <v>376</v>
      </c>
      <c r="JY1" t="s">
        <v>377</v>
      </c>
      <c r="JZ1" t="s">
        <v>378</v>
      </c>
      <c r="KA1" t="s">
        <v>379</v>
      </c>
      <c r="KB1" t="s">
        <v>380</v>
      </c>
      <c r="KC1" t="s">
        <v>381</v>
      </c>
      <c r="KD1" t="s">
        <v>382</v>
      </c>
      <c r="KE1" t="s">
        <v>383</v>
      </c>
      <c r="KF1" t="s">
        <v>384</v>
      </c>
      <c r="KG1" t="s">
        <v>385</v>
      </c>
      <c r="KH1" t="s">
        <v>386</v>
      </c>
      <c r="KI1" t="s">
        <v>387</v>
      </c>
      <c r="KJ1" t="s">
        <v>388</v>
      </c>
      <c r="KK1" t="s">
        <v>389</v>
      </c>
      <c r="KL1" t="s">
        <v>390</v>
      </c>
      <c r="KM1" t="s">
        <v>391</v>
      </c>
      <c r="KN1" t="s">
        <v>392</v>
      </c>
      <c r="KO1" t="s">
        <v>393</v>
      </c>
      <c r="KP1" t="s">
        <v>394</v>
      </c>
      <c r="KQ1" t="s">
        <v>395</v>
      </c>
      <c r="KR1" t="s">
        <v>396</v>
      </c>
      <c r="KS1" t="s">
        <v>397</v>
      </c>
      <c r="KT1" t="s">
        <v>398</v>
      </c>
      <c r="KU1" t="s">
        <v>399</v>
      </c>
      <c r="KV1" t="s">
        <v>400</v>
      </c>
      <c r="KW1" t="s">
        <v>401</v>
      </c>
      <c r="KX1" t="s">
        <v>402</v>
      </c>
      <c r="KY1" t="s">
        <v>403</v>
      </c>
      <c r="KZ1" t="s">
        <v>404</v>
      </c>
      <c r="LA1" t="s">
        <v>405</v>
      </c>
      <c r="LB1" t="s">
        <v>406</v>
      </c>
      <c r="LC1" t="s">
        <v>407</v>
      </c>
      <c r="LD1" t="s">
        <v>408</v>
      </c>
      <c r="LE1" t="s">
        <v>409</v>
      </c>
      <c r="LF1" t="s">
        <v>410</v>
      </c>
      <c r="LG1" t="s">
        <v>411</v>
      </c>
      <c r="LH1" t="s">
        <v>412</v>
      </c>
      <c r="LI1" t="s">
        <v>413</v>
      </c>
      <c r="LJ1" t="s">
        <v>414</v>
      </c>
      <c r="LK1" t="s">
        <v>415</v>
      </c>
      <c r="LL1" t="s">
        <v>416</v>
      </c>
      <c r="LM1" t="s">
        <v>417</v>
      </c>
      <c r="LN1" t="s">
        <v>418</v>
      </c>
      <c r="LO1" t="s">
        <v>419</v>
      </c>
      <c r="LP1" t="s">
        <v>420</v>
      </c>
      <c r="LQ1" t="s">
        <v>421</v>
      </c>
      <c r="LR1" t="s">
        <v>422</v>
      </c>
      <c r="LS1" t="s">
        <v>423</v>
      </c>
      <c r="LT1" t="s">
        <v>424</v>
      </c>
      <c r="LU1" t="s">
        <v>425</v>
      </c>
      <c r="LV1" t="s">
        <v>426</v>
      </c>
      <c r="LW1" t="s">
        <v>427</v>
      </c>
      <c r="LX1" t="s">
        <v>428</v>
      </c>
      <c r="LY1" t="s">
        <v>429</v>
      </c>
      <c r="LZ1" t="s">
        <v>430</v>
      </c>
      <c r="MA1" t="s">
        <v>431</v>
      </c>
      <c r="MB1" t="s">
        <v>432</v>
      </c>
      <c r="MC1" t="s">
        <v>433</v>
      </c>
      <c r="MD1" t="s">
        <v>434</v>
      </c>
      <c r="ME1" t="s">
        <v>435</v>
      </c>
      <c r="MF1" t="s">
        <v>436</v>
      </c>
      <c r="MG1" t="s">
        <v>437</v>
      </c>
      <c r="MH1" t="s">
        <v>438</v>
      </c>
      <c r="MI1" t="s">
        <v>439</v>
      </c>
      <c r="MJ1" t="s">
        <v>440</v>
      </c>
      <c r="MK1" t="s">
        <v>441</v>
      </c>
      <c r="ML1" t="s">
        <v>442</v>
      </c>
      <c r="MM1" t="s">
        <v>443</v>
      </c>
      <c r="MN1" t="s">
        <v>444</v>
      </c>
      <c r="MO1" t="s">
        <v>445</v>
      </c>
      <c r="MP1" t="s">
        <v>446</v>
      </c>
      <c r="MQ1" t="s">
        <v>447</v>
      </c>
      <c r="MR1" t="s">
        <v>448</v>
      </c>
      <c r="MS1" t="s">
        <v>449</v>
      </c>
      <c r="MT1" t="s">
        <v>450</v>
      </c>
      <c r="MU1" t="s">
        <v>451</v>
      </c>
      <c r="MV1" t="s">
        <v>452</v>
      </c>
      <c r="MW1" t="s">
        <v>453</v>
      </c>
      <c r="MX1" t="s">
        <v>454</v>
      </c>
      <c r="MY1" t="s">
        <v>455</v>
      </c>
      <c r="MZ1" t="s">
        <v>456</v>
      </c>
      <c r="NA1" t="s">
        <v>457</v>
      </c>
      <c r="NB1" t="s">
        <v>458</v>
      </c>
      <c r="NC1" t="s">
        <v>459</v>
      </c>
      <c r="ND1" t="s">
        <v>460</v>
      </c>
      <c r="NE1" t="s">
        <v>461</v>
      </c>
      <c r="NF1" t="s">
        <v>462</v>
      </c>
      <c r="NG1" t="s">
        <v>463</v>
      </c>
      <c r="NH1" t="s">
        <v>464</v>
      </c>
      <c r="NI1" t="s">
        <v>465</v>
      </c>
      <c r="NJ1" t="s">
        <v>466</v>
      </c>
      <c r="NK1" t="s">
        <v>467</v>
      </c>
      <c r="NL1" t="s">
        <v>468</v>
      </c>
      <c r="NM1" t="s">
        <v>469</v>
      </c>
      <c r="NN1" t="s">
        <v>470</v>
      </c>
      <c r="NO1" t="s">
        <v>471</v>
      </c>
      <c r="NP1" t="s">
        <v>472</v>
      </c>
      <c r="NQ1" t="s">
        <v>473</v>
      </c>
      <c r="NR1" t="s">
        <v>474</v>
      </c>
      <c r="NS1" t="s">
        <v>475</v>
      </c>
      <c r="NT1" t="s">
        <v>476</v>
      </c>
      <c r="NU1" t="s">
        <v>477</v>
      </c>
      <c r="NV1" t="s">
        <v>478</v>
      </c>
      <c r="NW1" t="s">
        <v>479</v>
      </c>
      <c r="NX1" t="s">
        <v>480</v>
      </c>
      <c r="NY1" t="s">
        <v>481</v>
      </c>
      <c r="NZ1" t="s">
        <v>482</v>
      </c>
      <c r="OA1" t="s">
        <v>483</v>
      </c>
      <c r="OB1" t="s">
        <v>484</v>
      </c>
      <c r="OC1" t="s">
        <v>485</v>
      </c>
      <c r="OD1" t="s">
        <v>486</v>
      </c>
      <c r="OE1" t="s">
        <v>487</v>
      </c>
      <c r="OF1" t="s">
        <v>488</v>
      </c>
      <c r="OG1" t="s">
        <v>489</v>
      </c>
      <c r="OH1" t="s">
        <v>490</v>
      </c>
      <c r="OI1" t="s">
        <v>491</v>
      </c>
      <c r="OJ1" t="s">
        <v>492</v>
      </c>
      <c r="OK1" t="s">
        <v>493</v>
      </c>
      <c r="OL1" t="s">
        <v>494</v>
      </c>
      <c r="OM1" t="s">
        <v>495</v>
      </c>
      <c r="ON1" t="s">
        <v>496</v>
      </c>
      <c r="OO1" t="s">
        <v>497</v>
      </c>
      <c r="OP1" t="s">
        <v>498</v>
      </c>
      <c r="OQ1" t="s">
        <v>499</v>
      </c>
      <c r="OR1" t="s">
        <v>500</v>
      </c>
      <c r="OS1" t="s">
        <v>501</v>
      </c>
      <c r="OT1" t="s">
        <v>502</v>
      </c>
      <c r="OU1" t="s">
        <v>503</v>
      </c>
      <c r="OV1" t="s">
        <v>504</v>
      </c>
      <c r="OW1" t="s">
        <v>505</v>
      </c>
      <c r="OX1" t="s">
        <v>506</v>
      </c>
      <c r="OY1" t="s">
        <v>507</v>
      </c>
      <c r="OZ1" t="s">
        <v>508</v>
      </c>
      <c r="PA1" t="s">
        <v>509</v>
      </c>
      <c r="PB1" t="s">
        <v>510</v>
      </c>
      <c r="PC1" t="s">
        <v>511</v>
      </c>
      <c r="PD1" t="s">
        <v>512</v>
      </c>
      <c r="PE1" t="s">
        <v>513</v>
      </c>
      <c r="PF1" t="s">
        <v>514</v>
      </c>
      <c r="PG1" t="s">
        <v>515</v>
      </c>
      <c r="PH1" t="s">
        <v>516</v>
      </c>
      <c r="PI1" t="s">
        <v>517</v>
      </c>
      <c r="PJ1" t="s">
        <v>518</v>
      </c>
      <c r="PK1" t="s">
        <v>519</v>
      </c>
      <c r="PL1" t="s">
        <v>520</v>
      </c>
      <c r="PM1" t="s">
        <v>521</v>
      </c>
      <c r="PN1" t="s">
        <v>522</v>
      </c>
      <c r="PO1" t="s">
        <v>523</v>
      </c>
      <c r="PP1" t="s">
        <v>524</v>
      </c>
      <c r="PQ1" t="s">
        <v>525</v>
      </c>
      <c r="PR1" t="s">
        <v>526</v>
      </c>
      <c r="PS1" t="s">
        <v>527</v>
      </c>
      <c r="PT1" t="s">
        <v>528</v>
      </c>
      <c r="PU1" t="s">
        <v>529</v>
      </c>
      <c r="PV1" t="s">
        <v>530</v>
      </c>
      <c r="PW1" t="s">
        <v>531</v>
      </c>
      <c r="PX1" t="s">
        <v>532</v>
      </c>
      <c r="PY1" t="s">
        <v>533</v>
      </c>
      <c r="PZ1" t="s">
        <v>534</v>
      </c>
      <c r="QA1" t="s">
        <v>535</v>
      </c>
      <c r="QB1" t="s">
        <v>536</v>
      </c>
      <c r="QC1" t="s">
        <v>537</v>
      </c>
      <c r="QD1" t="s">
        <v>538</v>
      </c>
      <c r="QE1" t="s">
        <v>539</v>
      </c>
      <c r="QF1" t="s">
        <v>540</v>
      </c>
      <c r="QG1" t="s">
        <v>541</v>
      </c>
      <c r="QH1" t="s">
        <v>542</v>
      </c>
      <c r="QI1" t="s">
        <v>543</v>
      </c>
      <c r="QJ1" t="s">
        <v>544</v>
      </c>
      <c r="QK1" t="s">
        <v>545</v>
      </c>
      <c r="QL1" t="s">
        <v>546</v>
      </c>
      <c r="QM1" t="s">
        <v>547</v>
      </c>
      <c r="QN1" t="s">
        <v>548</v>
      </c>
      <c r="QO1" t="s">
        <v>549</v>
      </c>
      <c r="QP1" t="s">
        <v>550</v>
      </c>
      <c r="QQ1" t="s">
        <v>551</v>
      </c>
      <c r="QR1" t="s">
        <v>552</v>
      </c>
      <c r="QS1" t="s">
        <v>553</v>
      </c>
      <c r="QT1" t="s">
        <v>554</v>
      </c>
      <c r="QU1" t="s">
        <v>555</v>
      </c>
      <c r="QV1" t="s">
        <v>556</v>
      </c>
      <c r="QW1" t="s">
        <v>557</v>
      </c>
      <c r="QX1" t="s">
        <v>558</v>
      </c>
      <c r="QY1" t="s">
        <v>559</v>
      </c>
      <c r="QZ1" t="s">
        <v>560</v>
      </c>
      <c r="RA1" t="s">
        <v>561</v>
      </c>
      <c r="RB1" t="s">
        <v>562</v>
      </c>
      <c r="RC1" t="s">
        <v>563</v>
      </c>
      <c r="RD1" t="s">
        <v>564</v>
      </c>
      <c r="RE1" t="s">
        <v>565</v>
      </c>
      <c r="RF1" t="s">
        <v>566</v>
      </c>
      <c r="RG1" t="s">
        <v>567</v>
      </c>
      <c r="RH1" t="s">
        <v>568</v>
      </c>
      <c r="RI1" t="s">
        <v>569</v>
      </c>
      <c r="RJ1" t="s">
        <v>570</v>
      </c>
      <c r="RK1" t="s">
        <v>571</v>
      </c>
      <c r="RL1" t="s">
        <v>572</v>
      </c>
      <c r="RM1" t="s">
        <v>573</v>
      </c>
      <c r="RN1" t="s">
        <v>574</v>
      </c>
      <c r="RO1" t="s">
        <v>575</v>
      </c>
      <c r="RP1" t="s">
        <v>576</v>
      </c>
      <c r="RQ1" t="s">
        <v>577</v>
      </c>
      <c r="RR1" t="s">
        <v>578</v>
      </c>
      <c r="RS1" t="s">
        <v>579</v>
      </c>
      <c r="RT1" t="s">
        <v>580</v>
      </c>
      <c r="RU1" t="s">
        <v>581</v>
      </c>
      <c r="RV1" t="s">
        <v>582</v>
      </c>
      <c r="RW1" t="s">
        <v>583</v>
      </c>
      <c r="RX1" t="s">
        <v>584</v>
      </c>
      <c r="RY1" t="s">
        <v>585</v>
      </c>
      <c r="RZ1" t="s">
        <v>586</v>
      </c>
      <c r="SA1" t="s">
        <v>587</v>
      </c>
      <c r="SB1" t="s">
        <v>588</v>
      </c>
      <c r="SC1" t="s">
        <v>589</v>
      </c>
      <c r="SD1" t="s">
        <v>590</v>
      </c>
      <c r="SE1" t="s">
        <v>591</v>
      </c>
      <c r="SF1" t="s">
        <v>592</v>
      </c>
      <c r="SG1" t="s">
        <v>593</v>
      </c>
      <c r="SH1" t="s">
        <v>594</v>
      </c>
      <c r="SI1" t="s">
        <v>595</v>
      </c>
      <c r="SJ1" t="s">
        <v>596</v>
      </c>
      <c r="SK1" t="s">
        <v>597</v>
      </c>
      <c r="SL1" t="s">
        <v>598</v>
      </c>
      <c r="SM1" t="s">
        <v>599</v>
      </c>
      <c r="SN1" t="s">
        <v>600</v>
      </c>
      <c r="SO1" t="s">
        <v>601</v>
      </c>
      <c r="SP1" t="s">
        <v>602</v>
      </c>
      <c r="SQ1" t="s">
        <v>603</v>
      </c>
      <c r="SR1" t="s">
        <v>604</v>
      </c>
      <c r="SS1" t="s">
        <v>605</v>
      </c>
      <c r="ST1" t="s">
        <v>606</v>
      </c>
      <c r="SU1" t="s">
        <v>607</v>
      </c>
      <c r="SV1" t="s">
        <v>608</v>
      </c>
      <c r="SW1" t="s">
        <v>609</v>
      </c>
      <c r="SX1" t="s">
        <v>610</v>
      </c>
      <c r="SY1" t="s">
        <v>611</v>
      </c>
      <c r="SZ1" t="s">
        <v>612</v>
      </c>
      <c r="TA1" t="s">
        <v>613</v>
      </c>
      <c r="TB1" t="s">
        <v>614</v>
      </c>
      <c r="TC1" t="s">
        <v>615</v>
      </c>
      <c r="TD1" t="s">
        <v>616</v>
      </c>
      <c r="TE1" t="s">
        <v>617</v>
      </c>
      <c r="TF1" t="s">
        <v>618</v>
      </c>
      <c r="TG1" t="s">
        <v>619</v>
      </c>
      <c r="TH1" t="s">
        <v>620</v>
      </c>
      <c r="TI1" t="s">
        <v>621</v>
      </c>
      <c r="TJ1" t="s">
        <v>622</v>
      </c>
      <c r="TK1" t="s">
        <v>623</v>
      </c>
      <c r="TL1" t="s">
        <v>624</v>
      </c>
      <c r="TM1" t="s">
        <v>625</v>
      </c>
      <c r="TN1" t="s">
        <v>626</v>
      </c>
      <c r="TO1" t="s">
        <v>627</v>
      </c>
      <c r="TP1" t="s">
        <v>628</v>
      </c>
      <c r="TQ1" t="s">
        <v>629</v>
      </c>
      <c r="TR1" t="s">
        <v>630</v>
      </c>
      <c r="TS1" t="s">
        <v>631</v>
      </c>
      <c r="TT1" t="s">
        <v>632</v>
      </c>
      <c r="TU1" t="s">
        <v>633</v>
      </c>
      <c r="TV1" t="s">
        <v>634</v>
      </c>
      <c r="TW1" t="s">
        <v>635</v>
      </c>
      <c r="TX1" t="s">
        <v>636</v>
      </c>
      <c r="TY1" t="s">
        <v>637</v>
      </c>
      <c r="TZ1" t="s">
        <v>638</v>
      </c>
      <c r="UA1" t="s">
        <v>639</v>
      </c>
      <c r="UB1" t="s">
        <v>640</v>
      </c>
      <c r="UC1" t="s">
        <v>641</v>
      </c>
      <c r="UD1" t="s">
        <v>642</v>
      </c>
      <c r="UE1" t="s">
        <v>643</v>
      </c>
      <c r="UF1" t="s">
        <v>644</v>
      </c>
      <c r="UG1" t="s">
        <v>645</v>
      </c>
      <c r="UH1" t="s">
        <v>646</v>
      </c>
      <c r="UI1" t="s">
        <v>647</v>
      </c>
      <c r="UJ1" t="s">
        <v>648</v>
      </c>
      <c r="UK1" t="s">
        <v>649</v>
      </c>
      <c r="UL1" t="s">
        <v>650</v>
      </c>
      <c r="UM1" t="s">
        <v>651</v>
      </c>
      <c r="UN1" t="s">
        <v>652</v>
      </c>
      <c r="UO1" t="s">
        <v>653</v>
      </c>
      <c r="UP1" t="s">
        <v>654</v>
      </c>
      <c r="UQ1" t="s">
        <v>655</v>
      </c>
      <c r="UR1" t="s">
        <v>656</v>
      </c>
      <c r="US1" t="s">
        <v>657</v>
      </c>
      <c r="UT1" t="s">
        <v>658</v>
      </c>
      <c r="UU1" t="s">
        <v>659</v>
      </c>
      <c r="UV1" t="s">
        <v>660</v>
      </c>
      <c r="UW1" t="s">
        <v>661</v>
      </c>
      <c r="UX1" t="s">
        <v>662</v>
      </c>
      <c r="UY1" t="s">
        <v>663</v>
      </c>
      <c r="UZ1" t="s">
        <v>664</v>
      </c>
      <c r="VA1" t="s">
        <v>665</v>
      </c>
      <c r="VB1" t="s">
        <v>666</v>
      </c>
      <c r="VC1" t="s">
        <v>667</v>
      </c>
      <c r="VD1" t="s">
        <v>668</v>
      </c>
      <c r="VE1" t="s">
        <v>669</v>
      </c>
      <c r="VF1" t="s">
        <v>670</v>
      </c>
      <c r="VG1" t="s">
        <v>671</v>
      </c>
      <c r="VH1" t="s">
        <v>672</v>
      </c>
      <c r="VI1" t="s">
        <v>673</v>
      </c>
      <c r="VJ1" t="s">
        <v>674</v>
      </c>
      <c r="VK1" t="s">
        <v>675</v>
      </c>
      <c r="VL1" t="s">
        <v>676</v>
      </c>
      <c r="VM1" t="s">
        <v>677</v>
      </c>
      <c r="VN1" t="s">
        <v>678</v>
      </c>
      <c r="VO1" t="s">
        <v>679</v>
      </c>
      <c r="VP1" t="s">
        <v>680</v>
      </c>
      <c r="VQ1" t="s">
        <v>681</v>
      </c>
      <c r="VR1" t="s">
        <v>682</v>
      </c>
      <c r="VS1" t="s">
        <v>683</v>
      </c>
      <c r="VT1" t="s">
        <v>684</v>
      </c>
      <c r="VU1" t="s">
        <v>685</v>
      </c>
      <c r="VV1" t="s">
        <v>686</v>
      </c>
      <c r="VW1" t="s">
        <v>687</v>
      </c>
      <c r="VX1" t="s">
        <v>688</v>
      </c>
      <c r="VY1" t="s">
        <v>689</v>
      </c>
      <c r="VZ1" t="s">
        <v>690</v>
      </c>
      <c r="WA1" t="s">
        <v>691</v>
      </c>
      <c r="WB1" t="s">
        <v>692</v>
      </c>
      <c r="WC1" t="s">
        <v>693</v>
      </c>
      <c r="WD1" t="s">
        <v>694</v>
      </c>
      <c r="WE1" t="s">
        <v>695</v>
      </c>
      <c r="WF1" t="s">
        <v>696</v>
      </c>
      <c r="WG1" t="s">
        <v>697</v>
      </c>
      <c r="WH1" t="s">
        <v>698</v>
      </c>
      <c r="WI1" t="s">
        <v>699</v>
      </c>
      <c r="WJ1" t="s">
        <v>700</v>
      </c>
      <c r="WK1" t="s">
        <v>701</v>
      </c>
      <c r="WL1" t="s">
        <v>702</v>
      </c>
      <c r="WM1" t="s">
        <v>703</v>
      </c>
      <c r="WN1" t="s">
        <v>704</v>
      </c>
      <c r="WO1" t="s">
        <v>705</v>
      </c>
      <c r="WP1" t="s">
        <v>706</v>
      </c>
      <c r="WQ1" t="s">
        <v>707</v>
      </c>
      <c r="WR1" t="s">
        <v>708</v>
      </c>
      <c r="WS1" t="s">
        <v>709</v>
      </c>
      <c r="WT1" t="s">
        <v>710</v>
      </c>
      <c r="WU1" t="s">
        <v>711</v>
      </c>
      <c r="WV1" t="s">
        <v>712</v>
      </c>
      <c r="WW1" t="s">
        <v>713</v>
      </c>
      <c r="WX1" t="s">
        <v>714</v>
      </c>
      <c r="WY1" t="s">
        <v>715</v>
      </c>
      <c r="WZ1" t="s">
        <v>716</v>
      </c>
      <c r="XA1" t="s">
        <v>717</v>
      </c>
      <c r="XB1" t="s">
        <v>718</v>
      </c>
      <c r="XC1" t="s">
        <v>719</v>
      </c>
      <c r="XD1" t="s">
        <v>720</v>
      </c>
      <c r="XE1" t="s">
        <v>721</v>
      </c>
      <c r="XF1" t="s">
        <v>722</v>
      </c>
      <c r="XG1" t="s">
        <v>723</v>
      </c>
      <c r="XH1" t="s">
        <v>724</v>
      </c>
      <c r="XI1" t="s">
        <v>725</v>
      </c>
      <c r="XJ1" t="s">
        <v>726</v>
      </c>
      <c r="XK1" t="s">
        <v>727</v>
      </c>
      <c r="XL1" t="s">
        <v>728</v>
      </c>
      <c r="XM1" t="s">
        <v>729</v>
      </c>
      <c r="XN1" t="s">
        <v>730</v>
      </c>
      <c r="XO1" t="s">
        <v>731</v>
      </c>
      <c r="XP1" t="s">
        <v>732</v>
      </c>
      <c r="XQ1" t="s">
        <v>733</v>
      </c>
      <c r="XR1" t="s">
        <v>734</v>
      </c>
      <c r="XS1" t="s">
        <v>735</v>
      </c>
      <c r="XT1" t="s">
        <v>736</v>
      </c>
      <c r="XU1" t="s">
        <v>737</v>
      </c>
      <c r="XV1" t="s">
        <v>738</v>
      </c>
      <c r="XW1" t="s">
        <v>739</v>
      </c>
      <c r="XX1" t="s">
        <v>740</v>
      </c>
      <c r="XY1" t="s">
        <v>741</v>
      </c>
      <c r="XZ1" t="s">
        <v>742</v>
      </c>
      <c r="YA1" t="s">
        <v>743</v>
      </c>
      <c r="YB1" t="s">
        <v>744</v>
      </c>
      <c r="YC1" t="s">
        <v>745</v>
      </c>
      <c r="YD1" t="s">
        <v>746</v>
      </c>
      <c r="YE1" t="s">
        <v>747</v>
      </c>
      <c r="YF1" t="s">
        <v>748</v>
      </c>
      <c r="YG1" t="s">
        <v>749</v>
      </c>
      <c r="YH1" t="s">
        <v>750</v>
      </c>
      <c r="YI1" t="s">
        <v>751</v>
      </c>
      <c r="YJ1" t="s">
        <v>752</v>
      </c>
      <c r="YK1" t="s">
        <v>753</v>
      </c>
      <c r="YL1" t="s">
        <v>754</v>
      </c>
      <c r="YM1" t="s">
        <v>755</v>
      </c>
      <c r="YN1" t="s">
        <v>756</v>
      </c>
      <c r="YO1" t="s">
        <v>757</v>
      </c>
      <c r="YP1" t="s">
        <v>758</v>
      </c>
      <c r="YQ1" t="s">
        <v>759</v>
      </c>
      <c r="YR1" t="s">
        <v>760</v>
      </c>
      <c r="YS1" t="s">
        <v>761</v>
      </c>
      <c r="YT1" t="s">
        <v>762</v>
      </c>
      <c r="YU1" t="s">
        <v>763</v>
      </c>
      <c r="YV1" t="s">
        <v>764</v>
      </c>
      <c r="YW1" t="s">
        <v>765</v>
      </c>
      <c r="YX1" t="s">
        <v>766</v>
      </c>
      <c r="YY1" t="s">
        <v>767</v>
      </c>
      <c r="YZ1" t="s">
        <v>768</v>
      </c>
      <c r="ZA1" t="s">
        <v>769</v>
      </c>
      <c r="ZB1" t="s">
        <v>770</v>
      </c>
      <c r="ZC1" t="s">
        <v>771</v>
      </c>
      <c r="ZD1" t="s">
        <v>772</v>
      </c>
      <c r="ZE1" t="s">
        <v>773</v>
      </c>
      <c r="ZF1" t="s">
        <v>774</v>
      </c>
      <c r="ZG1" t="s">
        <v>775</v>
      </c>
      <c r="ZH1" t="s">
        <v>776</v>
      </c>
      <c r="ZI1" t="s">
        <v>777</v>
      </c>
      <c r="ZJ1" t="s">
        <v>778</v>
      </c>
      <c r="ZK1" t="s">
        <v>779</v>
      </c>
      <c r="ZL1" t="s">
        <v>780</v>
      </c>
      <c r="ZM1" t="s">
        <v>781</v>
      </c>
      <c r="ZN1" t="s">
        <v>782</v>
      </c>
      <c r="ZO1" t="s">
        <v>783</v>
      </c>
      <c r="ZP1" t="s">
        <v>784</v>
      </c>
      <c r="ZQ1" t="s">
        <v>785</v>
      </c>
      <c r="ZR1" t="s">
        <v>786</v>
      </c>
      <c r="ZS1" t="s">
        <v>787</v>
      </c>
      <c r="ZT1" t="s">
        <v>788</v>
      </c>
      <c r="ZU1" t="s">
        <v>789</v>
      </c>
      <c r="ZV1" t="s">
        <v>790</v>
      </c>
      <c r="ZW1" t="s">
        <v>791</v>
      </c>
      <c r="ZX1" t="s">
        <v>792</v>
      </c>
      <c r="ZY1" t="s">
        <v>793</v>
      </c>
      <c r="ZZ1" t="s">
        <v>794</v>
      </c>
      <c r="AAA1" t="s">
        <v>1509</v>
      </c>
      <c r="AAB1" t="s">
        <v>1510</v>
      </c>
      <c r="AAC1" t="s">
        <v>1511</v>
      </c>
      <c r="AAD1" t="s">
        <v>1512</v>
      </c>
      <c r="AAE1" t="s">
        <v>1513</v>
      </c>
      <c r="AAF1" t="s">
        <v>1514</v>
      </c>
      <c r="AAG1" t="s">
        <v>1515</v>
      </c>
      <c r="AAH1" t="s">
        <v>1516</v>
      </c>
      <c r="AAI1" t="s">
        <v>1517</v>
      </c>
      <c r="AAJ1" t="s">
        <v>1518</v>
      </c>
      <c r="AAK1" t="s">
        <v>1519</v>
      </c>
      <c r="AAL1" t="s">
        <v>1520</v>
      </c>
      <c r="AAM1" t="s">
        <v>1521</v>
      </c>
      <c r="AAN1" t="s">
        <v>1522</v>
      </c>
      <c r="AAO1" t="s">
        <v>1523</v>
      </c>
      <c r="AAP1" t="s">
        <v>1524</v>
      </c>
      <c r="AAQ1" t="s">
        <v>1525</v>
      </c>
      <c r="AAR1" t="s">
        <v>1526</v>
      </c>
      <c r="AAS1" t="s">
        <v>1527</v>
      </c>
      <c r="AAT1" t="s">
        <v>1528</v>
      </c>
      <c r="AAU1" t="s">
        <v>1529</v>
      </c>
      <c r="AAV1" t="s">
        <v>1530</v>
      </c>
      <c r="AAW1" t="s">
        <v>1531</v>
      </c>
      <c r="AAX1" t="s">
        <v>1532</v>
      </c>
      <c r="AAY1" t="s">
        <v>1533</v>
      </c>
      <c r="AAZ1" t="s">
        <v>1534</v>
      </c>
      <c r="ABA1" t="s">
        <v>1535</v>
      </c>
      <c r="ABB1" t="s">
        <v>1536</v>
      </c>
      <c r="ABC1" t="s">
        <v>1537</v>
      </c>
      <c r="ABD1" t="s">
        <v>1538</v>
      </c>
      <c r="ABE1" t="s">
        <v>1539</v>
      </c>
      <c r="ABF1" t="s">
        <v>1540</v>
      </c>
      <c r="ABG1" t="s">
        <v>1541</v>
      </c>
      <c r="ABH1" t="s">
        <v>1542</v>
      </c>
      <c r="ABI1" t="s">
        <v>1543</v>
      </c>
      <c r="ABJ1" t="s">
        <v>1544</v>
      </c>
      <c r="ABK1" t="s">
        <v>1545</v>
      </c>
      <c r="ABL1" t="s">
        <v>1546</v>
      </c>
      <c r="ABM1" t="s">
        <v>1547</v>
      </c>
      <c r="ABN1" t="s">
        <v>1548</v>
      </c>
      <c r="ABO1" t="s">
        <v>1549</v>
      </c>
      <c r="ABP1" t="s">
        <v>1550</v>
      </c>
      <c r="ABQ1" t="s">
        <v>1551</v>
      </c>
      <c r="ABR1" t="s">
        <v>1552</v>
      </c>
      <c r="ABS1" t="s">
        <v>1553</v>
      </c>
      <c r="ABT1" t="s">
        <v>1554</v>
      </c>
      <c r="ABU1" t="s">
        <v>1555</v>
      </c>
      <c r="ABV1" t="s">
        <v>1556</v>
      </c>
      <c r="ABW1" t="s">
        <v>1557</v>
      </c>
      <c r="ABX1" t="s">
        <v>1558</v>
      </c>
      <c r="ABY1" t="s">
        <v>1559</v>
      </c>
      <c r="ABZ1" t="s">
        <v>1560</v>
      </c>
      <c r="ACA1" t="s">
        <v>1561</v>
      </c>
      <c r="ACB1" t="s">
        <v>1562</v>
      </c>
      <c r="ACC1" t="s">
        <v>1563</v>
      </c>
      <c r="ACD1" t="s">
        <v>1564</v>
      </c>
      <c r="ACE1" t="s">
        <v>1565</v>
      </c>
      <c r="ACF1" t="s">
        <v>1566</v>
      </c>
      <c r="ACG1" t="s">
        <v>1567</v>
      </c>
      <c r="ACH1" t="s">
        <v>1568</v>
      </c>
      <c r="ACI1" t="s">
        <v>1569</v>
      </c>
      <c r="ACJ1" t="s">
        <v>1570</v>
      </c>
      <c r="ACK1" t="s">
        <v>1571</v>
      </c>
      <c r="ACL1" t="s">
        <v>1572</v>
      </c>
      <c r="ACM1" t="s">
        <v>1573</v>
      </c>
      <c r="ACN1" t="s">
        <v>1574</v>
      </c>
      <c r="ACO1" t="s">
        <v>1575</v>
      </c>
      <c r="ACP1" t="s">
        <v>1576</v>
      </c>
      <c r="ACQ1" t="s">
        <v>1577</v>
      </c>
      <c r="ACR1" t="s">
        <v>1578</v>
      </c>
      <c r="ACS1" t="s">
        <v>1579</v>
      </c>
      <c r="ACT1" t="s">
        <v>1580</v>
      </c>
      <c r="ACU1" t="s">
        <v>1581</v>
      </c>
      <c r="ACV1" t="s">
        <v>1582</v>
      </c>
    </row>
    <row r="2" spans="1:776" x14ac:dyDescent="0.2">
      <c r="A2" s="1" t="s">
        <v>1496</v>
      </c>
      <c r="B2" s="1" t="s">
        <v>796</v>
      </c>
      <c r="C2" s="1" t="s">
        <v>797</v>
      </c>
      <c r="D2" s="1" t="s">
        <v>798</v>
      </c>
      <c r="E2" s="1" t="s">
        <v>799</v>
      </c>
      <c r="F2" s="1" t="s">
        <v>800</v>
      </c>
      <c r="G2" s="1" t="s">
        <v>801</v>
      </c>
      <c r="H2" s="1" t="s">
        <v>802</v>
      </c>
      <c r="I2" s="1" t="s">
        <v>803</v>
      </c>
      <c r="J2" s="1" t="s">
        <v>804</v>
      </c>
      <c r="K2" s="1" t="s">
        <v>805</v>
      </c>
      <c r="L2" s="1" t="s">
        <v>806</v>
      </c>
      <c r="M2" s="1" t="s">
        <v>807</v>
      </c>
      <c r="N2" s="1" t="s">
        <v>808</v>
      </c>
      <c r="O2" s="1" t="s">
        <v>809</v>
      </c>
      <c r="P2" s="1" t="s">
        <v>810</v>
      </c>
      <c r="Q2" s="1" t="s">
        <v>811</v>
      </c>
      <c r="R2" s="1" t="s">
        <v>812</v>
      </c>
      <c r="S2" s="1" t="s">
        <v>813</v>
      </c>
      <c r="T2" s="1" t="s">
        <v>814</v>
      </c>
      <c r="U2" s="1" t="s">
        <v>815</v>
      </c>
      <c r="V2" s="1" t="s">
        <v>816</v>
      </c>
      <c r="W2" s="1" t="s">
        <v>817</v>
      </c>
      <c r="X2" s="1" t="s">
        <v>818</v>
      </c>
      <c r="Y2" s="1" t="s">
        <v>819</v>
      </c>
      <c r="Z2" s="1" t="s">
        <v>820</v>
      </c>
      <c r="AA2" s="1" t="s">
        <v>821</v>
      </c>
      <c r="AB2" s="1" t="s">
        <v>822</v>
      </c>
      <c r="AC2" s="1" t="s">
        <v>823</v>
      </c>
      <c r="AD2" s="1" t="s">
        <v>824</v>
      </c>
      <c r="AE2" s="1" t="s">
        <v>825</v>
      </c>
      <c r="AF2" s="1" t="s">
        <v>826</v>
      </c>
      <c r="AG2" s="1" t="s">
        <v>827</v>
      </c>
      <c r="AH2" s="1" t="s">
        <v>828</v>
      </c>
      <c r="AI2" s="1" t="s">
        <v>829</v>
      </c>
      <c r="AJ2" s="1" t="s">
        <v>830</v>
      </c>
      <c r="AK2" s="1" t="s">
        <v>831</v>
      </c>
      <c r="AL2" s="1" t="s">
        <v>832</v>
      </c>
      <c r="AM2" s="1" t="s">
        <v>833</v>
      </c>
      <c r="AN2" s="1" t="s">
        <v>834</v>
      </c>
      <c r="AO2" s="1" t="s">
        <v>835</v>
      </c>
      <c r="AP2" s="1" t="s">
        <v>836</v>
      </c>
      <c r="AQ2" s="1" t="s">
        <v>837</v>
      </c>
      <c r="AR2" s="1" t="s">
        <v>838</v>
      </c>
      <c r="AS2" s="1" t="s">
        <v>839</v>
      </c>
      <c r="AT2" s="1" t="s">
        <v>840</v>
      </c>
      <c r="AU2" s="1" t="s">
        <v>841</v>
      </c>
      <c r="AV2" s="1" t="s">
        <v>842</v>
      </c>
      <c r="AW2" s="1" t="s">
        <v>843</v>
      </c>
      <c r="AX2" s="1" t="s">
        <v>844</v>
      </c>
      <c r="AY2" s="1" t="s">
        <v>845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965</v>
      </c>
      <c r="FP2" s="1" t="s">
        <v>966</v>
      </c>
      <c r="FQ2" s="1" t="s">
        <v>967</v>
      </c>
      <c r="FR2" s="1" t="s">
        <v>968</v>
      </c>
      <c r="FS2" s="1" t="s">
        <v>969</v>
      </c>
      <c r="FT2" s="1" t="s">
        <v>970</v>
      </c>
      <c r="FU2" s="1" t="s">
        <v>971</v>
      </c>
      <c r="FV2" s="1" t="s">
        <v>972</v>
      </c>
      <c r="FW2" s="1" t="s">
        <v>973</v>
      </c>
      <c r="FX2" s="1" t="s">
        <v>974</v>
      </c>
      <c r="FY2" s="1" t="s">
        <v>975</v>
      </c>
      <c r="FZ2" s="1" t="s">
        <v>976</v>
      </c>
      <c r="GA2" s="1" t="s">
        <v>977</v>
      </c>
      <c r="GB2" s="1" t="s">
        <v>978</v>
      </c>
      <c r="GC2" s="1" t="s">
        <v>979</v>
      </c>
      <c r="GD2" s="1" t="s">
        <v>980</v>
      </c>
      <c r="GE2" s="1" t="s">
        <v>981</v>
      </c>
      <c r="GF2" s="1" t="s">
        <v>982</v>
      </c>
      <c r="GG2" s="1" t="s">
        <v>983</v>
      </c>
      <c r="GH2" s="1" t="s">
        <v>984</v>
      </c>
      <c r="GI2" s="1" t="s">
        <v>985</v>
      </c>
      <c r="GJ2" s="1" t="s">
        <v>986</v>
      </c>
      <c r="GK2" s="1" t="s">
        <v>987</v>
      </c>
      <c r="GL2" s="1" t="s">
        <v>988</v>
      </c>
      <c r="GM2" s="1" t="s">
        <v>989</v>
      </c>
      <c r="GN2" s="1" t="s">
        <v>990</v>
      </c>
      <c r="GO2" s="1" t="s">
        <v>991</v>
      </c>
      <c r="GP2" s="1" t="s">
        <v>992</v>
      </c>
      <c r="GQ2" s="1" t="s">
        <v>993</v>
      </c>
      <c r="GR2" s="1" t="s">
        <v>994</v>
      </c>
      <c r="GS2" s="1" t="s">
        <v>995</v>
      </c>
      <c r="GT2" s="1" t="s">
        <v>996</v>
      </c>
      <c r="GU2" s="1" t="s">
        <v>997</v>
      </c>
      <c r="GV2" s="1" t="s">
        <v>998</v>
      </c>
      <c r="GW2" s="1" t="s">
        <v>999</v>
      </c>
      <c r="GX2" s="1" t="s">
        <v>1000</v>
      </c>
      <c r="GY2" s="1" t="s">
        <v>1001</v>
      </c>
      <c r="GZ2" s="1" t="s">
        <v>1002</v>
      </c>
      <c r="HA2" s="1" t="s">
        <v>1003</v>
      </c>
      <c r="HB2" s="1" t="s">
        <v>1004</v>
      </c>
      <c r="HC2" s="1" t="s">
        <v>1005</v>
      </c>
      <c r="HD2" s="1" t="s">
        <v>1006</v>
      </c>
      <c r="HE2" s="1" t="s">
        <v>1007</v>
      </c>
      <c r="HF2" s="1" t="s">
        <v>1008</v>
      </c>
      <c r="HG2" s="1" t="s">
        <v>1009</v>
      </c>
      <c r="HH2" s="1" t="s">
        <v>1010</v>
      </c>
      <c r="HI2" s="1" t="s">
        <v>1011</v>
      </c>
      <c r="HJ2" s="1" t="s">
        <v>1012</v>
      </c>
      <c r="HK2" s="1" t="s">
        <v>1013</v>
      </c>
      <c r="HL2" s="1" t="s">
        <v>1014</v>
      </c>
      <c r="HM2" s="1" t="s">
        <v>1015</v>
      </c>
      <c r="HN2" s="1" t="s">
        <v>1016</v>
      </c>
      <c r="HO2" s="1" t="s">
        <v>1017</v>
      </c>
      <c r="HP2" s="1" t="s">
        <v>1018</v>
      </c>
      <c r="HQ2" s="1" t="s">
        <v>1019</v>
      </c>
      <c r="HR2" s="1" t="s">
        <v>1020</v>
      </c>
      <c r="HS2" s="1" t="s">
        <v>1021</v>
      </c>
      <c r="HT2" s="1" t="s">
        <v>1022</v>
      </c>
      <c r="HU2" s="1" t="s">
        <v>1023</v>
      </c>
      <c r="HV2" s="1" t="s">
        <v>1024</v>
      </c>
      <c r="HW2" s="1" t="s">
        <v>1025</v>
      </c>
      <c r="HX2" s="1" t="s">
        <v>1026</v>
      </c>
      <c r="HY2" s="1" t="s">
        <v>1027</v>
      </c>
      <c r="HZ2" s="1" t="s">
        <v>1028</v>
      </c>
      <c r="IA2" s="1" t="s">
        <v>1029</v>
      </c>
      <c r="IB2" s="1" t="s">
        <v>1030</v>
      </c>
      <c r="IC2" s="1" t="s">
        <v>1031</v>
      </c>
      <c r="ID2" s="1" t="s">
        <v>1032</v>
      </c>
      <c r="IE2" s="1" t="s">
        <v>1033</v>
      </c>
      <c r="IF2" s="1" t="s">
        <v>1034</v>
      </c>
      <c r="IG2" s="1" t="s">
        <v>1035</v>
      </c>
      <c r="IH2" s="1" t="s">
        <v>1036</v>
      </c>
      <c r="II2" s="1" t="s">
        <v>1037</v>
      </c>
      <c r="IJ2" s="1" t="s">
        <v>1038</v>
      </c>
      <c r="IK2" s="1" t="s">
        <v>1039</v>
      </c>
      <c r="IL2" s="1" t="s">
        <v>1040</v>
      </c>
      <c r="IM2" s="1" t="s">
        <v>1041</v>
      </c>
      <c r="IN2" s="1" t="s">
        <v>1042</v>
      </c>
      <c r="IO2" s="1" t="s">
        <v>1043</v>
      </c>
      <c r="IP2" s="1" t="s">
        <v>1044</v>
      </c>
      <c r="IQ2" s="1" t="s">
        <v>1045</v>
      </c>
      <c r="IR2" s="1" t="s">
        <v>1046</v>
      </c>
      <c r="IS2" s="1" t="s">
        <v>1047</v>
      </c>
      <c r="IT2" s="1" t="s">
        <v>1048</v>
      </c>
      <c r="IU2" s="1" t="s">
        <v>1049</v>
      </c>
      <c r="IV2" s="1" t="s">
        <v>1050</v>
      </c>
      <c r="IW2" s="1" t="s">
        <v>1051</v>
      </c>
      <c r="IX2" s="1" t="s">
        <v>1052</v>
      </c>
      <c r="IY2" s="1" t="s">
        <v>1053</v>
      </c>
      <c r="IZ2" s="1" t="s">
        <v>1054</v>
      </c>
      <c r="JA2" s="1" t="s">
        <v>1055</v>
      </c>
      <c r="JB2" s="1" t="s">
        <v>1056</v>
      </c>
      <c r="JC2" s="1" t="s">
        <v>1057</v>
      </c>
      <c r="JD2" s="1" t="s">
        <v>1058</v>
      </c>
      <c r="JE2" s="1" t="s">
        <v>1059</v>
      </c>
      <c r="JF2" s="1" t="s">
        <v>1060</v>
      </c>
      <c r="JG2" s="1" t="s">
        <v>1061</v>
      </c>
      <c r="JH2" s="1" t="s">
        <v>1062</v>
      </c>
      <c r="JI2" s="1" t="s">
        <v>1063</v>
      </c>
      <c r="JJ2" s="1" t="s">
        <v>1064</v>
      </c>
      <c r="JK2" s="1" t="s">
        <v>1065</v>
      </c>
      <c r="JL2" s="1" t="s">
        <v>1066</v>
      </c>
      <c r="JM2" s="1" t="s">
        <v>1067</v>
      </c>
      <c r="JN2" s="1" t="s">
        <v>1068</v>
      </c>
      <c r="JO2" s="1" t="s">
        <v>1069</v>
      </c>
      <c r="JP2" s="1" t="s">
        <v>1070</v>
      </c>
      <c r="JQ2" s="1" t="s">
        <v>1071</v>
      </c>
      <c r="JR2" s="1" t="s">
        <v>1072</v>
      </c>
      <c r="JS2" s="1" t="s">
        <v>1073</v>
      </c>
      <c r="JT2" s="1" t="s">
        <v>1074</v>
      </c>
      <c r="JU2" s="1" t="s">
        <v>1075</v>
      </c>
      <c r="JV2" s="1" t="s">
        <v>1076</v>
      </c>
      <c r="JW2" s="1" t="s">
        <v>1077</v>
      </c>
      <c r="JX2" s="1" t="s">
        <v>1078</v>
      </c>
      <c r="JY2" s="1" t="s">
        <v>1079</v>
      </c>
      <c r="JZ2" s="1" t="s">
        <v>1080</v>
      </c>
      <c r="KA2" s="1" t="s">
        <v>1081</v>
      </c>
      <c r="KB2" s="1" t="s">
        <v>1082</v>
      </c>
      <c r="KC2" s="1" t="s">
        <v>1083</v>
      </c>
      <c r="KD2" s="1" t="s">
        <v>1084</v>
      </c>
      <c r="KE2" s="1" t="s">
        <v>1085</v>
      </c>
      <c r="KF2" s="1" t="s">
        <v>1086</v>
      </c>
      <c r="KG2" s="1" t="s">
        <v>1087</v>
      </c>
      <c r="KH2" s="1" t="s">
        <v>1088</v>
      </c>
      <c r="KI2" s="1" t="s">
        <v>1089</v>
      </c>
      <c r="KJ2" s="1" t="s">
        <v>1090</v>
      </c>
      <c r="KK2" s="1" t="s">
        <v>1091</v>
      </c>
      <c r="KL2" s="1" t="s">
        <v>1092</v>
      </c>
      <c r="KM2" s="1" t="s">
        <v>1093</v>
      </c>
      <c r="KN2" s="1" t="s">
        <v>1094</v>
      </c>
      <c r="KO2" s="1" t="s">
        <v>1095</v>
      </c>
      <c r="KP2" s="1" t="s">
        <v>1096</v>
      </c>
      <c r="KQ2" s="1" t="s">
        <v>1097</v>
      </c>
      <c r="KR2" s="1" t="s">
        <v>1098</v>
      </c>
      <c r="KS2" s="1" t="s">
        <v>1099</v>
      </c>
      <c r="KT2" s="1" t="s">
        <v>1100</v>
      </c>
      <c r="KU2" s="1" t="s">
        <v>1101</v>
      </c>
      <c r="KV2" s="1" t="s">
        <v>1102</v>
      </c>
      <c r="KW2" s="1" t="s">
        <v>1103</v>
      </c>
      <c r="KX2" s="1" t="s">
        <v>1104</v>
      </c>
      <c r="KY2" s="1" t="s">
        <v>1105</v>
      </c>
      <c r="KZ2" s="1" t="s">
        <v>1106</v>
      </c>
      <c r="LA2" s="1" t="s">
        <v>1107</v>
      </c>
      <c r="LB2" s="1" t="s">
        <v>1108</v>
      </c>
      <c r="LC2" s="1" t="s">
        <v>1109</v>
      </c>
      <c r="LD2" s="1" t="s">
        <v>1110</v>
      </c>
      <c r="LE2" s="1" t="s">
        <v>1111</v>
      </c>
      <c r="LF2" s="1" t="s">
        <v>1112</v>
      </c>
      <c r="LG2" s="1" t="s">
        <v>1113</v>
      </c>
      <c r="LH2" s="1" t="s">
        <v>1114</v>
      </c>
      <c r="LI2" s="1" t="s">
        <v>1115</v>
      </c>
      <c r="LJ2" s="1" t="s">
        <v>1116</v>
      </c>
      <c r="LK2" s="1" t="s">
        <v>1117</v>
      </c>
      <c r="LL2" s="1" t="s">
        <v>1118</v>
      </c>
      <c r="LM2" s="1" t="s">
        <v>1119</v>
      </c>
      <c r="LN2" s="1" t="s">
        <v>1120</v>
      </c>
      <c r="LO2" s="1" t="s">
        <v>1121</v>
      </c>
      <c r="LP2" s="1" t="s">
        <v>1122</v>
      </c>
      <c r="LQ2" s="1" t="s">
        <v>1123</v>
      </c>
      <c r="LR2" s="1" t="s">
        <v>1124</v>
      </c>
      <c r="LS2" s="1" t="s">
        <v>1125</v>
      </c>
      <c r="LT2" s="1" t="s">
        <v>1126</v>
      </c>
      <c r="LU2" s="1" t="s">
        <v>1127</v>
      </c>
      <c r="LV2" s="1" t="s">
        <v>1128</v>
      </c>
      <c r="LW2" s="1" t="s">
        <v>1129</v>
      </c>
      <c r="LX2" s="1" t="s">
        <v>1130</v>
      </c>
      <c r="LY2" s="1" t="s">
        <v>1131</v>
      </c>
      <c r="LZ2" s="1" t="s">
        <v>1132</v>
      </c>
      <c r="MA2" s="1" t="s">
        <v>1133</v>
      </c>
      <c r="MB2" s="1" t="s">
        <v>1134</v>
      </c>
      <c r="MC2" s="1" t="s">
        <v>1135</v>
      </c>
      <c r="MD2" s="1" t="s">
        <v>1136</v>
      </c>
      <c r="ME2" s="1" t="s">
        <v>1137</v>
      </c>
      <c r="MF2" s="1" t="s">
        <v>1138</v>
      </c>
      <c r="MG2" s="1" t="s">
        <v>1139</v>
      </c>
      <c r="MH2" s="1" t="s">
        <v>1140</v>
      </c>
      <c r="MI2" s="1" t="s">
        <v>1141</v>
      </c>
      <c r="MJ2" s="1" t="s">
        <v>1142</v>
      </c>
      <c r="MK2" s="1" t="s">
        <v>1143</v>
      </c>
      <c r="ML2" s="1" t="s">
        <v>1144</v>
      </c>
      <c r="MM2" s="1" t="s">
        <v>1145</v>
      </c>
      <c r="MN2" s="1" t="s">
        <v>1146</v>
      </c>
      <c r="MO2" s="1" t="s">
        <v>1147</v>
      </c>
      <c r="MP2" s="1" t="s">
        <v>1148</v>
      </c>
      <c r="MQ2" s="1" t="s">
        <v>1149</v>
      </c>
      <c r="MR2" s="1" t="s">
        <v>1150</v>
      </c>
      <c r="MS2" s="1" t="s">
        <v>1151</v>
      </c>
      <c r="MT2" s="1" t="s">
        <v>1152</v>
      </c>
      <c r="MU2" s="1" t="s">
        <v>1153</v>
      </c>
      <c r="MV2" s="1" t="s">
        <v>1154</v>
      </c>
      <c r="MW2" s="1" t="s">
        <v>1155</v>
      </c>
      <c r="MX2" s="1" t="s">
        <v>1156</v>
      </c>
      <c r="MY2" s="1" t="s">
        <v>1157</v>
      </c>
      <c r="MZ2" s="1" t="s">
        <v>1158</v>
      </c>
      <c r="NA2" s="1" t="s">
        <v>1159</v>
      </c>
      <c r="NB2" s="1" t="s">
        <v>1160</v>
      </c>
      <c r="NC2" s="1" t="s">
        <v>1161</v>
      </c>
      <c r="ND2" s="1" t="s">
        <v>1162</v>
      </c>
      <c r="NE2" s="1" t="s">
        <v>1163</v>
      </c>
      <c r="NF2" s="1" t="s">
        <v>1164</v>
      </c>
      <c r="NG2" s="1" t="s">
        <v>1165</v>
      </c>
      <c r="NH2" s="1" t="s">
        <v>1166</v>
      </c>
      <c r="NI2" s="1" t="s">
        <v>1167</v>
      </c>
      <c r="NJ2" s="1" t="s">
        <v>1168</v>
      </c>
      <c r="NK2" s="1" t="s">
        <v>1169</v>
      </c>
      <c r="NL2" s="1" t="s">
        <v>1170</v>
      </c>
      <c r="NM2" s="1" t="s">
        <v>1171</v>
      </c>
      <c r="NN2" s="1" t="s">
        <v>1172</v>
      </c>
      <c r="NO2" s="1" t="s">
        <v>1173</v>
      </c>
      <c r="NP2" s="1" t="s">
        <v>1174</v>
      </c>
      <c r="NQ2" s="1" t="s">
        <v>1175</v>
      </c>
      <c r="NR2" s="1" t="s">
        <v>1176</v>
      </c>
      <c r="NS2" s="1" t="s">
        <v>1177</v>
      </c>
      <c r="NT2" s="1" t="s">
        <v>1178</v>
      </c>
      <c r="NU2" s="1" t="s">
        <v>1179</v>
      </c>
      <c r="NV2" s="1" t="s">
        <v>1180</v>
      </c>
      <c r="NW2" s="1" t="s">
        <v>1181</v>
      </c>
      <c r="NX2" s="1" t="s">
        <v>1182</v>
      </c>
      <c r="NY2" s="1" t="s">
        <v>1183</v>
      </c>
      <c r="NZ2" s="1" t="s">
        <v>1184</v>
      </c>
      <c r="OA2" s="1" t="s">
        <v>1185</v>
      </c>
      <c r="OB2" s="1" t="s">
        <v>1186</v>
      </c>
      <c r="OC2" s="1" t="s">
        <v>1187</v>
      </c>
      <c r="OD2" s="1" t="s">
        <v>1188</v>
      </c>
      <c r="OE2" s="1" t="s">
        <v>1189</v>
      </c>
      <c r="OF2" s="1" t="s">
        <v>1190</v>
      </c>
      <c r="OG2" s="1" t="s">
        <v>1191</v>
      </c>
      <c r="OH2" s="1" t="s">
        <v>1192</v>
      </c>
      <c r="OI2" s="1" t="s">
        <v>1193</v>
      </c>
      <c r="OJ2" s="1" t="s">
        <v>1194</v>
      </c>
      <c r="OK2" s="1" t="s">
        <v>1195</v>
      </c>
      <c r="OL2" s="1" t="s">
        <v>1196</v>
      </c>
      <c r="OM2" s="1" t="s">
        <v>1197</v>
      </c>
      <c r="ON2" s="1" t="s">
        <v>1198</v>
      </c>
      <c r="OO2" s="1" t="s">
        <v>1199</v>
      </c>
      <c r="OP2" s="1" t="s">
        <v>1200</v>
      </c>
      <c r="OQ2" s="1" t="s">
        <v>1201</v>
      </c>
      <c r="OR2" s="1" t="s">
        <v>1202</v>
      </c>
      <c r="OS2" s="1" t="s">
        <v>1203</v>
      </c>
      <c r="OT2" s="1" t="s">
        <v>1204</v>
      </c>
      <c r="OU2" s="1" t="s">
        <v>1205</v>
      </c>
      <c r="OV2" s="1" t="s">
        <v>1206</v>
      </c>
      <c r="OW2" s="1" t="s">
        <v>1207</v>
      </c>
      <c r="OX2" s="1" t="s">
        <v>1208</v>
      </c>
      <c r="OY2" s="1" t="s">
        <v>1209</v>
      </c>
      <c r="OZ2" s="1" t="s">
        <v>1210</v>
      </c>
      <c r="PA2" s="1" t="s">
        <v>1211</v>
      </c>
      <c r="PB2" s="1" t="s">
        <v>1212</v>
      </c>
      <c r="PC2" s="1" t="s">
        <v>1213</v>
      </c>
      <c r="PD2" s="1" t="s">
        <v>1214</v>
      </c>
      <c r="PE2" s="1" t="s">
        <v>1215</v>
      </c>
      <c r="PF2" s="1" t="s">
        <v>1216</v>
      </c>
      <c r="PG2" s="1" t="s">
        <v>1217</v>
      </c>
      <c r="PH2" s="1" t="s">
        <v>1218</v>
      </c>
      <c r="PI2" s="1" t="s">
        <v>1219</v>
      </c>
      <c r="PJ2" s="1" t="s">
        <v>1220</v>
      </c>
      <c r="PK2" s="1" t="s">
        <v>1221</v>
      </c>
      <c r="PL2" s="1" t="s">
        <v>1222</v>
      </c>
      <c r="PM2" s="1" t="s">
        <v>1223</v>
      </c>
      <c r="PN2" s="1" t="s">
        <v>1224</v>
      </c>
      <c r="PO2" s="1" t="s">
        <v>1225</v>
      </c>
      <c r="PP2" s="1" t="s">
        <v>1226</v>
      </c>
      <c r="PQ2" s="1" t="s">
        <v>1227</v>
      </c>
      <c r="PR2" s="1" t="s">
        <v>1228</v>
      </c>
      <c r="PS2" s="1" t="s">
        <v>1229</v>
      </c>
      <c r="PT2" s="1" t="s">
        <v>1230</v>
      </c>
      <c r="PU2" s="1" t="s">
        <v>1231</v>
      </c>
      <c r="PV2" s="1" t="s">
        <v>1232</v>
      </c>
      <c r="PW2" s="1" t="s">
        <v>1233</v>
      </c>
      <c r="PX2" s="1" t="s">
        <v>1234</v>
      </c>
      <c r="PY2" s="1" t="s">
        <v>1235</v>
      </c>
      <c r="PZ2" s="1" t="s">
        <v>1236</v>
      </c>
      <c r="QA2" s="1" t="s">
        <v>1237</v>
      </c>
      <c r="QB2" s="1" t="s">
        <v>1238</v>
      </c>
      <c r="QC2" s="1" t="s">
        <v>1239</v>
      </c>
      <c r="QD2" s="1" t="s">
        <v>1240</v>
      </c>
      <c r="QE2" s="1" t="s">
        <v>1241</v>
      </c>
      <c r="QF2" s="1" t="s">
        <v>1242</v>
      </c>
      <c r="QG2" s="1" t="s">
        <v>1243</v>
      </c>
      <c r="QH2" s="1" t="s">
        <v>1244</v>
      </c>
      <c r="QI2" s="1" t="s">
        <v>1245</v>
      </c>
      <c r="QJ2" s="1" t="s">
        <v>1246</v>
      </c>
      <c r="QK2" s="1" t="s">
        <v>1247</v>
      </c>
      <c r="QL2" s="1" t="s">
        <v>1248</v>
      </c>
      <c r="QM2" s="1" t="s">
        <v>1249</v>
      </c>
      <c r="QN2" s="1" t="s">
        <v>1250</v>
      </c>
      <c r="QO2" s="1" t="s">
        <v>1251</v>
      </c>
      <c r="QP2" s="1" t="s">
        <v>1252</v>
      </c>
      <c r="QQ2" s="1" t="s">
        <v>1253</v>
      </c>
      <c r="QR2" s="1" t="s">
        <v>1254</v>
      </c>
      <c r="QS2" s="1" t="s">
        <v>1255</v>
      </c>
      <c r="QT2" s="1" t="s">
        <v>1256</v>
      </c>
      <c r="QU2" s="1" t="s">
        <v>1257</v>
      </c>
      <c r="QV2" s="1" t="s">
        <v>1258</v>
      </c>
      <c r="QW2" s="1" t="s">
        <v>1259</v>
      </c>
      <c r="QX2" s="1" t="s">
        <v>1260</v>
      </c>
      <c r="QY2" s="1" t="s">
        <v>1261</v>
      </c>
      <c r="QZ2" s="1" t="s">
        <v>1262</v>
      </c>
      <c r="RA2" s="1" t="s">
        <v>1263</v>
      </c>
      <c r="RB2" s="1" t="s">
        <v>1264</v>
      </c>
      <c r="RC2" s="1" t="s">
        <v>1265</v>
      </c>
      <c r="RD2" s="1" t="s">
        <v>1266</v>
      </c>
      <c r="RE2" s="1" t="s">
        <v>1267</v>
      </c>
      <c r="RF2" s="1" t="s">
        <v>1268</v>
      </c>
      <c r="RG2" s="1" t="s">
        <v>1269</v>
      </c>
      <c r="RH2" s="1" t="s">
        <v>1270</v>
      </c>
      <c r="RI2" s="1" t="s">
        <v>1271</v>
      </c>
      <c r="RJ2" s="1" t="s">
        <v>1272</v>
      </c>
      <c r="RK2" s="1" t="s">
        <v>1273</v>
      </c>
      <c r="RL2" s="1" t="s">
        <v>1274</v>
      </c>
      <c r="RM2" s="1" t="s">
        <v>1275</v>
      </c>
      <c r="RN2" s="1" t="s">
        <v>1276</v>
      </c>
      <c r="RO2" s="1" t="s">
        <v>1277</v>
      </c>
      <c r="RP2" s="1" t="s">
        <v>1278</v>
      </c>
      <c r="RQ2" s="1" t="s">
        <v>1279</v>
      </c>
      <c r="RR2" s="1" t="s">
        <v>1280</v>
      </c>
      <c r="RS2" s="1" t="s">
        <v>1281</v>
      </c>
      <c r="RT2" s="1" t="s">
        <v>1282</v>
      </c>
      <c r="RU2" s="1" t="s">
        <v>1283</v>
      </c>
      <c r="RV2" s="1" t="s">
        <v>1284</v>
      </c>
      <c r="RW2" s="1" t="s">
        <v>1285</v>
      </c>
      <c r="RX2" s="1" t="s">
        <v>1286</v>
      </c>
      <c r="RY2" s="1" t="s">
        <v>1287</v>
      </c>
      <c r="RZ2" s="1" t="s">
        <v>1288</v>
      </c>
      <c r="SA2" s="1" t="s">
        <v>1289</v>
      </c>
      <c r="SB2" s="1" t="s">
        <v>1290</v>
      </c>
      <c r="SC2" s="1" t="s">
        <v>1291</v>
      </c>
      <c r="SD2" s="1" t="s">
        <v>1292</v>
      </c>
      <c r="SE2" s="1" t="s">
        <v>1293</v>
      </c>
      <c r="SF2" s="1" t="s">
        <v>1294</v>
      </c>
      <c r="SG2" s="1" t="s">
        <v>1295</v>
      </c>
      <c r="SH2" s="1" t="s">
        <v>1296</v>
      </c>
      <c r="SI2" s="1" t="s">
        <v>1297</v>
      </c>
      <c r="SJ2" s="1" t="s">
        <v>1298</v>
      </c>
      <c r="SK2" s="1" t="s">
        <v>1299</v>
      </c>
      <c r="SL2" s="1" t="s">
        <v>1300</v>
      </c>
      <c r="SM2" s="1" t="s">
        <v>1301</v>
      </c>
      <c r="SN2" s="1" t="s">
        <v>1302</v>
      </c>
      <c r="SO2" s="1" t="s">
        <v>1303</v>
      </c>
      <c r="SP2" s="1" t="s">
        <v>1304</v>
      </c>
      <c r="SQ2" s="1" t="s">
        <v>1305</v>
      </c>
      <c r="SR2" s="1" t="s">
        <v>1306</v>
      </c>
      <c r="SS2" s="1" t="s">
        <v>1307</v>
      </c>
      <c r="ST2" s="1" t="s">
        <v>1308</v>
      </c>
      <c r="SU2" s="1" t="s">
        <v>1309</v>
      </c>
      <c r="SV2" s="1" t="s">
        <v>1310</v>
      </c>
      <c r="SW2" s="1" t="s">
        <v>1311</v>
      </c>
      <c r="SX2" s="1" t="s">
        <v>1312</v>
      </c>
      <c r="SY2" s="1" t="s">
        <v>1313</v>
      </c>
      <c r="SZ2" s="1" t="s">
        <v>1314</v>
      </c>
      <c r="TA2" s="1" t="s">
        <v>1315</v>
      </c>
      <c r="TB2" s="1" t="s">
        <v>1316</v>
      </c>
      <c r="TC2" s="1" t="s">
        <v>1317</v>
      </c>
      <c r="TD2" s="1" t="s">
        <v>1318</v>
      </c>
      <c r="TE2" s="1" t="s">
        <v>1319</v>
      </c>
      <c r="TF2" s="1" t="s">
        <v>1320</v>
      </c>
      <c r="TG2" s="1" t="s">
        <v>1321</v>
      </c>
      <c r="TH2" s="1" t="s">
        <v>1322</v>
      </c>
      <c r="TI2" s="1" t="s">
        <v>1323</v>
      </c>
      <c r="TJ2" s="1" t="s">
        <v>1324</v>
      </c>
      <c r="TK2" s="1" t="s">
        <v>1325</v>
      </c>
      <c r="TL2" s="1" t="s">
        <v>1326</v>
      </c>
      <c r="TM2" s="1" t="s">
        <v>1327</v>
      </c>
      <c r="TN2" s="1" t="s">
        <v>1328</v>
      </c>
      <c r="TO2" s="1" t="s">
        <v>1329</v>
      </c>
      <c r="TP2" s="1" t="s">
        <v>1330</v>
      </c>
      <c r="TQ2" s="1" t="s">
        <v>1331</v>
      </c>
      <c r="TR2" s="1" t="s">
        <v>1332</v>
      </c>
      <c r="TS2" s="1" t="s">
        <v>1333</v>
      </c>
      <c r="TT2" s="1" t="s">
        <v>1334</v>
      </c>
      <c r="TU2" s="1" t="s">
        <v>1335</v>
      </c>
      <c r="TV2" s="1" t="s">
        <v>1336</v>
      </c>
      <c r="TW2" s="1" t="s">
        <v>1337</v>
      </c>
      <c r="TX2" s="1" t="s">
        <v>1338</v>
      </c>
      <c r="TY2" s="1" t="s">
        <v>1339</v>
      </c>
      <c r="TZ2" s="1" t="s">
        <v>1340</v>
      </c>
      <c r="UA2" s="1" t="s">
        <v>1341</v>
      </c>
      <c r="UB2" s="1" t="s">
        <v>1342</v>
      </c>
      <c r="UC2" s="1" t="s">
        <v>1343</v>
      </c>
      <c r="UD2" s="1" t="s">
        <v>1344</v>
      </c>
      <c r="UE2" s="1" t="s">
        <v>1345</v>
      </c>
      <c r="UF2" s="1" t="s">
        <v>1346</v>
      </c>
      <c r="UG2" s="1" t="s">
        <v>1347</v>
      </c>
      <c r="UH2" s="1" t="s">
        <v>1348</v>
      </c>
      <c r="UI2" s="1" t="s">
        <v>1349</v>
      </c>
      <c r="UJ2" s="1" t="s">
        <v>1350</v>
      </c>
      <c r="UK2" s="1" t="s">
        <v>1351</v>
      </c>
      <c r="UL2" s="1" t="s">
        <v>1352</v>
      </c>
      <c r="UM2" s="1" t="s">
        <v>1353</v>
      </c>
      <c r="UN2" s="1" t="s">
        <v>1354</v>
      </c>
      <c r="UO2" s="1" t="s">
        <v>1355</v>
      </c>
      <c r="UP2" s="1" t="s">
        <v>1356</v>
      </c>
      <c r="UQ2" s="1" t="s">
        <v>1357</v>
      </c>
      <c r="UR2" s="1" t="s">
        <v>1358</v>
      </c>
      <c r="US2" s="1" t="s">
        <v>1359</v>
      </c>
      <c r="UT2" s="1" t="s">
        <v>1360</v>
      </c>
      <c r="UU2" s="1" t="s">
        <v>1361</v>
      </c>
      <c r="UV2" s="1" t="s">
        <v>1362</v>
      </c>
      <c r="UW2" s="1" t="s">
        <v>1363</v>
      </c>
      <c r="UX2" s="1" t="s">
        <v>1364</v>
      </c>
      <c r="UY2" s="1" t="s">
        <v>1365</v>
      </c>
      <c r="UZ2" s="1" t="s">
        <v>1366</v>
      </c>
      <c r="VA2" s="1" t="s">
        <v>1367</v>
      </c>
      <c r="VB2" s="1" t="s">
        <v>1368</v>
      </c>
      <c r="VC2" s="1" t="s">
        <v>1369</v>
      </c>
      <c r="VD2" s="1" t="s">
        <v>1370</v>
      </c>
      <c r="VE2" s="1" t="s">
        <v>1371</v>
      </c>
      <c r="VF2" s="1" t="s">
        <v>1372</v>
      </c>
      <c r="VG2" s="1" t="s">
        <v>1373</v>
      </c>
      <c r="VH2" s="1" t="s">
        <v>1374</v>
      </c>
      <c r="VI2" s="1" t="s">
        <v>1375</v>
      </c>
      <c r="VJ2" s="1" t="s">
        <v>1376</v>
      </c>
      <c r="VK2" s="1" t="s">
        <v>1377</v>
      </c>
      <c r="VL2" s="1" t="s">
        <v>1378</v>
      </c>
      <c r="VM2" s="1" t="s">
        <v>1379</v>
      </c>
      <c r="VN2" s="1" t="s">
        <v>1380</v>
      </c>
      <c r="VO2" s="1" t="s">
        <v>1381</v>
      </c>
      <c r="VP2" s="1" t="s">
        <v>1382</v>
      </c>
      <c r="VQ2" s="1" t="s">
        <v>1383</v>
      </c>
      <c r="VR2" s="1" t="s">
        <v>1384</v>
      </c>
      <c r="VS2" s="1" t="s">
        <v>1385</v>
      </c>
      <c r="VT2" s="1" t="s">
        <v>1386</v>
      </c>
      <c r="VU2" s="1" t="s">
        <v>1387</v>
      </c>
      <c r="VV2" s="1" t="s">
        <v>1388</v>
      </c>
      <c r="VW2" s="1" t="s">
        <v>1389</v>
      </c>
      <c r="VX2" s="1" t="s">
        <v>1390</v>
      </c>
      <c r="VY2" s="1" t="s">
        <v>1391</v>
      </c>
      <c r="VZ2" s="1" t="s">
        <v>1392</v>
      </c>
      <c r="WA2" s="1" t="s">
        <v>1393</v>
      </c>
      <c r="WB2" s="1" t="s">
        <v>1394</v>
      </c>
      <c r="WC2" s="1" t="s">
        <v>1395</v>
      </c>
      <c r="WD2" s="1" t="s">
        <v>1396</v>
      </c>
      <c r="WE2" s="1" t="s">
        <v>1397</v>
      </c>
      <c r="WF2" s="1" t="s">
        <v>1398</v>
      </c>
      <c r="WG2" s="1" t="s">
        <v>1399</v>
      </c>
      <c r="WH2" s="1" t="s">
        <v>1400</v>
      </c>
      <c r="WI2" s="1" t="s">
        <v>1401</v>
      </c>
      <c r="WJ2" s="1" t="s">
        <v>1402</v>
      </c>
      <c r="WK2" s="1" t="s">
        <v>1403</v>
      </c>
      <c r="WL2" s="1" t="s">
        <v>1404</v>
      </c>
      <c r="WM2" s="1" t="s">
        <v>1405</v>
      </c>
      <c r="WN2" s="1" t="s">
        <v>1406</v>
      </c>
      <c r="WO2" s="1" t="s">
        <v>1407</v>
      </c>
      <c r="WP2" s="1" t="s">
        <v>1408</v>
      </c>
      <c r="WQ2" s="1" t="s">
        <v>1409</v>
      </c>
      <c r="WR2" s="1" t="s">
        <v>1410</v>
      </c>
      <c r="WS2" s="1" t="s">
        <v>1411</v>
      </c>
      <c r="WT2" s="1" t="s">
        <v>1412</v>
      </c>
      <c r="WU2" s="1" t="s">
        <v>1413</v>
      </c>
      <c r="WV2" s="1" t="s">
        <v>1414</v>
      </c>
      <c r="WW2" s="1" t="s">
        <v>1415</v>
      </c>
      <c r="WX2" s="1" t="s">
        <v>1416</v>
      </c>
      <c r="WY2" s="1" t="s">
        <v>1417</v>
      </c>
      <c r="WZ2" s="1" t="s">
        <v>1418</v>
      </c>
      <c r="XA2" s="1" t="s">
        <v>1419</v>
      </c>
      <c r="XB2" s="1" t="s">
        <v>1420</v>
      </c>
      <c r="XC2" s="1" t="s">
        <v>1421</v>
      </c>
      <c r="XD2" s="1" t="s">
        <v>1422</v>
      </c>
      <c r="XE2" s="1" t="s">
        <v>1423</v>
      </c>
      <c r="XF2" s="1" t="s">
        <v>1424</v>
      </c>
      <c r="XG2" s="1" t="s">
        <v>1425</v>
      </c>
      <c r="XH2" s="1" t="s">
        <v>1426</v>
      </c>
      <c r="XI2" s="1" t="s">
        <v>1427</v>
      </c>
      <c r="XJ2" s="1" t="s">
        <v>1428</v>
      </c>
      <c r="XK2" s="1" t="s">
        <v>1429</v>
      </c>
      <c r="XL2" s="1" t="s">
        <v>1430</v>
      </c>
      <c r="XM2" s="1" t="s">
        <v>1431</v>
      </c>
      <c r="XN2" s="1" t="s">
        <v>1432</v>
      </c>
      <c r="XO2" s="1" t="s">
        <v>1433</v>
      </c>
      <c r="XP2" s="1" t="s">
        <v>1434</v>
      </c>
      <c r="XQ2" s="1" t="s">
        <v>1435</v>
      </c>
      <c r="XR2" s="1" t="s">
        <v>1436</v>
      </c>
      <c r="XS2" s="1" t="s">
        <v>1437</v>
      </c>
      <c r="XT2" s="1" t="s">
        <v>1438</v>
      </c>
      <c r="XU2" s="1" t="s">
        <v>1439</v>
      </c>
      <c r="XV2" s="1" t="s">
        <v>1440</v>
      </c>
      <c r="XW2" s="1" t="s">
        <v>1441</v>
      </c>
      <c r="XX2" s="1" t="s">
        <v>1442</v>
      </c>
      <c r="XY2" s="1" t="s">
        <v>1443</v>
      </c>
      <c r="XZ2" s="1" t="s">
        <v>1444</v>
      </c>
      <c r="YA2" s="1" t="s">
        <v>1445</v>
      </c>
      <c r="YB2" s="1" t="s">
        <v>1446</v>
      </c>
      <c r="YC2" s="1" t="s">
        <v>1447</v>
      </c>
      <c r="YD2" s="1" t="s">
        <v>1448</v>
      </c>
      <c r="YE2" s="1" t="s">
        <v>1449</v>
      </c>
      <c r="YF2" s="1" t="s">
        <v>1450</v>
      </c>
      <c r="YG2" s="1" t="s">
        <v>1451</v>
      </c>
      <c r="YH2" s="1" t="s">
        <v>1452</v>
      </c>
      <c r="YI2" s="1" t="s">
        <v>1453</v>
      </c>
      <c r="YJ2" s="1" t="s">
        <v>1454</v>
      </c>
      <c r="YK2" s="1" t="s">
        <v>1455</v>
      </c>
      <c r="YL2" s="1" t="s">
        <v>1456</v>
      </c>
      <c r="YM2" s="1" t="s">
        <v>1457</v>
      </c>
      <c r="YN2" s="1" t="s">
        <v>1458</v>
      </c>
      <c r="YO2" s="1" t="s">
        <v>1459</v>
      </c>
      <c r="YP2" s="1" t="s">
        <v>1460</v>
      </c>
      <c r="YQ2" s="1" t="s">
        <v>1461</v>
      </c>
      <c r="YR2" s="1" t="s">
        <v>1462</v>
      </c>
      <c r="YS2" s="1" t="s">
        <v>1463</v>
      </c>
      <c r="YT2" s="1" t="s">
        <v>1464</v>
      </c>
      <c r="YU2" s="1" t="s">
        <v>1465</v>
      </c>
      <c r="YV2" s="1" t="s">
        <v>1466</v>
      </c>
      <c r="YW2" s="1" t="s">
        <v>1467</v>
      </c>
      <c r="YX2" s="1" t="s">
        <v>1468</v>
      </c>
      <c r="YY2" s="1" t="s">
        <v>1469</v>
      </c>
      <c r="YZ2" s="1" t="s">
        <v>1470</v>
      </c>
      <c r="ZA2" s="1" t="s">
        <v>1471</v>
      </c>
      <c r="ZB2" s="1" t="s">
        <v>1472</v>
      </c>
      <c r="ZC2" s="1" t="s">
        <v>1473</v>
      </c>
      <c r="ZD2" s="1" t="s">
        <v>1474</v>
      </c>
      <c r="ZE2" s="1" t="s">
        <v>1475</v>
      </c>
      <c r="ZF2" s="1" t="s">
        <v>1476</v>
      </c>
      <c r="ZG2" s="1" t="s">
        <v>1477</v>
      </c>
      <c r="ZH2" s="1" t="s">
        <v>1478</v>
      </c>
      <c r="ZI2" s="1" t="s">
        <v>1479</v>
      </c>
      <c r="ZJ2" s="1" t="s">
        <v>1480</v>
      </c>
      <c r="ZK2" s="1" t="s">
        <v>1481</v>
      </c>
      <c r="ZL2" s="1" t="s">
        <v>1482</v>
      </c>
      <c r="ZM2" s="1" t="s">
        <v>1483</v>
      </c>
      <c r="ZN2" s="1" t="s">
        <v>1484</v>
      </c>
      <c r="ZO2" s="1" t="s">
        <v>1485</v>
      </c>
      <c r="ZP2" s="1" t="s">
        <v>1486</v>
      </c>
      <c r="ZQ2" s="1" t="s">
        <v>1487</v>
      </c>
      <c r="ZR2" s="1" t="s">
        <v>1488</v>
      </c>
      <c r="ZS2" s="1" t="s">
        <v>1489</v>
      </c>
      <c r="ZT2" s="1" t="s">
        <v>1490</v>
      </c>
      <c r="ZU2" s="1" t="s">
        <v>1491</v>
      </c>
      <c r="ZV2" s="1" t="s">
        <v>1492</v>
      </c>
      <c r="ZW2" s="1" t="s">
        <v>1493</v>
      </c>
      <c r="ZX2" s="1" t="s">
        <v>1494</v>
      </c>
      <c r="ZY2" s="1" t="s">
        <v>1495</v>
      </c>
      <c r="ZZ2" s="1" t="s">
        <v>1585</v>
      </c>
      <c r="AAA2" s="1" t="s">
        <v>1586</v>
      </c>
      <c r="AAB2" s="1" t="s">
        <v>1587</v>
      </c>
      <c r="AAC2" s="1" t="s">
        <v>1588</v>
      </c>
      <c r="AAD2" s="1" t="s">
        <v>1589</v>
      </c>
      <c r="AAE2" s="1" t="s">
        <v>1590</v>
      </c>
      <c r="AAF2" s="1" t="s">
        <v>1591</v>
      </c>
      <c r="AAG2" s="1" t="s">
        <v>1592</v>
      </c>
      <c r="AAH2" s="1" t="s">
        <v>1593</v>
      </c>
      <c r="AAI2" s="1" t="s">
        <v>1594</v>
      </c>
      <c r="AAJ2" s="1" t="s">
        <v>1595</v>
      </c>
      <c r="AAK2" s="1" t="s">
        <v>1596</v>
      </c>
      <c r="AAL2" s="1" t="s">
        <v>1597</v>
      </c>
      <c r="AAM2" s="1" t="s">
        <v>1598</v>
      </c>
      <c r="AAN2" s="1" t="s">
        <v>1599</v>
      </c>
      <c r="AAO2" s="1" t="s">
        <v>1600</v>
      </c>
      <c r="AAP2" s="1" t="s">
        <v>1601</v>
      </c>
      <c r="AAQ2" s="1" t="s">
        <v>1602</v>
      </c>
      <c r="AAR2" s="1" t="s">
        <v>1603</v>
      </c>
      <c r="AAS2" s="1" t="s">
        <v>1604</v>
      </c>
      <c r="AAT2" s="1" t="s">
        <v>1605</v>
      </c>
      <c r="AAU2" s="1" t="s">
        <v>1606</v>
      </c>
      <c r="AAV2" s="1" t="s">
        <v>1607</v>
      </c>
      <c r="AAW2" s="1" t="s">
        <v>1608</v>
      </c>
      <c r="AAX2" s="1" t="s">
        <v>1609</v>
      </c>
      <c r="AAY2" s="1" t="s">
        <v>1610</v>
      </c>
      <c r="AAZ2" s="1" t="s">
        <v>1611</v>
      </c>
      <c r="ABA2" s="1" t="s">
        <v>1612</v>
      </c>
      <c r="ABB2" s="1" t="s">
        <v>1613</v>
      </c>
      <c r="ABC2" s="1" t="s">
        <v>1614</v>
      </c>
      <c r="ABD2" s="1" t="s">
        <v>1615</v>
      </c>
      <c r="ABE2" s="1" t="s">
        <v>1616</v>
      </c>
      <c r="ABF2" s="1" t="s">
        <v>1617</v>
      </c>
      <c r="ABG2" s="1" t="s">
        <v>1618</v>
      </c>
      <c r="ABH2" s="1" t="s">
        <v>1619</v>
      </c>
      <c r="ABI2" s="1" t="s">
        <v>1620</v>
      </c>
      <c r="ABJ2" s="1" t="s">
        <v>1621</v>
      </c>
      <c r="ABK2" s="1" t="s">
        <v>1622</v>
      </c>
      <c r="ABL2" s="1" t="s">
        <v>1623</v>
      </c>
      <c r="ABM2" s="1" t="s">
        <v>1624</v>
      </c>
      <c r="ABN2" s="1" t="s">
        <v>1625</v>
      </c>
      <c r="ABO2" s="1" t="s">
        <v>1626</v>
      </c>
      <c r="ABP2" s="1" t="s">
        <v>1627</v>
      </c>
      <c r="ABQ2" s="1" t="s">
        <v>1628</v>
      </c>
      <c r="ABR2" s="1" t="s">
        <v>1629</v>
      </c>
      <c r="ABS2" s="1" t="s">
        <v>1630</v>
      </c>
      <c r="ABT2" s="1" t="s">
        <v>1631</v>
      </c>
      <c r="ABU2" s="1" t="s">
        <v>1632</v>
      </c>
      <c r="ABV2" s="1" t="s">
        <v>1633</v>
      </c>
      <c r="ABW2" s="1" t="s">
        <v>1634</v>
      </c>
      <c r="ABX2" s="1" t="s">
        <v>1635</v>
      </c>
      <c r="ABY2" s="1" t="s">
        <v>1636</v>
      </c>
      <c r="ABZ2" s="1" t="s">
        <v>1637</v>
      </c>
      <c r="ACA2" s="1" t="s">
        <v>1638</v>
      </c>
      <c r="ACB2" s="1" t="s">
        <v>1639</v>
      </c>
      <c r="ACC2" s="1" t="s">
        <v>1640</v>
      </c>
      <c r="ACD2" s="1" t="s">
        <v>1641</v>
      </c>
      <c r="ACE2" s="1" t="s">
        <v>1642</v>
      </c>
      <c r="ACF2" s="1" t="s">
        <v>1643</v>
      </c>
      <c r="ACG2" s="1" t="s">
        <v>1644</v>
      </c>
      <c r="ACH2" s="1" t="s">
        <v>1645</v>
      </c>
      <c r="ACI2" s="1" t="s">
        <v>1646</v>
      </c>
      <c r="ACJ2" s="1" t="s">
        <v>1647</v>
      </c>
      <c r="ACK2" s="1" t="s">
        <v>1648</v>
      </c>
      <c r="ACL2" s="1" t="s">
        <v>1649</v>
      </c>
      <c r="ACM2" s="1" t="s">
        <v>1650</v>
      </c>
      <c r="ACN2" s="1" t="s">
        <v>1651</v>
      </c>
      <c r="ACO2" s="1" t="s">
        <v>1652</v>
      </c>
      <c r="ACP2" s="1" t="s">
        <v>1653</v>
      </c>
      <c r="ACQ2" s="1" t="s">
        <v>1654</v>
      </c>
      <c r="ACR2" s="1" t="s">
        <v>1655</v>
      </c>
      <c r="ACS2" s="1" t="s">
        <v>1656</v>
      </c>
      <c r="ACT2" s="1" t="s">
        <v>1657</v>
      </c>
      <c r="ACU2" s="1" t="s">
        <v>1658</v>
      </c>
      <c r="ACV2" s="1" t="s">
        <v>1659</v>
      </c>
    </row>
    <row r="3" spans="1:776" x14ac:dyDescent="0.2">
      <c r="A3" s="1" t="s">
        <v>70645</v>
      </c>
      <c r="B3" s="2">
        <f>-0.0959575755629324*(1)</f>
        <v>-9.5957575562932398E-2</v>
      </c>
      <c r="C3" s="2">
        <f>-0.198286170805298*(1)</f>
        <v>-0.19828617080529801</v>
      </c>
      <c r="D3" s="2">
        <f>0.122094923328839*(1)</f>
        <v>0.12209492332883901</v>
      </c>
      <c r="E3" s="2">
        <f>-0.647567844248279*(1)</f>
        <v>-0.64756784424827896</v>
      </c>
      <c r="F3" s="2">
        <f>0.560515200739043*(1)</f>
        <v>0.56051520073904304</v>
      </c>
      <c r="G3" s="2">
        <f>0.0294514153072514*(1)</f>
        <v>2.94514153072514E-2</v>
      </c>
      <c r="H3" s="2">
        <f>0.269280968090723*(1)</f>
        <v>0.26928096809072299</v>
      </c>
      <c r="I3" s="2">
        <f>-0.180598085954355*(1)</f>
        <v>-0.180598085954355</v>
      </c>
      <c r="J3" s="2">
        <f>-0.100376231564438*(1)</f>
        <v>-0.10037623156443801</v>
      </c>
      <c r="K3" s="2">
        <f>0.446191440217551*(1)</f>
        <v>0.44619144021755103</v>
      </c>
      <c r="L3" s="2">
        <f>-0.285674122102149*(1)</f>
        <v>-0.28567412210214899</v>
      </c>
      <c r="M3" s="2">
        <f>-0.0824569852004147*(1)</f>
        <v>-8.2456985200414695E-2</v>
      </c>
      <c r="N3" s="2">
        <f>-0.069252445484505*(1)</f>
        <v>-6.9252445484505001E-2</v>
      </c>
      <c r="O3" s="2">
        <f>0.708774013955789*(1)</f>
        <v>0.70877401395578898</v>
      </c>
      <c r="P3" s="2">
        <f>0.187955326576719*(1)</f>
        <v>0.18795532657671901</v>
      </c>
      <c r="Q3" s="2">
        <f>-0.155216862445208*(1)</f>
        <v>-0.15521686244520799</v>
      </c>
      <c r="R3" s="2">
        <f>0.188929550396957*(1)</f>
        <v>0.188929550396957</v>
      </c>
      <c r="S3" s="2">
        <f>0.0451165641605385*(1)</f>
        <v>4.5116564160538497E-2</v>
      </c>
      <c r="T3" s="2">
        <f>0.184397173895364*(1)</f>
        <v>0.184397173895364</v>
      </c>
      <c r="U3" s="2">
        <f>-0.0631715860130289*(1)</f>
        <v>-6.3171586013028899E-2</v>
      </c>
      <c r="V3" s="2">
        <f>-0.893207972508541*(1)</f>
        <v>-0.893207972508541</v>
      </c>
      <c r="W3" s="2">
        <f>-0.0882883430880487*(1)</f>
        <v>-8.8288343088048699E-2</v>
      </c>
      <c r="X3" s="2">
        <f>0.153415377205805*(1)</f>
        <v>0.153415377205805</v>
      </c>
      <c r="Y3" s="2">
        <f>-0.356295782068332*(1)</f>
        <v>-0.35629578206833201</v>
      </c>
      <c r="Z3" s="2">
        <f>-0.410916941494535*(1)</f>
        <v>-0.410916941494535</v>
      </c>
      <c r="AA3" s="2">
        <f>-0.63355954990322*(1)</f>
        <v>-0.63355954990322005</v>
      </c>
      <c r="AB3" s="2">
        <f>0.348294152954788*(1)</f>
        <v>0.34829415295478799</v>
      </c>
      <c r="AC3" s="2">
        <f>-0.232177316463185*(1)</f>
        <v>-0.23217731646318501</v>
      </c>
      <c r="AD3" s="2">
        <f>-0.380366464281233*(1)</f>
        <v>-0.380366464281233</v>
      </c>
      <c r="AE3" s="2">
        <f>0.670750040590678*(1)</f>
        <v>0.670750040590678</v>
      </c>
      <c r="AF3" s="2">
        <f>-0.0578390210686039*(1)</f>
        <v>-5.7839021068603898E-2</v>
      </c>
      <c r="AG3" s="2">
        <f>0.45302429000754*(1)</f>
        <v>0.45302429000754002</v>
      </c>
      <c r="AH3" s="2">
        <f>-0.039825326020488*(1)</f>
        <v>-3.9825326020488001E-2</v>
      </c>
      <c r="AI3" s="2">
        <f>-0.0597634304121976*(1)</f>
        <v>-5.9763430412197602E-2</v>
      </c>
      <c r="AJ3" s="2">
        <f>0.195999880476557*(1)</f>
        <v>0.195999880476557</v>
      </c>
      <c r="AK3" s="2">
        <f>0.0738822918877478*(1)</f>
        <v>7.3882291887747795E-2</v>
      </c>
      <c r="AL3" s="2">
        <f>0.0487661097238293*(1)</f>
        <v>4.8766109723829297E-2</v>
      </c>
      <c r="AM3" s="2">
        <f>-0.0428038741483003*(1)</f>
        <v>-4.2803874148300301E-2</v>
      </c>
      <c r="AN3" s="2">
        <f>-0.136568495496354*(1)</f>
        <v>-0.136568495496354</v>
      </c>
      <c r="AO3" s="2">
        <f>0.275750471866716*(1)</f>
        <v>0.27575047186671597</v>
      </c>
      <c r="AP3" s="2">
        <f>-0.147272134171815*(1)</f>
        <v>-0.14727213417181501</v>
      </c>
      <c r="AQ3" s="2">
        <f>-0.0471405037132716*(1)</f>
        <v>-4.7140503713271602E-2</v>
      </c>
      <c r="AR3" s="2">
        <f>-0.653645114080936*(1)</f>
        <v>-0.65364511408093595</v>
      </c>
      <c r="AS3" s="2">
        <f>0.141011397044501*(1)</f>
        <v>0.141011397044501</v>
      </c>
      <c r="AT3" s="2">
        <f>-0.0861328840534268*(1)</f>
        <v>-8.6132884053426798E-2</v>
      </c>
      <c r="AU3" s="2">
        <f>0.0743153041480687*(1)</f>
        <v>7.4315304148068695E-2</v>
      </c>
      <c r="AV3" s="2">
        <f>0.220969683163997*(1)</f>
        <v>0.22096968316399701</v>
      </c>
      <c r="AW3" s="2">
        <f>-0.30269251972262*(1)</f>
        <v>-0.30269251972262001</v>
      </c>
      <c r="AX3" s="2">
        <f>0.465427889486678*(1)</f>
        <v>0.46542788948667801</v>
      </c>
      <c r="AY3" s="2">
        <f>-0.321910908873971*(1)</f>
        <v>-0.321910908873971</v>
      </c>
      <c r="AZ3" s="2">
        <f>0.195068680161317*(1)</f>
        <v>0.19506868016131701</v>
      </c>
      <c r="BA3" s="2">
        <f>0.34007833149498*(1)</f>
        <v>0.34007833149498001</v>
      </c>
      <c r="BB3" s="2">
        <f>0.338618580080587*(1)</f>
        <v>0.33861858008058698</v>
      </c>
      <c r="BC3" s="2">
        <f>0.366975849326246*(1)</f>
        <v>0.366975849326246</v>
      </c>
      <c r="BD3" s="2">
        <f>0.0289357993967569*(1)</f>
        <v>2.89357993967569E-2</v>
      </c>
      <c r="BE3" s="2">
        <f>-0.0247814533832531*(1)</f>
        <v>-2.4781453383253101E-2</v>
      </c>
      <c r="BF3" s="2">
        <f>-0.300287355039077*(1)</f>
        <v>-0.300287355039077</v>
      </c>
      <c r="BG3" s="2">
        <f>0.304128629706987*(1)</f>
        <v>0.30412862970698701</v>
      </c>
      <c r="BH3" s="2">
        <f>0.264705726267463*(1)</f>
        <v>0.26470572626746303</v>
      </c>
      <c r="BI3" s="2">
        <f>-0.22963419067355*(1)</f>
        <v>-0.22963419067355001</v>
      </c>
      <c r="BJ3" s="2">
        <f>-0.357703653649558*(1)</f>
        <v>-0.35770365364955797</v>
      </c>
      <c r="BK3" s="2">
        <f>-0.160415362957834*(1)</f>
        <v>-0.16041536295783401</v>
      </c>
      <c r="BL3" s="2">
        <f>-0.0107872240880308*(1)</f>
        <v>-1.0787224088030799E-2</v>
      </c>
      <c r="BM3" s="2">
        <f>0.141462926516299*(1)</f>
        <v>0.14146292651629899</v>
      </c>
      <c r="BN3" s="2">
        <f>0.162370485760443*(1)</f>
        <v>0.162370485760443</v>
      </c>
      <c r="BO3" s="2">
        <f>0.524823787656414*(1)</f>
        <v>0.52482378765641402</v>
      </c>
      <c r="BP3" s="2">
        <f>0.433441992612485*(1)</f>
        <v>0.43344199261248501</v>
      </c>
      <c r="BQ3" s="2">
        <f>-0.029843612819623*(1)</f>
        <v>-2.9843612819623E-2</v>
      </c>
      <c r="BR3" s="2">
        <f>0.077397218232173*(1)</f>
        <v>7.7397218232173007E-2</v>
      </c>
      <c r="BS3" s="2">
        <f>-0.0294098815416448*(1)</f>
        <v>-2.9409881541644801E-2</v>
      </c>
      <c r="BT3" s="2">
        <f>0.490304389656737*(1)</f>
        <v>0.49030438965673701</v>
      </c>
      <c r="BU3" s="2">
        <f>0.18717261975707*(1)</f>
        <v>0.18717261975707</v>
      </c>
      <c r="BV3" s="2">
        <f>-0.241343558267779*(1)</f>
        <v>-0.24134355826777901</v>
      </c>
      <c r="BW3" s="2">
        <f>0.141451879291237*(1)</f>
        <v>0.14145187929123701</v>
      </c>
      <c r="BX3" s="2">
        <f>-0.0487223793175593*(1)</f>
        <v>-4.8722379317559301E-2</v>
      </c>
      <c r="BY3" s="2">
        <f>-0.15939100844745*(1)</f>
        <v>-0.15939100844744999</v>
      </c>
      <c r="BZ3" s="2">
        <f>0.247654626147348*(1)</f>
        <v>0.24765462614734801</v>
      </c>
      <c r="CA3" s="2">
        <f>-0.483492422946895*(1)</f>
        <v>-0.48349242294689498</v>
      </c>
      <c r="CB3" s="2">
        <f>-0.488746980498752*(1)</f>
        <v>-0.48874698049875198</v>
      </c>
      <c r="CC3" s="2">
        <f>-0.0675493739698991*(1)</f>
        <v>-6.7549373969899101E-2</v>
      </c>
      <c r="CD3" s="2">
        <f>-0.345515425730347*(1)</f>
        <v>-0.34551542573034699</v>
      </c>
      <c r="CE3" s="2">
        <f>0.325183672080894*(1)</f>
        <v>0.32518367208089399</v>
      </c>
      <c r="CF3" s="2">
        <f>0.0590095208985075*(1)</f>
        <v>5.90095208985075E-2</v>
      </c>
      <c r="CG3" s="2">
        <f>-0.155191928865365*(1)</f>
        <v>-0.15519192886536501</v>
      </c>
      <c r="CH3" s="2">
        <f>0.062091777656699*(1)</f>
        <v>6.2091777656699002E-2</v>
      </c>
      <c r="CI3" s="2">
        <f>-0.520757611634095*(1)</f>
        <v>-0.52075761163409495</v>
      </c>
      <c r="CJ3" s="2">
        <f>0.252789803380469*(1)</f>
        <v>0.25278980338046902</v>
      </c>
      <c r="CK3" s="2">
        <f>0.212498117804795*(1)</f>
        <v>0.21249811780479499</v>
      </c>
      <c r="CL3" s="2">
        <f>-0.00503055571027961*(1)</f>
        <v>-5.0305557102796102E-3</v>
      </c>
      <c r="CM3" s="2">
        <f>-0.345504957408966*(1)</f>
        <v>-0.34550495740896597</v>
      </c>
      <c r="CN3" s="2">
        <f>0.0915650497605297*(1)</f>
        <v>9.1565049760529704E-2</v>
      </c>
      <c r="CO3" s="2">
        <f>0.133251922425158*(1)</f>
        <v>0.13325192242515799</v>
      </c>
      <c r="CP3" s="2">
        <f>0.0406857390522032*(1)</f>
        <v>4.0685739052203199E-2</v>
      </c>
      <c r="CQ3" s="2">
        <f>0.0402420053553579*(1)</f>
        <v>4.02420053553579E-2</v>
      </c>
      <c r="CR3" s="2">
        <f>0.126570261345568*(1)</f>
        <v>0.12657026134556801</v>
      </c>
      <c r="CS3" s="2">
        <f>-0.317784565740998*(1)</f>
        <v>-0.317784565740998</v>
      </c>
      <c r="CT3" s="2">
        <f>0.26022214640625*(1)</f>
        <v>0.26022214640625002</v>
      </c>
      <c r="CU3" s="2">
        <f>0.428924916343133*(1)</f>
        <v>0.42892491634313301</v>
      </c>
      <c r="CV3" s="2">
        <f>0.0286592770216627*(1)</f>
        <v>2.86592770216627E-2</v>
      </c>
      <c r="CW3" s="2">
        <f>-0.127813532355779*(1)</f>
        <v>-0.127813532355779</v>
      </c>
      <c r="CX3" s="2">
        <f>0.125984575407559*(1)</f>
        <v>0.125984575407559</v>
      </c>
      <c r="CY3" s="2">
        <f>0.297001783183706*(1)</f>
        <v>0.29700178318370601</v>
      </c>
      <c r="CZ3" s="2">
        <f>-0.153943137530328*(1)</f>
        <v>-0.15394313753032801</v>
      </c>
      <c r="DA3" s="2">
        <f>-0.0508591297638442*(1)</f>
        <v>-5.0859129763844199E-2</v>
      </c>
      <c r="DB3" s="2">
        <f>0.0162405187862287*(1)</f>
        <v>1.6240518786228699E-2</v>
      </c>
      <c r="DC3" s="2">
        <f>-0.319809124615885*(1)</f>
        <v>-0.31980912461588501</v>
      </c>
      <c r="DD3" s="2">
        <f>0.192621032238324*(1)</f>
        <v>0.192621032238324</v>
      </c>
      <c r="DE3" s="2">
        <f>-0.255487064947013*(1)</f>
        <v>-0.25548706494701301</v>
      </c>
      <c r="DF3" s="2">
        <f>0.420476303552899*(1)</f>
        <v>0.420476303552899</v>
      </c>
      <c r="DG3" s="2">
        <f>0.176165570352623*(1)</f>
        <v>0.17616557035262301</v>
      </c>
      <c r="DH3" s="2">
        <f>-0.179010771397218*(1)</f>
        <v>-0.17901077139721799</v>
      </c>
      <c r="DI3" s="2">
        <f>-0.606433503779615*(1)</f>
        <v>-0.60643350377961502</v>
      </c>
      <c r="DJ3" s="2">
        <f>0.323195150406402*(1)</f>
        <v>0.32319515040640201</v>
      </c>
      <c r="DK3" s="2">
        <f>0.127293157397788*(1)</f>
        <v>0.12729315739778799</v>
      </c>
      <c r="DL3" s="2">
        <f>-0.395395022280372*(1)</f>
        <v>-0.39539502228037199</v>
      </c>
      <c r="DM3" s="2">
        <f>0.0486274248571241*(1)</f>
        <v>4.8627424857124103E-2</v>
      </c>
      <c r="DN3" s="2">
        <f>0.117469915436136*(1)</f>
        <v>0.117469915436136</v>
      </c>
      <c r="DO3" s="2">
        <f>-0.182436166553559*(1)</f>
        <v>-0.18243616655355899</v>
      </c>
      <c r="DP3" s="2">
        <f>0.1605025975982*(1)</f>
        <v>0.16050259759819999</v>
      </c>
      <c r="DQ3" s="2">
        <f>0.582922455982015*(1)</f>
        <v>0.58292245598201498</v>
      </c>
      <c r="DR3" s="2">
        <f>-0.545771227383194*(1)</f>
        <v>-0.54577122738319395</v>
      </c>
      <c r="DS3" s="2">
        <f>-0.234621256072441*(1)</f>
        <v>-0.234621256072441</v>
      </c>
      <c r="DT3" s="2">
        <f>-0.0894145035656572*(1)</f>
        <v>-8.9414503565657194E-2</v>
      </c>
      <c r="DU3" s="2">
        <f>0.387595015691325*(1)</f>
        <v>0.38759501569132498</v>
      </c>
      <c r="DV3" s="2">
        <f>-0.301643651128354*(1)</f>
        <v>-0.30164365112835401</v>
      </c>
      <c r="DW3" s="2">
        <f>-0.110928897836798*(1)</f>
        <v>-0.110928897836798</v>
      </c>
      <c r="DX3" s="2">
        <f>0.166506514637909*(1)</f>
        <v>0.166506514637909</v>
      </c>
      <c r="DY3" s="2">
        <f>-0.104612247876977*(1)</f>
        <v>-0.104612247876977</v>
      </c>
      <c r="DZ3" s="2">
        <f>-0.360920372002792*(1)</f>
        <v>-0.36092037200279198</v>
      </c>
      <c r="EA3" s="2">
        <f>-1.0281290649312*(1)</f>
        <v>-1.0281290649312</v>
      </c>
      <c r="EB3" s="2">
        <f>0.362980996763194*(1)</f>
        <v>0.36298099676319401</v>
      </c>
      <c r="EC3" s="2">
        <f>-0.267247678673447*(1)</f>
        <v>-0.26724767867344701</v>
      </c>
      <c r="ED3" s="2">
        <f>0.544663170795838*(1)</f>
        <v>0.54466317079583804</v>
      </c>
      <c r="EE3" s="2">
        <f>-0.562922524434734*(1)</f>
        <v>-0.56292252443473401</v>
      </c>
      <c r="EF3" s="2">
        <f>-0.498376473121949*(1)</f>
        <v>-0.49837647312194899</v>
      </c>
      <c r="EG3" s="2">
        <f>-0.452252846481704*(1)</f>
        <v>-0.452252846481704</v>
      </c>
      <c r="EH3" s="2">
        <f>-0.0125032283059271*(1)</f>
        <v>-1.25032283059271E-2</v>
      </c>
      <c r="EI3" s="2">
        <f>0.0612350825994846*(1)</f>
        <v>6.1235082599484597E-2</v>
      </c>
      <c r="EJ3" s="2">
        <f>-0.0231053766997519*(1)</f>
        <v>-2.3105376699751899E-2</v>
      </c>
      <c r="EK3" s="2">
        <f>-0.219433120201159*(1)</f>
        <v>-0.21943312020115899</v>
      </c>
      <c r="EL3" s="2">
        <f>0.13592638304881*(1)</f>
        <v>0.13592638304881</v>
      </c>
      <c r="EM3" s="2">
        <f>0.170272659651437*(1)</f>
        <v>0.17027265965143701</v>
      </c>
      <c r="EN3" s="2">
        <f>-0.240812839817459*(1)</f>
        <v>-0.24081283981745899</v>
      </c>
      <c r="EO3" s="2">
        <f>-0.186579367191219*(1)</f>
        <v>-0.18657936719121901</v>
      </c>
      <c r="EP3" s="2">
        <f>-0.128921234342133*(1)</f>
        <v>-0.12892123434213301</v>
      </c>
      <c r="EQ3" s="2">
        <f>-0.550867140024005*(1)</f>
        <v>-0.55086714002400505</v>
      </c>
      <c r="ER3" s="2">
        <f>-0.20456630132319*(1)</f>
        <v>-0.20456630132319001</v>
      </c>
      <c r="ES3" s="2">
        <f>0.123039363516738*(1)</f>
        <v>0.123039363516738</v>
      </c>
      <c r="ET3" s="2">
        <f>0.0403252472730535*(1)</f>
        <v>4.0325247273053498E-2</v>
      </c>
      <c r="EU3" s="2">
        <f>-0.225126648600947*(1)</f>
        <v>-0.225126648600947</v>
      </c>
      <c r="EV3" s="2">
        <f>0.48010544534641*(1)</f>
        <v>0.48010544534640998</v>
      </c>
      <c r="EW3" s="2">
        <f>-0.163932059248079*(1)</f>
        <v>-0.16393205924807899</v>
      </c>
      <c r="EX3" s="2">
        <f>-0.186598313108321*(1)</f>
        <v>-0.18659831310832101</v>
      </c>
      <c r="EY3" s="2">
        <f>-0.0437479822537628*(1)</f>
        <v>-4.37479822537628E-2</v>
      </c>
      <c r="EZ3" s="2">
        <f>-0.344864404551466*(1)</f>
        <v>-0.344864404551466</v>
      </c>
      <c r="FA3" s="2">
        <f>-0.197308775822578*(1)</f>
        <v>-0.197308775822578</v>
      </c>
      <c r="FB3" s="2">
        <f>-0.232742072807625*(1)</f>
        <v>-0.23274207280762499</v>
      </c>
      <c r="FC3" s="2">
        <f>0.399436957649179*(1)</f>
        <v>0.39943695764917903</v>
      </c>
      <c r="FD3" s="2">
        <f>-0.591712049519761*(1)</f>
        <v>-0.59171204951976097</v>
      </c>
      <c r="FE3" s="2">
        <f>0.204458804835651*(1)</f>
        <v>0.20445880483565099</v>
      </c>
      <c r="FF3" s="2">
        <f>-0.0424917360230248*(1)</f>
        <v>-4.24917360230248E-2</v>
      </c>
      <c r="FG3" s="2">
        <f>0.303999019713524*(1)</f>
        <v>0.303999019713524</v>
      </c>
      <c r="FH3" s="2">
        <f>0.12807665995529*(1)</f>
        <v>0.12807665995529</v>
      </c>
      <c r="FI3" s="2">
        <f>0.29529667900102*(1)</f>
        <v>0.29529667900102002</v>
      </c>
      <c r="FJ3" s="2">
        <f>0.232302014822299*(1)</f>
        <v>0.23230201482229901</v>
      </c>
      <c r="FK3" s="2">
        <f>-0.260807860090823*(1)</f>
        <v>-0.26080786009082302</v>
      </c>
      <c r="FL3" s="2">
        <f>-0.101046270016459*(1)</f>
        <v>-0.10104627001645899</v>
      </c>
      <c r="FM3" s="2">
        <f>-0.0797397244296245*(1)</f>
        <v>-7.9739724429624501E-2</v>
      </c>
      <c r="FN3" s="2">
        <f>0.0863729554246727*(1)</f>
        <v>8.6372955424672701E-2</v>
      </c>
      <c r="FO3" s="2">
        <f>0.655305823147943*(1)</f>
        <v>0.65530582314794295</v>
      </c>
      <c r="FP3" s="2">
        <f>-0.578316002373197*(1)</f>
        <v>-0.57831600237319702</v>
      </c>
      <c r="FQ3" s="2">
        <f>-0.493897234459289*(1)</f>
        <v>-0.49389723445928901</v>
      </c>
      <c r="FR3" s="2">
        <f>0.618470315855423*(1)</f>
        <v>0.618470315855423</v>
      </c>
      <c r="FS3" s="2">
        <f>-0.0725055850360822*(1)</f>
        <v>-7.2505585036082204E-2</v>
      </c>
      <c r="FT3" s="2">
        <f>-0.191896311080387*(1)</f>
        <v>-0.19189631108038699</v>
      </c>
      <c r="FU3" s="2">
        <f>-0.192122004740815*(1)</f>
        <v>-0.19212200474081501</v>
      </c>
      <c r="FV3" s="2">
        <f>-0.0444084368232075*(1)</f>
        <v>-4.4408436823207498E-2</v>
      </c>
      <c r="FW3" s="2">
        <f>0.0603200194512451*(1)</f>
        <v>6.0320019451245099E-2</v>
      </c>
      <c r="FX3" s="2">
        <f>-0.321195694141597*(1)</f>
        <v>-0.32119569414159699</v>
      </c>
      <c r="FY3" s="2">
        <f>-0.289163928661589*(1)</f>
        <v>-0.28916392866158902</v>
      </c>
      <c r="FZ3" s="2">
        <f>0.0291520108882868*(1)</f>
        <v>2.9152010888286801E-2</v>
      </c>
      <c r="GA3" s="2">
        <f>-0.0977466402370501*(1)</f>
        <v>-9.7746640237050098E-2</v>
      </c>
      <c r="GB3" s="2">
        <f>0.0997235572267504*(1)</f>
        <v>9.9723557226750401E-2</v>
      </c>
      <c r="GC3" s="2">
        <f>-0.204480171124178*(1)</f>
        <v>-0.20448017112417799</v>
      </c>
      <c r="GD3" s="2">
        <f>-0.0754424593397452*(1)</f>
        <v>-7.5442459339745194E-2</v>
      </c>
      <c r="GE3" s="2">
        <f>-0.387338729248728*(1)</f>
        <v>-0.38733872924872798</v>
      </c>
      <c r="GF3" s="2">
        <f>0.0741680942940866*(1)</f>
        <v>7.4168094294086606E-2</v>
      </c>
      <c r="GG3" s="2">
        <f>-0.0979492742952676*(1)</f>
        <v>-9.7949274295267605E-2</v>
      </c>
      <c r="GH3" s="2">
        <f>0.0467626721743243*(1)</f>
        <v>4.6762672174324303E-2</v>
      </c>
      <c r="GI3" s="2">
        <f>0.293338455599466*(1)</f>
        <v>0.29333845559946597</v>
      </c>
      <c r="GJ3" s="2">
        <f>-0.0287383095455478*(1)</f>
        <v>-2.8738309545547801E-2</v>
      </c>
      <c r="GK3" s="2">
        <f>0.322631946559025*(1)</f>
        <v>0.322631946559025</v>
      </c>
      <c r="GL3" s="2">
        <f>-0.214417303869961*(1)</f>
        <v>-0.214417303869961</v>
      </c>
      <c r="GM3" s="2">
        <f>0.190543239783089*(1)</f>
        <v>0.19054323978308901</v>
      </c>
      <c r="GN3" s="2">
        <f>-0.280464039938984*(1)</f>
        <v>-0.280464039938984</v>
      </c>
      <c r="GO3" s="2">
        <f>0.362458049290475*(1)</f>
        <v>0.36245804929047498</v>
      </c>
      <c r="GP3" s="2">
        <f>0.286843009660337*(1)</f>
        <v>0.28684300966033699</v>
      </c>
      <c r="GQ3" s="2">
        <f>-0.0824209946385509*(1)</f>
        <v>-8.2420994638550904E-2</v>
      </c>
      <c r="GR3" s="2">
        <f>0.110081386691854*(1)</f>
        <v>0.11008138669185399</v>
      </c>
      <c r="GS3" s="2">
        <f>-0.110226993489111*(1)</f>
        <v>-0.110226993489111</v>
      </c>
      <c r="GT3" s="2">
        <f>-0.0967233980195542*(1)</f>
        <v>-9.6723398019554194E-2</v>
      </c>
      <c r="GU3" s="2">
        <f>-0.389696722759622*(1)</f>
        <v>-0.38969672275962203</v>
      </c>
      <c r="GV3" s="2">
        <f>0.0904096062291126*(1)</f>
        <v>9.0409606229112593E-2</v>
      </c>
      <c r="GW3" s="2">
        <f>0.0521299328237482*(1)</f>
        <v>5.2129932823748198E-2</v>
      </c>
      <c r="GX3" s="2">
        <f>0.0377183477395563*(1)</f>
        <v>3.7718347739556297E-2</v>
      </c>
      <c r="GY3" s="2">
        <f>-0.217126592650814*(1)</f>
        <v>-0.21712659265081399</v>
      </c>
      <c r="GZ3" s="2">
        <f>0.293774914376804*(1)</f>
        <v>0.29377491437680398</v>
      </c>
      <c r="HA3" s="2">
        <f>0.150421011018734*(1)</f>
        <v>0.15042101101873401</v>
      </c>
      <c r="HB3" s="2">
        <f>-0.220504560918442*(1)</f>
        <v>-0.22050456091844201</v>
      </c>
      <c r="HC3" s="2">
        <f>0.313392674952091*(1)</f>
        <v>0.313392674952091</v>
      </c>
      <c r="HD3" s="2">
        <f>0.0548622278859942*(1)</f>
        <v>5.4862227885994201E-2</v>
      </c>
      <c r="HE3" s="2">
        <f>-0.363126878715099*(1)</f>
        <v>-0.36312687871509902</v>
      </c>
      <c r="HF3" s="2">
        <f>0.102871833029771*(1)</f>
        <v>0.102871833029771</v>
      </c>
      <c r="HG3" s="2">
        <f>-0.0227091208303653*(1)</f>
        <v>-2.27091208303653E-2</v>
      </c>
      <c r="HH3" s="2">
        <f>-0.0858597562435549*(1)</f>
        <v>-8.5859756243554894E-2</v>
      </c>
      <c r="HI3" s="2">
        <f>-0.264794499047533*(1)</f>
        <v>-0.26479449904753299</v>
      </c>
      <c r="HJ3" s="2">
        <f>-0.166436752139036*(1)</f>
        <v>-0.166436752139036</v>
      </c>
      <c r="HK3" s="2">
        <f>0.0775592092130291*(1)</f>
        <v>7.7559209213029098E-2</v>
      </c>
      <c r="HL3" s="2">
        <f>0.0185996928773996*(1)</f>
        <v>1.8599692877399598E-2</v>
      </c>
      <c r="HM3" s="2">
        <f>-0.123985492259051*(1)</f>
        <v>-0.12398549225905101</v>
      </c>
      <c r="HN3" s="2">
        <f>-0.00919464062871607*(1)</f>
        <v>-9.1946406287160692E-3</v>
      </c>
      <c r="HO3" s="2">
        <f>-0.113405019647926*(1)</f>
        <v>-0.113405019647926</v>
      </c>
      <c r="HP3" s="2">
        <f>0.111616046926886*(1)</f>
        <v>0.111616046926886</v>
      </c>
      <c r="HQ3" s="2">
        <f>-0.159950131434058*(1)</f>
        <v>-0.15995013143405801</v>
      </c>
      <c r="HR3" s="2">
        <f>0.384094164600982*(1)</f>
        <v>0.384094164600982</v>
      </c>
      <c r="HS3" s="2">
        <f>-0.160253851507468*(1)</f>
        <v>-0.16025385150746799</v>
      </c>
      <c r="HT3" s="2">
        <f>0.209553747806755*(1)</f>
        <v>0.20955374780675501</v>
      </c>
      <c r="HU3" s="2">
        <f>-0.299384020877571*(1)</f>
        <v>-0.29938402087757099</v>
      </c>
      <c r="HV3" s="2">
        <f>0.135679859564441*(1)</f>
        <v>0.13567985956444101</v>
      </c>
      <c r="HW3" s="2">
        <f>-0.143208990922454*(1)</f>
        <v>-0.14320899092245401</v>
      </c>
      <c r="HX3" s="2">
        <f>0.0637587659904329*(1)</f>
        <v>6.3758765990432897E-2</v>
      </c>
      <c r="HY3" s="2">
        <f>0.121752769994419*(1)</f>
        <v>0.121752769994419</v>
      </c>
      <c r="HZ3" s="2">
        <f>0.419458727917503*(1)</f>
        <v>0.41945872791750299</v>
      </c>
      <c r="IA3" s="2">
        <f>0.116786565550403*(1)</f>
        <v>0.116786565550403</v>
      </c>
      <c r="IB3" s="2">
        <f>0.591501864927254*(1)</f>
        <v>0.59150186492725398</v>
      </c>
      <c r="IC3" s="2">
        <f>0.345080275727238*(1)</f>
        <v>0.34508027572723798</v>
      </c>
      <c r="ID3" s="2">
        <f>-0.342427269287579*(1)</f>
        <v>-0.34242726928757899</v>
      </c>
      <c r="IE3" s="2">
        <f>0.15761074374209*(1)</f>
        <v>0.15761074374209</v>
      </c>
      <c r="IF3" s="2">
        <f>-0.181503238257087*(1)</f>
        <v>-0.181503238257087</v>
      </c>
      <c r="IG3" s="2">
        <f>-0.487515728372091*(1)</f>
        <v>-0.48751572837209101</v>
      </c>
      <c r="IH3" s="2">
        <f>0.0310355510096583*(1)</f>
        <v>3.10355510096583E-2</v>
      </c>
      <c r="II3" s="2">
        <f>-0.3748014508032*(1)</f>
        <v>-0.37480145080319999</v>
      </c>
      <c r="IJ3" s="2">
        <f>0.0917816544065529*(1)</f>
        <v>9.1781654406552907E-2</v>
      </c>
      <c r="IK3" s="2">
        <f>-0.0298399832273112*(1)</f>
        <v>-2.9839983227311202E-2</v>
      </c>
      <c r="IL3" s="2">
        <f>-0.0852910244348036*(1)</f>
        <v>-8.5291024434803603E-2</v>
      </c>
      <c r="IM3" s="2">
        <f>0.86614034668449*(1)</f>
        <v>0.86614034668449003</v>
      </c>
      <c r="IN3" s="2">
        <f>-0.207861440645388*(1)</f>
        <v>-0.207861440645388</v>
      </c>
      <c r="IO3" s="2">
        <f>-0.244574071724271*(1)</f>
        <v>-0.24457407172427101</v>
      </c>
      <c r="IP3" s="2">
        <f>0.175637196426005*(1)</f>
        <v>0.175637196426005</v>
      </c>
      <c r="IQ3" s="2">
        <f>0.0262886259976932*(1)</f>
        <v>2.6288625997693198E-2</v>
      </c>
      <c r="IR3" s="2">
        <f>0.0293436072189963*(1)</f>
        <v>2.9343607218996301E-2</v>
      </c>
      <c r="IS3" s="2">
        <f>-0.10716311160292*(1)</f>
        <v>-0.10716311160292</v>
      </c>
      <c r="IT3" s="2">
        <f>0.322236034566603*(1)</f>
        <v>0.32223603456660299</v>
      </c>
      <c r="IU3" s="2">
        <f>-0.58132509755441*(1)</f>
        <v>-0.58132509755440998</v>
      </c>
      <c r="IV3" s="2">
        <f>0.461054693989478*(1)</f>
        <v>0.46105469398947801</v>
      </c>
      <c r="IW3" s="2">
        <f>0.603280780375135*(1)</f>
        <v>0.603280780375135</v>
      </c>
      <c r="IX3" s="2">
        <f>-0.0373411702744612*(1)</f>
        <v>-3.7341170274461197E-2</v>
      </c>
      <c r="IY3" s="2">
        <f>0.0328727289829433*(1)</f>
        <v>3.28727289829433E-2</v>
      </c>
      <c r="IZ3" s="2">
        <f>-0.309728705646956*(1)</f>
        <v>-0.30972870564695598</v>
      </c>
      <c r="JA3" s="2">
        <f>0.155804419803641*(1)</f>
        <v>0.15580441980364099</v>
      </c>
      <c r="JB3" s="2">
        <f>-0.0190998861657987*(1)</f>
        <v>-1.9099886165798701E-2</v>
      </c>
      <c r="JC3" s="2">
        <f>-0.141804122795546*(1)</f>
        <v>-0.14180412279554599</v>
      </c>
      <c r="JD3" s="2">
        <f>0.0819225397898951*(1)</f>
        <v>8.1922539789895096E-2</v>
      </c>
      <c r="JE3" s="2">
        <f>-0.165628680899488*(1)</f>
        <v>-0.16562868089948801</v>
      </c>
      <c r="JF3" s="2">
        <f>0.319070163774952*(1)</f>
        <v>0.31907016377495201</v>
      </c>
      <c r="JG3" s="2">
        <f>-0.235901281562826*(1)</f>
        <v>-0.235901281562826</v>
      </c>
      <c r="JH3" s="2">
        <f>0.0649945696742725*(1)</f>
        <v>6.4994569674272501E-2</v>
      </c>
      <c r="JI3" s="2">
        <f>-0.139872885659575*(1)</f>
        <v>-0.13987288565957501</v>
      </c>
      <c r="JJ3" s="2">
        <f>-0.0708488116649155*(1)</f>
        <v>-7.0848811664915495E-2</v>
      </c>
      <c r="JK3" s="2">
        <f>-0.0584479371004375*(1)</f>
        <v>-5.8447937100437497E-2</v>
      </c>
      <c r="JL3" s="2">
        <f>-0.214941711347798*(1)</f>
        <v>-0.21494171134779799</v>
      </c>
      <c r="JM3" s="2">
        <f>-0.126405204696203*(1)</f>
        <v>-0.12640520469620301</v>
      </c>
      <c r="JN3" s="2">
        <f>0.265181233222778*(1)</f>
        <v>0.26518123322277798</v>
      </c>
      <c r="JO3" s="2">
        <f>-0.280535995008744*(1)</f>
        <v>-0.28053599500874399</v>
      </c>
      <c r="JP3" s="2">
        <f>0.0712610863642719*(1)</f>
        <v>7.1261086364271906E-2</v>
      </c>
      <c r="JQ3" s="2">
        <f>0.50363573046626*(1)</f>
        <v>0.50363573046625998</v>
      </c>
      <c r="JR3" s="2">
        <f>0.0448503787639413*(1)</f>
        <v>4.4850378763941302E-2</v>
      </c>
      <c r="JS3" s="2">
        <f>-0.58426954819654*(1)</f>
        <v>-0.58426954819653998</v>
      </c>
      <c r="JT3" s="2">
        <f>0.239946962785598*(1)</f>
        <v>0.23994696278559799</v>
      </c>
      <c r="JU3" s="2">
        <f>0.305508141255949*(1)</f>
        <v>0.305508141255949</v>
      </c>
      <c r="JV3" s="2">
        <f>0.210876273933774*(1)</f>
        <v>0.21087627393377401</v>
      </c>
      <c r="JW3" s="2">
        <f>0.118669081531572*(1)</f>
        <v>0.118669081531572</v>
      </c>
      <c r="JX3" s="2">
        <f>-0.142677019079729*(1)</f>
        <v>-0.14267701907972899</v>
      </c>
      <c r="JY3" s="2">
        <f>-0.120157047254956*(1)</f>
        <v>-0.120157047254956</v>
      </c>
      <c r="JZ3" s="2">
        <f>0.199677374568006*(1)</f>
        <v>0.19967737456800599</v>
      </c>
      <c r="KA3" s="2">
        <f>0.0886863923734551*(1)</f>
        <v>8.8686392373455103E-2</v>
      </c>
      <c r="KB3" s="2">
        <f>-0.364446667427322*(1)</f>
        <v>-0.36444666742732201</v>
      </c>
      <c r="KC3" s="2">
        <f>-0.129904200548977*(1)</f>
        <v>-0.129904200548977</v>
      </c>
      <c r="KD3" s="2">
        <f>-0.061961870170006*(1)</f>
        <v>-6.1961870170005998E-2</v>
      </c>
      <c r="KE3" s="2">
        <f>0.146483181510251*(1)</f>
        <v>0.146483181510251</v>
      </c>
      <c r="KF3" s="2">
        <f>-0.119241188183475*(1)</f>
        <v>-0.119241188183475</v>
      </c>
      <c r="KG3" s="2">
        <f>-0.108848745520234*(1)</f>
        <v>-0.10884874552023401</v>
      </c>
      <c r="KH3" s="2">
        <f>0.0779313570777254*(1)</f>
        <v>7.7931357077725402E-2</v>
      </c>
      <c r="KI3" s="2">
        <f>-0.146764460105885*(1)</f>
        <v>-0.14676446010588501</v>
      </c>
      <c r="KJ3" s="2">
        <f>0.209600031725323*(1)</f>
        <v>0.20960003172532299</v>
      </c>
      <c r="KK3" s="2">
        <f>-0.21390718784706*(1)</f>
        <v>-0.21390718784706</v>
      </c>
      <c r="KL3" s="2">
        <f>0.372900395588639*(1)</f>
        <v>0.37290039558863902</v>
      </c>
      <c r="KM3" s="2">
        <f>0.0352204199008175*(1)</f>
        <v>3.52204199008175E-2</v>
      </c>
      <c r="KN3" s="2">
        <f>0.206619899356293*(1)</f>
        <v>0.20661989935629299</v>
      </c>
      <c r="KO3" s="2">
        <f>-0.186732470524099*(1)</f>
        <v>-0.186732470524099</v>
      </c>
      <c r="KP3" s="2">
        <f>0.30411575154487*(1)</f>
        <v>0.30411575154487003</v>
      </c>
      <c r="KQ3" s="2">
        <f>0.279477974033474*(1)</f>
        <v>0.27947797403347402</v>
      </c>
      <c r="KR3" s="2">
        <f>-0.00530414062839943*(1)</f>
        <v>-5.3041406283994303E-3</v>
      </c>
      <c r="KS3" s="2">
        <f>-0.318488576001926*(1)</f>
        <v>-0.31848857600192598</v>
      </c>
      <c r="KT3" s="2">
        <f>-0.199940158681203*(1)</f>
        <v>-0.19994015868120299</v>
      </c>
      <c r="KU3" s="2">
        <f>0.497588263357433*(1)</f>
        <v>0.497588263357433</v>
      </c>
      <c r="KV3" s="2">
        <f>-0.30086658547065*(1)</f>
        <v>-0.30086658547064998</v>
      </c>
      <c r="KW3" s="2">
        <f>-0.108779689785894*(1)</f>
        <v>-0.108779689785894</v>
      </c>
      <c r="KX3" s="2">
        <f>0.374035293800714*(1)</f>
        <v>0.37403529380071399</v>
      </c>
      <c r="KY3" s="2">
        <f>0.0260193835000281*(1)</f>
        <v>2.6019383500028099E-2</v>
      </c>
      <c r="KZ3" s="2">
        <f>-0.084095735999108*(1)</f>
        <v>-8.4095735999107996E-2</v>
      </c>
      <c r="LA3" s="2">
        <f>0.00883413008989929*(1)</f>
        <v>8.8341300898992902E-3</v>
      </c>
      <c r="LB3" s="2">
        <f>0.115747254948034*(1)</f>
        <v>0.11574725494803401</v>
      </c>
      <c r="LC3" s="2">
        <f>0.239969200309554*(1)</f>
        <v>0.23996920030955399</v>
      </c>
      <c r="LD3" s="2">
        <f>0.154223379381914*(1)</f>
        <v>0.15422337938191399</v>
      </c>
      <c r="LE3" s="2">
        <f>0.230266245618339*(1)</f>
        <v>0.230266245618339</v>
      </c>
      <c r="LF3" s="2">
        <f>-0.291834323018203*(1)</f>
        <v>-0.291834323018203</v>
      </c>
      <c r="LG3" s="2">
        <f>-0.281156815111847*(1)</f>
        <v>-0.28115681511184698</v>
      </c>
      <c r="LH3" s="2">
        <f>-0.544300399216806*(1)</f>
        <v>-0.54430039921680595</v>
      </c>
      <c r="LI3" s="2">
        <f>-0.154897354515819*(1)</f>
        <v>-0.15489735451581901</v>
      </c>
      <c r="LJ3" s="2">
        <f>-0.0232297799836916*(1)</f>
        <v>-2.3229779983691599E-2</v>
      </c>
      <c r="LK3" s="2">
        <f>0.240810226189635*(1)</f>
        <v>0.24081022618963499</v>
      </c>
      <c r="LL3" s="2">
        <f>-0.471253244370494*(1)</f>
        <v>-0.47125324437049398</v>
      </c>
      <c r="LM3" s="2">
        <f>-0.300233032419421*(1)</f>
        <v>-0.30023303241942101</v>
      </c>
      <c r="LN3" s="2">
        <f>0.00534888202159357*(1)</f>
        <v>5.3488820215935699E-3</v>
      </c>
      <c r="LO3" s="2">
        <f>0.121352611723143*(1)</f>
        <v>0.121352611723143</v>
      </c>
      <c r="LP3" s="2">
        <f>-0.265009710270257*(1)</f>
        <v>-0.26500971027025699</v>
      </c>
      <c r="LQ3" s="2">
        <f>-0.272264263629404*(1)</f>
        <v>-0.27226426362940398</v>
      </c>
      <c r="LR3" s="2">
        <f>-0.518995448494816*(1)</f>
        <v>-0.51899544849481605</v>
      </c>
      <c r="LS3" s="2">
        <f>0.502970304269507*(1)</f>
        <v>0.50297030426950695</v>
      </c>
      <c r="LT3" s="2">
        <f>0.207167502421383*(1)</f>
        <v>0.20716750242138299</v>
      </c>
      <c r="LU3" s="2">
        <f>0.0577652730437875*(1)</f>
        <v>5.77652730437875E-2</v>
      </c>
      <c r="LV3" s="2">
        <f>0.0758938435103874*(1)</f>
        <v>7.5893843510387402E-2</v>
      </c>
      <c r="LW3" s="2">
        <f>-0.299146537014011*(1)</f>
        <v>-0.299146537014011</v>
      </c>
      <c r="LX3" s="2">
        <f>-0.186168757071095*(1)</f>
        <v>-0.18616875707109501</v>
      </c>
      <c r="LY3" s="2">
        <f>0.0927254034555421*(1)</f>
        <v>9.2725403455542102E-2</v>
      </c>
      <c r="LZ3" s="2">
        <f>-0.240127361566339*(1)</f>
        <v>-0.24012736156633899</v>
      </c>
      <c r="MA3" s="2">
        <f>0.145614841933814*(1)</f>
        <v>0.14561484193381399</v>
      </c>
      <c r="MB3" s="2">
        <f>0.177763719089874*(1)</f>
        <v>0.17776371908987401</v>
      </c>
      <c r="MC3" s="2">
        <f>0.0801727680988811*(1)</f>
        <v>8.0172768098881103E-2</v>
      </c>
      <c r="MD3" s="2">
        <f>0.0448036979282813*(1)</f>
        <v>4.4803697928281302E-2</v>
      </c>
      <c r="ME3" s="2">
        <f>0.0910325838763052*(1)</f>
        <v>9.1032583876305195E-2</v>
      </c>
      <c r="MF3" s="2">
        <f>0.391431091352898*(1)</f>
        <v>0.391431091352898</v>
      </c>
      <c r="MG3" s="2">
        <f>0.262290860467912*(1)</f>
        <v>0.262290860467912</v>
      </c>
      <c r="MH3" s="2">
        <f>-0.124965880177806*(1)</f>
        <v>-0.12496588017780599</v>
      </c>
      <c r="MI3" s="2">
        <f>0.0377369630603904*(1)</f>
        <v>3.7736963060390399E-2</v>
      </c>
      <c r="MJ3" s="2">
        <f>0.0218029315459138*(1)</f>
        <v>2.1802931545913801E-2</v>
      </c>
      <c r="MK3" s="2">
        <f>0.373638634016469*(1)</f>
        <v>0.37363863401646902</v>
      </c>
      <c r="ML3" s="2">
        <f>-0.255584904687385*(1)</f>
        <v>-0.25558490468738498</v>
      </c>
      <c r="MM3" s="2">
        <f>-0.157812763756206*(1)</f>
        <v>-0.15781276375620601</v>
      </c>
      <c r="MN3" s="2">
        <f>0.0079492114747459*(1)</f>
        <v>7.9492114747459E-3</v>
      </c>
      <c r="MO3" s="2">
        <f>-0.0209804400640039*(1)</f>
        <v>-2.0980440064003899E-2</v>
      </c>
      <c r="MP3" s="2">
        <f>-0.228367504691264*(1)</f>
        <v>-0.22836750469126399</v>
      </c>
      <c r="MQ3" s="2">
        <f>-0.308998220261222*(1)</f>
        <v>-0.30899822026122198</v>
      </c>
      <c r="MR3" s="2">
        <f>-0.266489070410361*(1)</f>
        <v>-0.26648907041036102</v>
      </c>
      <c r="MS3" s="2">
        <f>-0.155153647212749*(1)</f>
        <v>-0.15515364721274899</v>
      </c>
      <c r="MT3" s="2">
        <f>-0.210759158267813*(1)</f>
        <v>-0.210759158267813</v>
      </c>
      <c r="MU3" s="2">
        <f>0.395101135303435*(1)</f>
        <v>0.39510113530343499</v>
      </c>
      <c r="MV3" s="2">
        <f>0.114056047287644*(1)</f>
        <v>0.114056047287644</v>
      </c>
      <c r="MW3" s="2">
        <f>-0.00753845050469584*(1)</f>
        <v>-7.5384505046958402E-3</v>
      </c>
      <c r="MX3" s="2">
        <f>-0.569659941252263*(1)</f>
        <v>-0.56965994125226305</v>
      </c>
      <c r="MY3" s="2">
        <f>0.0323901833080641*(1)</f>
        <v>3.2390183308064098E-2</v>
      </c>
      <c r="MZ3" s="2">
        <f>-0.1328906490537*(1)</f>
        <v>-0.13289064905369999</v>
      </c>
      <c r="NA3" s="2">
        <f>0.073202426496479*(1)</f>
        <v>7.3202426496478998E-2</v>
      </c>
      <c r="NB3" s="2">
        <f>0.429696931018853*(1)</f>
        <v>0.42969693101885298</v>
      </c>
      <c r="NC3" s="2">
        <f>-0.080258192532931*(1)</f>
        <v>-8.0258192532930997E-2</v>
      </c>
      <c r="ND3" s="2">
        <f>-0.132788952874708*(1)</f>
        <v>-0.13278895287470799</v>
      </c>
      <c r="NE3" s="2">
        <f>-0.156708051209971*(1)</f>
        <v>-0.156708051209971</v>
      </c>
      <c r="NF3" s="2">
        <f>0.120858864948135*(1)</f>
        <v>0.120858864948135</v>
      </c>
      <c r="NG3" s="2">
        <f>0.229928840465494*(1)</f>
        <v>0.229928840465494</v>
      </c>
      <c r="NH3" s="2">
        <f>0.00775025510220332*(1)</f>
        <v>7.7502551022033198E-3</v>
      </c>
      <c r="NI3" s="2">
        <f>-0.399451129410252*(1)</f>
        <v>-0.39945112941025201</v>
      </c>
      <c r="NJ3" s="2">
        <f>-0.0801772763667207*(1)</f>
        <v>-8.0177276366720701E-2</v>
      </c>
      <c r="NK3" s="2">
        <f>-0.460375845071143*(1)</f>
        <v>-0.46037584507114299</v>
      </c>
      <c r="NL3" s="2">
        <f>-0.0395583670776102*(1)</f>
        <v>-3.95583670776102E-2</v>
      </c>
      <c r="NM3" s="2">
        <f>-0.430922040395223*(1)</f>
        <v>-0.43092204039522303</v>
      </c>
      <c r="NN3" s="2">
        <f>0.426490574078804*(1)</f>
        <v>0.42649057407880397</v>
      </c>
      <c r="NO3" s="2">
        <f>-0.454030556243208*(1)</f>
        <v>-0.45403055624320798</v>
      </c>
      <c r="NP3" s="2">
        <f>0.0975619032540274*(1)</f>
        <v>9.7561903254027402E-2</v>
      </c>
      <c r="NQ3" s="2">
        <f>-0.720462644730973*(1)</f>
        <v>-0.72046264473097299</v>
      </c>
      <c r="NR3" s="2">
        <f>-0.00459453095247805*(1)</f>
        <v>-4.5945309524780499E-3</v>
      </c>
      <c r="NS3" s="2">
        <f>0.207263620478445*(1)</f>
        <v>0.20726362047844499</v>
      </c>
      <c r="NT3" s="2">
        <f>0.615419461486826*(1)</f>
        <v>0.61541946148682602</v>
      </c>
      <c r="NU3" s="2">
        <f>0.5924445212032*(1)</f>
        <v>0.59244452120320001</v>
      </c>
      <c r="NV3" s="2">
        <f>-0.0399832973539544*(1)</f>
        <v>-3.9983297353954401E-2</v>
      </c>
      <c r="NW3" s="2">
        <f>-0.157326864934811*(1)</f>
        <v>-0.15732686493481099</v>
      </c>
      <c r="NX3" s="2">
        <f>0.0640504178127625*(1)</f>
        <v>6.4050417812762495E-2</v>
      </c>
      <c r="NY3" s="2">
        <f>0.255427634032307*(1)</f>
        <v>0.255427634032307</v>
      </c>
      <c r="NZ3" s="2">
        <f>-0.0624633371821703*(1)</f>
        <v>-6.24633371821703E-2</v>
      </c>
      <c r="OA3" s="2">
        <f>0.0438694596561782*(1)</f>
        <v>4.3869459656178202E-2</v>
      </c>
      <c r="OB3" s="2">
        <f>0.176236796306442*(1)</f>
        <v>0.17623679630644201</v>
      </c>
      <c r="OC3" s="2">
        <f>0.074820452419491*(1)</f>
        <v>7.4820452419490993E-2</v>
      </c>
      <c r="OD3" s="2">
        <f>-0.078588082895329*(1)</f>
        <v>-7.8588082895328995E-2</v>
      </c>
      <c r="OE3" s="2">
        <f>0.269958846095592*(1)</f>
        <v>0.26995884609559201</v>
      </c>
      <c r="OF3" s="2">
        <f>0.304701967303329*(1)</f>
        <v>0.30470196730332899</v>
      </c>
      <c r="OG3" s="2">
        <f>0.113677954480429*(1)</f>
        <v>0.113677954480429</v>
      </c>
      <c r="OH3" s="2">
        <f>-0.245576570821029*(1)</f>
        <v>-0.24557657082102899</v>
      </c>
      <c r="OI3" s="2">
        <f>0.110333347766013*(1)</f>
        <v>0.110333347766013</v>
      </c>
      <c r="OJ3" s="2">
        <f>-0.281783498374288*(1)</f>
        <v>-0.28178349837428801</v>
      </c>
      <c r="OK3" s="2">
        <f>0.375386130048533*(1)</f>
        <v>0.375386130048533</v>
      </c>
      <c r="OL3" s="2">
        <f>-0.0392301824070991*(1)</f>
        <v>-3.92301824070991E-2</v>
      </c>
      <c r="OM3" s="2">
        <f>-0.379069840655236*(1)</f>
        <v>-0.37906984065523602</v>
      </c>
      <c r="ON3" s="2">
        <f>-0.297040068910631*(1)</f>
        <v>-0.29704006891063101</v>
      </c>
      <c r="OO3" s="2">
        <f>0.194979438911687*(1)</f>
        <v>0.19497943891168701</v>
      </c>
      <c r="OP3" s="2">
        <f>-0.124634372371678*(1)</f>
        <v>-0.124634372371678</v>
      </c>
      <c r="OQ3" s="2">
        <f>-0.182636252792169*(1)</f>
        <v>-0.182636252792169</v>
      </c>
      <c r="OR3" s="2">
        <f>-0.0567791771995461*(1)</f>
        <v>-5.6779177199546102E-2</v>
      </c>
      <c r="OS3" s="2">
        <f>-0.184340523329826*(1)</f>
        <v>-0.18434052332982601</v>
      </c>
      <c r="OT3" s="2">
        <f>0.0123861631447832*(1)</f>
        <v>1.23861631447832E-2</v>
      </c>
      <c r="OU3" s="2">
        <f>-0.204036963391782*(1)</f>
        <v>-0.20403696339178201</v>
      </c>
      <c r="OV3" s="2">
        <f>-0.217858769675757*(1)</f>
        <v>-0.21785876967575701</v>
      </c>
      <c r="OW3" s="2">
        <f>0.0504479476652363*(1)</f>
        <v>5.0447947665236297E-2</v>
      </c>
      <c r="OX3" s="2">
        <f>0.194060499067544*(1)</f>
        <v>0.194060499067544</v>
      </c>
      <c r="OY3" s="2">
        <f>-0.476808545483856*(1)</f>
        <v>-0.47680854548385598</v>
      </c>
      <c r="OZ3" s="2">
        <f>-0.0246749263782384*(1)</f>
        <v>-2.4674926378238399E-2</v>
      </c>
      <c r="PA3" s="2">
        <f>-0.137921039682028*(1)</f>
        <v>-0.13792103968202801</v>
      </c>
      <c r="PB3" s="2">
        <f>-0.040368817465459*(1)</f>
        <v>-4.0368817465458999E-2</v>
      </c>
      <c r="PC3" s="2">
        <f>-0.179579855656593*(1)</f>
        <v>-0.17957985565659301</v>
      </c>
      <c r="PD3" s="2">
        <f>0.108840140337403*(1)</f>
        <v>0.108840140337403</v>
      </c>
      <c r="PE3" s="2">
        <f>0.0280514620343034*(1)</f>
        <v>2.80514620343034E-2</v>
      </c>
      <c r="PF3" s="2">
        <f>-0.063547308860843*(1)</f>
        <v>-6.3547308860843005E-2</v>
      </c>
      <c r="PG3" s="2">
        <f>0.300866124461533*(1)</f>
        <v>0.30086612446153299</v>
      </c>
      <c r="PH3" s="2">
        <f>0.023572022960373*(1)</f>
        <v>2.3572022960373001E-2</v>
      </c>
      <c r="PI3" s="2">
        <f>0.30992617485118*(1)</f>
        <v>0.30992617485118001</v>
      </c>
      <c r="PJ3" s="2">
        <f>-0.00862088780270254*(1)</f>
        <v>-8.6208878027025405E-3</v>
      </c>
      <c r="PK3" s="2">
        <f>0.0157357461786846*(1)</f>
        <v>1.57357461786846E-2</v>
      </c>
      <c r="PL3" s="2">
        <f>0.0344163936786195*(1)</f>
        <v>3.4416393678619497E-2</v>
      </c>
      <c r="PM3" s="2">
        <f>0.172528784084103*(1)</f>
        <v>0.17252878408410299</v>
      </c>
      <c r="PN3" s="2">
        <f>-0.0056316790150443*(1)</f>
        <v>-5.6316790150442997E-3</v>
      </c>
      <c r="PO3" s="2">
        <f>-0.152632654522097*(1)</f>
        <v>-0.15263265452209701</v>
      </c>
      <c r="PP3" s="2">
        <f>0.437232693491118*(1)</f>
        <v>0.43723269349111799</v>
      </c>
      <c r="PQ3" s="2">
        <f>-0.0436764839982207*(1)</f>
        <v>-4.3676483998220703E-2</v>
      </c>
      <c r="PR3" s="2">
        <f>0.326038160398849*(1)</f>
        <v>0.32603816039884898</v>
      </c>
      <c r="PS3" s="2">
        <f>-0.110875055164678*(1)</f>
        <v>-0.11087505516467799</v>
      </c>
      <c r="PT3" s="2">
        <f>0.332008617882488*(1)</f>
        <v>0.33200861788248798</v>
      </c>
      <c r="PU3" s="2">
        <f>0.350735531883821*(1)</f>
        <v>0.35073553188382101</v>
      </c>
      <c r="PV3" s="2">
        <f>-0.182934122355112*(1)</f>
        <v>-0.182934122355112</v>
      </c>
      <c r="PW3" s="2">
        <f>-0.146044403853876*(1)</f>
        <v>-0.14604440385387599</v>
      </c>
      <c r="PX3" s="2">
        <f>0.310830277426509*(1)</f>
        <v>0.31083027742650898</v>
      </c>
      <c r="PY3" s="2">
        <f>-0.19864112591883*(1)</f>
        <v>-0.19864112591883001</v>
      </c>
      <c r="PZ3" s="2">
        <f>0.52350753498375*(1)</f>
        <v>0.52350753498375002</v>
      </c>
      <c r="QA3" s="2">
        <f>-0.253141960498814*(1)</f>
        <v>-0.25314196049881399</v>
      </c>
      <c r="QB3" s="2">
        <f>-0.358282748896988*(1)</f>
        <v>-0.35828274889698802</v>
      </c>
      <c r="QC3" s="2">
        <f>0.0591040980197061*(1)</f>
        <v>5.9104098019706099E-2</v>
      </c>
      <c r="QD3" s="2">
        <f>0.0931602967602463*(1)</f>
        <v>9.31602967602463E-2</v>
      </c>
      <c r="QE3" s="2">
        <f>-0.347181839553348*(1)</f>
        <v>-0.34718183955334803</v>
      </c>
      <c r="QF3" s="2">
        <f>-0.0116226781947284*(1)</f>
        <v>-1.1622678194728399E-2</v>
      </c>
      <c r="QG3" s="2">
        <f>0.324087186004584*(1)</f>
        <v>0.32408718600458403</v>
      </c>
      <c r="QH3" s="2">
        <f>0.300643114740657*(1)</f>
        <v>0.30064311474065702</v>
      </c>
      <c r="QI3" s="2">
        <f>0.103521820325694*(1)</f>
        <v>0.103521820325694</v>
      </c>
      <c r="QJ3" s="2">
        <f>-0.290187236821593*(1)</f>
        <v>-0.29018723682159298</v>
      </c>
      <c r="QK3" s="2">
        <f>-0.0679088510415304*(1)</f>
        <v>-6.7908851041530396E-2</v>
      </c>
      <c r="QL3" s="2">
        <f>0.174144114494659*(1)</f>
        <v>0.174144114494659</v>
      </c>
      <c r="QM3" s="2">
        <f>-0.271150577357464*(1)</f>
        <v>-0.27115057735746401</v>
      </c>
      <c r="QN3" s="2">
        <f>0.343744225388079*(1)</f>
        <v>0.34374422538807903</v>
      </c>
      <c r="QO3" s="2">
        <f>0.220368152671816*(1)</f>
        <v>0.220368152671816</v>
      </c>
      <c r="QP3" s="2">
        <f>-0.263734591232233*(1)</f>
        <v>-0.26373459123223297</v>
      </c>
      <c r="QQ3" s="2">
        <f>0.382727047969138*(1)</f>
        <v>0.38272704796913798</v>
      </c>
      <c r="QR3" s="2">
        <f>0.273459683024428*(1)</f>
        <v>0.27345968302442802</v>
      </c>
      <c r="QS3" s="2">
        <f>-0.215866945375078*(1)</f>
        <v>-0.215866945375078</v>
      </c>
      <c r="QT3" s="2">
        <f>0.0139528773001689*(1)</f>
        <v>1.3952877300168901E-2</v>
      </c>
      <c r="QU3" s="2">
        <f>0.2200669576799*(1)</f>
        <v>0.2200669576799</v>
      </c>
      <c r="QV3" s="2">
        <f>-0.206199425580777*(1)</f>
        <v>-0.206199425580777</v>
      </c>
      <c r="QW3" s="2">
        <f>0.193944038652582*(1)</f>
        <v>0.193944038652582</v>
      </c>
      <c r="QX3" s="2">
        <f>0.275496596925141*(1)</f>
        <v>0.275496596925141</v>
      </c>
      <c r="QY3" s="2">
        <f>-0.18114895010439*(1)</f>
        <v>-0.18114895010439</v>
      </c>
      <c r="QZ3" s="2">
        <f>-0.206899889657783*(1)</f>
        <v>-0.206899889657783</v>
      </c>
      <c r="RA3" s="2">
        <f>0.510776872072404*(1)</f>
        <v>0.51077687207240396</v>
      </c>
      <c r="RB3" s="2">
        <f>0.0218420254686043*(1)</f>
        <v>2.1842025468604299E-2</v>
      </c>
      <c r="RC3" s="2">
        <f>-0.499531860279314*(1)</f>
        <v>-0.49953186027931401</v>
      </c>
      <c r="RD3" s="2">
        <f>0.360813693678959*(1)</f>
        <v>0.36081369367895899</v>
      </c>
      <c r="RE3" s="2">
        <f>0.138310199335977*(1)</f>
        <v>0.13831019933597699</v>
      </c>
      <c r="RF3" s="2">
        <f>-0.383562120063142*(1)</f>
        <v>-0.383562120063142</v>
      </c>
      <c r="RG3" s="2">
        <f>-0.269835648221399*(1)</f>
        <v>-0.26983564822139899</v>
      </c>
      <c r="RH3" s="2">
        <f>0.185787481230325*(1)</f>
        <v>0.18578748123032501</v>
      </c>
      <c r="RI3" s="2">
        <f>-0.0431073906619494*(1)</f>
        <v>-4.31073906619494E-2</v>
      </c>
      <c r="RJ3" s="2">
        <f>-0.107618494163998*(1)</f>
        <v>-0.107618494163998</v>
      </c>
      <c r="RK3" s="2">
        <f>0.220439113637075*(1)</f>
        <v>0.220439113637075</v>
      </c>
      <c r="RL3" s="2">
        <f>0.191184291876626*(1)</f>
        <v>0.191184291876626</v>
      </c>
      <c r="RM3" s="2">
        <f>0.147312182218505*(1)</f>
        <v>0.14731218221850501</v>
      </c>
      <c r="RN3" s="2">
        <f>-0.165573731341388*(1)</f>
        <v>-0.165573731341388</v>
      </c>
      <c r="RO3" s="2">
        <f>-0.337575394229738*(1)</f>
        <v>-0.33757539422973798</v>
      </c>
      <c r="RP3" s="2">
        <f>0.588683476499246*(1)</f>
        <v>0.58868347649924602</v>
      </c>
      <c r="RQ3" s="2">
        <f>-0.0157283606097441*(1)</f>
        <v>-1.5728360609744099E-2</v>
      </c>
      <c r="RR3" s="2">
        <f>-0.331294388019996*(1)</f>
        <v>-0.331294388019996</v>
      </c>
      <c r="RS3" s="2">
        <f>0.219184252335093*(1)</f>
        <v>0.219184252335093</v>
      </c>
      <c r="RT3" s="2">
        <f>-0.185377673897624*(1)</f>
        <v>-0.185377673897624</v>
      </c>
      <c r="RU3" s="2">
        <f>0.0459286094609107*(1)</f>
        <v>4.5928609460910701E-2</v>
      </c>
      <c r="RV3" s="2">
        <f>0.32530531764715*(1)</f>
        <v>0.32530531764714998</v>
      </c>
      <c r="RW3" s="2">
        <f>-0.31384124955204*(1)</f>
        <v>-0.31384124955204001</v>
      </c>
      <c r="RX3" s="2">
        <f>0.168966051285804*(1)</f>
        <v>0.168966051285804</v>
      </c>
      <c r="RY3" s="2">
        <f>-0.0899298342446544*(1)</f>
        <v>-8.9929834244654394E-2</v>
      </c>
      <c r="RZ3" s="2">
        <f>-0.066020667784122*(1)</f>
        <v>-6.6020667784121995E-2</v>
      </c>
      <c r="SA3" s="2">
        <f>-0.196031012696438*(1)</f>
        <v>-0.196031012696438</v>
      </c>
      <c r="SB3" s="2">
        <f>0.0655099784748833*(1)</f>
        <v>6.5509978474883296E-2</v>
      </c>
      <c r="SC3" s="2">
        <f>0.301334460250548*(1)</f>
        <v>0.301334460250548</v>
      </c>
      <c r="SD3" s="2">
        <f>-0.146085092055423*(1)</f>
        <v>-0.146085092055423</v>
      </c>
      <c r="SE3" s="2">
        <f>-0.235417953518727*(1)</f>
        <v>-0.23541795351872699</v>
      </c>
      <c r="SF3" s="2">
        <f>0.0563686618179051*(1)</f>
        <v>5.6368661817905098E-2</v>
      </c>
      <c r="SG3" s="2">
        <f>0.0797154964086045*(1)</f>
        <v>7.9715496408604494E-2</v>
      </c>
      <c r="SH3" s="2">
        <f>0.223602659891688*(1)</f>
        <v>0.22360265989168801</v>
      </c>
      <c r="SI3" s="2">
        <f>0.140103479478297*(1)</f>
        <v>0.14010347947829699</v>
      </c>
      <c r="SJ3" s="2">
        <f>0.0326035500586778*(1)</f>
        <v>3.2603550058677801E-2</v>
      </c>
      <c r="SK3" s="2">
        <f>0.420573321245663*(1)</f>
        <v>0.42057332124566299</v>
      </c>
      <c r="SL3" s="2">
        <f>-0.0770938865251333*(1)</f>
        <v>-7.7093886525133298E-2</v>
      </c>
      <c r="SM3" s="2">
        <f>-0.387383268420213*(1)</f>
        <v>-0.38738326842021298</v>
      </c>
      <c r="SN3" s="2">
        <f>0.0196362832529427*(1)</f>
        <v>1.9636283252942699E-2</v>
      </c>
      <c r="SO3" s="2">
        <f>-0.140677847113475*(1)</f>
        <v>-0.140677847113475</v>
      </c>
      <c r="SP3" s="2">
        <f>-0.0902274262364051*(1)</f>
        <v>-9.0227426236405103E-2</v>
      </c>
      <c r="SQ3" s="2">
        <f>-0.449572162427614*(1)</f>
        <v>-0.449572162427614</v>
      </c>
      <c r="SR3" s="2">
        <f>0.0325496204505633*(1)</f>
        <v>3.2549620450563303E-2</v>
      </c>
      <c r="SS3" s="2">
        <f>-0.202947564679147*(1)</f>
        <v>-0.20294756467914701</v>
      </c>
      <c r="ST3" s="2">
        <f>-0.438657697487446*(1)</f>
        <v>-0.43865769748744599</v>
      </c>
      <c r="SU3" s="2">
        <f>-0.174007166881535*(1)</f>
        <v>-0.174007166881535</v>
      </c>
      <c r="SV3" s="2">
        <f>-0.0815133648728375*(1)</f>
        <v>-8.1513364872837502E-2</v>
      </c>
      <c r="SW3" s="2">
        <f>0.0332449219435096*(1)</f>
        <v>3.3244921943509601E-2</v>
      </c>
      <c r="SX3" s="2">
        <f>0.338798657994077*(1)</f>
        <v>0.33879865799407699</v>
      </c>
      <c r="SY3" s="2">
        <f>0.0668095884161118*(1)</f>
        <v>6.6809588416111801E-2</v>
      </c>
      <c r="SZ3" s="2">
        <f>-0.261354498885255*(1)</f>
        <v>-0.26135449888525503</v>
      </c>
      <c r="TA3" s="2">
        <f>-0.428799602377158*(1)</f>
        <v>-0.42879960237715797</v>
      </c>
      <c r="TB3" s="2">
        <f>-0.0364609570579418*(1)</f>
        <v>-3.6460957057941799E-2</v>
      </c>
      <c r="TC3" s="2">
        <f>0.0616130132331291*(1)</f>
        <v>6.1613013233129101E-2</v>
      </c>
      <c r="TD3" s="2">
        <f>0.466053962215998*(1)</f>
        <v>0.46605396221599799</v>
      </c>
      <c r="TE3" s="2">
        <f>0.523130285366418*(1)</f>
        <v>0.52313028536641804</v>
      </c>
      <c r="TF3" s="2">
        <f>0.190479429800803*(1)</f>
        <v>0.19047942980080301</v>
      </c>
      <c r="TG3" s="2">
        <f>0.32165205528125*(1)</f>
        <v>0.32165205528125002</v>
      </c>
      <c r="TH3" s="2">
        <f>0.0270048993963068*(1)</f>
        <v>2.7004899396306799E-2</v>
      </c>
      <c r="TI3" s="2">
        <f>0.328445048439263*(1)</f>
        <v>0.32844504843926298</v>
      </c>
      <c r="TJ3" s="2">
        <f>0.863801101529777*(1)</f>
        <v>0.86380110152977696</v>
      </c>
      <c r="TK3" s="2">
        <f>0.0913289850535131*(1)</f>
        <v>9.1328985053513098E-2</v>
      </c>
      <c r="TL3" s="2">
        <f>0.284807491706311*(1)</f>
        <v>0.28480749170631098</v>
      </c>
      <c r="TM3" s="2">
        <f>-0.152423860672302*(1)</f>
        <v>-0.15242386067230199</v>
      </c>
      <c r="TN3" s="2">
        <f>0.262594724831485*(1)</f>
        <v>0.26259472483148499</v>
      </c>
      <c r="TO3" s="2">
        <f>0.145677962097664*(1)</f>
        <v>0.14567796209766401</v>
      </c>
      <c r="TP3" s="2">
        <f>0.117983063374541*(1)</f>
        <v>0.11798306337454099</v>
      </c>
      <c r="TQ3" s="2">
        <f>0.110121102198537*(1)</f>
        <v>0.110121102198537</v>
      </c>
      <c r="TR3" s="2">
        <f>-0.0755736715212331*(1)</f>
        <v>-7.5573671521233093E-2</v>
      </c>
      <c r="TS3" s="2">
        <f>-0.253341356624509*(1)</f>
        <v>-0.25334135662450902</v>
      </c>
      <c r="TT3" s="2">
        <f>-0.328758132948079*(1)</f>
        <v>-0.32875813294807898</v>
      </c>
      <c r="TU3" s="2">
        <f>-0.140902302813399*(1)</f>
        <v>-0.14090230281339899</v>
      </c>
      <c r="TV3" s="2">
        <f>-0.342002593514575*(1)</f>
        <v>-0.34200259351457502</v>
      </c>
      <c r="TW3" s="2">
        <f>-0.222351467668383*(1)</f>
        <v>-0.22235146766838301</v>
      </c>
      <c r="TX3" s="2">
        <f>0.0645341579084989*(1)</f>
        <v>6.4534157908498896E-2</v>
      </c>
      <c r="TY3" s="2">
        <f>0.261248568755832*(1)</f>
        <v>0.26124856875583202</v>
      </c>
      <c r="TZ3" s="2">
        <f>0.227903695695037*(1)</f>
        <v>0.22790369569503699</v>
      </c>
      <c r="UA3" s="2">
        <f>-0.282701767357049*(1)</f>
        <v>-0.28270176735704899</v>
      </c>
      <c r="UB3" s="2">
        <f>0.059023594765053*(1)</f>
        <v>5.9023594765052999E-2</v>
      </c>
      <c r="UC3" s="2">
        <f>0.652628019138468*(1)</f>
        <v>0.65262801913846802</v>
      </c>
      <c r="UD3" s="2">
        <f>0.240917101818975*(1)</f>
        <v>0.24091710181897499</v>
      </c>
      <c r="UE3" s="2">
        <f>-0.000451635041116625*(1)</f>
        <v>-4.5163504111662501E-4</v>
      </c>
      <c r="UF3" s="2">
        <f>-0.155729566534184*(1)</f>
        <v>-0.15572956653418399</v>
      </c>
      <c r="UG3" s="2">
        <f>0.0272581362659221*(1)</f>
        <v>2.7258136265922099E-2</v>
      </c>
      <c r="UH3" s="2">
        <f>-0.0869352179123877*(1)</f>
        <v>-8.6935217912387702E-2</v>
      </c>
      <c r="UI3" s="2">
        <f>-0.315930424637349*(1)</f>
        <v>-0.31593042463734899</v>
      </c>
      <c r="UJ3" s="2">
        <f>0.218438578919868*(1)</f>
        <v>0.21843857891986801</v>
      </c>
      <c r="UK3" s="2">
        <f>0.460224813322222*(1)</f>
        <v>0.46022481332222198</v>
      </c>
      <c r="UL3" s="2">
        <f>0.0122202357481059*(1)</f>
        <v>1.22202357481059E-2</v>
      </c>
      <c r="UM3" s="2">
        <f>-0.0628111881892886*(1)</f>
        <v>-6.2811188189288603E-2</v>
      </c>
      <c r="UN3" s="2">
        <f>-0.288032822341665*(1)</f>
        <v>-0.288032822341665</v>
      </c>
      <c r="UO3" s="2">
        <f>-0.228757031644291*(1)</f>
        <v>-0.22875703164429101</v>
      </c>
      <c r="UP3" s="2">
        <f>-0.294493613308854*(1)</f>
        <v>-0.29449361330885399</v>
      </c>
      <c r="UQ3" s="2">
        <f>-0.372477855731824*(1)</f>
        <v>-0.37247785573182401</v>
      </c>
      <c r="UR3" s="2">
        <f>0.221946619132003*(1)</f>
        <v>0.221946619132003</v>
      </c>
      <c r="US3" s="2">
        <f>0.455550483529874*(1)</f>
        <v>0.45555048352987398</v>
      </c>
      <c r="UT3" s="2">
        <f>0.0873215365396868*(1)</f>
        <v>8.73215365396868E-2</v>
      </c>
      <c r="UU3" s="2">
        <f>0.301315670235948*(1)</f>
        <v>0.30131567023594802</v>
      </c>
      <c r="UV3" s="2">
        <f>0.431776143612335*(1)</f>
        <v>0.43177614361233502</v>
      </c>
      <c r="UW3" s="2">
        <f>-0.361891095070848*(1)</f>
        <v>-0.36189109507084799</v>
      </c>
      <c r="UX3" s="2">
        <f>0.26568894206144*(1)</f>
        <v>0.26568894206144</v>
      </c>
      <c r="UY3" s="2">
        <f>-0.25804486205032*(1)</f>
        <v>-0.25804486205032001</v>
      </c>
      <c r="UZ3" s="2">
        <f>0.0869178556956296*(1)</f>
        <v>8.6917855695629598E-2</v>
      </c>
      <c r="VA3" s="2">
        <f>-0.149489351201119*(1)</f>
        <v>-0.149489351201119</v>
      </c>
      <c r="VB3" s="2">
        <f>-0.0104010646135213*(1)</f>
        <v>-1.04010646135213E-2</v>
      </c>
      <c r="VC3" s="2">
        <f>0.153024236187315*(1)</f>
        <v>0.153024236187315</v>
      </c>
      <c r="VD3" s="2">
        <f>0.22034246580863*(1)</f>
        <v>0.22034246580863001</v>
      </c>
      <c r="VE3" s="2">
        <f>-0.161652039538169*(1)</f>
        <v>-0.16165203953816901</v>
      </c>
      <c r="VF3" s="2">
        <f>0.292684075059383*(1)</f>
        <v>0.29268407505938299</v>
      </c>
      <c r="VG3" s="2">
        <f>0.00420348009142014*(1)</f>
        <v>4.2034800914201396E-3</v>
      </c>
      <c r="VH3" s="2">
        <f>-0.236454007167709*(1)</f>
        <v>-0.23645400716770901</v>
      </c>
      <c r="VI3" s="2">
        <f>-0.215793577616826*(1)</f>
        <v>-0.21579357761682599</v>
      </c>
      <c r="VJ3" s="2">
        <f>0.013773932660505*(1)</f>
        <v>1.3773932660505001E-2</v>
      </c>
      <c r="VK3" s="2">
        <f>-0.293423910125571*(1)</f>
        <v>-0.29342391012557101</v>
      </c>
      <c r="VL3" s="2">
        <f>-0.114556640752188*(1)</f>
        <v>-0.11455664075218799</v>
      </c>
      <c r="VM3" s="2">
        <f>-0.516150572416142*(1)</f>
        <v>-0.51615057241614204</v>
      </c>
      <c r="VN3" s="2">
        <f>0.362211753293674*(1)</f>
        <v>0.362211753293674</v>
      </c>
      <c r="VO3" s="2">
        <f>0.567380347885827*(1)</f>
        <v>0.56738034788582703</v>
      </c>
      <c r="VP3" s="2">
        <f>0.114475769178064*(1)</f>
        <v>0.114475769178064</v>
      </c>
      <c r="VQ3" s="2">
        <f>0.0443313756189724*(1)</f>
        <v>4.43313756189724E-2</v>
      </c>
      <c r="VR3" s="2">
        <f>-0.0910437693902861*(1)</f>
        <v>-9.1043769390286106E-2</v>
      </c>
      <c r="VS3" s="2">
        <f>0.0527124594365845*(1)</f>
        <v>5.2712459436584501E-2</v>
      </c>
      <c r="VT3" s="2">
        <f>-0.710981960563079*(1)</f>
        <v>-0.71098196056307905</v>
      </c>
      <c r="VU3" s="2">
        <f>-0.0444796717978146*(1)</f>
        <v>-4.4479671797814598E-2</v>
      </c>
      <c r="VV3" s="2">
        <f>-0.116356069331501*(1)</f>
        <v>-0.116356069331501</v>
      </c>
      <c r="VW3" s="2">
        <f>-0.221117950663749*(1)</f>
        <v>-0.22111795066374901</v>
      </c>
      <c r="VX3" s="2">
        <f>-0.112224379434568*(1)</f>
        <v>-0.11222437943456801</v>
      </c>
      <c r="VY3" s="2">
        <f>-0.182449045105954*(1)</f>
        <v>-0.182449045105954</v>
      </c>
      <c r="VZ3" s="2">
        <f>0.179630924501428*(1)</f>
        <v>0.17963092450142801</v>
      </c>
      <c r="WA3" s="2">
        <f>-0.147936014256415*(1)</f>
        <v>-0.147936014256415</v>
      </c>
      <c r="WB3" s="2">
        <f>-0.152611523719399*(1)</f>
        <v>-0.15261152371939901</v>
      </c>
      <c r="WC3" s="2">
        <f>0.663007861334078*(1)</f>
        <v>0.66300786133407796</v>
      </c>
      <c r="WD3" s="2">
        <f>-0.518267474105505*(1)</f>
        <v>-0.518267474105505</v>
      </c>
      <c r="WE3" s="2">
        <f>-0.165714820946732*(1)</f>
        <v>-0.16571482094673201</v>
      </c>
      <c r="WF3" s="2">
        <f>0.0660352773623011*(1)</f>
        <v>6.6035277362301095E-2</v>
      </c>
      <c r="WG3" s="2">
        <f>0.10633797188226*(1)</f>
        <v>0.10633797188226</v>
      </c>
      <c r="WH3" s="2">
        <f>0.0116083970644068*(1)</f>
        <v>1.1608397064406801E-2</v>
      </c>
      <c r="WI3" s="2">
        <f>0.271921121417198*(1)</f>
        <v>0.27192112141719799</v>
      </c>
      <c r="WJ3" s="2">
        <f>-0.101963289680879*(1)</f>
        <v>-0.101963289680879</v>
      </c>
      <c r="WK3" s="2">
        <f>-0.0678102387801914*(1)</f>
        <v>-6.7810238780191406E-2</v>
      </c>
      <c r="WL3" s="2">
        <f>0.139345318580677*(1)</f>
        <v>0.139345318580677</v>
      </c>
      <c r="WM3" s="2">
        <f>0.103243727084114*(1)</f>
        <v>0.103243727084114</v>
      </c>
      <c r="WN3" s="2">
        <f>0.515299730573017*(1)</f>
        <v>0.51529973057301703</v>
      </c>
      <c r="WO3" s="2">
        <f>-0.0477199618919571*(1)</f>
        <v>-4.7719961891957097E-2</v>
      </c>
      <c r="WP3" s="2">
        <f>-0.0335295443663719*(1)</f>
        <v>-3.3529544366371899E-2</v>
      </c>
      <c r="WQ3" s="2">
        <f>-0.0977795961633032*(1)</f>
        <v>-9.7779596163303201E-2</v>
      </c>
      <c r="WR3" s="2">
        <f>-0.213981355838491*(1)</f>
        <v>-0.21398135583849101</v>
      </c>
      <c r="WS3" s="2">
        <f>0.119224907684344*(1)</f>
        <v>0.119224907684344</v>
      </c>
      <c r="WT3" s="2">
        <f>-0.4213690870328*(1)</f>
        <v>-0.42136908703280002</v>
      </c>
      <c r="WU3" s="2">
        <f>0.153476304233173*(1)</f>
        <v>0.15347630423317299</v>
      </c>
      <c r="WV3" s="2">
        <f>-0.0180015697918205*(1)</f>
        <v>-1.80015697918205E-2</v>
      </c>
      <c r="WW3" s="2">
        <f>-0.00331875589922573*(1)</f>
        <v>-3.31875589922573E-3</v>
      </c>
      <c r="WX3" s="2">
        <f>0.158225064722527*(1)</f>
        <v>0.15822506472252701</v>
      </c>
      <c r="WY3" s="2">
        <f>0.178160189195794*(1)</f>
        <v>0.17816018919579399</v>
      </c>
      <c r="WZ3" s="2">
        <f>-0.423208400757445*(1)</f>
        <v>-0.42320840075744498</v>
      </c>
      <c r="XA3" s="2">
        <f>-0.0321195813733553*(1)</f>
        <v>-3.2119581373355299E-2</v>
      </c>
      <c r="XB3" s="2">
        <f>-0.205614819506415*(1)</f>
        <v>-0.205614819506415</v>
      </c>
      <c r="XC3" s="2">
        <f>-0.115753108978291*(1)</f>
        <v>-0.115753108978291</v>
      </c>
      <c r="XD3" s="2">
        <f>-0.417131609246827*(1)</f>
        <v>-0.41713160924682702</v>
      </c>
      <c r="XE3" s="2">
        <f>-0.0329343765293121*(1)</f>
        <v>-3.2934376529312102E-2</v>
      </c>
      <c r="XF3" s="2">
        <f>0.598052489634373*(1)</f>
        <v>0.59805248963437296</v>
      </c>
      <c r="XG3" s="2">
        <f>0.163738923105309*(1)</f>
        <v>0.16373892310530899</v>
      </c>
      <c r="XH3" s="2">
        <f>0.324605833115826*(1)</f>
        <v>0.32460583311582603</v>
      </c>
      <c r="XI3" s="2">
        <f>0.613064903793895*(1)</f>
        <v>0.613064903793895</v>
      </c>
      <c r="XJ3" s="2">
        <f>0.0426810303456981*(1)</f>
        <v>4.2681030345698097E-2</v>
      </c>
      <c r="XK3" s="2">
        <f>-0.299727826316821*(1)</f>
        <v>-0.29972782631682099</v>
      </c>
      <c r="XL3" s="2">
        <f>0.136805281483393*(1)</f>
        <v>0.13680528148339299</v>
      </c>
      <c r="XM3" s="2">
        <f>0.0200434751993282*(1)</f>
        <v>2.0043475199328201E-2</v>
      </c>
      <c r="XN3" s="2">
        <f>0.182645549766852*(1)</f>
        <v>0.18264554976685199</v>
      </c>
      <c r="XO3" s="2">
        <f>-0.310298767787202*(1)</f>
        <v>-0.310298767787202</v>
      </c>
      <c r="XP3" s="2">
        <f>-0.283486693532522*(1)</f>
        <v>-0.28348669353252198</v>
      </c>
      <c r="XQ3" s="2">
        <f>0.19406268683072*(1)</f>
        <v>0.19406268683072</v>
      </c>
      <c r="XR3" s="2">
        <f>-0.135097536114991*(1)</f>
        <v>-0.13509753611499101</v>
      </c>
      <c r="XS3" s="2">
        <f>-0.114853782909716*(1)</f>
        <v>-0.114853782909716</v>
      </c>
      <c r="XT3" s="2">
        <f>-0.037394423644235*(1)</f>
        <v>-3.7394423644235002E-2</v>
      </c>
      <c r="XU3" s="2">
        <f>-0.0255539761502318*(1)</f>
        <v>-2.5553976150231798E-2</v>
      </c>
      <c r="XV3" s="2">
        <f>-0.257474309236101*(1)</f>
        <v>-0.25747430923610098</v>
      </c>
      <c r="XW3" s="2">
        <f>0.218278019838937*(1)</f>
        <v>0.21827801983893699</v>
      </c>
      <c r="XX3" s="2">
        <f>-0.42847518937778*(1)</f>
        <v>-0.42847518937778001</v>
      </c>
      <c r="XY3" s="2">
        <f>-0.163269509434823*(1)</f>
        <v>-0.16326950943482299</v>
      </c>
      <c r="XZ3" s="2">
        <f>-0.456772659019553*(1)</f>
        <v>-0.456772659019553</v>
      </c>
      <c r="YA3" s="2">
        <f>0.167979246568455*(1)</f>
        <v>0.167979246568455</v>
      </c>
      <c r="YB3" s="2">
        <f>0.170426094578892*(1)</f>
        <v>0.17042609457889199</v>
      </c>
      <c r="YC3" s="2">
        <f>0.161434987797921*(1)</f>
        <v>0.16143498779792101</v>
      </c>
      <c r="YD3" s="2">
        <f>-0.404326127110996*(1)</f>
        <v>-0.40432612711099603</v>
      </c>
      <c r="YE3" s="2">
        <f>-0.0769595738237051*(1)</f>
        <v>-7.6959573823705094E-2</v>
      </c>
      <c r="YF3" s="2">
        <f>-0.188046053428287*(1)</f>
        <v>-0.18804605342828701</v>
      </c>
      <c r="YG3" s="2">
        <f>0.050579571617513*(1)</f>
        <v>5.0579571617513003E-2</v>
      </c>
      <c r="YH3" s="2">
        <f>-0.489159244969637*(1)</f>
        <v>-0.48915924496963697</v>
      </c>
      <c r="YI3" s="2">
        <f>-0.271334547159237*(1)</f>
        <v>-0.27133454715923699</v>
      </c>
      <c r="YJ3" s="2">
        <f>-0.383733601834318*(1)</f>
        <v>-0.38373360183431798</v>
      </c>
      <c r="YK3" s="2">
        <f>0.321199556701435*(1)</f>
        <v>0.32119955670143502</v>
      </c>
      <c r="YL3" s="2">
        <f>0.303888054103695*(1)</f>
        <v>0.30388805410369502</v>
      </c>
      <c r="YM3" s="2">
        <f>0.0895174305856514*(1)</f>
        <v>8.9517430585651397E-2</v>
      </c>
      <c r="YN3" s="2">
        <f>-0.267846429955257*(1)</f>
        <v>-0.26784642995525698</v>
      </c>
      <c r="YO3" s="2">
        <f>0.206028750915337*(1)</f>
        <v>0.20602875091533701</v>
      </c>
      <c r="YP3" s="2">
        <f>0.0639364617874908*(1)</f>
        <v>6.3936461787490795E-2</v>
      </c>
      <c r="YQ3" s="2">
        <f>-0.297852421434229*(1)</f>
        <v>-0.29785242143422902</v>
      </c>
      <c r="YR3" s="2">
        <f>-0.357737893628996*(1)</f>
        <v>-0.357737893628996</v>
      </c>
      <c r="YS3" s="2">
        <f>-0.354628221066784*(1)</f>
        <v>-0.35462822106678399</v>
      </c>
      <c r="YT3" s="2">
        <f>-0.252931827457362*(1)</f>
        <v>-0.25293182745736198</v>
      </c>
      <c r="YU3" s="2">
        <f>0.312079377659453*(1)</f>
        <v>0.31207937765945298</v>
      </c>
      <c r="YV3" s="2">
        <f>-0.520388010321866*(1)</f>
        <v>-0.52038801032186599</v>
      </c>
      <c r="YW3" s="2">
        <f>0.514310711994656*(1)</f>
        <v>0.51431071199465594</v>
      </c>
      <c r="YX3" s="2">
        <f>-0.209874505095985*(1)</f>
        <v>-0.20987450509598499</v>
      </c>
      <c r="YY3" s="2">
        <f>0.17233958365708*(1)</f>
        <v>0.17233958365707999</v>
      </c>
      <c r="YZ3" s="2">
        <f>-0.132025118578218*(1)</f>
        <v>-0.132025118578218</v>
      </c>
      <c r="ZA3" s="2">
        <f>-0.204220433453741*(1)</f>
        <v>-0.204220433453741</v>
      </c>
      <c r="ZB3" s="2">
        <f>0.296546668744286*(1)</f>
        <v>0.29654666874428598</v>
      </c>
      <c r="ZC3" s="2">
        <f>-0.191346220464607*(1)</f>
        <v>-0.191346220464607</v>
      </c>
      <c r="ZD3" s="2">
        <f>0.530977617016025*(1)</f>
        <v>0.53097761701602497</v>
      </c>
      <c r="ZE3" s="2">
        <f>-0.318467428477528*(1)</f>
        <v>-0.31846742847752801</v>
      </c>
      <c r="ZF3" s="2">
        <f>-0.526279857064712*(1)</f>
        <v>-0.52627985706471203</v>
      </c>
      <c r="ZG3" s="2">
        <f>0.0596989880069724*(1)</f>
        <v>5.9698988006972403E-2</v>
      </c>
      <c r="ZH3" s="2">
        <f>0.0314086013977123*(1)</f>
        <v>3.1408601397712302E-2</v>
      </c>
      <c r="ZI3" s="2">
        <f>0.105066293081096*(1)</f>
        <v>0.105066293081096</v>
      </c>
      <c r="ZJ3" s="2">
        <f>-0.412745243132204*(1)</f>
        <v>-0.41274524313220401</v>
      </c>
      <c r="ZK3" s="2">
        <f>0.0495880822678113*(1)</f>
        <v>4.95880822678113E-2</v>
      </c>
      <c r="ZL3" s="2">
        <f>0.33586846390651*(1)</f>
        <v>0.33586846390650998</v>
      </c>
      <c r="ZM3" s="2">
        <f>0.288384651678294*(1)</f>
        <v>0.28838465167829402</v>
      </c>
      <c r="ZN3" s="2">
        <f>-0.465419225974423*(1)</f>
        <v>-0.46541922597442298</v>
      </c>
      <c r="ZO3" s="2">
        <f>0.18800491327798*(1)</f>
        <v>0.18800491327798</v>
      </c>
      <c r="ZP3" s="2">
        <f>-0.360800131892407*(1)</f>
        <v>-0.36080013189240701</v>
      </c>
      <c r="ZQ3" s="2">
        <f>0.571945092462387*(1)</f>
        <v>0.57194509246238701</v>
      </c>
      <c r="ZR3" s="2">
        <f>-0.0189429719095153*(1)</f>
        <v>-1.8942971909515299E-2</v>
      </c>
      <c r="ZS3" s="2">
        <f>0.327518680879704*(1)</f>
        <v>0.32751868087970398</v>
      </c>
      <c r="ZT3" s="2">
        <f>-0.389220223323301*(1)</f>
        <v>-0.38922022332330097</v>
      </c>
      <c r="ZU3" s="2">
        <f>0.180854608473043*(1)</f>
        <v>0.18085460847304299</v>
      </c>
      <c r="ZV3" s="2">
        <f>-0.297793777519007*(1)</f>
        <v>-0.29779377751900699</v>
      </c>
      <c r="ZW3" s="2">
        <f>-0.0293114021909941*(1)</f>
        <v>-2.9311402190994099E-2</v>
      </c>
      <c r="ZX3" s="2">
        <f>-0.505755068400117*(1)</f>
        <v>-0.50575506840011697</v>
      </c>
      <c r="ZY3" s="2">
        <f>0.0659671523530621*(1)</f>
        <v>6.5967152353062095E-2</v>
      </c>
      <c r="ZZ3" s="2">
        <f>0.153544418465761*(1)</f>
        <v>0.153544418465761</v>
      </c>
      <c r="AAA3" s="2">
        <f>-0.292516020727609*(1)</f>
        <v>-0.29251602072760902</v>
      </c>
      <c r="AAB3" s="2">
        <f>0.116758868962857*(1)</f>
        <v>0.116758868962857</v>
      </c>
      <c r="AAC3" s="2">
        <f>0.0913026228067844*(1)</f>
        <v>9.1302622806784403E-2</v>
      </c>
      <c r="AAD3" s="2">
        <f>0.394059489035132*(1)</f>
        <v>0.39405948903513199</v>
      </c>
      <c r="AAE3" s="2">
        <f>0.525601540426992*(1)</f>
        <v>0.52560154042699203</v>
      </c>
      <c r="AAF3" s="2">
        <f>-0.00328257721478375*(1)</f>
        <v>-3.2825772147837499E-3</v>
      </c>
      <c r="AAG3" s="2">
        <f>0.0796666561902296*(1)</f>
        <v>7.9666656190229598E-2</v>
      </c>
      <c r="AAH3" s="2">
        <f>-0.341903567764956*(1)</f>
        <v>-0.34190356776495601</v>
      </c>
      <c r="AAI3" s="2">
        <f>-0.462988728063079*(1)</f>
        <v>-0.462988728063079</v>
      </c>
      <c r="AAJ3" s="2">
        <f>0.293173249547234*(1)</f>
        <v>0.293173249547234</v>
      </c>
      <c r="AAK3" s="2">
        <f>-0.206951069020798*(1)</f>
        <v>-0.20695106902079799</v>
      </c>
      <c r="AAL3" s="2">
        <f>0.0531097552465833*(1)</f>
        <v>5.3109755246583297E-2</v>
      </c>
      <c r="AAM3" s="2">
        <f>-0.171720601979728*(1)</f>
        <v>-0.17172060197972799</v>
      </c>
      <c r="AAN3" s="2">
        <f>0.134820176875623*(1)</f>
        <v>0.134820176875623</v>
      </c>
      <c r="AAO3" s="2">
        <f>0.0647145963114149*(1)</f>
        <v>6.4714596311414893E-2</v>
      </c>
      <c r="AAP3" s="2">
        <f>-0.345234050629128*(1)</f>
        <v>-0.34523405062912799</v>
      </c>
      <c r="AAQ3" s="2">
        <f>0.198179099944709*(1)</f>
        <v>0.198179099944709</v>
      </c>
      <c r="AAR3" s="2">
        <f>0.0111833934025468*(1)</f>
        <v>1.11833934025468E-2</v>
      </c>
      <c r="AAS3" s="2">
        <f>-0.227646212403661*(1)</f>
        <v>-0.22764621240366101</v>
      </c>
      <c r="AAT3" s="2">
        <f>0.046646867628169*(1)</f>
        <v>4.6646867628168998E-2</v>
      </c>
      <c r="AAU3" s="2">
        <f>-0.0471832604336601*(1)</f>
        <v>-4.7183260433660099E-2</v>
      </c>
      <c r="AAV3" s="2">
        <f>-0.24100432359079*(1)</f>
        <v>-0.24100432359078999</v>
      </c>
      <c r="AAW3" s="2">
        <f>0.00850453494961787*(1)</f>
        <v>8.5045349496178698E-3</v>
      </c>
      <c r="AAX3" s="2">
        <f>0.211659512081067*(1)</f>
        <v>0.21165951208106701</v>
      </c>
      <c r="AAY3" s="2">
        <f>0.336002679538306*(1)</f>
        <v>0.33600267953830598</v>
      </c>
      <c r="AAZ3" s="2">
        <f>-0.0339004359600582*(1)</f>
        <v>-3.3900435960058199E-2</v>
      </c>
      <c r="ABA3" s="2">
        <f>0.0156912140854056*(1)</f>
        <v>1.5691214085405601E-2</v>
      </c>
      <c r="ABB3" s="2">
        <f>0.158025883595253*(1)</f>
        <v>0.15802588359525299</v>
      </c>
      <c r="ABC3" s="2">
        <f>0.128645853766236*(1)</f>
        <v>0.128645853766236</v>
      </c>
      <c r="ABD3" s="2">
        <f>-0.0766830629270894*(1)</f>
        <v>-7.6683062927089402E-2</v>
      </c>
      <c r="ABE3" s="2">
        <f>0.160704358450786*(1)</f>
        <v>0.16070435845078601</v>
      </c>
      <c r="ABF3" s="2">
        <f>-0.175150942533261*(1)</f>
        <v>-0.17515094253326099</v>
      </c>
      <c r="ABG3" s="2">
        <f>0.434418691420561*(1)</f>
        <v>0.434418691420561</v>
      </c>
      <c r="ABH3" s="2">
        <f>-0.111756587435872*(1)</f>
        <v>-0.111756587435872</v>
      </c>
      <c r="ABI3" s="2">
        <f>-0.0779082824077662*(1)</f>
        <v>-7.7908282407766205E-2</v>
      </c>
      <c r="ABJ3" s="2">
        <f>-0.206565652447492*(1)</f>
        <v>-0.206565652447492</v>
      </c>
      <c r="ABK3" s="2">
        <f>-0.0548026299736605*(1)</f>
        <v>-5.4802629973660498E-2</v>
      </c>
      <c r="ABL3" s="2">
        <f>0.358276692901982*(1)</f>
        <v>0.358276692901982</v>
      </c>
      <c r="ABM3" s="2">
        <f>-0.0389844298487791*(1)</f>
        <v>-3.8984429848779097E-2</v>
      </c>
      <c r="ABN3" s="2">
        <f>0.00918930131296873*(1)</f>
        <v>9.1893013129687295E-3</v>
      </c>
      <c r="ABO3" s="2">
        <f>-0.177478928999336*(1)</f>
        <v>-0.17747892899933601</v>
      </c>
      <c r="ABP3" s="2">
        <f>-0.143132565682511*(1)</f>
        <v>-0.14313256568251101</v>
      </c>
      <c r="ABQ3" s="2">
        <f>0.0423649151609665*(1)</f>
        <v>4.23649151609665E-2</v>
      </c>
      <c r="ABR3" s="2">
        <f>0.309555322681486*(1)</f>
        <v>0.309555322681486</v>
      </c>
      <c r="ABS3" s="2">
        <f>0.107259512824591*(1)</f>
        <v>0.10725951282459099</v>
      </c>
      <c r="ABT3" s="2">
        <f>-0.166523598192408*(1)</f>
        <v>-0.166523598192408</v>
      </c>
      <c r="ABU3" s="2">
        <f>0.613557338216968*(1)</f>
        <v>0.61355733821696801</v>
      </c>
      <c r="ABV3" s="2">
        <f>0.0520306221294755*(1)</f>
        <v>5.2030622129475498E-2</v>
      </c>
      <c r="ABW3" s="2">
        <f>-0.36762457203335*(1)</f>
        <v>-0.36762457203334997</v>
      </c>
      <c r="ABX3" s="2">
        <f>0.0647334436174572*(1)</f>
        <v>6.4733443617457198E-2</v>
      </c>
      <c r="ABY3" s="2">
        <f>-0.0619887480333217*(1)</f>
        <v>-6.1988748033321703E-2</v>
      </c>
      <c r="ABZ3" s="2">
        <f>-0.330513735574621*(1)</f>
        <v>-0.33051373557462099</v>
      </c>
      <c r="ACA3" s="2">
        <f>-0.101363239559111*(1)</f>
        <v>-0.101363239559111</v>
      </c>
      <c r="ACB3" s="2">
        <f>0.139454851481452*(1)</f>
        <v>0.13945485148145201</v>
      </c>
      <c r="ACC3" s="2">
        <f>-0.250097175393016*(1)</f>
        <v>-0.25009717539301601</v>
      </c>
      <c r="ACD3" s="2">
        <f>-0.310302442771447*(1)</f>
        <v>-0.31030244277144697</v>
      </c>
      <c r="ACE3" s="2">
        <f>-0.435482247591644*(1)</f>
        <v>-0.435482247591644</v>
      </c>
      <c r="ACF3" s="2">
        <f>0.0795586990549929*(1)</f>
        <v>7.9558699054992896E-2</v>
      </c>
      <c r="ACG3" s="2">
        <f>-0.355463010236175*(1)</f>
        <v>-0.35546301023617499</v>
      </c>
      <c r="ACH3" s="2">
        <f>-0.490758399499788*(1)</f>
        <v>-0.490758399499788</v>
      </c>
      <c r="ACI3" s="2">
        <f>-0.176319953922674*(1)</f>
        <v>-0.17631995392267399</v>
      </c>
      <c r="ACJ3" s="2">
        <f>-0.0756718700890743*(1)</f>
        <v>-7.5671870089074306E-2</v>
      </c>
      <c r="ACK3" s="2">
        <f>-0.0757708246800239*(1)</f>
        <v>-7.5770824680023899E-2</v>
      </c>
      <c r="ACL3" s="2">
        <f>0.00104948151797257*(1)</f>
        <v>1.0494815179725699E-3</v>
      </c>
      <c r="ACM3" s="2">
        <f>0.0497450074885514*(1)</f>
        <v>4.9745007488551402E-2</v>
      </c>
      <c r="ACN3" s="2">
        <f>0.0321281952614781*(1)</f>
        <v>3.2128195261478101E-2</v>
      </c>
      <c r="ACO3" s="2">
        <f>0.107626050300627*(1)</f>
        <v>0.107626050300627</v>
      </c>
      <c r="ACP3" s="2">
        <f>-0.151969673848433*(1)</f>
        <v>-0.15196967384843299</v>
      </c>
      <c r="ACQ3" s="2">
        <f>-0.0915927129946998*(1)</f>
        <v>-9.1592712994699801E-2</v>
      </c>
      <c r="ACR3" s="2">
        <f>-0.10801829477056*(1)</f>
        <v>-0.10801829477056001</v>
      </c>
      <c r="ACS3" s="2">
        <f>0.152161028166316*(1)</f>
        <v>0.15216102816631599</v>
      </c>
      <c r="ACT3" s="2">
        <f>-0.487207173935063*(1)</f>
        <v>-0.48720717393506302</v>
      </c>
      <c r="ACU3" s="2">
        <f>0.0810110869375278*(1)</f>
        <v>8.1011086937527801E-2</v>
      </c>
      <c r="ACV3" s="2">
        <f>-0.252515534879856*(1)</f>
        <v>-0.25251553487985601</v>
      </c>
    </row>
    <row r="4" spans="1:776" x14ac:dyDescent="0.2">
      <c r="A4" s="1" t="s">
        <v>70646</v>
      </c>
      <c r="B4" s="2">
        <f>0.467524809899343*(1)</f>
        <v>0.46752480989934297</v>
      </c>
      <c r="C4" s="2">
        <f>0.0107215999851353*(1)</f>
        <v>1.07215999851353E-2</v>
      </c>
      <c r="D4" s="2">
        <f>0.805549794203791*(1)</f>
        <v>0.80554979420379103</v>
      </c>
      <c r="E4" s="2">
        <f>-0.541785836766316*(1)</f>
        <v>-0.54178583676631598</v>
      </c>
      <c r="F4" s="2">
        <f>-0.26315193621565*(1)</f>
        <v>-0.26315193621564997</v>
      </c>
      <c r="G4" s="2">
        <f>-0.160241340072435*(1)</f>
        <v>-0.16024134007243501</v>
      </c>
      <c r="H4" s="2">
        <f>-0.494457445731832*(1)</f>
        <v>-0.49445744573183198</v>
      </c>
      <c r="I4" s="2">
        <f>0.419814225497424*(1)</f>
        <v>0.41981422549742398</v>
      </c>
      <c r="J4" s="2">
        <f>0.0607277609284211*(1)</f>
        <v>6.0727760928421103E-2</v>
      </c>
      <c r="K4" s="2">
        <f>0.418555817927119*(1)</f>
        <v>0.41855581792711899</v>
      </c>
      <c r="L4" s="2">
        <f>0.391887289127222*(1)</f>
        <v>0.39188728912722198</v>
      </c>
      <c r="M4" s="2">
        <f>0.154518374423684*(1)</f>
        <v>0.15451837442368399</v>
      </c>
      <c r="N4" s="2">
        <f>0.648133020404238*(1)</f>
        <v>0.64813302040423804</v>
      </c>
      <c r="O4" s="2">
        <f>0.50193735836075*(1)</f>
        <v>0.50193735836075004</v>
      </c>
      <c r="P4" s="2">
        <f>-0.800582918300666*(1)</f>
        <v>-0.80058291830066597</v>
      </c>
      <c r="Q4" s="2">
        <f>-0.606789877698907*(1)</f>
        <v>-0.60678987769890702</v>
      </c>
      <c r="R4" s="2">
        <f>2.73233774618994*(1)</f>
        <v>2.7323377461899399</v>
      </c>
      <c r="S4" s="2">
        <f>-0.214644935180497*(1)</f>
        <v>-0.21464493518049699</v>
      </c>
      <c r="T4" s="2">
        <f>0.736269500547438*(1)</f>
        <v>0.73626950054743801</v>
      </c>
      <c r="U4" s="2">
        <f>0.0933269767698362*(1)</f>
        <v>9.3326976769836201E-2</v>
      </c>
      <c r="V4" s="2">
        <f>0.844654721276196*(1)</f>
        <v>0.84465472127619601</v>
      </c>
      <c r="W4" s="2">
        <f>-0.140111094696194*(1)</f>
        <v>-0.14011109469619401</v>
      </c>
      <c r="X4" s="2">
        <f>-0.265708617867817*(1)</f>
        <v>-0.26570861786781702</v>
      </c>
      <c r="Y4" s="2">
        <f>-0.604838064961561*(1)</f>
        <v>-0.60483806496156101</v>
      </c>
      <c r="Z4" s="2">
        <f>0.130827740010167*(1)</f>
        <v>0.130827740010167</v>
      </c>
      <c r="AA4" s="2">
        <f>0.513229172898059*(1)</f>
        <v>0.51322917289805903</v>
      </c>
      <c r="AB4" s="2">
        <f>-0.0617899504411473*(1)</f>
        <v>-6.1789950441147302E-2</v>
      </c>
      <c r="AC4" s="2">
        <f>-0.116944537400704*(1)</f>
        <v>-0.116944537400704</v>
      </c>
      <c r="AD4" s="2">
        <f>-0.138349210090911*(1)</f>
        <v>-0.138349210090911</v>
      </c>
      <c r="AE4" s="2">
        <f>0.50790630368229*(1)</f>
        <v>0.50790630368228995</v>
      </c>
      <c r="AF4" s="2">
        <f>-0.769668213664963*(1)</f>
        <v>-0.76966821366496296</v>
      </c>
      <c r="AG4" s="2">
        <f>-0.600602783170455*(1)</f>
        <v>-0.60060278317045501</v>
      </c>
      <c r="AH4" s="2">
        <f>-0.858927140073808*(1)</f>
        <v>-0.85892714007380799</v>
      </c>
      <c r="AI4" s="2">
        <f>-0.390200316203421*(1)</f>
        <v>-0.39020031620342099</v>
      </c>
      <c r="AJ4" s="2">
        <f>0.0836110805663336*(1)</f>
        <v>8.3611080566333595E-2</v>
      </c>
      <c r="AK4" s="2">
        <f>0.606084659346405*(1)</f>
        <v>0.60608465934640499</v>
      </c>
      <c r="AL4" s="2">
        <f>0.529678208192315*(1)</f>
        <v>0.52967820819231504</v>
      </c>
      <c r="AM4" s="2">
        <f>0.320590381316436*(1)</f>
        <v>0.32059038131643602</v>
      </c>
      <c r="AN4" s="2">
        <f>-0.673633161673023*(1)</f>
        <v>-0.67363316167302301</v>
      </c>
      <c r="AO4" s="2">
        <f>-0.553969757419224*(1)</f>
        <v>-0.55396975741922405</v>
      </c>
      <c r="AP4" s="2">
        <f>-0.751992197406966*(1)</f>
        <v>-0.75199219740696599</v>
      </c>
      <c r="AQ4" s="2">
        <f>-0.492695804878266*(1)</f>
        <v>-0.49269580487826597</v>
      </c>
      <c r="AR4" s="2">
        <f>-0.0981325997580562*(1)</f>
        <v>-9.8132599758056202E-2</v>
      </c>
      <c r="AS4" s="2">
        <f>-0.102062321515485*(1)</f>
        <v>-0.102062321515485</v>
      </c>
      <c r="AT4" s="2">
        <f>0.811007093532248*(1)</f>
        <v>0.81100709353224798</v>
      </c>
      <c r="AU4" s="2">
        <f>-0.653654847794777*(1)</f>
        <v>-0.65365484779477701</v>
      </c>
      <c r="AV4" s="2">
        <f>-0.439602168432497*(1)</f>
        <v>-0.439602168432497</v>
      </c>
      <c r="AW4" s="2">
        <f>0.118861210842449*(1)</f>
        <v>0.11886121084244899</v>
      </c>
      <c r="AX4" s="2">
        <f>0.525559422643757*(1)</f>
        <v>0.52555942264375699</v>
      </c>
      <c r="AY4" s="2">
        <f>0.705364700408256*(1)</f>
        <v>0.70536470040825605</v>
      </c>
      <c r="AZ4" s="2">
        <f>-0.407048469267492*(1)</f>
        <v>-0.407048469267492</v>
      </c>
      <c r="BA4" s="2">
        <f>-0.129648157096491*(1)</f>
        <v>-0.129648157096491</v>
      </c>
      <c r="BB4" s="2">
        <f>-0.906077667917927*(1)</f>
        <v>-0.90607766791792699</v>
      </c>
      <c r="BC4" s="2">
        <f>0.0165873261248064*(1)</f>
        <v>1.6587326124806401E-2</v>
      </c>
      <c r="BD4" s="2">
        <f>-0.338156244386953*(1)</f>
        <v>-0.33815624438695302</v>
      </c>
      <c r="BE4" s="2">
        <f>-0.75457844938878*(1)</f>
        <v>-0.75457844938878005</v>
      </c>
      <c r="BF4" s="2">
        <f>-0.900206214458796*(1)</f>
        <v>-0.90020621445879601</v>
      </c>
      <c r="BG4" s="2">
        <f>0.508052497966981*(1)</f>
        <v>0.50805249796698104</v>
      </c>
      <c r="BH4" s="2">
        <f>0.00545616804165283*(1)</f>
        <v>5.4561680416528296E-3</v>
      </c>
      <c r="BI4" s="2">
        <f>0.706902746676137*(1)</f>
        <v>0.70690274667613695</v>
      </c>
      <c r="BJ4" s="2">
        <f>-0.289393110092836*(1)</f>
        <v>-0.28939311009283603</v>
      </c>
      <c r="BK4" s="2">
        <f>0.821923257146616*(1)</f>
        <v>0.82192325714661596</v>
      </c>
      <c r="BL4" s="2">
        <f>-0.626182830636129*(1)</f>
        <v>-0.62618283063612901</v>
      </c>
      <c r="BM4" s="2">
        <f>1.36601471864746*(1)</f>
        <v>1.36601471864746</v>
      </c>
      <c r="BN4" s="2">
        <f>-0.437314529753427*(1)</f>
        <v>-0.43731452975342699</v>
      </c>
      <c r="BO4" s="2">
        <f>0.711715503806571*(1)</f>
        <v>0.711715503806571</v>
      </c>
      <c r="BP4" s="2">
        <f>0.224433617704596*(1)</f>
        <v>0.22443361770459599</v>
      </c>
      <c r="BQ4" s="2">
        <f>-0.462254724597489*(1)</f>
        <v>-0.46225472459748901</v>
      </c>
      <c r="BR4" s="2">
        <f>0.464229272161568*(1)</f>
        <v>0.46422927216156801</v>
      </c>
      <c r="BS4" s="2">
        <f>-0.365125790906143*(1)</f>
        <v>-0.365125790906143</v>
      </c>
      <c r="BT4" s="2">
        <f>0.262710130087688*(1)</f>
        <v>0.26271013008768801</v>
      </c>
      <c r="BU4" s="2">
        <f>-0.366689745425445*(1)</f>
        <v>-0.36668974542544502</v>
      </c>
      <c r="BV4" s="2">
        <f>-0.387640920449923*(1)</f>
        <v>-0.38764092044992299</v>
      </c>
      <c r="BW4" s="2">
        <f>0.823452643613268*(1)</f>
        <v>0.82345264361326798</v>
      </c>
      <c r="BX4" s="2">
        <f>-0.509222502701785*(1)</f>
        <v>-0.50922250270178504</v>
      </c>
      <c r="BY4" s="2">
        <f>1.56815702499102*(1)</f>
        <v>1.5681570249910199</v>
      </c>
      <c r="BZ4" s="2">
        <f>0.459034770176377*(1)</f>
        <v>0.459034770176377</v>
      </c>
      <c r="CA4" s="2">
        <f>-0.555159504434772*(1)</f>
        <v>-0.55515950443477202</v>
      </c>
      <c r="CB4" s="2">
        <f>0.727124413637729*(1)</f>
        <v>0.72712441363772895</v>
      </c>
      <c r="CC4" s="2">
        <f>0.0367111865384889*(1)</f>
        <v>3.6711186538488899E-2</v>
      </c>
      <c r="CD4" s="2">
        <f>0.991622139788908*(1)</f>
        <v>0.99162213978890801</v>
      </c>
      <c r="CE4" s="2">
        <f>0.0232506058298986*(1)</f>
        <v>2.3250605829898598E-2</v>
      </c>
      <c r="CF4" s="2">
        <f>-0.569188917007598*(1)</f>
        <v>-0.56918891700759799</v>
      </c>
      <c r="CG4" s="2">
        <f>-0.353817561352666*(1)</f>
        <v>-0.35381756135266601</v>
      </c>
      <c r="CH4" s="2">
        <f>1.05951605344424*(1)</f>
        <v>1.05951605344424</v>
      </c>
      <c r="CI4" s="2">
        <f>0.0678070367311203*(1)</f>
        <v>6.7807036731120304E-2</v>
      </c>
      <c r="CJ4" s="2">
        <f>0.897824374182775*(1)</f>
        <v>0.89782437418277505</v>
      </c>
      <c r="CK4" s="2">
        <f>0.721695560874907*(1)</f>
        <v>0.72169556087490705</v>
      </c>
      <c r="CL4" s="2">
        <f>0.414526555090434*(1)</f>
        <v>0.41452655509043401</v>
      </c>
      <c r="CM4" s="2">
        <f>-0.313936946513113*(1)</f>
        <v>-0.31393694651311299</v>
      </c>
      <c r="CN4" s="2">
        <f>-0.745244536509864*(1)</f>
        <v>-0.745244536509864</v>
      </c>
      <c r="CO4" s="2">
        <f>0.300745162987327*(1)</f>
        <v>0.30074516298732701</v>
      </c>
      <c r="CP4" s="2">
        <f>-0.0784955407128368*(1)</f>
        <v>-7.8495540712836806E-2</v>
      </c>
      <c r="CQ4" s="2">
        <f>-1.85216777177331*(1)</f>
        <v>-1.85216777177331</v>
      </c>
      <c r="CR4" s="2">
        <f>-0.235425266060706*(1)</f>
        <v>-0.23542526606070599</v>
      </c>
      <c r="CS4" s="2">
        <f>0.566940819839242*(1)</f>
        <v>0.56694081983924205</v>
      </c>
      <c r="CT4" s="2">
        <f>0.742506514293533*(1)</f>
        <v>0.74250651429353298</v>
      </c>
      <c r="CU4" s="2">
        <f>-1.12517624470634*(1)</f>
        <v>-1.12517624470634</v>
      </c>
      <c r="CV4" s="2">
        <f>-0.460826672612278*(1)</f>
        <v>-0.460826672612278</v>
      </c>
      <c r="CW4" s="2">
        <f>-0.281201845783689*(1)</f>
        <v>-0.28120184578368901</v>
      </c>
      <c r="CX4" s="2">
        <f>-0.186373541675135*(1)</f>
        <v>-0.18637354167513501</v>
      </c>
      <c r="CY4" s="2">
        <f>-0.33638166864258*(1)</f>
        <v>-0.33638166864258001</v>
      </c>
      <c r="CZ4" s="2">
        <f>-0.746017452127907*(1)</f>
        <v>-0.74601745212790704</v>
      </c>
      <c r="DA4" s="2">
        <f>-0.34269911885037*(1)</f>
        <v>-0.34269911885037002</v>
      </c>
      <c r="DB4" s="2">
        <f>0.808144602924109*(1)</f>
        <v>0.80814460292410895</v>
      </c>
      <c r="DC4" s="2">
        <f>-0.649695832816215*(1)</f>
        <v>-0.64969583281621501</v>
      </c>
      <c r="DD4" s="2">
        <f>-0.483426996709132*(1)</f>
        <v>-0.48342699670913197</v>
      </c>
      <c r="DE4" s="2">
        <f>0.123263192218076*(1)</f>
        <v>0.123263192218076</v>
      </c>
      <c r="DF4" s="2">
        <f>-1.03131962422407*(1)</f>
        <v>-1.0313196242240701</v>
      </c>
      <c r="DG4" s="2">
        <f>-0.0574814719141955*(1)</f>
        <v>-5.7481471914195503E-2</v>
      </c>
      <c r="DH4" s="2">
        <f>1.19239945235481*(1)</f>
        <v>1.19239945235481</v>
      </c>
      <c r="DI4" s="2">
        <f>0.295861745036225*(1)</f>
        <v>0.29586174503622498</v>
      </c>
      <c r="DJ4" s="2">
        <f>-0.780376392470719*(1)</f>
        <v>-0.78037639247071899</v>
      </c>
      <c r="DK4" s="2">
        <f>-0.88257728452607*(1)</f>
        <v>-0.88257728452606998</v>
      </c>
      <c r="DL4" s="2">
        <f>-0.559904738107812*(1)</f>
        <v>-0.55990473810781205</v>
      </c>
      <c r="DM4" s="2">
        <f>0.145862549167417*(1)</f>
        <v>0.145862549167417</v>
      </c>
      <c r="DN4" s="2">
        <f>0.268590835657669*(1)</f>
        <v>0.268590835657669</v>
      </c>
      <c r="DO4" s="2">
        <f>-0.393109128628891*(1)</f>
        <v>-0.39310912862889102</v>
      </c>
      <c r="DP4" s="2">
        <f>0.187331458618717*(1)</f>
        <v>0.187331458618717</v>
      </c>
      <c r="DQ4" s="2">
        <f>0.366075803163301*(1)</f>
        <v>0.36607580316330102</v>
      </c>
      <c r="DR4" s="2">
        <f>0.0838204512899789*(1)</f>
        <v>8.3820451289978906E-2</v>
      </c>
      <c r="DS4" s="2">
        <f>0.053686606791895*(1)</f>
        <v>5.3686606791894999E-2</v>
      </c>
      <c r="DT4" s="2">
        <f>-1.15582867961364*(1)</f>
        <v>-1.1558286796136401</v>
      </c>
      <c r="DU4" s="2">
        <f>0.150748311227455*(1)</f>
        <v>0.150748311227455</v>
      </c>
      <c r="DV4" s="2">
        <f>0.726711105823435*(1)</f>
        <v>0.72671110582343501</v>
      </c>
      <c r="DW4" s="2">
        <f>0.098079640797796*(1)</f>
        <v>9.8079640797796006E-2</v>
      </c>
      <c r="DX4" s="2">
        <f>1.2979862251697*(1)</f>
        <v>1.2979862251697001</v>
      </c>
      <c r="DY4" s="2">
        <f>0.00243155431055263*(1)</f>
        <v>2.4315543105526299E-3</v>
      </c>
      <c r="DZ4" s="2">
        <f>-0.733671539879745*(1)</f>
        <v>-0.73367153987974498</v>
      </c>
      <c r="EA4" s="2">
        <f>0.673215209727507*(1)</f>
        <v>0.67321520972750704</v>
      </c>
      <c r="EB4" s="2">
        <f>-0.753597083938206*(1)</f>
        <v>-0.75359708393820601</v>
      </c>
      <c r="EC4" s="2">
        <f>-0.461023059764689*(1)</f>
        <v>-0.46102305976468899</v>
      </c>
      <c r="ED4" s="2">
        <f>-0.522107821163352*(1)</f>
        <v>-0.52210782116335197</v>
      </c>
      <c r="EE4" s="2">
        <f>1.11619135650635*(1)</f>
        <v>1.1161913565063499</v>
      </c>
      <c r="EF4" s="2">
        <f>0.496097459538204*(1)</f>
        <v>0.496097459538204</v>
      </c>
      <c r="EG4" s="2">
        <f>0.537219895013417*(1)</f>
        <v>0.53721989501341705</v>
      </c>
      <c r="EH4" s="2">
        <f>0.0396156009492311*(1)</f>
        <v>3.9615600949231097E-2</v>
      </c>
      <c r="EI4" s="2">
        <f>0.0577360647627908*(1)</f>
        <v>5.7736064762790799E-2</v>
      </c>
      <c r="EJ4" s="2">
        <f>-0.376061058216386*(1)</f>
        <v>-0.37606105821638602</v>
      </c>
      <c r="EK4" s="2">
        <f>0.565891493637336*(1)</f>
        <v>0.56589149363733604</v>
      </c>
      <c r="EL4" s="2">
        <f>0.00439659169969082*(1)</f>
        <v>4.3965916996908201E-3</v>
      </c>
      <c r="EM4" s="2">
        <f>-0.473683362449551*(1)</f>
        <v>-0.473683362449551</v>
      </c>
      <c r="EN4" s="2">
        <f>0.222140094937206*(1)</f>
        <v>0.22214009493720599</v>
      </c>
      <c r="EO4" s="2">
        <f>-0.683394161418473*(1)</f>
        <v>-0.68339416141847298</v>
      </c>
      <c r="EP4" s="2">
        <f>0.48775689728721*(1)</f>
        <v>0.48775689728721</v>
      </c>
      <c r="EQ4" s="2">
        <f>0.804383179392223*(1)</f>
        <v>0.80438317939222304</v>
      </c>
      <c r="ER4" s="2">
        <f>-1.00956923124009*(1)</f>
        <v>-1.0095692312400899</v>
      </c>
      <c r="ES4" s="2">
        <f>-0.559409480736774*(1)</f>
        <v>-0.55940948073677399</v>
      </c>
      <c r="ET4" s="2">
        <f>0.00246717336138235*(1)</f>
        <v>2.4671733613823498E-3</v>
      </c>
      <c r="EU4" s="2">
        <f>-0.996528814798232*(1)</f>
        <v>-0.99652881479823197</v>
      </c>
      <c r="EV4" s="2">
        <f>0.231496327837363*(1)</f>
        <v>0.23149632783736299</v>
      </c>
      <c r="EW4" s="2">
        <f>-0.0608148094976902*(1)</f>
        <v>-6.0814809497690199E-2</v>
      </c>
      <c r="EX4" s="2">
        <f>0.121557423119738*(1)</f>
        <v>0.121557423119738</v>
      </c>
      <c r="EY4" s="2">
        <f>-0.545809364979053*(1)</f>
        <v>-0.54580936497905297</v>
      </c>
      <c r="EZ4" s="2">
        <f>0.614083849896151*(1)</f>
        <v>0.61408384989615095</v>
      </c>
      <c r="FA4" s="2">
        <f>-0.122512185418415*(1)</f>
        <v>-0.12251218541841501</v>
      </c>
      <c r="FB4" s="2">
        <f>0.0508208350948821*(1)</f>
        <v>5.0820835094882097E-2</v>
      </c>
      <c r="FC4" s="2">
        <f>0.272327044414701*(1)</f>
        <v>0.27232704441470101</v>
      </c>
      <c r="FD4" s="2">
        <f>-0.735884833661672*(1)</f>
        <v>-0.73588483366167201</v>
      </c>
      <c r="FE4" s="2">
        <f>-0.01938978688293*(1)</f>
        <v>-1.9389786882929999E-2</v>
      </c>
      <c r="FF4" s="2">
        <f>0.0293654442127276*(1)</f>
        <v>2.93654442127276E-2</v>
      </c>
      <c r="FG4" s="2">
        <f>0.16609340812913*(1)</f>
        <v>0.16609340812913001</v>
      </c>
      <c r="FH4" s="2">
        <f>1.87414548542077*(1)</f>
        <v>1.87414548542077</v>
      </c>
      <c r="FI4" s="2">
        <f>-0.536188859933851*(1)</f>
        <v>-0.53618885993385101</v>
      </c>
      <c r="FJ4" s="2">
        <f>-0.33396329897232*(1)</f>
        <v>-0.33396329897232002</v>
      </c>
      <c r="FK4" s="2">
        <f>-0.240955479062821*(1)</f>
        <v>-0.240955479062821</v>
      </c>
      <c r="FL4" s="2">
        <f>0.230758168599351*(1)</f>
        <v>0.230758168599351</v>
      </c>
      <c r="FM4" s="2">
        <f>-0.21074666011224*(1)</f>
        <v>-0.21074666011224</v>
      </c>
      <c r="FN4" s="2">
        <f>-0.763604444204632*(1)</f>
        <v>-0.76360444420463203</v>
      </c>
      <c r="FO4" s="2">
        <f>-0.140716572221263*(1)</f>
        <v>-0.14071657222126299</v>
      </c>
      <c r="FP4" s="2">
        <f>0.487317612933474*(1)</f>
        <v>0.48731761293347398</v>
      </c>
      <c r="FQ4" s="2">
        <f>0.948517078013557*(1)</f>
        <v>0.948517078013557</v>
      </c>
      <c r="FR4" s="2">
        <f>-0.117697985195474*(1)</f>
        <v>-0.117697985195474</v>
      </c>
      <c r="FS4" s="2">
        <f>-0.619082000196718*(1)</f>
        <v>-0.619082000196718</v>
      </c>
      <c r="FT4" s="2">
        <f>-0.838058956147694*(1)</f>
        <v>-0.83805895614769399</v>
      </c>
      <c r="FU4" s="2">
        <f>0.0951076336269944*(1)</f>
        <v>9.5107633626994398E-2</v>
      </c>
      <c r="FV4" s="2">
        <f>-0.358451158442729*(1)</f>
        <v>-0.35845115844272901</v>
      </c>
      <c r="FW4" s="2">
        <f>-0.0833385967480403*(1)</f>
        <v>-8.3338596748040297E-2</v>
      </c>
      <c r="FX4" s="2">
        <f>-0.342525774418889*(1)</f>
        <v>-0.34252577441888898</v>
      </c>
      <c r="FY4" s="2">
        <f>-0.0862948028061319*(1)</f>
        <v>-8.6294802806131901E-2</v>
      </c>
      <c r="FZ4" s="2">
        <f>-0.0684210121222619*(1)</f>
        <v>-6.8421012122261898E-2</v>
      </c>
      <c r="GA4" s="2">
        <f>0.697209834838352*(1)</f>
        <v>0.69720983483835197</v>
      </c>
      <c r="GB4" s="2">
        <f>-0.126427448494088*(1)</f>
        <v>-0.12642744849408799</v>
      </c>
      <c r="GC4" s="2">
        <f>0.180479324813138*(1)</f>
        <v>0.180479324813138</v>
      </c>
      <c r="GD4" s="2">
        <f>-0.0479372517943505*(1)</f>
        <v>-4.7937251794350502E-2</v>
      </c>
      <c r="GE4" s="2">
        <f>-0.336255617802384*(1)</f>
        <v>-0.336255617802384</v>
      </c>
      <c r="GF4" s="2">
        <f>-0.481589877904429*(1)</f>
        <v>-0.48158987790442898</v>
      </c>
      <c r="GG4" s="2">
        <f>-0.368132895616707*(1)</f>
        <v>-0.36813289561670698</v>
      </c>
      <c r="GH4" s="2">
        <f>-0.228783110972227*(1)</f>
        <v>-0.22878311097222701</v>
      </c>
      <c r="GI4" s="2">
        <f>0.469254042239915*(1)</f>
        <v>0.46925404223991501</v>
      </c>
      <c r="GJ4" s="2">
        <f>-0.247779357530595*(1)</f>
        <v>-0.24777935753059499</v>
      </c>
      <c r="GK4" s="2">
        <f>-0.164874388686685*(1)</f>
        <v>-0.164874388686685</v>
      </c>
      <c r="GL4" s="2">
        <f>0.269359750896487*(1)</f>
        <v>0.269359750896487</v>
      </c>
      <c r="GM4" s="2">
        <f>-0.0657546477860965*(1)</f>
        <v>-6.5754647786096507E-2</v>
      </c>
      <c r="GN4" s="2">
        <f>-0.0570092324591753*(1)</f>
        <v>-5.7009232459175302E-2</v>
      </c>
      <c r="GO4" s="2">
        <f>-0.468013154082486*(1)</f>
        <v>-0.468013154082486</v>
      </c>
      <c r="GP4" s="2">
        <f>-0.0788186872409685*(1)</f>
        <v>-7.8818687240968494E-2</v>
      </c>
      <c r="GQ4" s="2">
        <f>-1.34250490670676*(1)</f>
        <v>-1.34250490670676</v>
      </c>
      <c r="GR4" s="2">
        <f>0.194304128681131*(1)</f>
        <v>0.19430412868113101</v>
      </c>
      <c r="GS4" s="2">
        <f>-0.586059804095808*(1)</f>
        <v>-0.58605980409580805</v>
      </c>
      <c r="GT4" s="2">
        <f>-0.657891077904407*(1)</f>
        <v>-0.65789107790440704</v>
      </c>
      <c r="GU4" s="2">
        <f>-0.724578250969511*(1)</f>
        <v>-0.72457825096951101</v>
      </c>
      <c r="GV4" s="2">
        <f>-0.18320454766087*(1)</f>
        <v>-0.18320454766086999</v>
      </c>
      <c r="GW4" s="2">
        <f>-0.609316701340745*(1)</f>
        <v>-0.609316701340745</v>
      </c>
      <c r="GX4" s="2">
        <f>0.167945690493741*(1)</f>
        <v>0.167945690493741</v>
      </c>
      <c r="GY4" s="2">
        <f>-1.08569629071125*(1)</f>
        <v>-1.08569629071125</v>
      </c>
      <c r="GZ4" s="2">
        <f>0.222634626763036*(1)</f>
        <v>0.222634626763036</v>
      </c>
      <c r="HA4" s="2">
        <f>0.947009964677196*(1)</f>
        <v>0.947009964677196</v>
      </c>
      <c r="HB4" s="2">
        <f>-0.400068293376677*(1)</f>
        <v>-0.40006829337667699</v>
      </c>
      <c r="HC4" s="2">
        <f>-0.663713437864016*(1)</f>
        <v>-0.66371343786401604</v>
      </c>
      <c r="HD4" s="2">
        <f>-0.133776787891998*(1)</f>
        <v>-0.13377678789199801</v>
      </c>
      <c r="HE4" s="2">
        <f>-0.0326407813361633*(1)</f>
        <v>-3.2640781336163299E-2</v>
      </c>
      <c r="HF4" s="2">
        <f>0.286701794032039*(1)</f>
        <v>0.28670179403203899</v>
      </c>
      <c r="HG4" s="2">
        <f>-0.0224547009783405*(1)</f>
        <v>-2.24547009783405E-2</v>
      </c>
      <c r="HH4" s="2">
        <f>0.132625602913545*(1)</f>
        <v>0.132625602913545</v>
      </c>
      <c r="HI4" s="2">
        <f>-0.708455607338028*(1)</f>
        <v>-0.70845560733802804</v>
      </c>
      <c r="HJ4" s="2">
        <f>-0.0283567124669485*(1)</f>
        <v>-2.83567124669485E-2</v>
      </c>
      <c r="HK4" s="2">
        <f>-0.131220727152398*(1)</f>
        <v>-0.13122072715239799</v>
      </c>
      <c r="HL4" s="2">
        <f>0.0946576048346812*(1)</f>
        <v>9.4657604834681205E-2</v>
      </c>
      <c r="HM4" s="2">
        <f>-0.364469024945339*(1)</f>
        <v>-0.364469024945339</v>
      </c>
      <c r="HN4" s="2">
        <f>0.76771154421544*(1)</f>
        <v>0.76771154421543997</v>
      </c>
      <c r="HO4" s="2">
        <f>-0.737634972498654*(1)</f>
        <v>-0.73763497249865395</v>
      </c>
      <c r="HP4" s="2">
        <f>-0.469253777001042*(1)</f>
        <v>-0.46925377700104198</v>
      </c>
      <c r="HQ4" s="2">
        <f>-0.209427564101583*(1)</f>
        <v>-0.209427564101583</v>
      </c>
      <c r="HR4" s="2">
        <f>-0.218856811789548*(1)</f>
        <v>-0.21885681178954799</v>
      </c>
      <c r="HS4" s="2">
        <f>0.125702000776719*(1)</f>
        <v>0.125702000776719</v>
      </c>
      <c r="HT4" s="2">
        <f>-0.535833243749319*(1)</f>
        <v>-0.53583324374931895</v>
      </c>
      <c r="HU4" s="2">
        <f>-0.546964070750871*(1)</f>
        <v>-0.54696407075087095</v>
      </c>
      <c r="HV4" s="2">
        <f>0.516269845129838*(1)</f>
        <v>0.51626984512983798</v>
      </c>
      <c r="HW4" s="2">
        <f>0.0248053981752354*(1)</f>
        <v>2.4805398175235398E-2</v>
      </c>
      <c r="HX4" s="2">
        <f>-0.180281366620148*(1)</f>
        <v>-0.18028136662014799</v>
      </c>
      <c r="HY4" s="2">
        <f>0.472364406502586*(1)</f>
        <v>0.47236440650258599</v>
      </c>
      <c r="HZ4" s="2">
        <f>-0.353336131850518*(1)</f>
        <v>-0.35333613185051799</v>
      </c>
      <c r="IA4" s="2">
        <f>0.00402933263045139*(1)</f>
        <v>4.0293326304513899E-3</v>
      </c>
      <c r="IB4" s="2">
        <f>-0.444403720526824*(1)</f>
        <v>-0.44440372052682398</v>
      </c>
      <c r="IC4" s="2">
        <f>-0.427391156476986*(1)</f>
        <v>-0.427391156476986</v>
      </c>
      <c r="ID4" s="2">
        <f>-0.0308591272131661*(1)</f>
        <v>-3.0859127213166099E-2</v>
      </c>
      <c r="IE4" s="2">
        <f>-1.33135819294926*(1)</f>
        <v>-1.3313581929492599</v>
      </c>
      <c r="IF4" s="2">
        <f>1.35277994713836*(1)</f>
        <v>1.3527799471383599</v>
      </c>
      <c r="IG4" s="2">
        <f>-1.30354059620091*(1)</f>
        <v>-1.3035405962009099</v>
      </c>
      <c r="IH4" s="2">
        <f>0.0476251645068936*(1)</f>
        <v>4.7625164506893601E-2</v>
      </c>
      <c r="II4" s="2">
        <f>-0.632504149511445*(1)</f>
        <v>-0.63250414951144496</v>
      </c>
      <c r="IJ4" s="2">
        <f>0.557341272928991*(1)</f>
        <v>0.55734127292899105</v>
      </c>
      <c r="IK4" s="2">
        <f>-0.120420165721841*(1)</f>
        <v>-0.120420165721841</v>
      </c>
      <c r="IL4" s="2">
        <f>0.540894159319512*(1)</f>
        <v>0.54089415931951201</v>
      </c>
      <c r="IM4" s="2">
        <f>-0.936273133559636*(1)</f>
        <v>-0.93627313355963604</v>
      </c>
      <c r="IN4" s="2">
        <f>-0.105555531053079*(1)</f>
        <v>-0.10555553105307899</v>
      </c>
      <c r="IO4" s="2">
        <f>-0.0465776708624276*(1)</f>
        <v>-4.6577670862427603E-2</v>
      </c>
      <c r="IP4" s="2">
        <f>0.312560929211362*(1)</f>
        <v>0.31256092921136203</v>
      </c>
      <c r="IQ4" s="2">
        <f>0.549560322574682*(1)</f>
        <v>0.54956032257468201</v>
      </c>
      <c r="IR4" s="2">
        <f>-0.112480431098878*(1)</f>
        <v>-0.11248043109887799</v>
      </c>
      <c r="IS4" s="2">
        <f>0.554051787045679*(1)</f>
        <v>0.55405178704567903</v>
      </c>
      <c r="IT4" s="2">
        <f>0.108824831273791*(1)</f>
        <v>0.108824831273791</v>
      </c>
      <c r="IU4" s="2">
        <f>0.409560997972203*(1)</f>
        <v>0.40956099797220302</v>
      </c>
      <c r="IV4" s="2">
        <f>-0.392215160162385*(1)</f>
        <v>-0.392215160162385</v>
      </c>
      <c r="IW4" s="2">
        <f>-0.646764548081881*(1)</f>
        <v>-0.646764548081881</v>
      </c>
      <c r="IX4" s="2">
        <f>-0.725715751022562*(1)</f>
        <v>-0.72571575102256203</v>
      </c>
      <c r="IY4" s="2">
        <f>-0.0347910337398959*(1)</f>
        <v>-3.47910337398959E-2</v>
      </c>
      <c r="IZ4" s="2">
        <f>-0.229231607513517*(1)</f>
        <v>-0.22923160751351701</v>
      </c>
      <c r="JA4" s="2">
        <f>-0.0173537860707453*(1)</f>
        <v>-1.7353786070745301E-2</v>
      </c>
      <c r="JB4" s="2">
        <f>-0.379484636737782*(1)</f>
        <v>-0.37948463673778199</v>
      </c>
      <c r="JC4" s="2">
        <f>-0.468042459648636*(1)</f>
        <v>-0.468042459648636</v>
      </c>
      <c r="JD4" s="2">
        <f>-0.270292416667367*(1)</f>
        <v>-0.27029241666736697</v>
      </c>
      <c r="JE4" s="2">
        <f>0.241173273139865*(1)</f>
        <v>0.241173273139865</v>
      </c>
      <c r="JF4" s="2">
        <f>0.128104133948742*(1)</f>
        <v>0.12810413394874201</v>
      </c>
      <c r="JG4" s="2">
        <f>-0.231648335976713*(1)</f>
        <v>-0.231648335976713</v>
      </c>
      <c r="JH4" s="2">
        <f>0.957354104560675*(1)</f>
        <v>0.95735410456067505</v>
      </c>
      <c r="JI4" s="2">
        <f>-0.260782122911834*(1)</f>
        <v>-0.260782122911834</v>
      </c>
      <c r="JJ4" s="2">
        <f>0.889142563544294*(1)</f>
        <v>0.889142563544294</v>
      </c>
      <c r="JK4" s="2">
        <f>-0.190820385517423*(1)</f>
        <v>-0.190820385517423</v>
      </c>
      <c r="JL4" s="2">
        <f>0.439114745124097*(1)</f>
        <v>0.43911474512409698</v>
      </c>
      <c r="JM4" s="2">
        <f>0.278044030875368*(1)</f>
        <v>0.278044030875368</v>
      </c>
      <c r="JN4" s="2">
        <f>-0.288974638432367*(1)</f>
        <v>-0.28897463843236698</v>
      </c>
      <c r="JO4" s="2">
        <f>0.0400325842222104*(1)</f>
        <v>4.0032584222210399E-2</v>
      </c>
      <c r="JP4" s="2">
        <f>-0.0347356475933311*(1)</f>
        <v>-3.4735647593331101E-2</v>
      </c>
      <c r="JQ4" s="2">
        <f>-0.0308922494777155*(1)</f>
        <v>-3.0892249477715499E-2</v>
      </c>
      <c r="JR4" s="2">
        <f>-0.0683254167839118*(1)</f>
        <v>-6.8325416783911797E-2</v>
      </c>
      <c r="JS4" s="2">
        <f>0.192539697876096*(1)</f>
        <v>0.19253969787609601</v>
      </c>
      <c r="JT4" s="2">
        <f>-0.359412429151037*(1)</f>
        <v>-0.35941242915103699</v>
      </c>
      <c r="JU4" s="2">
        <f>-0.213374650874921*(1)</f>
        <v>-0.213374650874921</v>
      </c>
      <c r="JV4" s="2">
        <f>0.014980852750493*(1)</f>
        <v>1.4980852750493E-2</v>
      </c>
      <c r="JW4" s="2">
        <f>-0.418006066794407*(1)</f>
        <v>-0.41800606679440699</v>
      </c>
      <c r="JX4" s="2">
        <f>0.18477099081373*(1)</f>
        <v>0.18477099081373</v>
      </c>
      <c r="JY4" s="2">
        <f>-0.401220476879171*(1)</f>
        <v>-0.40122047687917101</v>
      </c>
      <c r="JZ4" s="2">
        <f>0.315279126041242*(1)</f>
        <v>0.31527912604124197</v>
      </c>
      <c r="KA4" s="2">
        <f>0.0899669137479098*(1)</f>
        <v>8.9966913747909799E-2</v>
      </c>
      <c r="KB4" s="2">
        <f>0.703578280918799*(1)</f>
        <v>0.70357828091879904</v>
      </c>
      <c r="KC4" s="2">
        <f>0.506964653347317*(1)</f>
        <v>0.506964653347317</v>
      </c>
      <c r="KD4" s="2">
        <f>0.201006865205885*(1)</f>
        <v>0.20100686520588501</v>
      </c>
      <c r="KE4" s="2">
        <f>0.192346409768602*(1)</f>
        <v>0.19234640976860201</v>
      </c>
      <c r="KF4" s="2">
        <f>-0.63070791098081*(1)</f>
        <v>-0.63070791098081003</v>
      </c>
      <c r="KG4" s="2">
        <f>0.568327970671234*(1)</f>
        <v>0.56832797067123397</v>
      </c>
      <c r="KH4" s="2">
        <f>-0.497581655137267*(1)</f>
        <v>-0.49758165513726699</v>
      </c>
      <c r="KI4" s="2">
        <f>0.625453574696303*(1)</f>
        <v>0.62545357469630303</v>
      </c>
      <c r="KJ4" s="2">
        <f>-0.382638472367426*(1)</f>
        <v>-0.38263847236742599</v>
      </c>
      <c r="KK4" s="2">
        <f>-0.2509707873202*(1)</f>
        <v>-0.25097078732020001</v>
      </c>
      <c r="KL4" s="2">
        <f>-0.78858159292912*(1)</f>
        <v>-0.78858159292912</v>
      </c>
      <c r="KM4" s="2">
        <f>0.33009347343357*(1)</f>
        <v>0.33009347343356998</v>
      </c>
      <c r="KN4" s="2">
        <f>-0.346766737020506*(1)</f>
        <v>-0.34676673702050598</v>
      </c>
      <c r="KO4" s="2">
        <f>0.0236613488561214*(1)</f>
        <v>2.3661348856121402E-2</v>
      </c>
      <c r="KP4" s="2">
        <f>0.155564746742528*(1)</f>
        <v>0.15556474674252799</v>
      </c>
      <c r="KQ4" s="2">
        <f>-0.256989952769539*(1)</f>
        <v>-0.25698995276953901</v>
      </c>
      <c r="KR4" s="2">
        <f>-0.524787083860399*(1)</f>
        <v>-0.52478708386039896</v>
      </c>
      <c r="KS4" s="2">
        <f>-0.0254468122422063*(1)</f>
        <v>-2.5446812242206299E-2</v>
      </c>
      <c r="KT4" s="2">
        <f>-0.0827198282995776*(1)</f>
        <v>-8.2719828299577594E-2</v>
      </c>
      <c r="KU4" s="2">
        <f>1.6846618276018*(1)</f>
        <v>1.6846618276017999</v>
      </c>
      <c r="KV4" s="2">
        <f>0.103150428625255*(1)</f>
        <v>0.103150428625255</v>
      </c>
      <c r="KW4" s="2">
        <f>0.508508931067559*(1)</f>
        <v>0.50850893106755901</v>
      </c>
      <c r="KX4" s="2">
        <f>0.520141640630787*(1)</f>
        <v>0.52014164063078705</v>
      </c>
      <c r="KY4" s="2">
        <f>-0.199627937969267*(1)</f>
        <v>-0.19962793796926701</v>
      </c>
      <c r="KZ4" s="2">
        <f>0.313702910447583*(1)</f>
        <v>0.31370291044758303</v>
      </c>
      <c r="LA4" s="2">
        <f>-0.0216349513119002*(1)</f>
        <v>-2.16349513119002E-2</v>
      </c>
      <c r="LB4" s="2">
        <f>0.00187281508125247*(1)</f>
        <v>1.8728150812524699E-3</v>
      </c>
      <c r="LC4" s="2">
        <f>0.742097039693325*(1)</f>
        <v>0.74209703969332497</v>
      </c>
      <c r="LD4" s="2">
        <f>0.57041609224841*(1)</f>
        <v>0.57041609224840994</v>
      </c>
      <c r="LE4" s="2">
        <f>0.757823263709224*(1)</f>
        <v>0.75782326370922404</v>
      </c>
      <c r="LF4" s="2">
        <f>0.707823597681502*(1)</f>
        <v>0.70782359768150205</v>
      </c>
      <c r="LG4" s="2">
        <f>0.0097575110248563*(1)</f>
        <v>9.7575110248562993E-3</v>
      </c>
      <c r="LH4" s="2">
        <f>0.866134288122646*(1)</f>
        <v>0.86613428812264603</v>
      </c>
      <c r="LI4" s="2">
        <f>1.02570785026118*(1)</f>
        <v>1.0257078502611801</v>
      </c>
      <c r="LJ4" s="2">
        <f>0.157558242878362*(1)</f>
        <v>0.15755824287836201</v>
      </c>
      <c r="LK4" s="2">
        <f>-0.217236080977183*(1)</f>
        <v>-0.217236080977183</v>
      </c>
      <c r="LL4" s="2">
        <f>-0.292884535959741*(1)</f>
        <v>-0.29288453595974101</v>
      </c>
      <c r="LM4" s="2">
        <f>0.283954205359533*(1)</f>
        <v>0.28395420535953297</v>
      </c>
      <c r="LN4" s="2">
        <f>-0.671677314265744*(1)</f>
        <v>-0.67167731426574395</v>
      </c>
      <c r="LO4" s="2">
        <f>0.166248800147322*(1)</f>
        <v>0.16624880014732199</v>
      </c>
      <c r="LP4" s="2">
        <f>0.296428851205289*(1)</f>
        <v>0.296428851205289</v>
      </c>
      <c r="LQ4" s="2">
        <f>0.437473045740013*(1)</f>
        <v>0.437473045740013</v>
      </c>
      <c r="LR4" s="2">
        <f>0.15065641588496*(1)</f>
        <v>0.15065641588496001</v>
      </c>
      <c r="LS4" s="2">
        <f>-0.110047049381883*(1)</f>
        <v>-0.11004704938188301</v>
      </c>
      <c r="LT4" s="2">
        <f>0.421821917883777*(1)</f>
        <v>0.42182191788377699</v>
      </c>
      <c r="LU4" s="2">
        <f>0.300781949239644*(1)</f>
        <v>0.30078194923964402</v>
      </c>
      <c r="LV4" s="2">
        <f>0.555605680851687*(1)</f>
        <v>0.55560568085168704</v>
      </c>
      <c r="LW4" s="2">
        <f>0.342809228635499*(1)</f>
        <v>0.34280922863549901</v>
      </c>
      <c r="LX4" s="2">
        <f>0.659052843840018*(1)</f>
        <v>0.65905284384001805</v>
      </c>
      <c r="LY4" s="2">
        <f>-0.0736251995628962*(1)</f>
        <v>-7.3625199562896204E-2</v>
      </c>
      <c r="LZ4" s="2">
        <f>-1.12013993834792*(1)</f>
        <v>-1.12013993834792</v>
      </c>
      <c r="MA4" s="2">
        <f>-0.989573077721095*(1)</f>
        <v>-0.98957307772109504</v>
      </c>
      <c r="MB4" s="2">
        <f>0.397331000405319*(1)</f>
        <v>0.39733100040531899</v>
      </c>
      <c r="MC4" s="2">
        <f>-0.752717270328517*(1)</f>
        <v>-0.75271727032851699</v>
      </c>
      <c r="MD4" s="2">
        <f>0.419446969555968*(1)</f>
        <v>0.419446969555968</v>
      </c>
      <c r="ME4" s="2">
        <f>0.360097553641385*(1)</f>
        <v>0.36009755364138502</v>
      </c>
      <c r="MF4" s="2">
        <f>-0.017196905819697*(1)</f>
        <v>-1.7196905819697E-2</v>
      </c>
      <c r="MG4" s="2">
        <f>-0.186277646799759*(1)</f>
        <v>-0.186277646799759</v>
      </c>
      <c r="MH4" s="2">
        <f>-0.104432963017402*(1)</f>
        <v>-0.104432963017402</v>
      </c>
      <c r="MI4" s="2">
        <f>0.691965831211728*(1)</f>
        <v>0.69196583121172806</v>
      </c>
      <c r="MJ4" s="2">
        <f>0.266814298314826*(1)</f>
        <v>0.266814298314826</v>
      </c>
      <c r="MK4" s="2">
        <f>0.69246870940454*(1)</f>
        <v>0.69246870940453997</v>
      </c>
      <c r="ML4" s="2">
        <f>-0.227128899460791*(1)</f>
        <v>-0.22712889946079101</v>
      </c>
      <c r="MM4" s="2">
        <f>-0.567399511947777*(1)</f>
        <v>-0.56739951194777705</v>
      </c>
      <c r="MN4" s="2">
        <f>0.0785183217338486*(1)</f>
        <v>7.8518321733848595E-2</v>
      </c>
      <c r="MO4" s="2">
        <f>-0.225986233942529*(1)</f>
        <v>-0.22598623394252901</v>
      </c>
      <c r="MP4" s="2">
        <f>-0.052857246336786*(1)</f>
        <v>-5.2857246336785998E-2</v>
      </c>
      <c r="MQ4" s="2">
        <f>0.23029642876662*(1)</f>
        <v>0.23029642876661999</v>
      </c>
      <c r="MR4" s="2">
        <f>0.0240972983349448*(1)</f>
        <v>2.4097298334944801E-2</v>
      </c>
      <c r="MS4" s="2">
        <f>-0.297783673777343*(1)</f>
        <v>-0.29778367377734299</v>
      </c>
      <c r="MT4" s="2">
        <f>0.189313239567437*(1)</f>
        <v>0.18931323956743701</v>
      </c>
      <c r="MU4" s="2">
        <f>0.563952630611328*(1)</f>
        <v>0.56395263061132805</v>
      </c>
      <c r="MV4" s="2">
        <f>-0.375225368484052*(1)</f>
        <v>-0.37522536848405202</v>
      </c>
      <c r="MW4" s="2">
        <f>0.597439137399123*(1)</f>
        <v>0.59743913739912302</v>
      </c>
      <c r="MX4" s="2">
        <f>-1.16313341520436*(1)</f>
        <v>-1.16313341520436</v>
      </c>
      <c r="MY4" s="2">
        <f>0.0207780401331942*(1)</f>
        <v>2.07780401331942E-2</v>
      </c>
      <c r="MZ4" s="2">
        <f>-0.711134589195556*(1)</f>
        <v>-0.71113458919555605</v>
      </c>
      <c r="NA4" s="2">
        <f>0.215585892866813*(1)</f>
        <v>0.21558589286681301</v>
      </c>
      <c r="NB4" s="2">
        <f>0.311789798957233*(1)</f>
        <v>0.31178979895723302</v>
      </c>
      <c r="NC4" s="2">
        <f>0.372021387111215*(1)</f>
        <v>0.37202138711121502</v>
      </c>
      <c r="ND4" s="2">
        <f>-0.168584845689595*(1)</f>
        <v>-0.168584845689595</v>
      </c>
      <c r="NE4" s="2">
        <f>-0.386382754015901*(1)</f>
        <v>-0.386382754015901</v>
      </c>
      <c r="NF4" s="2">
        <f>0.420748401867445*(1)</f>
        <v>0.420748401867445</v>
      </c>
      <c r="NG4" s="2">
        <f>-0.0578051392189413*(1)</f>
        <v>-5.7805139218941301E-2</v>
      </c>
      <c r="NH4" s="2">
        <f>0.631942967354432*(1)</f>
        <v>0.63194296735443201</v>
      </c>
      <c r="NI4" s="2">
        <f>0.026642836294339*(1)</f>
        <v>2.6642836294339001E-2</v>
      </c>
      <c r="NJ4" s="2">
        <f>-0.925788287121231*(1)</f>
        <v>-0.92578828712123096</v>
      </c>
      <c r="NK4" s="2">
        <f>1.09124677656813*(1)</f>
        <v>1.09124677656813</v>
      </c>
      <c r="NL4" s="2">
        <f>0.656617334812864*(1)</f>
        <v>0.656617334812864</v>
      </c>
      <c r="NM4" s="2">
        <f>0.142722617783365*(1)</f>
        <v>0.14272261778336501</v>
      </c>
      <c r="NN4" s="2">
        <f>-0.504755460598729*(1)</f>
        <v>-0.504755460598729</v>
      </c>
      <c r="NO4" s="2">
        <f>-0.130981913282786*(1)</f>
        <v>-0.13098191328278599</v>
      </c>
      <c r="NP4" s="2">
        <f>0.606151545420004*(1)</f>
        <v>0.60615154542000405</v>
      </c>
      <c r="NQ4" s="2">
        <f>-0.0733272892871063*(1)</f>
        <v>-7.3327289287106301E-2</v>
      </c>
      <c r="NR4" s="2">
        <f>0.212216812107749*(1)</f>
        <v>0.21221681210774901</v>
      </c>
      <c r="NS4" s="2">
        <f>-0.0999299649699035*(1)</f>
        <v>-9.9929964969903501E-2</v>
      </c>
      <c r="NT4" s="2">
        <f>0.80569973282034*(1)</f>
        <v>0.80569973282034002</v>
      </c>
      <c r="NU4" s="2">
        <f>0.57511896962577*(1)</f>
        <v>0.57511896962577003</v>
      </c>
      <c r="NV4" s="2">
        <f>0.278719773910744*(1)</f>
        <v>0.27871977391074398</v>
      </c>
      <c r="NW4" s="2">
        <f>0.00106750086267611*(1)</f>
        <v>1.0675008626761101E-3</v>
      </c>
      <c r="NX4" s="2">
        <f>0.48963238433426*(1)</f>
        <v>0.48963238433425998</v>
      </c>
      <c r="NY4" s="2">
        <f>-0.434843918215415*(1)</f>
        <v>-0.43484391821541502</v>
      </c>
      <c r="NZ4" s="2">
        <f>-0.510532834649026*(1)</f>
        <v>-0.51053283464902599</v>
      </c>
      <c r="OA4" s="2">
        <f>0.0100300767017283*(1)</f>
        <v>1.0030076701728299E-2</v>
      </c>
      <c r="OB4" s="2">
        <f>-0.0654547909717651*(1)</f>
        <v>-6.5454790971765098E-2</v>
      </c>
      <c r="OC4" s="2">
        <f>1.61979406442429*(1)</f>
        <v>1.6197940644242901</v>
      </c>
      <c r="OD4" s="2">
        <f>0.17003601915388*(1)</f>
        <v>0.17003601915388</v>
      </c>
      <c r="OE4" s="2">
        <f>0.141371439101506*(1)</f>
        <v>0.14137143910150601</v>
      </c>
      <c r="OF4" s="2">
        <f>0.824012442188495*(1)</f>
        <v>0.82401244218849501</v>
      </c>
      <c r="OG4" s="2">
        <f>-0.381033692861877*(1)</f>
        <v>-0.38103369286187699</v>
      </c>
      <c r="OH4" s="2">
        <f>-0.510578325647838*(1)</f>
        <v>-0.510578325647838</v>
      </c>
      <c r="OI4" s="2">
        <f>-1.10654276242899*(1)</f>
        <v>-1.1065427624289901</v>
      </c>
      <c r="OJ4" s="2">
        <f>-0.0575849778656164*(1)</f>
        <v>-5.75849778656164E-2</v>
      </c>
      <c r="OK4" s="2">
        <f>0.0402872409408618*(1)</f>
        <v>4.02872409408618E-2</v>
      </c>
      <c r="OL4" s="2">
        <f>0.664346035250483*(1)</f>
        <v>0.66434603525048297</v>
      </c>
      <c r="OM4" s="2">
        <f>-0.0686244164028637*(1)</f>
        <v>-6.8624416402863694E-2</v>
      </c>
      <c r="ON4" s="2">
        <f>-0.0431311634556327*(1)</f>
        <v>-4.3131163455632698E-2</v>
      </c>
      <c r="OO4" s="2">
        <f>0.249102002649168*(1)</f>
        <v>0.24910200264916799</v>
      </c>
      <c r="OP4" s="2">
        <f>-0.390819020292209*(1)</f>
        <v>-0.390819020292209</v>
      </c>
      <c r="OQ4" s="2">
        <f>0.499341790999299*(1)</f>
        <v>0.49934179099929898</v>
      </c>
      <c r="OR4" s="2">
        <f>0.00143613198591456*(1)</f>
        <v>1.4361319859145601E-3</v>
      </c>
      <c r="OS4" s="2">
        <f>-0.533437950048301*(1)</f>
        <v>-0.53343795004830097</v>
      </c>
      <c r="OT4" s="2">
        <f>-0.739087069100884*(1)</f>
        <v>-0.73908706910088395</v>
      </c>
      <c r="OU4" s="2">
        <f>-0.653090477026027*(1)</f>
        <v>-0.65309047702602696</v>
      </c>
      <c r="OV4" s="2">
        <f>-0.3065772505459*(1)</f>
        <v>-0.30657725054590002</v>
      </c>
      <c r="OW4" s="2">
        <f>0.195848612436724*(1)</f>
        <v>0.195848612436724</v>
      </c>
      <c r="OX4" s="2">
        <f>0.616824033837595*(1)</f>
        <v>0.61682403383759499</v>
      </c>
      <c r="OY4" s="2">
        <f>-0.677608196079495*(1)</f>
        <v>-0.67760819607949496</v>
      </c>
      <c r="OZ4" s="2">
        <f>-0.368758706117627*(1)</f>
        <v>-0.36875870611762701</v>
      </c>
      <c r="PA4" s="2">
        <f>0.806635013327605*(1)</f>
        <v>0.80663501332760501</v>
      </c>
      <c r="PB4" s="2">
        <f>-0.762158158106457*(1)</f>
        <v>-0.76215815810645704</v>
      </c>
      <c r="PC4" s="2">
        <f>-0.365961097265155*(1)</f>
        <v>-0.36596109726515502</v>
      </c>
      <c r="PD4" s="2">
        <f>0.883328404584734*(1)</f>
        <v>0.88332840458473405</v>
      </c>
      <c r="PE4" s="2">
        <f>-0.357575181324389*(1)</f>
        <v>-0.35757518132438898</v>
      </c>
      <c r="PF4" s="2">
        <f>-0.261224386430299*(1)</f>
        <v>-0.26122438643029899</v>
      </c>
      <c r="PG4" s="2">
        <f>0.118090321585992*(1)</f>
        <v>0.118090321585992</v>
      </c>
      <c r="PH4" s="2">
        <f>0.484538861642263*(1)</f>
        <v>0.48453886164226301</v>
      </c>
      <c r="PI4" s="2">
        <f>-0.437918685103042*(1)</f>
        <v>-0.43791868510304199</v>
      </c>
      <c r="PJ4" s="2">
        <f>-0.390204230801573*(1)</f>
        <v>-0.39020423080157302</v>
      </c>
      <c r="PK4" s="2">
        <f>0.130807336480547*(1)</f>
        <v>0.13080733648054699</v>
      </c>
      <c r="PL4" s="2">
        <f>0.50690953298411*(1)</f>
        <v>0.50690953298411001</v>
      </c>
      <c r="PM4" s="2">
        <f>-0.0216264631142633*(1)</f>
        <v>-2.1626463114263299E-2</v>
      </c>
      <c r="PN4" s="2">
        <f>0.553031951466147*(1)</f>
        <v>0.55303195146614703</v>
      </c>
      <c r="PO4" s="2">
        <f>0.277833756612576*(1)</f>
        <v>0.27783375661257598</v>
      </c>
      <c r="PP4" s="2">
        <f>-0.412770232957753*(1)</f>
        <v>-0.412770232957753</v>
      </c>
      <c r="PQ4" s="2">
        <f>-0.0980789256037697*(1)</f>
        <v>-9.8078925603769698E-2</v>
      </c>
      <c r="PR4" s="2">
        <f>-0.0613566492616813*(1)</f>
        <v>-6.1356649261681301E-2</v>
      </c>
      <c r="PS4" s="2">
        <f>0.277034249688112*(1)</f>
        <v>0.27703424968811202</v>
      </c>
      <c r="PT4" s="2">
        <f>-0.437061646922284*(1)</f>
        <v>-0.437061646922284</v>
      </c>
      <c r="PU4" s="2">
        <f>0.443965363539234*(1)</f>
        <v>0.44396536353923399</v>
      </c>
      <c r="PV4" s="2">
        <f>-0.472980973503698*(1)</f>
        <v>-0.472980973503698</v>
      </c>
      <c r="PW4" s="2">
        <f>0.486763980213151*(1)</f>
        <v>0.48676398021315098</v>
      </c>
      <c r="PX4" s="2">
        <f>-0.644304537313381*(1)</f>
        <v>-0.644304537313381</v>
      </c>
      <c r="PY4" s="2">
        <f>-0.207996043637172*(1)</f>
        <v>-0.207996043637172</v>
      </c>
      <c r="PZ4" s="2">
        <f>0.665408112956549*(1)</f>
        <v>0.665408112956549</v>
      </c>
      <c r="QA4" s="2">
        <f>0.448697725922527*(1)</f>
        <v>0.44869772592252699</v>
      </c>
      <c r="QB4" s="2">
        <f>0.0315213192557011*(1)</f>
        <v>3.1521319255701098E-2</v>
      </c>
      <c r="QC4" s="2">
        <f>-0.0437714064756819*(1)</f>
        <v>-4.3771406475681902E-2</v>
      </c>
      <c r="QD4" s="2">
        <f>-0.347767107320133*(1)</f>
        <v>-0.347767107320133</v>
      </c>
      <c r="QE4" s="2">
        <f>0.228061843825827*(1)</f>
        <v>0.228061843825827</v>
      </c>
      <c r="QF4" s="2">
        <f>-1.05303717841215*(1)</f>
        <v>-1.0530371784121499</v>
      </c>
      <c r="QG4" s="2">
        <f>-0.175213236575762*(1)</f>
        <v>-0.17521323657576199</v>
      </c>
      <c r="QH4" s="2">
        <f>0.935394337776526*(1)</f>
        <v>0.93539433777652603</v>
      </c>
      <c r="QI4" s="2">
        <f>-0.391406240500525*(1)</f>
        <v>-0.39140624050052503</v>
      </c>
      <c r="QJ4" s="2">
        <f>-0.00595976500176977*(1)</f>
        <v>-5.9597650017697698E-3</v>
      </c>
      <c r="QK4" s="2">
        <f>-0.0758839526002921*(1)</f>
        <v>-7.5883952600292098E-2</v>
      </c>
      <c r="QL4" s="2">
        <f>-0.101584477527549*(1)</f>
        <v>-0.101584477527549</v>
      </c>
      <c r="QM4" s="2">
        <f>0.388906901417296*(1)</f>
        <v>0.388906901417296</v>
      </c>
      <c r="QN4" s="2">
        <f>-0.427433631647379*(1)</f>
        <v>-0.42743363164737902</v>
      </c>
      <c r="QO4" s="2">
        <f>-0.0980154209538433*(1)</f>
        <v>-9.8015420953843302E-2</v>
      </c>
      <c r="QP4" s="2">
        <f>0.447026111238965*(1)</f>
        <v>0.44702611123896502</v>
      </c>
      <c r="QQ4" s="2">
        <f>0.402191390855826*(1)</f>
        <v>0.402191390855826</v>
      </c>
      <c r="QR4" s="2">
        <f>-0.310824014673844*(1)</f>
        <v>-0.31082401467384402</v>
      </c>
      <c r="QS4" s="2">
        <f>-0.233177841132391*(1)</f>
        <v>-0.23317784113239101</v>
      </c>
      <c r="QT4" s="2">
        <f>0.359788320670052*(1)</f>
        <v>0.35978832067005201</v>
      </c>
      <c r="QU4" s="2">
        <f>0.176429926881064*(1)</f>
        <v>0.17642992688106399</v>
      </c>
      <c r="QV4" s="2">
        <f>-0.285942327790233*(1)</f>
        <v>-0.28594232779023299</v>
      </c>
      <c r="QW4" s="2">
        <f>-1.08624899780232*(1)</f>
        <v>-1.08624899780232</v>
      </c>
      <c r="QX4" s="2">
        <f>0.00567178239483046*(1)</f>
        <v>5.6717823948304602E-3</v>
      </c>
      <c r="QY4" s="2">
        <f>0.377437953043204*(1)</f>
        <v>0.37743795304320399</v>
      </c>
      <c r="QZ4" s="2">
        <f>1.04243676297707*(1)</f>
        <v>1.0424367629770701</v>
      </c>
      <c r="RA4" s="2">
        <f>0.166127608319218*(1)</f>
        <v>0.166127608319218</v>
      </c>
      <c r="RB4" s="2">
        <f>-0.19990198847682*(1)</f>
        <v>-0.19990198847682</v>
      </c>
      <c r="RC4" s="2">
        <f>-0.0468373389942903*(1)</f>
        <v>-4.6837338994290302E-2</v>
      </c>
      <c r="RD4" s="2">
        <f>0.146548877507247*(1)</f>
        <v>0.14654887750724699</v>
      </c>
      <c r="RE4" s="2">
        <f>-0.137743905503155*(1)</f>
        <v>-0.13774390550315499</v>
      </c>
      <c r="RF4" s="2">
        <f>0.341560286260691*(1)</f>
        <v>0.34156028626069102</v>
      </c>
      <c r="RG4" s="2">
        <f>-0.037376662119562*(1)</f>
        <v>-3.7376662119561997E-2</v>
      </c>
      <c r="RH4" s="2">
        <f>-0.766263224497541*(1)</f>
        <v>-0.76626322449754103</v>
      </c>
      <c r="RI4" s="2">
        <f>1.46894846797279*(1)</f>
        <v>1.46894846797279</v>
      </c>
      <c r="RJ4" s="2">
        <f>0.539097233334548*(1)</f>
        <v>0.53909723333454795</v>
      </c>
      <c r="RK4" s="2">
        <f>-0.48811179971407*(1)</f>
        <v>-0.48811179971406998</v>
      </c>
      <c r="RL4" s="2">
        <f>1.48308431218355*(1)</f>
        <v>1.48308431218355</v>
      </c>
      <c r="RM4" s="2">
        <f>0.00387221106817903*(1)</f>
        <v>3.8722110681790301E-3</v>
      </c>
      <c r="RN4" s="2">
        <f>0.191211723647729*(1)</f>
        <v>0.19121172364772901</v>
      </c>
      <c r="RO4" s="2">
        <f>0.616231069814926*(1)</f>
        <v>0.61623106981492604</v>
      </c>
      <c r="RP4" s="2">
        <f>0.046234913635624*(1)</f>
        <v>4.6234913635624E-2</v>
      </c>
      <c r="RQ4" s="2">
        <f>-0.176750810256785*(1)</f>
        <v>-0.17675081025678499</v>
      </c>
      <c r="RR4" s="2">
        <f>0.117426247565195*(1)</f>
        <v>0.117426247565195</v>
      </c>
      <c r="RS4" s="2">
        <f>0.145058935980505*(1)</f>
        <v>0.14505893598050501</v>
      </c>
      <c r="RT4" s="2">
        <f>-0.465101714449244*(1)</f>
        <v>-0.46510171444924397</v>
      </c>
      <c r="RU4" s="2">
        <f>-0.527145816726649*(1)</f>
        <v>-0.52714581672664895</v>
      </c>
      <c r="RV4" s="2">
        <f>-0.38793242987434*(1)</f>
        <v>-0.38793242987434001</v>
      </c>
      <c r="RW4" s="2">
        <f>0.246836058541612*(1)</f>
        <v>0.246836058541612</v>
      </c>
      <c r="RX4" s="2">
        <f>0.236513740672321*(1)</f>
        <v>0.236513740672321</v>
      </c>
      <c r="RY4" s="2">
        <f>0.472699480961762*(1)</f>
        <v>0.47269948096176201</v>
      </c>
      <c r="RZ4" s="2">
        <f>-0.495010120385944*(1)</f>
        <v>-0.495010120385944</v>
      </c>
      <c r="SA4" s="2">
        <f>0.1583805059957*(1)</f>
        <v>0.1583805059957</v>
      </c>
      <c r="SB4" s="2">
        <f>0.396219024245308*(1)</f>
        <v>0.39621902424530803</v>
      </c>
      <c r="SC4" s="2">
        <f>-0.574562171759697*(1)</f>
        <v>-0.57456217175969704</v>
      </c>
      <c r="SD4" s="2">
        <f>-0.251365429244593*(1)</f>
        <v>-0.25136542924459299</v>
      </c>
      <c r="SE4" s="2">
        <f>1.38151296356049*(1)</f>
        <v>1.3815129635604899</v>
      </c>
      <c r="SF4" s="2">
        <f>-0.478617589339971*(1)</f>
        <v>-0.47861758933997101</v>
      </c>
      <c r="SG4" s="2">
        <f>-1.23479791504617*(1)</f>
        <v>-1.2347979150461701</v>
      </c>
      <c r="SH4" s="2">
        <f>-0.0159231388354734*(1)</f>
        <v>-1.5923138835473399E-2</v>
      </c>
      <c r="SI4" s="2">
        <f>-0.129905876449108*(1)</f>
        <v>-0.129905876449108</v>
      </c>
      <c r="SJ4" s="2">
        <f>0.528555700620162*(1)</f>
        <v>0.52855570062016199</v>
      </c>
      <c r="SK4" s="2">
        <f>0.292114251221464*(1)</f>
        <v>0.29211425122146401</v>
      </c>
      <c r="SL4" s="2">
        <f>-0.431589329172364*(1)</f>
        <v>-0.43158932917236398</v>
      </c>
      <c r="SM4" s="2">
        <f>-0.345106424520928*(1)</f>
        <v>-0.34510642452092799</v>
      </c>
      <c r="SN4" s="2">
        <f>-0.123849192636506*(1)</f>
        <v>-0.123849192636506</v>
      </c>
      <c r="SO4" s="2">
        <f>-0.274556244978439*(1)</f>
        <v>-0.274556244978439</v>
      </c>
      <c r="SP4" s="2">
        <f>0.43568918182037*(1)</f>
        <v>0.43568918182036998</v>
      </c>
      <c r="SQ4" s="2">
        <f>0.042023450811438*(1)</f>
        <v>4.2023450811437997E-2</v>
      </c>
      <c r="SR4" s="2">
        <f>-0.422755566303799*(1)</f>
        <v>-0.42275556630379901</v>
      </c>
      <c r="SS4" s="2">
        <f>0.109955790307555*(1)</f>
        <v>0.10995579030755501</v>
      </c>
      <c r="ST4" s="2">
        <f>0.23389125743554*(1)</f>
        <v>0.23389125743554001</v>
      </c>
      <c r="SU4" s="2">
        <f>0.233185884420953*(1)</f>
        <v>0.233185884420953</v>
      </c>
      <c r="SV4" s="2">
        <f>-0.271761234517423*(1)</f>
        <v>-0.27176123451742301</v>
      </c>
      <c r="SW4" s="2">
        <f>-0.261811326976339*(1)</f>
        <v>-0.26181132697633902</v>
      </c>
      <c r="SX4" s="2">
        <f>-0.508576462771162*(1)</f>
        <v>-0.50857646277116197</v>
      </c>
      <c r="SY4" s="2">
        <f>0.403386886745267*(1)</f>
        <v>0.40338688674526701</v>
      </c>
      <c r="SZ4" s="2">
        <f>-0.777359886383735*(1)</f>
        <v>-0.77735988638373499</v>
      </c>
      <c r="TA4" s="2">
        <f>-0.0035189869169228*(1)</f>
        <v>-3.5189869169227998E-3</v>
      </c>
      <c r="TB4" s="2">
        <f>0.385166496169485*(1)</f>
        <v>0.38516649616948501</v>
      </c>
      <c r="TC4" s="2">
        <f>0.514203773212232*(1)</f>
        <v>0.51420377321223198</v>
      </c>
      <c r="TD4" s="2">
        <f>0.0661451039890788*(1)</f>
        <v>6.6145103989078802E-2</v>
      </c>
      <c r="TE4" s="2">
        <f>0.82759816479608*(1)</f>
        <v>0.82759816479607995</v>
      </c>
      <c r="TF4" s="2">
        <f>-0.719073207801651*(1)</f>
        <v>-0.71907320780165096</v>
      </c>
      <c r="TG4" s="2">
        <f>0.720217116146068*(1)</f>
        <v>0.72021711614606798</v>
      </c>
      <c r="TH4" s="2">
        <f>-0.840662849340915*(1)</f>
        <v>-0.84066284934091495</v>
      </c>
      <c r="TI4" s="2">
        <f>0.548407453939384*(1)</f>
        <v>0.54840745393938395</v>
      </c>
      <c r="TJ4" s="2">
        <f>-0.238187501179456*(1)</f>
        <v>-0.238187501179456</v>
      </c>
      <c r="TK4" s="2">
        <f>-0.238200948177134*(1)</f>
        <v>-0.238200948177134</v>
      </c>
      <c r="TL4" s="2">
        <f>-0.424104985298088*(1)</f>
        <v>-0.42410498529808799</v>
      </c>
      <c r="TM4" s="2">
        <f>0.634086569909529*(1)</f>
        <v>0.63408656990952905</v>
      </c>
      <c r="TN4" s="2">
        <f>-0.717736021268401*(1)</f>
        <v>-0.71773602126840097</v>
      </c>
      <c r="TO4" s="2">
        <f>-0.392817760085008*(1)</f>
        <v>-0.39281776008500802</v>
      </c>
      <c r="TP4" s="2">
        <f>-0.173497469282687*(1)</f>
        <v>-0.173497469282687</v>
      </c>
      <c r="TQ4" s="2">
        <f>-0.739512489381069*(1)</f>
        <v>-0.73951248938106895</v>
      </c>
      <c r="TR4" s="2">
        <f>-0.330966966494695*(1)</f>
        <v>-0.33096696649469498</v>
      </c>
      <c r="TS4" s="2">
        <f>0.126852883268374*(1)</f>
        <v>0.12685288326837399</v>
      </c>
      <c r="TT4" s="2">
        <f>1.56112862863084*(1)</f>
        <v>1.5611286286308399</v>
      </c>
      <c r="TU4" s="2">
        <f>-0.193919928308596*(1)</f>
        <v>-0.193919928308596</v>
      </c>
      <c r="TV4" s="2">
        <f>0.446985703513569*(1)</f>
        <v>0.44698570351356898</v>
      </c>
      <c r="TW4" s="2">
        <f>0.167016051008615*(1)</f>
        <v>0.167016051008615</v>
      </c>
      <c r="TX4" s="2">
        <f>-1.17263055344831*(1)</f>
        <v>-1.1726305534483099</v>
      </c>
      <c r="TY4" s="2">
        <f>0.879651554256087*(1)</f>
        <v>0.87965155425608699</v>
      </c>
      <c r="TZ4" s="2">
        <f>-0.439888668498057*(1)</f>
        <v>-0.43988866849805702</v>
      </c>
      <c r="UA4" s="2">
        <f>-0.568045950373241*(1)</f>
        <v>-0.56804595037324102</v>
      </c>
      <c r="UB4" s="2">
        <f>0.207380289066291*(1)</f>
        <v>0.207380289066291</v>
      </c>
      <c r="UC4" s="2">
        <f>-0.563066438216239*(1)</f>
        <v>-0.56306643821623903</v>
      </c>
      <c r="UD4" s="2">
        <f>0.0975746877751503*(1)</f>
        <v>9.7574687775150298E-2</v>
      </c>
      <c r="UE4" s="2">
        <f>0.0530722259259177*(1)</f>
        <v>5.3072225925917697E-2</v>
      </c>
      <c r="UF4" s="2">
        <f>-0.293518830948565*(1)</f>
        <v>-0.29351883094856501</v>
      </c>
      <c r="UG4" s="2">
        <f>0.108522632009985*(1)</f>
        <v>0.10852263200998501</v>
      </c>
      <c r="UH4" s="2">
        <f>0.30830431851653*(1)</f>
        <v>0.30830431851653001</v>
      </c>
      <c r="UI4" s="2">
        <f>0.454489632225655*(1)</f>
        <v>0.45448963222565503</v>
      </c>
      <c r="UJ4" s="2">
        <f>-0.662652095662745*(1)</f>
        <v>-0.66265209566274497</v>
      </c>
      <c r="UK4" s="2">
        <f>-0.930048971506032*(1)</f>
        <v>-0.93004897150603205</v>
      </c>
      <c r="UL4" s="2">
        <f>0.211741528796945*(1)</f>
        <v>0.21174152879694499</v>
      </c>
      <c r="UM4" s="2">
        <f>0.248221041734686*(1)</f>
        <v>0.24822104173468601</v>
      </c>
      <c r="UN4" s="2">
        <f>0.711411608891872*(1)</f>
        <v>0.71141160889187205</v>
      </c>
      <c r="UO4" s="2">
        <f>-0.129442062838493*(1)</f>
        <v>-0.12944206283849299</v>
      </c>
      <c r="UP4" s="2">
        <f>0.875705938219879*(1)</f>
        <v>0.87570593821987897</v>
      </c>
      <c r="UQ4" s="2">
        <f>-1.21954786363006*(1)</f>
        <v>-1.2195478636300601</v>
      </c>
      <c r="UR4" s="2">
        <f>0.588564297417379*(1)</f>
        <v>0.58856429741737903</v>
      </c>
      <c r="US4" s="2">
        <f>-0.70138381476102*(1)</f>
        <v>-0.70138381476101996</v>
      </c>
      <c r="UT4" s="2">
        <f>0.960222577224584*(1)</f>
        <v>0.96022257722458404</v>
      </c>
      <c r="UU4" s="2">
        <f>1.506922130755*(1)</f>
        <v>1.506922130755</v>
      </c>
      <c r="UV4" s="2">
        <f>-0.219356162056285*(1)</f>
        <v>-0.219356162056285</v>
      </c>
      <c r="UW4" s="2">
        <f>-0.632423426036801*(1)</f>
        <v>-0.63242342603680102</v>
      </c>
      <c r="UX4" s="2">
        <f>-0.310090276301887*(1)</f>
        <v>-0.31009027630188701</v>
      </c>
      <c r="UY4" s="2">
        <f>0.154690950768471*(1)</f>
        <v>0.154690950768471</v>
      </c>
      <c r="UZ4" s="2">
        <f>-0.300309434038826*(1)</f>
        <v>-0.30030943403882598</v>
      </c>
      <c r="VA4" s="2">
        <f>-0.634086498159454*(1)</f>
        <v>-0.63408649815945395</v>
      </c>
      <c r="VB4" s="2">
        <f>-0.111778316037775*(1)</f>
        <v>-0.11177831603777499</v>
      </c>
      <c r="VC4" s="2">
        <f>0.982920233516426*(1)</f>
        <v>0.98292023351642599</v>
      </c>
      <c r="VD4" s="2">
        <f>0.370453537126359*(1)</f>
        <v>0.37045353712635898</v>
      </c>
      <c r="VE4" s="2">
        <f>-0.560995426439391*(1)</f>
        <v>-0.56099542643939104</v>
      </c>
      <c r="VF4" s="2">
        <f>-0.638065627838049*(1)</f>
        <v>-0.63806562783804899</v>
      </c>
      <c r="VG4" s="2">
        <f>0.497143685099714*(1)</f>
        <v>0.49714368509971402</v>
      </c>
      <c r="VH4" s="2">
        <f>-0.218332359654024*(1)</f>
        <v>-0.21833235965402401</v>
      </c>
      <c r="VI4" s="2">
        <f>-0.333121351050451*(1)</f>
        <v>-0.33312135105045099</v>
      </c>
      <c r="VJ4" s="2">
        <f>-0.784190535499074*(1)</f>
        <v>-0.78419053549907403</v>
      </c>
      <c r="VK4" s="2">
        <f>-0.0854011257030809*(1)</f>
        <v>-8.5401125703080893E-2</v>
      </c>
      <c r="VL4" s="2">
        <f>0.251244074785838*(1)</f>
        <v>0.25124407478583799</v>
      </c>
      <c r="VM4" s="2">
        <f>0.939655505256992*(1)</f>
        <v>0.93965550525699204</v>
      </c>
      <c r="VN4" s="2">
        <f>-0.416640031905793*(1)</f>
        <v>-0.41664003190579302</v>
      </c>
      <c r="VO4" s="2">
        <f>-0.0482108880529472*(1)</f>
        <v>-4.8210888052947203E-2</v>
      </c>
      <c r="VP4" s="2">
        <f>-0.286439301224265*(1)</f>
        <v>-0.28643930122426497</v>
      </c>
      <c r="VQ4" s="2">
        <f>-0.291422012321411*(1)</f>
        <v>-0.29142201232141102</v>
      </c>
      <c r="VR4" s="2">
        <f>0.232772353085246*(1)</f>
        <v>0.23277235308524599</v>
      </c>
      <c r="VS4" s="2">
        <f>0.266881851980007*(1)</f>
        <v>0.26688185198000702</v>
      </c>
      <c r="VT4" s="2">
        <f>-0.302423783221932*(1)</f>
        <v>-0.30242378322193197</v>
      </c>
      <c r="VU4" s="2">
        <f>0.713542501015195*(1)</f>
        <v>0.71354250101519501</v>
      </c>
      <c r="VV4" s="2">
        <f>-0.18495717013179*(1)</f>
        <v>-0.18495717013179</v>
      </c>
      <c r="VW4" s="2">
        <f>-0.163684475740615*(1)</f>
        <v>-0.16368447574061501</v>
      </c>
      <c r="VX4" s="2">
        <f>0.18178232134142*(1)</f>
        <v>0.18178232134142</v>
      </c>
      <c r="VY4" s="2">
        <f>0.316189012953795*(1)</f>
        <v>0.31618901295379498</v>
      </c>
      <c r="VZ4" s="2">
        <f>-1.03706753525256*(1)</f>
        <v>-1.03706753525256</v>
      </c>
      <c r="WA4" s="2">
        <f>-0.118492514746655*(1)</f>
        <v>-0.11849251474665499</v>
      </c>
      <c r="WB4" s="2">
        <f>0.124548780792711*(1)</f>
        <v>0.12454878079271101</v>
      </c>
      <c r="WC4" s="2">
        <f>-0.354419922638265*(1)</f>
        <v>-0.35441992263826499</v>
      </c>
      <c r="WD4" s="2">
        <f>-0.216810307295703*(1)</f>
        <v>-0.216810307295703</v>
      </c>
      <c r="WE4" s="2">
        <f>-0.00466987788228182*(1)</f>
        <v>-4.6698778822818199E-3</v>
      </c>
      <c r="WF4" s="2">
        <f>1.18191603673835*(1)</f>
        <v>1.1819160367383501</v>
      </c>
      <c r="WG4" s="2">
        <f>-0.407091177631866*(1)</f>
        <v>-0.40709117763186597</v>
      </c>
      <c r="WH4" s="2">
        <f>-1.87578051960992*(1)</f>
        <v>-1.87578051960992</v>
      </c>
      <c r="WI4" s="2">
        <f>-0.539939875025066*(1)</f>
        <v>-0.53993987502506602</v>
      </c>
      <c r="WJ4" s="2">
        <f>-0.00060888860506747*(1)</f>
        <v>-6.0888860506747001E-4</v>
      </c>
      <c r="WK4" s="2">
        <f>-0.157018547195465*(1)</f>
        <v>-0.15701854719546501</v>
      </c>
      <c r="WL4" s="2">
        <f>0.00613428885718677*(1)</f>
        <v>6.1342888571867702E-3</v>
      </c>
      <c r="WM4" s="2">
        <f>0.343637379276913*(1)</f>
        <v>0.34363737927691301</v>
      </c>
      <c r="WN4" s="2">
        <f>-0.0750448021509419*(1)</f>
        <v>-7.5044802150941906E-2</v>
      </c>
      <c r="WO4" s="2">
        <f>-0.298412882786389*(1)</f>
        <v>-0.298412882786389</v>
      </c>
      <c r="WP4" s="2">
        <f>0.159918310874975*(1)</f>
        <v>0.15991831087497499</v>
      </c>
      <c r="WQ4" s="2">
        <f>-0.356607639676423*(1)</f>
        <v>-0.356607639676423</v>
      </c>
      <c r="WR4" s="2">
        <f>0.323246751790663*(1)</f>
        <v>0.32324675179066298</v>
      </c>
      <c r="WS4" s="2">
        <f>-0.420065641734524*(1)</f>
        <v>-0.42006564173452399</v>
      </c>
      <c r="WT4" s="2">
        <f>0.726523087391085*(1)</f>
        <v>0.72652308739108495</v>
      </c>
      <c r="WU4" s="2">
        <f>-1.17219690040956*(1)</f>
        <v>-1.17219690040956</v>
      </c>
      <c r="WV4" s="2">
        <f>0.468150325672195*(1)</f>
        <v>0.468150325672195</v>
      </c>
      <c r="WW4" s="2">
        <f>0.340095937750288*(1)</f>
        <v>0.34009593775028801</v>
      </c>
      <c r="WX4" s="2">
        <f>0.301242830107305*(1)</f>
        <v>0.30124283010730502</v>
      </c>
      <c r="WY4" s="2">
        <f>0.429300074830955*(1)</f>
        <v>0.429300074830955</v>
      </c>
      <c r="WZ4" s="2">
        <f>-0.36192392332341*(1)</f>
        <v>-0.36192392332341</v>
      </c>
      <c r="XA4" s="2">
        <f>0.602729395946076*(1)</f>
        <v>0.602729395946076</v>
      </c>
      <c r="XB4" s="2">
        <f>0.313665346087466*(1)</f>
        <v>0.31366534608746599</v>
      </c>
      <c r="XC4" s="2">
        <f>0.298579049086727*(1)</f>
        <v>0.298579049086727</v>
      </c>
      <c r="XD4" s="2">
        <f>-0.901205424774327*(1)</f>
        <v>-0.90120542477432697</v>
      </c>
      <c r="XE4" s="2">
        <f>0.0146613863231947*(1)</f>
        <v>1.46613863231947E-2</v>
      </c>
      <c r="XF4" s="2">
        <f>0.16189139537762*(1)</f>
        <v>0.16189139537762001</v>
      </c>
      <c r="XG4" s="2">
        <f>-0.39276759450152*(1)</f>
        <v>-0.39276759450151999</v>
      </c>
      <c r="XH4" s="2">
        <f>0.0382469161461429*(1)</f>
        <v>3.8246916146142902E-2</v>
      </c>
      <c r="XI4" s="2">
        <f>-0.0505410765919543*(1)</f>
        <v>-5.0541076591954302E-2</v>
      </c>
      <c r="XJ4" s="2">
        <f>-0.555278082446942*(1)</f>
        <v>-0.55527808244694199</v>
      </c>
      <c r="XK4" s="2">
        <f>-0.52605255165204*(1)</f>
        <v>-0.52605255165204001</v>
      </c>
      <c r="XL4" s="2">
        <f>0.675537401453038*(1)</f>
        <v>0.67553740145303798</v>
      </c>
      <c r="XM4" s="2">
        <f>0.658295575928369*(1)</f>
        <v>0.65829557592836896</v>
      </c>
      <c r="XN4" s="2">
        <f>0.32297196199965*(1)</f>
        <v>0.32297196199965</v>
      </c>
      <c r="XO4" s="2">
        <f>0.0285368290289958*(1)</f>
        <v>2.8536829028995798E-2</v>
      </c>
      <c r="XP4" s="2">
        <f>0.335569718166875*(1)</f>
        <v>0.33556971816687498</v>
      </c>
      <c r="XQ4" s="2">
        <f>0.157115918352163*(1)</f>
        <v>0.15711591835216299</v>
      </c>
      <c r="XR4" s="2">
        <f>-0.0717245168621877*(1)</f>
        <v>-7.1724516862187698E-2</v>
      </c>
      <c r="XS4" s="2">
        <f>-0.0603490214902733*(1)</f>
        <v>-6.0349021490273297E-2</v>
      </c>
      <c r="XT4" s="2">
        <f>0.485842901671982*(1)</f>
        <v>0.48584290167198202</v>
      </c>
      <c r="XU4" s="2">
        <f>-0.531685706573285*(1)</f>
        <v>-0.53168570657328496</v>
      </c>
      <c r="XV4" s="2">
        <f>-0.487727527473975*(1)</f>
        <v>-0.48772752747397502</v>
      </c>
      <c r="XW4" s="2">
        <f>0.616608342199106*(1)</f>
        <v>0.61660834219910599</v>
      </c>
      <c r="XX4" s="2">
        <f>-0.612063465330646*(1)</f>
        <v>-0.61206346533064604</v>
      </c>
      <c r="XY4" s="2">
        <f>-0.218157806343204*(1)</f>
        <v>-0.218157806343204</v>
      </c>
      <c r="XZ4" s="2">
        <f>-0.103102673510401*(1)</f>
        <v>-0.10310267351040101</v>
      </c>
      <c r="YA4" s="2">
        <f>0.431735271111457*(1)</f>
        <v>0.43173527111145699</v>
      </c>
      <c r="YB4" s="2">
        <f>-0.376600709785441*(1)</f>
        <v>-0.37660070978544102</v>
      </c>
      <c r="YC4" s="2">
        <f>0.293893896262194*(1)</f>
        <v>0.29389389626219398</v>
      </c>
      <c r="YD4" s="2">
        <f>0.260046353331806*(1)</f>
        <v>0.26004635333180598</v>
      </c>
      <c r="YE4" s="2">
        <f>0.942862618525116*(1)</f>
        <v>0.94286261852511599</v>
      </c>
      <c r="YF4" s="2">
        <f>0.909481964587053*(1)</f>
        <v>0.90948196458705299</v>
      </c>
      <c r="YG4" s="2">
        <f>-0.750422413402881*(1)</f>
        <v>-0.75042241340288096</v>
      </c>
      <c r="YH4" s="2">
        <f>0.654543264836924*(1)</f>
        <v>0.65454326483692404</v>
      </c>
      <c r="YI4" s="2">
        <f>-0.131692559641037*(1)</f>
        <v>-0.13169255964103699</v>
      </c>
      <c r="YJ4" s="2">
        <f>2.10343370656446*(1)</f>
        <v>2.1034337065644602</v>
      </c>
      <c r="YK4" s="2">
        <f>-0.275752718677951*(1)</f>
        <v>-0.27575271867795098</v>
      </c>
      <c r="YL4" s="2">
        <f>-0.294116576214645*(1)</f>
        <v>-0.29411657621464499</v>
      </c>
      <c r="YM4" s="2">
        <f>0.531468763043177*(1)</f>
        <v>0.53146876304317703</v>
      </c>
      <c r="YN4" s="2">
        <f>-0.280355064530463*(1)</f>
        <v>-0.28035506453046299</v>
      </c>
      <c r="YO4" s="2">
        <f>-0.266159066711088*(1)</f>
        <v>-0.26615906671108802</v>
      </c>
      <c r="YP4" s="2">
        <f>-0.187527439084427*(1)</f>
        <v>-0.18752743908442701</v>
      </c>
      <c r="YQ4" s="2">
        <f>0.82357314346316*(1)</f>
        <v>0.82357314346316002</v>
      </c>
      <c r="YR4" s="2">
        <f>-0.0642088928479768*(1)</f>
        <v>-6.4208892847976803E-2</v>
      </c>
      <c r="YS4" s="2">
        <f>0.208916761197923*(1)</f>
        <v>0.20891676119792299</v>
      </c>
      <c r="YT4" s="2">
        <f>0.231379751090414*(1)</f>
        <v>0.231379751090414</v>
      </c>
      <c r="YU4" s="2">
        <f>-1.02535702037263*(1)</f>
        <v>-1.0253570203726301</v>
      </c>
      <c r="YV4" s="2">
        <f>0.472017413404096*(1)</f>
        <v>0.47201741340409598</v>
      </c>
      <c r="YW4" s="2">
        <f>-0.0363613272904419*(1)</f>
        <v>-3.6361327290441899E-2</v>
      </c>
      <c r="YX4" s="2">
        <f>0.719612927869775*(1)</f>
        <v>0.71961292786977504</v>
      </c>
      <c r="YY4" s="2">
        <f>-0.00729138266226314*(1)</f>
        <v>-7.2913826622631401E-3</v>
      </c>
      <c r="YZ4" s="2">
        <f>-0.619914588812373*(1)</f>
        <v>-0.61991458881237305</v>
      </c>
      <c r="ZA4" s="2">
        <f>1.68807239995723*(1)</f>
        <v>1.68807239995723</v>
      </c>
      <c r="ZB4" s="2">
        <f>-0.876337327885653*(1)</f>
        <v>-0.87633732788565299</v>
      </c>
      <c r="ZC4" s="2">
        <f>-0.209482598075074*(1)</f>
        <v>-0.20948259807507399</v>
      </c>
      <c r="ZD4" s="2">
        <f>-0.3463901013724*(1)</f>
        <v>-0.34639010137240001</v>
      </c>
      <c r="ZE4" s="2">
        <f>0.407610900379089*(1)</f>
        <v>0.40761090037908898</v>
      </c>
      <c r="ZF4" s="2">
        <f>0.580677651035761*(1)</f>
        <v>0.58067765103576097</v>
      </c>
      <c r="ZG4" s="2">
        <f>0.0895921796498712*(1)</f>
        <v>8.9592179649871206E-2</v>
      </c>
      <c r="ZH4" s="2">
        <f>0.184091327899684*(1)</f>
        <v>0.18409132789968399</v>
      </c>
      <c r="ZI4" s="2">
        <f>-0.106581178771072*(1)</f>
        <v>-0.106581178771072</v>
      </c>
      <c r="ZJ4" s="2">
        <f>-0.504589816761343*(1)</f>
        <v>-0.50458981676134296</v>
      </c>
      <c r="ZK4" s="2">
        <f>0.167046267485504*(1)</f>
        <v>0.167046267485504</v>
      </c>
      <c r="ZL4" s="2">
        <f>0.599054729079487*(1)</f>
        <v>0.59905472907948698</v>
      </c>
      <c r="ZM4" s="2">
        <f>0.432668650655824*(1)</f>
        <v>0.43266865065582399</v>
      </c>
      <c r="ZN4" s="2">
        <f>-0.178293378563693*(1)</f>
        <v>-0.17829337856369301</v>
      </c>
      <c r="ZO4" s="2">
        <f>-0.00950925320030849*(1)</f>
        <v>-9.5092532003084908E-3</v>
      </c>
      <c r="ZP4" s="2">
        <f>-0.0253534389845548*(1)</f>
        <v>-2.5353438984554801E-2</v>
      </c>
      <c r="ZQ4" s="2">
        <f>-0.565998612537751*(1)</f>
        <v>-0.56599861253775097</v>
      </c>
      <c r="ZR4" s="2">
        <f>-0.0758600572151907*(1)</f>
        <v>-7.5860057215190693E-2</v>
      </c>
      <c r="ZS4" s="2">
        <f>-0.726020206413136*(1)</f>
        <v>-0.72602020641313603</v>
      </c>
      <c r="ZT4" s="2">
        <f>0.849137492240269*(1)</f>
        <v>0.84913749224026902</v>
      </c>
      <c r="ZU4" s="2">
        <f>-1.09318233689282*(1)</f>
        <v>-1.09318233689282</v>
      </c>
      <c r="ZV4" s="2">
        <f>-0.27950489741243*(1)</f>
        <v>-0.27950489741243001</v>
      </c>
      <c r="ZW4" s="2">
        <f>-0.476775529084592*(1)</f>
        <v>-0.47677552908459198</v>
      </c>
      <c r="ZX4" s="2">
        <f>-0.0178868185667027*(1)</f>
        <v>-1.7886818566702701E-2</v>
      </c>
      <c r="ZY4" s="2">
        <f>0.201121058404437*(1)</f>
        <v>0.201121058404437</v>
      </c>
      <c r="ZZ4" s="2">
        <f>-0.516877615703049*(1)</f>
        <v>-0.51687761570304902</v>
      </c>
      <c r="AAA4" s="2">
        <f>0.0687089992483813*(1)</f>
        <v>6.8708999248381294E-2</v>
      </c>
      <c r="AAB4" s="2">
        <f>0.580720893361169*(1)</f>
        <v>0.58072089336116905</v>
      </c>
      <c r="AAC4" s="2">
        <f>-0.524808006917505*(1)</f>
        <v>-0.52480800691750495</v>
      </c>
      <c r="AAD4" s="2">
        <f>0.0917031719584364*(1)</f>
        <v>9.17031719584364E-2</v>
      </c>
      <c r="AAE4" s="2">
        <f>-0.272806787798302*(1)</f>
        <v>-0.27280678779830198</v>
      </c>
      <c r="AAF4" s="2">
        <f>0.202076100102417*(1)</f>
        <v>0.202076100102417</v>
      </c>
      <c r="AAG4" s="2">
        <f>-0.843726917630037*(1)</f>
        <v>-0.84372691763003704</v>
      </c>
      <c r="AAH4" s="2">
        <f>0.0477242282953724*(1)</f>
        <v>4.7724228295372401E-2</v>
      </c>
      <c r="AAI4" s="2">
        <f>0.123147942856116*(1)</f>
        <v>0.12314794285611599</v>
      </c>
      <c r="AAJ4" s="2">
        <f>0.454308607475097*(1)</f>
        <v>0.45430860747509699</v>
      </c>
      <c r="AAK4" s="2">
        <f>-0.515929911668009*(1)</f>
        <v>-0.51592991166800894</v>
      </c>
      <c r="AAL4" s="2">
        <f>0.114133862545048*(1)</f>
        <v>0.114133862545048</v>
      </c>
      <c r="AAM4" s="2">
        <f>-0.466495172946855*(1)</f>
        <v>-0.466495172946855</v>
      </c>
      <c r="AAN4" s="2">
        <f>0.590153864598468*(1)</f>
        <v>0.59015386459846797</v>
      </c>
      <c r="AAO4" s="2">
        <f>0.672482876493876*(1)</f>
        <v>0.67248287649387595</v>
      </c>
      <c r="AAP4" s="2">
        <f>1.74525816638762*(1)</f>
        <v>1.7452581663876201</v>
      </c>
      <c r="AAQ4" s="2">
        <f>0.022529442912965*(1)</f>
        <v>2.2529442912964999E-2</v>
      </c>
      <c r="AAR4" s="2">
        <f>0.00364994410652075*(1)</f>
        <v>3.6499441065207501E-3</v>
      </c>
      <c r="AAS4" s="2">
        <f>-0.0624624925925446*(1)</f>
        <v>-6.2462492592544598E-2</v>
      </c>
      <c r="AAT4" s="2">
        <f>0.0246889436850425*(1)</f>
        <v>2.46889436850425E-2</v>
      </c>
      <c r="AAU4" s="2">
        <f>0.245110875542812*(1)</f>
        <v>0.245110875542812</v>
      </c>
      <c r="AAV4" s="2">
        <f>0.403676609332266*(1)</f>
        <v>0.40367660933226601</v>
      </c>
      <c r="AAW4" s="2">
        <f>-0.0384953821163341*(1)</f>
        <v>-3.8495382116334097E-2</v>
      </c>
      <c r="AAX4" s="2">
        <f>-0.238809547330619*(1)</f>
        <v>-0.23880954733061899</v>
      </c>
      <c r="AAY4" s="2">
        <f>0.331829114125581*(1)</f>
        <v>0.33182911412558103</v>
      </c>
      <c r="AAZ4" s="2">
        <f>-0.393240833543342*(1)</f>
        <v>-0.39324083354334199</v>
      </c>
      <c r="ABA4" s="2">
        <f>0.805946127737168*(1)</f>
        <v>0.80594612773716801</v>
      </c>
      <c r="ABB4" s="2">
        <f>-0.571152726875599*(1)</f>
        <v>-0.57115272687559904</v>
      </c>
      <c r="ABC4" s="2">
        <f>-0.0419963139176355*(1)</f>
        <v>-4.1996313917635503E-2</v>
      </c>
      <c r="ABD4" s="2">
        <f>0.625715498729812*(1)</f>
        <v>0.62571549872981203</v>
      </c>
      <c r="ABE4" s="2">
        <f>-0.293784954846412*(1)</f>
        <v>-0.29378495484641198</v>
      </c>
      <c r="ABF4" s="2">
        <f>0.38384954978218*(1)</f>
        <v>0.38384954978218</v>
      </c>
      <c r="ABG4" s="2">
        <f>-0.129296013645815*(1)</f>
        <v>-0.129296013645815</v>
      </c>
      <c r="ABH4" s="2">
        <f>-0.169758318053309*(1)</f>
        <v>-0.16975831805330899</v>
      </c>
      <c r="ABI4" s="2">
        <f>0.307693880371076*(1)</f>
        <v>0.30769388037107598</v>
      </c>
      <c r="ABJ4" s="2">
        <f>0.0195027053406003*(1)</f>
        <v>1.95027053406003E-2</v>
      </c>
      <c r="ABK4" s="2">
        <f>-1.36525284074802*(1)</f>
        <v>-1.36525284074802</v>
      </c>
      <c r="ABL4" s="2">
        <f>0.317225930933591*(1)</f>
        <v>0.31722593093359103</v>
      </c>
      <c r="ABM4" s="2">
        <f>0.112830139621303*(1)</f>
        <v>0.11283013962130301</v>
      </c>
      <c r="ABN4" s="2">
        <f>-0.549966330948946*(1)</f>
        <v>-0.54996633094894598</v>
      </c>
      <c r="ABO4" s="2">
        <f>-0.695609643688911*(1)</f>
        <v>-0.69560964368891098</v>
      </c>
      <c r="ABP4" s="2">
        <f>0.600130362071201*(1)</f>
        <v>0.60013036207120096</v>
      </c>
      <c r="ABQ4" s="2">
        <f>-0.0495447072122116*(1)</f>
        <v>-4.9544707212211603E-2</v>
      </c>
      <c r="ABR4" s="2">
        <f>-0.0610936476970824*(1)</f>
        <v>-6.10936476970824E-2</v>
      </c>
      <c r="ABS4" s="2">
        <f>-0.0389608373976136*(1)</f>
        <v>-3.89608373976136E-2</v>
      </c>
      <c r="ABT4" s="2">
        <f>0.102606914889512*(1)</f>
        <v>0.102606914889512</v>
      </c>
      <c r="ABU4" s="2">
        <f>-0.0382940882994554*(1)</f>
        <v>-3.8294088299455402E-2</v>
      </c>
      <c r="ABV4" s="2">
        <f>-0.950387182233614*(1)</f>
        <v>-0.95038718223361396</v>
      </c>
      <c r="ABW4" s="2">
        <f>0.494655721601793*(1)</f>
        <v>0.494655721601793</v>
      </c>
      <c r="ABX4" s="2">
        <f>2.45662101266422*(1)</f>
        <v>2.4566210126642201</v>
      </c>
      <c r="ABY4" s="2">
        <f>-0.145505210165539*(1)</f>
        <v>-0.145505210165539</v>
      </c>
      <c r="ABZ4" s="2">
        <f>0.0324559197552496*(1)</f>
        <v>3.2455919755249599E-2</v>
      </c>
      <c r="ACA4" s="2">
        <f>-0.626001828961377*(1)</f>
        <v>-0.62600182896137702</v>
      </c>
      <c r="ACB4" s="2">
        <f>-0.164165342528541*(1)</f>
        <v>-0.16416534252854101</v>
      </c>
      <c r="ACC4" s="2">
        <f>0.0401958871207975*(1)</f>
        <v>4.0195887120797497E-2</v>
      </c>
      <c r="ACD4" s="2">
        <f>0.471309487926875*(1)</f>
        <v>0.47130948792687499</v>
      </c>
      <c r="ACE4" s="2">
        <f>-0.331741755299753*(1)</f>
        <v>-0.33174175529975303</v>
      </c>
      <c r="ACF4" s="2">
        <f>0.214157420996326*(1)</f>
        <v>0.21415742099632601</v>
      </c>
      <c r="ACG4" s="2">
        <f>-0.403995855901186*(1)</f>
        <v>-0.40399585590118597</v>
      </c>
      <c r="ACH4" s="2">
        <f>-0.407297197812923*(1)</f>
        <v>-0.40729719781292301</v>
      </c>
      <c r="ACI4" s="2">
        <f>-0.609902470538546*(1)</f>
        <v>-0.60990247053854596</v>
      </c>
      <c r="ACJ4" s="2">
        <f>-0.286691557060339*(1)</f>
        <v>-0.286691557060339</v>
      </c>
      <c r="ACK4" s="2">
        <f>1.57233973182444*(1)</f>
        <v>1.5723397318244401</v>
      </c>
      <c r="ACL4" s="2">
        <f>-0.083553785905454*(1)</f>
        <v>-8.3553785905453995E-2</v>
      </c>
      <c r="ACM4" s="2">
        <f>0.00938117786129905*(1)</f>
        <v>9.3811778612990504E-3</v>
      </c>
      <c r="ACN4" s="2">
        <f>-0.12014254014906*(1)</f>
        <v>-0.12014254014906001</v>
      </c>
      <c r="ACO4" s="2">
        <f>0.0623566534761375*(1)</f>
        <v>6.2356653476137502E-2</v>
      </c>
      <c r="ACP4" s="2">
        <f>-0.622575236440039*(1)</f>
        <v>-0.62257523644003898</v>
      </c>
      <c r="ACQ4" s="2">
        <f>0.319005052183751*(1)</f>
        <v>0.31900505218375103</v>
      </c>
      <c r="ACR4" s="2">
        <f>-0.374549168278559*(1)</f>
        <v>-0.374549168278559</v>
      </c>
      <c r="ACS4" s="2">
        <f>-0.383486357956607*(1)</f>
        <v>-0.38348635795660702</v>
      </c>
      <c r="ACT4" s="2">
        <f>-0.207508889924522*(1)</f>
        <v>-0.20750888992452199</v>
      </c>
      <c r="ACU4" s="2">
        <f>-0.203031451491895*(1)</f>
        <v>-0.203031451491895</v>
      </c>
      <c r="ACV4" s="2">
        <f>-0.408714056755213*(1)</f>
        <v>-0.408714056755213</v>
      </c>
    </row>
    <row r="5" spans="1:776" x14ac:dyDescent="0.2">
      <c r="A5" s="1" t="s">
        <v>70647</v>
      </c>
      <c r="B5" s="2">
        <f>-0.267602287463881*(1)</f>
        <v>-0.26760228746388098</v>
      </c>
      <c r="C5" s="2">
        <f>-0.369052065449028*(1)</f>
        <v>-0.36905206544902802</v>
      </c>
      <c r="D5" s="2">
        <f>-0.382049117441933*(1)</f>
        <v>-0.38204911744193298</v>
      </c>
      <c r="E5" s="2">
        <f>0.21559868102887*(1)</f>
        <v>0.21559868102887</v>
      </c>
      <c r="F5" s="2">
        <f>0.742567748816891*(1)</f>
        <v>0.74256774881689103</v>
      </c>
      <c r="G5" s="2">
        <f>-0.379716829634268*(1)</f>
        <v>-0.379716829634268</v>
      </c>
      <c r="H5" s="2">
        <f>-0.0943646260484956*(1)</f>
        <v>-9.4364626048495603E-2</v>
      </c>
      <c r="I5" s="2">
        <f>-0.454743260750655*(1)</f>
        <v>-0.45474326075065502</v>
      </c>
      <c r="J5" s="2">
        <f>0.0588157525095819*(1)</f>
        <v>5.8815752509581903E-2</v>
      </c>
      <c r="K5" s="2">
        <f>0.0200575001466306*(1)</f>
        <v>2.0057500146630599E-2</v>
      </c>
      <c r="L5" s="2">
        <f>-0.345583339879749*(1)</f>
        <v>-0.34558333987974899</v>
      </c>
      <c r="M5" s="2">
        <f>1.77907661832645*(1)</f>
        <v>1.7790766183264499</v>
      </c>
      <c r="N5" s="2">
        <f>0.773972076434852*(1)</f>
        <v>0.773972076434852</v>
      </c>
      <c r="O5" s="2">
        <f>-0.707438939126305*(1)</f>
        <v>-0.70743893912630496</v>
      </c>
      <c r="P5" s="2">
        <f>-0.0725276465977756*(1)</f>
        <v>-7.2527646597775594E-2</v>
      </c>
      <c r="Q5" s="2">
        <f>-0.298020718630174*(1)</f>
        <v>-0.29802071863017399</v>
      </c>
      <c r="R5" s="2">
        <f>-0.420694085751973*(1)</f>
        <v>-0.42069408575197298</v>
      </c>
      <c r="S5" s="2">
        <f>0.483135614858544*(1)</f>
        <v>0.483135614858544</v>
      </c>
      <c r="T5" s="2">
        <f>-0.00501323150710817*(1)</f>
        <v>-5.0132315071081696E-3</v>
      </c>
      <c r="U5" s="2">
        <f>-0.0913868157533129*(1)</f>
        <v>-9.1386815753312894E-2</v>
      </c>
      <c r="V5" s="2">
        <f>-0.250360877728349*(1)</f>
        <v>-0.25036087772834897</v>
      </c>
      <c r="W5" s="2">
        <f>0.0162529553084272*(1)</f>
        <v>1.62529553084272E-2</v>
      </c>
      <c r="X5" s="2">
        <f>-0.550012297427917*(1)</f>
        <v>-0.55001229742791702</v>
      </c>
      <c r="Y5" s="2">
        <f>0.475334137648557*(1)</f>
        <v>0.47533413764855698</v>
      </c>
      <c r="Z5" s="2">
        <f>0.556038510480773*(1)</f>
        <v>0.55603851048077302</v>
      </c>
      <c r="AA5" s="2">
        <f>-0.460596280568023*(1)</f>
        <v>-0.46059628056802299</v>
      </c>
      <c r="AB5" s="2">
        <f>0.111946738816724*(1)</f>
        <v>0.111946738816724</v>
      </c>
      <c r="AC5" s="2">
        <f>0.450133859218776*(1)</f>
        <v>0.45013385921877602</v>
      </c>
      <c r="AD5" s="2">
        <f>0.285080735563937*(1)</f>
        <v>0.28508073556393698</v>
      </c>
      <c r="AE5" s="2">
        <f>-0.652051218767295*(1)</f>
        <v>-0.65205121876729499</v>
      </c>
      <c r="AF5" s="2">
        <f>0.496903690277621*(1)</f>
        <v>0.49690369027762099</v>
      </c>
      <c r="AG5" s="2">
        <f>-0.190862577885546*(1)</f>
        <v>-0.190862577885546</v>
      </c>
      <c r="AH5" s="2">
        <f>0.476486374859628*(1)</f>
        <v>0.47648637485962803</v>
      </c>
      <c r="AI5" s="2">
        <f>-0.408818699554551*(1)</f>
        <v>-0.40881869955455102</v>
      </c>
      <c r="AJ5" s="2">
        <f>0.0880315439606432*(1)</f>
        <v>8.8031543960643194E-2</v>
      </c>
      <c r="AK5" s="2">
        <f>-0.244734019464006*(1)</f>
        <v>-0.244734019464006</v>
      </c>
      <c r="AL5" s="2">
        <f>-0.825581325058668*(1)</f>
        <v>-0.82558132505866799</v>
      </c>
      <c r="AM5" s="2">
        <f>-0.568667418459718*(1)</f>
        <v>-0.56866741845971802</v>
      </c>
      <c r="AN5" s="2">
        <f>0.633717153763431*(1)</f>
        <v>0.63371715376343096</v>
      </c>
      <c r="AO5" s="2">
        <f>-0.546294818916954*(1)</f>
        <v>-0.54629481891695397</v>
      </c>
      <c r="AP5" s="2">
        <f>-0.115665815201218*(1)</f>
        <v>-0.11566581520121801</v>
      </c>
      <c r="AQ5" s="2">
        <f>0.362755330495891*(1)</f>
        <v>0.36275533049589098</v>
      </c>
      <c r="AR5" s="2">
        <f>-0.32213611155539*(1)</f>
        <v>-0.32213611155539001</v>
      </c>
      <c r="AS5" s="2">
        <f>-0.579064011086945*(1)</f>
        <v>-0.57906401108694505</v>
      </c>
      <c r="AT5" s="2">
        <f>-0.129807669773665*(1)</f>
        <v>-0.12980766977366501</v>
      </c>
      <c r="AU5" s="2">
        <f>-0.695313777469744*(1)</f>
        <v>-0.69531377746974399</v>
      </c>
      <c r="AV5" s="2">
        <f>-1.04886410146376*(1)</f>
        <v>-1.0488641014637601</v>
      </c>
      <c r="AW5" s="2">
        <f>0.998332918858333*(1)</f>
        <v>0.99833291885833297</v>
      </c>
      <c r="AX5" s="2">
        <f>-0.125701999550268*(1)</f>
        <v>-0.12570199955026801</v>
      </c>
      <c r="AY5" s="2">
        <f>-0.0782472862002556*(1)</f>
        <v>-7.8247286200255603E-2</v>
      </c>
      <c r="AZ5" s="2">
        <f>-0.0681467854999164*(1)</f>
        <v>-6.8146785499916401E-2</v>
      </c>
      <c r="BA5" s="2">
        <f>-1.08921626735182*(1)</f>
        <v>-1.08921626735182</v>
      </c>
      <c r="BB5" s="2">
        <f>-0.611942465019632*(1)</f>
        <v>-0.61194246501963201</v>
      </c>
      <c r="BC5" s="2">
        <f>-0.0836245692914656*(1)</f>
        <v>-8.3624569291465597E-2</v>
      </c>
      <c r="BD5" s="2">
        <f>-0.0663781860259485*(1)</f>
        <v>-6.6378186025948499E-2</v>
      </c>
      <c r="BE5" s="2">
        <f>0.146018270253096*(1)</f>
        <v>0.14601827025309599</v>
      </c>
      <c r="BF5" s="2">
        <f>0.0236193709724315*(1)</f>
        <v>2.3619370972431501E-2</v>
      </c>
      <c r="BG5" s="2">
        <f>0.291625949088872*(1)</f>
        <v>0.29162594908887202</v>
      </c>
      <c r="BH5" s="2">
        <f>-1.05512284452095*(1)</f>
        <v>-1.05512284452095</v>
      </c>
      <c r="BI5" s="2">
        <f>-0.477193472845943*(1)</f>
        <v>-0.47719347284594299</v>
      </c>
      <c r="BJ5" s="2">
        <f>0.287711694009352*(1)</f>
        <v>0.28771169400935198</v>
      </c>
      <c r="BK5" s="2">
        <f>-0.406769484632376*(1)</f>
        <v>-0.406769484632376</v>
      </c>
      <c r="BL5" s="2">
        <f>0.290567835371107*(1)</f>
        <v>0.29056783537110698</v>
      </c>
      <c r="BM5" s="2">
        <f>-0.364968771537186*(1)</f>
        <v>-0.36496877153718599</v>
      </c>
      <c r="BN5" s="2">
        <f>-0.617751034165577*(1)</f>
        <v>-0.61775103416557697</v>
      </c>
      <c r="BO5" s="2">
        <f>-0.335697204451269*(1)</f>
        <v>-0.33569720445126899</v>
      </c>
      <c r="BP5" s="2">
        <f>-0.0708671896114709*(1)</f>
        <v>-7.0867189611470899E-2</v>
      </c>
      <c r="BQ5" s="2">
        <f>0.563325292204761*(1)</f>
        <v>0.56332529220476102</v>
      </c>
      <c r="BR5" s="2">
        <f>-0.477269799151867*(1)</f>
        <v>-0.47726979915186701</v>
      </c>
      <c r="BS5" s="2">
        <f>-0.580210509223795*(1)</f>
        <v>-0.58021050922379502</v>
      </c>
      <c r="BT5" s="2">
        <f>-1.08010992182948*(1)</f>
        <v>-1.0801099218294801</v>
      </c>
      <c r="BU5" s="2">
        <f>-0.0332569077658754*(1)</f>
        <v>-3.32569077658754E-2</v>
      </c>
      <c r="BV5" s="2">
        <f>0.377908731932613*(1)</f>
        <v>0.37790873193261298</v>
      </c>
      <c r="BW5" s="2">
        <f>0.366815314815398*(1)</f>
        <v>0.36681531481539797</v>
      </c>
      <c r="BX5" s="2">
        <f>-0.131536549038602*(1)</f>
        <v>-0.13153654903860201</v>
      </c>
      <c r="BY5" s="2">
        <f>-0.108865670978841*(1)</f>
        <v>-0.10886567097884101</v>
      </c>
      <c r="BZ5" s="2">
        <f>0.576030107167667*(1)</f>
        <v>0.576030107167667</v>
      </c>
      <c r="CA5" s="2">
        <f>-0.163718652327505*(1)</f>
        <v>-0.16371865232750499</v>
      </c>
      <c r="CB5" s="2">
        <f>-0.224651217040526*(1)</f>
        <v>-0.22465121704052601</v>
      </c>
      <c r="CC5" s="2">
        <f>0.53273305405996*(1)</f>
        <v>0.53273305405995997</v>
      </c>
      <c r="CD5" s="2">
        <f>-0.442831133182834*(1)</f>
        <v>-0.44283113318283401</v>
      </c>
      <c r="CE5" s="2">
        <f>-0.63948129234382*(1)</f>
        <v>-0.63948129234382001</v>
      </c>
      <c r="CF5" s="2">
        <f>0.544736484593045*(1)</f>
        <v>0.54473648459304502</v>
      </c>
      <c r="CG5" s="2">
        <f>-0.474822880621884*(1)</f>
        <v>-0.47482288062188399</v>
      </c>
      <c r="CH5" s="2">
        <f>-0.400166216376242*(1)</f>
        <v>-0.400166216376242</v>
      </c>
      <c r="CI5" s="2">
        <f>0.428975746776326*(1)</f>
        <v>0.42897574677632599</v>
      </c>
      <c r="CJ5" s="2">
        <f>0.244518792578323*(1)</f>
        <v>0.24451879257832301</v>
      </c>
      <c r="CK5" s="2">
        <f>0.156188254129639*(1)</f>
        <v>0.15618825412963899</v>
      </c>
      <c r="CL5" s="2">
        <f>0.386213488594539*(1)</f>
        <v>0.38621348859453902</v>
      </c>
      <c r="CM5" s="2">
        <f>0.843425139989287*(1)</f>
        <v>0.84342513998928703</v>
      </c>
      <c r="CN5" s="2">
        <f>-0.32280575580707*(1)</f>
        <v>-0.32280575580706999</v>
      </c>
      <c r="CO5" s="2">
        <f>-0.0906958344748557*(1)</f>
        <v>-9.0695834474855699E-2</v>
      </c>
      <c r="CP5" s="2">
        <f>0.012643033121015*(1)</f>
        <v>1.2643033121015E-2</v>
      </c>
      <c r="CQ5" s="2">
        <f>-0.253581092708268*(1)</f>
        <v>-0.25358109270826801</v>
      </c>
      <c r="CR5" s="2">
        <f>0.818963146965911*(1)</f>
        <v>0.81896314696591099</v>
      </c>
      <c r="CS5" s="2">
        <f>-0.774870374445983*(1)</f>
        <v>-0.77487037444598295</v>
      </c>
      <c r="CT5" s="2">
        <f>-1.00437645067545*(1)</f>
        <v>-1.00437645067545</v>
      </c>
      <c r="CU5" s="2">
        <f>0.0984952313649631*(1)</f>
        <v>9.8495231364963104E-2</v>
      </c>
      <c r="CV5" s="2">
        <f>0.0847206171258617*(1)</f>
        <v>8.4720617125861694E-2</v>
      </c>
      <c r="CW5" s="2">
        <f>-0.43867757898088*(1)</f>
        <v>-0.43867757898088</v>
      </c>
      <c r="CX5" s="2">
        <f>-0.0430882302224668*(1)</f>
        <v>-4.30882302224668E-2</v>
      </c>
      <c r="CY5" s="2">
        <f>-0.434555094971004*(1)</f>
        <v>-0.43455509497100397</v>
      </c>
      <c r="CZ5" s="2">
        <f>0.415819751467414*(1)</f>
        <v>0.41581975146741401</v>
      </c>
      <c r="DA5" s="2">
        <f>-0.112996466849302*(1)</f>
        <v>-0.11299646684930199</v>
      </c>
      <c r="DB5" s="2">
        <f>-0.404337602495235*(1)</f>
        <v>-0.40433760249523498</v>
      </c>
      <c r="DC5" s="2">
        <f>0.0143356492125959*(1)</f>
        <v>1.43356492125959E-2</v>
      </c>
      <c r="DD5" s="2">
        <f>-0.227272429229316*(1)</f>
        <v>-0.22727242922931601</v>
      </c>
      <c r="DE5" s="2">
        <f>0.703195848530802*(1)</f>
        <v>0.70319584853080197</v>
      </c>
      <c r="DF5" s="2">
        <f>-0.689971341728306*(1)</f>
        <v>-0.68997134172830599</v>
      </c>
      <c r="DG5" s="2">
        <f>-0.041237702056043*(1)</f>
        <v>-4.1237702056042998E-2</v>
      </c>
      <c r="DH5" s="2">
        <f>-0.310332204327099*(1)</f>
        <v>-0.31033220432709901</v>
      </c>
      <c r="DI5" s="2">
        <f>0.581365151146828*(1)</f>
        <v>0.58136515114682796</v>
      </c>
      <c r="DJ5" s="2">
        <f>-0.104108702318342*(1)</f>
        <v>-0.104108702318342</v>
      </c>
      <c r="DK5" s="2">
        <f>0.527721457799749*(1)</f>
        <v>0.52772145779974899</v>
      </c>
      <c r="DL5" s="2">
        <f>0.453308767288126*(1)</f>
        <v>0.45330876728812602</v>
      </c>
      <c r="DM5" s="2">
        <f>0.204933222522535*(1)</f>
        <v>0.20493322252253501</v>
      </c>
      <c r="DN5" s="2">
        <f>-0.34466618270126*(1)</f>
        <v>-0.34466618270125998</v>
      </c>
      <c r="DO5" s="2">
        <f>0.207281458090683*(1)</f>
        <v>0.20728145809068299</v>
      </c>
      <c r="DP5" s="2">
        <f>0.0541394009820277*(1)</f>
        <v>5.4139400982027699E-2</v>
      </c>
      <c r="DQ5" s="2">
        <f>-0.39010735870997*(1)</f>
        <v>-0.39010735870996999</v>
      </c>
      <c r="DR5" s="2">
        <f>0.269153032747312*(1)</f>
        <v>0.269153032747312</v>
      </c>
      <c r="DS5" s="2">
        <f>0.0614742855082732*(1)</f>
        <v>6.1474285508273198E-2</v>
      </c>
      <c r="DT5" s="2">
        <f>0.380704071277245*(1)</f>
        <v>0.38070407127724498</v>
      </c>
      <c r="DU5" s="2">
        <f>-0.243034288351198*(1)</f>
        <v>-0.243034288351198</v>
      </c>
      <c r="DV5" s="2">
        <f>-0.148393482839408*(1)</f>
        <v>-0.14839348283940801</v>
      </c>
      <c r="DW5" s="2">
        <f>-0.653458436736591*(1)</f>
        <v>-0.65345843673659099</v>
      </c>
      <c r="DX5" s="2">
        <f>0.045648247426458*(1)</f>
        <v>4.5648247426457997E-2</v>
      </c>
      <c r="DY5" s="2">
        <f>-0.0638018507732181*(1)</f>
        <v>-6.3801850773218094E-2</v>
      </c>
      <c r="DZ5" s="2">
        <f>-0.1189963904261*(1)</f>
        <v>-0.1189963904261</v>
      </c>
      <c r="EA5" s="2">
        <f>0.465563759052824*(1)</f>
        <v>0.46556375905282399</v>
      </c>
      <c r="EB5" s="2">
        <f>0.513685159245249*(1)</f>
        <v>0.51368515924524905</v>
      </c>
      <c r="EC5" s="2">
        <f>0.420354485825797*(1)</f>
        <v>0.42035448582579699</v>
      </c>
      <c r="ED5" s="2">
        <f>0.179209166667184*(1)</f>
        <v>0.17920916666718401</v>
      </c>
      <c r="EE5" s="2">
        <f>0.1786982859565*(1)</f>
        <v>0.1786982859565</v>
      </c>
      <c r="EF5" s="2">
        <f>0.152127168273153*(1)</f>
        <v>0.15212716827315301</v>
      </c>
      <c r="EG5" s="2">
        <f>-0.268017721030651*(1)</f>
        <v>-0.26801772103065102</v>
      </c>
      <c r="EH5" s="2">
        <f>0.382942404992002*(1)</f>
        <v>0.38294240499200199</v>
      </c>
      <c r="EI5" s="2">
        <f>0.236844682771858*(1)</f>
        <v>0.236844682771858</v>
      </c>
      <c r="EJ5" s="2">
        <f>-0.0298597721540734*(1)</f>
        <v>-2.98597721540734E-2</v>
      </c>
      <c r="EK5" s="2">
        <f>0.121760015494962*(1)</f>
        <v>0.121760015494962</v>
      </c>
      <c r="EL5" s="2">
        <f>-0.243083874122899*(1)</f>
        <v>-0.243083874122899</v>
      </c>
      <c r="EM5" s="2">
        <f>-0.457417706034845*(1)</f>
        <v>-0.457417706034845</v>
      </c>
      <c r="EN5" s="2">
        <f>0.222087665884135*(1)</f>
        <v>0.222087665884135</v>
      </c>
      <c r="EO5" s="2">
        <f>-0.614320220838274*(1)</f>
        <v>-0.61432022083827398</v>
      </c>
      <c r="EP5" s="2">
        <f>0.0613925472161089*(1)</f>
        <v>6.13925472161089E-2</v>
      </c>
      <c r="EQ5" s="2">
        <f>1.02300863203138*(1)</f>
        <v>1.02300863203138</v>
      </c>
      <c r="ER5" s="2">
        <f>0.722151061367045*(1)</f>
        <v>0.72215106136704499</v>
      </c>
      <c r="ES5" s="2">
        <f>0.422372127749522*(1)</f>
        <v>0.42237212774952199</v>
      </c>
      <c r="ET5" s="2">
        <f>-0.048361892777041*(1)</f>
        <v>-4.8361892777040998E-2</v>
      </c>
      <c r="EU5" s="2">
        <f>0.0390584527166604*(1)</f>
        <v>3.9058452716660398E-2</v>
      </c>
      <c r="EV5" s="2">
        <f>-0.142989309077302*(1)</f>
        <v>-0.14298930907730201</v>
      </c>
      <c r="EW5" s="2">
        <f>0.266083342021694*(1)</f>
        <v>0.26608334202169398</v>
      </c>
      <c r="EX5" s="2">
        <f>-0.405672800800143*(1)</f>
        <v>-0.40567280080014301</v>
      </c>
      <c r="EY5" s="2">
        <f>0.364288871447802*(1)</f>
        <v>0.36428887144780198</v>
      </c>
      <c r="EZ5" s="2">
        <f>-0.0393424135172615*(1)</f>
        <v>-3.9342413517261497E-2</v>
      </c>
      <c r="FA5" s="2">
        <f>-0.0631451994892668*(1)</f>
        <v>-6.3145199489266807E-2</v>
      </c>
      <c r="FB5" s="2">
        <f>0.116028075877095*(1)</f>
        <v>0.116028075877095</v>
      </c>
      <c r="FC5" s="2">
        <f>-0.21719253879873*(1)</f>
        <v>-0.21719253879872999</v>
      </c>
      <c r="FD5" s="2">
        <f>0.165667766024556*(1)</f>
        <v>0.16566776602455599</v>
      </c>
      <c r="FE5" s="2">
        <f>-0.299911394978337*(1)</f>
        <v>-0.29991139497833702</v>
      </c>
      <c r="FF5" s="2">
        <f>-0.0266180746976178*(1)</f>
        <v>-2.6618074697617799E-2</v>
      </c>
      <c r="FG5" s="2">
        <f>-0.46808025397887*(1)</f>
        <v>-0.46808025397886999</v>
      </c>
      <c r="FH5" s="2">
        <f>0.0660312298745057*(1)</f>
        <v>6.6031229874505701E-2</v>
      </c>
      <c r="FI5" s="2">
        <f>-0.36568656969803*(1)</f>
        <v>-0.36568656969802998</v>
      </c>
      <c r="FJ5" s="2">
        <f>-0.204404468511789*(1)</f>
        <v>-0.20440446851178901</v>
      </c>
      <c r="FK5" s="2">
        <f>0.237031383209*(1)</f>
        <v>0.237031383209</v>
      </c>
      <c r="FL5" s="2">
        <f>0.312670941324614*(1)</f>
        <v>0.31267094132461398</v>
      </c>
      <c r="FM5" s="2">
        <f>-0.34099346846199*(1)</f>
        <v>-0.34099346846199002</v>
      </c>
      <c r="FN5" s="2">
        <f>-0.185183100353185*(1)</f>
        <v>-0.185183100353185</v>
      </c>
      <c r="FO5" s="2">
        <f>-0.210278320262219*(1)</f>
        <v>-0.21027832026221899</v>
      </c>
      <c r="FP5" s="2">
        <f>-0.201438188573426*(1)</f>
        <v>-0.20143818857342599</v>
      </c>
      <c r="FQ5" s="2">
        <f>-0.180257473793817*(1)</f>
        <v>-0.18025747379381701</v>
      </c>
      <c r="FR5" s="2">
        <f>-0.0627221741537318*(1)</f>
        <v>-6.2722174153731797E-2</v>
      </c>
      <c r="FS5" s="2">
        <f>0.571431132091919*(1)</f>
        <v>0.57143113209191898</v>
      </c>
      <c r="FT5" s="2">
        <f>-0.118459204392197*(1)</f>
        <v>-0.118459204392197</v>
      </c>
      <c r="FU5" s="2">
        <f>0.283867431062004*(1)</f>
        <v>0.28386743106200402</v>
      </c>
      <c r="FV5" s="2">
        <f>-0.00754125714359184*(1)</f>
        <v>-7.5412571435918398E-3</v>
      </c>
      <c r="FW5" s="2">
        <f>-0.288227474832643*(1)</f>
        <v>-0.28822747483264299</v>
      </c>
      <c r="FX5" s="2">
        <f>0.0705586210604469*(1)</f>
        <v>7.0558621060446899E-2</v>
      </c>
      <c r="FY5" s="2">
        <f>0.19685336722619*(1)</f>
        <v>0.19685336722619001</v>
      </c>
      <c r="FZ5" s="2">
        <f>0.0341225305569526*(1)</f>
        <v>3.41225305569526E-2</v>
      </c>
      <c r="GA5" s="2">
        <f>0.0834564227328516*(1)</f>
        <v>8.3456422732851601E-2</v>
      </c>
      <c r="GB5" s="2">
        <f>-0.331207414293137*(1)</f>
        <v>-0.33120741429313699</v>
      </c>
      <c r="GC5" s="2">
        <f>1.14156764666658*(1)</f>
        <v>1.1415676466665801</v>
      </c>
      <c r="GD5" s="2">
        <f>-0.269475457848629*(1)</f>
        <v>-0.26947545784862897</v>
      </c>
      <c r="GE5" s="2">
        <f>0.869848725198657*(1)</f>
        <v>0.86984872519865697</v>
      </c>
      <c r="GF5" s="2">
        <f>0.632316710696259*(1)</f>
        <v>0.63231671069625905</v>
      </c>
      <c r="GG5" s="2">
        <f>-0.171445116674768*(1)</f>
        <v>-0.171445116674768</v>
      </c>
      <c r="GH5" s="2">
        <f>0.3693890908007*(1)</f>
        <v>0.36938909080069998</v>
      </c>
      <c r="GI5" s="2">
        <f>-0.185396413407069*(1)</f>
        <v>-0.185396413407069</v>
      </c>
      <c r="GJ5" s="2">
        <f>-0.865092113977458*(1)</f>
        <v>-0.865092113977458</v>
      </c>
      <c r="GK5" s="2">
        <f>-0.243474733660203*(1)</f>
        <v>-0.243474733660203</v>
      </c>
      <c r="GL5" s="2">
        <f>-0.639215210261019*(1)</f>
        <v>-0.63921521026101902</v>
      </c>
      <c r="GM5" s="2">
        <f>-0.0614102576825123*(1)</f>
        <v>-6.1410257682512299E-2</v>
      </c>
      <c r="GN5" s="2">
        <f>-0.190217569512572*(1)</f>
        <v>-0.19021756951257199</v>
      </c>
      <c r="GO5" s="2">
        <f>-0.161359110737013*(1)</f>
        <v>-0.16135911073701301</v>
      </c>
      <c r="GP5" s="2">
        <f>-1.08650114505973*(1)</f>
        <v>-1.0865011450597299</v>
      </c>
      <c r="GQ5" s="2">
        <f>-0.079793473451841*(1)</f>
        <v>-7.9793473451840999E-2</v>
      </c>
      <c r="GR5" s="2">
        <f>0.487192793049795*(1)</f>
        <v>0.48719279304979501</v>
      </c>
      <c r="GS5" s="2">
        <f>0.410608075757226*(1)</f>
        <v>0.41060807575722602</v>
      </c>
      <c r="GT5" s="2">
        <f>-0.045902504848967*(1)</f>
        <v>-4.5902504848966998E-2</v>
      </c>
      <c r="GU5" s="2">
        <f>-0.305939598292887*(1)</f>
        <v>-0.30593959829288703</v>
      </c>
      <c r="GV5" s="2">
        <f>0.117391132698442*(1)</f>
        <v>0.11739113269844199</v>
      </c>
      <c r="GW5" s="2">
        <f>-0.0601235359621077*(1)</f>
        <v>-6.0123535962107698E-2</v>
      </c>
      <c r="GX5" s="2">
        <f>0.0884958081152377*(1)</f>
        <v>8.8495808115237704E-2</v>
      </c>
      <c r="GY5" s="2">
        <f>0.468154428626928*(1)</f>
        <v>0.46815442862692802</v>
      </c>
      <c r="GZ5" s="2">
        <f>-0.417065274156834*(1)</f>
        <v>-0.41706527415683398</v>
      </c>
      <c r="HA5" s="2">
        <f>-0.203525477635722*(1)</f>
        <v>-0.20352547763572201</v>
      </c>
      <c r="HB5" s="2">
        <f>-0.105719058699077*(1)</f>
        <v>-0.105719058699077</v>
      </c>
      <c r="HC5" s="2">
        <f>0.799931999586754*(1)</f>
        <v>0.79993199958675398</v>
      </c>
      <c r="HD5" s="2">
        <f>-0.0406477048607412*(1)</f>
        <v>-4.06477048607412E-2</v>
      </c>
      <c r="HE5" s="2">
        <f>-0.498541180148535*(1)</f>
        <v>-0.49854118014853499</v>
      </c>
      <c r="HF5" s="2">
        <f>-0.103584594111717*(1)</f>
        <v>-0.103584594111717</v>
      </c>
      <c r="HG5" s="2">
        <f>-0.37781334100353*(1)</f>
        <v>-0.37781334100352998</v>
      </c>
      <c r="HH5" s="2">
        <f>0.0215285414375769*(1)</f>
        <v>2.15285414375769E-2</v>
      </c>
      <c r="HI5" s="2">
        <f>-0.212078409674093*(1)</f>
        <v>-0.212078409674093</v>
      </c>
      <c r="HJ5" s="2">
        <f>-0.316621946179056*(1)</f>
        <v>-0.31662194617905598</v>
      </c>
      <c r="HK5" s="2">
        <f>0.058750657644055*(1)</f>
        <v>5.8750657644055002E-2</v>
      </c>
      <c r="HL5" s="2">
        <f>-0.279704460517748*(1)</f>
        <v>-0.279704460517748</v>
      </c>
      <c r="HM5" s="2">
        <f>-0.109541815586957*(1)</f>
        <v>-0.109541815586957</v>
      </c>
      <c r="HN5" s="2">
        <f>-0.494420940960645*(1)</f>
        <v>-0.49442094096064498</v>
      </c>
      <c r="HO5" s="2">
        <f>0.621053960689614*(1)</f>
        <v>0.62105396068961405</v>
      </c>
      <c r="HP5" s="2">
        <f>-0.0774836096154642*(1)</f>
        <v>-7.7483609615464202E-2</v>
      </c>
      <c r="HQ5" s="2">
        <f>-0.469353916492789*(1)</f>
        <v>-0.46935391649278901</v>
      </c>
      <c r="HR5" s="2">
        <f>0.715342711105947*(1)</f>
        <v>0.71534271110594705</v>
      </c>
      <c r="HS5" s="2">
        <f>-0.467052683941945*(1)</f>
        <v>-0.46705268394194499</v>
      </c>
      <c r="HT5" s="2">
        <f>-0.867120518377103*(1)</f>
        <v>-0.86712051837710302</v>
      </c>
      <c r="HU5" s="2">
        <f>0.208600736708728*(1)</f>
        <v>0.208600736708728</v>
      </c>
      <c r="HV5" s="2">
        <f>-0.409923831412287*(1)</f>
        <v>-0.409923831412287</v>
      </c>
      <c r="HW5" s="2">
        <f>-0.122943699289703*(1)</f>
        <v>-0.122943699289703</v>
      </c>
      <c r="HX5" s="2">
        <f>0.0792325171929969*(1)</f>
        <v>7.9232517192996899E-2</v>
      </c>
      <c r="HY5" s="2">
        <f>0.908298351180858*(1)</f>
        <v>0.908298351180858</v>
      </c>
      <c r="HZ5" s="2">
        <f>0.303784541923435*(1)</f>
        <v>0.30378454192343501</v>
      </c>
      <c r="IA5" s="2">
        <f>-0.478881789138847*(1)</f>
        <v>-0.47888178913884699</v>
      </c>
      <c r="IB5" s="2">
        <f>0.191257276543251*(1)</f>
        <v>0.191257276543251</v>
      </c>
      <c r="IC5" s="2">
        <f>-0.0315890326117241*(1)</f>
        <v>-3.1589032611724098E-2</v>
      </c>
      <c r="ID5" s="2">
        <f>-0.353155424148254*(1)</f>
        <v>-0.35315542414825402</v>
      </c>
      <c r="IE5" s="2">
        <f>-0.413698540115448*(1)</f>
        <v>-0.41369854011544799</v>
      </c>
      <c r="IF5" s="2">
        <f>-0.0259273186535446*(1)</f>
        <v>-2.5927318653544602E-2</v>
      </c>
      <c r="IG5" s="2">
        <f>0.102869392012062*(1)</f>
        <v>0.10286939201206199</v>
      </c>
      <c r="IH5" s="2">
        <f>0.0170770700230885*(1)</f>
        <v>1.70770700230885E-2</v>
      </c>
      <c r="II5" s="2">
        <f>0.777266925519529*(1)</f>
        <v>0.77726692551952903</v>
      </c>
      <c r="IJ5" s="2">
        <f>-0.40315315594653*(1)</f>
        <v>-0.40315315594653001</v>
      </c>
      <c r="IK5" s="2">
        <f>0.52188314861746*(1)</f>
        <v>0.52188314861745999</v>
      </c>
      <c r="IL5" s="2">
        <f>0.667846393285073*(1)</f>
        <v>0.667846393285073</v>
      </c>
      <c r="IM5" s="2">
        <f>0.0918776735935533*(1)</f>
        <v>9.1877673593553297E-2</v>
      </c>
      <c r="IN5" s="2">
        <f>-0.767359598609399*(1)</f>
        <v>-0.76735959860939895</v>
      </c>
      <c r="IO5" s="2">
        <f>0.0503178308411775*(1)</f>
        <v>5.0317830841177497E-2</v>
      </c>
      <c r="IP5" s="2">
        <f>-0.0848317190434485*(1)</f>
        <v>-8.4831719043448495E-2</v>
      </c>
      <c r="IQ5" s="2">
        <f>0.259093531604587*(1)</f>
        <v>0.25909353160458698</v>
      </c>
      <c r="IR5" s="2">
        <f>0.189792386989075*(1)</f>
        <v>0.189792386989075</v>
      </c>
      <c r="IS5" s="2">
        <f>-0.276410629660636*(1)</f>
        <v>-0.27641062966063601</v>
      </c>
      <c r="IT5" s="2">
        <f>0.21631551341005*(1)</f>
        <v>0.21631551341005001</v>
      </c>
      <c r="IU5" s="2">
        <f>0.431818148984265*(1)</f>
        <v>0.43181814898426502</v>
      </c>
      <c r="IV5" s="2">
        <f>0.184917232872584*(1)</f>
        <v>0.18491723287258399</v>
      </c>
      <c r="IW5" s="2">
        <f>-0.191551519985678*(1)</f>
        <v>-0.19155151998567799</v>
      </c>
      <c r="IX5" s="2">
        <f>-0.154977663017924*(1)</f>
        <v>-0.15497766301792401</v>
      </c>
      <c r="IY5" s="2">
        <f>-0.0459123612707996*(1)</f>
        <v>-4.5912361270799597E-2</v>
      </c>
      <c r="IZ5" s="2">
        <f>-0.0942536313545044*(1)</f>
        <v>-9.4253631354504402E-2</v>
      </c>
      <c r="JA5" s="2">
        <f>-0.15759686906963*(1)</f>
        <v>-0.15759686906963</v>
      </c>
      <c r="JB5" s="2">
        <f>0.372749668196673*(1)</f>
        <v>0.37274966819667299</v>
      </c>
      <c r="JC5" s="2">
        <f>-0.265619966519819*(1)</f>
        <v>-0.26561996651981901</v>
      </c>
      <c r="JD5" s="2">
        <f>0.385885527427664*(1)</f>
        <v>0.38588552742766402</v>
      </c>
      <c r="JE5" s="2">
        <f>0.797261556021129*(1)</f>
        <v>0.79726155602112903</v>
      </c>
      <c r="JF5" s="2">
        <f>0.134500136273578*(1)</f>
        <v>0.13450013627357801</v>
      </c>
      <c r="JG5" s="2">
        <f>-0.186193527212453*(1)</f>
        <v>-0.186193527212453</v>
      </c>
      <c r="JH5" s="2">
        <f>0.0608870681786133*(1)</f>
        <v>6.08870681786133E-2</v>
      </c>
      <c r="JI5" s="2">
        <f>0.256447281973476*(1)</f>
        <v>0.25644728197347599</v>
      </c>
      <c r="JJ5" s="2">
        <f>0.303794685970099*(1)</f>
        <v>0.30379468597009901</v>
      </c>
      <c r="JK5" s="2">
        <f>0.388277909871439*(1)</f>
        <v>0.38827790987143901</v>
      </c>
      <c r="JL5" s="2">
        <f>0.355103309649055*(1)</f>
        <v>0.35510330964905501</v>
      </c>
      <c r="JM5" s="2">
        <f>-0.251959846806036*(1)</f>
        <v>-0.251959846806036</v>
      </c>
      <c r="JN5" s="2">
        <f>0.323601063412066*(1)</f>
        <v>0.32360106341206601</v>
      </c>
      <c r="JO5" s="2">
        <f>0.686629757416395*(1)</f>
        <v>0.68662975741639498</v>
      </c>
      <c r="JP5" s="2">
        <f>-0.418737503147337*(1)</f>
        <v>-0.41873750314733699</v>
      </c>
      <c r="JQ5" s="2">
        <f>-0.31037431750367*(1)</f>
        <v>-0.31037431750367001</v>
      </c>
      <c r="JR5" s="2">
        <f>-0.0121773077264529*(1)</f>
        <v>-1.21773077264529E-2</v>
      </c>
      <c r="JS5" s="2">
        <f>0.01025944042961*(1)</f>
        <v>1.025944042961E-2</v>
      </c>
      <c r="JT5" s="2">
        <f>-0.142412593354872*(1)</f>
        <v>-0.142412593354872</v>
      </c>
      <c r="JU5" s="2">
        <f>0.437382444372177*(1)</f>
        <v>0.43738244437217699</v>
      </c>
      <c r="JV5" s="2">
        <f>0.241552613707602*(1)</f>
        <v>0.241552613707602</v>
      </c>
      <c r="JW5" s="2">
        <f>-0.65282621879907*(1)</f>
        <v>-0.65282621879906999</v>
      </c>
      <c r="JX5" s="2">
        <f>0.0498430712987048*(1)</f>
        <v>4.98430712987048E-2</v>
      </c>
      <c r="JY5" s="2">
        <f>0.254708999011722*(1)</f>
        <v>0.254708999011722</v>
      </c>
      <c r="JZ5" s="2">
        <f>0.0521521806742653*(1)</f>
        <v>5.2152180674265303E-2</v>
      </c>
      <c r="KA5" s="2">
        <f>-0.315291659494189*(1)</f>
        <v>-0.31529165949418902</v>
      </c>
      <c r="KB5" s="2">
        <f>-0.588573325502601*(1)</f>
        <v>-0.588573325502601</v>
      </c>
      <c r="KC5" s="2">
        <f>-0.393594923017951*(1)</f>
        <v>-0.39359492301795101</v>
      </c>
      <c r="KD5" s="2">
        <f>0.00245895290959791*(1)</f>
        <v>2.4589529095979099E-3</v>
      </c>
      <c r="KE5" s="2">
        <f>-0.438923021708781*(1)</f>
        <v>-0.438923021708781</v>
      </c>
      <c r="KF5" s="2">
        <f>0.493579684279311*(1)</f>
        <v>0.49357968427931098</v>
      </c>
      <c r="KG5" s="2">
        <f>-0.193860033264052*(1)</f>
        <v>-0.19386003326405199</v>
      </c>
      <c r="KH5" s="2">
        <f>-0.0520858088299157*(1)</f>
        <v>-5.2085808829915703E-2</v>
      </c>
      <c r="KI5" s="2">
        <f>-0.577563346698686*(1)</f>
        <v>-0.57756334669868603</v>
      </c>
      <c r="KJ5" s="2">
        <f>-0.0688761881489485*(1)</f>
        <v>-6.8876188148948497E-2</v>
      </c>
      <c r="KK5" s="2">
        <f>0.456441057963341*(1)</f>
        <v>0.456441057963341</v>
      </c>
      <c r="KL5" s="2">
        <f>-0.0513683613400879*(1)</f>
        <v>-5.1368361340087897E-2</v>
      </c>
      <c r="KM5" s="2">
        <f>-0.197973345546207*(1)</f>
        <v>-0.19797334554620699</v>
      </c>
      <c r="KN5" s="2">
        <f>-0.168919407456031*(1)</f>
        <v>-0.16891940745603101</v>
      </c>
      <c r="KO5" s="2">
        <f>-0.196864555873261*(1)</f>
        <v>-0.19686455587326099</v>
      </c>
      <c r="KP5" s="2">
        <f>-1.04541020823441*(1)</f>
        <v>-1.0454102082344101</v>
      </c>
      <c r="KQ5" s="2">
        <f>-0.043623498857123*(1)</f>
        <v>-4.3623498857123001E-2</v>
      </c>
      <c r="KR5" s="2">
        <f>0.68730275536413*(1)</f>
        <v>0.68730275536412999</v>
      </c>
      <c r="KS5" s="2">
        <f>0.340340331727099*(1)</f>
        <v>0.34034033172709899</v>
      </c>
      <c r="KT5" s="2">
        <f>0.0978723517653124*(1)</f>
        <v>9.7872351765312393E-2</v>
      </c>
      <c r="KU5" s="2">
        <f>-0.181093458158844*(1)</f>
        <v>-0.18109345815884401</v>
      </c>
      <c r="KV5" s="2">
        <f>-0.0411649337004049*(1)</f>
        <v>-4.1164933700404902E-2</v>
      </c>
      <c r="KW5" s="2">
        <f>-0.0732214403682613*(1)</f>
        <v>-7.3221440368261295E-2</v>
      </c>
      <c r="KX5" s="2">
        <f>-0.11222394822839*(1)</f>
        <v>-0.11222394822839001</v>
      </c>
      <c r="KY5" s="2">
        <f>-0.332613950829162*(1)</f>
        <v>-0.33261395082916201</v>
      </c>
      <c r="KZ5" s="2">
        <f>-0.148504993069319*(1)</f>
        <v>-0.148504993069319</v>
      </c>
      <c r="LA5" s="2">
        <f>-0.066476788706151*(1)</f>
        <v>-6.6476788706150994E-2</v>
      </c>
      <c r="LB5" s="2">
        <f>0.458597348743786*(1)</f>
        <v>0.45859734874378599</v>
      </c>
      <c r="LC5" s="2">
        <f>-0.204809228252132*(1)</f>
        <v>-0.20480922825213199</v>
      </c>
      <c r="LD5" s="2">
        <f>0.174853716719981*(1)</f>
        <v>0.17485371671998101</v>
      </c>
      <c r="LE5" s="2">
        <f>-0.566447054012245*(1)</f>
        <v>-0.56644705401224504</v>
      </c>
      <c r="LF5" s="2">
        <f>0.546446432279443*(1)</f>
        <v>0.54644643227944301</v>
      </c>
      <c r="LG5" s="2">
        <f>0.644779825648914*(1)</f>
        <v>0.64477982564891401</v>
      </c>
      <c r="LH5" s="2">
        <f>0.298985211510288*(1)</f>
        <v>0.29898521151028801</v>
      </c>
      <c r="LI5" s="2">
        <f>-0.268681115792989*(1)</f>
        <v>-0.26868111579298898</v>
      </c>
      <c r="LJ5" s="2">
        <f>0.420979111798691*(1)</f>
        <v>0.42097911179869102</v>
      </c>
      <c r="LK5" s="2">
        <f>-0.490158804190623*(1)</f>
        <v>-0.49015880419062302</v>
      </c>
      <c r="LL5" s="2">
        <f>0.221731845995296*(1)</f>
        <v>0.221731845995296</v>
      </c>
      <c r="LM5" s="2">
        <f>-0.227367766525475*(1)</f>
        <v>-0.227367766525475</v>
      </c>
      <c r="LN5" s="2">
        <f>0.2139287491096*(1)</f>
        <v>0.2139287491096</v>
      </c>
      <c r="LO5" s="2">
        <f>0.0764556816681745*(1)</f>
        <v>7.6455681668174499E-2</v>
      </c>
      <c r="LP5" s="2">
        <f>-0.311236483039804*(1)</f>
        <v>-0.311236483039804</v>
      </c>
      <c r="LQ5" s="2">
        <f>-0.410089989753558*(1)</f>
        <v>-0.41008998975355798</v>
      </c>
      <c r="LR5" s="2">
        <f>-0.0157960195261801*(1)</f>
        <v>-1.5796019526180101E-2</v>
      </c>
      <c r="LS5" s="2">
        <f>0.27055654817283*(1)</f>
        <v>0.27055654817282998</v>
      </c>
      <c r="LT5" s="2">
        <f>-0.506581973909943*(1)</f>
        <v>-0.50658197390994297</v>
      </c>
      <c r="LU5" s="2">
        <f>-0.0635149081479363*(1)</f>
        <v>-6.3514908147936297E-2</v>
      </c>
      <c r="LV5" s="2">
        <f>-0.104921869705116*(1)</f>
        <v>-0.10492186970511599</v>
      </c>
      <c r="LW5" s="2">
        <f>0.420866501136795*(1)</f>
        <v>0.42086650113679502</v>
      </c>
      <c r="LX5" s="2">
        <f>0.26436890198419*(1)</f>
        <v>0.26436890198419</v>
      </c>
      <c r="LY5" s="2">
        <f>-0.0203428627573115*(1)</f>
        <v>-2.0342862757311501E-2</v>
      </c>
      <c r="LZ5" s="2">
        <f>0.32408463014091*(1)</f>
        <v>0.32408463014090999</v>
      </c>
      <c r="MA5" s="2">
        <f>-0.250090813645435*(1)</f>
        <v>-0.25009081364543501</v>
      </c>
      <c r="MB5" s="2">
        <f>0.048972279944179*(1)</f>
        <v>4.8972279944178999E-2</v>
      </c>
      <c r="MC5" s="2">
        <f>-0.0251260272495287*(1)</f>
        <v>-2.5126027249528698E-2</v>
      </c>
      <c r="MD5" s="2">
        <f>1.02301354522399*(1)</f>
        <v>1.0230135452239899</v>
      </c>
      <c r="ME5" s="2">
        <f>-0.29772392333366*(1)</f>
        <v>-0.29772392333365999</v>
      </c>
      <c r="MF5" s="2">
        <f>-0.203125238644199*(1)</f>
        <v>-0.20312523864419901</v>
      </c>
      <c r="MG5" s="2">
        <f>0.00466474717306963*(1)</f>
        <v>4.6647471730696301E-3</v>
      </c>
      <c r="MH5" s="2">
        <f>-0.24185419304018*(1)</f>
        <v>-0.24185419304017999</v>
      </c>
      <c r="MI5" s="2">
        <f>0.170299149513532*(1)</f>
        <v>0.17029914951353201</v>
      </c>
      <c r="MJ5" s="2">
        <f>-0.200284779337783*(1)</f>
        <v>-0.20028477933778299</v>
      </c>
      <c r="MK5" s="2">
        <f>0.104561890465651*(1)</f>
        <v>0.10456189046565099</v>
      </c>
      <c r="ML5" s="2">
        <f>0.244193392806722*(1)</f>
        <v>0.244193392806722</v>
      </c>
      <c r="MM5" s="2">
        <f>0.589287131703025*(1)</f>
        <v>0.58928713170302505</v>
      </c>
      <c r="MN5" s="2">
        <f>-0.120091340234846*(1)</f>
        <v>-0.12009134023484599</v>
      </c>
      <c r="MO5" s="2">
        <f>0.262837196946847*(1)</f>
        <v>0.26283719694684698</v>
      </c>
      <c r="MP5" s="2">
        <f>0.00851771465462231*(1)</f>
        <v>8.5177146546223104E-3</v>
      </c>
      <c r="MQ5" s="2">
        <f>0.561870589150084*(1)</f>
        <v>0.56187058915008403</v>
      </c>
      <c r="MR5" s="2">
        <f>-0.428796919189493*(1)</f>
        <v>-0.42879691918949298</v>
      </c>
      <c r="MS5" s="2">
        <f>0.341318883863578*(1)</f>
        <v>0.341318883863578</v>
      </c>
      <c r="MT5" s="2">
        <f>-0.126598924002127*(1)</f>
        <v>-0.12659892400212699</v>
      </c>
      <c r="MU5" s="2">
        <f>-0.0841031125538444*(1)</f>
        <v>-8.4103112553844395E-2</v>
      </c>
      <c r="MV5" s="2">
        <f>0.515834569748053*(1)</f>
        <v>0.51583456974805297</v>
      </c>
      <c r="MW5" s="2">
        <f>-0.221627908544814*(1)</f>
        <v>-0.22162790854481401</v>
      </c>
      <c r="MX5" s="2">
        <f>0.590434187861903*(1)</f>
        <v>0.59043418786190305</v>
      </c>
      <c r="MY5" s="2">
        <f>-0.147196143187498*(1)</f>
        <v>-0.14719614318749799</v>
      </c>
      <c r="MZ5" s="2">
        <f>-0.429419273608882*(1)</f>
        <v>-0.42941927360888199</v>
      </c>
      <c r="NA5" s="2">
        <f>-0.164205382145949*(1)</f>
        <v>-0.16420538214594901</v>
      </c>
      <c r="NB5" s="2">
        <f>-0.257953704540079*(1)</f>
        <v>-0.25795370454007899</v>
      </c>
      <c r="NC5" s="2">
        <f>-0.25431221764364*(1)</f>
        <v>-0.25431221764363998</v>
      </c>
      <c r="ND5" s="2">
        <f>-0.335211451991766*(1)</f>
        <v>-0.335211451991766</v>
      </c>
      <c r="NE5" s="2">
        <f>-0.305395315434156*(1)</f>
        <v>-0.30539531543415599</v>
      </c>
      <c r="NF5" s="2">
        <f>0.495927613107078*(1)</f>
        <v>0.495927613107078</v>
      </c>
      <c r="NG5" s="2">
        <f>0.0924344672530674*(1)</f>
        <v>9.2434467253067407E-2</v>
      </c>
      <c r="NH5" s="2">
        <f>-0.212909339974557*(1)</f>
        <v>-0.21290933997455699</v>
      </c>
      <c r="NI5" s="2">
        <f>0.374616906198771*(1)</f>
        <v>0.37461690619877103</v>
      </c>
      <c r="NJ5" s="2">
        <f>0.115603628223654*(1)</f>
        <v>0.115603628223654</v>
      </c>
      <c r="NK5" s="2">
        <f>-0.166475596624046*(1)</f>
        <v>-0.16647559662404601</v>
      </c>
      <c r="NL5" s="2">
        <f>0.0865155440651026*(1)</f>
        <v>8.6515544065102604E-2</v>
      </c>
      <c r="NM5" s="2">
        <f>0.220812597590424*(1)</f>
        <v>0.22081259759042399</v>
      </c>
      <c r="NN5" s="2">
        <f>-0.441636817904057*(1)</f>
        <v>-0.44163681790405701</v>
      </c>
      <c r="NO5" s="2">
        <f>0.18062061464072*(1)</f>
        <v>0.18062061464071999</v>
      </c>
      <c r="NP5" s="2">
        <f>0.399714055698427*(1)</f>
        <v>0.399714055698427</v>
      </c>
      <c r="NQ5" s="2">
        <f>0.0480979093802952*(1)</f>
        <v>4.8097909380295199E-2</v>
      </c>
      <c r="NR5" s="2">
        <f>0.546500626621722*(1)</f>
        <v>0.54650062662172205</v>
      </c>
      <c r="NS5" s="2">
        <f>0.182109967030705*(1)</f>
        <v>0.18210996703070501</v>
      </c>
      <c r="NT5" s="2">
        <f>-0.510109972409221*(1)</f>
        <v>-0.51010997240922096</v>
      </c>
      <c r="NU5" s="2">
        <f>-0.594227512713995*(1)</f>
        <v>-0.59422751271399499</v>
      </c>
      <c r="NV5" s="2">
        <f>-0.588761427449668*(1)</f>
        <v>-0.58876142744966797</v>
      </c>
      <c r="NW5" s="2">
        <f>-0.0627467937367565*(1)</f>
        <v>-6.2746793736756498E-2</v>
      </c>
      <c r="NX5" s="2">
        <f>-0.669711516436426*(1)</f>
        <v>-0.66971151643642601</v>
      </c>
      <c r="NY5" s="2">
        <f>-0.11846541352892*(1)</f>
        <v>-0.11846541352892</v>
      </c>
      <c r="NZ5" s="2">
        <f>0.569421443332226*(1)</f>
        <v>0.569421443332226</v>
      </c>
      <c r="OA5" s="2">
        <f>0.355887136401361*(1)</f>
        <v>0.35588713640136099</v>
      </c>
      <c r="OB5" s="2">
        <f>0.411043614497345*(1)</f>
        <v>0.411043614497345</v>
      </c>
      <c r="OC5" s="2">
        <f>-0.419554232530777*(1)</f>
        <v>-0.419554232530777</v>
      </c>
      <c r="OD5" s="2">
        <f>0.171157666855661*(1)</f>
        <v>0.171157666855661</v>
      </c>
      <c r="OE5" s="2">
        <f>-0.541856290195609*(1)</f>
        <v>-0.54185629019560899</v>
      </c>
      <c r="OF5" s="2">
        <f>0.0960113205283581*(1)</f>
        <v>9.6011320528358104E-2</v>
      </c>
      <c r="OG5" s="2">
        <f>0.164041121206536*(1)</f>
        <v>0.16404112120653599</v>
      </c>
      <c r="OH5" s="2">
        <f>-0.370836853816546*(1)</f>
        <v>-0.37083685381654602</v>
      </c>
      <c r="OI5" s="2">
        <f>0.488141287070979*(1)</f>
        <v>0.48814128707097898</v>
      </c>
      <c r="OJ5" s="2">
        <f>0.270116343033414*(1)</f>
        <v>0.27011634303341397</v>
      </c>
      <c r="OK5" s="2">
        <f>-0.179999260065082*(1)</f>
        <v>-0.17999926006508199</v>
      </c>
      <c r="OL5" s="2">
        <f>-1.01173022994608*(1)</f>
        <v>-1.01173022994608</v>
      </c>
      <c r="OM5" s="2">
        <f>-0.237888995240704*(1)</f>
        <v>-0.237888995240704</v>
      </c>
      <c r="ON5" s="2">
        <f>0.367944364339786*(1)</f>
        <v>0.367944364339786</v>
      </c>
      <c r="OO5" s="2">
        <f>-0.36029016997708*(1)</f>
        <v>-0.36029016997708002</v>
      </c>
      <c r="OP5" s="2">
        <f>0.212426214031574*(1)</f>
        <v>0.212426214031574</v>
      </c>
      <c r="OQ5" s="2">
        <f>0.596107966138167*(1)</f>
        <v>0.59610796613816697</v>
      </c>
      <c r="OR5" s="2">
        <f>-0.5260585774641*(1)</f>
        <v>-0.52605857746410001</v>
      </c>
      <c r="OS5" s="2">
        <f>0.813514263762799*(1)</f>
        <v>0.81351426376279901</v>
      </c>
      <c r="OT5" s="2">
        <f>-0.297046726496366*(1)</f>
        <v>-0.29704672649636599</v>
      </c>
      <c r="OU5" s="2">
        <f>-0.571597893993029*(1)</f>
        <v>-0.57159789399302896</v>
      </c>
      <c r="OV5" s="2">
        <f>0.077060503248591*(1)</f>
        <v>7.7060503248590997E-2</v>
      </c>
      <c r="OW5" s="2">
        <f>0.541658068609761*(1)</f>
        <v>0.54165806860976096</v>
      </c>
      <c r="OX5" s="2">
        <f>0.0582859666922872*(1)</f>
        <v>5.8285966692287201E-2</v>
      </c>
      <c r="OY5" s="2">
        <f>0.215846118187341*(1)</f>
        <v>0.21584611818734101</v>
      </c>
      <c r="OZ5" s="2">
        <f>-0.609194408336378*(1)</f>
        <v>-0.60919440833637795</v>
      </c>
      <c r="PA5" s="2">
        <f>0.503796461696072*(1)</f>
        <v>0.50379646169607195</v>
      </c>
      <c r="PB5" s="2">
        <f>0.329031663534697*(1)</f>
        <v>0.32903166353469698</v>
      </c>
      <c r="PC5" s="2">
        <f>-0.35644109354589*(1)</f>
        <v>-0.35644109354588999</v>
      </c>
      <c r="PD5" s="2">
        <f>0.0424677942452807*(1)</f>
        <v>4.2467794245280702E-2</v>
      </c>
      <c r="PE5" s="2">
        <f>0.0541911157520583*(1)</f>
        <v>5.4191115752058303E-2</v>
      </c>
      <c r="PF5" s="2">
        <f>-0.308285684982674*(1)</f>
        <v>-0.308285684982674</v>
      </c>
      <c r="PG5" s="2">
        <f>0.273329237367025*(1)</f>
        <v>0.27332923736702502</v>
      </c>
      <c r="PH5" s="2">
        <f>-0.462765652642365*(1)</f>
        <v>-0.46276565264236502</v>
      </c>
      <c r="PI5" s="2">
        <f>-0.360286621481738*(1)</f>
        <v>-0.36028662148173801</v>
      </c>
      <c r="PJ5" s="2">
        <f>-0.00161275264473796*(1)</f>
        <v>-1.6127526447379599E-3</v>
      </c>
      <c r="PK5" s="2">
        <f>0.0116281718502729*(1)</f>
        <v>1.16281718502729E-2</v>
      </c>
      <c r="PL5" s="2">
        <f>-0.201999232428057*(1)</f>
        <v>-0.20199923242805701</v>
      </c>
      <c r="PM5" s="2">
        <f>-0.200235546025327*(1)</f>
        <v>-0.200235546025327</v>
      </c>
      <c r="PN5" s="2">
        <f>0.206607137265185*(1)</f>
        <v>0.20660713726518501</v>
      </c>
      <c r="PO5" s="2">
        <f>0.204041774832865*(1)</f>
        <v>0.20404177483286501</v>
      </c>
      <c r="PP5" s="2">
        <f>-0.238752373023791*(1)</f>
        <v>-0.23875237302379099</v>
      </c>
      <c r="PQ5" s="2">
        <f>0.0886721718604756*(1)</f>
        <v>8.8672171860475602E-2</v>
      </c>
      <c r="PR5" s="2">
        <f>-0.386871920152693*(1)</f>
        <v>-0.38687192015269301</v>
      </c>
      <c r="PS5" s="2">
        <f>0.462642736976306*(1)</f>
        <v>0.46264273697630598</v>
      </c>
      <c r="PT5" s="2">
        <f>0.254704124306061*(1)</f>
        <v>0.25470412430606099</v>
      </c>
      <c r="PU5" s="2">
        <f>0.124203724069943*(1)</f>
        <v>0.124203724069943</v>
      </c>
      <c r="PV5" s="2">
        <f>0.197572190879088*(1)</f>
        <v>0.19757219087908801</v>
      </c>
      <c r="PW5" s="2">
        <f>-0.00858307756313566*(1)</f>
        <v>-8.5830775631356594E-3</v>
      </c>
      <c r="PX5" s="2">
        <f>0.0455914640957469*(1)</f>
        <v>4.5591464095746902E-2</v>
      </c>
      <c r="PY5" s="2">
        <f>-0.463175817138781*(1)</f>
        <v>-0.46317581713878098</v>
      </c>
      <c r="PZ5" s="2">
        <f>-0.163039534856948*(1)</f>
        <v>-0.163039534856948</v>
      </c>
      <c r="QA5" s="2">
        <f>0.243912090520563*(1)</f>
        <v>0.24391209052056301</v>
      </c>
      <c r="QB5" s="2">
        <f>0.289580249627309*(1)</f>
        <v>0.28958024962730899</v>
      </c>
      <c r="QC5" s="2">
        <f>-0.166985733662578*(1)</f>
        <v>-0.16698573366257799</v>
      </c>
      <c r="QD5" s="2">
        <f>-0.461257714530917*(1)</f>
        <v>-0.46125771453091702</v>
      </c>
      <c r="QE5" s="2">
        <f>0.585380595920034*(1)</f>
        <v>0.585380595920034</v>
      </c>
      <c r="QF5" s="2">
        <f>0.175512507262156*(1)</f>
        <v>0.175512507262156</v>
      </c>
      <c r="QG5" s="2">
        <f>-0.487243004572588*(1)</f>
        <v>-0.48724300457258801</v>
      </c>
      <c r="QH5" s="2">
        <f>0.20878085982963*(1)</f>
        <v>0.20878085982962999</v>
      </c>
      <c r="QI5" s="2">
        <f>0.168592700977382*(1)</f>
        <v>0.16859270097738199</v>
      </c>
      <c r="QJ5" s="2">
        <f>-0.0202461612940273*(1)</f>
        <v>-2.0246161294027301E-2</v>
      </c>
      <c r="QK5" s="2">
        <f>0.130296987243823*(1)</f>
        <v>0.13029698724382299</v>
      </c>
      <c r="QL5" s="2">
        <f>0.00346356911962273*(1)</f>
        <v>3.4635691196227298E-3</v>
      </c>
      <c r="QM5" s="2">
        <f>0.179232845291225*(1)</f>
        <v>0.17923284529122499</v>
      </c>
      <c r="QN5" s="2">
        <f>-0.375752897310107*(1)</f>
        <v>-0.37575289731010703</v>
      </c>
      <c r="QO5" s="2">
        <f>-0.299787715095947*(1)</f>
        <v>-0.29978771509594698</v>
      </c>
      <c r="QP5" s="2">
        <f>0.00170919326850281*(1)</f>
        <v>1.70919326850281E-3</v>
      </c>
      <c r="QQ5" s="2">
        <f>-0.0230279770367741*(1)</f>
        <v>-2.3027977036774099E-2</v>
      </c>
      <c r="QR5" s="2">
        <f>-0.512409178933425*(1)</f>
        <v>-0.51240917893342497</v>
      </c>
      <c r="QS5" s="2">
        <f>0.193206026364018*(1)</f>
        <v>0.19320602636401801</v>
      </c>
      <c r="QT5" s="2">
        <f>0.608576434735498*(1)</f>
        <v>0.60857643473549805</v>
      </c>
      <c r="QU5" s="2">
        <f>-0.118290228625955*(1)</f>
        <v>-0.11829022862595499</v>
      </c>
      <c r="QV5" s="2">
        <f>-0.0881285916492348*(1)</f>
        <v>-8.8128591649234797E-2</v>
      </c>
      <c r="QW5" s="2">
        <f>0.011976172509871*(1)</f>
        <v>1.1976172509871E-2</v>
      </c>
      <c r="QX5" s="2">
        <f>-0.869869370364303*(1)</f>
        <v>-0.86986937036430301</v>
      </c>
      <c r="QY5" s="2">
        <f>0.607369011554546*(1)</f>
        <v>0.60736901155454603</v>
      </c>
      <c r="QZ5" s="2">
        <f>0.287803876049165*(1)</f>
        <v>0.28780387604916502</v>
      </c>
      <c r="RA5" s="2">
        <f>0.21658559097777*(1)</f>
        <v>0.21658559097777</v>
      </c>
      <c r="RB5" s="2">
        <f>-0.198005781924338*(1)</f>
        <v>-0.19800578192433799</v>
      </c>
      <c r="RC5" s="2">
        <f>0.472933683843028*(1)</f>
        <v>0.47293368384302797</v>
      </c>
      <c r="RD5" s="2">
        <f>-0.11914514511017*(1)</f>
        <v>-0.11914514511017001</v>
      </c>
      <c r="RE5" s="2">
        <f>0.258188016771027*(1)</f>
        <v>0.25818801677102698</v>
      </c>
      <c r="RF5" s="2">
        <f>-0.182503213128759*(1)</f>
        <v>-0.182503213128759</v>
      </c>
      <c r="RG5" s="2">
        <f>0.878841168807349*(1)</f>
        <v>0.87884116880734897</v>
      </c>
      <c r="RH5" s="2">
        <f>-0.394978250963476*(1)</f>
        <v>-0.394978250963476</v>
      </c>
      <c r="RI5" s="2">
        <f>0.254453051113469*(1)</f>
        <v>0.254453051113469</v>
      </c>
      <c r="RJ5" s="2">
        <f>-0.440430724786676*(1)</f>
        <v>-0.440430724786676</v>
      </c>
      <c r="RK5" s="2">
        <f>-0.229518815121989*(1)</f>
        <v>-0.22951881512198899</v>
      </c>
      <c r="RL5" s="2">
        <f>-0.155726486221077*(1)</f>
        <v>-0.15572648622107699</v>
      </c>
      <c r="RM5" s="2">
        <f>-0.0926420899876881*(1)</f>
        <v>-9.2642089987688095E-2</v>
      </c>
      <c r="RN5" s="2">
        <f>-0.291796620029589*(1)</f>
        <v>-0.291796620029589</v>
      </c>
      <c r="RO5" s="2">
        <f>0.0106464327011345*(1)</f>
        <v>1.06464327011345E-2</v>
      </c>
      <c r="RP5" s="2">
        <f>-0.645735175104607*(1)</f>
        <v>-0.64573517510460698</v>
      </c>
      <c r="RQ5" s="2">
        <f>-0.0364875738203509*(1)</f>
        <v>-3.6487573820350901E-2</v>
      </c>
      <c r="RR5" s="2">
        <f>0.159863963080141*(1)</f>
        <v>0.159863963080141</v>
      </c>
      <c r="RS5" s="2">
        <f>-0.442535529808205*(1)</f>
        <v>-0.44253552980820499</v>
      </c>
      <c r="RT5" s="2">
        <f>0.793982230310609*(1)</f>
        <v>0.79398223031060899</v>
      </c>
      <c r="RU5" s="2">
        <f>-0.321548445534802*(1)</f>
        <v>-0.321548445534802</v>
      </c>
      <c r="RV5" s="2">
        <f>-0.630224261672692*(1)</f>
        <v>-0.63022426167269197</v>
      </c>
      <c r="RW5" s="2">
        <f>0.376160039333572*(1)</f>
        <v>0.376160039333572</v>
      </c>
      <c r="RX5" s="2">
        <f>0.914109906746822*(1)</f>
        <v>0.91410990674682202</v>
      </c>
      <c r="RY5" s="2">
        <f>-0.0477528680029065*(1)</f>
        <v>-4.7752868002906498E-2</v>
      </c>
      <c r="RZ5" s="2">
        <f>-0.286258005527927*(1)</f>
        <v>-0.28625800552792702</v>
      </c>
      <c r="SA5" s="2">
        <f>0.784610630487797*(1)</f>
        <v>0.784610630487797</v>
      </c>
      <c r="SB5" s="2">
        <f>-0.591367299864937*(1)</f>
        <v>-0.59136729986493697</v>
      </c>
      <c r="SC5" s="2">
        <f>0.127077685064741*(1)</f>
        <v>0.12707768506474099</v>
      </c>
      <c r="SD5" s="2">
        <f>0.398484609018634*(1)</f>
        <v>0.39848460901863397</v>
      </c>
      <c r="SE5" s="2">
        <f>0.461508079191328*(1)</f>
        <v>0.46150807919132802</v>
      </c>
      <c r="SF5" s="2">
        <f>0.0527168469790976*(1)</f>
        <v>5.2716846979097599E-2</v>
      </c>
      <c r="SG5" s="2">
        <f>0.0163459837676441*(1)</f>
        <v>1.6345983767644099E-2</v>
      </c>
      <c r="SH5" s="2">
        <f>0.158792119123022*(1)</f>
        <v>0.15879211912302199</v>
      </c>
      <c r="SI5" s="2">
        <f>0.301183858564976*(1)</f>
        <v>0.30118385856497598</v>
      </c>
      <c r="SJ5" s="2">
        <f>0.223833749947323*(1)</f>
        <v>0.223833749947323</v>
      </c>
      <c r="SK5" s="2">
        <f>0.0602700536730832*(1)</f>
        <v>6.0270053673083197E-2</v>
      </c>
      <c r="SL5" s="2">
        <f>-0.165352782766608*(1)</f>
        <v>-0.165352782766608</v>
      </c>
      <c r="SM5" s="2">
        <f>0.180025449204156*(1)</f>
        <v>0.180025449204156</v>
      </c>
      <c r="SN5" s="2">
        <f>-0.297883114849947*(1)</f>
        <v>-0.29788311484994701</v>
      </c>
      <c r="SO5" s="2">
        <f>0.324664362586818*(1)</f>
        <v>0.32466436258681802</v>
      </c>
      <c r="SP5" s="2">
        <f>0.195632653334769*(1)</f>
        <v>0.19563265333476901</v>
      </c>
      <c r="SQ5" s="2">
        <f>-0.117283902819684*(1)</f>
        <v>-0.117283902819684</v>
      </c>
      <c r="SR5" s="2">
        <f>0.139328944589904*(1)</f>
        <v>0.139328944589904</v>
      </c>
      <c r="SS5" s="2">
        <f>0.41901792172223*(1)</f>
        <v>0.41901792172223001</v>
      </c>
      <c r="ST5" s="2">
        <f>-0.742953256718636*(1)</f>
        <v>-0.74295325671863599</v>
      </c>
      <c r="SU5" s="2">
        <f>0.473885775887142*(1)</f>
        <v>0.47388577588714198</v>
      </c>
      <c r="SV5" s="2">
        <f>-0.416708661107339*(1)</f>
        <v>-0.41670866110733901</v>
      </c>
      <c r="SW5" s="2">
        <f>0.0504430587500812*(1)</f>
        <v>5.0443058750081197E-2</v>
      </c>
      <c r="SX5" s="2">
        <f>-0.455905784140146*(1)</f>
        <v>-0.45590578414014599</v>
      </c>
      <c r="SY5" s="2">
        <f>0.163875122223304*(1)</f>
        <v>0.163875122223304</v>
      </c>
      <c r="SZ5" s="2">
        <f>0.375103550530743*(1)</f>
        <v>0.37510355053074301</v>
      </c>
      <c r="TA5" s="2">
        <f>-0.264879811345293*(1)</f>
        <v>-0.26487981134529298</v>
      </c>
      <c r="TB5" s="2">
        <f>-0.589908710676061*(1)</f>
        <v>-0.58990871067606099</v>
      </c>
      <c r="TC5" s="2">
        <f>0.3237066180305*(1)</f>
        <v>0.32370661803049999</v>
      </c>
      <c r="TD5" s="2">
        <f>0.146850521846462*(1)</f>
        <v>0.146850521846462</v>
      </c>
      <c r="TE5" s="2">
        <f>-0.729504228193279*(1)</f>
        <v>-0.72950422819327898</v>
      </c>
      <c r="TF5" s="2">
        <f>-0.250565324889353*(1)</f>
        <v>-0.25056532488935301</v>
      </c>
      <c r="TG5" s="2">
        <f>0.353822266910572*(1)</f>
        <v>0.353822266910572</v>
      </c>
      <c r="TH5" s="2">
        <f>0.212701001650531*(1)</f>
        <v>0.21270100165053099</v>
      </c>
      <c r="TI5" s="2">
        <f>-0.434713678601971*(1)</f>
        <v>-0.43471367860197102</v>
      </c>
      <c r="TJ5" s="2">
        <f>-0.539143856606151*(1)</f>
        <v>-0.53914385660615105</v>
      </c>
      <c r="TK5" s="2">
        <f>0.481742557650765*(1)</f>
        <v>0.48174255765076501</v>
      </c>
      <c r="TL5" s="2">
        <f>0.608895071311072*(1)</f>
        <v>0.60889507131107201</v>
      </c>
      <c r="TM5" s="2">
        <f>-0.536608866108527*(1)</f>
        <v>-0.53660886610852698</v>
      </c>
      <c r="TN5" s="2">
        <f>0.0389616701074258*(1)</f>
        <v>3.8961670107425801E-2</v>
      </c>
      <c r="TO5" s="2">
        <f>-0.0522870272016105*(1)</f>
        <v>-5.2287027201610499E-2</v>
      </c>
      <c r="TP5" s="2">
        <f>0.0509615137280112*(1)</f>
        <v>5.09615137280112E-2</v>
      </c>
      <c r="TQ5" s="2">
        <f>1.02682406916903*(1)</f>
        <v>1.02682406916903</v>
      </c>
      <c r="TR5" s="2">
        <f>0.10004928518553*(1)</f>
        <v>0.10004928518553</v>
      </c>
      <c r="TS5" s="2">
        <f>-0.0664166589998807*(1)</f>
        <v>-6.6416658999880696E-2</v>
      </c>
      <c r="TT5" s="2">
        <f>-0.0301801082158368*(1)</f>
        <v>-3.01801082158368E-2</v>
      </c>
      <c r="TU5" s="2">
        <f>0.0500248864804358*(1)</f>
        <v>5.00248864804358E-2</v>
      </c>
      <c r="TV5" s="2">
        <f>-0.0754286347647611*(1)</f>
        <v>-7.5428634764761096E-2</v>
      </c>
      <c r="TW5" s="2">
        <f>-0.352344555859014*(1)</f>
        <v>-0.35234455585901397</v>
      </c>
      <c r="TX5" s="2">
        <f>-1.0421995294638*(1)</f>
        <v>-1.0421995294638</v>
      </c>
      <c r="TY5" s="2">
        <f>0.331797258839158*(1)</f>
        <v>0.331797258839158</v>
      </c>
      <c r="TZ5" s="2">
        <f>0.560840823770813*(1)</f>
        <v>0.56084082377081301</v>
      </c>
      <c r="UA5" s="2">
        <f>-0.0265155333281926*(1)</f>
        <v>-2.6515533328192599E-2</v>
      </c>
      <c r="UB5" s="2">
        <f>0.229377952208305*(1)</f>
        <v>0.22937795220830501</v>
      </c>
      <c r="UC5" s="2">
        <f>0.793522654287465*(1)</f>
        <v>0.79352265428746505</v>
      </c>
      <c r="UD5" s="2">
        <f>-0.100397562295431*(1)</f>
        <v>-0.10039756229543099</v>
      </c>
      <c r="UE5" s="2">
        <f>-0.508894431372068*(1)</f>
        <v>-0.50889443137206802</v>
      </c>
      <c r="UF5" s="2">
        <f>0.246195481892563*(1)</f>
        <v>0.24619548189256299</v>
      </c>
      <c r="UG5" s="2">
        <f>0.689779210601921*(1)</f>
        <v>0.68977921060192104</v>
      </c>
      <c r="UH5" s="2">
        <f>-0.239977004312167*(1)</f>
        <v>-0.23997700431216701</v>
      </c>
      <c r="UI5" s="2">
        <f>-0.212173586349741*(1)</f>
        <v>-0.21217358634974101</v>
      </c>
      <c r="UJ5" s="2">
        <f>-0.0755158465783758*(1)</f>
        <v>-7.5515846578375803E-2</v>
      </c>
      <c r="UK5" s="2">
        <f>0.302711847132513*(1)</f>
        <v>0.30271184713251298</v>
      </c>
      <c r="UL5" s="2">
        <f>-0.258721115604616*(1)</f>
        <v>-0.25872111560461603</v>
      </c>
      <c r="UM5" s="2">
        <f>0.245764694850484*(1)</f>
        <v>0.24576469485048399</v>
      </c>
      <c r="UN5" s="2">
        <f>0.0861394949300865*(1)</f>
        <v>8.6139494930086505E-2</v>
      </c>
      <c r="UO5" s="2">
        <f>-0.0766573082920399*(1)</f>
        <v>-7.66573082920399E-2</v>
      </c>
      <c r="UP5" s="2">
        <f>-0.19463290629388*(1)</f>
        <v>-0.19463290629388</v>
      </c>
      <c r="UQ5" s="2">
        <f>0.135803101634964*(1)</f>
        <v>0.13580310163496401</v>
      </c>
      <c r="UR5" s="2">
        <f>0.0422958719554652*(1)</f>
        <v>4.2295871955465199E-2</v>
      </c>
      <c r="US5" s="2">
        <f>-0.821363295044943*(1)</f>
        <v>-0.82136329504494299</v>
      </c>
      <c r="UT5" s="2">
        <f>0.290013107002944*(1)</f>
        <v>0.29001310700294403</v>
      </c>
      <c r="UU5" s="2">
        <f>-0.505885577439885*(1)</f>
        <v>-0.50588557743988505</v>
      </c>
      <c r="UV5" s="2">
        <f>-0.197497366718075*(1)</f>
        <v>-0.197497366718075</v>
      </c>
      <c r="UW5" s="2">
        <f>-0.2563878087309*(1)</f>
        <v>-0.2563878087309</v>
      </c>
      <c r="UX5" s="2">
        <f>0.294619082998998*(1)</f>
        <v>0.29461908299899803</v>
      </c>
      <c r="UY5" s="2">
        <f>-0.173094250092127*(1)</f>
        <v>-0.17309425009212701</v>
      </c>
      <c r="UZ5" s="2">
        <f>0.0277964114001738*(1)</f>
        <v>2.77964114001738E-2</v>
      </c>
      <c r="VA5" s="2">
        <f>-1.48694067889847*(1)</f>
        <v>-1.48694067889847</v>
      </c>
      <c r="VB5" s="2">
        <f>1.21866747635368*(1)</f>
        <v>1.21866747635368</v>
      </c>
      <c r="VC5" s="2">
        <f>0.0352296391606908*(1)</f>
        <v>3.5229639160690801E-2</v>
      </c>
      <c r="VD5" s="2">
        <f>-0.879333917954808*(1)</f>
        <v>-0.87933391795480798</v>
      </c>
      <c r="VE5" s="2">
        <f>0.110927869456093*(1)</f>
        <v>0.110927869456093</v>
      </c>
      <c r="VF5" s="2">
        <f>0.425205101336123*(1)</f>
        <v>0.42520510133612299</v>
      </c>
      <c r="VG5" s="2">
        <f>-0.512561067523849*(1)</f>
        <v>-0.512561067523849</v>
      </c>
      <c r="VH5" s="2">
        <f>0.158414272748493*(1)</f>
        <v>0.15841427274849301</v>
      </c>
      <c r="VI5" s="2">
        <f>0.217233423654027*(1)</f>
        <v>0.21723342365402701</v>
      </c>
      <c r="VJ5" s="2">
        <f>-0.0227576798387854*(1)</f>
        <v>-2.2757679838785402E-2</v>
      </c>
      <c r="VK5" s="2">
        <f>-0.0818817793681817*(1)</f>
        <v>-8.1881779368181695E-2</v>
      </c>
      <c r="VL5" s="2">
        <f>-0.246743969987899*(1)</f>
        <v>-0.24674396998789899</v>
      </c>
      <c r="VM5" s="2">
        <f>-0.119583893377065*(1)</f>
        <v>-0.119583893377065</v>
      </c>
      <c r="VN5" s="2">
        <f>0.34554895647402*(1)</f>
        <v>0.34554895647402001</v>
      </c>
      <c r="VO5" s="2">
        <f>-0.149169542130011*(1)</f>
        <v>-0.14916954213001099</v>
      </c>
      <c r="VP5" s="2">
        <f>1.09908919740334*(1)</f>
        <v>1.0990891974033401</v>
      </c>
      <c r="VQ5" s="2">
        <f>0.0629807360589798*(1)</f>
        <v>6.2980736058979803E-2</v>
      </c>
      <c r="VR5" s="2">
        <f>-0.0693293663195046*(1)</f>
        <v>-6.9329366319504607E-2</v>
      </c>
      <c r="VS5" s="2">
        <f>0.0857678089498946*(1)</f>
        <v>8.5767808949894594E-2</v>
      </c>
      <c r="VT5" s="2">
        <f>0.623581707406231*(1)</f>
        <v>0.62358170740623098</v>
      </c>
      <c r="VU5" s="2">
        <f>-0.270633896404869*(1)</f>
        <v>-0.27063389640486901</v>
      </c>
      <c r="VV5" s="2">
        <f>-0.175287079473093*(1)</f>
        <v>-0.17528707947309299</v>
      </c>
      <c r="VW5" s="2">
        <f>-0.0541178078486869*(1)</f>
        <v>-5.4117807848686902E-2</v>
      </c>
      <c r="VX5" s="2">
        <f>-1.05838526346099*(1)</f>
        <v>-1.05838526346099</v>
      </c>
      <c r="VY5" s="2">
        <f>1.19440908437098*(1)</f>
        <v>1.19440908437098</v>
      </c>
      <c r="VZ5" s="2">
        <f>-0.138748399970493*(1)</f>
        <v>-0.13874839997049301</v>
      </c>
      <c r="WA5" s="2">
        <f>-0.726358424447036*(1)</f>
        <v>-0.72635842444703602</v>
      </c>
      <c r="WB5" s="2">
        <f>0.441609755638257*(1)</f>
        <v>0.441609755638257</v>
      </c>
      <c r="WC5" s="2">
        <f>-0.202044362595619*(1)</f>
        <v>-0.202044362595619</v>
      </c>
      <c r="WD5" s="2">
        <f>-0.52003767338545*(1)</f>
        <v>-0.52003767338545004</v>
      </c>
      <c r="WE5" s="2">
        <f>-0.269043549597672*(1)</f>
        <v>-0.26904354959767202</v>
      </c>
      <c r="WF5" s="2">
        <f>-0.623747371416099*(1)</f>
        <v>-0.62374737141609904</v>
      </c>
      <c r="WG5" s="2">
        <f>-0.647215221821859*(1)</f>
        <v>-0.64721522182185898</v>
      </c>
      <c r="WH5" s="2">
        <f>-0.520609559902573*(1)</f>
        <v>-0.52060955990257296</v>
      </c>
      <c r="WI5" s="2">
        <f>-0.613907670071953*(1)</f>
        <v>-0.61390767007195302</v>
      </c>
      <c r="WJ5" s="2">
        <f>-0.0162818679920804*(1)</f>
        <v>-1.6281867992080399E-2</v>
      </c>
      <c r="WK5" s="2">
        <f>0.546478583489966*(1)</f>
        <v>0.54647858348996603</v>
      </c>
      <c r="WL5" s="2">
        <f>-1.30979273881152*(1)</f>
        <v>-1.30979273881152</v>
      </c>
      <c r="WM5" s="2">
        <f>0.223153363623108*(1)</f>
        <v>0.223153363623108</v>
      </c>
      <c r="WN5" s="2">
        <f>-0.56816208798662*(1)</f>
        <v>-0.56816208798662005</v>
      </c>
      <c r="WO5" s="2">
        <f>0.435109701989063*(1)</f>
        <v>0.43510970198906301</v>
      </c>
      <c r="WP5" s="2">
        <f>0.0872586801424584*(1)</f>
        <v>8.7258680142458397E-2</v>
      </c>
      <c r="WQ5" s="2">
        <f>0.303323549981349*(1)</f>
        <v>0.30332354998134903</v>
      </c>
      <c r="WR5" s="2">
        <f>-0.0728875481466477*(1)</f>
        <v>-7.2887548146647704E-2</v>
      </c>
      <c r="WS5" s="2">
        <f>0.130753632486244*(1)</f>
        <v>0.130753632486244</v>
      </c>
      <c r="WT5" s="2">
        <f>0.00183517651868793*(1)</f>
        <v>1.8351765186879301E-3</v>
      </c>
      <c r="WU5" s="2">
        <f>-0.655300394705318*(1)</f>
        <v>-0.65530039470531798</v>
      </c>
      <c r="WV5" s="2">
        <f>0.38438264814457*(1)</f>
        <v>0.38438264814457002</v>
      </c>
      <c r="WW5" s="2">
        <f>1.03412152072804*(1)</f>
        <v>1.0341215207280401</v>
      </c>
      <c r="WX5" s="2">
        <f>0.182628821879238*(1)</f>
        <v>0.18262882187923801</v>
      </c>
      <c r="WY5" s="2">
        <f>-0.00873530369628509*(1)</f>
        <v>-8.7353036962850902E-3</v>
      </c>
      <c r="WZ5" s="2">
        <f>2.10646064310411*(1)</f>
        <v>2.1064606431041102</v>
      </c>
      <c r="XA5" s="2">
        <f>0.0701638741184876*(1)</f>
        <v>7.0163874118487596E-2</v>
      </c>
      <c r="XB5" s="2">
        <f>0.204977900128979*(1)</f>
        <v>0.20497790012897901</v>
      </c>
      <c r="XC5" s="2">
        <f>0.137536242039024*(1)</f>
        <v>0.13753624203902401</v>
      </c>
      <c r="XD5" s="2">
        <f>-0.47355265434956*(1)</f>
        <v>-0.47355265434956001</v>
      </c>
      <c r="XE5" s="2">
        <f>0.744521139164523*(1)</f>
        <v>0.744521139164523</v>
      </c>
      <c r="XF5" s="2">
        <f>-1.0430066176435*(1)</f>
        <v>-1.0430066176435</v>
      </c>
      <c r="XG5" s="2">
        <f>0.264904449104403*(1)</f>
        <v>0.26490444910440297</v>
      </c>
      <c r="XH5" s="2">
        <f>-0.162639698939306*(1)</f>
        <v>-0.16263969893930599</v>
      </c>
      <c r="XI5" s="2">
        <f>0.196983361047888*(1)</f>
        <v>0.19698336104788799</v>
      </c>
      <c r="XJ5" s="2">
        <f>-0.0533854569198759*(1)</f>
        <v>-5.3385456919875902E-2</v>
      </c>
      <c r="XK5" s="2">
        <f>0.412503607206094*(1)</f>
        <v>0.41250360720609403</v>
      </c>
      <c r="XL5" s="2">
        <f>-0.0982388008108169*(1)</f>
        <v>-9.8238800810816901E-2</v>
      </c>
      <c r="XM5" s="2">
        <f>0.158664257146008*(1)</f>
        <v>0.15866425714600799</v>
      </c>
      <c r="XN5" s="2">
        <f>-0.406873927607413*(1)</f>
        <v>-0.40687392760741298</v>
      </c>
      <c r="XO5" s="2">
        <f>-0.656483346067556*(1)</f>
        <v>-0.65648334606755598</v>
      </c>
      <c r="XP5" s="2">
        <f>-0.229154991826543*(1)</f>
        <v>-0.229154991826543</v>
      </c>
      <c r="XQ5" s="2">
        <f>-1.78014509085817*(1)</f>
        <v>-1.78014509085817</v>
      </c>
      <c r="XR5" s="2">
        <f>1.2681753449899*(1)</f>
        <v>1.2681753449899</v>
      </c>
      <c r="XS5" s="2">
        <f>0.877073995623835*(1)</f>
        <v>0.87707399562383503</v>
      </c>
      <c r="XT5" s="2">
        <f>0.149185046661057*(1)</f>
        <v>0.149185046661057</v>
      </c>
      <c r="XU5" s="2">
        <f>-0.727079408412288*(1)</f>
        <v>-0.72707940841228802</v>
      </c>
      <c r="XV5" s="2">
        <f>1.02396516635408*(1)</f>
        <v>1.0239651663540801</v>
      </c>
      <c r="XW5" s="2">
        <f>0.326176273317016*(1)</f>
        <v>0.32617627331701599</v>
      </c>
      <c r="XX5" s="2">
        <f>0.576996151886991*(1)</f>
        <v>0.57699615188699105</v>
      </c>
      <c r="XY5" s="2">
        <f>-1.1405590864908*(1)</f>
        <v>-1.1405590864908</v>
      </c>
      <c r="XZ5" s="2">
        <f>0.588317356563743*(1)</f>
        <v>0.58831735656374295</v>
      </c>
      <c r="YA5" s="2">
        <f>0.19069179814662*(1)</f>
        <v>0.19069179814661999</v>
      </c>
      <c r="YB5" s="2">
        <f>0.367759979617217*(1)</f>
        <v>0.36775997961721701</v>
      </c>
      <c r="YC5" s="2">
        <f>0.234450593294536*(1)</f>
        <v>0.23445059329453599</v>
      </c>
      <c r="YD5" s="2">
        <f>0.381859884118785*(1)</f>
        <v>0.38185988411878502</v>
      </c>
      <c r="YE5" s="2">
        <f>-0.135962784575767*(1)</f>
        <v>-0.13596278457576699</v>
      </c>
      <c r="YF5" s="2">
        <f>0.558676793687009*(1)</f>
        <v>0.55867679368700895</v>
      </c>
      <c r="YG5" s="2">
        <f>-0.379523377225208*(1)</f>
        <v>-0.37952337722520801</v>
      </c>
      <c r="YH5" s="2">
        <f>-0.110111128367456*(1)</f>
        <v>-0.110111128367456</v>
      </c>
      <c r="YI5" s="2">
        <f>0.190457561999273*(1)</f>
        <v>0.190457561999273</v>
      </c>
      <c r="YJ5" s="2">
        <f>-0.0974644788855128*(1)</f>
        <v>-9.7464478885512795E-2</v>
      </c>
      <c r="YK5" s="2">
        <f>0.135907145342919*(1)</f>
        <v>0.13590714534291901</v>
      </c>
      <c r="YL5" s="2">
        <f>1.03072411982571*(1)</f>
        <v>1.03072411982571</v>
      </c>
      <c r="YM5" s="2">
        <f>-0.417815239613859*(1)</f>
        <v>-0.41781523961385902</v>
      </c>
      <c r="YN5" s="2">
        <f>-0.131364007514433*(1)</f>
        <v>-0.131364007514433</v>
      </c>
      <c r="YO5" s="2">
        <f>-0.596723764703804*(1)</f>
        <v>-0.59672376470380395</v>
      </c>
      <c r="YP5" s="2">
        <f>0.203234887299199*(1)</f>
        <v>0.203234887299199</v>
      </c>
      <c r="YQ5" s="2">
        <f>-0.326869062428416*(1)</f>
        <v>-0.32686906242841601</v>
      </c>
      <c r="YR5" s="2">
        <f>0.358645218721622*(1)</f>
        <v>0.35864521872162203</v>
      </c>
      <c r="YS5" s="2">
        <f>0.264828466323262*(1)</f>
        <v>0.26482846632326201</v>
      </c>
      <c r="YT5" s="2">
        <f>1.27911626638554*(1)</f>
        <v>1.27911626638554</v>
      </c>
      <c r="YU5" s="2">
        <f>-0.0770778984461728*(1)</f>
        <v>-7.7077898446172799E-2</v>
      </c>
      <c r="YV5" s="2">
        <f>0.778013502393658*(1)</f>
        <v>0.77801350239365796</v>
      </c>
      <c r="YW5" s="2">
        <f>-0.592978945844044*(1)</f>
        <v>-0.59297894584404398</v>
      </c>
      <c r="YX5" s="2">
        <f>0.539862218643569*(1)</f>
        <v>0.53986221864356898</v>
      </c>
      <c r="YY5" s="2">
        <f>-0.624000746469256*(1)</f>
        <v>-0.62400074646925596</v>
      </c>
      <c r="YZ5" s="2">
        <f>1.29738248693109*(1)</f>
        <v>1.2973824869310899</v>
      </c>
      <c r="ZA5" s="2">
        <f>-0.362055099288238*(1)</f>
        <v>-0.36205509928823798</v>
      </c>
      <c r="ZB5" s="2">
        <f>-0.0180879493557046*(1)</f>
        <v>-1.80879493557046E-2</v>
      </c>
      <c r="ZC5" s="2">
        <f>-0.466044170335291*(1)</f>
        <v>-0.466044170335291</v>
      </c>
      <c r="ZD5" s="2">
        <f>-0.058161452569244*(1)</f>
        <v>-5.8161452569244002E-2</v>
      </c>
      <c r="ZE5" s="2">
        <f>0.249400800797019*(1)</f>
        <v>0.24940080079701901</v>
      </c>
      <c r="ZF5" s="2">
        <f>-0.346670880899285*(1)</f>
        <v>-0.34667088089928499</v>
      </c>
      <c r="ZG5" s="2">
        <f>0.334272294803562*(1)</f>
        <v>0.33427229480356202</v>
      </c>
      <c r="ZH5" s="2">
        <f>-0.583504016669195*(1)</f>
        <v>-0.58350401666919505</v>
      </c>
      <c r="ZI5" s="2">
        <f>0.755038374483812*(1)</f>
        <v>0.75503837448381195</v>
      </c>
      <c r="ZJ5" s="2">
        <f>-0.146740032671184*(1)</f>
        <v>-0.14674003267118399</v>
      </c>
      <c r="ZK5" s="2">
        <f>-0.319342973391197*(1)</f>
        <v>-0.31934297339119699</v>
      </c>
      <c r="ZL5" s="2">
        <f>-0.578079106841833*(1)</f>
        <v>-0.57807910684183295</v>
      </c>
      <c r="ZM5" s="2">
        <f>-0.246059592009907*(1)</f>
        <v>-0.24605959200990701</v>
      </c>
      <c r="ZN5" s="2">
        <f>0.672744415687727*(1)</f>
        <v>0.67274441568772703</v>
      </c>
      <c r="ZO5" s="2">
        <f>-0.370419111077143*(1)</f>
        <v>-0.37041911107714298</v>
      </c>
      <c r="ZP5" s="2">
        <f>0.0867914228671312*(1)</f>
        <v>8.6791422867131193E-2</v>
      </c>
      <c r="ZQ5" s="2">
        <f>-0.23131699813961*(1)</f>
        <v>-0.23131699813960999</v>
      </c>
      <c r="ZR5" s="2">
        <f>0.549313959455277*(1)</f>
        <v>0.54931395945527695</v>
      </c>
      <c r="ZS5" s="2">
        <f>0.171246022264135*(1)</f>
        <v>0.17124602226413499</v>
      </c>
      <c r="ZT5" s="2">
        <f>0.407027037313302*(1)</f>
        <v>0.40702703731330198</v>
      </c>
      <c r="ZU5" s="2">
        <f>-0.461561454803856*(1)</f>
        <v>-0.46156145480385602</v>
      </c>
      <c r="ZV5" s="2">
        <f>0.651901847307428*(1)</f>
        <v>0.65190184730742795</v>
      </c>
      <c r="ZW5" s="2">
        <f>-0.524527212391577*(1)</f>
        <v>-0.52452721239157696</v>
      </c>
      <c r="ZX5" s="2">
        <f>0.06830034831807*(1)</f>
        <v>6.8300348318069998E-2</v>
      </c>
      <c r="ZY5" s="2">
        <f>-1.18473947032423*(1)</f>
        <v>-1.18473947032423</v>
      </c>
      <c r="ZZ5" s="2">
        <f>1.01639993266537*(1)</f>
        <v>1.0163999326653701</v>
      </c>
      <c r="AAA5" s="2">
        <f>0.0747619344062852*(1)</f>
        <v>7.4761934406285202E-2</v>
      </c>
      <c r="AAB5" s="2">
        <f>-0.186645060439621*(1)</f>
        <v>-0.18664506043962101</v>
      </c>
      <c r="AAC5" s="2">
        <f>0.265030508560352*(1)</f>
        <v>0.26503050856035199</v>
      </c>
      <c r="AAD5" s="2">
        <f>0.930359984072862*(1)</f>
        <v>0.93035998407286202</v>
      </c>
      <c r="AAE5" s="2">
        <f>-0.0522096184408229*(1)</f>
        <v>-5.2209618440822898E-2</v>
      </c>
      <c r="AAF5" s="2">
        <f>0.869378205321053*(1)</f>
        <v>0.86937820532105303</v>
      </c>
      <c r="AAG5" s="2">
        <f>-0.781870311319293*(1)</f>
        <v>-0.78187031131929297</v>
      </c>
      <c r="AAH5" s="2">
        <f>-0.0179877249720593*(1)</f>
        <v>-1.7987724972059301E-2</v>
      </c>
      <c r="AAI5" s="2">
        <f>-0.183208261408651*(1)</f>
        <v>-0.18320826140865101</v>
      </c>
      <c r="AAJ5" s="2">
        <f>-0.80965133889592*(1)</f>
        <v>-0.80965133889592</v>
      </c>
      <c r="AAK5" s="2">
        <f>0.277702040543402*(1)</f>
        <v>0.27770204054340197</v>
      </c>
      <c r="AAL5" s="2">
        <f>-0.00344763350560188*(1)</f>
        <v>-3.4476335056018801E-3</v>
      </c>
      <c r="AAM5" s="2">
        <f>0.00166912049753921*(1)</f>
        <v>1.66912049753921E-3</v>
      </c>
      <c r="AAN5" s="2">
        <f>-0.541150431830963*(1)</f>
        <v>-0.54115043183096301</v>
      </c>
      <c r="AAO5" s="2">
        <f>0.0699533572412034*(1)</f>
        <v>6.9953357241203398E-2</v>
      </c>
      <c r="AAP5" s="2">
        <f>-0.0559216186858835*(1)</f>
        <v>-5.5921618685883502E-2</v>
      </c>
      <c r="AAQ5" s="2">
        <f>0.522467943379936*(1)</f>
        <v>0.52246794337993596</v>
      </c>
      <c r="AAR5" s="2">
        <f>0.0751540541564553*(1)</f>
        <v>7.5154054156455305E-2</v>
      </c>
      <c r="AAS5" s="2">
        <f>-0.217393082150606*(1)</f>
        <v>-0.21739308215060599</v>
      </c>
      <c r="AAT5" s="2">
        <f>0.948382203988661*(1)</f>
        <v>0.94838220398866102</v>
      </c>
      <c r="AAU5" s="2">
        <f>0.358315170693286*(1)</f>
        <v>0.358315170693286</v>
      </c>
      <c r="AAV5" s="2">
        <f>0.344355612161941*(1)</f>
        <v>0.34435561216194099</v>
      </c>
      <c r="AAW5" s="2">
        <f>0.506868132320074*(1)</f>
        <v>0.50686813232007399</v>
      </c>
      <c r="AAX5" s="2">
        <f>-0.311432930272676*(1)</f>
        <v>-0.31143293027267599</v>
      </c>
      <c r="AAY5" s="2">
        <f>-0.926475048968323*(1)</f>
        <v>-0.926475048968323</v>
      </c>
      <c r="AAZ5" s="2">
        <f>-0.832243381275229*(1)</f>
        <v>-0.83224338127522901</v>
      </c>
      <c r="ABA5" s="2">
        <f>-0.229639298384008*(1)</f>
        <v>-0.22963929838400801</v>
      </c>
      <c r="ABB5" s="2">
        <f>-0.365415563667653*(1)</f>
        <v>-0.36541556366765299</v>
      </c>
      <c r="ABC5" s="2">
        <f>0.341924858040662*(1)</f>
        <v>0.34192485804066203</v>
      </c>
      <c r="ABD5" s="2">
        <f>-0.554115257342402*(1)</f>
        <v>-0.55411525734240197</v>
      </c>
      <c r="ABE5" s="2">
        <f>0.29789340879451*(1)</f>
        <v>0.29789340879450998</v>
      </c>
      <c r="ABF5" s="2">
        <f>0.465934495403114*(1)</f>
        <v>0.46593449540311399</v>
      </c>
      <c r="ABG5" s="2">
        <f>-0.417960215022198*(1)</f>
        <v>-0.41796021502219799</v>
      </c>
      <c r="ABH5" s="2">
        <f>0.148837923404713*(1)</f>
        <v>0.148837923404713</v>
      </c>
      <c r="ABI5" s="2">
        <f>0.0631335783796736*(1)</f>
        <v>6.3133578379673594E-2</v>
      </c>
      <c r="ABJ5" s="2">
        <f>-0.0879727319637998*(1)</f>
        <v>-8.7972731963799802E-2</v>
      </c>
      <c r="ABK5" s="2">
        <f>-0.381571918059141*(1)</f>
        <v>-0.38157191805914098</v>
      </c>
      <c r="ABL5" s="2">
        <f>0.302951567005603*(1)</f>
        <v>0.302951567005603</v>
      </c>
      <c r="ABM5" s="2">
        <f>0.5493606614154*(1)</f>
        <v>0.54936066141539996</v>
      </c>
      <c r="ABN5" s="2">
        <f>-0.113983952958935*(1)</f>
        <v>-0.113983952958935</v>
      </c>
      <c r="ABO5" s="2">
        <f>0.0748379749954696*(1)</f>
        <v>7.4837974995469597E-2</v>
      </c>
      <c r="ABP5" s="2">
        <f>0.145305291488376*(1)</f>
        <v>0.14530529148837601</v>
      </c>
      <c r="ABQ5" s="2">
        <f>0.246157711477077*(1)</f>
        <v>0.24615771147707699</v>
      </c>
      <c r="ABR5" s="2">
        <f>0.299124605772622*(1)</f>
        <v>0.29912460577262201</v>
      </c>
      <c r="ABS5" s="2">
        <f>-0.158410249628997*(1)</f>
        <v>-0.158410249628997</v>
      </c>
      <c r="ABT5" s="2">
        <f>0.546278779428362*(1)</f>
        <v>0.546278779428362</v>
      </c>
      <c r="ABU5" s="2">
        <f>-0.323971463253549*(1)</f>
        <v>-0.32397146325354897</v>
      </c>
      <c r="ABV5" s="2">
        <f>1.27111172523617*(1)</f>
        <v>1.2711117252361701</v>
      </c>
      <c r="ABW5" s="2">
        <f>0.651126143293379*(1)</f>
        <v>0.65112614329337903</v>
      </c>
      <c r="ABX5" s="2">
        <f>-0.152198961314053*(1)</f>
        <v>-0.152198961314053</v>
      </c>
      <c r="ABY5" s="2">
        <f>-0.198650971329943*(1)</f>
        <v>-0.198650971329943</v>
      </c>
      <c r="ABZ5" s="2">
        <f>0.588430303066896*(1)</f>
        <v>0.58843030306689603</v>
      </c>
      <c r="ACA5" s="2">
        <f>0.0274007022707351*(1)</f>
        <v>2.74007022707351E-2</v>
      </c>
      <c r="ACB5" s="2">
        <f>-0.2850036319384*(1)</f>
        <v>-0.2850036319384</v>
      </c>
      <c r="ACC5" s="2">
        <f>-0.589758622466143*(1)</f>
        <v>-0.58975862246614297</v>
      </c>
      <c r="ACD5" s="2">
        <f>0.373766776982033*(1)</f>
        <v>0.37376677698203298</v>
      </c>
      <c r="ACE5" s="2">
        <f>0.493968607324874*(1)</f>
        <v>0.49396860732487402</v>
      </c>
      <c r="ACF5" s="2">
        <f>1.06556704525402*(1)</f>
        <v>1.06556704525402</v>
      </c>
      <c r="ACG5" s="2">
        <f>0.637607510134676*(1)</f>
        <v>0.63760751013467598</v>
      </c>
      <c r="ACH5" s="2">
        <f>0.675162017214674*(1)</f>
        <v>0.67516201721467395</v>
      </c>
      <c r="ACI5" s="2">
        <f>-0.770550262939717*(1)</f>
        <v>-0.77055026293971696</v>
      </c>
      <c r="ACJ5" s="2">
        <f>0.187817729053091*(1)</f>
        <v>0.18781772905309099</v>
      </c>
      <c r="ACK5" s="2">
        <f>-0.46699140860427*(1)</f>
        <v>-0.46699140860427002</v>
      </c>
      <c r="ACL5" s="2">
        <f>0.574753085870305*(1)</f>
        <v>0.57475308587030505</v>
      </c>
      <c r="ACM5" s="2">
        <f>0.470207871183554*(1)</f>
        <v>0.470207871183554</v>
      </c>
      <c r="ACN5" s="2">
        <f>0.622858718699614*(1)</f>
        <v>0.62285871869961396</v>
      </c>
      <c r="ACO5" s="2">
        <f>-0.486181537834395*(1)</f>
        <v>-0.48618153783439499</v>
      </c>
      <c r="ACP5" s="2">
        <f>-0.630359689827012*(1)</f>
        <v>-0.63035968982701196</v>
      </c>
      <c r="ACQ5" s="2">
        <f>0.592459278948261*(1)</f>
        <v>0.592459278948261</v>
      </c>
      <c r="ACR5" s="2">
        <f>0.0685645541115925*(1)</f>
        <v>6.8564554111592499E-2</v>
      </c>
      <c r="ACS5" s="2">
        <f>0.563128324930348*(1)</f>
        <v>0.56312832493034803</v>
      </c>
      <c r="ACT5" s="2">
        <f>0.657811371334033*(1)</f>
        <v>0.657811371334033</v>
      </c>
      <c r="ACU5" s="2">
        <f>-0.224078494386951*(1)</f>
        <v>-0.22407849438695099</v>
      </c>
      <c r="ACV5" s="2">
        <f>0.0684438896078264*(1)</f>
        <v>6.8443889607826394E-2</v>
      </c>
    </row>
    <row r="6" spans="1:776" x14ac:dyDescent="0.2">
      <c r="A6" s="1" t="s">
        <v>70648</v>
      </c>
      <c r="B6" s="2">
        <f>-0.0740718466920419*(1)</f>
        <v>-7.4071846692041907E-2</v>
      </c>
      <c r="C6" s="2">
        <f>0.387842110629256*(1)</f>
        <v>0.387842110629256</v>
      </c>
      <c r="D6" s="2">
        <f>0.0556668537378005*(1)</f>
        <v>5.5666853737800497E-2</v>
      </c>
      <c r="E6" s="2">
        <f>0.289016448303664*(1)</f>
        <v>0.28901644830366402</v>
      </c>
      <c r="F6" s="2">
        <f>0.359426108091323*(1)</f>
        <v>0.35942610809132303</v>
      </c>
      <c r="G6" s="2">
        <f>0.88640842681142*(1)</f>
        <v>0.88640842681141996</v>
      </c>
      <c r="H6" s="2">
        <f>-0.46349643569003*(1)</f>
        <v>-0.46349643569003002</v>
      </c>
      <c r="I6" s="2">
        <f>1.0304721717411*(1)</f>
        <v>1.0304721717411001</v>
      </c>
      <c r="J6" s="2">
        <f>0.63793168891793*(1)</f>
        <v>0.63793168891792995</v>
      </c>
      <c r="K6" s="2">
        <f>0.455486515732131*(1)</f>
        <v>0.455486515732131</v>
      </c>
      <c r="L6" s="2">
        <f>-0.55630049302276*(1)</f>
        <v>-0.55630049302275997</v>
      </c>
      <c r="M6" s="2">
        <f>-0.431141401301907*(1)</f>
        <v>-0.43114140130190698</v>
      </c>
      <c r="N6" s="2">
        <f>-0.252997661859119*(1)</f>
        <v>-0.25299766185911898</v>
      </c>
      <c r="O6" s="2">
        <f>0.538755393512207*(1)</f>
        <v>0.53875539351220703</v>
      </c>
      <c r="P6" s="2">
        <f>-0.601654824478298*(1)</f>
        <v>-0.60165482447829799</v>
      </c>
      <c r="Q6" s="2">
        <f>0.0185082069654761*(1)</f>
        <v>1.8508206965476101E-2</v>
      </c>
      <c r="R6" s="2">
        <f>-0.15330850505551*(1)</f>
        <v>-0.15330850505551</v>
      </c>
      <c r="S6" s="2">
        <f>-0.0895011200758896*(1)</f>
        <v>-8.9501120075889604E-2</v>
      </c>
      <c r="T6" s="2">
        <f>0.637075116293353*(1)</f>
        <v>0.63707511629335301</v>
      </c>
      <c r="U6" s="2">
        <f>-0.570858846945807*(1)</f>
        <v>-0.57085884694580702</v>
      </c>
      <c r="V6" s="2">
        <f>0.541578498036727*(1)</f>
        <v>0.54157849803672697</v>
      </c>
      <c r="W6" s="2">
        <f>-0.00705557118675681*(1)</f>
        <v>-7.0555711867568097E-3</v>
      </c>
      <c r="X6" s="2">
        <f>1.34001245652187*(1)</f>
        <v>1.3400124565218701</v>
      </c>
      <c r="Y6" s="2">
        <f>-1.02374135869827*(1)</f>
        <v>-1.02374135869827</v>
      </c>
      <c r="Z6" s="2">
        <f>-0.325327383320997*(1)</f>
        <v>-0.32532738332099698</v>
      </c>
      <c r="AA6" s="2">
        <f>-0.181935652168937*(1)</f>
        <v>-0.18193565216893701</v>
      </c>
      <c r="AB6" s="2">
        <f>-0.288856579053581*(1)</f>
        <v>-0.28885657905358098</v>
      </c>
      <c r="AC6" s="2">
        <f>0.137277951342361*(1)</f>
        <v>0.13727795134236101</v>
      </c>
      <c r="AD6" s="2">
        <f>-0.918906388325195*(1)</f>
        <v>-0.918906388325195</v>
      </c>
      <c r="AE6" s="2">
        <f>-0.279963061777896*(1)</f>
        <v>-0.27996306177789598</v>
      </c>
      <c r="AF6" s="2">
        <f>-0.43062241077125*(1)</f>
        <v>-0.43062241077125002</v>
      </c>
      <c r="AG6" s="2">
        <f>0.424485059680523*(1)</f>
        <v>0.42448505968052302</v>
      </c>
      <c r="AH6" s="2">
        <f>1.05570212431554*(1)</f>
        <v>1.05570212431554</v>
      </c>
      <c r="AI6" s="2">
        <f>-0.18225893706433*(1)</f>
        <v>-0.18225893706433</v>
      </c>
      <c r="AJ6" s="2">
        <f>0.168885423793468*(1)</f>
        <v>0.16888542379346799</v>
      </c>
      <c r="AK6" s="2">
        <f>0.814758123898202*(1)</f>
        <v>0.81475812389820201</v>
      </c>
      <c r="AL6" s="2">
        <f>-0.341371987443142*(1)</f>
        <v>-0.34137198744314201</v>
      </c>
      <c r="AM6" s="2">
        <f>0.175991717038637*(1)</f>
        <v>0.175991717038637</v>
      </c>
      <c r="AN6" s="2">
        <f>0.198250354821577*(1)</f>
        <v>0.19825035482157699</v>
      </c>
      <c r="AO6" s="2">
        <f>0.424457153301271*(1)</f>
        <v>0.42445715330127098</v>
      </c>
      <c r="AP6" s="2">
        <f>-0.245204189044819*(1)</f>
        <v>-0.245204189044819</v>
      </c>
      <c r="AQ6" s="2">
        <f>0.0584675452812689*(1)</f>
        <v>5.84675452812689E-2</v>
      </c>
      <c r="AR6" s="2">
        <f>-0.0953393897484561*(1)</f>
        <v>-9.5339389748456099E-2</v>
      </c>
      <c r="AS6" s="2">
        <f>-0.879364886309158*(1)</f>
        <v>-0.87936488630915799</v>
      </c>
      <c r="AT6" s="2">
        <f>0.854651782086076*(1)</f>
        <v>0.85465178208607595</v>
      </c>
      <c r="AU6" s="2">
        <f>-0.500590613531223*(1)</f>
        <v>-0.50059061353122303</v>
      </c>
      <c r="AV6" s="2">
        <f>-1.17634607309845*(1)</f>
        <v>-1.1763460730984501</v>
      </c>
      <c r="AW6" s="2">
        <f>-0.00265408190681254*(1)</f>
        <v>-2.65408190681254E-3</v>
      </c>
      <c r="AX6" s="2">
        <f>0.235346604868531*(1)</f>
        <v>0.23534660486853101</v>
      </c>
      <c r="AY6" s="2">
        <f>-0.759910219045128*(1)</f>
        <v>-0.75991021904512801</v>
      </c>
      <c r="AZ6" s="2">
        <f>1.11847694590843*(1)</f>
        <v>1.1184769459084301</v>
      </c>
      <c r="BA6" s="2">
        <f>0.414186746206115*(1)</f>
        <v>0.41418674620611501</v>
      </c>
      <c r="BB6" s="2">
        <f>-0.268259496196474*(1)</f>
        <v>-0.26825949619647399</v>
      </c>
      <c r="BC6" s="2">
        <f>-0.60853021431427*(1)</f>
        <v>-0.60853021431427001</v>
      </c>
      <c r="BD6" s="2">
        <f>-0.203907978266212*(1)</f>
        <v>-0.20390797826621199</v>
      </c>
      <c r="BE6" s="2">
        <f>0.41701256114655*(1)</f>
        <v>0.41701256114655</v>
      </c>
      <c r="BF6" s="2">
        <f>0.525616936221537*(1)</f>
        <v>0.52561693622153705</v>
      </c>
      <c r="BG6" s="2">
        <f>-0.19211524973175*(1)</f>
        <v>-0.19211524973175001</v>
      </c>
      <c r="BH6" s="2">
        <f>0.237206223011111*(1)</f>
        <v>0.23720622301111099</v>
      </c>
      <c r="BI6" s="2">
        <f>0.276380690385861*(1)</f>
        <v>0.27638069038586099</v>
      </c>
      <c r="BJ6" s="2">
        <f>-0.714631889288624*(1)</f>
        <v>-0.71463188928862398</v>
      </c>
      <c r="BK6" s="2">
        <f>0.66896425757213*(1)</f>
        <v>0.66896425757212996</v>
      </c>
      <c r="BL6" s="2">
        <f>-0.243395101030177*(1)</f>
        <v>-0.243395101030177</v>
      </c>
      <c r="BM6" s="2">
        <f>-0.433227802258516*(1)</f>
        <v>-0.43322780225851598</v>
      </c>
      <c r="BN6" s="2">
        <f>-0.512060328649661*(1)</f>
        <v>-0.512060328649661</v>
      </c>
      <c r="BO6" s="2">
        <f>-0.149136671229095*(1)</f>
        <v>-0.14913667122909499</v>
      </c>
      <c r="BP6" s="2">
        <f>0.0554458639554152*(1)</f>
        <v>5.5445863955415203E-2</v>
      </c>
      <c r="BQ6" s="2">
        <f>-0.516918439003983*(1)</f>
        <v>-0.51691843900398304</v>
      </c>
      <c r="BR6" s="2">
        <f>0.542316206624013*(1)</f>
        <v>0.54231620662401303</v>
      </c>
      <c r="BS6" s="2">
        <f>-0.206062433115353*(1)</f>
        <v>-0.20606243311535299</v>
      </c>
      <c r="BT6" s="2">
        <f>0.196167115548714*(1)</f>
        <v>0.19616711554871399</v>
      </c>
      <c r="BU6" s="2">
        <f>0.213896491834703*(1)</f>
        <v>0.213896491834703</v>
      </c>
      <c r="BV6" s="2">
        <f>-0.666946963629026*(1)</f>
        <v>-0.66694696362902595</v>
      </c>
      <c r="BW6" s="2">
        <f>-0.386862481194352*(1)</f>
        <v>-0.38686248119435201</v>
      </c>
      <c r="BX6" s="2">
        <f>0.681022598844748*(1)</f>
        <v>0.68102259884474803</v>
      </c>
      <c r="BY6" s="2">
        <f>-1.36761742619045*(1)</f>
        <v>-1.3676174261904499</v>
      </c>
      <c r="BZ6" s="2">
        <f>-0.413079915085641*(1)</f>
        <v>-0.41307991508564101</v>
      </c>
      <c r="CA6" s="2">
        <f>-0.249488295144439*(1)</f>
        <v>-0.24948829514443899</v>
      </c>
      <c r="CB6" s="2">
        <f>0.656893811330929*(1)</f>
        <v>0.65689381133092895</v>
      </c>
      <c r="CC6" s="2">
        <f>0.368463097959815*(1)</f>
        <v>0.36846309795981502</v>
      </c>
      <c r="CD6" s="2">
        <f>-0.162804127363095*(1)</f>
        <v>-0.16280412736309499</v>
      </c>
      <c r="CE6" s="2">
        <f>-0.458866217003768*(1)</f>
        <v>-0.45886621700376801</v>
      </c>
      <c r="CF6" s="2">
        <f>-0.887763042977782*(1)</f>
        <v>-0.88776304297778197</v>
      </c>
      <c r="CG6" s="2">
        <f>-0.586789231146317*(1)</f>
        <v>-0.58678923114631698</v>
      </c>
      <c r="CH6" s="2">
        <f>0.967251191028727*(1)</f>
        <v>0.96725119102872703</v>
      </c>
      <c r="CI6" s="2">
        <f>-0.232867368681281*(1)</f>
        <v>-0.232867368681281</v>
      </c>
      <c r="CJ6" s="2">
        <f>0.200824910307988*(1)</f>
        <v>0.20082491030798799</v>
      </c>
      <c r="CK6" s="2">
        <f>-0.562862395571811*(1)</f>
        <v>-0.56286239557181095</v>
      </c>
      <c r="CL6" s="2">
        <f>-0.844797247579756*(1)</f>
        <v>-0.84479724757975605</v>
      </c>
      <c r="CM6" s="2">
        <f>-0.00299718367699945*(1)</f>
        <v>-2.99718367699945E-3</v>
      </c>
      <c r="CN6" s="2">
        <f>-0.706279042857779*(1)</f>
        <v>-0.70627904285777898</v>
      </c>
      <c r="CO6" s="2">
        <f>0.772961772587327*(1)</f>
        <v>0.77296177258732701</v>
      </c>
      <c r="CP6" s="2">
        <f>-0.410556136271547*(1)</f>
        <v>-0.41055613627154702</v>
      </c>
      <c r="CQ6" s="2">
        <f>0.269134053063351*(1)</f>
        <v>0.26913405306335098</v>
      </c>
      <c r="CR6" s="2">
        <f>-0.355205239014197*(1)</f>
        <v>-0.35520523901419698</v>
      </c>
      <c r="CS6" s="2">
        <f>0.128885196753775*(1)</f>
        <v>0.12888519675377499</v>
      </c>
      <c r="CT6" s="2">
        <f>-1.73315489825042*(1)</f>
        <v>-1.7331548982504199</v>
      </c>
      <c r="CU6" s="2">
        <f>-1.63269224519562*(1)</f>
        <v>-1.6326922451956201</v>
      </c>
      <c r="CV6" s="2">
        <f>-0.693814651398915*(1)</f>
        <v>-0.69381465139891496</v>
      </c>
      <c r="CW6" s="2">
        <f>-0.134496026722505*(1)</f>
        <v>-0.13449602672250499</v>
      </c>
      <c r="CX6" s="2">
        <f>0.200632083017712*(1)</f>
        <v>0.20063208301771199</v>
      </c>
      <c r="CY6" s="2">
        <f>-0.275866000218672*(1)</f>
        <v>-0.27586600021867203</v>
      </c>
      <c r="CZ6" s="2">
        <f>-0.118281001144209*(1)</f>
        <v>-0.118281001144209</v>
      </c>
      <c r="DA6" s="2">
        <f>-1.1105429821852*(1)</f>
        <v>-1.1105429821852</v>
      </c>
      <c r="DB6" s="2">
        <f>-0.417435218688682*(1)</f>
        <v>-0.417435218688682</v>
      </c>
      <c r="DC6" s="2">
        <f>1.47337902604433*(1)</f>
        <v>1.47337902604433</v>
      </c>
      <c r="DD6" s="2">
        <f>0.346122677137346*(1)</f>
        <v>0.34612267713734601</v>
      </c>
      <c r="DE6" s="2">
        <f>0.213332817697195*(1)</f>
        <v>0.213332817697195</v>
      </c>
      <c r="DF6" s="2">
        <f>1.55964928969565*(1)</f>
        <v>1.55964928969565</v>
      </c>
      <c r="DG6" s="2">
        <f>0.0280076686200115*(1)</f>
        <v>2.80076686200115E-2</v>
      </c>
      <c r="DH6" s="2">
        <f>-0.422804678922152*(1)</f>
        <v>-0.42280467892215201</v>
      </c>
      <c r="DI6" s="2">
        <f>0.460094724048972*(1)</f>
        <v>0.460094724048972</v>
      </c>
      <c r="DJ6" s="2">
        <f>-0.996362505600864*(1)</f>
        <v>-0.99636250560086403</v>
      </c>
      <c r="DK6" s="2">
        <f>-0.529782644336907*(1)</f>
        <v>-0.52978264433690703</v>
      </c>
      <c r="DL6" s="2">
        <f>-0.186952920646848*(1)</f>
        <v>-0.18695292064684799</v>
      </c>
      <c r="DM6" s="2">
        <f>0.142333835730172*(1)</f>
        <v>0.142333835730172</v>
      </c>
      <c r="DN6" s="2">
        <f>0.196048851337343*(1)</f>
        <v>0.19604885133734301</v>
      </c>
      <c r="DO6" s="2">
        <f>0.00352083196330371*(1)</f>
        <v>3.5208319633037101E-3</v>
      </c>
      <c r="DP6" s="2">
        <f>0.882706589014673*(1)</f>
        <v>0.88270658901467303</v>
      </c>
      <c r="DQ6" s="2">
        <f>-0.797496107549631*(1)</f>
        <v>-0.79749610754963096</v>
      </c>
      <c r="DR6" s="2">
        <f>0.0887456312594079*(1)</f>
        <v>8.8745631259407903E-2</v>
      </c>
      <c r="DS6" s="2">
        <f>-0.0680076940269974*(1)</f>
        <v>-6.8007694026997398E-2</v>
      </c>
      <c r="DT6" s="2">
        <f>-0.0883098421063275*(1)</f>
        <v>-8.8309842106327502E-2</v>
      </c>
      <c r="DU6" s="2">
        <f>-0.245508370038045*(1)</f>
        <v>-0.24550837003804499</v>
      </c>
      <c r="DV6" s="2">
        <f>0.349357313541405*(1)</f>
        <v>0.34935731354140498</v>
      </c>
      <c r="DW6" s="2">
        <f>1.0136824517009*(1)</f>
        <v>1.0136824517009</v>
      </c>
      <c r="DX6" s="2">
        <f>-0.27287323335328*(1)</f>
        <v>-0.27287323335328001</v>
      </c>
      <c r="DY6" s="2">
        <f>0.346442377335465*(1)</f>
        <v>0.34644237733546501</v>
      </c>
      <c r="DZ6" s="2">
        <f>-0.477684277788314*(1)</f>
        <v>-0.47768427778831402</v>
      </c>
      <c r="EA6" s="2">
        <f>0.436299561174676*(1)</f>
        <v>0.436299561174676</v>
      </c>
      <c r="EB6" s="2">
        <f>-0.777609959465696*(1)</f>
        <v>-0.777609959465696</v>
      </c>
      <c r="EC6" s="2">
        <f>-0.114526858161798*(1)</f>
        <v>-0.114526858161798</v>
      </c>
      <c r="ED6" s="2">
        <f>-0.393802400167209*(1)</f>
        <v>-0.39380240016720902</v>
      </c>
      <c r="EE6" s="2">
        <f>-0.795110416068105*(1)</f>
        <v>-0.79511041606810495</v>
      </c>
      <c r="EF6" s="2">
        <f>0.0350708772516274*(1)</f>
        <v>3.50708772516274E-2</v>
      </c>
      <c r="EG6" s="2">
        <f>-0.32817289742883*(1)</f>
        <v>-0.32817289742882999</v>
      </c>
      <c r="EH6" s="2">
        <f>-1.08324604139585*(1)</f>
        <v>-1.08324604139585</v>
      </c>
      <c r="EI6" s="2">
        <f>-1.44087729985656*(1)</f>
        <v>-1.44087729985656</v>
      </c>
      <c r="EJ6" s="2">
        <f>0.0911254326637596*(1)</f>
        <v>9.1125432663759595E-2</v>
      </c>
      <c r="EK6" s="2">
        <f>0.0614578214003283*(1)</f>
        <v>6.1457821400328301E-2</v>
      </c>
      <c r="EL6" s="2">
        <f>0.0726211724850251*(1)</f>
        <v>7.2621172485025101E-2</v>
      </c>
      <c r="EM6" s="2">
        <f>-0.791838706807947*(1)</f>
        <v>-0.79183870680794699</v>
      </c>
      <c r="EN6" s="2">
        <f>-0.427465228604053*(1)</f>
        <v>-0.427465228604053</v>
      </c>
      <c r="EO6" s="2">
        <f>-0.834212057696597*(1)</f>
        <v>-0.83421205769659701</v>
      </c>
      <c r="EP6" s="2">
        <f>0.151206545183221*(1)</f>
        <v>0.15120654518322099</v>
      </c>
      <c r="EQ6" s="2">
        <f>-0.0169289185816705*(1)</f>
        <v>-1.6928918581670501E-2</v>
      </c>
      <c r="ER6" s="2">
        <f>0.0489860227170203*(1)</f>
        <v>4.8986022717020301E-2</v>
      </c>
      <c r="ES6" s="2">
        <f>-0.564559622518932*(1)</f>
        <v>-0.56455962251893199</v>
      </c>
      <c r="ET6" s="2">
        <f>0.86161784733455*(1)</f>
        <v>0.86161784733455005</v>
      </c>
      <c r="EU6" s="2">
        <f>0.922091466123662*(1)</f>
        <v>0.922091466123662</v>
      </c>
      <c r="EV6" s="2">
        <f>0.70210284099403*(1)</f>
        <v>0.70210284099402998</v>
      </c>
      <c r="EW6" s="2">
        <f>0.461027326270111*(1)</f>
        <v>0.461027326270111</v>
      </c>
      <c r="EX6" s="2">
        <f>-0.356297242825009*(1)</f>
        <v>-0.35629724282500902</v>
      </c>
      <c r="EY6" s="2">
        <f>0.353724042544899*(1)</f>
        <v>0.35372404254489898</v>
      </c>
      <c r="EZ6" s="2">
        <f>0.639472914627131*(1)</f>
        <v>0.63947291462713096</v>
      </c>
      <c r="FA6" s="2">
        <f>0.398710999171459*(1)</f>
        <v>0.39871099917145902</v>
      </c>
      <c r="FB6" s="2">
        <f>0.0446045082733918*(1)</f>
        <v>4.4604508273391803E-2</v>
      </c>
      <c r="FC6" s="2">
        <f>1.04364731620712*(1)</f>
        <v>1.04364731620712</v>
      </c>
      <c r="FD6" s="2">
        <f>1.53174192399466*(1)</f>
        <v>1.5317419239946599</v>
      </c>
      <c r="FE6" s="2">
        <f>-0.366906384730564*(1)</f>
        <v>-0.36690638473056397</v>
      </c>
      <c r="FF6" s="2">
        <f>0.343430683268105*(1)</f>
        <v>0.343430683268105</v>
      </c>
      <c r="FG6" s="2">
        <f>0.484000028240021*(1)</f>
        <v>0.48400002824002097</v>
      </c>
      <c r="FH6" s="2">
        <f>-1.45867608258885*(1)</f>
        <v>-1.4586760825888501</v>
      </c>
      <c r="FI6" s="2">
        <f>-0.388476642135873*(1)</f>
        <v>-0.38847664213587302</v>
      </c>
      <c r="FJ6" s="2">
        <f>0.236711949793759*(1)</f>
        <v>0.23671194979375901</v>
      </c>
      <c r="FK6" s="2">
        <f>0.709696186643801*(1)</f>
        <v>0.70969618664380096</v>
      </c>
      <c r="FL6" s="2">
        <f>-0.131991802517116*(1)</f>
        <v>-0.13199180251711601</v>
      </c>
      <c r="FM6" s="2">
        <f>1.57524828095028*(1)</f>
        <v>1.5752482809502799</v>
      </c>
      <c r="FN6" s="2">
        <f>-0.55677613872509*(1)</f>
        <v>-0.55677613872509002</v>
      </c>
      <c r="FO6" s="2">
        <f>-0.817147228905635*(1)</f>
        <v>-0.81714722890563496</v>
      </c>
      <c r="FP6" s="2">
        <f>-0.00493876814248109*(1)</f>
        <v>-4.9387681424810899E-3</v>
      </c>
      <c r="FQ6" s="2">
        <f>0.121895657688235*(1)</f>
        <v>0.121895657688235</v>
      </c>
      <c r="FR6" s="2">
        <f>0.849863170648152*(1)</f>
        <v>0.84986317064815198</v>
      </c>
      <c r="FS6" s="2">
        <f>-0.172823775247557*(1)</f>
        <v>-0.17282377524755699</v>
      </c>
      <c r="FT6" s="2">
        <f>-0.198824381990487*(1)</f>
        <v>-0.19882438199048699</v>
      </c>
      <c r="FU6" s="2">
        <f>0.443347462488791*(1)</f>
        <v>0.44334746248879098</v>
      </c>
      <c r="FV6" s="2">
        <f>0.38857380486616*(1)</f>
        <v>0.38857380486616</v>
      </c>
      <c r="FW6" s="2">
        <f>-0.125982336091267*(1)</f>
        <v>-0.12598233609126699</v>
      </c>
      <c r="FX6" s="2">
        <f>0.434446376905765*(1)</f>
        <v>0.43444637690576499</v>
      </c>
      <c r="FY6" s="2">
        <f>0.474095124185371*(1)</f>
        <v>0.47409512418537098</v>
      </c>
      <c r="FZ6" s="2">
        <f>1.68145171787507*(1)</f>
        <v>1.6814517178750701</v>
      </c>
      <c r="GA6" s="2">
        <f>-0.0884996310803227*(1)</f>
        <v>-8.8499631080322702E-2</v>
      </c>
      <c r="GB6" s="2">
        <f>-0.215254060147638*(1)</f>
        <v>-0.21525406014763801</v>
      </c>
      <c r="GC6" s="2">
        <f>-0.740568873829432*(1)</f>
        <v>-0.74056887382943204</v>
      </c>
      <c r="GD6" s="2">
        <f>-0.375196684859742*(1)</f>
        <v>-0.375196684859742</v>
      </c>
      <c r="GE6" s="2">
        <f>-0.425423058756894*(1)</f>
        <v>-0.42542305875689401</v>
      </c>
      <c r="GF6" s="2">
        <f>0.412748157100239*(1)</f>
        <v>0.41274815710023899</v>
      </c>
      <c r="GG6" s="2">
        <f>0.397571998995784*(1)</f>
        <v>0.39757199899578399</v>
      </c>
      <c r="GH6" s="2">
        <f>0.972251003782256*(1)</f>
        <v>0.97225100378225604</v>
      </c>
      <c r="GI6" s="2">
        <f>-0.452302153789524*(1)</f>
        <v>-0.45230215378952399</v>
      </c>
      <c r="GJ6" s="2">
        <f>0.696139607332715*(1)</f>
        <v>0.69613960733271496</v>
      </c>
      <c r="GK6" s="2">
        <f>-0.497151192319384*(1)</f>
        <v>-0.49715119231938398</v>
      </c>
      <c r="GL6" s="2">
        <f>0.31568883233116*(1)</f>
        <v>0.31568883233116002</v>
      </c>
      <c r="GM6" s="2">
        <f>0.707854963957839*(1)</f>
        <v>0.70785496395783898</v>
      </c>
      <c r="GN6" s="2">
        <f>-0.499888074337477*(1)</f>
        <v>-0.49988807433747701</v>
      </c>
      <c r="GO6" s="2">
        <f>-1.32986003945909*(1)</f>
        <v>-1.32986003945909</v>
      </c>
      <c r="GP6" s="2">
        <f>1.00081770980478*(1)</f>
        <v>1.0008177098047799</v>
      </c>
      <c r="GQ6" s="2">
        <f>0.764711277513331*(1)</f>
        <v>0.76471127751333101</v>
      </c>
      <c r="GR6" s="2">
        <f>-0.177820588025284*(1)</f>
        <v>-0.177820588025284</v>
      </c>
      <c r="GS6" s="2">
        <f>-1.05041116741629*(1)</f>
        <v>-1.0504111674162899</v>
      </c>
      <c r="GT6" s="2">
        <f>0.966618213446026*(1)</f>
        <v>0.96661821344602605</v>
      </c>
      <c r="GU6" s="2">
        <f>-0.109079350257468*(1)</f>
        <v>-0.109079350257468</v>
      </c>
      <c r="GV6" s="2">
        <f>0.0840163360620779*(1)</f>
        <v>8.4016336062077895E-2</v>
      </c>
      <c r="GW6" s="2">
        <f>0.796318959111355*(1)</f>
        <v>0.79631895911135497</v>
      </c>
      <c r="GX6" s="2">
        <f>0.00189328948282824*(1)</f>
        <v>1.8932894828282401E-3</v>
      </c>
      <c r="GY6" s="2">
        <f>0.343920686562369*(1)</f>
        <v>0.34392068656236902</v>
      </c>
      <c r="GZ6" s="2">
        <f>-1.163039338159*(1)</f>
        <v>-1.1630393381590001</v>
      </c>
      <c r="HA6" s="2">
        <f>-0.431428750078684*(1)</f>
        <v>-0.43142875007868398</v>
      </c>
      <c r="HB6" s="2">
        <f>0.0671053733895672*(1)</f>
        <v>6.7105373389567194E-2</v>
      </c>
      <c r="HC6" s="2">
        <f>0.150628166325082*(1)</f>
        <v>0.150628166325082</v>
      </c>
      <c r="HD6" s="2">
        <f>1.54849382291684*(1)</f>
        <v>1.5484938229168399</v>
      </c>
      <c r="HE6" s="2">
        <f>0.0702921461643067*(1)</f>
        <v>7.0292146164306707E-2</v>
      </c>
      <c r="HF6" s="2">
        <f>0.497985235110451*(1)</f>
        <v>0.49798523511045101</v>
      </c>
      <c r="HG6" s="2">
        <f>0.682713799326307*(1)</f>
        <v>0.68271379932630705</v>
      </c>
      <c r="HH6" s="2">
        <f>0.722690437664751*(1)</f>
        <v>0.72269043766475105</v>
      </c>
      <c r="HI6" s="2">
        <f>-0.474869852101706*(1)</f>
        <v>-0.47486985210170601</v>
      </c>
      <c r="HJ6" s="2">
        <f>-0.430180766059594*(1)</f>
        <v>-0.43018076605959399</v>
      </c>
      <c r="HK6" s="2">
        <f>0.134408762508559*(1)</f>
        <v>0.13440876250855899</v>
      </c>
      <c r="HL6" s="2">
        <f>1.71563790096094*(1)</f>
        <v>1.7156379009609399</v>
      </c>
      <c r="HM6" s="2">
        <f>0.316634509681373*(1)</f>
        <v>0.31663450968137302</v>
      </c>
      <c r="HN6" s="2">
        <f>-1.26839559648574*(1)</f>
        <v>-1.2683955964857401</v>
      </c>
      <c r="HO6" s="2">
        <f>0.165785105869015*(1)</f>
        <v>0.16578510586901499</v>
      </c>
      <c r="HP6" s="2">
        <f>-0.185656522855842*(1)</f>
        <v>-0.185656522855842</v>
      </c>
      <c r="HQ6" s="2">
        <f>-0.0761762335398313*(1)</f>
        <v>-7.6176233539831301E-2</v>
      </c>
      <c r="HR6" s="2">
        <f>-0.466142695710436*(1)</f>
        <v>-0.46614269571043598</v>
      </c>
      <c r="HS6" s="2">
        <f>-0.0975773712469117*(1)</f>
        <v>-9.7577371246911696E-2</v>
      </c>
      <c r="HT6" s="2">
        <f>0.335201388748791*(1)</f>
        <v>0.33520138874879102</v>
      </c>
      <c r="HU6" s="2">
        <f>0.0525099123642468*(1)</f>
        <v>5.2509912364246798E-2</v>
      </c>
      <c r="HV6" s="2">
        <f>-0.327216928515204*(1)</f>
        <v>-0.32721692851520401</v>
      </c>
      <c r="HW6" s="2">
        <f>-0.260042178022135*(1)</f>
        <v>-0.26004217802213497</v>
      </c>
      <c r="HX6" s="2">
        <f>-0.234446672212516*(1)</f>
        <v>-0.234446672212516</v>
      </c>
      <c r="HY6" s="2">
        <f>-0.17632732350325*(1)</f>
        <v>-0.17632732350325001</v>
      </c>
      <c r="HZ6" s="2">
        <f>-0.232666701010047*(1)</f>
        <v>-0.23266670101004699</v>
      </c>
      <c r="IA6" s="2">
        <f>0.235769827291363*(1)</f>
        <v>0.235769827291363</v>
      </c>
      <c r="IB6" s="2">
        <f>-1.04365934584368*(1)</f>
        <v>-1.04365934584368</v>
      </c>
      <c r="IC6" s="2">
        <f>-0.150524465619607*(1)</f>
        <v>-0.150524465619607</v>
      </c>
      <c r="ID6" s="2">
        <f>0.686621703688194*(1)</f>
        <v>0.68662170368819397</v>
      </c>
      <c r="IE6" s="2">
        <f>-0.559488230480465*(1)</f>
        <v>-0.55948823048046503</v>
      </c>
      <c r="IF6" s="2">
        <f>0.540004934589891*(1)</f>
        <v>0.54000493458989096</v>
      </c>
      <c r="IG6" s="2">
        <f>0.0380225451848672*(1)</f>
        <v>3.8022545184867203E-2</v>
      </c>
      <c r="IH6" s="2">
        <f>-0.213375447144271*(1)</f>
        <v>-0.21337544714427101</v>
      </c>
      <c r="II6" s="2">
        <f>0.10063568720127*(1)</f>
        <v>0.10063568720127</v>
      </c>
      <c r="IJ6" s="2">
        <f>0.1656340214428*(1)</f>
        <v>0.16563402144280001</v>
      </c>
      <c r="IK6" s="2">
        <f>-0.164964182671546*(1)</f>
        <v>-0.164964182671546</v>
      </c>
      <c r="IL6" s="2">
        <f>0.526246328580779*(1)</f>
        <v>0.52624632858077902</v>
      </c>
      <c r="IM6" s="2">
        <f>-0.676842057797449*(1)</f>
        <v>-0.67684205779744899</v>
      </c>
      <c r="IN6" s="2">
        <f>0.411082274903281*(1)</f>
        <v>0.41108227490328098</v>
      </c>
      <c r="IO6" s="2">
        <f>0.213465466700146*(1)</f>
        <v>0.21346546670014599</v>
      </c>
      <c r="IP6" s="2">
        <f>0.176545673841799*(1)</f>
        <v>0.17654567384179901</v>
      </c>
      <c r="IQ6" s="2">
        <f>-0.210041280563299*(1)</f>
        <v>-0.21004128056329899</v>
      </c>
      <c r="IR6" s="2">
        <f>-0.385701958022635*(1)</f>
        <v>-0.38570195802263502</v>
      </c>
      <c r="IS6" s="2">
        <f>-0.74243524017879*(1)</f>
        <v>-0.74243524017879003</v>
      </c>
      <c r="IT6" s="2">
        <f>0.00426973161692603*(1)</f>
        <v>4.2697316169260299E-3</v>
      </c>
      <c r="IU6" s="2">
        <f>-0.0944781934116463*(1)</f>
        <v>-9.4478193411646302E-2</v>
      </c>
      <c r="IV6" s="2">
        <f>-0.614600785379961*(1)</f>
        <v>-0.61460078537996099</v>
      </c>
      <c r="IW6" s="2">
        <f>0.282365839969987*(1)</f>
        <v>0.28236583996998699</v>
      </c>
      <c r="IX6" s="2">
        <f>0.467393158600339*(1)</f>
        <v>0.46739315860033898</v>
      </c>
      <c r="IY6" s="2">
        <f>0.334956945131647*(1)</f>
        <v>0.33495694513164698</v>
      </c>
      <c r="IZ6" s="2">
        <f>-0.245958037748457*(1)</f>
        <v>-0.24595803774845701</v>
      </c>
      <c r="JA6" s="2">
        <f>-0.670834179962216*(1)</f>
        <v>-0.67083417996221595</v>
      </c>
      <c r="JB6" s="2">
        <f>0.264765457574593*(1)</f>
        <v>0.26476545757459302</v>
      </c>
      <c r="JC6" s="2">
        <f>0.778056100686725*(1)</f>
        <v>0.77805610068672504</v>
      </c>
      <c r="JD6" s="2">
        <f>0.284088755203425*(1)</f>
        <v>0.28408875520342503</v>
      </c>
      <c r="JE6" s="2">
        <f>0.0763043094849386*(1)</f>
        <v>7.6304309484938604E-2</v>
      </c>
      <c r="JF6" s="2">
        <f>-0.000346058144853694*(1)</f>
        <v>-3.4605814485369398E-4</v>
      </c>
      <c r="JG6" s="2">
        <f>0.0851785454422626*(1)</f>
        <v>8.5178545442262596E-2</v>
      </c>
      <c r="JH6" s="2">
        <f>-0.28968140579525*(1)</f>
        <v>-0.28968140579524998</v>
      </c>
      <c r="JI6" s="2">
        <f>0.160125639942605*(1)</f>
        <v>0.16012563994260501</v>
      </c>
      <c r="JJ6" s="2">
        <f>0.549315462942073*(1)</f>
        <v>0.54931546294207301</v>
      </c>
      <c r="JK6" s="2">
        <f>0.571335748061785*(1)</f>
        <v>0.571335748061785</v>
      </c>
      <c r="JL6" s="2">
        <f>-0.235129378560366*(1)</f>
        <v>-0.235129378560366</v>
      </c>
      <c r="JM6" s="2">
        <f>0.146270543274007*(1)</f>
        <v>0.14627054327400699</v>
      </c>
      <c r="JN6" s="2">
        <f>0.137974344767205*(1)</f>
        <v>0.13797434476720499</v>
      </c>
      <c r="JO6" s="2">
        <f>0.305503314565866*(1)</f>
        <v>0.30550331456586599</v>
      </c>
      <c r="JP6" s="2">
        <f>-0.659084587720485*(1)</f>
        <v>-0.65908458772048495</v>
      </c>
      <c r="JQ6" s="2">
        <f>-0.752744869316057*(1)</f>
        <v>-0.752744869316057</v>
      </c>
      <c r="JR6" s="2">
        <f>0.255409934824818*(1)</f>
        <v>0.255409934824818</v>
      </c>
      <c r="JS6" s="2">
        <f>0.0880395143734004*(1)</f>
        <v>8.8039514373400393E-2</v>
      </c>
      <c r="JT6" s="2">
        <f>0.314062083662362*(1)</f>
        <v>0.31406208366236199</v>
      </c>
      <c r="JU6" s="2">
        <f>-0.0387825178244938*(1)</f>
        <v>-3.8782517824493802E-2</v>
      </c>
      <c r="JV6" s="2">
        <f>0.238194329319068*(1)</f>
        <v>0.238194329319068</v>
      </c>
      <c r="JW6" s="2">
        <f>0.1891139244084*(1)</f>
        <v>0.1891139244084</v>
      </c>
      <c r="JX6" s="2">
        <f>0.161984702343609*(1)</f>
        <v>0.16198470234360901</v>
      </c>
      <c r="JY6" s="2">
        <f>-0.123800875786179*(1)</f>
        <v>-0.123800875786179</v>
      </c>
      <c r="JZ6" s="2">
        <f>0.0651151209938713*(1)</f>
        <v>6.5115120993871303E-2</v>
      </c>
      <c r="KA6" s="2">
        <f>0.227656771105181*(1)</f>
        <v>0.22765677110518101</v>
      </c>
      <c r="KB6" s="2">
        <f>-0.0758953704705858*(1)</f>
        <v>-7.5895370470585796E-2</v>
      </c>
      <c r="KC6" s="2">
        <f>0.0908457637726843*(1)</f>
        <v>9.0845763772684301E-2</v>
      </c>
      <c r="KD6" s="2">
        <f>-0.369624737150661*(1)</f>
        <v>-0.36962473715066102</v>
      </c>
      <c r="KE6" s="2">
        <f>-0.0869845071759611*(1)</f>
        <v>-8.6984507175961095E-2</v>
      </c>
      <c r="KF6" s="2">
        <f>-0.918133040333665*(1)</f>
        <v>-0.91813304033366505</v>
      </c>
      <c r="KG6" s="2">
        <f>0.69083574752244*(1)</f>
        <v>0.69083574752244004</v>
      </c>
      <c r="KH6" s="2">
        <f>-0.167526417746431*(1)</f>
        <v>-0.16752641774643101</v>
      </c>
      <c r="KI6" s="2">
        <f>0.683463620535375*(1)</f>
        <v>0.68346362053537502</v>
      </c>
      <c r="KJ6" s="2">
        <f>-0.362772697468276*(1)</f>
        <v>-0.36277269746827601</v>
      </c>
      <c r="KK6" s="2">
        <f>0.153051543134447*(1)</f>
        <v>0.15305154313444699</v>
      </c>
      <c r="KL6" s="2">
        <f>-0.0500619210436746*(1)</f>
        <v>-5.0061921043674601E-2</v>
      </c>
      <c r="KM6" s="2">
        <f>0.55395161607378*(1)</f>
        <v>0.55395161607377996</v>
      </c>
      <c r="KN6" s="2">
        <f>0.0305220586005085*(1)</f>
        <v>3.0522058600508498E-2</v>
      </c>
      <c r="KO6" s="2">
        <f>-0.0858561383140526*(1)</f>
        <v>-8.5856138314052602E-2</v>
      </c>
      <c r="KP6" s="2">
        <f>-0.18524086879296*(1)</f>
        <v>-0.18524086879296001</v>
      </c>
      <c r="KQ6" s="2">
        <f>0.256408533832711*(1)</f>
        <v>0.25640853383271101</v>
      </c>
      <c r="KR6" s="2">
        <f>0.0573246714332441*(1)</f>
        <v>5.7324671433244101E-2</v>
      </c>
      <c r="KS6" s="2">
        <f>-0.552380286043777*(1)</f>
        <v>-0.55238028604377698</v>
      </c>
      <c r="KT6" s="2">
        <f>-0.303955282454708*(1)</f>
        <v>-0.30395528245470799</v>
      </c>
      <c r="KU6" s="2">
        <f>-0.0458777149693572*(1)</f>
        <v>-4.5877714969357199E-2</v>
      </c>
      <c r="KV6" s="2">
        <f>1.85447315332595*(1)</f>
        <v>1.85447315332595</v>
      </c>
      <c r="KW6" s="2">
        <f>0.0457926349423191*(1)</f>
        <v>4.5792634942319103E-2</v>
      </c>
      <c r="KX6" s="2">
        <f>0.749654767989427*(1)</f>
        <v>0.74965476798942698</v>
      </c>
      <c r="KY6" s="2">
        <f>-0.0364581741876482*(1)</f>
        <v>-3.6458174187648199E-2</v>
      </c>
      <c r="KZ6" s="2">
        <f>0.487932446019912*(1)</f>
        <v>0.48793244601991198</v>
      </c>
      <c r="LA6" s="2">
        <f>-0.567066985711869*(1)</f>
        <v>-0.56706698571186898</v>
      </c>
      <c r="LB6" s="2">
        <f>-0.938388620138543*(1)</f>
        <v>-0.93838862013854296</v>
      </c>
      <c r="LC6" s="2">
        <f>-0.582206057923827*(1)</f>
        <v>-0.58220605792382696</v>
      </c>
      <c r="LD6" s="2">
        <f>-1.20612062049605*(1)</f>
        <v>-1.20612062049605</v>
      </c>
      <c r="LE6" s="2">
        <f>-0.423469423078517*(1)</f>
        <v>-0.42346942307851698</v>
      </c>
      <c r="LF6" s="2">
        <f>-0.0398135590364593*(1)</f>
        <v>-3.9813559036459299E-2</v>
      </c>
      <c r="LG6" s="2">
        <f>0.125970464442807*(1)</f>
        <v>0.12597046444280699</v>
      </c>
      <c r="LH6" s="2">
        <f>0.0746747958841584*(1)</f>
        <v>7.4674795884158401E-2</v>
      </c>
      <c r="LI6" s="2">
        <f>-0.327431682758548*(1)</f>
        <v>-0.327431682758548</v>
      </c>
      <c r="LJ6" s="2">
        <f>1.17174731856449*(1)</f>
        <v>1.17174731856449</v>
      </c>
      <c r="LK6" s="2">
        <f>-0.700360273881431*(1)</f>
        <v>-0.70036027388143096</v>
      </c>
      <c r="LL6" s="2">
        <f>-0.594070868490777*(1)</f>
        <v>-0.59407086849077695</v>
      </c>
      <c r="LM6" s="2">
        <f>-0.0527189809215684*(1)</f>
        <v>-5.2718980921568397E-2</v>
      </c>
      <c r="LN6" s="2">
        <f>-0.00266345430799919*(1)</f>
        <v>-2.6634543079991899E-3</v>
      </c>
      <c r="LO6" s="2">
        <f>-0.768909456575861*(1)</f>
        <v>-0.76890945657586096</v>
      </c>
      <c r="LP6" s="2">
        <f>0.820112061866538*(1)</f>
        <v>0.82011206186653796</v>
      </c>
      <c r="LQ6" s="2">
        <f>0.372754297220088*(1)</f>
        <v>0.37275429722008802</v>
      </c>
      <c r="LR6" s="2">
        <f>-0.152616331620396*(1)</f>
        <v>-0.15261633162039601</v>
      </c>
      <c r="LS6" s="2">
        <f>0.261526906764951*(1)</f>
        <v>0.26152690676495099</v>
      </c>
      <c r="LT6" s="2">
        <f>-0.0592233091063642*(1)</f>
        <v>-5.9223309106364197E-2</v>
      </c>
      <c r="LU6" s="2">
        <f>0.282951759166611*(1)</f>
        <v>0.28295175916661103</v>
      </c>
      <c r="LV6" s="2">
        <f>-0.281687594947674*(1)</f>
        <v>-0.28168759494767398</v>
      </c>
      <c r="LW6" s="2">
        <f>0.149372761369874*(1)</f>
        <v>0.14937276136987401</v>
      </c>
      <c r="LX6" s="2">
        <f>-0.444364076796431*(1)</f>
        <v>-0.44436407679643097</v>
      </c>
      <c r="LY6" s="2">
        <f>0.64433127776866*(1)</f>
        <v>0.64433127776865995</v>
      </c>
      <c r="LZ6" s="2">
        <f>0.526891555686905*(1)</f>
        <v>0.52689155568690504</v>
      </c>
      <c r="MA6" s="2">
        <f>-0.653162456384029*(1)</f>
        <v>-0.65316245638402903</v>
      </c>
      <c r="MB6" s="2">
        <f>-0.276454635021133*(1)</f>
        <v>-0.27645463502113299</v>
      </c>
      <c r="MC6" s="2">
        <f>-0.0894774146211166*(1)</f>
        <v>-8.9477414621116594E-2</v>
      </c>
      <c r="MD6" s="2">
        <f>-0.242137973103725*(1)</f>
        <v>-0.24213797310372501</v>
      </c>
      <c r="ME6" s="2">
        <f>-0.540543417316364*(1)</f>
        <v>-0.54054341731636402</v>
      </c>
      <c r="MF6" s="2">
        <f>-0.38612314505926*(1)</f>
        <v>-0.38612314505925999</v>
      </c>
      <c r="MG6" s="2">
        <f>-0.375191626113116*(1)</f>
        <v>-0.37519162611311602</v>
      </c>
      <c r="MH6" s="2">
        <f>0.491506871875514*(1)</f>
        <v>0.49150687187551401</v>
      </c>
      <c r="MI6" s="2">
        <f>-0.0458057823432027*(1)</f>
        <v>-4.5805782343202699E-2</v>
      </c>
      <c r="MJ6" s="2">
        <f>0.124753947450638*(1)</f>
        <v>0.124753947450638</v>
      </c>
      <c r="MK6" s="2">
        <f>0.325402612263548*(1)</f>
        <v>0.325402612263548</v>
      </c>
      <c r="ML6" s="2">
        <f>0.360960178432975*(1)</f>
        <v>0.36096017843297501</v>
      </c>
      <c r="MM6" s="2">
        <f>-0.375554326688586*(1)</f>
        <v>-0.37555432668858602</v>
      </c>
      <c r="MN6" s="2">
        <f>-0.309522829509554*(1)</f>
        <v>-0.30952282950955401</v>
      </c>
      <c r="MO6" s="2">
        <f>-0.355707617787871*(1)</f>
        <v>-0.35570761778787102</v>
      </c>
      <c r="MP6" s="2">
        <f>0.401467325693754*(1)</f>
        <v>0.40146732569375398</v>
      </c>
      <c r="MQ6" s="2">
        <f>-0.156794804798738*(1)</f>
        <v>-0.156794804798738</v>
      </c>
      <c r="MR6" s="2">
        <f>0.392789327056916*(1)</f>
        <v>0.39278932705691599</v>
      </c>
      <c r="MS6" s="2">
        <f>-0.331361485872097*(1)</f>
        <v>-0.33136148587209702</v>
      </c>
      <c r="MT6" s="2">
        <f>0.332320593176212*(1)</f>
        <v>0.33232059317621199</v>
      </c>
      <c r="MU6" s="2">
        <f>-0.341840250813394*(1)</f>
        <v>-0.34184025081339398</v>
      </c>
      <c r="MV6" s="2">
        <f>-0.468268636855608*(1)</f>
        <v>-0.46826863685560799</v>
      </c>
      <c r="MW6" s="2">
        <f>-0.130251581467927*(1)</f>
        <v>-0.13025158146792701</v>
      </c>
      <c r="MX6" s="2">
        <f>-0.18135228813542*(1)</f>
        <v>-0.18135228813542001</v>
      </c>
      <c r="MY6" s="2">
        <f>-0.0219704372345175*(1)</f>
        <v>-2.1970437234517502E-2</v>
      </c>
      <c r="MZ6" s="2">
        <f>0.330825155001628*(1)</f>
        <v>0.33082515500162801</v>
      </c>
      <c r="NA6" s="2">
        <f>0.310589806332154*(1)</f>
        <v>0.31058980633215399</v>
      </c>
      <c r="NB6" s="2">
        <f>0.581117801808445*(1)</f>
        <v>0.58111780180844497</v>
      </c>
      <c r="NC6" s="2">
        <f>-0.239457734907792*(1)</f>
        <v>-0.23945773490779201</v>
      </c>
      <c r="ND6" s="2">
        <f>-0.827511775767712*(1)</f>
        <v>-0.82751177576771195</v>
      </c>
      <c r="NE6" s="2">
        <f>0.767644249692642*(1)</f>
        <v>0.767644249692642</v>
      </c>
      <c r="NF6" s="2">
        <f>0.800716032978567*(1)</f>
        <v>0.80071603297856697</v>
      </c>
      <c r="NG6" s="2">
        <f>-0.19421907664287*(1)</f>
        <v>-0.19421907664287</v>
      </c>
      <c r="NH6" s="2">
        <f>0.166571441949633*(1)</f>
        <v>0.166571441949633</v>
      </c>
      <c r="NI6" s="2">
        <f>-0.985056894578203*(1)</f>
        <v>-0.985056894578203</v>
      </c>
      <c r="NJ6" s="2">
        <f>-0.00893941778440193*(1)</f>
        <v>-8.9394177844019304E-3</v>
      </c>
      <c r="NK6" s="2">
        <f>-0.223179059018092*(1)</f>
        <v>-0.22317905901809201</v>
      </c>
      <c r="NL6" s="2">
        <f>-0.0285280517239349*(1)</f>
        <v>-2.85280517239349E-2</v>
      </c>
      <c r="NM6" s="2">
        <f>-1.4593097480683*(1)</f>
        <v>-1.4593097480682999</v>
      </c>
      <c r="NN6" s="2">
        <f>-0.413627930026458*(1)</f>
        <v>-0.41362793002645798</v>
      </c>
      <c r="NO6" s="2">
        <f>-0.217681003913801*(1)</f>
        <v>-0.21768100391380099</v>
      </c>
      <c r="NP6" s="2">
        <f>-0.319592522163703*(1)</f>
        <v>-0.31959252216370299</v>
      </c>
      <c r="NQ6" s="2">
        <f>0.158062829521167*(1)</f>
        <v>0.15806282952116699</v>
      </c>
      <c r="NR6" s="2">
        <f>-0.792512570149694*(1)</f>
        <v>-0.79251257014969401</v>
      </c>
      <c r="NS6" s="2">
        <f>-0.13286825011807*(1)</f>
        <v>-0.13286825011806999</v>
      </c>
      <c r="NT6" s="2">
        <f>-1.04989610711631*(1)</f>
        <v>-1.04989610711631</v>
      </c>
      <c r="NU6" s="2">
        <f>0.104389255813835*(1)</f>
        <v>0.104389255813835</v>
      </c>
      <c r="NV6" s="2">
        <f>-0.288469061317691*(1)</f>
        <v>-0.28846906131769101</v>
      </c>
      <c r="NW6" s="2">
        <f>-0.909638483373998*(1)</f>
        <v>-0.909638483373998</v>
      </c>
      <c r="NX6" s="2">
        <f>0.0313453619131238*(1)</f>
        <v>3.1345361913123801E-2</v>
      </c>
      <c r="NY6" s="2">
        <f>0.614802742205085*(1)</f>
        <v>0.61480274220508502</v>
      </c>
      <c r="NZ6" s="2">
        <f>-0.353292732926523*(1)</f>
        <v>-0.35329273292652302</v>
      </c>
      <c r="OA6" s="2">
        <f>-0.367037827786874*(1)</f>
        <v>-0.36703782778687399</v>
      </c>
      <c r="OB6" s="2">
        <f>-0.171534496488829*(1)</f>
        <v>-0.17153449648882901</v>
      </c>
      <c r="OC6" s="2">
        <f>0.861892307851263*(1)</f>
        <v>0.86189230785126303</v>
      </c>
      <c r="OD6" s="2">
        <f>0.136439601466603*(1)</f>
        <v>0.136439601466603</v>
      </c>
      <c r="OE6" s="2">
        <f>-0.938846520449295*(1)</f>
        <v>-0.93884652044929495</v>
      </c>
      <c r="OF6" s="2">
        <f>0.164784319446045*(1)</f>
        <v>0.16478431944604499</v>
      </c>
      <c r="OG6" s="2">
        <f>0.544505709194135*(1)</f>
        <v>0.54450570919413499</v>
      </c>
      <c r="OH6" s="2">
        <f>-0.139054536913093*(1)</f>
        <v>-0.139054536913093</v>
      </c>
      <c r="OI6" s="2">
        <f>0.369699618395237*(1)</f>
        <v>0.36969961839523702</v>
      </c>
      <c r="OJ6" s="2">
        <f>-0.433210315260849*(1)</f>
        <v>-0.43321031526084902</v>
      </c>
      <c r="OK6" s="2">
        <f>-0.0730770155810009*(1)</f>
        <v>-7.3077015581000895E-2</v>
      </c>
      <c r="OL6" s="2">
        <f>0.87550070562232*(1)</f>
        <v>0.87550070562231996</v>
      </c>
      <c r="OM6" s="2">
        <f>-0.168978187128325*(1)</f>
        <v>-0.16897818712832499</v>
      </c>
      <c r="ON6" s="2">
        <f>0.103704602804382*(1)</f>
        <v>0.103704602804382</v>
      </c>
      <c r="OO6" s="2">
        <f>-0.565852198745322*(1)</f>
        <v>-0.565852198745322</v>
      </c>
      <c r="OP6" s="2">
        <f>0.450233603395341*(1)</f>
        <v>0.45023360339534102</v>
      </c>
      <c r="OQ6" s="2">
        <f>0.0023348253813418*(1)</f>
        <v>2.3348253813418002E-3</v>
      </c>
      <c r="OR6" s="2">
        <f>0.126397246211514*(1)</f>
        <v>0.12639724621151399</v>
      </c>
      <c r="OS6" s="2">
        <f>-0.601297576040408*(1)</f>
        <v>-0.60129757604040801</v>
      </c>
      <c r="OT6" s="2">
        <f>0.188107294977038*(1)</f>
        <v>0.18810729497703799</v>
      </c>
      <c r="OU6" s="2">
        <f>0.162224584154656*(1)</f>
        <v>0.16222458415465599</v>
      </c>
      <c r="OV6" s="2">
        <f>-0.336456384659185*(1)</f>
        <v>-0.33645638465918498</v>
      </c>
      <c r="OW6" s="2">
        <f>-0.756245437943265*(1)</f>
        <v>-0.75624543794326504</v>
      </c>
      <c r="OX6" s="2">
        <f>-0.885800290306243*(1)</f>
        <v>-0.88580029030624297</v>
      </c>
      <c r="OY6" s="2">
        <f>0.114335427243874*(1)</f>
        <v>0.11433542724387399</v>
      </c>
      <c r="OZ6" s="2">
        <f>-0.152867768937183*(1)</f>
        <v>-0.15286776893718301</v>
      </c>
      <c r="PA6" s="2">
        <f>-0.931797207823851*(1)</f>
        <v>-0.931797207823851</v>
      </c>
      <c r="PB6" s="2">
        <f>0.519487828794084*(1)</f>
        <v>0.51948782879408395</v>
      </c>
      <c r="PC6" s="2">
        <f>-0.0720053023315565*(1)</f>
        <v>-7.2005302331556498E-2</v>
      </c>
      <c r="PD6" s="2">
        <f>0.142009344992023*(1)</f>
        <v>0.142009344992023</v>
      </c>
      <c r="PE6" s="2">
        <f>-0.677993581241425*(1)</f>
        <v>-0.67799358124142495</v>
      </c>
      <c r="PF6" s="2">
        <f>-0.509121982651085*(1)</f>
        <v>-0.50912198265108499</v>
      </c>
      <c r="PG6" s="2">
        <f>-0.596434520518957*(1)</f>
        <v>-0.59643452051895696</v>
      </c>
      <c r="PH6" s="2">
        <f>-1.48761034072903*(1)</f>
        <v>-1.48761034072903</v>
      </c>
      <c r="PI6" s="2">
        <f>-1.45394639498659*(1)</f>
        <v>-1.4539463949865901</v>
      </c>
      <c r="PJ6" s="2">
        <f>-0.233074493226623*(1)</f>
        <v>-0.23307449322662299</v>
      </c>
      <c r="PK6" s="2">
        <f>0.0470790220859434*(1)</f>
        <v>4.7079022085943403E-2</v>
      </c>
      <c r="PL6" s="2">
        <f>0.803227697730219*(1)</f>
        <v>0.80322769773021896</v>
      </c>
      <c r="PM6" s="2">
        <f>0.0745248043859139*(1)</f>
        <v>7.4524804385913898E-2</v>
      </c>
      <c r="PN6" s="2">
        <f>0.442385984927154*(1)</f>
        <v>0.44238598492715397</v>
      </c>
      <c r="PO6" s="2">
        <f>-0.574642310518128*(1)</f>
        <v>-0.57464231051812797</v>
      </c>
      <c r="PP6" s="2">
        <f>0.538061066464222*(1)</f>
        <v>0.53806106646422203</v>
      </c>
      <c r="PQ6" s="2">
        <f>-0.105868026526543*(1)</f>
        <v>-0.10586802652654299</v>
      </c>
      <c r="PR6" s="2">
        <f>0.0574103320985591*(1)</f>
        <v>5.74103320985591E-2</v>
      </c>
      <c r="PS6" s="2">
        <f>0.462712315122658*(1)</f>
        <v>0.46271231512265798</v>
      </c>
      <c r="PT6" s="2">
        <f>0.451666300876883*(1)</f>
        <v>0.45166630087688298</v>
      </c>
      <c r="PU6" s="2">
        <f>0.177847019457316*(1)</f>
        <v>0.17784701945731601</v>
      </c>
      <c r="PV6" s="2">
        <f>0.809888703334309*(1)</f>
        <v>0.80988870333430896</v>
      </c>
      <c r="PW6" s="2">
        <f>-0.104526151160054*(1)</f>
        <v>-0.104526151160054</v>
      </c>
      <c r="PX6" s="2">
        <f>-0.21853017393222*(1)</f>
        <v>-0.21853017393221999</v>
      </c>
      <c r="PY6" s="2">
        <f>1.13692155360612*(1)</f>
        <v>1.1369215536061199</v>
      </c>
      <c r="PZ6" s="2">
        <f>-0.307853051396247*(1)</f>
        <v>-0.30785305139624702</v>
      </c>
      <c r="QA6" s="2">
        <f>-0.0495470408090656*(1)</f>
        <v>-4.95470408090656E-2</v>
      </c>
      <c r="QB6" s="2">
        <f>-0.399776619677745*(1)</f>
        <v>-0.39977661967774503</v>
      </c>
      <c r="QC6" s="2">
        <f>-1.35507242556288*(1)</f>
        <v>-1.3550724255628801</v>
      </c>
      <c r="QD6" s="2">
        <f>0.0696501864980947*(1)</f>
        <v>6.9650186498094693E-2</v>
      </c>
      <c r="QE6" s="2">
        <f>-0.224539815113673*(1)</f>
        <v>-0.22453981511367299</v>
      </c>
      <c r="QF6" s="2">
        <f>0.685020001150905*(1)</f>
        <v>0.685020001150905</v>
      </c>
      <c r="QG6" s="2">
        <f>0.833262041624552*(1)</f>
        <v>0.83326204162455197</v>
      </c>
      <c r="QH6" s="2">
        <f>-2.06894048273196*(1)</f>
        <v>-2.0689404827319602</v>
      </c>
      <c r="QI6" s="2">
        <f>0.942627000421638*(1)</f>
        <v>0.94262700042163805</v>
      </c>
      <c r="QJ6" s="2">
        <f>0.102640256152741*(1)</f>
        <v>0.102640256152741</v>
      </c>
      <c r="QK6" s="2">
        <f>0.610064626326614*(1)</f>
        <v>0.61006462632661396</v>
      </c>
      <c r="QL6" s="2">
        <f>-0.400449715057564*(1)</f>
        <v>-0.40044971505756399</v>
      </c>
      <c r="QM6" s="2">
        <f>-0.835809701937593*(1)</f>
        <v>-0.83580970193759296</v>
      </c>
      <c r="QN6" s="2">
        <f>0.898425621390307*(1)</f>
        <v>0.89842562139030702</v>
      </c>
      <c r="QO6" s="2">
        <f>1.48106172909976*(1)</f>
        <v>1.4810617290997601</v>
      </c>
      <c r="QP6" s="2">
        <f>1.45240328497987*(1)</f>
        <v>1.45240328497987</v>
      </c>
      <c r="QQ6" s="2">
        <f>0.0587183120076846*(1)</f>
        <v>5.8718312007684598E-2</v>
      </c>
      <c r="QR6" s="2">
        <f>-0.98512957055724*(1)</f>
        <v>-0.98512957055724004</v>
      </c>
      <c r="QS6" s="2">
        <f>0.983999763163276*(1)</f>
        <v>0.98399976316327598</v>
      </c>
      <c r="QT6" s="2">
        <f>0.500667220832929*(1)</f>
        <v>0.50066722083292903</v>
      </c>
      <c r="QU6" s="2">
        <f>-0.48696789342627*(1)</f>
        <v>-0.48696789342627</v>
      </c>
      <c r="QV6" s="2">
        <f>1.53470654712052*(1)</f>
        <v>1.5347065471205199</v>
      </c>
      <c r="QW6" s="2">
        <f>7.66774867871911E-06*(1)</f>
        <v>7.6677486787191107E-6</v>
      </c>
      <c r="QX6" s="2">
        <f>0.177378701957389*(1)</f>
        <v>0.177378701957389</v>
      </c>
      <c r="QY6" s="2">
        <f>-0.278836759671622*(1)</f>
        <v>-0.27883675967162203</v>
      </c>
      <c r="QZ6" s="2">
        <f>-0.533496340073671*(1)</f>
        <v>-0.53349634007367097</v>
      </c>
      <c r="RA6" s="2">
        <f>-1.59625422421538*(1)</f>
        <v>-1.5962542242153801</v>
      </c>
      <c r="RB6" s="2">
        <f>0.504860249562769*(1)</f>
        <v>0.50486024956276898</v>
      </c>
      <c r="RC6" s="2">
        <f>-0.174219380505829*(1)</f>
        <v>-0.174219380505829</v>
      </c>
      <c r="RD6" s="2">
        <f>1.81677962785542*(1)</f>
        <v>1.81677962785542</v>
      </c>
      <c r="RE6" s="2">
        <f>0.354642210217174*(1)</f>
        <v>0.35464221021717401</v>
      </c>
      <c r="RF6" s="2">
        <f>-0.769469316165926*(1)</f>
        <v>-0.76946931616592595</v>
      </c>
      <c r="RG6" s="2">
        <f>-1.12097767599512*(1)</f>
        <v>-1.12097767599512</v>
      </c>
      <c r="RH6" s="2">
        <f>-0.240705610938125*(1)</f>
        <v>-0.24070561093812501</v>
      </c>
      <c r="RI6" s="2">
        <f>0.0786870987156095*(1)</f>
        <v>7.8687098715609499E-2</v>
      </c>
      <c r="RJ6" s="2">
        <f>-0.731010640737658*(1)</f>
        <v>-0.73101064073765798</v>
      </c>
      <c r="RK6" s="2">
        <f>0.405528146302314*(1)</f>
        <v>0.40552814630231399</v>
      </c>
      <c r="RL6" s="2">
        <f>-0.514184047901158*(1)</f>
        <v>-0.51418404790115801</v>
      </c>
      <c r="RM6" s="2">
        <f>0.0882539050331889*(1)</f>
        <v>8.8253905033188904E-2</v>
      </c>
      <c r="RN6" s="2">
        <f>-1.36748027640579*(1)</f>
        <v>-1.3674802764057901</v>
      </c>
      <c r="RO6" s="2">
        <f>0.158654111457524*(1)</f>
        <v>0.15865411145752401</v>
      </c>
      <c r="RP6" s="2">
        <f>-0.110689964248486*(1)</f>
        <v>-0.110689964248486</v>
      </c>
      <c r="RQ6" s="2">
        <f>0.536160215905095*(1)</f>
        <v>0.53616021590509499</v>
      </c>
      <c r="RR6" s="2">
        <f>-0.747624087849747*(1)</f>
        <v>-0.74762408784974699</v>
      </c>
      <c r="RS6" s="2">
        <f>-1.37954570604579*(1)</f>
        <v>-1.3795457060457901</v>
      </c>
      <c r="RT6" s="2">
        <f>-0.441321867292004*(1)</f>
        <v>-0.44132186729200401</v>
      </c>
      <c r="RU6" s="2">
        <f>0.913746749946036*(1)</f>
        <v>0.913746749946036</v>
      </c>
      <c r="RV6" s="2">
        <f>-1.37114093435629*(1)</f>
        <v>-1.3711409343562899</v>
      </c>
      <c r="RW6" s="2">
        <f>-1.03545166025181*(1)</f>
        <v>-1.03545166025181</v>
      </c>
      <c r="RX6" s="2">
        <f>-1.28787645020006*(1)</f>
        <v>-1.2878764502000599</v>
      </c>
      <c r="RY6" s="2">
        <f>-0.874721364866795*(1)</f>
        <v>-0.87472136486679497</v>
      </c>
      <c r="RZ6" s="2">
        <f>0.0654934045942802*(1)</f>
        <v>6.54934045942802E-2</v>
      </c>
      <c r="SA6" s="2">
        <f>0.888347837575683*(1)</f>
        <v>0.88834783757568303</v>
      </c>
      <c r="SB6" s="2">
        <f>0.770842443025196*(1)</f>
        <v>0.770842443025196</v>
      </c>
      <c r="SC6" s="2">
        <f>0.311058660938008*(1)</f>
        <v>0.31105866093800799</v>
      </c>
      <c r="SD6" s="2">
        <f>-0.627640051970829*(1)</f>
        <v>-0.62764005197082895</v>
      </c>
      <c r="SE6" s="2">
        <f>0.0928238340557843*(1)</f>
        <v>9.2823834055784302E-2</v>
      </c>
      <c r="SF6" s="2">
        <f>-0.0321548392655379*(1)</f>
        <v>-3.2154839265537902E-2</v>
      </c>
      <c r="SG6" s="2">
        <f>0.539276760867075*(1)</f>
        <v>0.53927676086707499</v>
      </c>
      <c r="SH6" s="2">
        <f>-0.448795220099104*(1)</f>
        <v>-0.448795220099104</v>
      </c>
      <c r="SI6" s="2">
        <f>0.911449565953939*(1)</f>
        <v>0.911449565953939</v>
      </c>
      <c r="SJ6" s="2">
        <f>-1.15910200696847*(1)</f>
        <v>-1.1591020069684701</v>
      </c>
      <c r="SK6" s="2">
        <f>0.191893750603627*(1)</f>
        <v>0.19189375060362701</v>
      </c>
      <c r="SL6" s="2">
        <f>0.134226011156812*(1)</f>
        <v>0.13422601115681199</v>
      </c>
      <c r="SM6" s="2">
        <f>0.898963417753273*(1)</f>
        <v>0.89896341775327304</v>
      </c>
      <c r="SN6" s="2">
        <f>-0.138702730139888*(1)</f>
        <v>-0.13870273013988799</v>
      </c>
      <c r="SO6" s="2">
        <f>0.146420136985682*(1)</f>
        <v>0.14642013698568199</v>
      </c>
      <c r="SP6" s="2">
        <f>-0.316678145763794*(1)</f>
        <v>-0.31667814576379399</v>
      </c>
      <c r="SQ6" s="2">
        <f>0.397122961206825*(1)</f>
        <v>0.397122961206825</v>
      </c>
      <c r="SR6" s="2">
        <f>0.372117659198562*(1)</f>
        <v>0.37211765919856199</v>
      </c>
      <c r="SS6" s="2">
        <f>0.964775007644849*(1)</f>
        <v>0.96477500764484903</v>
      </c>
      <c r="ST6" s="2">
        <f>0.030680270839378*(1)</f>
        <v>3.0680270839378E-2</v>
      </c>
      <c r="SU6" s="2">
        <f>-0.265283204993896*(1)</f>
        <v>-0.26528320499389602</v>
      </c>
      <c r="SV6" s="2">
        <f>-0.246506018932771*(1)</f>
        <v>-0.24650601893277099</v>
      </c>
      <c r="SW6" s="2">
        <f>0.333688123240079*(1)</f>
        <v>0.33368812324007902</v>
      </c>
      <c r="SX6" s="2">
        <f>1.01555375989792*(1)</f>
        <v>1.0155537598979201</v>
      </c>
      <c r="SY6" s="2">
        <f>0.31768464232398*(1)</f>
        <v>0.31768464232398003</v>
      </c>
      <c r="SZ6" s="2">
        <f>0.916677213772307*(1)</f>
        <v>0.91667721377230704</v>
      </c>
      <c r="TA6" s="2">
        <f>0.0541284224734852*(1)</f>
        <v>5.4128422473485198E-2</v>
      </c>
      <c r="TB6" s="2">
        <f>0.584685940588486*(1)</f>
        <v>0.584685940588486</v>
      </c>
      <c r="TC6" s="2">
        <f>0.179489393534698*(1)</f>
        <v>0.17948939353469801</v>
      </c>
      <c r="TD6" s="2">
        <f>-0.48978976002469*(1)</f>
        <v>-0.48978976002468999</v>
      </c>
      <c r="TE6" s="2">
        <f>-0.217635102499147*(1)</f>
        <v>-0.217635102499147</v>
      </c>
      <c r="TF6" s="2">
        <f>0.956154765470918*(1)</f>
        <v>0.95615476547091804</v>
      </c>
      <c r="TG6" s="2">
        <f>-0.650720491772347*(1)</f>
        <v>-0.65072049177234703</v>
      </c>
      <c r="TH6" s="2">
        <f>0.154429161590494*(1)</f>
        <v>0.154429161590494</v>
      </c>
      <c r="TI6" s="2">
        <f>-0.183390826044086*(1)</f>
        <v>-0.18339082604408599</v>
      </c>
      <c r="TJ6" s="2">
        <f>-0.528696686880783*(1)</f>
        <v>-0.52869668688078297</v>
      </c>
      <c r="TK6" s="2">
        <f>0.199777860007701*(1)</f>
        <v>0.19977786000770101</v>
      </c>
      <c r="TL6" s="2">
        <f>0.612079337563982*(1)</f>
        <v>0.61207933756398203</v>
      </c>
      <c r="TM6" s="2">
        <f>-0.343034739180741*(1)</f>
        <v>-0.34303473918074101</v>
      </c>
      <c r="TN6" s="2">
        <f>0.0140663448214853*(1)</f>
        <v>1.40663448214853E-2</v>
      </c>
      <c r="TO6" s="2">
        <f>0.552201801263081*(1)</f>
        <v>0.55220180126308105</v>
      </c>
      <c r="TP6" s="2">
        <f>-0.538028598968695*(1)</f>
        <v>-0.53802859896869504</v>
      </c>
      <c r="TQ6" s="2">
        <f>0.843112386779979*(1)</f>
        <v>0.84311238677997902</v>
      </c>
      <c r="TR6" s="2">
        <f>0.209029657698667*(1)</f>
        <v>0.20902965769866699</v>
      </c>
      <c r="TS6" s="2">
        <f>-0.107206960941709*(1)</f>
        <v>-0.10720696094170901</v>
      </c>
      <c r="TT6" s="2">
        <f>0.0628471372642757*(1)</f>
        <v>6.2847137264275696E-2</v>
      </c>
      <c r="TU6" s="2">
        <f>-0.886835853865644*(1)</f>
        <v>-0.88683585386564401</v>
      </c>
      <c r="TV6" s="2">
        <f>0.0830561746711795*(1)</f>
        <v>8.3056174671179497E-2</v>
      </c>
      <c r="TW6" s="2">
        <f>-0.814831366626856*(1)</f>
        <v>-0.81483136662685596</v>
      </c>
      <c r="TX6" s="2">
        <f>-0.0938636178717787*(1)</f>
        <v>-9.3863617871778701E-2</v>
      </c>
      <c r="TY6" s="2">
        <f>-0.646424746405732*(1)</f>
        <v>-0.646424746405732</v>
      </c>
      <c r="TZ6" s="2">
        <f>-0.122108290863683*(1)</f>
        <v>-0.12210829086368299</v>
      </c>
      <c r="UA6" s="2">
        <f>0.506023703600305*(1)</f>
        <v>0.50602370360030502</v>
      </c>
      <c r="UB6" s="2">
        <f>-0.488313400576163*(1)</f>
        <v>-0.48831340057616301</v>
      </c>
      <c r="UC6" s="2">
        <f>0.843999473072135*(1)</f>
        <v>0.84399947307213496</v>
      </c>
      <c r="UD6" s="2">
        <f>-0.0455243339041918*(1)</f>
        <v>-4.5524333904191798E-2</v>
      </c>
      <c r="UE6" s="2">
        <f>0.362935683004506*(1)</f>
        <v>0.36293568300450602</v>
      </c>
      <c r="UF6" s="2">
        <f>1.03732741652439*(1)</f>
        <v>1.03732741652439</v>
      </c>
      <c r="UG6" s="2">
        <f>0.00663023599054568*(1)</f>
        <v>6.6302359905456801E-3</v>
      </c>
      <c r="UH6" s="2">
        <f>-0.384677172032526*(1)</f>
        <v>-0.38467717203252599</v>
      </c>
      <c r="UI6" s="2">
        <f>-0.204652514791477*(1)</f>
        <v>-0.204652514791477</v>
      </c>
      <c r="UJ6" s="2">
        <f>0.43602865026825*(1)</f>
        <v>0.43602865026825</v>
      </c>
      <c r="UK6" s="2">
        <f>0.302584625783849*(1)</f>
        <v>0.30258462578384898</v>
      </c>
      <c r="UL6" s="2">
        <f>-0.56210679477869*(1)</f>
        <v>-0.56210679477868997</v>
      </c>
      <c r="UM6" s="2">
        <f>-0.931174844024605*(1)</f>
        <v>-0.93117484402460504</v>
      </c>
      <c r="UN6" s="2">
        <f>0.488672113980025*(1)</f>
        <v>0.48867211398002502</v>
      </c>
      <c r="UO6" s="2">
        <f>-0.53957064855935*(1)</f>
        <v>-0.53957064855935</v>
      </c>
      <c r="UP6" s="2">
        <f>-0.369825872133614*(1)</f>
        <v>-0.36982587213361401</v>
      </c>
      <c r="UQ6" s="2">
        <f>-0.374905289725416*(1)</f>
        <v>-0.37490528972541598</v>
      </c>
      <c r="UR6" s="2">
        <f>0.0194747348471045*(1)</f>
        <v>1.9474734847104502E-2</v>
      </c>
      <c r="US6" s="2">
        <f>0.307344972643898*(1)</f>
        <v>0.30734497264389798</v>
      </c>
      <c r="UT6" s="2">
        <f>0.166963409603408*(1)</f>
        <v>0.166963409603408</v>
      </c>
      <c r="UU6" s="2">
        <f>0.795428358910616*(1)</f>
        <v>0.79542835891061603</v>
      </c>
      <c r="UV6" s="2">
        <f>-0.361067506995299*(1)</f>
        <v>-0.36106750699529899</v>
      </c>
      <c r="UW6" s="2">
        <f>0.143452064276331*(1)</f>
        <v>0.143452064276331</v>
      </c>
      <c r="UX6" s="2">
        <f>-0.510602616570136*(1)</f>
        <v>-0.51060261657013595</v>
      </c>
      <c r="UY6" s="2">
        <f>0.0279196857884496*(1)</f>
        <v>2.79196857884496E-2</v>
      </c>
      <c r="UZ6" s="2">
        <f>0.949752927360594*(1)</f>
        <v>0.94975292736059402</v>
      </c>
      <c r="VA6" s="2">
        <f>0.495901457045426*(1)</f>
        <v>0.49590145704542599</v>
      </c>
      <c r="VB6" s="2">
        <f>0.197335967385244*(1)</f>
        <v>0.197335967385244</v>
      </c>
      <c r="VC6" s="2">
        <f>-0.90046886164114*(1)</f>
        <v>-0.90046886164114004</v>
      </c>
      <c r="VD6" s="2">
        <f>-0.564812433186361*(1)</f>
        <v>-0.56481243318636098</v>
      </c>
      <c r="VE6" s="2">
        <f>0.686448788016294*(1)</f>
        <v>0.68644878801629405</v>
      </c>
      <c r="VF6" s="2">
        <f>-0.291077464937909*(1)</f>
        <v>-0.29107746493790898</v>
      </c>
      <c r="VG6" s="2">
        <f>1.10747802432351*(1)</f>
        <v>1.1074780243235101</v>
      </c>
      <c r="VH6" s="2">
        <f>-0.712448631512201*(1)</f>
        <v>-0.71244863151220095</v>
      </c>
      <c r="VI6" s="2">
        <f>0.293044179775823*(1)</f>
        <v>0.29304417977582298</v>
      </c>
      <c r="VJ6" s="2">
        <f>-0.756298772287731*(1)</f>
        <v>-0.75629877228773101</v>
      </c>
      <c r="VK6" s="2">
        <f>-0.0302358904897256*(1)</f>
        <v>-3.0235890489725602E-2</v>
      </c>
      <c r="VL6" s="2">
        <f>1.42688131313241*(1)</f>
        <v>1.4268813131324101</v>
      </c>
      <c r="VM6" s="2">
        <f>-0.2363305019042*(1)</f>
        <v>-0.23633050190419999</v>
      </c>
      <c r="VN6" s="2">
        <f>0.0378481887076075*(1)</f>
        <v>3.7848188707607498E-2</v>
      </c>
      <c r="VO6" s="2">
        <f>-0.0771172299811262*(1)</f>
        <v>-7.7117229981126204E-2</v>
      </c>
      <c r="VP6" s="2">
        <f>-0.56719255246466*(1)</f>
        <v>-0.56719255246466005</v>
      </c>
      <c r="VQ6" s="2">
        <f>0.199213448914715*(1)</f>
        <v>0.19921344891471501</v>
      </c>
      <c r="VR6" s="2">
        <f>1.50599899296057*(1)</f>
        <v>1.5059989929605699</v>
      </c>
      <c r="VS6" s="2">
        <f>-0.802718529207736*(1)</f>
        <v>-0.80271852920773601</v>
      </c>
      <c r="VT6" s="2">
        <f>-0.548717533994671*(1)</f>
        <v>-0.54871753399467105</v>
      </c>
      <c r="VU6" s="2">
        <f>0.655785628803616*(1)</f>
        <v>0.65578562880361602</v>
      </c>
      <c r="VV6" s="2">
        <f>0.245886315092609*(1)</f>
        <v>0.245886315092609</v>
      </c>
      <c r="VW6" s="2">
        <f>-0.857860064813566*(1)</f>
        <v>-0.85786006481356603</v>
      </c>
      <c r="VX6" s="2">
        <f>0.641480401646871*(1)</f>
        <v>0.64148040164687103</v>
      </c>
      <c r="VY6" s="2">
        <f>-0.0105548174456266*(1)</f>
        <v>-1.0554817445626599E-2</v>
      </c>
      <c r="VZ6" s="2">
        <f>-0.533990193120519*(1)</f>
        <v>-0.53399019312051899</v>
      </c>
      <c r="WA6" s="2">
        <f>-0.415276026180774*(1)</f>
        <v>-0.41527602618077403</v>
      </c>
      <c r="WB6" s="2">
        <f>-0.70689053891823*(1)</f>
        <v>-0.70689053891822995</v>
      </c>
      <c r="WC6" s="2">
        <f>0.118270521690068*(1)</f>
        <v>0.11827052169006801</v>
      </c>
      <c r="WD6" s="2">
        <f>0.609133618679951*(1)</f>
        <v>0.60913361867995097</v>
      </c>
      <c r="WE6" s="2">
        <f>0.366506375705437*(1)</f>
        <v>0.36650637570543698</v>
      </c>
      <c r="WF6" s="2">
        <f>-0.97430325778977*(1)</f>
        <v>-0.97430325778977001</v>
      </c>
      <c r="WG6" s="2">
        <f>0.400553911112225*(1)</f>
        <v>0.40055391111222499</v>
      </c>
      <c r="WH6" s="2">
        <f>0.581884841309452*(1)</f>
        <v>0.58188484130945195</v>
      </c>
      <c r="WI6" s="2">
        <f>0.56015311358498*(1)</f>
        <v>0.56015311358497999</v>
      </c>
      <c r="WJ6" s="2">
        <f>1.06876739570243*(1)</f>
        <v>1.06876739570243</v>
      </c>
      <c r="WK6" s="2">
        <f>-1.00938635920583*(1)</f>
        <v>-1.0093863592058301</v>
      </c>
      <c r="WL6" s="2">
        <f>-0.500410110500013*(1)</f>
        <v>-0.50041011050001305</v>
      </c>
      <c r="WM6" s="2">
        <f>-0.10571067510535*(1)</f>
        <v>-0.10571067510535</v>
      </c>
      <c r="WN6" s="2">
        <f>-0.845857703310299*(1)</f>
        <v>-0.84585770331029897</v>
      </c>
      <c r="WO6" s="2">
        <f>-0.274772610460353*(1)</f>
        <v>-0.27477261046035301</v>
      </c>
      <c r="WP6" s="2">
        <f>-0.200550011335473*(1)</f>
        <v>-0.20055001133547301</v>
      </c>
      <c r="WQ6" s="2">
        <f>0.375850633986644*(1)</f>
        <v>0.37585063398664398</v>
      </c>
      <c r="WR6" s="2">
        <f>0.25616466963928*(1)</f>
        <v>0.25616466963927997</v>
      </c>
      <c r="WS6" s="2">
        <f>-0.520538636193218*(1)</f>
        <v>-0.52053863619321805</v>
      </c>
      <c r="WT6" s="2">
        <f>-0.439102618085036*(1)</f>
        <v>-0.43910261808503598</v>
      </c>
      <c r="WU6" s="2">
        <f>0.756437151179024*(1)</f>
        <v>0.75643715117902399</v>
      </c>
      <c r="WV6" s="2">
        <f>0.186283815900201*(1)</f>
        <v>0.18628381590020099</v>
      </c>
      <c r="WW6" s="2">
        <f>-0.826287860007602*(1)</f>
        <v>-0.82628786000760202</v>
      </c>
      <c r="WX6" s="2">
        <f>-0.17742991591634*(1)</f>
        <v>-0.17742991591634</v>
      </c>
      <c r="WY6" s="2">
        <f>0.335836797353901*(1)</f>
        <v>0.33583679735390098</v>
      </c>
      <c r="WZ6" s="2">
        <f>0.332762371255098*(1)</f>
        <v>0.332762371255098</v>
      </c>
      <c r="XA6" s="2">
        <f>0.306219986897571*(1)</f>
        <v>0.30621998689757102</v>
      </c>
      <c r="XB6" s="2">
        <f>0.933510261166758*(1)</f>
        <v>0.93351026116675795</v>
      </c>
      <c r="XC6" s="2">
        <f>-1.06119149009212*(1)</f>
        <v>-1.06119149009212</v>
      </c>
      <c r="XD6" s="2">
        <f>0.0352425463349473*(1)</f>
        <v>3.5242546334947299E-2</v>
      </c>
      <c r="XE6" s="2">
        <f>-0.104406613640986*(1)</f>
        <v>-0.104406613640986</v>
      </c>
      <c r="XF6" s="2">
        <f>0.278659582336378*(1)</f>
        <v>0.278659582336378</v>
      </c>
      <c r="XG6" s="2">
        <f>-0.775346439959076*(1)</f>
        <v>-0.77534643995907604</v>
      </c>
      <c r="XH6" s="2">
        <f>-0.370154774819641*(1)</f>
        <v>-0.37015477481964099</v>
      </c>
      <c r="XI6" s="2">
        <f>-0.472142603976481*(1)</f>
        <v>-0.472142603976481</v>
      </c>
      <c r="XJ6" s="2">
        <f>0.244961654100849*(1)</f>
        <v>0.244961654100849</v>
      </c>
      <c r="XK6" s="2">
        <f>0.355495225266341*(1)</f>
        <v>0.35549522526634098</v>
      </c>
      <c r="XL6" s="2">
        <f>0.0743528153444768*(1)</f>
        <v>7.4352815344476797E-2</v>
      </c>
      <c r="XM6" s="2">
        <f>-0.498240543064879*(1)</f>
        <v>-0.49824054306487903</v>
      </c>
      <c r="XN6" s="2">
        <f>-0.491846284915548*(1)</f>
        <v>-0.49184628491554799</v>
      </c>
      <c r="XO6" s="2">
        <f>-0.654700837568458*(1)</f>
        <v>-0.65470083756845798</v>
      </c>
      <c r="XP6" s="2">
        <f>-1.62822967880192*(1)</f>
        <v>-1.6282296788019199</v>
      </c>
      <c r="XQ6" s="2">
        <f>0.193122972824118*(1)</f>
        <v>0.193122972824118</v>
      </c>
      <c r="XR6" s="2">
        <f>0.0874673007214876*(1)</f>
        <v>8.7467300721487604E-2</v>
      </c>
      <c r="XS6" s="2">
        <f>-0.351959846527715*(1)</f>
        <v>-0.351959846527715</v>
      </c>
      <c r="XT6" s="2">
        <f>-0.381897996361418*(1)</f>
        <v>-0.38189799636141802</v>
      </c>
      <c r="XU6" s="2">
        <f>-0.193780534432977*(1)</f>
        <v>-0.19378053443297699</v>
      </c>
      <c r="XV6" s="2">
        <f>-0.19972658421635*(1)</f>
        <v>-0.19972658421635001</v>
      </c>
      <c r="XW6" s="2">
        <f>-0.282701017916118*(1)</f>
        <v>-0.28270101791611801</v>
      </c>
      <c r="XX6" s="2">
        <f>-1.17978935399709*(1)</f>
        <v>-1.1797893539970901</v>
      </c>
      <c r="XY6" s="2">
        <f>0.702476746141022*(1)</f>
        <v>0.70247674614102196</v>
      </c>
      <c r="XZ6" s="2">
        <f>0.188492954000878*(1)</f>
        <v>0.18849295400087801</v>
      </c>
      <c r="YA6" s="2">
        <f>-0.126637776526269*(1)</f>
        <v>-0.12663777652626901</v>
      </c>
      <c r="YB6" s="2">
        <f>0.647751219326377*(1)</f>
        <v>0.64775121932637703</v>
      </c>
      <c r="YC6" s="2">
        <f>-1.01003932952514*(1)</f>
        <v>-1.01003932952514</v>
      </c>
      <c r="YD6" s="2">
        <f>0.526139082847614*(1)</f>
        <v>0.52613908284761401</v>
      </c>
      <c r="YE6" s="2">
        <f>0.178495586353422*(1)</f>
        <v>0.178495586353422</v>
      </c>
      <c r="YF6" s="2">
        <f>0.532944750722487*(1)</f>
        <v>0.53294475072248704</v>
      </c>
      <c r="YG6" s="2">
        <f>0.395252998860204*(1)</f>
        <v>0.39525299886020399</v>
      </c>
      <c r="YH6" s="2">
        <f>-0.216068977143744*(1)</f>
        <v>-0.21606897714374401</v>
      </c>
      <c r="YI6" s="2">
        <f>-0.561879760435852*(1)</f>
        <v>-0.56187976043585197</v>
      </c>
      <c r="YJ6" s="2">
        <f>0.112135402966237*(1)</f>
        <v>0.112135402966237</v>
      </c>
      <c r="YK6" s="2">
        <f>-0.0923839112976261*(1)</f>
        <v>-9.2383911297626103E-2</v>
      </c>
      <c r="YL6" s="2">
        <f>-0.383153366318326*(1)</f>
        <v>-0.38315336631832603</v>
      </c>
      <c r="YM6" s="2">
        <f>-0.0308814336122857*(1)</f>
        <v>-3.0881433612285701E-2</v>
      </c>
      <c r="YN6" s="2">
        <f>0.556202103838787*(1)</f>
        <v>0.55620210383878699</v>
      </c>
      <c r="YO6" s="2">
        <f>-0.526368209911771*(1)</f>
        <v>-0.52636820991177102</v>
      </c>
      <c r="YP6" s="2">
        <f>0.0494973059224354*(1)</f>
        <v>4.9497305922435397E-2</v>
      </c>
      <c r="YQ6" s="2">
        <f>-0.190430053666039*(1)</f>
        <v>-0.19043005366603899</v>
      </c>
      <c r="YR6" s="2">
        <f>-0.847971930004494*(1)</f>
        <v>-0.847971930004494</v>
      </c>
      <c r="YS6" s="2">
        <f>-0.57857805929202*(1)</f>
        <v>-0.57857805929202</v>
      </c>
      <c r="YT6" s="2">
        <f>-1.66541392412934*(1)</f>
        <v>-1.66541392412934</v>
      </c>
      <c r="YU6" s="2">
        <f>0.264611152878944*(1)</f>
        <v>0.26461115287894399</v>
      </c>
      <c r="YV6" s="2">
        <f>1.02175061556531*(1)</f>
        <v>1.02175061556531</v>
      </c>
      <c r="YW6" s="2">
        <f>0.278661141870392*(1)</f>
        <v>0.27866114187039198</v>
      </c>
      <c r="YX6" s="2">
        <f>0.783737841360569*(1)</f>
        <v>0.78373784136056901</v>
      </c>
      <c r="YY6" s="2">
        <f>-0.282190265679726*(1)</f>
        <v>-0.28219026567972599</v>
      </c>
      <c r="YZ6" s="2">
        <f>-0.401243314037569*(1)</f>
        <v>-0.40124331403756902</v>
      </c>
      <c r="ZA6" s="2">
        <f>-1.15975509939627*(1)</f>
        <v>-1.15975509939627</v>
      </c>
      <c r="ZB6" s="2">
        <f>-0.17486727217488*(1)</f>
        <v>-0.17486727217487999</v>
      </c>
      <c r="ZC6" s="2">
        <f>0.202623826730359*(1)</f>
        <v>0.202623826730359</v>
      </c>
      <c r="ZD6" s="2">
        <f>-0.688697274699972*(1)</f>
        <v>-0.688697274699972</v>
      </c>
      <c r="ZE6" s="2">
        <f>-0.516465482307145*(1)</f>
        <v>-0.51646548230714495</v>
      </c>
      <c r="ZF6" s="2">
        <f>-0.0209815094420144*(1)</f>
        <v>-2.09815094420144E-2</v>
      </c>
      <c r="ZG6" s="2">
        <f>-0.166454470689559*(1)</f>
        <v>-0.16645447068955899</v>
      </c>
      <c r="ZH6" s="2">
        <f>-0.372346777670859*(1)</f>
        <v>-0.372346777670859</v>
      </c>
      <c r="ZI6" s="2">
        <f>-1.62939759387854*(1)</f>
        <v>-1.6293975938785401</v>
      </c>
      <c r="ZJ6" s="2">
        <f>0.0296045709462185*(1)</f>
        <v>2.96045709462185E-2</v>
      </c>
      <c r="ZK6" s="2">
        <f>-0.540271683851133*(1)</f>
        <v>-0.540271683851133</v>
      </c>
      <c r="ZL6" s="2">
        <f>-0.49608585689406*(1)</f>
        <v>-0.49608585689405998</v>
      </c>
      <c r="ZM6" s="2">
        <f>-0.0459583696492361*(1)</f>
        <v>-4.5958369649236101E-2</v>
      </c>
      <c r="ZN6" s="2">
        <f>0.148530078487621*(1)</f>
        <v>0.14853007848762101</v>
      </c>
      <c r="ZO6" s="2">
        <f>-0.152168594352939*(1)</f>
        <v>-0.152168594352939</v>
      </c>
      <c r="ZP6" s="2">
        <f>0.789945614489605*(1)</f>
        <v>0.78994561448960499</v>
      </c>
      <c r="ZQ6" s="2">
        <f>-0.152832155160769*(1)</f>
        <v>-0.15283215516076901</v>
      </c>
      <c r="ZR6" s="2">
        <f>-0.666180523059557*(1)</f>
        <v>-0.66618052305955699</v>
      </c>
      <c r="ZS6" s="2">
        <f>-0.172793703372027*(1)</f>
        <v>-0.17279370337202701</v>
      </c>
      <c r="ZT6" s="2">
        <f>-0.386190140833279*(1)</f>
        <v>-0.38619014083327902</v>
      </c>
      <c r="ZU6" s="2">
        <f>1.38440586118964*(1)</f>
        <v>1.3844058611896399</v>
      </c>
      <c r="ZV6" s="2">
        <f>-0.0103563923581986*(1)</f>
        <v>-1.03563923581986E-2</v>
      </c>
      <c r="ZW6" s="2">
        <f>0.286359307894087*(1)</f>
        <v>0.28635930789408698</v>
      </c>
      <c r="ZX6" s="2">
        <f>1.28215712911538*(1)</f>
        <v>1.2821571291153799</v>
      </c>
      <c r="ZY6" s="2">
        <f>-0.168791005227083*(1)</f>
        <v>-0.16879100522708301</v>
      </c>
      <c r="ZZ6" s="2">
        <f>-0.401955102467688*(1)</f>
        <v>-0.40195510246768801</v>
      </c>
      <c r="AAA6" s="2">
        <f>-0.0386615715105118*(1)</f>
        <v>-3.8661571510511798E-2</v>
      </c>
      <c r="AAB6" s="2">
        <f>0.470311939273363*(1)</f>
        <v>0.47031193927336301</v>
      </c>
      <c r="AAC6" s="2">
        <f>-0.279192204264645*(1)</f>
        <v>-0.27919220426464503</v>
      </c>
      <c r="AAD6" s="2">
        <f>-1.21795074242149*(1)</f>
        <v>-1.2179507424214899</v>
      </c>
      <c r="AAE6" s="2">
        <f>-1.6076163017871*(1)</f>
        <v>-1.6076163017870999</v>
      </c>
      <c r="AAF6" s="2">
        <f>-0.358181356426921*(1)</f>
        <v>-0.358181356426921</v>
      </c>
      <c r="AAG6" s="2">
        <f>0.42322752561609*(1)</f>
        <v>0.42322752561609001</v>
      </c>
      <c r="AAH6" s="2">
        <f>-0.857650883686611*(1)</f>
        <v>-0.85765088368661102</v>
      </c>
      <c r="AAI6" s="2">
        <f>1.06859996142537*(1)</f>
        <v>1.0685999614253701</v>
      </c>
      <c r="AAJ6" s="2">
        <f>-0.477173443076758*(1)</f>
        <v>-0.47717344307675802</v>
      </c>
      <c r="AAK6" s="2">
        <f>0.82646551642832*(1)</f>
        <v>0.82646551642832</v>
      </c>
      <c r="AAL6" s="2">
        <f>1.22475731810528*(1)</f>
        <v>1.22475731810528</v>
      </c>
      <c r="AAM6" s="2">
        <f>1.85045682422599*(1)</f>
        <v>1.85045682422599</v>
      </c>
      <c r="AAN6" s="2">
        <f>-0.203605144778988*(1)</f>
        <v>-0.203605144778988</v>
      </c>
      <c r="AAO6" s="2">
        <f>-0.902881171863774*(1)</f>
        <v>-0.90288117186377403</v>
      </c>
      <c r="AAP6" s="2">
        <f>-0.861331948249253*(1)</f>
        <v>-0.86133194824925297</v>
      </c>
      <c r="AAQ6" s="2">
        <f>0.259884411451512*(1)</f>
        <v>0.25988441145151198</v>
      </c>
      <c r="AAR6" s="2">
        <f>0.0577901475763121*(1)</f>
        <v>5.7790147576312102E-2</v>
      </c>
      <c r="AAS6" s="2">
        <f>-0.238923078531906*(1)</f>
        <v>-0.238923078531906</v>
      </c>
      <c r="AAT6" s="2">
        <f>-0.786049596601373*(1)</f>
        <v>-0.78604959660137297</v>
      </c>
      <c r="AAU6" s="2">
        <f>0.00502007643529212*(1)</f>
        <v>5.0200764352921201E-3</v>
      </c>
      <c r="AAV6" s="2">
        <f>-0.340503033557832*(1)</f>
        <v>-0.34050303355783201</v>
      </c>
      <c r="AAW6" s="2">
        <f>-0.582435986630316*(1)</f>
        <v>-0.58243598663031604</v>
      </c>
      <c r="AAX6" s="2">
        <f>-0.24397020898911*(1)</f>
        <v>-0.24397020898911001</v>
      </c>
      <c r="AAY6" s="2">
        <f>-0.585019524317513*(1)</f>
        <v>-0.58501952431751303</v>
      </c>
      <c r="AAZ6" s="2">
        <f>0.201317681346778*(1)</f>
        <v>0.20131768134677799</v>
      </c>
      <c r="ABA6" s="2">
        <f>-0.748849937487805*(1)</f>
        <v>-0.74884993748780504</v>
      </c>
      <c r="ABB6" s="2">
        <f>0.503342660641026*(1)</f>
        <v>0.50334266064102595</v>
      </c>
      <c r="ABC6" s="2">
        <f>-1.15434729061899*(1)</f>
        <v>-1.15434729061899</v>
      </c>
      <c r="ABD6" s="2">
        <f>0.497957243855943*(1)</f>
        <v>0.49795724385594298</v>
      </c>
      <c r="ABE6" s="2">
        <f>-0.266337533096025*(1)</f>
        <v>-0.26633753309602498</v>
      </c>
      <c r="ABF6" s="2">
        <f>1.25687045116956*(1)</f>
        <v>1.2568704511695601</v>
      </c>
      <c r="ABG6" s="2">
        <f>0.175848534187738*(1)</f>
        <v>0.17584853418773799</v>
      </c>
      <c r="ABH6" s="2">
        <f>2.28874305057856*(1)</f>
        <v>2.2887430505785602</v>
      </c>
      <c r="ABI6" s="2">
        <f>-0.755145227102411*(1)</f>
        <v>-0.75514522710241105</v>
      </c>
      <c r="ABJ6" s="2">
        <f>0.172715148825289*(1)</f>
        <v>0.17271514882528899</v>
      </c>
      <c r="ABK6" s="2">
        <f>0.0178925408254973*(1)</f>
        <v>1.7892540825497301E-2</v>
      </c>
      <c r="ABL6" s="2">
        <f>-0.652288920120809*(1)</f>
        <v>-0.65228892012080897</v>
      </c>
      <c r="ABM6" s="2">
        <f>-0.137919534784345*(1)</f>
        <v>-0.13791953478434499</v>
      </c>
      <c r="ABN6" s="2">
        <f>-0.842656154107724*(1)</f>
        <v>-0.84265615410772399</v>
      </c>
      <c r="ABO6" s="2">
        <f>0.971878710182751*(1)</f>
        <v>0.97187871018275096</v>
      </c>
      <c r="ABP6" s="2">
        <f>0.462827275407453*(1)</f>
        <v>0.462827275407453</v>
      </c>
      <c r="ABQ6" s="2">
        <f>0.00349766690599834*(1)</f>
        <v>3.4976669059983401E-3</v>
      </c>
      <c r="ABR6" s="2">
        <f>-0.301243867737214*(1)</f>
        <v>-0.30124386773721401</v>
      </c>
      <c r="ABS6" s="2">
        <f>-0.854041454361822*(1)</f>
        <v>-0.85404145436182199</v>
      </c>
      <c r="ABT6" s="2">
        <f>0.112918413511474*(1)</f>
        <v>0.112918413511474</v>
      </c>
      <c r="ABU6" s="2">
        <f>-0.184080756733108*(1)</f>
        <v>-0.184080756733108</v>
      </c>
      <c r="ABV6" s="2">
        <f>0.73945991411618*(1)</f>
        <v>0.73945991411617995</v>
      </c>
      <c r="ABW6" s="2">
        <f>0.873009130966506*(1)</f>
        <v>0.87300913096650601</v>
      </c>
      <c r="ABX6" s="2">
        <f>0.262785768024894*(1)</f>
        <v>0.26278576802489401</v>
      </c>
      <c r="ABY6" s="2">
        <f>-1.01728215080207*(1)</f>
        <v>-1.01728215080207</v>
      </c>
      <c r="ABZ6" s="2">
        <f>2.03495573773957*(1)</f>
        <v>2.0349557377395699</v>
      </c>
      <c r="ACA6" s="2">
        <f>-0.364197908838968*(1)</f>
        <v>-0.36419790883896802</v>
      </c>
      <c r="ACB6" s="2">
        <f>-0.056540878148879*(1)</f>
        <v>-5.6540878148879002E-2</v>
      </c>
      <c r="ACC6" s="2">
        <f>1.0703860013749*(1)</f>
        <v>1.0703860013749</v>
      </c>
      <c r="ACD6" s="2">
        <f>1.80427756988547*(1)</f>
        <v>1.8042775698854701</v>
      </c>
      <c r="ACE6" s="2">
        <f>0.630392808514942*(1)</f>
        <v>0.63039280851494195</v>
      </c>
      <c r="ACF6" s="2">
        <f>0.50146559941669*(1)</f>
        <v>0.50146559941669</v>
      </c>
      <c r="ACG6" s="2">
        <f>0.296399426144057*(1)</f>
        <v>0.29639942614405701</v>
      </c>
      <c r="ACH6" s="2">
        <f>0.642936651029518*(1)</f>
        <v>0.64293665102951802</v>
      </c>
      <c r="ACI6" s="2">
        <f>0.670999836339199*(1)</f>
        <v>0.67099983633919902</v>
      </c>
      <c r="ACJ6" s="2">
        <f>-0.202241662651385*(1)</f>
        <v>-0.20224166265138499</v>
      </c>
      <c r="ACK6" s="2">
        <f>0.148591544639251*(1)</f>
        <v>0.14859154463925101</v>
      </c>
      <c r="ACL6" s="2">
        <f>0.420306868822188*(1)</f>
        <v>0.42030686882218798</v>
      </c>
      <c r="ACM6" s="2">
        <f>1.28967910752059*(1)</f>
        <v>1.28967910752059</v>
      </c>
      <c r="ACN6" s="2">
        <f>-0.233605557848809*(1)</f>
        <v>-0.23360555784880899</v>
      </c>
      <c r="ACO6" s="2">
        <f>-0.0824592511832965*(1)</f>
        <v>-8.24592511832965E-2</v>
      </c>
      <c r="ACP6" s="2">
        <f>0.420762762393391*(1)</f>
        <v>0.420762762393391</v>
      </c>
      <c r="ACQ6" s="2">
        <f>0.535870829469559*(1)</f>
        <v>0.535870829469559</v>
      </c>
      <c r="ACR6" s="2">
        <f>0.423898448388629*(1)</f>
        <v>0.423898448388629</v>
      </c>
      <c r="ACS6" s="2">
        <f>-0.343052115333634*(1)</f>
        <v>-0.343052115333634</v>
      </c>
      <c r="ACT6" s="2">
        <f>0.463859115984786*(1)</f>
        <v>0.46385911598478602</v>
      </c>
      <c r="ACU6" s="2">
        <f>0.468057918787697*(1)</f>
        <v>0.46805791878769698</v>
      </c>
      <c r="ACV6" s="2">
        <f>0.444688768818535*(1)</f>
        <v>0.44468876881853497</v>
      </c>
    </row>
    <row r="7" spans="1:776" x14ac:dyDescent="0.2">
      <c r="A7" s="1" t="s">
        <v>70649</v>
      </c>
      <c r="B7" s="2">
        <f>0.193997172071055*(1)</f>
        <v>0.19399717207105499</v>
      </c>
      <c r="C7" s="2">
        <f>0.0697446937987758*(1)</f>
        <v>6.9744693798775806E-2</v>
      </c>
      <c r="D7" s="2">
        <f>0.103461968563199*(1)</f>
        <v>0.103461968563199</v>
      </c>
      <c r="E7" s="2">
        <f>0.307277627015117*(1)</f>
        <v>0.30727762701511702</v>
      </c>
      <c r="F7" s="2">
        <f>-0.33898697224304*(1)</f>
        <v>-0.33898697224303997</v>
      </c>
      <c r="G7" s="2">
        <f>-0.345007514129222*(1)</f>
        <v>-0.34500751412922198</v>
      </c>
      <c r="H7" s="2">
        <f>0.0932936913156576*(1)</f>
        <v>9.3293691315657595E-2</v>
      </c>
      <c r="I7" s="2">
        <f>-0.0652044713053724*(1)</f>
        <v>-6.5204471305372394E-2</v>
      </c>
      <c r="J7" s="2">
        <f>0.113543906436205*(1)</f>
        <v>0.113543906436205</v>
      </c>
      <c r="K7" s="2">
        <f>-0.345919302451447*(1)</f>
        <v>-0.34591930245144697</v>
      </c>
      <c r="L7" s="2">
        <f>0.159953688446482*(1)</f>
        <v>0.159953688446482</v>
      </c>
      <c r="M7" s="2">
        <f>-0.35599781821874*(1)</f>
        <v>-0.35599781821873999</v>
      </c>
      <c r="N7" s="2">
        <f>-0.261269352761802*(1)</f>
        <v>-0.26126935276180202</v>
      </c>
      <c r="O7" s="2">
        <f>-0.129432419534892*(1)</f>
        <v>-0.12943241953489201</v>
      </c>
      <c r="P7" s="2">
        <f>-0.0888968684678942*(1)</f>
        <v>-8.8896868467894199E-2</v>
      </c>
      <c r="Q7" s="2">
        <f>0.150494645706669*(1)</f>
        <v>0.15049464570666901</v>
      </c>
      <c r="R7" s="2">
        <f>-0.191460636046665*(1)</f>
        <v>-0.19146063604666499</v>
      </c>
      <c r="S7" s="2">
        <f>0.127174159765311*(1)</f>
        <v>0.12717415976531099</v>
      </c>
      <c r="T7" s="2">
        <f>-0.406554455246701*(1)</f>
        <v>-0.40655445524670097</v>
      </c>
      <c r="U7" s="2">
        <f>0.199731072508078*(1)</f>
        <v>0.19973107250807801</v>
      </c>
      <c r="V7" s="2">
        <f>0.539823191157889*(1)</f>
        <v>0.53982319115788902</v>
      </c>
      <c r="W7" s="2">
        <f>-0.234263380369144*(1)</f>
        <v>-0.23426338036914399</v>
      </c>
      <c r="X7" s="2">
        <f>0.0982651080410968*(1)</f>
        <v>9.8265108041096796E-2</v>
      </c>
      <c r="Y7" s="2">
        <f>0.246192596203672*(1)</f>
        <v>0.24619259620367201</v>
      </c>
      <c r="Z7" s="2">
        <f>-0.176902139017164*(1)</f>
        <v>-0.17690213901716401</v>
      </c>
      <c r="AA7" s="2">
        <f>0.198725106796008*(1)</f>
        <v>0.19872510679600799</v>
      </c>
      <c r="AB7" s="2">
        <f>-0.2187900731501*(1)</f>
        <v>-0.21879007315009999</v>
      </c>
      <c r="AC7" s="2">
        <f>-0.154384156426998*(1)</f>
        <v>-0.15438415642699799</v>
      </c>
      <c r="AD7" s="2">
        <f>-0.0263787415345178*(1)</f>
        <v>-2.6378741534517799E-2</v>
      </c>
      <c r="AE7" s="2">
        <f>-0.102460801461825*(1)</f>
        <v>-0.102460801461825</v>
      </c>
      <c r="AF7" s="2">
        <f>0.190999595193419*(1)</f>
        <v>0.190999595193419</v>
      </c>
      <c r="AG7" s="2">
        <f>-0.321899906929951*(1)</f>
        <v>-0.32189990692995102</v>
      </c>
      <c r="AH7" s="2">
        <f>0.108407081129263*(1)</f>
        <v>0.10840708112926301</v>
      </c>
      <c r="AI7" s="2">
        <f>0.256925673125644*(1)</f>
        <v>0.25692567312564402</v>
      </c>
      <c r="AJ7" s="2">
        <f>-0.113048017943308*(1)</f>
        <v>-0.113048017943308</v>
      </c>
      <c r="AK7" s="2">
        <f>0.0048936716286222*(1)</f>
        <v>4.8936716286221999E-3</v>
      </c>
      <c r="AL7" s="2">
        <f>-0.0477510915605896*(1)</f>
        <v>-4.7751091560589598E-2</v>
      </c>
      <c r="AM7" s="2">
        <f>0.160252037382228*(1)</f>
        <v>0.16025203738222801</v>
      </c>
      <c r="AN7" s="2">
        <f>-0.118706284541032*(1)</f>
        <v>-0.11870628454103201</v>
      </c>
      <c r="AO7" s="2">
        <f>0.00187078985832233*(1)</f>
        <v>1.87078985832233E-3</v>
      </c>
      <c r="AP7" s="2">
        <f>0.121535148502098*(1)</f>
        <v>0.121535148502098</v>
      </c>
      <c r="AQ7" s="2">
        <f>-0.130503106306305*(1)</f>
        <v>-0.13050310630630499</v>
      </c>
      <c r="AR7" s="2">
        <f>0.579269759659372*(1)</f>
        <v>0.579269759659372</v>
      </c>
      <c r="AS7" s="2">
        <f>0.239079061054109*(1)</f>
        <v>0.239079061054109</v>
      </c>
      <c r="AT7" s="2">
        <f>-0.0487658038956195*(1)</f>
        <v>-4.8765803895619499E-2</v>
      </c>
      <c r="AU7" s="2">
        <f>0.0922022152078732*(1)</f>
        <v>9.2202215207873195E-2</v>
      </c>
      <c r="AV7" s="2">
        <f>0.268237308505054*(1)</f>
        <v>0.26823730850505401</v>
      </c>
      <c r="AW7" s="2">
        <f>-0.234215797518006*(1)</f>
        <v>-0.234215797518006</v>
      </c>
      <c r="AX7" s="2">
        <f>-0.554682155649314*(1)</f>
        <v>-0.554682155649314</v>
      </c>
      <c r="AY7" s="2">
        <f>0.201580847802212*(1)</f>
        <v>0.201580847802212</v>
      </c>
      <c r="AZ7" s="2">
        <f>-0.0554321642940111*(1)</f>
        <v>-5.5432164294011099E-2</v>
      </c>
      <c r="BA7" s="2">
        <f>0.116975464092261*(1)</f>
        <v>0.11697546409226101</v>
      </c>
      <c r="BB7" s="2">
        <f>0.0367745510299646*(1)</f>
        <v>3.6774551029964603E-2</v>
      </c>
      <c r="BC7" s="2">
        <f>0.262167263553931*(1)</f>
        <v>0.262167263553931</v>
      </c>
      <c r="BD7" s="2">
        <f>0.0932502055629254*(1)</f>
        <v>9.3250205562925403E-2</v>
      </c>
      <c r="BE7" s="2">
        <f>-0.0192122111847162*(1)</f>
        <v>-1.9212211184716201E-2</v>
      </c>
      <c r="BF7" s="2">
        <f>0.189318323354211*(1)</f>
        <v>0.189318323354211</v>
      </c>
      <c r="BG7" s="2">
        <f>-0.185197654169534*(1)</f>
        <v>-0.18519765416953399</v>
      </c>
      <c r="BH7" s="2">
        <f>-0.0228462263868415*(1)</f>
        <v>-2.2846226386841501E-2</v>
      </c>
      <c r="BI7" s="2">
        <f>-0.0513263247558622*(1)</f>
        <v>-5.1326324755862199E-2</v>
      </c>
      <c r="BJ7" s="2">
        <f>0.324245679099883*(1)</f>
        <v>0.324245679099883</v>
      </c>
      <c r="BK7" s="2">
        <f>0.185892844483285*(1)</f>
        <v>0.185892844483285</v>
      </c>
      <c r="BL7" s="2">
        <f>-0.144217870333522*(1)</f>
        <v>-0.14421787033352201</v>
      </c>
      <c r="BM7" s="2">
        <f>-0.273162829439717*(1)</f>
        <v>-0.27316282943971698</v>
      </c>
      <c r="BN7" s="2">
        <f>0.365336891398323*(1)</f>
        <v>0.36533689139832298</v>
      </c>
      <c r="BO7" s="2">
        <f>-0.270735489412142*(1)</f>
        <v>-0.27073548941214198</v>
      </c>
      <c r="BP7" s="2">
        <f>-0.0536172560898902*(1)</f>
        <v>-5.3617256089890201E-2</v>
      </c>
      <c r="BQ7" s="2">
        <f>-0.0978240290577242*(1)</f>
        <v>-9.7824029057724193E-2</v>
      </c>
      <c r="BR7" s="2">
        <f>-0.0823635031429716*(1)</f>
        <v>-8.2363503142971597E-2</v>
      </c>
      <c r="BS7" s="2">
        <f>0.324633013113061*(1)</f>
        <v>0.32463301311306098</v>
      </c>
      <c r="BT7" s="2">
        <f>-0.137383259537856*(1)</f>
        <v>-0.13738325953785599</v>
      </c>
      <c r="BU7" s="2">
        <f>-0.191051618068578*(1)</f>
        <v>-0.19105161806857801</v>
      </c>
      <c r="BV7" s="2">
        <f>0.221965186062032*(1)</f>
        <v>0.221965186062032</v>
      </c>
      <c r="BW7" s="2">
        <f>-0.237240797403095*(1)</f>
        <v>-0.23724079740309501</v>
      </c>
      <c r="BX7" s="2">
        <f>-0.168536057610383*(1)</f>
        <v>-0.16853605761038301</v>
      </c>
      <c r="BY7" s="2">
        <f>0.0871164865474205*(1)</f>
        <v>8.7116486547420505E-2</v>
      </c>
      <c r="BZ7" s="2">
        <f>-0.0149051644718102*(1)</f>
        <v>-1.4905164471810201E-2</v>
      </c>
      <c r="CA7" s="2">
        <f>0.22559166979375*(1)</f>
        <v>0.22559166979375</v>
      </c>
      <c r="CB7" s="2">
        <f>0.0992472799268311*(1)</f>
        <v>9.9247279926831106E-2</v>
      </c>
      <c r="CC7" s="2">
        <f>-0.119984885480889*(1)</f>
        <v>-0.11998488548088899</v>
      </c>
      <c r="CD7" s="2">
        <f>0.242663371735322*(1)</f>
        <v>0.24266337173532199</v>
      </c>
      <c r="CE7" s="2">
        <f>0.0806932010390771*(1)</f>
        <v>8.0693201039077095E-2</v>
      </c>
      <c r="CF7" s="2">
        <f>0.0662298657196476*(1)</f>
        <v>6.6229865719647604E-2</v>
      </c>
      <c r="CG7" s="2">
        <f>0.000386883216405308*(1)</f>
        <v>3.8688321640530798E-4</v>
      </c>
      <c r="CH7" s="2">
        <f>-0.211844401329678*(1)</f>
        <v>-0.21184440132967799</v>
      </c>
      <c r="CI7" s="2">
        <f>0.0520302193055497*(1)</f>
        <v>5.2030219305549699E-2</v>
      </c>
      <c r="CJ7" s="2">
        <f>0.0307299656358076*(1)</f>
        <v>3.0729965635807599E-2</v>
      </c>
      <c r="CK7" s="2">
        <f>-0.22425435129284*(1)</f>
        <v>-0.22425435129283999</v>
      </c>
      <c r="CL7" s="2">
        <f>-0.132807152761277*(1)</f>
        <v>-0.132807152761277</v>
      </c>
      <c r="CM7" s="2">
        <f>-0.0534512106276683*(1)</f>
        <v>-5.3451210627668298E-2</v>
      </c>
      <c r="CN7" s="2">
        <f>-0.0619122674975428*(1)</f>
        <v>-6.1912267497542799E-2</v>
      </c>
      <c r="CO7" s="2">
        <f>-0.0834828442606297*(1)</f>
        <v>-8.3482844260629699E-2</v>
      </c>
      <c r="CP7" s="2">
        <f>0.334272658539541*(1)</f>
        <v>0.33427265853954102</v>
      </c>
      <c r="CQ7" s="2">
        <f>0.306988513378127*(1)</f>
        <v>0.30698851337812699</v>
      </c>
      <c r="CR7" s="2">
        <f>-0.217767872788312*(1)</f>
        <v>-0.217767872788312</v>
      </c>
      <c r="CS7" s="2">
        <f>0.438176990407013*(1)</f>
        <v>0.43817699040701302</v>
      </c>
      <c r="CT7" s="2">
        <f>0.196624844266373*(1)</f>
        <v>0.196624844266373</v>
      </c>
      <c r="CU7" s="2">
        <f>-0.172926378246592*(1)</f>
        <v>-0.17292637824659199</v>
      </c>
      <c r="CV7" s="2">
        <f>0.275037261960756*(1)</f>
        <v>0.27503726196075601</v>
      </c>
      <c r="CW7" s="2">
        <f>0.255816899714818*(1)</f>
        <v>0.25581689971481802</v>
      </c>
      <c r="CX7" s="2">
        <f>-0.0873899148493407*(1)</f>
        <v>-8.7389914849340694E-2</v>
      </c>
      <c r="CY7" s="2">
        <f>0.0221417304890684*(1)</f>
        <v>2.2141730489068399E-2</v>
      </c>
      <c r="CZ7" s="2">
        <f>0.300394168117707*(1)</f>
        <v>0.30039416811770703</v>
      </c>
      <c r="DA7" s="2">
        <f>0.0226906346613909*(1)</f>
        <v>2.2690634661390902E-2</v>
      </c>
      <c r="DB7" s="2">
        <f>0.238016428201111*(1)</f>
        <v>0.23801642820111099</v>
      </c>
      <c r="DC7" s="2">
        <f>0.050109425370813*(1)</f>
        <v>5.0109425370812997E-2</v>
      </c>
      <c r="DD7" s="2">
        <f>-0.217433907421247*(1)</f>
        <v>-0.21743390742124699</v>
      </c>
      <c r="DE7" s="2">
        <f>0.124573451672507*(1)</f>
        <v>0.124573451672507</v>
      </c>
      <c r="DF7" s="2">
        <f>-0.181287016898624*(1)</f>
        <v>-0.181287016898624</v>
      </c>
      <c r="DG7" s="2">
        <f>-0.0110773957163149*(1)</f>
        <v>-1.10773957163149E-2</v>
      </c>
      <c r="DH7" s="2">
        <f>-0.00616614671636194*(1)</f>
        <v>-6.1661467163619402E-3</v>
      </c>
      <c r="DI7" s="2">
        <f>-0.186742813396713*(1)</f>
        <v>-0.186742813396713</v>
      </c>
      <c r="DJ7" s="2">
        <f>0.12636057998937*(1)</f>
        <v>0.12636057998937</v>
      </c>
      <c r="DK7" s="2">
        <f>0.113403551863083*(1)</f>
        <v>0.113403551863083</v>
      </c>
      <c r="DL7" s="2">
        <f>-0.031899108052004*(1)</f>
        <v>-3.1899108052004001E-2</v>
      </c>
      <c r="DM7" s="2">
        <f>-0.165149316614881*(1)</f>
        <v>-0.165149316614881</v>
      </c>
      <c r="DN7" s="2">
        <f>-0.195920660281024*(1)</f>
        <v>-0.19592066028102401</v>
      </c>
      <c r="DO7" s="2">
        <f>-0.0496685883350804*(1)</f>
        <v>-4.9668588335080401E-2</v>
      </c>
      <c r="DP7" s="2">
        <f>-0.337995269701625*(1)</f>
        <v>-0.33799526970162502</v>
      </c>
      <c r="DQ7" s="2">
        <f>-0.118134555117272*(1)</f>
        <v>-0.118134555117272</v>
      </c>
      <c r="DR7" s="2">
        <f>0.263626788770669*(1)</f>
        <v>0.26362678877066897</v>
      </c>
      <c r="DS7" s="2">
        <f>-0.067802031627785*(1)</f>
        <v>-6.7802031627785003E-2</v>
      </c>
      <c r="DT7" s="2">
        <f>-0.038799153947423*(1)</f>
        <v>-3.8799153947422997E-2</v>
      </c>
      <c r="DU7" s="2">
        <f>-0.182951594818319*(1)</f>
        <v>-0.18295159481831899</v>
      </c>
      <c r="DV7" s="2">
        <f>0.25800444914346*(1)</f>
        <v>0.25800444914345999</v>
      </c>
      <c r="DW7" s="2">
        <f>-0.0400378054340587*(1)</f>
        <v>-4.0037805434058701E-2</v>
      </c>
      <c r="DX7" s="2">
        <f>-0.161486982820424*(1)</f>
        <v>-0.16148698282042401</v>
      </c>
      <c r="DY7" s="2">
        <f>-0.319467437381582*(1)</f>
        <v>-0.31946743738158201</v>
      </c>
      <c r="DZ7" s="2">
        <f>0.434654621205352*(1)</f>
        <v>0.43465462120535198</v>
      </c>
      <c r="EA7" s="2">
        <f>0.411190081724143*(1)</f>
        <v>0.41119008172414301</v>
      </c>
      <c r="EB7" s="2">
        <f>-0.174187040492241*(1)</f>
        <v>-0.17418704049224101</v>
      </c>
      <c r="EC7" s="2">
        <f>-0.177554636930078*(1)</f>
        <v>-0.177554636930078</v>
      </c>
      <c r="ED7" s="2">
        <f>-0.174043033217926*(1)</f>
        <v>-0.174043033217926</v>
      </c>
      <c r="EE7" s="2">
        <f>0.147518544008143*(1)</f>
        <v>0.14751854400814299</v>
      </c>
      <c r="EF7" s="2">
        <f>0.112923695219809*(1)</f>
        <v>0.11292369521980899</v>
      </c>
      <c r="EG7" s="2">
        <f>0.193832889892193*(1)</f>
        <v>0.19383288989219299</v>
      </c>
      <c r="EH7" s="2">
        <f>-0.0134680782684447*(1)</f>
        <v>-1.34680782684447E-2</v>
      </c>
      <c r="EI7" s="2">
        <f>0.131607730876372*(1)</f>
        <v>0.13160773087637201</v>
      </c>
      <c r="EJ7" s="2">
        <f>0.200142652744772*(1)</f>
        <v>0.200142652744772</v>
      </c>
      <c r="EK7" s="2">
        <f>-0.0247225585691328*(1)</f>
        <v>-2.4722558569132799E-2</v>
      </c>
      <c r="EL7" s="2">
        <f>0.0864564941205382*(1)</f>
        <v>8.6456494120538199E-2</v>
      </c>
      <c r="EM7" s="2">
        <f>-0.0860668428090948*(1)</f>
        <v>-8.6066842809094796E-2</v>
      </c>
      <c r="EN7" s="2">
        <f>0.035643084485153*(1)</f>
        <v>3.5643084485153E-2</v>
      </c>
      <c r="EO7" s="2">
        <f>0.358883814099562*(1)</f>
        <v>0.35888381409956199</v>
      </c>
      <c r="EP7" s="2">
        <f>-0.061741936560533*(1)</f>
        <v>-6.1741936560532999E-2</v>
      </c>
      <c r="EQ7" s="2">
        <f>0.0390323675988048*(1)</f>
        <v>3.9032367598804803E-2</v>
      </c>
      <c r="ER7" s="2">
        <f>-0.119775841945064*(1)</f>
        <v>-0.11977584194506399</v>
      </c>
      <c r="ES7" s="2">
        <f>-0.0643830489911003*(1)</f>
        <v>-6.4383048991100297E-2</v>
      </c>
      <c r="ET7" s="2">
        <f>-0.299915453120451*(1)</f>
        <v>-0.29991545312045098</v>
      </c>
      <c r="EU7" s="2">
        <f>0.306143295364592*(1)</f>
        <v>0.30614329536459201</v>
      </c>
      <c r="EV7" s="2">
        <f>-0.277651823899613*(1)</f>
        <v>-0.27765182389961302</v>
      </c>
      <c r="EW7" s="2">
        <f>-0.185228955413219*(1)</f>
        <v>-0.18522895541321899</v>
      </c>
      <c r="EX7" s="2">
        <f>0.137665578030936*(1)</f>
        <v>0.13766557803093599</v>
      </c>
      <c r="EY7" s="2">
        <f>0.10695404022465*(1)</f>
        <v>0.10695404022464999</v>
      </c>
      <c r="EZ7" s="2">
        <f>-0.099492198355813*(1)</f>
        <v>-9.9492198355812994E-2</v>
      </c>
      <c r="FA7" s="2">
        <f>0.224544004305163*(1)</f>
        <v>0.224544004305163</v>
      </c>
      <c r="FB7" s="2">
        <f>0.0679140529269392*(1)</f>
        <v>6.7914052926939195E-2</v>
      </c>
      <c r="FC7" s="2">
        <f>-0.47981358098099*(1)</f>
        <v>-0.47981358098098997</v>
      </c>
      <c r="FD7" s="2">
        <f>0.0803418422373306*(1)</f>
        <v>8.0341842237330596E-2</v>
      </c>
      <c r="FE7" s="2">
        <f>0.0679237925958332*(1)</f>
        <v>6.7923792595833199E-2</v>
      </c>
      <c r="FF7" s="2">
        <f>-0.310441686019167*(1)</f>
        <v>-0.310441686019167</v>
      </c>
      <c r="FG7" s="2">
        <f>-0.145810153952885*(1)</f>
        <v>-0.14581015395288499</v>
      </c>
      <c r="FH7" s="2">
        <f>-0.0920407883280357*(1)</f>
        <v>-9.2040788328035694E-2</v>
      </c>
      <c r="FI7" s="2">
        <f>-0.141477655820305*(1)</f>
        <v>-0.141477655820305</v>
      </c>
      <c r="FJ7" s="2">
        <f>-0.0763674921126455*(1)</f>
        <v>-7.6367492112645499E-2</v>
      </c>
      <c r="FK7" s="2">
        <f>0.064333329861305*(1)</f>
        <v>6.4333329861304994E-2</v>
      </c>
      <c r="FL7" s="2">
        <f>-0.0674753740299015*(1)</f>
        <v>-6.7475374029901503E-2</v>
      </c>
      <c r="FM7" s="2">
        <f>0.0382021954307716*(1)</f>
        <v>3.82021954307716E-2</v>
      </c>
      <c r="FN7" s="2">
        <f>0.230600752242917*(1)</f>
        <v>0.23060075224291701</v>
      </c>
      <c r="FO7" s="2">
        <f>0.0465239263643081*(1)</f>
        <v>4.6523926364308098E-2</v>
      </c>
      <c r="FP7" s="2">
        <f>0.146549650036507*(1)</f>
        <v>0.146549650036507</v>
      </c>
      <c r="FQ7" s="2">
        <f>0.0227908916174682*(1)</f>
        <v>2.2790891617468199E-2</v>
      </c>
      <c r="FR7" s="2">
        <f>-0.242073869737972*(1)</f>
        <v>-0.24207386973797199</v>
      </c>
      <c r="FS7" s="2">
        <f>0.0696974836096278*(1)</f>
        <v>6.9697483609627797E-2</v>
      </c>
      <c r="FT7" s="2">
        <f>-0.00962181841257715*(1)</f>
        <v>-9.6218184125771503E-3</v>
      </c>
      <c r="FU7" s="2">
        <f>0.0132311506933926*(1)</f>
        <v>1.3231150693392601E-2</v>
      </c>
      <c r="FV7" s="2">
        <f>0.0351053519948716*(1)</f>
        <v>3.5105351994871602E-2</v>
      </c>
      <c r="FW7" s="2">
        <f>-0.0520895750478074*(1)</f>
        <v>-5.2089575047807403E-2</v>
      </c>
      <c r="FX7" s="2">
        <f>0.0557724453119113*(1)</f>
        <v>5.5772445311911299E-2</v>
      </c>
      <c r="FY7" s="2">
        <f>0.0333119461906395*(1)</f>
        <v>3.3311946190639499E-2</v>
      </c>
      <c r="FZ7" s="2">
        <f>-0.161478499818379*(1)</f>
        <v>-0.161478499818379</v>
      </c>
      <c r="GA7" s="2">
        <f>-0.0554794848354945*(1)</f>
        <v>-5.5479484835494502E-2</v>
      </c>
      <c r="GB7" s="2">
        <f>-0.0135866455782681*(1)</f>
        <v>-1.35866455782681E-2</v>
      </c>
      <c r="GC7" s="2">
        <f>-0.0107511688970111*(1)</f>
        <v>-1.0751168897011099E-2</v>
      </c>
      <c r="GD7" s="2">
        <f>0.0932380025145027*(1)</f>
        <v>9.3238002514502705E-2</v>
      </c>
      <c r="GE7" s="2">
        <f>0.264716493530867*(1)</f>
        <v>0.26471649353086701</v>
      </c>
      <c r="GF7" s="2">
        <f>-0.2627773541529*(1)</f>
        <v>-0.26277735415289999</v>
      </c>
      <c r="GG7" s="2">
        <f>0.238201763447876*(1)</f>
        <v>0.238201763447876</v>
      </c>
      <c r="GH7" s="2">
        <f>-0.217174010843916*(1)</f>
        <v>-0.21717401084391599</v>
      </c>
      <c r="GI7" s="2">
        <f>0.221786060215994*(1)</f>
        <v>0.22178606021599401</v>
      </c>
      <c r="GJ7" s="2">
        <f>0.0768773887076299*(1)</f>
        <v>7.6877388707629904E-2</v>
      </c>
      <c r="GK7" s="2">
        <f>-0.121383396071387*(1)</f>
        <v>-0.121383396071387</v>
      </c>
      <c r="GL7" s="2">
        <f>0.167744274311499*(1)</f>
        <v>0.16774427431149899</v>
      </c>
      <c r="GM7" s="2">
        <f>0.106133471263528*(1)</f>
        <v>0.106133471263528</v>
      </c>
      <c r="GN7" s="2">
        <f>0.152812066182181*(1)</f>
        <v>0.15281206618218099</v>
      </c>
      <c r="GO7" s="2">
        <f>0.242098131828797*(1)</f>
        <v>0.242098131828797</v>
      </c>
      <c r="GP7" s="2">
        <f>-0.0750819903846936*(1)</f>
        <v>-7.5081990384693598E-2</v>
      </c>
      <c r="GQ7" s="2">
        <f>0.0549775859365007*(1)</f>
        <v>5.4977585936500699E-2</v>
      </c>
      <c r="GR7" s="2">
        <f>-0.272409851190066*(1)</f>
        <v>-0.272409851190066</v>
      </c>
      <c r="GS7" s="2">
        <f>-0.13147135412874*(1)</f>
        <v>-0.13147135412874</v>
      </c>
      <c r="GT7" s="2">
        <f>-0.0430085811561518*(1)</f>
        <v>-4.3008581156151797E-2</v>
      </c>
      <c r="GU7" s="2">
        <f>0.242840830294322*(1)</f>
        <v>0.24284083029432199</v>
      </c>
      <c r="GV7" s="2">
        <f>-0.023730226591612*(1)</f>
        <v>-2.3730226591611999E-2</v>
      </c>
      <c r="GW7" s="2">
        <f>-0.0057143940480692*(1)</f>
        <v>-5.7143940480691999E-3</v>
      </c>
      <c r="GX7" s="2">
        <f>-0.00621531818487446*(1)</f>
        <v>-6.2153181848744604E-3</v>
      </c>
      <c r="GY7" s="2">
        <f>-0.0698334363154171*(1)</f>
        <v>-6.9833436315417094E-2</v>
      </c>
      <c r="GZ7" s="2">
        <f>0.0431136671443247*(1)</f>
        <v>4.3113667144324699E-2</v>
      </c>
      <c r="HA7" s="2">
        <f>-0.154542777542675*(1)</f>
        <v>-0.15454277754267501</v>
      </c>
      <c r="HB7" s="2">
        <f>0.0693831644825868*(1)</f>
        <v>6.9383164482586801E-2</v>
      </c>
      <c r="HC7" s="2">
        <f>-0.0997424806343869*(1)</f>
        <v>-9.9742480634386899E-2</v>
      </c>
      <c r="HD7" s="2">
        <f>-0.06522272514474*(1)</f>
        <v>-6.5222725144740007E-2</v>
      </c>
      <c r="HE7" s="2">
        <f>0.359883097363765*(1)</f>
        <v>0.359883097363765</v>
      </c>
      <c r="HF7" s="2">
        <f>-0.0823990734658232*(1)</f>
        <v>-8.2399073465823203E-2</v>
      </c>
      <c r="HG7" s="2">
        <f>0.046596664287149*(1)</f>
        <v>4.6596664287149002E-2</v>
      </c>
      <c r="HH7" s="2">
        <f>-0.0734928065784094*(1)</f>
        <v>-7.3492806578409398E-2</v>
      </c>
      <c r="HI7" s="2">
        <f>0.0492782617524219*(1)</f>
        <v>4.9278261752421899E-2</v>
      </c>
      <c r="HJ7" s="2">
        <f>0.236624237045091*(1)</f>
        <v>0.236624237045091</v>
      </c>
      <c r="HK7" s="2">
        <f>0.0344579604376096*(1)</f>
        <v>3.4457960437609597E-2</v>
      </c>
      <c r="HL7" s="2">
        <f>-0.144556544449873*(1)</f>
        <v>-0.14455654444987301</v>
      </c>
      <c r="HM7" s="2">
        <f>0.34758811203462*(1)</f>
        <v>0.34758811203461998</v>
      </c>
      <c r="HN7" s="2">
        <f>0.0255334413360232*(1)</f>
        <v>2.5533441336023199E-2</v>
      </c>
      <c r="HO7" s="2">
        <f>0.174292780407148*(1)</f>
        <v>0.17429278040714799</v>
      </c>
      <c r="HP7" s="2">
        <f>0.113742411779303*(1)</f>
        <v>0.113742411779303</v>
      </c>
      <c r="HQ7" s="2">
        <f>-0.00502494669407659*(1)</f>
        <v>-5.0249466940765902E-3</v>
      </c>
      <c r="HR7" s="2">
        <f>-0.114584152769067*(1)</f>
        <v>-0.114584152769067</v>
      </c>
      <c r="HS7" s="2">
        <f>0.27782241103468*(1)</f>
        <v>0.27782241103467997</v>
      </c>
      <c r="HT7" s="2">
        <f>0.131603078584264*(1)</f>
        <v>0.13160307858426401</v>
      </c>
      <c r="HU7" s="2">
        <f>0.274661717137166*(1)</f>
        <v>0.27466171713716597</v>
      </c>
      <c r="HV7" s="2">
        <f>0.174720227229671*(1)</f>
        <v>0.17472022722967101</v>
      </c>
      <c r="HW7" s="2">
        <f>0.0167268522681272*(1)</f>
        <v>1.6726852268127201E-2</v>
      </c>
      <c r="HX7" s="2">
        <f>-0.0555688695327467*(1)</f>
        <v>-5.5568869532746701E-2</v>
      </c>
      <c r="HY7" s="2">
        <f>-0.100352155392373*(1)</f>
        <v>-0.10035215539237299</v>
      </c>
      <c r="HZ7" s="2">
        <f>0.102075881956071*(1)</f>
        <v>0.10207588195607099</v>
      </c>
      <c r="IA7" s="2">
        <f>0.220832992647447*(1)</f>
        <v>0.22083299264744699</v>
      </c>
      <c r="IB7" s="2">
        <f>-0.0691751129615109*(1)</f>
        <v>-6.9175112961510896E-2</v>
      </c>
      <c r="IC7" s="2">
        <f>-0.167803670700114*(1)</f>
        <v>-0.16780367070011401</v>
      </c>
      <c r="ID7" s="2">
        <f>0.0697227349095197*(1)</f>
        <v>6.9722734909519704E-2</v>
      </c>
      <c r="IE7" s="2">
        <f>0.0648468455055742*(1)</f>
        <v>6.4846845505574194E-2</v>
      </c>
      <c r="IF7" s="2">
        <f>-0.0335579570803305*(1)</f>
        <v>-3.3557957080330499E-2</v>
      </c>
      <c r="IG7" s="2">
        <f>0.272823058185924*(1)</f>
        <v>0.27282305818592401</v>
      </c>
      <c r="IH7" s="2">
        <f>-0.0232336561767135*(1)</f>
        <v>-2.32336561767135E-2</v>
      </c>
      <c r="II7" s="2">
        <f>0.209094517659975*(1)</f>
        <v>0.209094517659975</v>
      </c>
      <c r="IJ7" s="2">
        <f>0.130042352208927*(1)</f>
        <v>0.13004235220892699</v>
      </c>
      <c r="IK7" s="2">
        <f>0.288301056444156*(1)</f>
        <v>0.28830105644415599</v>
      </c>
      <c r="IL7" s="2">
        <f>0.153311371307147*(1)</f>
        <v>0.153311371307147</v>
      </c>
      <c r="IM7" s="2">
        <f>-0.237882437090883*(1)</f>
        <v>-0.237882437090883</v>
      </c>
      <c r="IN7" s="2">
        <f>0.00353184673280122*(1)</f>
        <v>3.5318467328012198E-3</v>
      </c>
      <c r="IO7" s="2">
        <f>-0.182873032032654*(1)</f>
        <v>-0.18287303203265401</v>
      </c>
      <c r="IP7" s="2">
        <f>-0.0468408284131277*(1)</f>
        <v>-4.68408284131277E-2</v>
      </c>
      <c r="IQ7" s="2">
        <f>-0.3344388055213*(1)</f>
        <v>-0.33443880552130001</v>
      </c>
      <c r="IR7" s="2">
        <f>0.171252957790233*(1)</f>
        <v>0.171252957790233</v>
      </c>
      <c r="IS7" s="2">
        <f>0.0982365679748533*(1)</f>
        <v>9.8236567974853306E-2</v>
      </c>
      <c r="IT7" s="2">
        <f>-0.280393682948825*(1)</f>
        <v>-0.280393682948825</v>
      </c>
      <c r="IU7" s="2">
        <f>-0.00755569669477127*(1)</f>
        <v>-7.5556966947712698E-3</v>
      </c>
      <c r="IV7" s="2">
        <f>-0.0881763403857504*(1)</f>
        <v>-8.8176340385750396E-2</v>
      </c>
      <c r="IW7" s="2">
        <f>-0.115762022203637*(1)</f>
        <v>-0.115762022203637</v>
      </c>
      <c r="IX7" s="2">
        <f>0.0424075157688046*(1)</f>
        <v>4.2407515768804603E-2</v>
      </c>
      <c r="IY7" s="2">
        <f>0.151133240216325*(1)</f>
        <v>0.15113324021632499</v>
      </c>
      <c r="IZ7" s="2">
        <f>0.390544931242575*(1)</f>
        <v>0.390544931242575</v>
      </c>
      <c r="JA7" s="2">
        <f>-0.0718720874240108*(1)</f>
        <v>-7.18720874240108E-2</v>
      </c>
      <c r="JB7" s="2">
        <f>0.0370781597877061*(1)</f>
        <v>3.7078159787706101E-2</v>
      </c>
      <c r="JC7" s="2">
        <f>-0.0952791451217241*(1)</f>
        <v>-9.5279145121724099E-2</v>
      </c>
      <c r="JD7" s="2">
        <f>0.0959740216374943*(1)</f>
        <v>9.59740216374943E-2</v>
      </c>
      <c r="JE7" s="2">
        <f>-0.0672588513224762*(1)</f>
        <v>-6.7258851322476207E-2</v>
      </c>
      <c r="JF7" s="2">
        <f>0.015541421575152*(1)</f>
        <v>1.5541421575152E-2</v>
      </c>
      <c r="JG7" s="2">
        <f>-0.0132538389081066*(1)</f>
        <v>-1.3253838908106601E-2</v>
      </c>
      <c r="JH7" s="2">
        <f>-0.069321760197795*(1)</f>
        <v>-6.9321760197794999E-2</v>
      </c>
      <c r="JI7" s="2">
        <f>-0.133022221773339*(1)</f>
        <v>-0.133022221773339</v>
      </c>
      <c r="JJ7" s="2">
        <f>0.106611435441417*(1)</f>
        <v>0.106611435441417</v>
      </c>
      <c r="JK7" s="2">
        <f>-0.00178437967469502*(1)</f>
        <v>-1.7843796746950199E-3</v>
      </c>
      <c r="JL7" s="2">
        <f>0.147343306267491*(1)</f>
        <v>0.14734330626749101</v>
      </c>
      <c r="JM7" s="2">
        <f>-0.318493808997397*(1)</f>
        <v>-0.31849380899739699</v>
      </c>
      <c r="JN7" s="2">
        <f>0.181389845605895*(1)</f>
        <v>0.18138984560589499</v>
      </c>
      <c r="JO7" s="2">
        <f>-0.0326518118006145*(1)</f>
        <v>-3.2651811800614501E-2</v>
      </c>
      <c r="JP7" s="2">
        <f>0.142372960024649*(1)</f>
        <v>0.142372960024649</v>
      </c>
      <c r="JQ7" s="2">
        <f>-0.270768298338578*(1)</f>
        <v>-0.27076829833857802</v>
      </c>
      <c r="JR7" s="2">
        <f>0.140583498080981*(1)</f>
        <v>0.140583498080981</v>
      </c>
      <c r="JS7" s="2">
        <f>0.363496431697814*(1)</f>
        <v>0.36349643169781398</v>
      </c>
      <c r="JT7" s="2">
        <f>-0.0204765203802408*(1)</f>
        <v>-2.0476520380240799E-2</v>
      </c>
      <c r="JU7" s="2">
        <f>-0.113654637668131*(1)</f>
        <v>-0.113654637668131</v>
      </c>
      <c r="JV7" s="2">
        <f>-0.28093908678493*(1)</f>
        <v>-0.28093908678493001</v>
      </c>
      <c r="JW7" s="2">
        <f>0.304298221411573*(1)</f>
        <v>0.30429822141157298</v>
      </c>
      <c r="JX7" s="2">
        <f>-0.0582681917830347*(1)</f>
        <v>-5.8268191783034697E-2</v>
      </c>
      <c r="JY7" s="2">
        <f>-0.00730873293061438*(1)</f>
        <v>-7.3087329306143799E-3</v>
      </c>
      <c r="JZ7" s="2">
        <f>0.0603206627114959*(1)</f>
        <v>6.0320662711495901E-2</v>
      </c>
      <c r="KA7" s="2">
        <f>0.139436178062741*(1)</f>
        <v>0.139436178062741</v>
      </c>
      <c r="KB7" s="2">
        <f>0.0393177516581756*(1)</f>
        <v>3.9317751658175602E-2</v>
      </c>
      <c r="KC7" s="2">
        <f>0.205480827917056*(1)</f>
        <v>0.20548082791705599</v>
      </c>
      <c r="KD7" s="2">
        <f>-0.0700131466489952*(1)</f>
        <v>-7.0013146648995203E-2</v>
      </c>
      <c r="KE7" s="2">
        <f>0.179996023058575*(1)</f>
        <v>0.17999602305857501</v>
      </c>
      <c r="KF7" s="2">
        <f>0.0184955146156937*(1)</f>
        <v>1.8495514615693699E-2</v>
      </c>
      <c r="KG7" s="2">
        <f>-0.0190005400122171*(1)</f>
        <v>-1.9000540012217099E-2</v>
      </c>
      <c r="KH7" s="2">
        <f>-0.0656084709964573*(1)</f>
        <v>-6.5608470996457294E-2</v>
      </c>
      <c r="KI7" s="2">
        <f>-0.10679269477749*(1)</f>
        <v>-0.10679269477749</v>
      </c>
      <c r="KJ7" s="2">
        <f>0.172776638712106*(1)</f>
        <v>0.172776638712106</v>
      </c>
      <c r="KK7" s="2">
        <f>-0.0248762430439308*(1)</f>
        <v>-2.4876243043930799E-2</v>
      </c>
      <c r="KL7" s="2">
        <f>0.0731978331873769*(1)</f>
        <v>7.3197833187376896E-2</v>
      </c>
      <c r="KM7" s="2">
        <f>0.0121546898857988*(1)</f>
        <v>1.21546898857988E-2</v>
      </c>
      <c r="KN7" s="2">
        <f>-0.20001793146987*(1)</f>
        <v>-0.20001793146986999</v>
      </c>
      <c r="KO7" s="2">
        <f>-0.0299188590366082*(1)</f>
        <v>-2.9918859036608202E-2</v>
      </c>
      <c r="KP7" s="2">
        <f>0.0901127014678482*(1)</f>
        <v>9.0112701467848194E-2</v>
      </c>
      <c r="KQ7" s="2">
        <f>-0.096460199664862*(1)</f>
        <v>-9.6460199664861995E-2</v>
      </c>
      <c r="KR7" s="2">
        <f>-0.0594447785592281*(1)</f>
        <v>-5.9444778559228098E-2</v>
      </c>
      <c r="KS7" s="2">
        <f>0.0905962041168683*(1)</f>
        <v>9.0596204116868306E-2</v>
      </c>
      <c r="KT7" s="2">
        <f>0.0778788510235313*(1)</f>
        <v>7.7878851023531301E-2</v>
      </c>
      <c r="KU7" s="2">
        <f>-0.108526670757809*(1)</f>
        <v>-0.108526670757809</v>
      </c>
      <c r="KV7" s="2">
        <f>-0.0282651221224864*(1)</f>
        <v>-2.82651221224864E-2</v>
      </c>
      <c r="KW7" s="2">
        <f>-0.147360585718439*(1)</f>
        <v>-0.14736058571843899</v>
      </c>
      <c r="KX7" s="2">
        <f>-0.0882182943256441*(1)</f>
        <v>-8.8218294325644098E-2</v>
      </c>
      <c r="KY7" s="2">
        <f>-0.0723856968013825*(1)</f>
        <v>-7.2385696801382501E-2</v>
      </c>
      <c r="KZ7" s="2">
        <f>-0.0951047213617381*(1)</f>
        <v>-9.5104721361738101E-2</v>
      </c>
      <c r="LA7" s="2">
        <f>-0.0672619696119269*(1)</f>
        <v>-6.7261969611926903E-2</v>
      </c>
      <c r="LB7" s="2">
        <f>0.183490926847105*(1)</f>
        <v>0.183490926847105</v>
      </c>
      <c r="LC7" s="2">
        <f>0.0348006884184241*(1)</f>
        <v>3.4800688418424097E-2</v>
      </c>
      <c r="LD7" s="2">
        <f>0.0393860663333525*(1)</f>
        <v>3.9386066333352503E-2</v>
      </c>
      <c r="LE7" s="2">
        <f>0.00806223022302338*(1)</f>
        <v>8.0622302230233794E-3</v>
      </c>
      <c r="LF7" s="2">
        <f>-0.0686461680477236*(1)</f>
        <v>-6.8646168047723596E-2</v>
      </c>
      <c r="LG7" s="2">
        <f>-0.328046638330231*(1)</f>
        <v>-0.32804663833023101</v>
      </c>
      <c r="LH7" s="2">
        <f>-0.0549241694434013*(1)</f>
        <v>-5.4924169443401297E-2</v>
      </c>
      <c r="LI7" s="2">
        <f>0.158115302154527*(1)</f>
        <v>0.15811530215452699</v>
      </c>
      <c r="LJ7" s="2">
        <f>-0.28391645484526*(1)</f>
        <v>-0.28391645484526001</v>
      </c>
      <c r="LK7" s="2">
        <f>0.0797190822416605*(1)</f>
        <v>7.9719082241660494E-2</v>
      </c>
      <c r="LL7" s="2">
        <f>0.0638990414303034*(1)</f>
        <v>6.3899041430303394E-2</v>
      </c>
      <c r="LM7" s="2">
        <f>-0.0409509032122972*(1)</f>
        <v>-4.0950903212297197E-2</v>
      </c>
      <c r="LN7" s="2">
        <f>-0.27020183036526*(1)</f>
        <v>-0.27020183036526002</v>
      </c>
      <c r="LO7" s="2">
        <f>0.301282929666528*(1)</f>
        <v>0.30128292966652798</v>
      </c>
      <c r="LP7" s="2">
        <f>-0.0464785996421563*(1)</f>
        <v>-4.6478599642156303E-2</v>
      </c>
      <c r="LQ7" s="2">
        <f>0.357979119323179*(1)</f>
        <v>0.357979119323179</v>
      </c>
      <c r="LR7" s="2">
        <f>-0.139770673540775*(1)</f>
        <v>-0.13977067354077499</v>
      </c>
      <c r="LS7" s="2">
        <f>0.00571599105402807*(1)</f>
        <v>5.7159910540280703E-3</v>
      </c>
      <c r="LT7" s="2">
        <f>-0.343266968704142*(1)</f>
        <v>-0.34326696870414197</v>
      </c>
      <c r="LU7" s="2">
        <f>0.180630338644732*(1)</f>
        <v>0.18063033864473199</v>
      </c>
      <c r="LV7" s="2">
        <f>-0.164341349904312*(1)</f>
        <v>-0.16434134990431201</v>
      </c>
      <c r="LW7" s="2">
        <f>0.0558710652979616*(1)</f>
        <v>5.5871065297961597E-2</v>
      </c>
      <c r="LX7" s="2">
        <f>0.0398471090095711*(1)</f>
        <v>3.9847109009571099E-2</v>
      </c>
      <c r="LY7" s="2">
        <f>0.18210620319281*(1)</f>
        <v>0.18210620319281001</v>
      </c>
      <c r="LZ7" s="2">
        <f>0.191430043380906*(1)</f>
        <v>0.191430043380906</v>
      </c>
      <c r="MA7" s="2">
        <f>-0.202995922648257*(1)</f>
        <v>-0.202995922648257</v>
      </c>
      <c r="MB7" s="2">
        <f>-0.211491279445997*(1)</f>
        <v>-0.21149127944599699</v>
      </c>
      <c r="MC7" s="2">
        <f>-0.226201608842577*(1)</f>
        <v>-0.22620160884257701</v>
      </c>
      <c r="MD7" s="2">
        <f>0.089680806603805*(1)</f>
        <v>8.9680806603804994E-2</v>
      </c>
      <c r="ME7" s="2">
        <f>0.090437431707335*(1)</f>
        <v>9.0437431707334995E-2</v>
      </c>
      <c r="MF7" s="2">
        <f>0.119187864396327*(1)</f>
        <v>0.119187864396327</v>
      </c>
      <c r="MG7" s="2">
        <f>-0.0311378726114069*(1)</f>
        <v>-3.1137872611406901E-2</v>
      </c>
      <c r="MH7" s="2">
        <f>-0.189439050369112*(1)</f>
        <v>-0.18943905036911199</v>
      </c>
      <c r="MI7" s="2">
        <f>0.00277640246247777*(1)</f>
        <v>2.7764024624777699E-3</v>
      </c>
      <c r="MJ7" s="2">
        <f>-0.0576900489031981*(1)</f>
        <v>-5.76900489031981E-2</v>
      </c>
      <c r="MK7" s="2">
        <f>-0.0253837069467533*(1)</f>
        <v>-2.53837069467533E-2</v>
      </c>
      <c r="ML7" s="2">
        <f>-0.133808162224335*(1)</f>
        <v>-0.133808162224335</v>
      </c>
      <c r="MM7" s="2">
        <f>-0.00781524842366659*(1)</f>
        <v>-7.81524842366659E-3</v>
      </c>
      <c r="MN7" s="2">
        <f>0.377219063869534*(1)</f>
        <v>0.37721906386953402</v>
      </c>
      <c r="MO7" s="2">
        <f>-0.0307075797635916*(1)</f>
        <v>-3.0707579763591598E-2</v>
      </c>
      <c r="MP7" s="2">
        <f>-0.152883096935084*(1)</f>
        <v>-0.15288309693508401</v>
      </c>
      <c r="MQ7" s="2">
        <f>0.0528551651726854*(1)</f>
        <v>5.2855165172685403E-2</v>
      </c>
      <c r="MR7" s="2">
        <f>0.38483038673629*(1)</f>
        <v>0.38483038673629</v>
      </c>
      <c r="MS7" s="2">
        <f>0.0282131292426121*(1)</f>
        <v>2.8213129242612101E-2</v>
      </c>
      <c r="MT7" s="2">
        <f>0.253125717373815*(1)</f>
        <v>0.25312571737381501</v>
      </c>
      <c r="MU7" s="2">
        <f>-0.174998479895009*(1)</f>
        <v>-0.174998479895009</v>
      </c>
      <c r="MV7" s="2">
        <f>0.0201087074360385*(1)</f>
        <v>2.01087074360385E-2</v>
      </c>
      <c r="MW7" s="2">
        <f>0.197474767963697*(1)</f>
        <v>0.19747476796369701</v>
      </c>
      <c r="MX7" s="2">
        <f>0.180692524724062*(1)</f>
        <v>0.180692524724062</v>
      </c>
      <c r="MY7" s="2">
        <f>-0.166575958525339*(1)</f>
        <v>-0.16657595852533899</v>
      </c>
      <c r="MZ7" s="2">
        <f>0.0099605738140499*(1)</f>
        <v>9.9605738140499007E-3</v>
      </c>
      <c r="NA7" s="2">
        <f>0.137637917523381*(1)</f>
        <v>0.137637917523381</v>
      </c>
      <c r="NB7" s="2">
        <f>-0.238978926157476*(1)</f>
        <v>-0.23897892615747601</v>
      </c>
      <c r="NC7" s="2">
        <f>-0.0510214951188481*(1)</f>
        <v>-5.1021495118848098E-2</v>
      </c>
      <c r="ND7" s="2">
        <f>0.146497204250421*(1)</f>
        <v>0.14649720425042101</v>
      </c>
      <c r="NE7" s="2">
        <f>0.164437078747025*(1)</f>
        <v>0.16443707874702501</v>
      </c>
      <c r="NF7" s="2">
        <f>0.0348936399969742*(1)</f>
        <v>3.4893639996974202E-2</v>
      </c>
      <c r="NG7" s="2">
        <f>-0.334249110602376*(1)</f>
        <v>-0.334249110602376</v>
      </c>
      <c r="NH7" s="2">
        <f>0.084388369422149*(1)</f>
        <v>8.4388369422149001E-2</v>
      </c>
      <c r="NI7" s="2">
        <f>0.167257269237239*(1)</f>
        <v>0.16725726923723899</v>
      </c>
      <c r="NJ7" s="2">
        <f>-0.0296676603574815*(1)</f>
        <v>-2.9667660357481501E-2</v>
      </c>
      <c r="NK7" s="2">
        <f>0.141645315303223*(1)</f>
        <v>0.141645315303223</v>
      </c>
      <c r="NL7" s="2">
        <f>-0.421013261301671*(1)</f>
        <v>-0.42101326130167099</v>
      </c>
      <c r="NM7" s="2">
        <f>0.0586157547463372*(1)</f>
        <v>5.8615754746337199E-2</v>
      </c>
      <c r="NN7" s="2">
        <f>0.0367895090296834*(1)</f>
        <v>3.67895090296834E-2</v>
      </c>
      <c r="NO7" s="2">
        <f>0.234454253197658*(1)</f>
        <v>0.234454253197658</v>
      </c>
      <c r="NP7" s="2">
        <f>-0.333695337779765*(1)</f>
        <v>-0.33369533777976501</v>
      </c>
      <c r="NQ7" s="2">
        <f>0.338355983500833*(1)</f>
        <v>0.33835598350083301</v>
      </c>
      <c r="NR7" s="2">
        <f>0.0594436234046916*(1)</f>
        <v>5.9443623404691601E-2</v>
      </c>
      <c r="NS7" s="2">
        <f>0.06322301834862*(1)</f>
        <v>6.322301834862E-2</v>
      </c>
      <c r="NT7" s="2">
        <f>-0.316526043953579*(1)</f>
        <v>-0.31652604395357897</v>
      </c>
      <c r="NU7" s="2">
        <f>-0.0268729376696873*(1)</f>
        <v>-2.6872937669687302E-2</v>
      </c>
      <c r="NV7" s="2">
        <f>-0.0140708279416286*(1)</f>
        <v>-1.4070827941628601E-2</v>
      </c>
      <c r="NW7" s="2">
        <f>0.225915594271184*(1)</f>
        <v>0.22591559427118399</v>
      </c>
      <c r="NX7" s="2">
        <f>0.232612508909594*(1)</f>
        <v>0.23261250890959401</v>
      </c>
      <c r="NY7" s="2">
        <f>0.0576632063341458*(1)</f>
        <v>5.7663206334145803E-2</v>
      </c>
      <c r="NZ7" s="2">
        <f>-0.138577443574847*(1)</f>
        <v>-0.138577443574847</v>
      </c>
      <c r="OA7" s="2">
        <f>-0.297122153784126*(1)</f>
        <v>-0.29712215378412599</v>
      </c>
      <c r="OB7" s="2">
        <f>0.0040949650895727*(1)</f>
        <v>4.0949650895726998E-3</v>
      </c>
      <c r="OC7" s="2">
        <f>0.0938482818419886*(1)</f>
        <v>9.3848281841988596E-2</v>
      </c>
      <c r="OD7" s="2">
        <f>-0.385406943225624*(1)</f>
        <v>-0.38540694322562402</v>
      </c>
      <c r="OE7" s="2">
        <f>0.340742464201308*(1)</f>
        <v>0.34074246420130799</v>
      </c>
      <c r="OF7" s="2">
        <f>-0.222427548034596*(1)</f>
        <v>-0.222427548034596</v>
      </c>
      <c r="OG7" s="2">
        <f>-0.0863815346334592*(1)</f>
        <v>-8.6381534633459198E-2</v>
      </c>
      <c r="OH7" s="2">
        <f>0.298606040763216*(1)</f>
        <v>0.29860604076321601</v>
      </c>
      <c r="OI7" s="2">
        <f>-0.0080222866950355*(1)</f>
        <v>-8.0222866950354996E-3</v>
      </c>
      <c r="OJ7" s="2">
        <f>0.124180312390327*(1)</f>
        <v>0.12418031239032699</v>
      </c>
      <c r="OK7" s="2">
        <f>-0.108317476645331*(1)</f>
        <v>-0.10831747664533101</v>
      </c>
      <c r="OL7" s="2">
        <f>-0.243622975964411*(1)</f>
        <v>-0.24362297596441099</v>
      </c>
      <c r="OM7" s="2">
        <f>0.309396808306866*(1)</f>
        <v>0.309396808306866</v>
      </c>
      <c r="ON7" s="2">
        <f>-0.00973295851170387*(1)</f>
        <v>-9.7329585117038701E-3</v>
      </c>
      <c r="OO7" s="2">
        <f>-0.01957624334554*(1)</f>
        <v>-1.957624334554E-2</v>
      </c>
      <c r="OP7" s="2">
        <f>-0.210981876931755*(1)</f>
        <v>-0.21098187693175499</v>
      </c>
      <c r="OQ7" s="2">
        <f>-0.058500155148664*(1)</f>
        <v>-5.8500155148664003E-2</v>
      </c>
      <c r="OR7" s="2">
        <f>0.0581354671308671*(1)</f>
        <v>5.8135467130867098E-2</v>
      </c>
      <c r="OS7" s="2">
        <f>-0.247642130346362*(1)</f>
        <v>-0.24764213034636201</v>
      </c>
      <c r="OT7" s="2">
        <f>0.177168371428596*(1)</f>
        <v>0.17716837142859601</v>
      </c>
      <c r="OU7" s="2">
        <f>0.178233295926631*(1)</f>
        <v>0.17823329592663101</v>
      </c>
      <c r="OV7" s="2">
        <f>-0.0961063781612934*(1)</f>
        <v>-9.6106378161293401E-2</v>
      </c>
      <c r="OW7" s="2">
        <f>-0.199977383627857*(1)</f>
        <v>-0.199977383627857</v>
      </c>
      <c r="OX7" s="2">
        <f>0.125507493915596*(1)</f>
        <v>0.12550749391559601</v>
      </c>
      <c r="OY7" s="2">
        <f>0.0225628692462228*(1)</f>
        <v>2.2562869246222798E-2</v>
      </c>
      <c r="OZ7" s="2">
        <f>0.236151474509385*(1)</f>
        <v>0.23615147450938501</v>
      </c>
      <c r="PA7" s="2">
        <f>-0.0196329570118518*(1)</f>
        <v>-1.96329570118518E-2</v>
      </c>
      <c r="PB7" s="2">
        <f>0.0855648935316316*(1)</f>
        <v>8.5564893531631603E-2</v>
      </c>
      <c r="PC7" s="2">
        <f>0.209749633004598*(1)</f>
        <v>0.20974963300459801</v>
      </c>
      <c r="PD7" s="2">
        <f>-0.218733907251347*(1)</f>
        <v>-0.218733907251347</v>
      </c>
      <c r="PE7" s="2">
        <f>-0.167145286453951*(1)</f>
        <v>-0.16714528645395099</v>
      </c>
      <c r="PF7" s="2">
        <f>0.103866739143076*(1)</f>
        <v>0.103866739143076</v>
      </c>
      <c r="PG7" s="2">
        <f>-0.130144056921278*(1)</f>
        <v>-0.13014405692127801</v>
      </c>
      <c r="PH7" s="2">
        <f>0.185502480636231*(1)</f>
        <v>0.18550248063623101</v>
      </c>
      <c r="PI7" s="2">
        <f>0.178830158152623*(1)</f>
        <v>0.17883015815262299</v>
      </c>
      <c r="PJ7" s="2">
        <f>0.117226615343068*(1)</f>
        <v>0.117226615343068</v>
      </c>
      <c r="PK7" s="2">
        <f>0.152568846906181*(1)</f>
        <v>0.152568846906181</v>
      </c>
      <c r="PL7" s="2">
        <f>-0.05801488385604*(1)</f>
        <v>-5.8014883856039999E-2</v>
      </c>
      <c r="PM7" s="2">
        <f>-0.118301671763333*(1)</f>
        <v>-0.11830167176333301</v>
      </c>
      <c r="PN7" s="2">
        <f>0.228640058238241*(1)</f>
        <v>0.22864005823824099</v>
      </c>
      <c r="PO7" s="2">
        <f>0.290143897349456*(1)</f>
        <v>0.290143897349456</v>
      </c>
      <c r="PP7" s="2">
        <f>-0.0740816223257788*(1)</f>
        <v>-7.4081622325778806E-2</v>
      </c>
      <c r="PQ7" s="2">
        <f>-0.0795108253097842*(1)</f>
        <v>-7.9510825309784205E-2</v>
      </c>
      <c r="PR7" s="2">
        <f>0.0832247494424777*(1)</f>
        <v>8.3224749442477694E-2</v>
      </c>
      <c r="PS7" s="2">
        <f>0.0937861620343804*(1)</f>
        <v>9.3786162034380394E-2</v>
      </c>
      <c r="PT7" s="2">
        <f>0.00305575308587644*(1)</f>
        <v>3.0557530858764401E-3</v>
      </c>
      <c r="PU7" s="2">
        <f>-0.126514289153089*(1)</f>
        <v>-0.12651428915308899</v>
      </c>
      <c r="PV7" s="2">
        <f>0.0167832255101728*(1)</f>
        <v>1.6783225510172799E-2</v>
      </c>
      <c r="PW7" s="2">
        <f>-0.0915952292510484*(1)</f>
        <v>-9.1595229251048405E-2</v>
      </c>
      <c r="PX7" s="2">
        <f>-0.113022612943242*(1)</f>
        <v>-0.11302261294324201</v>
      </c>
      <c r="PY7" s="2">
        <f>0.0273467267787411*(1)</f>
        <v>2.7346726778741101E-2</v>
      </c>
      <c r="PZ7" s="2">
        <f>0.0235964210132151*(1)</f>
        <v>2.3596421013215099E-2</v>
      </c>
      <c r="QA7" s="2">
        <f>-0.220219367826783*(1)</f>
        <v>-0.220219367826783</v>
      </c>
      <c r="QB7" s="2">
        <f>0.215619058981389*(1)</f>
        <v>0.215619058981389</v>
      </c>
      <c r="QC7" s="2">
        <f>0.325550355362399*(1)</f>
        <v>0.32555035536239901</v>
      </c>
      <c r="QD7" s="2">
        <f>0.126754806344384*(1)</f>
        <v>0.12675480634438399</v>
      </c>
      <c r="QE7" s="2">
        <f>0.189565064750125*(1)</f>
        <v>0.189565064750125</v>
      </c>
      <c r="QF7" s="2">
        <f>-0.341987410683162*(1)</f>
        <v>-0.34198741068316202</v>
      </c>
      <c r="QG7" s="2">
        <f>0.105731389751735*(1)</f>
        <v>0.105731389751735</v>
      </c>
      <c r="QH7" s="2">
        <f>0.00964704117056799*(1)</f>
        <v>9.6470411705679906E-3</v>
      </c>
      <c r="QI7" s="2">
        <f>-0.14915159952821*(1)</f>
        <v>-0.14915159952821</v>
      </c>
      <c r="QJ7" s="2">
        <f>0.035918237131316*(1)</f>
        <v>3.5918237131315998E-2</v>
      </c>
      <c r="QK7" s="2">
        <f>0.00911599304050169*(1)</f>
        <v>9.1159930405016899E-3</v>
      </c>
      <c r="QL7" s="2">
        <f>-0.133462533915504*(1)</f>
        <v>-0.133462533915504</v>
      </c>
      <c r="QM7" s="2">
        <f>0.219717559915037*(1)</f>
        <v>0.219717559915037</v>
      </c>
      <c r="QN7" s="2">
        <f>-0.159283593846841*(1)</f>
        <v>-0.15928359384684099</v>
      </c>
      <c r="QO7" s="2">
        <f>0.0425647234823513*(1)</f>
        <v>4.2564723482351297E-2</v>
      </c>
      <c r="QP7" s="2">
        <f>-0.128030451774985*(1)</f>
        <v>-0.12803045177498501</v>
      </c>
      <c r="QQ7" s="2">
        <f>-0.255956716947957*(1)</f>
        <v>-0.25595671694795702</v>
      </c>
      <c r="QR7" s="2">
        <f>0.247620135478782*(1)</f>
        <v>0.24762013547878201</v>
      </c>
      <c r="QS7" s="2">
        <f>-0.0245460675783443*(1)</f>
        <v>-2.4546067578344301E-2</v>
      </c>
      <c r="QT7" s="2">
        <f>0.0362424965300899*(1)</f>
        <v>3.6242496530089902E-2</v>
      </c>
      <c r="QU7" s="2">
        <f>0.318862806998748*(1)</f>
        <v>0.31886280699874803</v>
      </c>
      <c r="QV7" s="2">
        <f>-0.0770018885774645*(1)</f>
        <v>-7.7001888577464497E-2</v>
      </c>
      <c r="QW7" s="2">
        <f>0.122671696878747*(1)</f>
        <v>0.122671696878747</v>
      </c>
      <c r="QX7" s="2">
        <f>0.274843353269427*(1)</f>
        <v>0.27484335326942699</v>
      </c>
      <c r="QY7" s="2">
        <f>0.0171102733128346*(1)</f>
        <v>1.7110273312834601E-2</v>
      </c>
      <c r="QZ7" s="2">
        <f>0.137431971221184*(1)</f>
        <v>0.137431971221184</v>
      </c>
      <c r="RA7" s="2">
        <f>-0.0529198364697862*(1)</f>
        <v>-5.2919836469786201E-2</v>
      </c>
      <c r="RB7" s="2">
        <f>-0.138699326601798*(1)</f>
        <v>-0.13869932660179801</v>
      </c>
      <c r="RC7" s="2">
        <f>0.0590112687912965*(1)</f>
        <v>5.9011268791296499E-2</v>
      </c>
      <c r="RD7" s="2">
        <f>-0.210987092628589*(1)</f>
        <v>-0.210987092628589</v>
      </c>
      <c r="RE7" s="2">
        <f>-0.0164585954046801*(1)</f>
        <v>-1.6458595404680101E-2</v>
      </c>
      <c r="RF7" s="2">
        <f>0.371988373542489*(1)</f>
        <v>0.37198837354248898</v>
      </c>
      <c r="RG7" s="2">
        <f>0.211013534078678*(1)</f>
        <v>0.21101353407867801</v>
      </c>
      <c r="RH7" s="2">
        <f>-0.126795570610467*(1)</f>
        <v>-0.12679557061046701</v>
      </c>
      <c r="RI7" s="2">
        <f>-0.121737762399988*(1)</f>
        <v>-0.121737762399988</v>
      </c>
      <c r="RJ7" s="2">
        <f>0.060618326257462*(1)</f>
        <v>6.0618326257462003E-2</v>
      </c>
      <c r="RK7" s="2">
        <f>0.130161787638571*(1)</f>
        <v>0.130161787638571</v>
      </c>
      <c r="RL7" s="2">
        <f>-0.0242006728835945*(1)</f>
        <v>-2.4200672883594499E-2</v>
      </c>
      <c r="RM7" s="2">
        <f>0.0864415736658067*(1)</f>
        <v>8.6441573665806695E-2</v>
      </c>
      <c r="RN7" s="2">
        <f>0.152206417660236*(1)</f>
        <v>0.15220641766023599</v>
      </c>
      <c r="RO7" s="2">
        <f>0.179396371867507*(1)</f>
        <v>0.17939637186750701</v>
      </c>
      <c r="RP7" s="2">
        <f>-0.119287849162203*(1)</f>
        <v>-0.119287849162203</v>
      </c>
      <c r="RQ7" s="2">
        <f>-0.1496796044375*(1)</f>
        <v>-0.1496796044375</v>
      </c>
      <c r="RR7" s="2">
        <f>0.0587240979385972*(1)</f>
        <v>5.8724097938597203E-2</v>
      </c>
      <c r="RS7" s="2">
        <f>0.12952520829418*(1)</f>
        <v>0.12952520829417999</v>
      </c>
      <c r="RT7" s="2">
        <f>-0.175455822263724*(1)</f>
        <v>-0.175455822263724</v>
      </c>
      <c r="RU7" s="2">
        <f>-0.124244796079451*(1)</f>
        <v>-0.12424479607945101</v>
      </c>
      <c r="RV7" s="2">
        <f>0.222660646288222*(1)</f>
        <v>0.22266064628822199</v>
      </c>
      <c r="RW7" s="2">
        <f>0.0209578215275021*(1)</f>
        <v>2.0957821527502099E-2</v>
      </c>
      <c r="RX7" s="2">
        <f>-0.203369068602809*(1)</f>
        <v>-0.20336906860280901</v>
      </c>
      <c r="RY7" s="2">
        <f>0.23488446071187*(1)</f>
        <v>0.23488446071187</v>
      </c>
      <c r="RZ7" s="2">
        <f>0.188073632809351*(1)</f>
        <v>0.18807363280935099</v>
      </c>
      <c r="SA7" s="2">
        <f>-0.36404025842185*(1)</f>
        <v>-0.36404025842185</v>
      </c>
      <c r="SB7" s="2">
        <f>-0.0360319757436756*(1)</f>
        <v>-3.6031975743675601E-2</v>
      </c>
      <c r="SC7" s="2">
        <f>0.0740923266734456*(1)</f>
        <v>7.4092326673445605E-2</v>
      </c>
      <c r="SD7" s="2">
        <f>0.117599783714555*(1)</f>
        <v>0.117599783714555</v>
      </c>
      <c r="SE7" s="2">
        <f>-0.0735063403724278*(1)</f>
        <v>-7.35063403724278E-2</v>
      </c>
      <c r="SF7" s="2">
        <f>0.170781274270649*(1)</f>
        <v>0.17078127427064899</v>
      </c>
      <c r="SG7" s="2">
        <f>0.146397953655292*(1)</f>
        <v>0.14639795365529201</v>
      </c>
      <c r="SH7" s="2">
        <f>-0.109245751426728*(1)</f>
        <v>-0.109245751426728</v>
      </c>
      <c r="SI7" s="2">
        <f>-0.0976367536517258*(1)</f>
        <v>-9.7636753651725805E-2</v>
      </c>
      <c r="SJ7" s="2">
        <f>0.129288431150858*(1)</f>
        <v>0.129288431150858</v>
      </c>
      <c r="SK7" s="2">
        <f>-0.57472296299256*(1)</f>
        <v>-0.57472296299255998</v>
      </c>
      <c r="SL7" s="2">
        <f>0.172833341457453*(1)</f>
        <v>0.17283334145745299</v>
      </c>
      <c r="SM7" s="2">
        <f>-0.105318476326903*(1)</f>
        <v>-0.105318476326903</v>
      </c>
      <c r="SN7" s="2">
        <f>0.155891248117261*(1)</f>
        <v>0.15589124811726099</v>
      </c>
      <c r="SO7" s="2">
        <f>0.0914538011419723*(1)</f>
        <v>9.1453801141972296E-2</v>
      </c>
      <c r="SP7" s="2">
        <f>0.0303988452604819*(1)</f>
        <v>3.0398845260481901E-2</v>
      </c>
      <c r="SQ7" s="2">
        <f>0.151689187804485*(1)</f>
        <v>0.15168918780448501</v>
      </c>
      <c r="SR7" s="2">
        <f>-0.22364199946019*(1)</f>
        <v>-0.22364199946019001</v>
      </c>
      <c r="SS7" s="2">
        <f>0.0347894938351143*(1)</f>
        <v>3.4789493835114302E-2</v>
      </c>
      <c r="ST7" s="2">
        <f>0.460568526670218*(1)</f>
        <v>0.46056852667021803</v>
      </c>
      <c r="SU7" s="2">
        <f>-0.225180072606839*(1)</f>
        <v>-0.225180072606839</v>
      </c>
      <c r="SV7" s="2">
        <f>0.22060713542272*(1)</f>
        <v>0.22060713542272001</v>
      </c>
      <c r="SW7" s="2">
        <f>-0.000917814551130675*(1)</f>
        <v>-9.1781455113067504E-4</v>
      </c>
      <c r="SX7" s="2">
        <f>-0.0735543366461503*(1)</f>
        <v>-7.3554336646150298E-2</v>
      </c>
      <c r="SY7" s="2">
        <f>-0.243668757910056*(1)</f>
        <v>-0.24366875791005599</v>
      </c>
      <c r="SZ7" s="2">
        <f>0.149263479831226*(1)</f>
        <v>0.14926347983122601</v>
      </c>
      <c r="TA7" s="2">
        <f>0.375616604968733*(1)</f>
        <v>0.375616604968733</v>
      </c>
      <c r="TB7" s="2">
        <f>-0.122387613437208*(1)</f>
        <v>-0.122387613437208</v>
      </c>
      <c r="TC7" s="2">
        <f>-0.209185849384935*(1)</f>
        <v>-0.20918584938493501</v>
      </c>
      <c r="TD7" s="2">
        <f>-0.223985144592212*(1)</f>
        <v>-0.223985144592212</v>
      </c>
      <c r="TE7" s="2">
        <f>-0.368227707011869*(1)</f>
        <v>-0.36822770701186902</v>
      </c>
      <c r="TF7" s="2">
        <f>-0.121807041807297*(1)</f>
        <v>-0.121807041807297</v>
      </c>
      <c r="TG7" s="2">
        <f>-0.0679751181839279*(1)</f>
        <v>-6.7975118183927902E-2</v>
      </c>
      <c r="TH7" s="2">
        <f>0.0598342511628266*(1)</f>
        <v>5.9834251162826597E-2</v>
      </c>
      <c r="TI7" s="2">
        <f>-0.289144923761687*(1)</f>
        <v>-0.28914492376168699</v>
      </c>
      <c r="TJ7" s="2">
        <f>-0.294096358405672*(1)</f>
        <v>-0.294096358405672</v>
      </c>
      <c r="TK7" s="2">
        <f>-0.283267188624479*(1)</f>
        <v>-0.28326718862447903</v>
      </c>
      <c r="TL7" s="2">
        <f>-0.415431673065481*(1)</f>
        <v>-0.41543167306548101</v>
      </c>
      <c r="TM7" s="2">
        <f>0.318213101078673*(1)</f>
        <v>0.31821310107867301</v>
      </c>
      <c r="TN7" s="2">
        <f>-0.22531251032691*(1)</f>
        <v>-0.22531251032690999</v>
      </c>
      <c r="TO7" s="2">
        <f>-0.107496621994319*(1)</f>
        <v>-0.107496621994319</v>
      </c>
      <c r="TP7" s="2">
        <f>0.0933813138646883*(1)</f>
        <v>9.3381313864688301E-2</v>
      </c>
      <c r="TQ7" s="2">
        <f>-0.189712578404247*(1)</f>
        <v>-0.18971257840424699</v>
      </c>
      <c r="TR7" s="2">
        <f>-0.027958892152656*(1)</f>
        <v>-2.7958892152656002E-2</v>
      </c>
      <c r="TS7" s="2">
        <f>0.243631527167745*(1)</f>
        <v>0.243631527167745</v>
      </c>
      <c r="TT7" s="2">
        <f>0.048756821029996*(1)</f>
        <v>4.8756821029995998E-2</v>
      </c>
      <c r="TU7" s="2">
        <f>0.0529587081301397*(1)</f>
        <v>5.2958708130139698E-2</v>
      </c>
      <c r="TV7" s="2">
        <f>0.169155591237965*(1)</f>
        <v>0.169155591237965</v>
      </c>
      <c r="TW7" s="2">
        <f>0.147363317007326*(1)</f>
        <v>0.14736331700732599</v>
      </c>
      <c r="TX7" s="2">
        <f>0.520903449983841*(1)</f>
        <v>0.52090344998384097</v>
      </c>
      <c r="TY7" s="2">
        <f>-0.383393374136143*(1)</f>
        <v>-0.38339337413614299</v>
      </c>
      <c r="TZ7" s="2">
        <f>-0.19235600515814*(1)</f>
        <v>-0.19235600515814</v>
      </c>
      <c r="UA7" s="2">
        <f>-0.288641999621628*(1)</f>
        <v>-0.28864199962162801</v>
      </c>
      <c r="UB7" s="2">
        <f>-0.208114021853113*(1)</f>
        <v>-0.20811402185311301</v>
      </c>
      <c r="UC7" s="2">
        <f>-0.567020229447363*(1)</f>
        <v>-0.56702022944736297</v>
      </c>
      <c r="UD7" s="2">
        <f>0.163200370729766*(1)</f>
        <v>0.16320037072976601</v>
      </c>
      <c r="UE7" s="2">
        <f>0.0317715276003101*(1)</f>
        <v>3.1771527600310101E-2</v>
      </c>
      <c r="UF7" s="2">
        <f>-0.0315375657876823*(1)</f>
        <v>-3.1537565787682298E-2</v>
      </c>
      <c r="UG7" s="2">
        <f>-0.376117312998642*(1)</f>
        <v>-0.37611731299864198</v>
      </c>
      <c r="UH7" s="2">
        <f>0.292856748003939*(1)</f>
        <v>0.29285674800393902</v>
      </c>
      <c r="UI7" s="2">
        <f>0.241280351697288*(1)</f>
        <v>0.24128035169728801</v>
      </c>
      <c r="UJ7" s="2">
        <f>-0.123994718891524*(1)</f>
        <v>-0.123994718891524</v>
      </c>
      <c r="UK7" s="2">
        <f>-0.282031891635415*(1)</f>
        <v>-0.28203189163541498</v>
      </c>
      <c r="UL7" s="2">
        <f>-0.00105727601881956*(1)</f>
        <v>-1.0572760188195601E-3</v>
      </c>
      <c r="UM7" s="2">
        <f>0.143852473755156*(1)</f>
        <v>0.143852473755156</v>
      </c>
      <c r="UN7" s="2">
        <f>0.216498348537202*(1)</f>
        <v>0.21649834853720201</v>
      </c>
      <c r="UO7" s="2">
        <f>0.198792601165054*(1)</f>
        <v>0.19879260116505401</v>
      </c>
      <c r="UP7" s="2">
        <f>0.238231648152154*(1)</f>
        <v>0.238231648152154</v>
      </c>
      <c r="UQ7" s="2">
        <f>0.289813548910334*(1)</f>
        <v>0.28981354891033401</v>
      </c>
      <c r="UR7" s="2">
        <f>-0.17507242135017*(1)</f>
        <v>-0.17507242135017001</v>
      </c>
      <c r="US7" s="2">
        <f>-0.140825473827512*(1)</f>
        <v>-0.14082547382751201</v>
      </c>
      <c r="UT7" s="2">
        <f>-0.027166544872502*(1)</f>
        <v>-2.7166544872501999E-2</v>
      </c>
      <c r="UU7" s="2">
        <f>-0.240810321175225*(1)</f>
        <v>-0.240810321175225</v>
      </c>
      <c r="UV7" s="2">
        <f>-0.310750534712387*(1)</f>
        <v>-0.31075053471238701</v>
      </c>
      <c r="UW7" s="2">
        <f>0.240372067769352*(1)</f>
        <v>0.24037206776935199</v>
      </c>
      <c r="UX7" s="2">
        <f>-0.173575280724131*(1)</f>
        <v>-0.173575280724131</v>
      </c>
      <c r="UY7" s="2">
        <f>-0.113316444603607*(1)</f>
        <v>-0.113316444603607</v>
      </c>
      <c r="UZ7" s="2">
        <f>-0.0855618792943988*(1)</f>
        <v>-8.5561879294398804E-2</v>
      </c>
      <c r="VA7" s="2">
        <f>0.15608449514931*(1)</f>
        <v>0.15608449514931</v>
      </c>
      <c r="VB7" s="2">
        <f>-0.234480570888179*(1)</f>
        <v>-0.234480570888179</v>
      </c>
      <c r="VC7" s="2">
        <f>-0.228302305408262*(1)</f>
        <v>-0.22830230540826199</v>
      </c>
      <c r="VD7" s="2">
        <f>0.0671719368393048*(1)</f>
        <v>6.7171936839304794E-2</v>
      </c>
      <c r="VE7" s="2">
        <f>0.215001993850018*(1)</f>
        <v>0.215001993850018</v>
      </c>
      <c r="VF7" s="2">
        <f>-0.298287335152566*(1)</f>
        <v>-0.298287335152566</v>
      </c>
      <c r="VG7" s="2">
        <f>0.079342802567502*(1)</f>
        <v>7.9342802567501994E-2</v>
      </c>
      <c r="VH7" s="2">
        <f>0.105177911896825*(1)</f>
        <v>0.105177911896825</v>
      </c>
      <c r="VI7" s="2">
        <f>-0.0539646920876746*(1)</f>
        <v>-5.3964692087674598E-2</v>
      </c>
      <c r="VJ7" s="2">
        <f>-0.193259962468062*(1)</f>
        <v>-0.19325996246806201</v>
      </c>
      <c r="VK7" s="2">
        <f>0.182829059952797*(1)</f>
        <v>0.182829059952797</v>
      </c>
      <c r="VL7" s="2">
        <f>0.0667048329927497*(1)</f>
        <v>6.6704832992749694E-2</v>
      </c>
      <c r="VM7" s="2">
        <f>0.113674417829759*(1)</f>
        <v>0.113674417829759</v>
      </c>
      <c r="VN7" s="2">
        <f>-0.135764433123564*(1)</f>
        <v>-0.13576443312356401</v>
      </c>
      <c r="VO7" s="2">
        <f>-0.257552240507092*(1)</f>
        <v>-0.25755224050709202</v>
      </c>
      <c r="VP7" s="2">
        <f>0.136794169395595*(1)</f>
        <v>0.13679416939559499</v>
      </c>
      <c r="VQ7" s="2">
        <f>-0.189883790336253*(1)</f>
        <v>-0.18988379033625299</v>
      </c>
      <c r="VR7" s="2">
        <f>0.117066496058255*(1)</f>
        <v>0.117066496058255</v>
      </c>
      <c r="VS7" s="2">
        <f>0.159511822937809*(1)</f>
        <v>0.15951182293780899</v>
      </c>
      <c r="VT7" s="2">
        <f>0.409312991901317*(1)</f>
        <v>0.40931299190131698</v>
      </c>
      <c r="VU7" s="2">
        <f>-0.299577831472059*(1)</f>
        <v>-0.29957783147205902</v>
      </c>
      <c r="VV7" s="2">
        <f>0.182937305322831*(1)</f>
        <v>0.18293730532283101</v>
      </c>
      <c r="VW7" s="2">
        <f>0.157918851911452*(1)</f>
        <v>0.157918851911452</v>
      </c>
      <c r="VX7" s="2">
        <f>0.307394206764977*(1)</f>
        <v>0.30739420676497697</v>
      </c>
      <c r="VY7" s="2">
        <f>-0.117234342008317*(1)</f>
        <v>-0.11723434200831701</v>
      </c>
      <c r="VZ7" s="2">
        <f>0.137485985854038*(1)</f>
        <v>0.13748598585403801</v>
      </c>
      <c r="WA7" s="2">
        <f>0.209468902047928*(1)</f>
        <v>0.20946890204792801</v>
      </c>
      <c r="WB7" s="2">
        <f>-0.0506944895801877*(1)</f>
        <v>-5.0694489580187699E-2</v>
      </c>
      <c r="WC7" s="2">
        <f>-0.275881068435823*(1)</f>
        <v>-0.275881068435823</v>
      </c>
      <c r="WD7" s="2">
        <f>0.258515599191952*(1)</f>
        <v>0.25851559919195199</v>
      </c>
      <c r="WE7" s="2">
        <f>0.0361227174251814*(1)</f>
        <v>3.6122717425181403E-2</v>
      </c>
      <c r="WF7" s="2">
        <f>-0.129348229588948*(1)</f>
        <v>-0.12934822958894801</v>
      </c>
      <c r="WG7" s="2">
        <f>0.152779567055278*(1)</f>
        <v>0.15277956705527801</v>
      </c>
      <c r="WH7" s="2">
        <f>0.0587930009956828*(1)</f>
        <v>5.8793000995682798E-2</v>
      </c>
      <c r="WI7" s="2">
        <f>0.0211080005959287*(1)</f>
        <v>2.1108000595928701E-2</v>
      </c>
      <c r="WJ7" s="2">
        <f>0.0752774041313464*(1)</f>
        <v>7.5277404131346398E-2</v>
      </c>
      <c r="WK7" s="2">
        <f>0.0309047298250242*(1)</f>
        <v>3.0904729825024201E-2</v>
      </c>
      <c r="WL7" s="2">
        <f>0.135585463645519*(1)</f>
        <v>0.13558546364551899</v>
      </c>
      <c r="WM7" s="2">
        <f>-0.196085037507273*(1)</f>
        <v>-0.19608503750727299</v>
      </c>
      <c r="WN7" s="2">
        <f>-0.0806861198789929*(1)</f>
        <v>-8.0686119878992907E-2</v>
      </c>
      <c r="WO7" s="2">
        <f>-0.199378593347962*(1)</f>
        <v>-0.19937859334796201</v>
      </c>
      <c r="WP7" s="2">
        <f>0.00668835349257272*(1)</f>
        <v>6.6883534925727198E-3</v>
      </c>
      <c r="WQ7" s="2">
        <f>-0.171306367396842*(1)</f>
        <v>-0.17130636739684199</v>
      </c>
      <c r="WR7" s="2">
        <f>-0.105664800452995*(1)</f>
        <v>-0.10566480045299501</v>
      </c>
      <c r="WS7" s="2">
        <f>-0.0116750158028458*(1)</f>
        <v>-1.1675015802845801E-2</v>
      </c>
      <c r="WT7" s="2">
        <f>0.0924810820010948*(1)</f>
        <v>9.2481082001094797E-2</v>
      </c>
      <c r="WU7" s="2">
        <f>0.0852566465245144*(1)</f>
        <v>8.5256646524514396E-2</v>
      </c>
      <c r="WV7" s="2">
        <f>-0.250168567853535*(1)</f>
        <v>-0.25016856785353497</v>
      </c>
      <c r="WW7" s="2">
        <f>-0.154180029748681*(1)</f>
        <v>-0.154180029748681</v>
      </c>
      <c r="WX7" s="2">
        <f>0.0383499966757823*(1)</f>
        <v>3.8349996675782302E-2</v>
      </c>
      <c r="WY7" s="2">
        <f>-0.0212362744172407*(1)</f>
        <v>-2.12362744172407E-2</v>
      </c>
      <c r="WZ7" s="2">
        <f>-0.19007977239082*(1)</f>
        <v>-0.19007977239082</v>
      </c>
      <c r="XA7" s="2">
        <f>-0.197636086028419*(1)</f>
        <v>-0.19763608602841901</v>
      </c>
      <c r="XB7" s="2">
        <f>-0.00163312450869925*(1)</f>
        <v>-1.6331245086992499E-3</v>
      </c>
      <c r="XC7" s="2">
        <f>0.21589410025559*(1)</f>
        <v>0.21589410025559</v>
      </c>
      <c r="XD7" s="2">
        <f>0.221122323862843*(1)</f>
        <v>0.221122323862843</v>
      </c>
      <c r="XE7" s="2">
        <f>0.220744278121007*(1)</f>
        <v>0.220744278121007</v>
      </c>
      <c r="XF7" s="2">
        <f>-0.222147024958962*(1)</f>
        <v>-0.22214702495896199</v>
      </c>
      <c r="XG7" s="2">
        <f>-0.307332393967319*(1)</f>
        <v>-0.30733239396731898</v>
      </c>
      <c r="XH7" s="2">
        <f>-0.144833245759854*(1)</f>
        <v>-0.14483324575985401</v>
      </c>
      <c r="XI7" s="2">
        <f>-0.419023290090241*(1)</f>
        <v>-0.41902329009024097</v>
      </c>
      <c r="XJ7" s="2">
        <f>-0.0765507851838936*(1)</f>
        <v>-7.6550785183893605E-2</v>
      </c>
      <c r="XK7" s="2">
        <f>0.140331241693462*(1)</f>
        <v>0.14033124169346201</v>
      </c>
      <c r="XL7" s="2">
        <f>-0.0888311139489909*(1)</f>
        <v>-8.8831113948990903E-2</v>
      </c>
      <c r="XM7" s="2">
        <f>-0.161373423821971*(1)</f>
        <v>-0.16137342382197101</v>
      </c>
      <c r="XN7" s="2">
        <f>0.103498400986342*(1)</f>
        <v>0.103498400986342</v>
      </c>
      <c r="XO7" s="2">
        <f>0.238757935174295*(1)</f>
        <v>0.238757935174295</v>
      </c>
      <c r="XP7" s="2">
        <f>0.275935608341602*(1)</f>
        <v>0.27593560834160202</v>
      </c>
      <c r="XQ7" s="2">
        <f>0.288017748082777*(1)</f>
        <v>0.28801774808277703</v>
      </c>
      <c r="XR7" s="2">
        <f>-0.168590420797009*(1)</f>
        <v>-0.16859042079700901</v>
      </c>
      <c r="XS7" s="2">
        <f>0.250679115796796*(1)</f>
        <v>0.25067911579679603</v>
      </c>
      <c r="XT7" s="2">
        <f>0.108291757082784*(1)</f>
        <v>0.108291757082784</v>
      </c>
      <c r="XU7" s="2">
        <f>0.237788544939544*(1)</f>
        <v>0.23778854493954399</v>
      </c>
      <c r="XV7" s="2">
        <f>-0.308506370401479*(1)</f>
        <v>-0.30850637040147899</v>
      </c>
      <c r="XW7" s="2">
        <f>-0.211197593953364*(1)</f>
        <v>-0.21119759395336399</v>
      </c>
      <c r="XX7" s="2">
        <f>0.461694016030658*(1)</f>
        <v>0.46169401603065802</v>
      </c>
      <c r="XY7" s="2">
        <f>0.307939159624568*(1)</f>
        <v>0.30793915962456803</v>
      </c>
      <c r="XZ7" s="2">
        <f>0.13927043327157*(1)</f>
        <v>0.13927043327156999</v>
      </c>
      <c r="YA7" s="2">
        <f>-0.259387321692865*(1)</f>
        <v>-0.25938732169286499</v>
      </c>
      <c r="YB7" s="2">
        <f>0.163023805721291*(1)</f>
        <v>0.16302380572129099</v>
      </c>
      <c r="YC7" s="2">
        <f>-0.183825429648514*(1)</f>
        <v>-0.183825429648514</v>
      </c>
      <c r="YD7" s="2">
        <f>0.132562441766785*(1)</f>
        <v>0.132562441766785</v>
      </c>
      <c r="YE7" s="2">
        <f>0.0338768366134676*(1)</f>
        <v>3.3876836613467597E-2</v>
      </c>
      <c r="YF7" s="2">
        <f>-0.0226922448346679*(1)</f>
        <v>-2.2692244834667901E-2</v>
      </c>
      <c r="YG7" s="2">
        <f>-0.12601252388065*(1)</f>
        <v>-0.12601252388065001</v>
      </c>
      <c r="YH7" s="2">
        <f>0.139334388992554*(1)</f>
        <v>0.13933438899255399</v>
      </c>
      <c r="YI7" s="2">
        <f>-0.01624709358397*(1)</f>
        <v>-1.6247093583970001E-2</v>
      </c>
      <c r="YJ7" s="2">
        <f>0.056282117472052*(1)</f>
        <v>5.6282117472052001E-2</v>
      </c>
      <c r="YK7" s="2">
        <f>0.0446166935341846*(1)</f>
        <v>4.4616693534184598E-2</v>
      </c>
      <c r="YL7" s="2">
        <f>-0.173239614134037*(1)</f>
        <v>-0.17323961413403699</v>
      </c>
      <c r="YM7" s="2">
        <f>-0.127949661321355*(1)</f>
        <v>-0.12794966132135499</v>
      </c>
      <c r="YN7" s="2">
        <f>0.422722658058506*(1)</f>
        <v>0.42272265805850601</v>
      </c>
      <c r="YO7" s="2">
        <f>0.111978828449446*(1)</f>
        <v>0.111978828449446</v>
      </c>
      <c r="YP7" s="2">
        <f>-0.20095897530531*(1)</f>
        <v>-0.20095897530531001</v>
      </c>
      <c r="YQ7" s="2">
        <f>0.357454192224942*(1)</f>
        <v>0.35745419222494201</v>
      </c>
      <c r="YR7" s="2">
        <f>0.244259539027052*(1)</f>
        <v>0.244259539027052</v>
      </c>
      <c r="YS7" s="2">
        <f>-0.128355560190305*(1)</f>
        <v>-0.128355560190305</v>
      </c>
      <c r="YT7" s="2">
        <f>0.00554021439851449*(1)</f>
        <v>5.5402143985144904E-3</v>
      </c>
      <c r="YU7" s="2">
        <f>-0.028875399965323*(1)</f>
        <v>-2.8875399965323002E-2</v>
      </c>
      <c r="YV7" s="2">
        <f>0.216740456673715*(1)</f>
        <v>0.216740456673715</v>
      </c>
      <c r="YW7" s="2">
        <f>-0.0917199840354123*(1)</f>
        <v>-9.1719984035412302E-2</v>
      </c>
      <c r="YX7" s="2">
        <f>-0.271661494602432*(1)</f>
        <v>-0.271661494602432</v>
      </c>
      <c r="YY7" s="2">
        <f>0.0489617451061534*(1)</f>
        <v>4.89617451061534E-2</v>
      </c>
      <c r="YZ7" s="2">
        <f>-0.0194319078557948*(1)</f>
        <v>-1.9431907855794801E-2</v>
      </c>
      <c r="ZA7" s="2">
        <f>0.156161202348426*(1)</f>
        <v>0.15616120234842601</v>
      </c>
      <c r="ZB7" s="2">
        <f>0.00739764202555964*(1)</f>
        <v>7.3976420255596398E-3</v>
      </c>
      <c r="ZC7" s="2">
        <f>0.40912521370413*(1)</f>
        <v>0.40912521370413002</v>
      </c>
      <c r="ZD7" s="2">
        <f>-0.0916125835053385*(1)</f>
        <v>-9.1612583505338505E-2</v>
      </c>
      <c r="ZE7" s="2">
        <f>0.232726805809999*(1)</f>
        <v>0.23272680580999899</v>
      </c>
      <c r="ZF7" s="2">
        <f>0.222742538066651*(1)</f>
        <v>0.22274253806665101</v>
      </c>
      <c r="ZG7" s="2">
        <f>-0.16938569177864*(1)</f>
        <v>-0.16938569177863999</v>
      </c>
      <c r="ZH7" s="2">
        <f>0.250173339069801*(1)</f>
        <v>0.25017333906980099</v>
      </c>
      <c r="ZI7" s="2">
        <f>-0.152612384228133*(1)</f>
        <v>-0.152612384228133</v>
      </c>
      <c r="ZJ7" s="2">
        <f>0.365473624079931*(1)</f>
        <v>0.365473624079931</v>
      </c>
      <c r="ZK7" s="2">
        <f>-0.162019485525377*(1)</f>
        <v>-0.16201948552537701</v>
      </c>
      <c r="ZL7" s="2">
        <f>0.0416694712948626*(1)</f>
        <v>4.1669471294862599E-2</v>
      </c>
      <c r="ZM7" s="2">
        <f>-0.394327137375419*(1)</f>
        <v>-0.39432713737541902</v>
      </c>
      <c r="ZN7" s="2">
        <f>0.163056471462083*(1)</f>
        <v>0.16305647146208299</v>
      </c>
      <c r="ZO7" s="2">
        <f>0.0708633365983834*(1)</f>
        <v>7.0863336598383397E-2</v>
      </c>
      <c r="ZP7" s="2">
        <f>-0.0273988591253438*(1)</f>
        <v>-2.7398859125343799E-2</v>
      </c>
      <c r="ZQ7" s="2">
        <f>-0.312720445848385*(1)</f>
        <v>-0.31272044584838499</v>
      </c>
      <c r="ZR7" s="2">
        <f>0.249874977706945*(1)</f>
        <v>0.249874977706945</v>
      </c>
      <c r="ZS7" s="2">
        <f>-0.120876818751671*(1)</f>
        <v>-0.120876818751671</v>
      </c>
      <c r="ZT7" s="2">
        <f>0.220314661140596*(1)</f>
        <v>0.220314661140596</v>
      </c>
      <c r="ZU7" s="2">
        <f>-0.244542461070108*(1)</f>
        <v>-0.24454246107010799</v>
      </c>
      <c r="ZV7" s="2">
        <f>0.146535310542974*(1)</f>
        <v>0.146535310542974</v>
      </c>
      <c r="ZW7" s="2">
        <f>0.193604755596776*(1)</f>
        <v>0.19360475559677601</v>
      </c>
      <c r="ZX7" s="2">
        <f>0.327299313416256*(1)</f>
        <v>0.32729931341625601</v>
      </c>
      <c r="ZY7" s="2">
        <f>0.0644176772266166*(1)</f>
        <v>6.4417677226616593E-2</v>
      </c>
      <c r="ZZ7" s="2">
        <f>-0.161807259469639*(1)</f>
        <v>-0.161807259469639</v>
      </c>
      <c r="AAA7" s="2">
        <f>0.0157952472754534*(1)</f>
        <v>1.5795247275453402E-2</v>
      </c>
      <c r="AAB7" s="2">
        <f>0.0000676880080608189*(1)</f>
        <v>6.7688008060818905E-5</v>
      </c>
      <c r="AAC7" s="2">
        <f>-0.0376168040555711*(1)</f>
        <v>-3.76168040555711E-2</v>
      </c>
      <c r="AAD7" s="2">
        <f>-0.172441536911152*(1)</f>
        <v>-0.17244153691115199</v>
      </c>
      <c r="AAE7" s="2">
        <f>0.0502790310245965*(1)</f>
        <v>5.02790310245965E-2</v>
      </c>
      <c r="AAF7" s="2">
        <f>-0.05389768297512*(1)</f>
        <v>-5.3897682975120001E-2</v>
      </c>
      <c r="AAG7" s="2">
        <f>-0.0655771402707344*(1)</f>
        <v>-6.5577140270734399E-2</v>
      </c>
      <c r="AAH7" s="2">
        <f>0.293213528781777*(1)</f>
        <v>0.29321352878177698</v>
      </c>
      <c r="AAI7" s="2">
        <f>0.152880520024269*(1)</f>
        <v>0.152880520024269</v>
      </c>
      <c r="AAJ7" s="2">
        <f>0.037058629925898*(1)</f>
        <v>3.7058629925898E-2</v>
      </c>
      <c r="AAK7" s="2">
        <f>0.0622850947518184*(1)</f>
        <v>6.2285094751818398E-2</v>
      </c>
      <c r="AAL7" s="2">
        <f>-0.19807360933061*(1)</f>
        <v>-0.19807360933061</v>
      </c>
      <c r="AAM7" s="2">
        <f>0.0232255152490792*(1)</f>
        <v>2.32255152490792E-2</v>
      </c>
      <c r="AAN7" s="2">
        <f>-0.204584116062753*(1)</f>
        <v>-0.20458411606275301</v>
      </c>
      <c r="AAO7" s="2">
        <f>0.0243918560523998*(1)</f>
        <v>2.43918560523998E-2</v>
      </c>
      <c r="AAP7" s="2">
        <f>0.00149502229055336*(1)</f>
        <v>1.4950222905533599E-3</v>
      </c>
      <c r="AAQ7" s="2">
        <f>-0.0363785196597483*(1)</f>
        <v>-3.6378519659748303E-2</v>
      </c>
      <c r="AAR7" s="2">
        <f>-0.014549882825776*(1)</f>
        <v>-1.4549882825776E-2</v>
      </c>
      <c r="AAS7" s="2">
        <f>0.107257524045531*(1)</f>
        <v>0.107257524045531</v>
      </c>
      <c r="AAT7" s="2">
        <f>-0.0875155380908997*(1)</f>
        <v>-8.7515538090899694E-2</v>
      </c>
      <c r="AAU7" s="2">
        <f>-0.0685021003503721*(1)</f>
        <v>-6.8502100350372103E-2</v>
      </c>
      <c r="AAV7" s="2">
        <f>-0.0094656815902008*(1)</f>
        <v>-9.4656815902007998E-3</v>
      </c>
      <c r="AAW7" s="2">
        <f>0.0120479485654921*(1)</f>
        <v>1.20479485654921E-2</v>
      </c>
      <c r="AAX7" s="2">
        <f>0.21404216600287*(1)</f>
        <v>0.21404216600286999</v>
      </c>
      <c r="AAY7" s="2">
        <f>0.0838129618101693*(1)</f>
        <v>8.3812961810169298E-2</v>
      </c>
      <c r="AAZ7" s="2">
        <f>0.0972194823672354*(1)</f>
        <v>9.7219482367235405E-2</v>
      </c>
      <c r="ABA7" s="2">
        <f>0.0282399408303882*(1)</f>
        <v>2.8239940830388201E-2</v>
      </c>
      <c r="ABB7" s="2">
        <f>0.0581420723950695*(1)</f>
        <v>5.8142072395069501E-2</v>
      </c>
      <c r="ABC7" s="2">
        <f>0.0799918444904116*(1)</f>
        <v>7.9991844490411607E-2</v>
      </c>
      <c r="ABD7" s="2">
        <f>-0.0112747471751199*(1)</f>
        <v>-1.1274747175119899E-2</v>
      </c>
      <c r="ABE7" s="2">
        <f>0.122023988348717*(1)</f>
        <v>0.122023988348717</v>
      </c>
      <c r="ABF7" s="2">
        <f>-0.0120871567127048*(1)</f>
        <v>-1.20871567127048E-2</v>
      </c>
      <c r="ABG7" s="2">
        <f>0.2471615192379*(1)</f>
        <v>0.2471615192379</v>
      </c>
      <c r="ABH7" s="2">
        <f>-0.346783503358966*(1)</f>
        <v>-0.34678350335896602</v>
      </c>
      <c r="ABI7" s="2">
        <f>0.204445499166609*(1)</f>
        <v>0.20444549916660901</v>
      </c>
      <c r="ABJ7" s="2">
        <f>0.278399834396881*(1)</f>
        <v>0.27839983439688099</v>
      </c>
      <c r="ABK7" s="2">
        <f>0.150209991224524*(1)</f>
        <v>0.150209991224524</v>
      </c>
      <c r="ABL7" s="2">
        <f>-0.105218956018037*(1)</f>
        <v>-0.105218956018037</v>
      </c>
      <c r="ABM7" s="2">
        <f>-0.188733222371791*(1)</f>
        <v>-0.18873322237179099</v>
      </c>
      <c r="ABN7" s="2">
        <f>-0.0897654799954209*(1)</f>
        <v>-8.9765479995420894E-2</v>
      </c>
      <c r="ABO7" s="2">
        <f>0.202060890112854*(1)</f>
        <v>0.202060890112854</v>
      </c>
      <c r="ABP7" s="2">
        <f>0.218037400924033*(1)</f>
        <v>0.21803740092403301</v>
      </c>
      <c r="ABQ7" s="2">
        <f>-0.120537016633733*(1)</f>
        <v>-0.12053701663373299</v>
      </c>
      <c r="ABR7" s="2">
        <f>-0.148548661042372*(1)</f>
        <v>-0.14854866104237199</v>
      </c>
      <c r="ABS7" s="2">
        <f>-0.0450221480515238*(1)</f>
        <v>-4.5022148051523797E-2</v>
      </c>
      <c r="ABT7" s="2">
        <f>-0.0422258431506857*(1)</f>
        <v>-4.2225843150685699E-2</v>
      </c>
      <c r="ABU7" s="2">
        <f>-0.230959407559316*(1)</f>
        <v>-0.23095940755931599</v>
      </c>
      <c r="ABV7" s="2">
        <f>-0.165963117596009*(1)</f>
        <v>-0.16596311759600901</v>
      </c>
      <c r="ABW7" s="2">
        <f>0.0456168682120138*(1)</f>
        <v>4.56168682120138E-2</v>
      </c>
      <c r="ABX7" s="2">
        <f>-0.234856282816822*(1)</f>
        <v>-0.234856282816822</v>
      </c>
      <c r="ABY7" s="2">
        <f>0.0889937314154293*(1)</f>
        <v>8.8993731415429295E-2</v>
      </c>
      <c r="ABZ7" s="2">
        <f>-0.238331078050941*(1)</f>
        <v>-0.238331078050941</v>
      </c>
      <c r="ACA7" s="2">
        <f>0.146714003671178*(1)</f>
        <v>0.14671400367117801</v>
      </c>
      <c r="ACB7" s="2">
        <f>-0.0509491473597071*(1)</f>
        <v>-5.0949147359707098E-2</v>
      </c>
      <c r="ACC7" s="2">
        <f>-0.0101077659101929*(1)</f>
        <v>-1.01077659101929E-2</v>
      </c>
      <c r="ACD7" s="2">
        <f>-0.12816608092265*(1)</f>
        <v>-0.12816608092265</v>
      </c>
      <c r="ACE7" s="2">
        <f>0.106601056375535*(1)</f>
        <v>0.10660105637553501</v>
      </c>
      <c r="ACF7" s="2">
        <f>0.0346947191705615*(1)</f>
        <v>3.4694719170561501E-2</v>
      </c>
      <c r="ACG7" s="2">
        <f>0.1468181077222*(1)</f>
        <v>0.1468181077222</v>
      </c>
      <c r="ACH7" s="2">
        <f>0.153430229748287*(1)</f>
        <v>0.15343022974828699</v>
      </c>
      <c r="ACI7" s="2">
        <f>0.150685483688493*(1)</f>
        <v>0.15068548368849299</v>
      </c>
      <c r="ACJ7" s="2">
        <f>0.102552765463239*(1)</f>
        <v>0.10255276546323901</v>
      </c>
      <c r="ACK7" s="2">
        <f>0.16605153657895*(1)</f>
        <v>0.16605153657895</v>
      </c>
      <c r="ACL7" s="2">
        <f>0.147490651493733*(1)</f>
        <v>0.147490651493733</v>
      </c>
      <c r="ACM7" s="2">
        <f>-0.0783194505845823*(1)</f>
        <v>-7.8319450584582298E-2</v>
      </c>
      <c r="ACN7" s="2">
        <f>-0.0423773953210283*(1)</f>
        <v>-4.2377395321028299E-2</v>
      </c>
      <c r="ACO7" s="2">
        <f>0.0285135544903545*(1)</f>
        <v>2.85135544903545E-2</v>
      </c>
      <c r="ACP7" s="2">
        <f>0.424813317060668*(1)</f>
        <v>0.42481331706066799</v>
      </c>
      <c r="ACQ7" s="2">
        <f>-0.00155876711187216*(1)</f>
        <v>-1.5587671118721599E-3</v>
      </c>
      <c r="ACR7" s="2">
        <f>0.236189858196126*(1)</f>
        <v>0.23618985819612601</v>
      </c>
      <c r="ACS7" s="2">
        <f>0.0806116287463969*(1)</f>
        <v>8.0611628746396893E-2</v>
      </c>
      <c r="ACT7" s="2">
        <f>-0.0415483928157737*(1)</f>
        <v>-4.1548392815773702E-2</v>
      </c>
      <c r="ACU7" s="2">
        <f>-0.0455619753541039*(1)</f>
        <v>-4.5561975354103897E-2</v>
      </c>
      <c r="ACV7" s="2">
        <f>0.114163186139317*(1)</f>
        <v>0.114163186139317</v>
      </c>
    </row>
    <row r="8" spans="1:776" x14ac:dyDescent="0.2">
      <c r="A8" s="1" t="s">
        <v>70650</v>
      </c>
      <c r="B8" s="2">
        <f>0.0560328980145964*(1)</f>
        <v>5.6032898014596398E-2</v>
      </c>
      <c r="C8" s="2">
        <f>0.0367919925630432*(1)</f>
        <v>3.6791992563043198E-2</v>
      </c>
      <c r="D8" s="2">
        <f>-0.189860307793667*(1)</f>
        <v>-0.189860307793667</v>
      </c>
      <c r="E8" s="2">
        <f>-0.116320326491938*(1)</f>
        <v>-0.11632032649193801</v>
      </c>
      <c r="F8" s="2">
        <f>-0.315799989203457*(1)</f>
        <v>-0.31579998920345698</v>
      </c>
      <c r="G8" s="2">
        <f>0.336607177979013*(1)</f>
        <v>0.33660717797901302</v>
      </c>
      <c r="H8" s="2">
        <f>-0.300113954458096*(1)</f>
        <v>-0.30011395445809602</v>
      </c>
      <c r="I8" s="2">
        <f>0.0782900109420646*(1)</f>
        <v>7.82900109420646E-2</v>
      </c>
      <c r="J8" s="2">
        <f>-0.204969353532043*(1)</f>
        <v>-0.20496935353204301</v>
      </c>
      <c r="K8" s="2">
        <f>0.0469905556743575*(1)</f>
        <v>4.6990555674357497E-2</v>
      </c>
      <c r="L8" s="2">
        <f>0.201516629521295*(1)</f>
        <v>0.20151662952129501</v>
      </c>
      <c r="M8" s="2">
        <f>0.158015377111621*(1)</f>
        <v>0.158015377111621</v>
      </c>
      <c r="N8" s="2">
        <f>0.00308679652892051*(1)</f>
        <v>3.08679652892051E-3</v>
      </c>
      <c r="O8" s="2">
        <f>-0.197253918855447*(1)</f>
        <v>-0.19725391885544699</v>
      </c>
      <c r="P8" s="2">
        <f>-0.0245462853105369*(1)</f>
        <v>-2.4546285310536899E-2</v>
      </c>
      <c r="Q8" s="2">
        <f>0.136964523113681*(1)</f>
        <v>0.13696452311368101</v>
      </c>
      <c r="R8" s="2">
        <f>-0.113284690986069*(1)</f>
        <v>-0.113284690986069</v>
      </c>
      <c r="S8" s="2">
        <f>-0.227790535972476*(1)</f>
        <v>-0.227790535972476</v>
      </c>
      <c r="T8" s="2">
        <f>0.0338283604326787*(1)</f>
        <v>3.38283604326787E-2</v>
      </c>
      <c r="U8" s="2">
        <f>-0.0937890621750781*(1)</f>
        <v>-9.3789062175078097E-2</v>
      </c>
      <c r="V8" s="2">
        <f>-0.0908577290507656*(1)</f>
        <v>-9.0857729050765598E-2</v>
      </c>
      <c r="W8" s="2">
        <f>0.465668035006138*(1)</f>
        <v>0.46566803500613801</v>
      </c>
      <c r="X8" s="2">
        <f>0.128947173935971*(1)</f>
        <v>0.12894717393597099</v>
      </c>
      <c r="Y8" s="2">
        <f>0.166489916681866*(1)</f>
        <v>0.166489916681866</v>
      </c>
      <c r="Z8" s="2">
        <f>0.414753306436293*(1)</f>
        <v>0.41475330643629299</v>
      </c>
      <c r="AA8" s="2">
        <f>0.0947443709680197*(1)</f>
        <v>9.47443709680197E-2</v>
      </c>
      <c r="AB8" s="2">
        <f>-0.0917952083594881*(1)</f>
        <v>-9.1795208359488095E-2</v>
      </c>
      <c r="AC8" s="2">
        <f>0.29904778826325*(1)</f>
        <v>0.29904778826325001</v>
      </c>
      <c r="AD8" s="2">
        <f>0.129345331324069*(1)</f>
        <v>0.129345331324069</v>
      </c>
      <c r="AE8" s="2">
        <f>-0.197518022799647*(1)</f>
        <v>-0.197518022799647</v>
      </c>
      <c r="AF8" s="2">
        <f>-0.104070852588334*(1)</f>
        <v>-0.104070852588334</v>
      </c>
      <c r="AG8" s="2">
        <f>0.140562171065915*(1)</f>
        <v>0.14056217106591501</v>
      </c>
      <c r="AH8" s="2">
        <f>-0.35378161605477*(1)</f>
        <v>-0.35378161605476999</v>
      </c>
      <c r="AI8" s="2">
        <f>0.0256235469038573*(1)</f>
        <v>2.5623546903857299E-2</v>
      </c>
      <c r="AJ8" s="2">
        <f>-0.0388487521838224*(1)</f>
        <v>-3.8848752183822402E-2</v>
      </c>
      <c r="AK8" s="2">
        <f>0.179156823445799*(1)</f>
        <v>0.179156823445799</v>
      </c>
      <c r="AL8" s="2">
        <f>0.0593755868433279*(1)</f>
        <v>5.9375586843327902E-2</v>
      </c>
      <c r="AM8" s="2">
        <f>-0.257109506244708*(1)</f>
        <v>-0.25710950624470802</v>
      </c>
      <c r="AN8" s="2">
        <f>-0.074069052973223*(1)</f>
        <v>-7.4069052973222999E-2</v>
      </c>
      <c r="AO8" s="2">
        <f>-0.0176866082775554*(1)</f>
        <v>-1.7686608277555398E-2</v>
      </c>
      <c r="AP8" s="2">
        <f>0.0242279413188587*(1)</f>
        <v>2.4227941318858699E-2</v>
      </c>
      <c r="AQ8" s="2">
        <f>0.0692776701287893*(1)</f>
        <v>6.9277670128789298E-2</v>
      </c>
      <c r="AR8" s="2">
        <f>-0.12577732997243*(1)</f>
        <v>-0.12577732997242999</v>
      </c>
      <c r="AS8" s="2">
        <f>0.203812649974617*(1)</f>
        <v>0.20381264997461701</v>
      </c>
      <c r="AT8" s="2">
        <f>-0.315013676576464*(1)</f>
        <v>-0.31501367657646401</v>
      </c>
      <c r="AU8" s="2">
        <f>0.290597550496389*(1)</f>
        <v>0.29059755049638902</v>
      </c>
      <c r="AV8" s="2">
        <f>0.0921778354343373*(1)</f>
        <v>9.2177835434337302E-2</v>
      </c>
      <c r="AW8" s="2">
        <f>-0.0206085214567867*(1)</f>
        <v>-2.06085214567867E-2</v>
      </c>
      <c r="AX8" s="2">
        <f>0.330866157430502*(1)</f>
        <v>0.33086615743050202</v>
      </c>
      <c r="AY8" s="2">
        <f>0.0068813751490848*(1)</f>
        <v>6.8813751490848004E-3</v>
      </c>
      <c r="AZ8" s="2">
        <f>-0.130692080221358*(1)</f>
        <v>-0.130692080221358</v>
      </c>
      <c r="BA8" s="2">
        <f>-0.0175484988945794*(1)</f>
        <v>-1.7548498894579399E-2</v>
      </c>
      <c r="BB8" s="2">
        <f>-0.0765843704080005*(1)</f>
        <v>-7.6584370408000493E-2</v>
      </c>
      <c r="BC8" s="2">
        <f>-0.475964046803245*(1)</f>
        <v>-0.475964046803245</v>
      </c>
      <c r="BD8" s="2">
        <f>-0.0181551112166392*(1)</f>
        <v>-1.8155111216639201E-2</v>
      </c>
      <c r="BE8" s="2">
        <f>-0.24819809179381*(1)</f>
        <v>-0.24819809179381</v>
      </c>
      <c r="BF8" s="2">
        <f>0.142967594794848*(1)</f>
        <v>0.142967594794848</v>
      </c>
      <c r="BG8" s="2">
        <f>0.116371555773717*(1)</f>
        <v>0.11637155577371699</v>
      </c>
      <c r="BH8" s="2">
        <f>-0.159612040309823*(1)</f>
        <v>-0.15961204030982301</v>
      </c>
      <c r="BI8" s="2">
        <f>0.0375967147720292*(1)</f>
        <v>3.7596714772029201E-2</v>
      </c>
      <c r="BJ8" s="2">
        <f>-0.145809450244048*(1)</f>
        <v>-0.14580945024404801</v>
      </c>
      <c r="BK8" s="2">
        <f>-0.259159161588405*(1)</f>
        <v>-0.25915916158840502</v>
      </c>
      <c r="BL8" s="2">
        <f>0.287608913069304*(1)</f>
        <v>0.28760891306930397</v>
      </c>
      <c r="BM8" s="2">
        <f>0.227717872022775*(1)</f>
        <v>0.22771787202277499</v>
      </c>
      <c r="BN8" s="2">
        <f>-0.34241118877902*(1)</f>
        <v>-0.34241118877901999</v>
      </c>
      <c r="BO8" s="2">
        <f>0.0257744760241935*(1)</f>
        <v>2.5774476024193499E-2</v>
      </c>
      <c r="BP8" s="2">
        <f>-0.0581445409917952*(1)</f>
        <v>-5.8144540991795203E-2</v>
      </c>
      <c r="BQ8" s="2">
        <f>-0.115443370463425*(1)</f>
        <v>-0.115443370463425</v>
      </c>
      <c r="BR8" s="2">
        <f>0.182774994225146*(1)</f>
        <v>0.18277499422514601</v>
      </c>
      <c r="BS8" s="2">
        <f>-0.112003840956909*(1)</f>
        <v>-0.112003840956909</v>
      </c>
      <c r="BT8" s="2">
        <f>0.00220657131615635*(1)</f>
        <v>2.2065713161563499E-3</v>
      </c>
      <c r="BU8" s="2">
        <f>0.157372897522697*(1)</f>
        <v>0.15737289752269701</v>
      </c>
      <c r="BV8" s="2">
        <f>-0.0713317493896005*(1)</f>
        <v>-7.1331749389600504E-2</v>
      </c>
      <c r="BW8" s="2">
        <f>-0.0310372701855779*(1)</f>
        <v>-3.1037270185577899E-2</v>
      </c>
      <c r="BX8" s="2">
        <f>0.154463140543635*(1)</f>
        <v>0.154463140543635</v>
      </c>
      <c r="BY8" s="2">
        <f>0.219765412389355*(1)</f>
        <v>0.21976541238935501</v>
      </c>
      <c r="BZ8" s="2">
        <f>-0.0813772592820481*(1)</f>
        <v>-8.1377259282048101E-2</v>
      </c>
      <c r="CA8" s="2">
        <f>0.340014525428408*(1)</f>
        <v>0.34001452542840799</v>
      </c>
      <c r="CB8" s="2">
        <f>0.111923675335821*(1)</f>
        <v>0.111923675335821</v>
      </c>
      <c r="CC8" s="2">
        <f>-0.0474480572349559*(1)</f>
        <v>-4.7448057234955897E-2</v>
      </c>
      <c r="CD8" s="2">
        <f>-0.1150914913138*(1)</f>
        <v>-0.1150914913138</v>
      </c>
      <c r="CE8" s="2">
        <f>0.000354875177780243*(1)</f>
        <v>3.5487517778024299E-4</v>
      </c>
      <c r="CF8" s="2">
        <f>0.15068443875156*(1)</f>
        <v>0.15068443875156001</v>
      </c>
      <c r="CG8" s="2">
        <f>0.321824771571569*(1)</f>
        <v>0.32182477157156902</v>
      </c>
      <c r="CH8" s="2">
        <f>-0.180149215728481*(1)</f>
        <v>-0.180149215728481</v>
      </c>
      <c r="CI8" s="2">
        <f>0.0410536562788662*(1)</f>
        <v>4.1053656278866202E-2</v>
      </c>
      <c r="CJ8" s="2">
        <f>-0.353533545813262*(1)</f>
        <v>-0.35353354581326202</v>
      </c>
      <c r="CK8" s="2">
        <f>-0.00597566936851449*(1)</f>
        <v>-5.97566936851449E-3</v>
      </c>
      <c r="CL8" s="2">
        <f>0.0295925803017357*(1)</f>
        <v>2.9592580301735699E-2</v>
      </c>
      <c r="CM8" s="2">
        <f>0.00676636235162025*(1)</f>
        <v>6.76636235162025E-3</v>
      </c>
      <c r="CN8" s="2">
        <f>0.17331589352537*(1)</f>
        <v>0.17331589352537</v>
      </c>
      <c r="CO8" s="2">
        <f>-0.108079787580312*(1)</f>
        <v>-0.108079787580312</v>
      </c>
      <c r="CP8" s="2">
        <f>-0.14924888696162*(1)</f>
        <v>-0.14924888696162</v>
      </c>
      <c r="CQ8" s="2">
        <f>-0.135631947344153*(1)</f>
        <v>-0.13563194734415299</v>
      </c>
      <c r="CR8" s="2">
        <f>-0.206512873021667*(1)</f>
        <v>-0.20651287302166699</v>
      </c>
      <c r="CS8" s="2">
        <f>-0.072125956912021*(1)</f>
        <v>-7.2125956912021005E-2</v>
      </c>
      <c r="CT8" s="2">
        <f>0.175631567578035*(1)</f>
        <v>0.175631567578035</v>
      </c>
      <c r="CU8" s="2">
        <f>0.1939498373014*(1)</f>
        <v>0.1939498373014</v>
      </c>
      <c r="CV8" s="2">
        <f>0.073141171753484*(1)</f>
        <v>7.3141171753484002E-2</v>
      </c>
      <c r="CW8" s="2">
        <f>-0.0274552972528884*(1)</f>
        <v>-2.7455297252888401E-2</v>
      </c>
      <c r="CX8" s="2">
        <f>-0.0762685573596431*(1)</f>
        <v>-7.6268557359643094E-2</v>
      </c>
      <c r="CY8" s="2">
        <f>0.0481067009916003*(1)</f>
        <v>4.8106700991600297E-2</v>
      </c>
      <c r="CZ8" s="2">
        <f>-0.261689820736965*(1)</f>
        <v>-0.26168982073696501</v>
      </c>
      <c r="DA8" s="2">
        <f>0.106774130953314*(1)</f>
        <v>0.10677413095331401</v>
      </c>
      <c r="DB8" s="2">
        <f>-0.509230410495847*(1)</f>
        <v>-0.50923041049584705</v>
      </c>
      <c r="DC8" s="2">
        <f>-0.104845392918326*(1)</f>
        <v>-0.10484539291832599</v>
      </c>
      <c r="DD8" s="2">
        <f>0.249238357844972*(1)</f>
        <v>0.249238357844972</v>
      </c>
      <c r="DE8" s="2">
        <f>0.043489698884746*(1)</f>
        <v>4.3489698884745999E-2</v>
      </c>
      <c r="DF8" s="2">
        <f>-0.130258803103655*(1)</f>
        <v>-0.13025880310365501</v>
      </c>
      <c r="DG8" s="2">
        <f>-0.0687263922225797*(1)</f>
        <v>-6.8726392222579702E-2</v>
      </c>
      <c r="DH8" s="2">
        <f>0.189013455617094*(1)</f>
        <v>0.18901345561709401</v>
      </c>
      <c r="DI8" s="2">
        <f>0.307973837182392*(1)</f>
        <v>0.30797383718239202</v>
      </c>
      <c r="DJ8" s="2">
        <f>-0.244994473625531*(1)</f>
        <v>-0.24499447362553101</v>
      </c>
      <c r="DK8" s="2">
        <f>-0.0842648295614387*(1)</f>
        <v>-8.4264829561438701E-2</v>
      </c>
      <c r="DL8" s="2">
        <f>0.0474501243810294*(1)</f>
        <v>4.7450124381029399E-2</v>
      </c>
      <c r="DM8" s="2">
        <f>0.18833033425333*(1)</f>
        <v>0.18833033425333001</v>
      </c>
      <c r="DN8" s="2">
        <f>0.298735964616099*(1)</f>
        <v>0.29873596461609903</v>
      </c>
      <c r="DO8" s="2">
        <f>-0.0732656686255153*(1)</f>
        <v>-7.3265668625515298E-2</v>
      </c>
      <c r="DP8" s="2">
        <f>0.0605761600076165*(1)</f>
        <v>6.0576160007616502E-2</v>
      </c>
      <c r="DQ8" s="2">
        <f>-0.237995943370545*(1)</f>
        <v>-0.237995943370545</v>
      </c>
      <c r="DR8" s="2">
        <f>-0.179780036927292*(1)</f>
        <v>-0.179780036927292</v>
      </c>
      <c r="DS8" s="2">
        <f>-0.0104202349922149*(1)</f>
        <v>-1.0420234992214899E-2</v>
      </c>
      <c r="DT8" s="2">
        <f>0.0194336584413082*(1)</f>
        <v>1.9433658441308201E-2</v>
      </c>
      <c r="DU8" s="2">
        <f>0.15870956117205*(1)</f>
        <v>0.15870956117205001</v>
      </c>
      <c r="DV8" s="2">
        <f>-0.137423277808234*(1)</f>
        <v>-0.13742327780823399</v>
      </c>
      <c r="DW8" s="2">
        <f>0.0938884964796131*(1)</f>
        <v>9.3888496479613101E-2</v>
      </c>
      <c r="DX8" s="2">
        <f>-0.12272139836732*(1)</f>
        <v>-0.12272139836732</v>
      </c>
      <c r="DY8" s="2">
        <f>0.396090925756613*(1)</f>
        <v>0.39609092575661298</v>
      </c>
      <c r="DZ8" s="2">
        <f>-0.000230836210400706*(1)</f>
        <v>-2.30836210400706E-4</v>
      </c>
      <c r="EA8" s="2">
        <f>-0.106553515224681*(1)</f>
        <v>-0.106553515224681</v>
      </c>
      <c r="EB8" s="2">
        <f>-0.0220699037455476*(1)</f>
        <v>-2.2069903745547601E-2</v>
      </c>
      <c r="EC8" s="2">
        <f>0.371254442277271*(1)</f>
        <v>0.371254442277271</v>
      </c>
      <c r="ED8" s="2">
        <f>-0.196034739882301*(1)</f>
        <v>-0.196034739882301</v>
      </c>
      <c r="EE8" s="2">
        <f>0.297634929259792*(1)</f>
        <v>0.29763492925979201</v>
      </c>
      <c r="EF8" s="2">
        <f>0.0878961292868514*(1)</f>
        <v>8.7896129286851393E-2</v>
      </c>
      <c r="EG8" s="2">
        <f>-0.031937796015308*(1)</f>
        <v>-3.1937796015308002E-2</v>
      </c>
      <c r="EH8" s="2">
        <f>-0.0487801390110933*(1)</f>
        <v>-4.87801390110933E-2</v>
      </c>
      <c r="EI8" s="2">
        <f>-0.0917797948118089*(1)</f>
        <v>-9.1779794811808896E-2</v>
      </c>
      <c r="EJ8" s="2">
        <f>-0.0790177923986983*(1)</f>
        <v>-7.90177923986983E-2</v>
      </c>
      <c r="EK8" s="2">
        <f>-0.076863609666011*(1)</f>
        <v>-7.6863609666010996E-2</v>
      </c>
      <c r="EL8" s="2">
        <f>-0.259905795513034*(1)</f>
        <v>-0.259905795513034</v>
      </c>
      <c r="EM8" s="2">
        <f>0.193079669024509*(1)</f>
        <v>0.19307966902450899</v>
      </c>
      <c r="EN8" s="2">
        <f>0.294315554428572*(1)</f>
        <v>0.29431555442857199</v>
      </c>
      <c r="EO8" s="2">
        <f>-0.0798479709015649*(1)</f>
        <v>-7.9847970901564896E-2</v>
      </c>
      <c r="EP8" s="2">
        <f>0.0257407559405654*(1)</f>
        <v>2.57407559405654E-2</v>
      </c>
      <c r="EQ8" s="2">
        <f>-0.172627706503798*(1)</f>
        <v>-0.172627706503798</v>
      </c>
      <c r="ER8" s="2">
        <f>0.0921172962334316*(1)</f>
        <v>9.2117296233431595E-2</v>
      </c>
      <c r="ES8" s="2">
        <f>0.0490558062761758*(1)</f>
        <v>4.9055806276175798E-2</v>
      </c>
      <c r="ET8" s="2">
        <f>0.0846038178060737*(1)</f>
        <v>8.4603817806073706E-2</v>
      </c>
      <c r="EU8" s="2">
        <f>-0.255254578077103*(1)</f>
        <v>-0.255254578077103</v>
      </c>
      <c r="EV8" s="2">
        <f>-0.120713996925432*(1)</f>
        <v>-0.120713996925432</v>
      </c>
      <c r="EW8" s="2">
        <f>0.0311295413873489*(1)</f>
        <v>3.11295413873489E-2</v>
      </c>
      <c r="EX8" s="2">
        <f>-0.00357669301943241*(1)</f>
        <v>-3.5766930194324098E-3</v>
      </c>
      <c r="EY8" s="2">
        <f>-0.194488109051097*(1)</f>
        <v>-0.19448810905109701</v>
      </c>
      <c r="EZ8" s="2">
        <f>0.323854466661425*(1)</f>
        <v>0.32385446666142498</v>
      </c>
      <c r="FA8" s="2">
        <f>-0.16018699502794*(1)</f>
        <v>-0.16018699502794001</v>
      </c>
      <c r="FB8" s="2">
        <f>0.0952069324035284*(1)</f>
        <v>9.5206932403528399E-2</v>
      </c>
      <c r="FC8" s="2">
        <f>0.179757409859683*(1)</f>
        <v>0.179757409859683</v>
      </c>
      <c r="FD8" s="2">
        <f>0.17250181264534*(1)</f>
        <v>0.17250181264534001</v>
      </c>
      <c r="FE8" s="2">
        <f>-0.0341089282397111*(1)</f>
        <v>-3.4108928239711102E-2</v>
      </c>
      <c r="FF8" s="2">
        <f>0.310990851774471*(1)</f>
        <v>0.310990851774471</v>
      </c>
      <c r="FG8" s="2">
        <f>-0.0471194555171381*(1)</f>
        <v>-4.7119455517138101E-2</v>
      </c>
      <c r="FH8" s="2">
        <f>0.161318651139863*(1)</f>
        <v>0.16131865113986299</v>
      </c>
      <c r="FI8" s="2">
        <f>0.143579881906597*(1)</f>
        <v>0.14357988190659701</v>
      </c>
      <c r="FJ8" s="2">
        <f>-0.15780144913401*(1)</f>
        <v>-0.15780144913401001</v>
      </c>
      <c r="FK8" s="2">
        <f>-0.162653551961866*(1)</f>
        <v>-0.16265355196186601</v>
      </c>
      <c r="FL8" s="2">
        <f>0.0536196999132758*(1)</f>
        <v>5.3619699913275802E-2</v>
      </c>
      <c r="FM8" s="2">
        <f>0.0311966468103086*(1)</f>
        <v>3.1196646810308599E-2</v>
      </c>
      <c r="FN8" s="2">
        <f>-0.198176454297779*(1)</f>
        <v>-0.198176454297779</v>
      </c>
      <c r="FO8" s="2">
        <f>-0.269554543718898*(1)</f>
        <v>-0.26955454371889798</v>
      </c>
      <c r="FP8" s="2">
        <f>0.175874843586382*(1)</f>
        <v>0.175874843586382</v>
      </c>
      <c r="FQ8" s="2">
        <f>0.0722721805922828*(1)</f>
        <v>7.2272180592282798E-2</v>
      </c>
      <c r="FR8" s="2">
        <f>-0.236751776862098*(1)</f>
        <v>-0.236751776862098</v>
      </c>
      <c r="FS8" s="2">
        <f>0.0115287660463275*(1)</f>
        <v>1.15287660463275E-2</v>
      </c>
      <c r="FT8" s="2">
        <f>0.178217722424226*(1)</f>
        <v>0.17821772242422601</v>
      </c>
      <c r="FU8" s="2">
        <f>0.233840731426976*(1)</f>
        <v>0.23384073142697601</v>
      </c>
      <c r="FV8" s="2">
        <f>-0.131185433527689*(1)</f>
        <v>-0.13118543352768899</v>
      </c>
      <c r="FW8" s="2">
        <f>0.146971663388903*(1)</f>
        <v>0.146971663388903</v>
      </c>
      <c r="FX8" s="2">
        <f>0.176559566552954*(1)</f>
        <v>0.17655956655295399</v>
      </c>
      <c r="FY8" s="2">
        <f>-0.0545751191895991*(1)</f>
        <v>-5.4575119189599099E-2</v>
      </c>
      <c r="FZ8" s="2">
        <f>-0.0189052858229055*(1)</f>
        <v>-1.8905285822905502E-2</v>
      </c>
      <c r="GA8" s="2">
        <f>0.30185656068732*(1)</f>
        <v>0.30185656068731997</v>
      </c>
      <c r="GB8" s="2">
        <f>-0.126543489743897*(1)</f>
        <v>-0.12654348974389701</v>
      </c>
      <c r="GC8" s="2">
        <f>-0.134541255767335*(1)</f>
        <v>-0.134541255767335</v>
      </c>
      <c r="GD8" s="2">
        <f>0.106343291018707*(1)</f>
        <v>0.106343291018707</v>
      </c>
      <c r="GE8" s="2">
        <f>-0.182036477759635*(1)</f>
        <v>-0.182036477759635</v>
      </c>
      <c r="GF8" s="2">
        <f>0.013639385318349*(1)</f>
        <v>1.3639385318349E-2</v>
      </c>
      <c r="GG8" s="2">
        <f>-0.169990898572913*(1)</f>
        <v>-0.169990898572913</v>
      </c>
      <c r="GH8" s="2">
        <f>-0.0432045186812029*(1)</f>
        <v>-4.3204518681202897E-2</v>
      </c>
      <c r="GI8" s="2">
        <f>-0.560849357955523*(1)</f>
        <v>-0.56084935795552304</v>
      </c>
      <c r="GJ8" s="2">
        <f>0.0639668701996232*(1)</f>
        <v>6.3966870199623202E-2</v>
      </c>
      <c r="GK8" s="2">
        <f>0.218075982812411*(1)</f>
        <v>0.218075982812411</v>
      </c>
      <c r="GL8" s="2">
        <f>0.0580463150653707*(1)</f>
        <v>5.8046315065370703E-2</v>
      </c>
      <c r="GM8" s="2">
        <f>-0.287874152821033*(1)</f>
        <v>-0.28787415282103301</v>
      </c>
      <c r="GN8" s="2">
        <f>-0.067230629482593*(1)</f>
        <v>-6.7230629482592993E-2</v>
      </c>
      <c r="GO8" s="2">
        <f>-0.0717785943564596*(1)</f>
        <v>-7.1778594356459599E-2</v>
      </c>
      <c r="GP8" s="2">
        <f>0.0166011668779577*(1)</f>
        <v>1.66011668779577E-2</v>
      </c>
      <c r="GQ8" s="2">
        <f>0.183685071012463*(1)</f>
        <v>0.18368507101246301</v>
      </c>
      <c r="GR8" s="2">
        <f>-0.107291892386864*(1)</f>
        <v>-0.107291892386864</v>
      </c>
      <c r="GS8" s="2">
        <f>0.133662072135574*(1)</f>
        <v>0.13366207213557399</v>
      </c>
      <c r="GT8" s="2">
        <f>0.0155779150721196*(1)</f>
        <v>1.55779150721196E-2</v>
      </c>
      <c r="GU8" s="2">
        <f>0.263681977653334*(1)</f>
        <v>0.26368197765333401</v>
      </c>
      <c r="GV8" s="2">
        <f>-0.162370211939388*(1)</f>
        <v>-0.162370211939388</v>
      </c>
      <c r="GW8" s="2">
        <f>0.00535665340691838*(1)</f>
        <v>5.3566534069183804E-3</v>
      </c>
      <c r="GX8" s="2">
        <f>-0.0811060919079055*(1)</f>
        <v>-8.1106091907905506E-2</v>
      </c>
      <c r="GY8" s="2">
        <f>0.157483402876671*(1)</f>
        <v>0.15748340287667101</v>
      </c>
      <c r="GZ8" s="2">
        <f>-0.110272625484213*(1)</f>
        <v>-0.110272625484213</v>
      </c>
      <c r="HA8" s="2">
        <f>0.159720052161277*(1)</f>
        <v>0.15972005216127699</v>
      </c>
      <c r="HB8" s="2">
        <f>0.340918863096608*(1)</f>
        <v>0.34091886309660802</v>
      </c>
      <c r="HC8" s="2">
        <f>-0.24861444969033*(1)</f>
        <v>-0.24861444969033</v>
      </c>
      <c r="HD8" s="2">
        <f>-0.112924287656762*(1)</f>
        <v>-0.112924287656762</v>
      </c>
      <c r="HE8" s="2">
        <f>-0.0847374758088922*(1)</f>
        <v>-8.4737475808892196E-2</v>
      </c>
      <c r="HF8" s="2">
        <f>-0.0777852281023224*(1)</f>
        <v>-7.7785228102322398E-2</v>
      </c>
      <c r="HG8" s="2">
        <f>-0.116832078202624*(1)</f>
        <v>-0.11683207820262401</v>
      </c>
      <c r="HH8" s="2">
        <f>-0.0256213637196903*(1)</f>
        <v>-2.5621363719690302E-2</v>
      </c>
      <c r="HI8" s="2">
        <f>0.121842440796653*(1)</f>
        <v>0.121842440796653</v>
      </c>
      <c r="HJ8" s="2">
        <f>0.0612736946193659*(1)</f>
        <v>6.1273694619365902E-2</v>
      </c>
      <c r="HK8" s="2">
        <f>-0.31917588172763*(1)</f>
        <v>-0.31917588172763001</v>
      </c>
      <c r="HL8" s="2">
        <f>-0.0487500122439113*(1)</f>
        <v>-4.8750012243911303E-2</v>
      </c>
      <c r="HM8" s="2">
        <f>-0.232258388564137*(1)</f>
        <v>-0.232258388564137</v>
      </c>
      <c r="HN8" s="2">
        <f>0.303276981680536*(1)</f>
        <v>0.30327698168053602</v>
      </c>
      <c r="HO8" s="2">
        <f>-0.247810433634974*(1)</f>
        <v>-0.24781043363497399</v>
      </c>
      <c r="HP8" s="2">
        <f>-0.0467546759736089*(1)</f>
        <v>-4.6754675973608897E-2</v>
      </c>
      <c r="HQ8" s="2">
        <f>0.158192267511479*(1)</f>
        <v>0.158192267511479</v>
      </c>
      <c r="HR8" s="2">
        <f>-0.280162891191554*(1)</f>
        <v>-0.28016289119155402</v>
      </c>
      <c r="HS8" s="2">
        <f>-0.121233709728033*(1)</f>
        <v>-0.121233709728033</v>
      </c>
      <c r="HT8" s="2">
        <f>-0.196097048244505*(1)</f>
        <v>-0.196097048244505</v>
      </c>
      <c r="HU8" s="2">
        <f>-0.213359385355523*(1)</f>
        <v>-0.21335938535552301</v>
      </c>
      <c r="HV8" s="2">
        <f>-0.305530986237826*(1)</f>
        <v>-0.30553098623782599</v>
      </c>
      <c r="HW8" s="2">
        <f>0.166428554428491*(1)</f>
        <v>0.166428554428491</v>
      </c>
      <c r="HX8" s="2">
        <f>0.0512591877164041*(1)</f>
        <v>5.12591877164041E-2</v>
      </c>
      <c r="HY8" s="2">
        <f>-0.181322359144591*(1)</f>
        <v>-0.18132235914459099</v>
      </c>
      <c r="HZ8" s="2">
        <f>-0.381317695540507*(1)</f>
        <v>-0.38131769554050698</v>
      </c>
      <c r="IA8" s="2">
        <f>-0.296809442149728*(1)</f>
        <v>-0.29680944214972799</v>
      </c>
      <c r="IB8" s="2">
        <f>-0.120269998890812*(1)</f>
        <v>-0.120269998890812</v>
      </c>
      <c r="IC8" s="2">
        <f>-0.000887410803208643*(1)</f>
        <v>-8.8741080320864298E-4</v>
      </c>
      <c r="ID8" s="2">
        <f>0.360242308811443*(1)</f>
        <v>0.36024230881144298</v>
      </c>
      <c r="IE8" s="2">
        <f>0.292573377126946*(1)</f>
        <v>0.29257337712694598</v>
      </c>
      <c r="IF8" s="2">
        <f>0.0536668716162186*(1)</f>
        <v>5.3666871616218602E-2</v>
      </c>
      <c r="IG8" s="2">
        <f>0.132940710779002*(1)</f>
        <v>0.13294071077900199</v>
      </c>
      <c r="IH8" s="2">
        <f>-0.0883413694915944*(1)</f>
        <v>-8.8341369491594393E-2</v>
      </c>
      <c r="II8" s="2">
        <f>-0.0710976162348381*(1)</f>
        <v>-7.1097616234838096E-2</v>
      </c>
      <c r="IJ8" s="2">
        <f>0.0566218622797993*(1)</f>
        <v>5.6621862279799297E-2</v>
      </c>
      <c r="IK8" s="2">
        <f>-0.274391950939978*(1)</f>
        <v>-0.27439195093997798</v>
      </c>
      <c r="IL8" s="2">
        <f>-0.464688312685859*(1)</f>
        <v>-0.46468831268585897</v>
      </c>
      <c r="IM8" s="2">
        <f>-0.0928016491900987*(1)</f>
        <v>-9.2801649190098701E-2</v>
      </c>
      <c r="IN8" s="2">
        <f>0.0990001604340443*(1)</f>
        <v>9.9000160434044304E-2</v>
      </c>
      <c r="IO8" s="2">
        <f>0.433512831341761*(1)</f>
        <v>0.433512831341761</v>
      </c>
      <c r="IP8" s="2">
        <f>-0.0889753331730783*(1)</f>
        <v>-8.8975333173078305E-2</v>
      </c>
      <c r="IQ8" s="2">
        <f>0.295242854209578*(1)</f>
        <v>0.29524285420957802</v>
      </c>
      <c r="IR8" s="2">
        <f>-0.125136566721986*(1)</f>
        <v>-0.125136566721986</v>
      </c>
      <c r="IS8" s="2">
        <f>0.0348698727504649*(1)</f>
        <v>3.4869872750464902E-2</v>
      </c>
      <c r="IT8" s="2">
        <f>-0.0261917986524926*(1)</f>
        <v>-2.61917986524926E-2</v>
      </c>
      <c r="IU8" s="2">
        <f>0.207770888277256*(1)</f>
        <v>0.20777088827725601</v>
      </c>
      <c r="IV8" s="2">
        <f>0.0543409440793219*(1)</f>
        <v>5.4340944079321898E-2</v>
      </c>
      <c r="IW8" s="2">
        <f>-0.43924695369724*(1)</f>
        <v>-0.43924695369723998</v>
      </c>
      <c r="IX8" s="2">
        <f>0.087269921609213*(1)</f>
        <v>8.7269921609213E-2</v>
      </c>
      <c r="IY8" s="2">
        <f>-0.314448716104009*(1)</f>
        <v>-0.31444871610400899</v>
      </c>
      <c r="IZ8" s="2">
        <f>-0.18370509955935*(1)</f>
        <v>-0.18370509955934999</v>
      </c>
      <c r="JA8" s="2">
        <f>0.144876551479862*(1)</f>
        <v>0.144876551479862</v>
      </c>
      <c r="JB8" s="2">
        <f>-0.267565768650814*(1)</f>
        <v>-0.267565768650814</v>
      </c>
      <c r="JC8" s="2">
        <f>0.226503203106842*(1)</f>
        <v>0.22650320310684199</v>
      </c>
      <c r="JD8" s="2">
        <f>-0.270575757667828*(1)</f>
        <v>-0.27057575766782799</v>
      </c>
      <c r="JE8" s="2">
        <f>-0.215179556672711*(1)</f>
        <v>-0.21517955667271099</v>
      </c>
      <c r="JF8" s="2">
        <f>-0.276151365200937*(1)</f>
        <v>-0.27615136520093703</v>
      </c>
      <c r="JG8" s="2">
        <f>0.162052734567874*(1)</f>
        <v>0.162052734567874</v>
      </c>
      <c r="JH8" s="2">
        <f>-0.176918088345362*(1)</f>
        <v>-0.17691808834536199</v>
      </c>
      <c r="JI8" s="2">
        <f>0.376079033786341*(1)</f>
        <v>0.376079033786341</v>
      </c>
      <c r="JJ8" s="2">
        <f>-0.460890469975283*(1)</f>
        <v>-0.46089046997528299</v>
      </c>
      <c r="JK8" s="2">
        <f>-0.348478880092517*(1)</f>
        <v>-0.34847888009251698</v>
      </c>
      <c r="JL8" s="2">
        <f>-0.204185309439664*(1)</f>
        <v>-0.20418530943966401</v>
      </c>
      <c r="JM8" s="2">
        <f>0.464368995002202*(1)</f>
        <v>0.46436899500220202</v>
      </c>
      <c r="JN8" s="2">
        <f>-0.616778517194012*(1)</f>
        <v>-0.616778517194012</v>
      </c>
      <c r="JO8" s="2">
        <f>0.00641356314865673*(1)</f>
        <v>6.4135631486567299E-3</v>
      </c>
      <c r="JP8" s="2">
        <f>-0.115887225230259*(1)</f>
        <v>-0.115887225230259</v>
      </c>
      <c r="JQ8" s="2">
        <f>0.129066762858518*(1)</f>
        <v>0.12906676285851801</v>
      </c>
      <c r="JR8" s="2">
        <f>-0.323056985144576*(1)</f>
        <v>-0.32305698514457598</v>
      </c>
      <c r="JS8" s="2">
        <f>-0.0622586604513949*(1)</f>
        <v>-6.2258660451394901E-2</v>
      </c>
      <c r="JT8" s="2">
        <f>-0.0376867096669444*(1)</f>
        <v>-3.7686709666944401E-2</v>
      </c>
      <c r="JU8" s="2">
        <f>-0.299151573639957*(1)</f>
        <v>-0.29915157363995698</v>
      </c>
      <c r="JV8" s="2">
        <f>-0.104024826409665*(1)</f>
        <v>-0.104024826409665</v>
      </c>
      <c r="JW8" s="2">
        <f>-0.151858399007757*(1)</f>
        <v>-0.15185839900775699</v>
      </c>
      <c r="JX8" s="2">
        <f>0.238572869040333*(1)</f>
        <v>0.23857286904033301</v>
      </c>
      <c r="JY8" s="2">
        <f>0.0579561555928522*(1)</f>
        <v>5.79561555928522E-2</v>
      </c>
      <c r="JZ8" s="2">
        <f>-0.377618792842739*(1)</f>
        <v>-0.37761879284273903</v>
      </c>
      <c r="KA8" s="2">
        <f>-0.158866316273684*(1)</f>
        <v>-0.158866316273684</v>
      </c>
      <c r="KB8" s="2">
        <f>0.361782302886306*(1)</f>
        <v>0.36178230288630597</v>
      </c>
      <c r="KC8" s="2">
        <f>0.0548404353880945*(1)</f>
        <v>5.4840435388094501E-2</v>
      </c>
      <c r="KD8" s="2">
        <f>0.29395194064916*(1)</f>
        <v>0.29395194064916003</v>
      </c>
      <c r="KE8" s="2">
        <f>-0.169430288532633*(1)</f>
        <v>-0.16943028853263301</v>
      </c>
      <c r="KF8" s="2">
        <f>0.369322142357998*(1)</f>
        <v>0.36932214235799798</v>
      </c>
      <c r="KG8" s="2">
        <f>-0.0191324062766938*(1)</f>
        <v>-1.9132406276693801E-2</v>
      </c>
      <c r="KH8" s="2">
        <f>0.279964060153149*(1)</f>
        <v>0.27996406015314901</v>
      </c>
      <c r="KI8" s="2">
        <f>0.194065352070941*(1)</f>
        <v>0.194065352070941</v>
      </c>
      <c r="KJ8" s="2">
        <f>-0.149323490157793*(1)</f>
        <v>-0.149323490157793</v>
      </c>
      <c r="KK8" s="2">
        <f>-0.185929078214894*(1)</f>
        <v>-0.18592907821489399</v>
      </c>
      <c r="KL8" s="2">
        <f>-0.134318277692724*(1)</f>
        <v>-0.134318277692724</v>
      </c>
      <c r="KM8" s="2">
        <f>-0.258107168135011*(1)</f>
        <v>-0.258107168135011</v>
      </c>
      <c r="KN8" s="2">
        <f>0.405244993626338*(1)</f>
        <v>0.40524499362633798</v>
      </c>
      <c r="KO8" s="2">
        <f>0.404462488428454*(1)</f>
        <v>0.404462488428454</v>
      </c>
      <c r="KP8" s="2">
        <f>-0.117431279707028*(1)</f>
        <v>-0.11743127970702801</v>
      </c>
      <c r="KQ8" s="2">
        <f>-0.285702479334005*(1)</f>
        <v>-0.285702479334005</v>
      </c>
      <c r="KR8" s="2">
        <f>-0.185273935875475*(1)</f>
        <v>-0.185273935875475</v>
      </c>
      <c r="KS8" s="2">
        <f>0.350095199832466*(1)</f>
        <v>0.35009519983246601</v>
      </c>
      <c r="KT8" s="2">
        <f>0.0411769466169984*(1)</f>
        <v>4.1176946616998403E-2</v>
      </c>
      <c r="KU8" s="2">
        <f>-0.317647075220108*(1)</f>
        <v>-0.31764707522010799</v>
      </c>
      <c r="KV8" s="2">
        <f>-0.108644639878626*(1)</f>
        <v>-0.10864463987862601</v>
      </c>
      <c r="KW8" s="2">
        <f>0.241130006313425*(1)</f>
        <v>0.24113000631342499</v>
      </c>
      <c r="KX8" s="2">
        <f>-0.278459829257296*(1)</f>
        <v>-0.27845982925729601</v>
      </c>
      <c r="KY8" s="2">
        <f>0.262088838782309*(1)</f>
        <v>0.26208883878230899</v>
      </c>
      <c r="KZ8" s="2">
        <f>0.0215349643549999*(1)</f>
        <v>2.1534964354999901E-2</v>
      </c>
      <c r="LA8" s="2">
        <f>0.465102364521425*(1)</f>
        <v>0.465102364521425</v>
      </c>
      <c r="LB8" s="2">
        <f>-0.17132714791727*(1)</f>
        <v>-0.17132714791727</v>
      </c>
      <c r="LC8" s="2">
        <f>0.000678162453758042*(1)</f>
        <v>6.7816245375804205E-4</v>
      </c>
      <c r="LD8" s="2">
        <f>0.0977646975863152*(1)</f>
        <v>9.7764697586315202E-2</v>
      </c>
      <c r="LE8" s="2">
        <f>0.0735522603264599*(1)</f>
        <v>7.3552260326459895E-2</v>
      </c>
      <c r="LF8" s="2">
        <f>0.0640671191634901*(1)</f>
        <v>6.4067119163490102E-2</v>
      </c>
      <c r="LG8" s="2">
        <f>0.152952298794754*(1)</f>
        <v>0.152952298794754</v>
      </c>
      <c r="LH8" s="2">
        <f>0.130227530273108*(1)</f>
        <v>0.13022753027310799</v>
      </c>
      <c r="LI8" s="2">
        <f>0.120845282003599*(1)</f>
        <v>0.12084528200359899</v>
      </c>
      <c r="LJ8" s="2">
        <f>0.130637656567706*(1)</f>
        <v>0.13063765656770601</v>
      </c>
      <c r="LK8" s="2">
        <f>0.0597666578626168*(1)</f>
        <v>5.9766657862616798E-2</v>
      </c>
      <c r="LL8" s="2">
        <f>0.327093964461574*(1)</f>
        <v>0.32709396446157402</v>
      </c>
      <c r="LM8" s="2">
        <f>0.326146648014218*(1)</f>
        <v>0.326146648014218</v>
      </c>
      <c r="LN8" s="2">
        <f>0.121456290405914*(1)</f>
        <v>0.12145629040591401</v>
      </c>
      <c r="LO8" s="2">
        <f>-0.106022510729903*(1)</f>
        <v>-0.106022510729903</v>
      </c>
      <c r="LP8" s="2">
        <f>0.186666290004*(1)</f>
        <v>0.18666629000400001</v>
      </c>
      <c r="LQ8" s="2">
        <f>-0.046616718455284*(1)</f>
        <v>-4.6616718455283999E-2</v>
      </c>
      <c r="LR8" s="2">
        <f>0.596606466742021*(1)</f>
        <v>0.596606466742021</v>
      </c>
      <c r="LS8" s="2">
        <f>-0.189692971150096*(1)</f>
        <v>-0.18969297115009601</v>
      </c>
      <c r="LT8" s="2">
        <f>0.406602029304213*(1)</f>
        <v>0.40660202930421302</v>
      </c>
      <c r="LU8" s="2">
        <f>-0.230597282284274*(1)</f>
        <v>-0.23059728228427401</v>
      </c>
      <c r="LV8" s="2">
        <f>0.379268236539346*(1)</f>
        <v>0.37926823653934599</v>
      </c>
      <c r="LW8" s="2">
        <f>-0.0940438926317373*(1)</f>
        <v>-9.4043892631737305E-2</v>
      </c>
      <c r="LX8" s="2">
        <f>-0.203700813482228*(1)</f>
        <v>-0.20370081348222799</v>
      </c>
      <c r="LY8" s="2">
        <f>-0.315178091193589*(1)</f>
        <v>-0.31517809119358903</v>
      </c>
      <c r="LZ8" s="2">
        <f>-0.0514877019424926*(1)</f>
        <v>-5.1487701942492602E-2</v>
      </c>
      <c r="MA8" s="2">
        <f>0.403562162317274*(1)</f>
        <v>0.40356216231727399</v>
      </c>
      <c r="MB8" s="2">
        <f>-0.197900411784874*(1)</f>
        <v>-0.197900411784874</v>
      </c>
      <c r="MC8" s="2">
        <f>0.373804541219304*(1)</f>
        <v>0.37380454121930401</v>
      </c>
      <c r="MD8" s="2">
        <f>-0.39891337504487*(1)</f>
        <v>-0.39891337504487001</v>
      </c>
      <c r="ME8" s="2">
        <f>-0.0249835579004848*(1)</f>
        <v>-2.4983557900484801E-2</v>
      </c>
      <c r="MF8" s="2">
        <f>-0.115538451288537*(1)</f>
        <v>-0.115538451288537</v>
      </c>
      <c r="MG8" s="2">
        <f>-0.121997092028089*(1)</f>
        <v>-0.121997092028089</v>
      </c>
      <c r="MH8" s="2">
        <f>0.399246930683716*(1)</f>
        <v>0.39924693068371597</v>
      </c>
      <c r="MI8" s="2">
        <f>-0.176332121107161*(1)</f>
        <v>-0.17633212110716101</v>
      </c>
      <c r="MJ8" s="2">
        <f>0.198850747665381*(1)</f>
        <v>0.19885074766538099</v>
      </c>
      <c r="MK8" s="2">
        <f>-0.381793464032275*(1)</f>
        <v>-0.38179346403227499</v>
      </c>
      <c r="ML8" s="2">
        <f>0.191489964386181*(1)</f>
        <v>0.19148996438618099</v>
      </c>
      <c r="MM8" s="2">
        <f>0.123531153882505*(1)</f>
        <v>0.123531153882505</v>
      </c>
      <c r="MN8" s="2">
        <f>-0.360786677783829*(1)</f>
        <v>-0.360786677783829</v>
      </c>
      <c r="MO8" s="2">
        <f>0.0184235953179277*(1)</f>
        <v>1.8423595317927699E-2</v>
      </c>
      <c r="MP8" s="2">
        <f>0.149846407115973*(1)</f>
        <v>0.149846407115973</v>
      </c>
      <c r="MQ8" s="2">
        <f>-0.373387692323185*(1)</f>
        <v>-0.37338769232318503</v>
      </c>
      <c r="MR8" s="2">
        <f>-0.151062703769371*(1)</f>
        <v>-0.151062703769371</v>
      </c>
      <c r="MS8" s="2">
        <f>0.156565266309669*(1)</f>
        <v>0.15656526630966899</v>
      </c>
      <c r="MT8" s="2">
        <f>-0.216653830908836*(1)</f>
        <v>-0.216653830908836</v>
      </c>
      <c r="MU8" s="2">
        <f>-0.0792857239644213*(1)</f>
        <v>-7.9285723964421295E-2</v>
      </c>
      <c r="MV8" s="2">
        <f>0.0991450682517001*(1)</f>
        <v>9.9145068251700094E-2</v>
      </c>
      <c r="MW8" s="2">
        <f>-0.265889597249958*(1)</f>
        <v>-0.26588959724995798</v>
      </c>
      <c r="MX8" s="2">
        <f>-0.066329080756277*(1)</f>
        <v>-6.6329080756276998E-2</v>
      </c>
      <c r="MY8" s="2">
        <f>0.350666011804509*(1)</f>
        <v>0.35066601180450901</v>
      </c>
      <c r="MZ8" s="2">
        <f>0.286922731624817*(1)</f>
        <v>0.28692273162481702</v>
      </c>
      <c r="NA8" s="2">
        <f>0.0211467805922386*(1)</f>
        <v>2.1146780592238599E-2</v>
      </c>
      <c r="NB8" s="2">
        <f>0.0433905641058736*(1)</f>
        <v>4.3390564105873601E-2</v>
      </c>
      <c r="NC8" s="2">
        <f>0.269589749453653*(1)</f>
        <v>0.26958974945365299</v>
      </c>
      <c r="ND8" s="2">
        <f>0.143437330438522*(1)</f>
        <v>0.143437330438522</v>
      </c>
      <c r="NE8" s="2">
        <f>-0.172800492335319*(1)</f>
        <v>-0.17280049233531899</v>
      </c>
      <c r="NF8" s="2">
        <f>-0.0798145210888819*(1)</f>
        <v>-7.9814521088881901E-2</v>
      </c>
      <c r="NG8" s="2">
        <f>0.268926023673858*(1)</f>
        <v>0.26892602367385798</v>
      </c>
      <c r="NH8" s="2">
        <f>-0.00943284408229422*(1)</f>
        <v>-9.4328440822942193E-3</v>
      </c>
      <c r="NI8" s="2">
        <f>0.106581003433569*(1)</f>
        <v>0.10658100343356899</v>
      </c>
      <c r="NJ8" s="2">
        <f>0.0654864318390947*(1)</f>
        <v>6.5486431839094694E-2</v>
      </c>
      <c r="NK8" s="2">
        <f>0.212002871456772*(1)</f>
        <v>0.21200287145677199</v>
      </c>
      <c r="NL8" s="2">
        <f>0.21115373228007*(1)</f>
        <v>0.21115373228007001</v>
      </c>
      <c r="NM8" s="2">
        <f>0.419496943784265*(1)</f>
        <v>0.419496943784265</v>
      </c>
      <c r="NN8" s="2">
        <f>-0.165502259943604*(1)</f>
        <v>-0.16550225994360401</v>
      </c>
      <c r="NO8" s="2">
        <f>0.135422906139098*(1)</f>
        <v>0.13542290613909799</v>
      </c>
      <c r="NP8" s="2">
        <f>0.0944502213403235*(1)</f>
        <v>9.4450221340323506E-2</v>
      </c>
      <c r="NQ8" s="2">
        <f>0.172661610665662*(1)</f>
        <v>0.17266161066566199</v>
      </c>
      <c r="NR8" s="2">
        <f>-0.0640764243624599*(1)</f>
        <v>-6.4076424362459902E-2</v>
      </c>
      <c r="NS8" s="2">
        <f>-0.11727294675619*(1)</f>
        <v>-0.11727294675619</v>
      </c>
      <c r="NT8" s="2">
        <f>0.199125406871469*(1)</f>
        <v>0.19912540687146901</v>
      </c>
      <c r="NU8" s="2">
        <f>-0.154262230054224*(1)</f>
        <v>-0.15426223005422399</v>
      </c>
      <c r="NV8" s="2">
        <f>0.15849426383261*(1)</f>
        <v>0.15849426383261001</v>
      </c>
      <c r="NW8" s="2">
        <f>0.11368636429181*(1)</f>
        <v>0.11368636429181</v>
      </c>
      <c r="NX8" s="2">
        <f>0.0505134580381171*(1)</f>
        <v>5.0513458038117097E-2</v>
      </c>
      <c r="NY8" s="2">
        <f>-0.157667508942083*(1)</f>
        <v>-0.15766750894208301</v>
      </c>
      <c r="NZ8" s="2">
        <f>0.196073640155958*(1)</f>
        <v>0.19607364015595799</v>
      </c>
      <c r="OA8" s="2">
        <f>0.153691896419881*(1)</f>
        <v>0.15369189641988101</v>
      </c>
      <c r="OB8" s="2">
        <f>-0.142900222437561*(1)</f>
        <v>-0.14290022243756101</v>
      </c>
      <c r="OC8" s="2">
        <f>-0.279050594406085*(1)</f>
        <v>-0.27905059440608498</v>
      </c>
      <c r="OD8" s="2">
        <f>0.133762459897744*(1)</f>
        <v>0.13376245989774399</v>
      </c>
      <c r="OE8" s="2">
        <f>-0.131571934508154*(1)</f>
        <v>-0.13157193450815399</v>
      </c>
      <c r="OF8" s="2">
        <f>-0.0824448049675837*(1)</f>
        <v>-8.2444804967583704E-2</v>
      </c>
      <c r="OG8" s="2">
        <f>0.0257309002361803*(1)</f>
        <v>2.5730900236180299E-2</v>
      </c>
      <c r="OH8" s="2">
        <f>-0.101444441151863*(1)</f>
        <v>-0.101444441151863</v>
      </c>
      <c r="OI8" s="2">
        <f>-0.0338012739960977*(1)</f>
        <v>-3.3801273996097697E-2</v>
      </c>
      <c r="OJ8" s="2">
        <f>0.155242465287601*(1)</f>
        <v>0.15524246528760099</v>
      </c>
      <c r="OK8" s="2">
        <f>-0.205950088238013*(1)</f>
        <v>-0.205950088238013</v>
      </c>
      <c r="OL8" s="2">
        <f>0.0174036482961981*(1)</f>
        <v>1.7403648296198101E-2</v>
      </c>
      <c r="OM8" s="2">
        <f>-0.00225489778102646*(1)</f>
        <v>-2.2548977810264602E-3</v>
      </c>
      <c r="ON8" s="2">
        <f>0.171149169940302*(1)</f>
        <v>0.17114916994030199</v>
      </c>
      <c r="OO8" s="2">
        <f>0.258139589495393*(1)</f>
        <v>0.25813958949539301</v>
      </c>
      <c r="OP8" s="2">
        <f>-0.0307515315276457*(1)</f>
        <v>-3.07515315276457E-2</v>
      </c>
      <c r="OQ8" s="2">
        <f>-0.0140568334785911*(1)</f>
        <v>-1.40568334785911E-2</v>
      </c>
      <c r="OR8" s="2">
        <f>0.324363154407822*(1)</f>
        <v>0.32436315440782199</v>
      </c>
      <c r="OS8" s="2">
        <f>0.375189380603363*(1)</f>
        <v>0.37518938060336299</v>
      </c>
      <c r="OT8" s="2">
        <f>-0.196242654066072*(1)</f>
        <v>-0.196242654066072</v>
      </c>
      <c r="OU8" s="2">
        <f>0.240240819912732*(1)</f>
        <v>0.240240819912732</v>
      </c>
      <c r="OV8" s="2">
        <f>0.322018437047079*(1)</f>
        <v>0.322018437047079</v>
      </c>
      <c r="OW8" s="2">
        <f>-0.042969804035303*(1)</f>
        <v>-4.2969804035302997E-2</v>
      </c>
      <c r="OX8" s="2">
        <f>-0.208077679124804*(1)</f>
        <v>-0.20807767912480399</v>
      </c>
      <c r="OY8" s="2">
        <f>0.262762784739565*(1)</f>
        <v>0.26276278473956499</v>
      </c>
      <c r="OZ8" s="2">
        <f>-0.153821673185781*(1)</f>
        <v>-0.15382167318578099</v>
      </c>
      <c r="PA8" s="2">
        <f>0.0554341841507254*(1)</f>
        <v>5.5434184150725402E-2</v>
      </c>
      <c r="PB8" s="2">
        <f>-0.136606523161738*(1)</f>
        <v>-0.13660652316173799</v>
      </c>
      <c r="PC8" s="2">
        <f>0.199185436651497*(1)</f>
        <v>0.19918543665149699</v>
      </c>
      <c r="PD8" s="2">
        <f>-0.065045042876546*(1)</f>
        <v>-6.5045042876546E-2</v>
      </c>
      <c r="PE8" s="2">
        <f>0.202731138141602*(1)</f>
        <v>0.20273113814160201</v>
      </c>
      <c r="PF8" s="2">
        <f>0.130271054030733*(1)</f>
        <v>0.130271054030733</v>
      </c>
      <c r="PG8" s="2">
        <f>-0.00456352514917437*(1)</f>
        <v>-4.5635251491743696E-3</v>
      </c>
      <c r="PH8" s="2">
        <f>0.0584478849757337*(1)</f>
        <v>5.8447884975733701E-2</v>
      </c>
      <c r="PI8" s="2">
        <f>-0.00987812715067472*(1)</f>
        <v>-9.8781271506747197E-3</v>
      </c>
      <c r="PJ8" s="2">
        <f>0.317629840899533*(1)</f>
        <v>0.317629840899533</v>
      </c>
      <c r="PK8" s="2">
        <f>-0.0180074462668931*(1)</f>
        <v>-1.8007446266893101E-2</v>
      </c>
      <c r="PL8" s="2">
        <f>0.120132166037245*(1)</f>
        <v>0.120132166037245</v>
      </c>
      <c r="PM8" s="2">
        <f>0.0334922923695557*(1)</f>
        <v>3.3492292369555698E-2</v>
      </c>
      <c r="PN8" s="2">
        <f>-0.391097980423055*(1)</f>
        <v>-0.39109798042305499</v>
      </c>
      <c r="PO8" s="2">
        <f>-0.22337386496158*(1)</f>
        <v>-0.22337386496157999</v>
      </c>
      <c r="PP8" s="2">
        <f>-0.195526171439551*(1)</f>
        <v>-0.19552617143955101</v>
      </c>
      <c r="PQ8" s="2">
        <f>0.0797440219172006*(1)</f>
        <v>7.9744021917200605E-2</v>
      </c>
      <c r="PR8" s="2">
        <f>-0.0365384917548067*(1)</f>
        <v>-3.6538491754806703E-2</v>
      </c>
      <c r="PS8" s="2">
        <f>-0.114100418669944*(1)</f>
        <v>-0.114100418669944</v>
      </c>
      <c r="PT8" s="2">
        <f>-0.481854754594914*(1)</f>
        <v>-0.481854754594914</v>
      </c>
      <c r="PU8" s="2">
        <f>-0.134006019003764*(1)</f>
        <v>-0.13400601900376399</v>
      </c>
      <c r="PV8" s="2">
        <f>0.0255612450626595*(1)</f>
        <v>2.5561245062659499E-2</v>
      </c>
      <c r="PW8" s="2">
        <f>0.172361514169386*(1)</f>
        <v>0.172361514169386</v>
      </c>
      <c r="PX8" s="2">
        <f>-0.0327820116889828*(1)</f>
        <v>-3.2782011688982801E-2</v>
      </c>
      <c r="PY8" s="2">
        <f>0.120918139727165*(1)</f>
        <v>0.120918139727165</v>
      </c>
      <c r="PZ8" s="2">
        <f>-0.296671693256365*(1)</f>
        <v>-0.296671693256365</v>
      </c>
      <c r="QA8" s="2">
        <f>0.277783346033715*(1)</f>
        <v>0.27778334603371502</v>
      </c>
      <c r="QB8" s="2">
        <f>-0.065644958545584*(1)</f>
        <v>-6.5644958545583998E-2</v>
      </c>
      <c r="QC8" s="2">
        <f>0.0823791985785914*(1)</f>
        <v>8.2379198578591398E-2</v>
      </c>
      <c r="QD8" s="2">
        <f>0.040775336735612*(1)</f>
        <v>4.0775336735611997E-2</v>
      </c>
      <c r="QE8" s="2">
        <f>-0.196701079816394*(1)</f>
        <v>-0.19670107981639401</v>
      </c>
      <c r="QF8" s="2">
        <f>0.212275605601444*(1)</f>
        <v>0.21227560560144401</v>
      </c>
      <c r="QG8" s="2">
        <f>-0.163064455828922*(1)</f>
        <v>-0.16306445582892201</v>
      </c>
      <c r="QH8" s="2">
        <f>-0.163864596633069*(1)</f>
        <v>-0.16386459663306899</v>
      </c>
      <c r="QI8" s="2">
        <f>0.0777215619163016*(1)</f>
        <v>7.7721561916301599E-2</v>
      </c>
      <c r="QJ8" s="2">
        <f>0.188709575977842*(1)</f>
        <v>0.18870957597784199</v>
      </c>
      <c r="QK8" s="2">
        <f>-0.0295801053617271*(1)</f>
        <v>-2.9580105361727099E-2</v>
      </c>
      <c r="QL8" s="2">
        <f>0.0657251676193916*(1)</f>
        <v>6.5725167619391595E-2</v>
      </c>
      <c r="QM8" s="2">
        <f>0.0341583427414507*(1)</f>
        <v>3.4158342741450701E-2</v>
      </c>
      <c r="QN8" s="2">
        <f>0.0311866991649211*(1)</f>
        <v>3.1186699164921099E-2</v>
      </c>
      <c r="QO8" s="2">
        <f>-0.343329670719915*(1)</f>
        <v>-0.34332967071991499</v>
      </c>
      <c r="QP8" s="2">
        <f>0.163795216143341*(1)</f>
        <v>0.163795216143341</v>
      </c>
      <c r="QQ8" s="2">
        <f>0.0296467839243039*(1)</f>
        <v>2.96467839243039E-2</v>
      </c>
      <c r="QR8" s="2">
        <f>-0.183198099098164*(1)</f>
        <v>-0.18319809909816401</v>
      </c>
      <c r="QS8" s="2">
        <f>-0.0278088540354516*(1)</f>
        <v>-2.7808854035451601E-2</v>
      </c>
      <c r="QT8" s="2">
        <f>-0.229336997643001*(1)</f>
        <v>-0.229336997643001</v>
      </c>
      <c r="QU8" s="2">
        <f>-0.272407104330467*(1)</f>
        <v>-0.272407104330467</v>
      </c>
      <c r="QV8" s="2">
        <f>-0.124235614336102*(1)</f>
        <v>-0.124235614336102</v>
      </c>
      <c r="QW8" s="2">
        <f>-0.102895216845431*(1)</f>
        <v>-0.102895216845431</v>
      </c>
      <c r="QX8" s="2">
        <f>-0.107753110100433*(1)</f>
        <v>-0.10775311010043299</v>
      </c>
      <c r="QY8" s="2">
        <f>-0.223857726733436*(1)</f>
        <v>-0.22385772673343601</v>
      </c>
      <c r="QZ8" s="2">
        <f>-0.339236939137048*(1)</f>
        <v>-0.339236939137048</v>
      </c>
      <c r="RA8" s="2">
        <f>-0.21604871287072*(1)</f>
        <v>-0.21604871287072</v>
      </c>
      <c r="RB8" s="2">
        <f>0.0373359378112644*(1)</f>
        <v>3.7335937811264402E-2</v>
      </c>
      <c r="RC8" s="2">
        <f>0.134062976593899*(1)</f>
        <v>0.13406297659389901</v>
      </c>
      <c r="RD8" s="2">
        <f>-0.482001976362493*(1)</f>
        <v>-0.48200197636249298</v>
      </c>
      <c r="RE8" s="2">
        <f>-0.180321350169364*(1)</f>
        <v>-0.18032135016936399</v>
      </c>
      <c r="RF8" s="2">
        <f>0.152643574814961*(1)</f>
        <v>0.15264357481496099</v>
      </c>
      <c r="RG8" s="2">
        <f>-0.283250940184809*(1)</f>
        <v>-0.28325094018480901</v>
      </c>
      <c r="RH8" s="2">
        <f>0.2927189359357*(1)</f>
        <v>0.29271893593569998</v>
      </c>
      <c r="RI8" s="2">
        <f>-0.136111124937303*(1)</f>
        <v>-0.13611112493730301</v>
      </c>
      <c r="RJ8" s="2">
        <f>0.235534589149458*(1)</f>
        <v>0.23553458914945799</v>
      </c>
      <c r="RK8" s="2">
        <f>-0.236119331338784*(1)</f>
        <v>-0.23611933133878399</v>
      </c>
      <c r="RL8" s="2">
        <f>-0.330361074001001*(1)</f>
        <v>-0.33036107400100101</v>
      </c>
      <c r="RM8" s="2">
        <f>-0.10683594121411*(1)</f>
        <v>-0.10683594121411</v>
      </c>
      <c r="RN8" s="2">
        <f>0.347940320928602*(1)</f>
        <v>0.347940320928602</v>
      </c>
      <c r="RO8" s="2">
        <f>-0.401004255720046*(1)</f>
        <v>-0.401004255720046</v>
      </c>
      <c r="RP8" s="2">
        <f>0.0182279656952686*(1)</f>
        <v>1.8227965695268598E-2</v>
      </c>
      <c r="RQ8" s="2">
        <f>0.0891441951634669*(1)</f>
        <v>8.9144195163466902E-2</v>
      </c>
      <c r="RR8" s="2">
        <f>0.226391608951189*(1)</f>
        <v>0.22639160895118901</v>
      </c>
      <c r="RS8" s="2">
        <f>-0.119474813563566*(1)</f>
        <v>-0.119474813563566</v>
      </c>
      <c r="RT8" s="2">
        <f>0.0232593678793777*(1)</f>
        <v>2.3259367879377699E-2</v>
      </c>
      <c r="RU8" s="2">
        <f>0.150631860680417*(1)</f>
        <v>0.15063186068041701</v>
      </c>
      <c r="RV8" s="2">
        <f>0.0219475682481087*(1)</f>
        <v>2.1947568248108701E-2</v>
      </c>
      <c r="RW8" s="2">
        <f>0.340034406772803*(1)</f>
        <v>0.340034406772803</v>
      </c>
      <c r="RX8" s="2">
        <f>-0.150974720249331*(1)</f>
        <v>-0.15097472024933101</v>
      </c>
      <c r="RY8" s="2">
        <f>-0.214018375658251*(1)</f>
        <v>-0.21401837565825099</v>
      </c>
      <c r="RZ8" s="2">
        <f>-0.126113805919998*(1)</f>
        <v>-0.12611380591999799</v>
      </c>
      <c r="SA8" s="2">
        <f>-0.0518989641073306*(1)</f>
        <v>-5.1898964107330602E-2</v>
      </c>
      <c r="SB8" s="2">
        <f>-0.00187239191658437*(1)</f>
        <v>-1.87239191658437E-3</v>
      </c>
      <c r="SC8" s="2">
        <f>-0.259776888244577*(1)</f>
        <v>-0.25977688824457701</v>
      </c>
      <c r="SD8" s="2">
        <f>-0.196144906256501*(1)</f>
        <v>-0.19614490625650099</v>
      </c>
      <c r="SE8" s="2">
        <f>-0.0626801327687044*(1)</f>
        <v>-6.2680132768704405E-2</v>
      </c>
      <c r="SF8" s="2">
        <f>0.0714354882719784*(1)</f>
        <v>7.1435488271978403E-2</v>
      </c>
      <c r="SG8" s="2">
        <f>-0.197729599729432*(1)</f>
        <v>-0.19772959972943199</v>
      </c>
      <c r="SH8" s="2">
        <f>-0.163438316298153*(1)</f>
        <v>-0.163438316298153</v>
      </c>
      <c r="SI8" s="2">
        <f>-0.322955139382683*(1)</f>
        <v>-0.322955139382683</v>
      </c>
      <c r="SJ8" s="2">
        <f>-0.150276035705412*(1)</f>
        <v>-0.15027603570541201</v>
      </c>
      <c r="SK8" s="2">
        <f>-0.0429921569170701*(1)</f>
        <v>-4.2992156917070097E-2</v>
      </c>
      <c r="SL8" s="2">
        <f>-0.017608519602569*(1)</f>
        <v>-1.7608519602569001E-2</v>
      </c>
      <c r="SM8" s="2">
        <f>0.150230279345882*(1)</f>
        <v>0.15023027934588201</v>
      </c>
      <c r="SN8" s="2">
        <f>0.223262147256715*(1)</f>
        <v>0.223262147256715</v>
      </c>
      <c r="SO8" s="2">
        <f>-0.104581651398228*(1)</f>
        <v>-0.104581651398228</v>
      </c>
      <c r="SP8" s="2">
        <f>-0.117580829099211*(1)</f>
        <v>-0.117580829099211</v>
      </c>
      <c r="SQ8" s="2">
        <f>0.192136215061398*(1)</f>
        <v>0.192136215061398</v>
      </c>
      <c r="SR8" s="2">
        <f>0.0280382403959056*(1)</f>
        <v>2.8038240395905599E-2</v>
      </c>
      <c r="SS8" s="2">
        <f>-0.221117938556964*(1)</f>
        <v>-0.22111793855696399</v>
      </c>
      <c r="ST8" s="2">
        <f>0.160272027504212*(1)</f>
        <v>0.16027202750421199</v>
      </c>
      <c r="SU8" s="2">
        <f>0.194153654107731*(1)</f>
        <v>0.194153654107731</v>
      </c>
      <c r="SV8" s="2">
        <f>0.246144524919181*(1)</f>
        <v>0.24614452491918101</v>
      </c>
      <c r="SW8" s="2">
        <f>-0.0600896659218376*(1)</f>
        <v>-6.00896659218376E-2</v>
      </c>
      <c r="SX8" s="2">
        <f>-0.115498551130359*(1)</f>
        <v>-0.11549855113035901</v>
      </c>
      <c r="SY8" s="2">
        <f>-0.023790121088341*(1)</f>
        <v>-2.3790121088340999E-2</v>
      </c>
      <c r="SZ8" s="2">
        <f>-0.186592792500197*(1)</f>
        <v>-0.186592792500197</v>
      </c>
      <c r="TA8" s="2">
        <f>-0.0410185035745476*(1)</f>
        <v>-4.1018503574547602E-2</v>
      </c>
      <c r="TB8" s="2">
        <f>0.260467028984132*(1)</f>
        <v>0.26046702898413199</v>
      </c>
      <c r="TC8" s="2">
        <f>0.0281729156279089*(1)</f>
        <v>2.8172915627908902E-2</v>
      </c>
      <c r="TD8" s="2">
        <f>-0.0320145566275629*(1)</f>
        <v>-3.2014556627562897E-2</v>
      </c>
      <c r="TE8" s="2">
        <f>0.291257520463474*(1)</f>
        <v>0.29125752046347397</v>
      </c>
      <c r="TF8" s="2">
        <f>-0.0308005366584124*(1)</f>
        <v>-3.0800536658412401E-2</v>
      </c>
      <c r="TG8" s="2">
        <f>-0.151130096463372*(1)</f>
        <v>-0.151130096463372</v>
      </c>
      <c r="TH8" s="2">
        <f>-0.183680243238752*(1)</f>
        <v>-0.18368024323875201</v>
      </c>
      <c r="TI8" s="2">
        <f>0.133738621028728*(1)</f>
        <v>0.13373862102872799</v>
      </c>
      <c r="TJ8" s="2">
        <f>0.121073325919608*(1)</f>
        <v>0.121073325919608</v>
      </c>
      <c r="TK8" s="2">
        <f>0.108098861534195*(1)</f>
        <v>0.108098861534195</v>
      </c>
      <c r="TL8" s="2">
        <f>-0.0221223783928506*(1)</f>
        <v>-2.2122378392850601E-2</v>
      </c>
      <c r="TM8" s="2">
        <f>0.0214083712746666*(1)</f>
        <v>2.1408371274666601E-2</v>
      </c>
      <c r="TN8" s="2">
        <f>0.0284130646733788*(1)</f>
        <v>2.8413064673378799E-2</v>
      </c>
      <c r="TO8" s="2">
        <f>-0.0049684168947879*(1)</f>
        <v>-4.9684168947878998E-3</v>
      </c>
      <c r="TP8" s="2">
        <f>0.00176213581301546*(1)</f>
        <v>1.76213581301546E-3</v>
      </c>
      <c r="TQ8" s="2">
        <f>-0.292836143993955*(1)</f>
        <v>-0.29283614399395502</v>
      </c>
      <c r="TR8" s="2">
        <f>-0.0222071281293874*(1)</f>
        <v>-2.22071281293874E-2</v>
      </c>
      <c r="TS8" s="2">
        <f>0.135456488363876*(1)</f>
        <v>0.135456488363876</v>
      </c>
      <c r="TT8" s="2">
        <f>0.11174841062723*(1)</f>
        <v>0.11174841062723</v>
      </c>
      <c r="TU8" s="2">
        <f>0.490373835268392*(1)</f>
        <v>0.49037383526839201</v>
      </c>
      <c r="TV8" s="2">
        <f>0.13481143350703*(1)</f>
        <v>0.13481143350703001</v>
      </c>
      <c r="TW8" s="2">
        <f>0.247750709722962*(1)</f>
        <v>0.24775070972296201</v>
      </c>
      <c r="TX8" s="2">
        <f>-0.215632837494236*(1)</f>
        <v>-0.21563283749423601</v>
      </c>
      <c r="TY8" s="2">
        <f>-0.0875103373107453*(1)</f>
        <v>-8.7510337310745298E-2</v>
      </c>
      <c r="TZ8" s="2">
        <f>0.0378885278284397*(1)</f>
        <v>3.7888527828439697E-2</v>
      </c>
      <c r="UA8" s="2">
        <f>0.546720625126032*(1)</f>
        <v>0.54672062512603203</v>
      </c>
      <c r="UB8" s="2">
        <f>0.0838447893059222*(1)</f>
        <v>8.3844789305922193E-2</v>
      </c>
      <c r="UC8" s="2">
        <f>0.05411305703807*(1)</f>
        <v>5.4113057038069998E-2</v>
      </c>
      <c r="UD8" s="2">
        <f>-0.423647892862645*(1)</f>
        <v>-0.42364789286264498</v>
      </c>
      <c r="UE8" s="2">
        <f>-0.0103878184791066*(1)</f>
        <v>-1.03878184791066E-2</v>
      </c>
      <c r="UF8" s="2">
        <f>0.0802450377269648*(1)</f>
        <v>8.0245037726964799E-2</v>
      </c>
      <c r="UG8" s="2">
        <f>0.399248051910844*(1)</f>
        <v>0.399248051910844</v>
      </c>
      <c r="UH8" s="2">
        <f>0.0110860401484441*(1)</f>
        <v>1.1086040148444099E-2</v>
      </c>
      <c r="UI8" s="2">
        <f>-0.0152457898258469*(1)</f>
        <v>-1.52457898258469E-2</v>
      </c>
      <c r="UJ8" s="2">
        <f>0.0423886586250789*(1)</f>
        <v>4.2388658625078901E-2</v>
      </c>
      <c r="UK8" s="2">
        <f>-0.281391863063992*(1)</f>
        <v>-0.281391863063992</v>
      </c>
      <c r="UL8" s="2">
        <f>0.298335216302314*(1)</f>
        <v>0.29833521630231402</v>
      </c>
      <c r="UM8" s="2">
        <f>-0.137394620569994*(1)</f>
        <v>-0.13739462056999399</v>
      </c>
      <c r="UN8" s="2">
        <f>-0.0761567072793988*(1)</f>
        <v>-7.61567072793988E-2</v>
      </c>
      <c r="UO8" s="2">
        <f>0.128602661146105*(1)</f>
        <v>0.128602661146105</v>
      </c>
      <c r="UP8" s="2">
        <f>0.0295894022995731*(1)</f>
        <v>2.95894022995731E-2</v>
      </c>
      <c r="UQ8" s="2">
        <f>-0.0470752142181979*(1)</f>
        <v>-4.7075214218197901E-2</v>
      </c>
      <c r="UR8" s="2">
        <f>-0.0354212366495302*(1)</f>
        <v>-3.5421236649530202E-2</v>
      </c>
      <c r="US8" s="2">
        <f>-0.058923438825248*(1)</f>
        <v>-5.8923438825248003E-2</v>
      </c>
      <c r="UT8" s="2">
        <f>-0.405378840114919*(1)</f>
        <v>-0.40537884011491898</v>
      </c>
      <c r="UU8" s="2">
        <f>-0.069258081812335*(1)</f>
        <v>-6.9258081812335004E-2</v>
      </c>
      <c r="UV8" s="2">
        <f>0.256946362216957*(1)</f>
        <v>0.25694636221695699</v>
      </c>
      <c r="UW8" s="2">
        <f>-0.0532232231204621*(1)</f>
        <v>-5.3223223120462099E-2</v>
      </c>
      <c r="UX8" s="2">
        <f>-0.0616167765106123*(1)</f>
        <v>-6.1616776510612301E-2</v>
      </c>
      <c r="UY8" s="2">
        <f>0.668640366277414*(1)</f>
        <v>0.66864036627741397</v>
      </c>
      <c r="UZ8" s="2">
        <f>0.0225799222747094*(1)</f>
        <v>2.25799222747094E-2</v>
      </c>
      <c r="VA8" s="2">
        <f>0.331100386573272*(1)</f>
        <v>0.33110038657327201</v>
      </c>
      <c r="VB8" s="2">
        <f>-0.260140610858795*(1)</f>
        <v>-0.26014061085879497</v>
      </c>
      <c r="VC8" s="2">
        <f>0.229154043139711*(1)</f>
        <v>0.22915404313971099</v>
      </c>
      <c r="VD8" s="2">
        <f>0.27573466173314*(1)</f>
        <v>0.27573466173313999</v>
      </c>
      <c r="VE8" s="2">
        <f>-0.00616284960545915*(1)</f>
        <v>-6.1628496054591496E-3</v>
      </c>
      <c r="VF8" s="2">
        <f>0.217877638114253*(1)</f>
        <v>0.21787763811425301</v>
      </c>
      <c r="VG8" s="2">
        <f>-0.299756651880529*(1)</f>
        <v>-0.29975665188052902</v>
      </c>
      <c r="VH8" s="2">
        <f>0.375929934668957*(1)</f>
        <v>0.37592993466895702</v>
      </c>
      <c r="VI8" s="2">
        <f>0.204719313439767*(1)</f>
        <v>0.20471931343976699</v>
      </c>
      <c r="VJ8" s="2">
        <f>0.25809307099191*(1)</f>
        <v>0.25809307099190998</v>
      </c>
      <c r="VK8" s="2">
        <f>-0.278898291283073*(1)</f>
        <v>-0.27889829128307297</v>
      </c>
      <c r="VL8" s="2">
        <f>-0.077685587194247*(1)</f>
        <v>-7.7685587194246994E-2</v>
      </c>
      <c r="VM8" s="2">
        <f>0.315333291965082*(1)</f>
        <v>0.31533329196508197</v>
      </c>
      <c r="VN8" s="2">
        <f>-0.0411814042769768*(1)</f>
        <v>-4.11814042769768E-2</v>
      </c>
      <c r="VO8" s="2">
        <f>0.00441046629860771*(1)</f>
        <v>4.4104662986077098E-3</v>
      </c>
      <c r="VP8" s="2">
        <f>-0.525667278773896*(1)</f>
        <v>-0.52566727877389596</v>
      </c>
      <c r="VQ8" s="2">
        <f>0.0248360478591814*(1)</f>
        <v>2.48360478591814E-2</v>
      </c>
      <c r="VR8" s="2">
        <f>-0.302394874718249*(1)</f>
        <v>-0.302394874718249</v>
      </c>
      <c r="VS8" s="2">
        <f>-0.15480849645627*(1)</f>
        <v>-0.15480849645627001</v>
      </c>
      <c r="VT8" s="2">
        <f>-0.128883994962523*(1)</f>
        <v>-0.12888399496252301</v>
      </c>
      <c r="VU8" s="2">
        <f>0.296502628415635*(1)</f>
        <v>0.29650262841563502</v>
      </c>
      <c r="VV8" s="2">
        <f>0.108353524613025*(1)</f>
        <v>0.108353524613025</v>
      </c>
      <c r="VW8" s="2">
        <f>0.246191379307228*(1)</f>
        <v>0.24619137930722801</v>
      </c>
      <c r="VX8" s="2">
        <f>-0.0588332501283821*(1)</f>
        <v>-5.88332501283821E-2</v>
      </c>
      <c r="VY8" s="2">
        <f>-0.181221158533641*(1)</f>
        <v>-0.18122115853364101</v>
      </c>
      <c r="VZ8" s="2">
        <f>0.00956882529403879*(1)</f>
        <v>9.5688252940387894E-3</v>
      </c>
      <c r="WA8" s="2">
        <f>0.229692694416044*(1)</f>
        <v>0.22969269441604401</v>
      </c>
      <c r="WB8" s="2">
        <f>0.176977048657624*(1)</f>
        <v>0.17697704865762401</v>
      </c>
      <c r="WC8" s="2">
        <f>-0.0577247214730446*(1)</f>
        <v>-5.7724721473044603E-2</v>
      </c>
      <c r="WD8" s="2">
        <f>0.190584952791936*(1)</f>
        <v>0.19058495279193599</v>
      </c>
      <c r="WE8" s="2">
        <f>0.189374264604529*(1)</f>
        <v>0.189374264604529</v>
      </c>
      <c r="WF8" s="2">
        <f>0.471090340387619*(1)</f>
        <v>0.47109034038761899</v>
      </c>
      <c r="WG8" s="2">
        <f>-0.0381822676507447*(1)</f>
        <v>-3.81822676507447E-2</v>
      </c>
      <c r="WH8" s="2">
        <f>0.170362782637758*(1)</f>
        <v>0.170362782637758</v>
      </c>
      <c r="WI8" s="2">
        <f>0.193714854857023*(1)</f>
        <v>0.193714854857023</v>
      </c>
      <c r="WJ8" s="2">
        <f>0.00270778170279924*(1)</f>
        <v>2.7077817027992401E-3</v>
      </c>
      <c r="WK8" s="2">
        <f>-0.10644919038582*(1)</f>
        <v>-0.10644919038582</v>
      </c>
      <c r="WL8" s="2">
        <f>0.34122361461078*(1)</f>
        <v>0.34122361461077999</v>
      </c>
      <c r="WM8" s="2">
        <f>0.178508440819346*(1)</f>
        <v>0.178508440819346</v>
      </c>
      <c r="WN8" s="2">
        <f>0.296316469853116*(1)</f>
        <v>0.29631646985311599</v>
      </c>
      <c r="WO8" s="2">
        <f>0.185354633980776*(1)</f>
        <v>0.18535463398077601</v>
      </c>
      <c r="WP8" s="2">
        <f>-0.281817733049203*(1)</f>
        <v>-0.28181773304920299</v>
      </c>
      <c r="WQ8" s="2">
        <f>0.419142996279254*(1)</f>
        <v>0.419142996279254</v>
      </c>
      <c r="WR8" s="2">
        <f>0.225950358369304*(1)</f>
        <v>0.22595035836930399</v>
      </c>
      <c r="WS8" s="2">
        <f>0.0743848394439257*(1)</f>
        <v>7.4384839443925696E-2</v>
      </c>
      <c r="WT8" s="2">
        <f>0.353231028873596*(1)</f>
        <v>0.35323102887359598</v>
      </c>
      <c r="WU8" s="2">
        <f>-0.0820820430983004*(1)</f>
        <v>-8.2082043098300403E-2</v>
      </c>
      <c r="WV8" s="2">
        <f>0.212444994353991*(1)</f>
        <v>0.212444994353991</v>
      </c>
      <c r="WW8" s="2">
        <f>-0.0519383218254211*(1)</f>
        <v>-5.1938321825421102E-2</v>
      </c>
      <c r="WX8" s="2">
        <f>-0.28940395845751*(1)</f>
        <v>-0.28940395845750999</v>
      </c>
      <c r="WY8" s="2">
        <f>-0.146125640516917*(1)</f>
        <v>-0.14612564051691701</v>
      </c>
      <c r="WZ8" s="2">
        <f>-0.183466274517215*(1)</f>
        <v>-0.18346627451721501</v>
      </c>
      <c r="XA8" s="2">
        <f>0.0340228998105279*(1)</f>
        <v>3.4022899810527897E-2</v>
      </c>
      <c r="XB8" s="2">
        <f>-0.219735069629008*(1)</f>
        <v>-0.21973506962900799</v>
      </c>
      <c r="XC8" s="2">
        <f>-0.0344543907253623*(1)</f>
        <v>-3.4454390725362299E-2</v>
      </c>
      <c r="XD8" s="2">
        <f>0.393307535123477*(1)</f>
        <v>0.39330753512347699</v>
      </c>
      <c r="XE8" s="2">
        <f>-0.520760187147217*(1)</f>
        <v>-0.52076018714721695</v>
      </c>
      <c r="XF8" s="2">
        <f>0.12234050874438*(1)</f>
        <v>0.12234050874438</v>
      </c>
      <c r="XG8" s="2">
        <f>0.228095273549459*(1)</f>
        <v>0.22809527354945899</v>
      </c>
      <c r="XH8" s="2">
        <f>0.181371316706834*(1)</f>
        <v>0.18137131670683401</v>
      </c>
      <c r="XI8" s="2">
        <f>-0.0373820527984873*(1)</f>
        <v>-3.7382052798487303E-2</v>
      </c>
      <c r="XJ8" s="2">
        <f>0.214871249812849*(1)</f>
        <v>0.214871249812849</v>
      </c>
      <c r="XK8" s="2">
        <f>0.228209648677611*(1)</f>
        <v>0.22820964867761101</v>
      </c>
      <c r="XL8" s="2">
        <f>-0.19399388956173*(1)</f>
        <v>-0.19399388956173</v>
      </c>
      <c r="XM8" s="2">
        <f>0.0734892019982879*(1)</f>
        <v>7.3489201998287901E-2</v>
      </c>
      <c r="XN8" s="2">
        <f>-0.124864876675512*(1)</f>
        <v>-0.12486487667551199</v>
      </c>
      <c r="XO8" s="2">
        <f>0.163358439664405*(1)</f>
        <v>0.163358439664405</v>
      </c>
      <c r="XP8" s="2">
        <f>0.244387813831469*(1)</f>
        <v>0.24438781383146899</v>
      </c>
      <c r="XQ8" s="2">
        <f>-0.191628424244957*(1)</f>
        <v>-0.19162842424495699</v>
      </c>
      <c r="XR8" s="2">
        <f>0.125016893571014*(1)</f>
        <v>0.125016893571014</v>
      </c>
      <c r="XS8" s="2">
        <f>-0.326629116984743*(1)</f>
        <v>-0.32662911698474301</v>
      </c>
      <c r="XT8" s="2">
        <f>-0.0284324942558261*(1)</f>
        <v>-2.8432494255826099E-2</v>
      </c>
      <c r="XU8" s="2">
        <f>0.0678339855294878*(1)</f>
        <v>6.78339855294878E-2</v>
      </c>
      <c r="XV8" s="2">
        <f>0.0664681085726042*(1)</f>
        <v>6.6468108572604198E-2</v>
      </c>
      <c r="XW8" s="2">
        <f>-0.130112356405566*(1)</f>
        <v>-0.13011235640556601</v>
      </c>
      <c r="XX8" s="2">
        <f>-0.158690903925559*(1)</f>
        <v>-0.15869090392555901</v>
      </c>
      <c r="XY8" s="2">
        <f>-0.0744193556163578*(1)</f>
        <v>-7.4419355616357805E-2</v>
      </c>
      <c r="XZ8" s="2">
        <f>0.08093787979378*(1)</f>
        <v>8.0937879793780004E-2</v>
      </c>
      <c r="YA8" s="2">
        <f>-0.232928526335534*(1)</f>
        <v>-0.23292852633553399</v>
      </c>
      <c r="YB8" s="2">
        <f>-0.0227333982084121*(1)</f>
        <v>-2.2733398208412098E-2</v>
      </c>
      <c r="YC8" s="2">
        <f>0.252843367741914*(1)</f>
        <v>0.25284336774191402</v>
      </c>
      <c r="YD8" s="2">
        <f>0.173957248978658*(1)</f>
        <v>0.173957248978658</v>
      </c>
      <c r="YE8" s="2">
        <f>-0.0703136863576681*(1)</f>
        <v>-7.0313686357668104E-2</v>
      </c>
      <c r="YF8" s="2">
        <f>-0.335020819924312*(1)</f>
        <v>-0.33502081992431199</v>
      </c>
      <c r="YG8" s="2">
        <f>-0.0416073756270449*(1)</f>
        <v>-4.1607375627044897E-2</v>
      </c>
      <c r="YH8" s="2">
        <f>-0.225884533220352*(1)</f>
        <v>-0.22588453322035201</v>
      </c>
      <c r="YI8" s="2">
        <f>0.155089810623669*(1)</f>
        <v>0.155089810623669</v>
      </c>
      <c r="YJ8" s="2">
        <f>-0.262775186535218*(1)</f>
        <v>-0.26277518653521797</v>
      </c>
      <c r="YK8" s="2">
        <f>-0.261100086591171*(1)</f>
        <v>-0.26110008659117101</v>
      </c>
      <c r="YL8" s="2">
        <f>-0.225152979099304*(1)</f>
        <v>-0.22515297909930401</v>
      </c>
      <c r="YM8" s="2">
        <f>0.1387048035982*(1)</f>
        <v>0.1387048035982</v>
      </c>
      <c r="YN8" s="2">
        <f>-0.189652699960821*(1)</f>
        <v>-0.18965269996082099</v>
      </c>
      <c r="YO8" s="2">
        <f>0.125190245354655*(1)</f>
        <v>0.12519024535465501</v>
      </c>
      <c r="YP8" s="2">
        <f>-0.164521196424892*(1)</f>
        <v>-0.16452119642489199</v>
      </c>
      <c r="YQ8" s="2">
        <f>-0.26618232308673*(1)</f>
        <v>-0.26618232308673001</v>
      </c>
      <c r="YR8" s="2">
        <f>-0.0668221045228012*(1)</f>
        <v>-6.6822104522801198E-2</v>
      </c>
      <c r="YS8" s="2">
        <f>0.372610178612711*(1)</f>
        <v>0.37261017861271101</v>
      </c>
      <c r="YT8" s="2">
        <f>0.0815681165269626*(1)</f>
        <v>8.1568116526962595E-2</v>
      </c>
      <c r="YU8" s="2">
        <f>-0.101874107786056*(1)</f>
        <v>-0.101874107786056</v>
      </c>
      <c r="YV8" s="2">
        <f>0.0364598113341433*(1)</f>
        <v>3.6459811334143298E-2</v>
      </c>
      <c r="YW8" s="2">
        <f>-0.0596497064148251*(1)</f>
        <v>-5.9649706414825102E-2</v>
      </c>
      <c r="YX8" s="2">
        <f>0.159268616444666*(1)</f>
        <v>0.159268616444666</v>
      </c>
      <c r="YY8" s="2">
        <f>-0.363549298129544*(1)</f>
        <v>-0.36354929812954401</v>
      </c>
      <c r="YZ8" s="2">
        <f>0.0813247063773696*(1)</f>
        <v>8.1324706377369604E-2</v>
      </c>
      <c r="ZA8" s="2">
        <f>0.119298997860076*(1)</f>
        <v>0.119298997860076</v>
      </c>
      <c r="ZB8" s="2">
        <f>0.0188429691412955*(1)</f>
        <v>1.8842969141295501E-2</v>
      </c>
      <c r="ZC8" s="2">
        <f>-0.20193131666842*(1)</f>
        <v>-0.20193131666842001</v>
      </c>
      <c r="ZD8" s="2">
        <f>0.0743701267128158*(1)</f>
        <v>7.4370126712815801E-2</v>
      </c>
      <c r="ZE8" s="2">
        <f>-0.0256246766338417*(1)</f>
        <v>-2.56246766338417E-2</v>
      </c>
      <c r="ZF8" s="2">
        <f>0.159221821513328*(1)</f>
        <v>0.159221821513328</v>
      </c>
      <c r="ZG8" s="2">
        <f>-0.112989085222509*(1)</f>
        <v>-0.112989085222509</v>
      </c>
      <c r="ZH8" s="2">
        <f>-0.0601766240853622*(1)</f>
        <v>-6.0176624085362201E-2</v>
      </c>
      <c r="ZI8" s="2">
        <f>0.307467543098274*(1)</f>
        <v>0.30746754309827401</v>
      </c>
      <c r="ZJ8" s="2">
        <f>-0.0745806454083324*(1)</f>
        <v>-7.4580645408332397E-2</v>
      </c>
      <c r="ZK8" s="2">
        <f>0.268685522276419*(1)</f>
        <v>0.26868552227641901</v>
      </c>
      <c r="ZL8" s="2">
        <f>0.0483472126689006*(1)</f>
        <v>4.8347212668900602E-2</v>
      </c>
      <c r="ZM8" s="2">
        <f>0.383799976819592*(1)</f>
        <v>0.38379997681959199</v>
      </c>
      <c r="ZN8" s="2">
        <f>-0.0942741255727986*(1)</f>
        <v>-9.4274125572798601E-2</v>
      </c>
      <c r="ZO8" s="2">
        <f>0.106541749782832*(1)</f>
        <v>0.106541749782832</v>
      </c>
      <c r="ZP8" s="2">
        <f>-0.21923527519005*(1)</f>
        <v>-0.21923527519005001</v>
      </c>
      <c r="ZQ8" s="2">
        <f>0.227806481191579*(1)</f>
        <v>0.22780648119157901</v>
      </c>
      <c r="ZR8" s="2">
        <f>-0.263121733126628*(1)</f>
        <v>-0.26312173312662801</v>
      </c>
      <c r="ZS8" s="2">
        <f>-0.0343394219480677*(1)</f>
        <v>-3.4339421948067703E-2</v>
      </c>
      <c r="ZT8" s="2">
        <f>-0.131395810538443*(1)</f>
        <v>-0.13139581053844299</v>
      </c>
      <c r="ZU8" s="2">
        <f>0.0505245321514376*(1)</f>
        <v>5.0524532151437603E-2</v>
      </c>
      <c r="ZV8" s="2">
        <f>-0.118640959281981*(1)</f>
        <v>-0.118640959281981</v>
      </c>
      <c r="ZW8" s="2">
        <f>-0.129798817311159*(1)</f>
        <v>-0.129798817311159</v>
      </c>
      <c r="ZX8" s="2">
        <f>-0.221815245291282*(1)</f>
        <v>-0.22181524529128199</v>
      </c>
      <c r="ZY8" s="2">
        <f>0.264123732204579*(1)</f>
        <v>0.26412373220457902</v>
      </c>
      <c r="ZZ8" s="2">
        <f>0.0757787394335068*(1)</f>
        <v>7.5778739433506798E-2</v>
      </c>
      <c r="AAA8" s="2">
        <f>0.0191362486550096*(1)</f>
        <v>1.91362486550096E-2</v>
      </c>
      <c r="AAB8" s="2">
        <f>-0.187060029663131*(1)</f>
        <v>-0.18706002966313101</v>
      </c>
      <c r="AAC8" s="2">
        <f>-0.304997256396026*(1)</f>
        <v>-0.30499725639602598</v>
      </c>
      <c r="AAD8" s="2">
        <f>-0.143149095894468*(1)</f>
        <v>-0.143149095894468</v>
      </c>
      <c r="AAE8" s="2">
        <f>-0.154219818369402*(1)</f>
        <v>-0.15421981836940199</v>
      </c>
      <c r="AAF8" s="2">
        <f>-0.253293025552689*(1)</f>
        <v>-0.25329302555268901</v>
      </c>
      <c r="AAG8" s="2">
        <f>0.272966896497668*(1)</f>
        <v>0.27296689649766798</v>
      </c>
      <c r="AAH8" s="2">
        <f>-0.0247046969509889*(1)</f>
        <v>-2.47046969509889E-2</v>
      </c>
      <c r="AAI8" s="2">
        <f>-0.0552797606073988*(1)</f>
        <v>-5.5279760607398802E-2</v>
      </c>
      <c r="AAJ8" s="2">
        <f>-0.0632263805902052*(1)</f>
        <v>-6.3226380590205203E-2</v>
      </c>
      <c r="AAK8" s="2">
        <f>-0.187557087113062*(1)</f>
        <v>-0.18755708711306199</v>
      </c>
      <c r="AAL8" s="2">
        <f>0.22447726487966*(1)</f>
        <v>0.22447726487965999</v>
      </c>
      <c r="AAM8" s="2">
        <f>-0.151944153177881*(1)</f>
        <v>-0.15194415317788099</v>
      </c>
      <c r="AAN8" s="2">
        <f>0.335972128570258*(1)</f>
        <v>0.33597212857025799</v>
      </c>
      <c r="AAO8" s="2">
        <f>0.196345381339648*(1)</f>
        <v>0.19634538133964799</v>
      </c>
      <c r="AAP8" s="2">
        <f>0.0634811440412017*(1)</f>
        <v>6.3481144041201698E-2</v>
      </c>
      <c r="AAQ8" s="2">
        <f>-0.243504983074121*(1)</f>
        <v>-0.243504983074121</v>
      </c>
      <c r="AAR8" s="2">
        <f>0.118112356771565*(1)</f>
        <v>0.11811235677156499</v>
      </c>
      <c r="AAS8" s="2">
        <f>0.0923422368857038*(1)</f>
        <v>9.2342236885703796E-2</v>
      </c>
      <c r="AAT8" s="2">
        <f>-0.0560781152393693*(1)</f>
        <v>-5.60781152393693E-2</v>
      </c>
      <c r="AAU8" s="2">
        <f>0.0688501884425846*(1)</f>
        <v>6.8850188442584601E-2</v>
      </c>
      <c r="AAV8" s="2">
        <f>-0.104587039428609*(1)</f>
        <v>-0.104587039428609</v>
      </c>
      <c r="AAW8" s="2">
        <f>-0.284254012587603*(1)</f>
        <v>-0.28425401258760302</v>
      </c>
      <c r="AAX8" s="2">
        <f>-0.0900782673080324*(1)</f>
        <v>-9.0078267308032395E-2</v>
      </c>
      <c r="AAY8" s="2">
        <f>-0.0677183051852765*(1)</f>
        <v>-6.7718305185276495E-2</v>
      </c>
      <c r="AAZ8" s="2">
        <f>0.250382857561742*(1)</f>
        <v>0.250382857561742</v>
      </c>
      <c r="ABA8" s="2">
        <f>0.15920315948108*(1)</f>
        <v>0.15920315948107999</v>
      </c>
      <c r="ABB8" s="2">
        <f>-0.166050759959019*(1)</f>
        <v>-0.166050759959019</v>
      </c>
      <c r="ABC8" s="2">
        <f>-0.317948537789976*(1)</f>
        <v>-0.317948537789976</v>
      </c>
      <c r="ABD8" s="2">
        <f>0.0435661202550416*(1)</f>
        <v>4.3566120255041599E-2</v>
      </c>
      <c r="ABE8" s="2">
        <f>-0.5578688261064*(1)</f>
        <v>-0.55786882610639998</v>
      </c>
      <c r="ABF8" s="2">
        <f>-0.168108127539939*(1)</f>
        <v>-0.16810812753993901</v>
      </c>
      <c r="ABG8" s="2">
        <f>-0.312153202019287*(1)</f>
        <v>-0.31215320201928698</v>
      </c>
      <c r="ABH8" s="2">
        <f>0.130723356165345*(1)</f>
        <v>0.130723356165345</v>
      </c>
      <c r="ABI8" s="2">
        <f>-0.147547654302371*(1)</f>
        <v>-0.14754765430237099</v>
      </c>
      <c r="ABJ8" s="2">
        <f>-0.247923055439121*(1)</f>
        <v>-0.24792305543912099</v>
      </c>
      <c r="ABK8" s="2">
        <f>0.0178597601829677*(1)</f>
        <v>1.7859760182967699E-2</v>
      </c>
      <c r="ABL8" s="2">
        <f>-0.245764782939402*(1)</f>
        <v>-0.24576478293940199</v>
      </c>
      <c r="ABM8" s="2">
        <f>0.278801577270729*(1)</f>
        <v>0.27880157727072902</v>
      </c>
      <c r="ABN8" s="2">
        <f>0.279472644129899*(1)</f>
        <v>0.27947264412989897</v>
      </c>
      <c r="ABO8" s="2">
        <f>-0.153029544489361*(1)</f>
        <v>-0.15302954448936101</v>
      </c>
      <c r="ABP8" s="2">
        <f>-0.257601058403949*(1)</f>
        <v>-0.25760105840394898</v>
      </c>
      <c r="ABQ8" s="2">
        <f>-0.0921704295595817*(1)</f>
        <v>-9.2170429559581699E-2</v>
      </c>
      <c r="ABR8" s="2">
        <f>0.0397585040566598*(1)</f>
        <v>3.9758504056659802E-2</v>
      </c>
      <c r="ABS8" s="2">
        <f>0.151438694373122*(1)</f>
        <v>0.15143869437312199</v>
      </c>
      <c r="ABT8" s="2">
        <f>-0.0652595092896695*(1)</f>
        <v>-6.5259509289669504E-2</v>
      </c>
      <c r="ABU8" s="2">
        <f>0.00945350587425286*(1)</f>
        <v>9.4535058742528603E-3</v>
      </c>
      <c r="ABV8" s="2">
        <f>-0.10200808983678*(1)</f>
        <v>-0.10200808983678</v>
      </c>
      <c r="ABW8" s="2">
        <f>-0.164316951293384*(1)</f>
        <v>-0.164316951293384</v>
      </c>
      <c r="ABX8" s="2">
        <f>-0.266560408144422*(1)</f>
        <v>-0.266560408144422</v>
      </c>
      <c r="ABY8" s="2">
        <f>-0.0462179903844237*(1)</f>
        <v>-4.6217990384423702E-2</v>
      </c>
      <c r="ABZ8" s="2">
        <f>0.0145083884061617*(1)</f>
        <v>1.45083884061617E-2</v>
      </c>
      <c r="ACA8" s="2">
        <f>0.216954716979906*(1)</f>
        <v>0.21695471697990601</v>
      </c>
      <c r="ACB8" s="2">
        <f>-0.0248835115810661*(1)</f>
        <v>-2.4883511581066099E-2</v>
      </c>
      <c r="ACC8" s="2">
        <f>0.133055747691024*(1)</f>
        <v>0.13305574769102399</v>
      </c>
      <c r="ACD8" s="2">
        <f>-0.269000484178796*(1)</f>
        <v>-0.26900048417879602</v>
      </c>
      <c r="ACE8" s="2">
        <f>-0.0693829726591038*(1)</f>
        <v>-6.93829726591038E-2</v>
      </c>
      <c r="ACF8" s="2">
        <f>-0.312253833562479*(1)</f>
        <v>-0.31225383356247899</v>
      </c>
      <c r="ACG8" s="2">
        <f>0.0198577592289497*(1)</f>
        <v>1.9857759228949699E-2</v>
      </c>
      <c r="ACH8" s="2">
        <f>-0.0450828577162966*(1)</f>
        <v>-4.5082857716296602E-2</v>
      </c>
      <c r="ACI8" s="2">
        <f>-0.150557877244488*(1)</f>
        <v>-0.15055787724448799</v>
      </c>
      <c r="ACJ8" s="2">
        <f>-0.0191584361476078*(1)</f>
        <v>-1.9158436147607798E-2</v>
      </c>
      <c r="ACK8" s="2">
        <f>-0.164263593555462*(1)</f>
        <v>-0.164263593555462</v>
      </c>
      <c r="ACL8" s="2">
        <f>-0.258199856526633*(1)</f>
        <v>-0.25819985652663302</v>
      </c>
      <c r="ACM8" s="2">
        <f>-0.519815927657807*(1)</f>
        <v>-0.51981592765780704</v>
      </c>
      <c r="ACN8" s="2">
        <f>-0.389048150257157*(1)</f>
        <v>-0.389048150257157</v>
      </c>
      <c r="ACO8" s="2">
        <f>0.0346882423549472*(1)</f>
        <v>3.4688242354947198E-2</v>
      </c>
      <c r="ACP8" s="2">
        <f>-0.124536482420932*(1)</f>
        <v>-0.124536482420932</v>
      </c>
      <c r="ACQ8" s="2">
        <f>0.0642809134567837*(1)</f>
        <v>6.4280913456783703E-2</v>
      </c>
      <c r="ACR8" s="2">
        <f>-0.274716601541098*(1)</f>
        <v>-0.274716601541098</v>
      </c>
      <c r="ACS8" s="2">
        <f>-0.306881517228263*(1)</f>
        <v>-0.30688151722826301</v>
      </c>
      <c r="ACT8" s="2">
        <f>0.184703399004292*(1)</f>
        <v>0.184703399004292</v>
      </c>
      <c r="ACU8" s="2">
        <f>0.0299202856804186*(1)</f>
        <v>2.9920285680418601E-2</v>
      </c>
      <c r="ACV8" s="2">
        <f>0.0433648140829827*(1)</f>
        <v>4.3364814082982699E-2</v>
      </c>
    </row>
    <row r="9" spans="1:776" x14ac:dyDescent="0.2">
      <c r="A9" s="1" t="s">
        <v>70651</v>
      </c>
      <c r="B9" s="2">
        <f>-0.821402728621403*(1)</f>
        <v>-0.82140272862140296</v>
      </c>
      <c r="C9" s="2">
        <f>-0.121557804524824*(1)</f>
        <v>-0.121557804524824</v>
      </c>
      <c r="D9" s="2">
        <f>-0.437635208391164*(1)</f>
        <v>-0.43763520839116399</v>
      </c>
      <c r="E9" s="2">
        <f>0.588076282923104*(1)</f>
        <v>0.58807628292310399</v>
      </c>
      <c r="F9" s="2">
        <f>0.435177954018143*(1)</f>
        <v>0.43517795401814302</v>
      </c>
      <c r="G9" s="2">
        <f>0.122507809099696*(1)</f>
        <v>0.122507809099696</v>
      </c>
      <c r="H9" s="2">
        <f>0.467483015426009*(1)</f>
        <v>0.46748301542600901</v>
      </c>
      <c r="I9" s="2">
        <f>0.164906660757634*(1)</f>
        <v>0.16490666075763399</v>
      </c>
      <c r="J9" s="2">
        <f>-0.0937222737759475*(1)</f>
        <v>-9.3722273775947496E-2</v>
      </c>
      <c r="K9" s="2">
        <f>0.00394917185644097*(1)</f>
        <v>3.9491718564409698E-3</v>
      </c>
      <c r="L9" s="2">
        <f>0.020221863053383*(1)</f>
        <v>2.0221863053382999E-2</v>
      </c>
      <c r="M9" s="2">
        <f>0.0632243921485994*(1)</f>
        <v>6.3224392148599401E-2</v>
      </c>
      <c r="N9" s="2">
        <f>0.289027420426239*(1)</f>
        <v>0.28902742042623902</v>
      </c>
      <c r="O9" s="2">
        <f>-0.217730696923981*(1)</f>
        <v>-0.217730696923981</v>
      </c>
      <c r="P9" s="2">
        <f>0.505414591267368*(1)</f>
        <v>0.50541459126736799</v>
      </c>
      <c r="Q9" s="2">
        <f>-0.187672122769856*(1)</f>
        <v>-0.18767212276985601</v>
      </c>
      <c r="R9" s="2">
        <f>0.1056946527894*(1)</f>
        <v>0.1056946527894</v>
      </c>
      <c r="S9" s="2">
        <f>0.0878540273895866*(1)</f>
        <v>8.78540273895866E-2</v>
      </c>
      <c r="T9" s="2">
        <f>0.109103363242385*(1)</f>
        <v>0.109103363242385</v>
      </c>
      <c r="U9" s="2">
        <f>-0.00229976169970238*(1)</f>
        <v>-2.2997616997023798E-3</v>
      </c>
      <c r="V9" s="2">
        <f>-0.352354896778505*(1)</f>
        <v>-0.35235489677850501</v>
      </c>
      <c r="W9" s="2">
        <f>0.140324091825418*(1)</f>
        <v>0.140324091825418</v>
      </c>
      <c r="X9" s="2">
        <f>-1.26059911516656*(1)</f>
        <v>-1.2605991151665601</v>
      </c>
      <c r="Y9" s="2">
        <f>-0.0843630569226531*(1)</f>
        <v>-8.4363056922653099E-2</v>
      </c>
      <c r="Z9" s="2">
        <f>0.400215053276383*(1)</f>
        <v>0.40021505327638301</v>
      </c>
      <c r="AA9" s="2">
        <f>0.5733850725023*(1)</f>
        <v>0.57338507250229998</v>
      </c>
      <c r="AB9" s="2">
        <f>0.625301099659021*(1)</f>
        <v>0.62530109965902103</v>
      </c>
      <c r="AC9" s="2">
        <f>0.0225485644754697*(1)</f>
        <v>2.2548564475469698E-2</v>
      </c>
      <c r="AD9" s="2">
        <f>1.15733586073474*(1)</f>
        <v>1.1573358607347399</v>
      </c>
      <c r="AE9" s="2">
        <f>-0.101786492364195*(1)</f>
        <v>-0.101786492364195</v>
      </c>
      <c r="AF9" s="2">
        <f>-0.174879901799708*(1)</f>
        <v>-0.174879901799708</v>
      </c>
      <c r="AG9" s="2">
        <f>0.22628091749865*(1)</f>
        <v>0.22628091749865001</v>
      </c>
      <c r="AH9" s="2">
        <f>-0.0835802726555672*(1)</f>
        <v>-8.3580272655567195E-2</v>
      </c>
      <c r="AI9" s="2">
        <f>-0.542634472173343*(1)</f>
        <v>-0.54263447217334304</v>
      </c>
      <c r="AJ9" s="2">
        <f>0.26445172792629*(1)</f>
        <v>0.26445172792629001</v>
      </c>
      <c r="AK9" s="2">
        <f>-1.46482978064926*(1)</f>
        <v>-1.4648297806492601</v>
      </c>
      <c r="AL9" s="2">
        <f>0.480890663661263*(1)</f>
        <v>0.48089066366126298</v>
      </c>
      <c r="AM9" s="2">
        <f>0.376647360187217*(1)</f>
        <v>0.37664736018721701</v>
      </c>
      <c r="AN9" s="2">
        <f>1.1858244413526*(1)</f>
        <v>1.1858244413526</v>
      </c>
      <c r="AO9" s="2">
        <f>-0.267000810842279*(1)</f>
        <v>-0.267000810842279</v>
      </c>
      <c r="AP9" s="2">
        <f>0.202533438264621*(1)</f>
        <v>0.202533438264621</v>
      </c>
      <c r="AQ9" s="2">
        <f>0.245901032370314*(1)</f>
        <v>0.24590103237031399</v>
      </c>
      <c r="AR9" s="2">
        <f>-0.49818395780617*(1)</f>
        <v>-0.49818395780616997</v>
      </c>
      <c r="AS9" s="2">
        <f>-0.845108606132773*(1)</f>
        <v>-0.84510860613277305</v>
      </c>
      <c r="AT9" s="2">
        <f>0.165613415222639*(1)</f>
        <v>0.165613415222639</v>
      </c>
      <c r="AU9" s="2">
        <f>-0.519731764524526*(1)</f>
        <v>-0.51973176452452596</v>
      </c>
      <c r="AV9" s="2">
        <f>-0.114293969979101*(1)</f>
        <v>-0.114293969979101</v>
      </c>
      <c r="AW9" s="2">
        <f>0.946100982455412*(1)</f>
        <v>0.94610098245541197</v>
      </c>
      <c r="AX9" s="2">
        <f>0.229810459218811*(1)</f>
        <v>0.22981045921881099</v>
      </c>
      <c r="AY9" s="2">
        <f>0.401303863334836*(1)</f>
        <v>0.40130386333483598</v>
      </c>
      <c r="AZ9" s="2">
        <f>-0.322381729216248*(1)</f>
        <v>-0.32238172921624803</v>
      </c>
      <c r="BA9" s="2">
        <f>-0.426935780187718*(1)</f>
        <v>-0.42693578018771799</v>
      </c>
      <c r="BB9" s="2">
        <f>0.0689666396853306*(1)</f>
        <v>6.8966639685330594E-2</v>
      </c>
      <c r="BC9" s="2">
        <f>-0.407630857831028*(1)</f>
        <v>-0.40763085783102798</v>
      </c>
      <c r="BD9" s="2">
        <f>0.0738965555994693*(1)</f>
        <v>7.3896555599469296E-2</v>
      </c>
      <c r="BE9" s="2">
        <f>0.94049881087661*(1)</f>
        <v>0.94049881087661003</v>
      </c>
      <c r="BF9" s="2">
        <f>-0.354846674843131*(1)</f>
        <v>-0.35484667484313098</v>
      </c>
      <c r="BG9" s="2">
        <f>-0.472750400319061*(1)</f>
        <v>-0.47275040031906101</v>
      </c>
      <c r="BH9" s="2">
        <f>0.34308924149196*(1)</f>
        <v>0.34308924149196002</v>
      </c>
      <c r="BI9" s="2">
        <f>0.587838067044481*(1)</f>
        <v>0.58783806704448105</v>
      </c>
      <c r="BJ9" s="2">
        <f>0.181141604228128*(1)</f>
        <v>0.181141604228128</v>
      </c>
      <c r="BK9" s="2">
        <f>-0.40113860678604*(1)</f>
        <v>-0.40113860678604002</v>
      </c>
      <c r="BL9" s="2">
        <f>-0.0352204917394989*(1)</f>
        <v>-3.5220491739498899E-2</v>
      </c>
      <c r="BM9" s="2">
        <f>0.67246584571351*(1)</f>
        <v>0.67246584571350998</v>
      </c>
      <c r="BN9" s="2">
        <f>0.267783743377687*(1)</f>
        <v>0.26778374337768701</v>
      </c>
      <c r="BO9" s="2">
        <f>-0.432170562306498*(1)</f>
        <v>-0.43217056230649797</v>
      </c>
      <c r="BP9" s="2">
        <f>-0.844269600907538*(1)</f>
        <v>-0.844269600907538</v>
      </c>
      <c r="BQ9" s="2">
        <f>0.990422252014824*(1)</f>
        <v>0.99042225201482403</v>
      </c>
      <c r="BR9" s="2">
        <f>-0.268864436200839*(1)</f>
        <v>-0.268864436200839</v>
      </c>
      <c r="BS9" s="2">
        <f>-0.481993625149594*(1)</f>
        <v>-0.48199362514959398</v>
      </c>
      <c r="BT9" s="2">
        <f>-0.0456717022408247*(1)</f>
        <v>-4.5671702240824702E-2</v>
      </c>
      <c r="BU9" s="2">
        <f>0.0338475551666407*(1)</f>
        <v>3.3847555166640703E-2</v>
      </c>
      <c r="BV9" s="2">
        <f>-0.044323885425014*(1)</f>
        <v>-4.4323885425013997E-2</v>
      </c>
      <c r="BW9" s="2">
        <f>0.390696311479637*(1)</f>
        <v>0.39069631147963702</v>
      </c>
      <c r="BX9" s="2">
        <f>0.18449808724605*(1)</f>
        <v>0.18449808724604999</v>
      </c>
      <c r="BY9" s="2">
        <f>-0.492214601109851*(1)</f>
        <v>-0.49221460110985099</v>
      </c>
      <c r="BZ9" s="2">
        <f>-0.825672574369072*(1)</f>
        <v>-0.82567257436907204</v>
      </c>
      <c r="CA9" s="2">
        <f>-0.0814939441595312*(1)</f>
        <v>-8.1493944159531206E-2</v>
      </c>
      <c r="CB9" s="2">
        <f>-0.0509586973691768*(1)</f>
        <v>-5.0958697369176797E-2</v>
      </c>
      <c r="CC9" s="2">
        <f>0.120417253291464*(1)</f>
        <v>0.12041725329146399</v>
      </c>
      <c r="CD9" s="2">
        <f>-0.00726965104645364*(1)</f>
        <v>-7.2696510464536398E-3</v>
      </c>
      <c r="CE9" s="2">
        <f>-0.327059814970871*(1)</f>
        <v>-0.327059814970871</v>
      </c>
      <c r="CF9" s="2">
        <f>-0.63471077104141*(1)</f>
        <v>-0.63471077104141005</v>
      </c>
      <c r="CG9" s="2">
        <f>0.45898422585289*(1)</f>
        <v>0.45898422585289</v>
      </c>
      <c r="CH9" s="2">
        <f>0.104149378831509*(1)</f>
        <v>0.104149378831509</v>
      </c>
      <c r="CI9" s="2">
        <f>0.465423709833432*(1)</f>
        <v>0.46542370983343201</v>
      </c>
      <c r="CJ9" s="2">
        <f>-0.671309022362676*(1)</f>
        <v>-0.67130902236267598</v>
      </c>
      <c r="CK9" s="2">
        <f>0.0604857045597498*(1)</f>
        <v>6.0485704559749803E-2</v>
      </c>
      <c r="CL9" s="2">
        <f>0.674474216470889*(1)</f>
        <v>0.67447421647088901</v>
      </c>
      <c r="CM9" s="2">
        <f>0.530991729339216*(1)</f>
        <v>0.53099172933921601</v>
      </c>
      <c r="CN9" s="2">
        <f>0.232760525600008*(1)</f>
        <v>0.23276052560000801</v>
      </c>
      <c r="CO9" s="2">
        <f>-0.232884367747605*(1)</f>
        <v>-0.23288436774760499</v>
      </c>
      <c r="CP9" s="2">
        <f>-0.939189134179258*(1)</f>
        <v>-0.93918913417925798</v>
      </c>
      <c r="CQ9" s="2">
        <f>-0.171805501519261*(1)</f>
        <v>-0.17180550151926099</v>
      </c>
      <c r="CR9" s="2">
        <f>0.289507099360789*(1)</f>
        <v>0.289507099360789</v>
      </c>
      <c r="CS9" s="2">
        <f>-0.794066522469378*(1)</f>
        <v>-0.79406652246937803</v>
      </c>
      <c r="CT9" s="2">
        <f>-0.521954964625002*(1)</f>
        <v>-0.52195496462500202</v>
      </c>
      <c r="CU9" s="2">
        <f>0.638180458348742*(1)</f>
        <v>0.63818045834874204</v>
      </c>
      <c r="CV9" s="2">
        <f>-0.944489913554396*(1)</f>
        <v>-0.94448991355439604</v>
      </c>
      <c r="CW9" s="2">
        <f>-0.356043009508693*(1)</f>
        <v>-0.356043009508693</v>
      </c>
      <c r="CX9" s="2">
        <f>-0.0103526942504318*(1)</f>
        <v>-1.0352694250431799E-2</v>
      </c>
      <c r="CY9" s="2">
        <f>-0.00422160102570456*(1)</f>
        <v>-4.2216010257045602E-3</v>
      </c>
      <c r="CZ9" s="2">
        <f>-0.227023399910129*(1)</f>
        <v>-0.22702339991012899</v>
      </c>
      <c r="DA9" s="2">
        <f>0.48484369327445*(1)</f>
        <v>0.48484369327444998</v>
      </c>
      <c r="DB9" s="2">
        <f>0.508799948166762*(1)</f>
        <v>0.50879994816676199</v>
      </c>
      <c r="DC9" s="2">
        <f>-0.360575358736673*(1)</f>
        <v>-0.36057535873667301</v>
      </c>
      <c r="DD9" s="2">
        <f>0.178351138606767*(1)</f>
        <v>0.17835113860676699</v>
      </c>
      <c r="DE9" s="2">
        <f>-0.388635399059992*(1)</f>
        <v>-0.388635399059992</v>
      </c>
      <c r="DF9" s="2">
        <f>0.0449853336683908*(1)</f>
        <v>4.4985333668390803E-2</v>
      </c>
      <c r="DG9" s="2">
        <f>-0.014331398353352*(1)</f>
        <v>-1.4331398353352001E-2</v>
      </c>
      <c r="DH9" s="2">
        <f>-0.0161738740979876*(1)</f>
        <v>-1.6173874097987598E-2</v>
      </c>
      <c r="DI9" s="2">
        <f>0.318584031284816*(1)</f>
        <v>0.31858403128481599</v>
      </c>
      <c r="DJ9" s="2">
        <f>0.34301269730771*(1)</f>
        <v>0.34301269730771</v>
      </c>
      <c r="DK9" s="2">
        <f>0.092749675309592*(1)</f>
        <v>9.2749675309591995E-2</v>
      </c>
      <c r="DL9" s="2">
        <f>1.04102675612178*(1)</f>
        <v>1.0410267561217801</v>
      </c>
      <c r="DM9" s="2">
        <f>-0.948519554059114*(1)</f>
        <v>-0.94851955405911403</v>
      </c>
      <c r="DN9" s="2">
        <f>0.0410471812761935*(1)</f>
        <v>4.1047181276193501E-2</v>
      </c>
      <c r="DO9" s="2">
        <f>0.912691779388063*(1)</f>
        <v>0.91269177938806301</v>
      </c>
      <c r="DP9" s="2">
        <f>0.137108898124076*(1)</f>
        <v>0.13710889812407601</v>
      </c>
      <c r="DQ9" s="2">
        <f>0.712785370464326*(1)</f>
        <v>0.712785370464326</v>
      </c>
      <c r="DR9" s="2">
        <f>0.61856444788179*(1)</f>
        <v>0.61856444788178999</v>
      </c>
      <c r="DS9" s="2">
        <f>1.48606810423203*(1)</f>
        <v>1.4860681042320301</v>
      </c>
      <c r="DT9" s="2">
        <f>0.51809415440102*(1)</f>
        <v>0.51809415440102002</v>
      </c>
      <c r="DU9" s="2">
        <f>-0.263976610921093*(1)</f>
        <v>-0.26397661092109298</v>
      </c>
      <c r="DV9" s="2">
        <f>-0.344963531235363*(1)</f>
        <v>-0.344963531235363</v>
      </c>
      <c r="DW9" s="2">
        <f>-0.464114483811791*(1)</f>
        <v>-0.46411448381179099</v>
      </c>
      <c r="DX9" s="2">
        <f>-0.421187407648814*(1)</f>
        <v>-0.42118740764881402</v>
      </c>
      <c r="DY9" s="2">
        <f>0.346045666191883*(1)</f>
        <v>0.34604566619188298</v>
      </c>
      <c r="DZ9" s="2">
        <f>-0.0931149089754458*(1)</f>
        <v>-9.3114908975445804E-2</v>
      </c>
      <c r="EA9" s="2">
        <f>0.426800729289639*(1)</f>
        <v>0.42680072928963902</v>
      </c>
      <c r="EB9" s="2">
        <f>0.478656544720724*(1)</f>
        <v>0.478656544720724</v>
      </c>
      <c r="EC9" s="2">
        <f>0.317605751562929*(1)</f>
        <v>0.31760575156292897</v>
      </c>
      <c r="ED9" s="2">
        <f>0.167200974348857*(1)</f>
        <v>0.167200974348857</v>
      </c>
      <c r="EE9" s="2">
        <f>-0.0818681276691697*(1)</f>
        <v>-8.1868127669169705E-2</v>
      </c>
      <c r="EF9" s="2">
        <f>-0.116850413826828*(1)</f>
        <v>-0.116850413826828</v>
      </c>
      <c r="EG9" s="2">
        <f>0.404393721126765*(1)</f>
        <v>0.40439372112676503</v>
      </c>
      <c r="EH9" s="2">
        <f>-0.234284102958749*(1)</f>
        <v>-0.23428410295874899</v>
      </c>
      <c r="EI9" s="2">
        <f>0.334034510334355*(1)</f>
        <v>0.33403451033435499</v>
      </c>
      <c r="EJ9" s="2">
        <f>-0.2815872056242*(1)</f>
        <v>-0.28158720562419998</v>
      </c>
      <c r="EK9" s="2">
        <f>0.570285950372894*(1)</f>
        <v>0.57028595037289398</v>
      </c>
      <c r="EL9" s="2">
        <f>0.233448988063419*(1)</f>
        <v>0.23344898806341899</v>
      </c>
      <c r="EM9" s="2">
        <f>0.0576297749655492*(1)</f>
        <v>5.7629774965549198E-2</v>
      </c>
      <c r="EN9" s="2">
        <f>-0.501070903181197*(1)</f>
        <v>-0.50107090318119696</v>
      </c>
      <c r="EO9" s="2">
        <f>0.461973604125017*(1)</f>
        <v>0.46197360412501698</v>
      </c>
      <c r="EP9" s="2">
        <f>-0.202331995684234*(1)</f>
        <v>-0.20233199568423399</v>
      </c>
      <c r="EQ9" s="2">
        <f>0.915661692589457*(1)</f>
        <v>0.91566169258945695</v>
      </c>
      <c r="ER9" s="2">
        <f>0.410410694990083*(1)</f>
        <v>0.41041069499008298</v>
      </c>
      <c r="ES9" s="2">
        <f>-0.0584879642087043*(1)</f>
        <v>-5.84879642087043E-2</v>
      </c>
      <c r="ET9" s="2">
        <f>0.372176517052284*(1)</f>
        <v>0.37217651705228399</v>
      </c>
      <c r="EU9" s="2">
        <f>0.0588395924780337*(1)</f>
        <v>5.8839592478033699E-2</v>
      </c>
      <c r="EV9" s="2">
        <f>0.176823020451007*(1)</f>
        <v>0.17682302045100701</v>
      </c>
      <c r="EW9" s="2">
        <f>0.56393398905578*(1)</f>
        <v>0.56393398905577996</v>
      </c>
      <c r="EX9" s="2">
        <f>-0.280066021725821*(1)</f>
        <v>-0.28006602172582101</v>
      </c>
      <c r="EY9" s="2">
        <f>0.120955876205565*(1)</f>
        <v>0.120955876205565</v>
      </c>
      <c r="EZ9" s="2">
        <f>-0.286869882888742*(1)</f>
        <v>-0.28686988288874199</v>
      </c>
      <c r="FA9" s="2">
        <f>0.070433595135987*(1)</f>
        <v>7.0433595135987001E-2</v>
      </c>
      <c r="FB9" s="2">
        <f>0.0316570851154055*(1)</f>
        <v>3.1657085115405499E-2</v>
      </c>
      <c r="FC9" s="2">
        <f>0.0917202603007133*(1)</f>
        <v>9.1720260300713299E-2</v>
      </c>
      <c r="FD9" s="2">
        <f>-0.423417654520607*(1)</f>
        <v>-0.42341765452060698</v>
      </c>
      <c r="FE9" s="2">
        <f>-0.274714357338464*(1)</f>
        <v>-0.274714357338464</v>
      </c>
      <c r="FF9" s="2">
        <f>0.359271852828657*(1)</f>
        <v>0.35927185282865698</v>
      </c>
      <c r="FG9" s="2">
        <f>0.0367830541475576*(1)</f>
        <v>3.6783054147557601E-2</v>
      </c>
      <c r="FH9" s="2">
        <f>-0.189293666199955*(1)</f>
        <v>-0.189293666199955</v>
      </c>
      <c r="FI9" s="2">
        <f>-0.426875201629912*(1)</f>
        <v>-0.42687520162991199</v>
      </c>
      <c r="FJ9" s="2">
        <f>0.850873714947127*(1)</f>
        <v>0.85087371494712705</v>
      </c>
      <c r="FK9" s="2">
        <f>0.422411095007611*(1)</f>
        <v>0.42241109500761098</v>
      </c>
      <c r="FL9" s="2">
        <f>-0.20532034704956*(1)</f>
        <v>-0.20532034704956001</v>
      </c>
      <c r="FM9" s="2">
        <f>-0.518448349053916*(1)</f>
        <v>-0.51844834905391601</v>
      </c>
      <c r="FN9" s="2">
        <f>-0.183621929779393*(1)</f>
        <v>-0.18362192977939301</v>
      </c>
      <c r="FO9" s="2">
        <f>-0.189763164781983*(1)</f>
        <v>-0.18976316478198299</v>
      </c>
      <c r="FP9" s="2">
        <f>0.19599590289161*(1)</f>
        <v>0.19599590289161001</v>
      </c>
      <c r="FQ9" s="2">
        <f>0.650705792479242*(1)</f>
        <v>0.65070579247924198</v>
      </c>
      <c r="FR9" s="2">
        <f>0.101395233845135*(1)</f>
        <v>0.101395233845135</v>
      </c>
      <c r="FS9" s="2">
        <f>-0.0641968257952185*(1)</f>
        <v>-6.4196825795218501E-2</v>
      </c>
      <c r="FT9" s="2">
        <f>-0.0808333757977171*(1)</f>
        <v>-8.08333757977171E-2</v>
      </c>
      <c r="FU9" s="2">
        <f>-0.829667890045548*(1)</f>
        <v>-0.82966789004554797</v>
      </c>
      <c r="FV9" s="2">
        <f>0.0959764360128915*(1)</f>
        <v>9.5976436012891506E-2</v>
      </c>
      <c r="FW9" s="2">
        <f>-0.250528714899056*(1)</f>
        <v>-0.25052871489905598</v>
      </c>
      <c r="FX9" s="2">
        <f>-0.166733099462254*(1)</f>
        <v>-0.16673309946225401</v>
      </c>
      <c r="FY9" s="2">
        <f>0.263484109190438*(1)</f>
        <v>0.26348410919043802</v>
      </c>
      <c r="FZ9" s="2">
        <f>0.00490658670388796*(1)</f>
        <v>4.9065867038879602E-3</v>
      </c>
      <c r="GA9" s="2">
        <f>-0.339054421613842*(1)</f>
        <v>-0.33905442161384203</v>
      </c>
      <c r="GB9" s="2">
        <f>0.93513263414258*(1)</f>
        <v>0.93513263414257997</v>
      </c>
      <c r="GC9" s="2">
        <f>0.462550072441109*(1)</f>
        <v>0.46255007244110902</v>
      </c>
      <c r="GD9" s="2">
        <f>-0.285146419010778*(1)</f>
        <v>-0.28514641901077797</v>
      </c>
      <c r="GE9" s="2">
        <f>-0.00845694916754218*(1)</f>
        <v>-8.4569491675421798E-3</v>
      </c>
      <c r="GF9" s="2">
        <f>0.528420735049004*(1)</f>
        <v>0.528420735049004</v>
      </c>
      <c r="GG9" s="2">
        <f>-0.398271161269515*(1)</f>
        <v>-0.39827116126951501</v>
      </c>
      <c r="GH9" s="2">
        <f>0.0709151119304433*(1)</f>
        <v>7.0915111930443295E-2</v>
      </c>
      <c r="GI9" s="2">
        <f>0.416148328856953*(1)</f>
        <v>0.41614832885695302</v>
      </c>
      <c r="GJ9" s="2">
        <f>0.0733848879838468*(1)</f>
        <v>7.3384887983846805E-2</v>
      </c>
      <c r="GK9" s="2">
        <f>-0.354628732667098*(1)</f>
        <v>-0.35462873266709799</v>
      </c>
      <c r="GL9" s="2">
        <f>-0.339178690702853*(1)</f>
        <v>-0.339178690702853</v>
      </c>
      <c r="GM9" s="2">
        <f>0.0694341029296833*(1)</f>
        <v>6.94341029296833E-2</v>
      </c>
      <c r="GN9" s="2">
        <f>0.120170135879758*(1)</f>
        <v>0.120170135879758</v>
      </c>
      <c r="GO9" s="2">
        <f>-0.485563680947624*(1)</f>
        <v>-0.48556368094762398</v>
      </c>
      <c r="GP9" s="2">
        <f>-0.20727858878823*(1)</f>
        <v>-0.20727858878822999</v>
      </c>
      <c r="GQ9" s="2">
        <f>-0.121072304627595*(1)</f>
        <v>-0.121072304627595</v>
      </c>
      <c r="GR9" s="2">
        <f>0.941257755968284*(1)</f>
        <v>0.94125775596828398</v>
      </c>
      <c r="GS9" s="2">
        <f>0.364566137140019*(1)</f>
        <v>0.36456613714001901</v>
      </c>
      <c r="GT9" s="2">
        <f>0.377423223304191*(1)</f>
        <v>0.37742322330419098</v>
      </c>
      <c r="GU9" s="2">
        <f>-0.505954590799895*(1)</f>
        <v>-0.50595459079989502</v>
      </c>
      <c r="GV9" s="2">
        <f>0.317629829804665*(1)</f>
        <v>0.31762982980466498</v>
      </c>
      <c r="GW9" s="2">
        <f>-0.285704447716934*(1)</f>
        <v>-0.28570444771693398</v>
      </c>
      <c r="GX9" s="2">
        <f>0.0330448023499641*(1)</f>
        <v>3.3044802349964097E-2</v>
      </c>
      <c r="GY9" s="2">
        <f>0.139608137196484*(1)</f>
        <v>0.13960813719648399</v>
      </c>
      <c r="GZ9" s="2">
        <f>0.189371373512728*(1)</f>
        <v>0.18937137351272801</v>
      </c>
      <c r="HA9" s="2">
        <f>-0.419349223233851*(1)</f>
        <v>-0.41934922323385099</v>
      </c>
      <c r="HB9" s="2">
        <f>-0.617947786368414*(1)</f>
        <v>-0.61794778636841396</v>
      </c>
      <c r="HC9" s="2">
        <f>-0.15989421015067*(1)</f>
        <v>-0.15989421015067001</v>
      </c>
      <c r="HD9" s="2">
        <f>-0.433019401416663*(1)</f>
        <v>-0.43301940141666301</v>
      </c>
      <c r="HE9" s="2">
        <f>0.0195875226062099*(1)</f>
        <v>1.9587522606209901E-2</v>
      </c>
      <c r="HF9" s="2">
        <f>-0.0790872503381054*(1)</f>
        <v>-7.9087250338105403E-2</v>
      </c>
      <c r="HG9" s="2">
        <f>0.0706366493021433*(1)</f>
        <v>7.0636649302143306E-2</v>
      </c>
      <c r="HH9" s="2">
        <f>-0.130173524503693*(1)</f>
        <v>-0.13017352450369299</v>
      </c>
      <c r="HI9" s="2">
        <f>0.729458116094741*(1)</f>
        <v>0.72945811609474098</v>
      </c>
      <c r="HJ9" s="2">
        <f>-0.216373277793466*(1)</f>
        <v>-0.21637327779346599</v>
      </c>
      <c r="HK9" s="2">
        <f>0.554223353548316*(1)</f>
        <v>0.55422335354831598</v>
      </c>
      <c r="HL9" s="2">
        <f>-0.319100569674479*(1)</f>
        <v>-0.31910056967447897</v>
      </c>
      <c r="HM9" s="2">
        <f>-0.0493851603438978*(1)</f>
        <v>-4.9385160343897803E-2</v>
      </c>
      <c r="HN9" s="2">
        <f>-0.203475943057721*(1)</f>
        <v>-0.20347594305772099</v>
      </c>
      <c r="HO9" s="2">
        <f>-0.13457903437046*(1)</f>
        <v>-0.13457903437046001</v>
      </c>
      <c r="HP9" s="2">
        <f>-0.239985844365153*(1)</f>
        <v>-0.23998584436515299</v>
      </c>
      <c r="HQ9" s="2">
        <f>0.473390198081437*(1)</f>
        <v>0.47339019808143701</v>
      </c>
      <c r="HR9" s="2">
        <f>0.221213829589501*(1)</f>
        <v>0.221213829589501</v>
      </c>
      <c r="HS9" s="2">
        <f>0.116435264319352*(1)</f>
        <v>0.116435264319352</v>
      </c>
      <c r="HT9" s="2">
        <f>0.155086266890372*(1)</f>
        <v>0.155086266890372</v>
      </c>
      <c r="HU9" s="2">
        <f>0.0916636306644766*(1)</f>
        <v>9.1663630664476595E-2</v>
      </c>
      <c r="HV9" s="2">
        <f>0.174231699987059*(1)</f>
        <v>0.17423169998705901</v>
      </c>
      <c r="HW9" s="2">
        <f>-0.190352349683321*(1)</f>
        <v>-0.19035234968332099</v>
      </c>
      <c r="HX9" s="2">
        <f>0.0977200938647264*(1)</f>
        <v>9.7720093864726396E-2</v>
      </c>
      <c r="HY9" s="2">
        <f>-0.409699581285226*(1)</f>
        <v>-0.40969958128522599</v>
      </c>
      <c r="HZ9" s="2">
        <f>-0.254733140980117*(1)</f>
        <v>-0.25473314098011701</v>
      </c>
      <c r="IA9" s="2">
        <f>-0.198617658895177*(1)</f>
        <v>-0.19861765889517699</v>
      </c>
      <c r="IB9" s="2">
        <f>-0.107838966714458*(1)</f>
        <v>-0.107838966714458</v>
      </c>
      <c r="IC9" s="2">
        <f>0.0591551765797192*(1)</f>
        <v>5.91551765797192E-2</v>
      </c>
      <c r="ID9" s="2">
        <f>-0.519988308177795*(1)</f>
        <v>-0.51998830817779496</v>
      </c>
      <c r="IE9" s="2">
        <f>-0.457633763876254*(1)</f>
        <v>-0.45763376387625399</v>
      </c>
      <c r="IF9" s="2">
        <f>-0.209167863816901*(1)</f>
        <v>-0.209167863816901</v>
      </c>
      <c r="IG9" s="2">
        <f>0.0787192493753872*(1)</f>
        <v>7.8719249375387199E-2</v>
      </c>
      <c r="IH9" s="2">
        <f>0.269615421850657*(1)</f>
        <v>0.26961542185065701</v>
      </c>
      <c r="II9" s="2">
        <f>-0.0463580908170656*(1)</f>
        <v>-4.63580908170656E-2</v>
      </c>
      <c r="IJ9" s="2">
        <f>-0.889117108269696*(1)</f>
        <v>-0.88911710826969603</v>
      </c>
      <c r="IK9" s="2">
        <f>-0.23714991743192*(1)</f>
        <v>-0.23714991743191999</v>
      </c>
      <c r="IL9" s="2">
        <f>-0.190539868554924*(1)</f>
        <v>-0.190539868554924</v>
      </c>
      <c r="IM9" s="2">
        <f>0.0587667038469508*(1)</f>
        <v>5.8766703846950798E-2</v>
      </c>
      <c r="IN9" s="2">
        <f>0.564943481581741*(1)</f>
        <v>0.56494348158174101</v>
      </c>
      <c r="IO9" s="2">
        <f>0.359623371034955*(1)</f>
        <v>0.35962337103495501</v>
      </c>
      <c r="IP9" s="2">
        <f>-0.0443901946934069*(1)</f>
        <v>-4.4390194693406902E-2</v>
      </c>
      <c r="IQ9" s="2">
        <f>0.190869037069005*(1)</f>
        <v>0.19086903706900499</v>
      </c>
      <c r="IR9" s="2">
        <f>0.0730883679403718*(1)</f>
        <v>7.3088367940371796E-2</v>
      </c>
      <c r="IS9" s="2">
        <f>-0.242343788502108*(1)</f>
        <v>-0.242343788502108</v>
      </c>
      <c r="IT9" s="2">
        <f>0.460532437022496*(1)</f>
        <v>0.46053243702249602</v>
      </c>
      <c r="IU9" s="2">
        <f>0.283967570831553*(1)</f>
        <v>0.283967570831553</v>
      </c>
      <c r="IV9" s="2">
        <f>-0.398085984257675*(1)</f>
        <v>-0.398085984257675</v>
      </c>
      <c r="IW9" s="2">
        <f>0.108542084309661*(1)</f>
        <v>0.108542084309661</v>
      </c>
      <c r="IX9" s="2">
        <f>-0.217645616543758*(1)</f>
        <v>-0.217645616543758</v>
      </c>
      <c r="IY9" s="2">
        <f>0.174206498534344*(1)</f>
        <v>0.174206498534344</v>
      </c>
      <c r="IZ9" s="2">
        <f>0.0188288820906247*(1)</f>
        <v>1.88288820906247E-2</v>
      </c>
      <c r="JA9" s="2">
        <f>0.238672184646001*(1)</f>
        <v>0.23867218464600101</v>
      </c>
      <c r="JB9" s="2">
        <f>0.170810169972991*(1)</f>
        <v>0.17081016997299101</v>
      </c>
      <c r="JC9" s="2">
        <f>0.117865174313975*(1)</f>
        <v>0.117865174313975</v>
      </c>
      <c r="JD9" s="2">
        <f>-0.0111174412022854*(1)</f>
        <v>-1.1117441202285401E-2</v>
      </c>
      <c r="JE9" s="2">
        <f>0.550966350862704*(1)</f>
        <v>0.55096635086270396</v>
      </c>
      <c r="JF9" s="2">
        <f>-0.0566382159769819*(1)</f>
        <v>-5.6638215976981897E-2</v>
      </c>
      <c r="JG9" s="2">
        <f>0.276303222642645*(1)</f>
        <v>0.27630322264264501</v>
      </c>
      <c r="JH9" s="2">
        <f>0.342515924998058*(1)</f>
        <v>0.342515924998058</v>
      </c>
      <c r="JI9" s="2">
        <f>0.0427757000151695*(1)</f>
        <v>4.2775700015169497E-2</v>
      </c>
      <c r="JJ9" s="2">
        <f>0.170172712904431*(1)</f>
        <v>0.17017271290443101</v>
      </c>
      <c r="JK9" s="2">
        <f>0.782251522790376*(1)</f>
        <v>0.78225152279037602</v>
      </c>
      <c r="JL9" s="2">
        <f>0.480625249274147*(1)</f>
        <v>0.48062524927414702</v>
      </c>
      <c r="JM9" s="2">
        <f>0.26353327727424*(1)</f>
        <v>0.26353327727423997</v>
      </c>
      <c r="JN9" s="2">
        <f>-0.0684547888283829*(1)</f>
        <v>-6.8454788828382906E-2</v>
      </c>
      <c r="JO9" s="2">
        <f>0.193627197688962*(1)</f>
        <v>0.193627197688962</v>
      </c>
      <c r="JP9" s="2">
        <f>0.253481249729076*(1)</f>
        <v>0.25348124972907599</v>
      </c>
      <c r="JQ9" s="2">
        <f>0.0995460991579248*(1)</f>
        <v>9.9546099157924797E-2</v>
      </c>
      <c r="JR9" s="2">
        <f>0.141497345558923*(1)</f>
        <v>0.14149734555892299</v>
      </c>
      <c r="JS9" s="2">
        <f>-0.146666444614351*(1)</f>
        <v>-0.14666644461435099</v>
      </c>
      <c r="JT9" s="2">
        <f>0.0442187554544982*(1)</f>
        <v>4.4218755454498201E-2</v>
      </c>
      <c r="JU9" s="2">
        <f>0.427051173269236*(1)</f>
        <v>0.42705117326923597</v>
      </c>
      <c r="JV9" s="2">
        <f>0.585480371333771*(1)</f>
        <v>0.58548037133377095</v>
      </c>
      <c r="JW9" s="2">
        <f>-0.334959868611966*(1)</f>
        <v>-0.33495986861196603</v>
      </c>
      <c r="JX9" s="2">
        <f>-0.601490547176132*(1)</f>
        <v>-0.60149054717613204</v>
      </c>
      <c r="JY9" s="2">
        <f>0.236205146812785*(1)</f>
        <v>0.23620514681278501</v>
      </c>
      <c r="JZ9" s="2">
        <f>0.191728495997074*(1)</f>
        <v>0.19172849599707401</v>
      </c>
      <c r="KA9" s="2">
        <f>-0.0522386950255914*(1)</f>
        <v>-5.2238695025591399E-2</v>
      </c>
      <c r="KB9" s="2">
        <f>-0.0604633820853126*(1)</f>
        <v>-6.04633820853126E-2</v>
      </c>
      <c r="KC9" s="2">
        <f>-0.783431700080865*(1)</f>
        <v>-0.78343170008086505</v>
      </c>
      <c r="KD9" s="2">
        <f>-0.159082036861939*(1)</f>
        <v>-0.159082036861939</v>
      </c>
      <c r="KE9" s="2">
        <f>-0.438054429968247*(1)</f>
        <v>-0.43805442996824701</v>
      </c>
      <c r="KF9" s="2">
        <f>-0.558393044376884*(1)</f>
        <v>-0.55839304437688397</v>
      </c>
      <c r="KG9" s="2">
        <f>-0.160497778669206*(1)</f>
        <v>-0.160497778669206</v>
      </c>
      <c r="KH9" s="2">
        <f>-0.358347050695057*(1)</f>
        <v>-0.35834705069505701</v>
      </c>
      <c r="KI9" s="2">
        <f>-0.0222195410744348*(1)</f>
        <v>-2.2219541074434801E-2</v>
      </c>
      <c r="KJ9" s="2">
        <f>-0.276112678536534*(1)</f>
        <v>-0.27611267853653398</v>
      </c>
      <c r="KK9" s="2">
        <f>0.759191829132316*(1)</f>
        <v>0.75919182913231598</v>
      </c>
      <c r="KL9" s="2">
        <f>-0.389731193446511*(1)</f>
        <v>-0.38973119344651103</v>
      </c>
      <c r="KM9" s="2">
        <f>0.199541616853858*(1)</f>
        <v>0.19954161685385799</v>
      </c>
      <c r="KN9" s="2">
        <f>-0.579713491838046*(1)</f>
        <v>-0.57971349183804599</v>
      </c>
      <c r="KO9" s="2">
        <f>-0.299457807720359*(1)</f>
        <v>-0.29945780772035901</v>
      </c>
      <c r="KP9" s="2">
        <f>-0.0145885853903166*(1)</f>
        <v>-1.45885853903166E-2</v>
      </c>
      <c r="KQ9" s="2">
        <f>0.657786205468605*(1)</f>
        <v>0.657786205468605</v>
      </c>
      <c r="KR9" s="2">
        <f>0.524772915100629*(1)</f>
        <v>0.52477291510062896</v>
      </c>
      <c r="KS9" s="2">
        <f>-0.317475910132107*(1)</f>
        <v>-0.31747591013210702</v>
      </c>
      <c r="KT9" s="2">
        <f>0.0621175408615297*(1)</f>
        <v>6.2117540861529701E-2</v>
      </c>
      <c r="KU9" s="2">
        <f>-0.237168600803575*(1)</f>
        <v>-0.23716860080357499</v>
      </c>
      <c r="KV9" s="2">
        <f>-0.0683023191986229*(1)</f>
        <v>-6.8302319198622896E-2</v>
      </c>
      <c r="KW9" s="2">
        <f>-0.115807157266591*(1)</f>
        <v>-0.11580715726659099</v>
      </c>
      <c r="KX9" s="2">
        <f>-0.156901835426602*(1)</f>
        <v>-0.15690183542660199</v>
      </c>
      <c r="KY9" s="2">
        <f>-0.286911965553416*(1)</f>
        <v>-0.28691196555341603</v>
      </c>
      <c r="KZ9" s="2">
        <f>-0.0479670987471703*(1)</f>
        <v>-4.7967098747170298E-2</v>
      </c>
      <c r="LA9" s="2">
        <f>-0.659617976647533*(1)</f>
        <v>-0.65961797664753297</v>
      </c>
      <c r="LB9" s="2">
        <f>-0.247801810220683*(1)</f>
        <v>-0.24780181022068301</v>
      </c>
      <c r="LC9" s="2">
        <f>-0.453321876936989*(1)</f>
        <v>-0.453321876936989</v>
      </c>
      <c r="LD9" s="2">
        <f>-0.592936021487135*(1)</f>
        <v>-0.59293602148713498</v>
      </c>
      <c r="LE9" s="2">
        <f>-0.373129901051924*(1)</f>
        <v>-0.37312990105192401</v>
      </c>
      <c r="LF9" s="2">
        <f>0.0933748849195902*(1)</f>
        <v>9.3374884919590201E-2</v>
      </c>
      <c r="LG9" s="2">
        <f>0.970314027162306*(1)</f>
        <v>0.97031402716230597</v>
      </c>
      <c r="LH9" s="2">
        <f>0.468308691987638*(1)</f>
        <v>0.46830869198763803</v>
      </c>
      <c r="LI9" s="2">
        <f>-0.27131558637684*(1)</f>
        <v>-0.27131558637684</v>
      </c>
      <c r="LJ9" s="2">
        <f>-0.13119777365675*(1)</f>
        <v>-0.13119777365675001</v>
      </c>
      <c r="LK9" s="2">
        <f>-0.154379675988163*(1)</f>
        <v>-0.15437967598816299</v>
      </c>
      <c r="LL9" s="2">
        <f>0.295475165411009*(1)</f>
        <v>0.29547516541100899</v>
      </c>
      <c r="LM9" s="2">
        <f>-0.0552091842660569*(1)</f>
        <v>-5.52091842660569E-2</v>
      </c>
      <c r="LN9" s="2">
        <f>0.877204227644409*(1)</f>
        <v>0.87720422764440897</v>
      </c>
      <c r="LO9" s="2">
        <f>-0.805209025493992*(1)</f>
        <v>-0.80520902549399198</v>
      </c>
      <c r="LP9" s="2">
        <f>0.0838618635959051*(1)</f>
        <v>8.3861863595905098E-2</v>
      </c>
      <c r="LQ9" s="2">
        <f>-0.545248827325917*(1)</f>
        <v>-0.54524882732591695</v>
      </c>
      <c r="LR9" s="2">
        <f>0.151248763052496*(1)</f>
        <v>0.15124876305249599</v>
      </c>
      <c r="LS9" s="2">
        <f>-0.804749767894731*(1)</f>
        <v>-0.80474976789473096</v>
      </c>
      <c r="LT9" s="2">
        <f>0.354188551676911*(1)</f>
        <v>0.35418855167691099</v>
      </c>
      <c r="LU9" s="2">
        <f>-0.0499048166358708*(1)</f>
        <v>-4.9904816635870798E-2</v>
      </c>
      <c r="LV9" s="2">
        <f>-0.49901160763829*(1)</f>
        <v>-0.49901160763829</v>
      </c>
      <c r="LW9" s="2">
        <f>0.281731816307536*(1)</f>
        <v>0.28173181630753602</v>
      </c>
      <c r="LX9" s="2">
        <f>0.521887215141364*(1)</f>
        <v>0.52188721514136405</v>
      </c>
      <c r="LY9" s="2">
        <f>-0.539738091820873*(1)</f>
        <v>-0.53973809182087296</v>
      </c>
      <c r="LZ9" s="2">
        <f>-0.1506173458623*(1)</f>
        <v>-0.15061734586229999</v>
      </c>
      <c r="MA9" s="2">
        <f>0.205763377987899*(1)</f>
        <v>0.20576337798789901</v>
      </c>
      <c r="MB9" s="2">
        <f>0.667227380238165*(1)</f>
        <v>0.66722738023816497</v>
      </c>
      <c r="MC9" s="2">
        <f>0.0262239858341718*(1)</f>
        <v>2.6223985834171799E-2</v>
      </c>
      <c r="MD9" s="2">
        <f>-0.169844161228957*(1)</f>
        <v>-0.16984416122895701</v>
      </c>
      <c r="ME9" s="2">
        <f>-0.0771037767664811*(1)</f>
        <v>-7.71037767664811E-2</v>
      </c>
      <c r="MF9" s="2">
        <f>-0.431688237738253*(1)</f>
        <v>-0.43168823773825299</v>
      </c>
      <c r="MG9" s="2">
        <f>0.262877561494233*(1)</f>
        <v>0.26287756149423303</v>
      </c>
      <c r="MH9" s="2">
        <f>0.182886433180133*(1)</f>
        <v>0.18288643318013301</v>
      </c>
      <c r="MI9" s="2">
        <f>0.0103502277866926*(1)</f>
        <v>1.03502277866926E-2</v>
      </c>
      <c r="MJ9" s="2">
        <f>-0.281704745152009*(1)</f>
        <v>-0.281704745152009</v>
      </c>
      <c r="MK9" s="2">
        <f>0.127724835989261*(1)</f>
        <v>0.12772483598926099</v>
      </c>
      <c r="ML9" s="2">
        <f>0.635508293141623*(1)</f>
        <v>0.63550829314162305</v>
      </c>
      <c r="MM9" s="2">
        <f>0.231261042083775*(1)</f>
        <v>0.23126104208377499</v>
      </c>
      <c r="MN9" s="2">
        <f>-0.249719222548934*(1)</f>
        <v>-0.249719222548934</v>
      </c>
      <c r="MO9" s="2">
        <f>0.0593210724701932*(1)</f>
        <v>5.9321072470193199E-2</v>
      </c>
      <c r="MP9" s="2">
        <f>0.338912137084042*(1)</f>
        <v>0.338912137084042</v>
      </c>
      <c r="MQ9" s="2">
        <f>1.05547629975942*(1)</f>
        <v>1.05547629975942</v>
      </c>
      <c r="MR9" s="2">
        <f>-0.603929156776518*(1)</f>
        <v>-0.60392915677651804</v>
      </c>
      <c r="MS9" s="2">
        <f>0.112332259067737*(1)</f>
        <v>0.112332259067737</v>
      </c>
      <c r="MT9" s="2">
        <f>-0.232114935229425*(1)</f>
        <v>-0.232114935229425</v>
      </c>
      <c r="MU9" s="2">
        <f>0.271147905100247*(1)</f>
        <v>0.271147905100247</v>
      </c>
      <c r="MV9" s="2">
        <f>-0.422458483332537*(1)</f>
        <v>-0.42245848333253699</v>
      </c>
      <c r="MW9" s="2">
        <f>-0.0115376794980587*(1)</f>
        <v>-1.1537679498058701E-2</v>
      </c>
      <c r="MX9" s="2">
        <f>0.656407102135947*(1)</f>
        <v>0.656407102135947</v>
      </c>
      <c r="MY9" s="2">
        <f>-0.247537264907632*(1)</f>
        <v>-0.247537264907632</v>
      </c>
      <c r="MZ9" s="2">
        <f>0.0893800609198239*(1)</f>
        <v>8.9380060919823895E-2</v>
      </c>
      <c r="NA9" s="2">
        <f>-0.708384022460535*(1)</f>
        <v>-0.708384022460535</v>
      </c>
      <c r="NB9" s="2">
        <f>-0.06323142022743*(1)</f>
        <v>-6.3231420227430002E-2</v>
      </c>
      <c r="NC9" s="2">
        <f>0.0105376140683386*(1)</f>
        <v>1.0537614068338599E-2</v>
      </c>
      <c r="ND9" s="2">
        <f>0.441463154864087*(1)</f>
        <v>0.44146315486408699</v>
      </c>
      <c r="NE9" s="2">
        <f>-0.337532043460812*(1)</f>
        <v>-0.337532043460812</v>
      </c>
      <c r="NF9" s="2">
        <f>-1.0918374075997*(1)</f>
        <v>-1.0918374075996999</v>
      </c>
      <c r="NG9" s="2">
        <f>-0.0228623551323124*(1)</f>
        <v>-2.2862355132312401E-2</v>
      </c>
      <c r="NH9" s="2">
        <f>-0.517870786601343*(1)</f>
        <v>-0.517870786601343</v>
      </c>
      <c r="NI9" s="2">
        <f>0.2573330150205*(1)</f>
        <v>0.25733301502049999</v>
      </c>
      <c r="NJ9" s="2">
        <f>0.511822382623047*(1)</f>
        <v>0.51182238262304702</v>
      </c>
      <c r="NK9" s="2">
        <f>-0.278827803611904*(1)</f>
        <v>-0.27882780361190401</v>
      </c>
      <c r="NL9" s="2">
        <f>0.988149646838842*(1)</f>
        <v>0.98814964683884199</v>
      </c>
      <c r="NM9" s="2">
        <f>-0.122322690206102*(1)</f>
        <v>-0.12232269020610199</v>
      </c>
      <c r="NN9" s="2">
        <f>-0.302259418323768*(1)</f>
        <v>-0.30225941832376801</v>
      </c>
      <c r="NO9" s="2">
        <f>0.0475340410212827*(1)</f>
        <v>4.7534041021282697E-2</v>
      </c>
      <c r="NP9" s="2">
        <f>0.457579125156599*(1)</f>
        <v>0.45757912515659899</v>
      </c>
      <c r="NQ9" s="2">
        <f>-0.0417075339688041*(1)</f>
        <v>-4.1707533968804097E-2</v>
      </c>
      <c r="NR9" s="2">
        <f>-0.111431728024663*(1)</f>
        <v>-0.111431728024663</v>
      </c>
      <c r="NS9" s="2">
        <f>-0.0870198102669043*(1)</f>
        <v>-8.7019810266904293E-2</v>
      </c>
      <c r="NT9" s="2">
        <f>-0.0883489147952534*(1)</f>
        <v>-8.8348914795253405E-2</v>
      </c>
      <c r="NU9" s="2">
        <f>-0.640928552275763*(1)</f>
        <v>-0.64092855227576295</v>
      </c>
      <c r="NV9" s="2">
        <f>0.219798748515303*(1)</f>
        <v>0.21979874851530301</v>
      </c>
      <c r="NW9" s="2">
        <f>-0.246251839233624*(1)</f>
        <v>-0.24625183923362401</v>
      </c>
      <c r="NX9" s="2">
        <f>-0.909625915835941*(1)</f>
        <v>-0.90962591583594099</v>
      </c>
      <c r="NY9" s="2">
        <f>-0.625029487249706*(1)</f>
        <v>-0.62502948724970597</v>
      </c>
      <c r="NZ9" s="2">
        <f>0.394486703658429*(1)</f>
        <v>0.39448670365842903</v>
      </c>
      <c r="OA9" s="2">
        <f>0.831998594431143*(1)</f>
        <v>0.83199859443114299</v>
      </c>
      <c r="OB9" s="2">
        <f>-0.29037286165939*(1)</f>
        <v>-0.29037286165939002</v>
      </c>
      <c r="OC9" s="2">
        <f>-0.49325264673288*(1)</f>
        <v>-0.49325264673288</v>
      </c>
      <c r="OD9" s="2">
        <f>0.719353871079233*(1)</f>
        <v>0.71935387107923299</v>
      </c>
      <c r="OE9" s="2">
        <f>-0.820448844428751*(1)</f>
        <v>-0.82044884442875099</v>
      </c>
      <c r="OF9" s="2">
        <f>-0.274414035484033*(1)</f>
        <v>-0.27441403548403298</v>
      </c>
      <c r="OG9" s="2">
        <f>-0.177444655538995*(1)</f>
        <v>-0.17744465553899499</v>
      </c>
      <c r="OH9" s="2">
        <f>0.368623454025547*(1)</f>
        <v>0.36862345402554703</v>
      </c>
      <c r="OI9" s="2">
        <f>-0.626634963617044*(1)</f>
        <v>-0.62663496361704396</v>
      </c>
      <c r="OJ9" s="2">
        <f>0.0708026558948612*(1)</f>
        <v>7.0802655894861205E-2</v>
      </c>
      <c r="OK9" s="2">
        <f>0.0248916028711834*(1)</f>
        <v>2.4891602871183399E-2</v>
      </c>
      <c r="OL9" s="2">
        <f>0.949359130186177*(1)</f>
        <v>0.94935913018617701</v>
      </c>
      <c r="OM9" s="2">
        <f>0.0730583998758974*(1)</f>
        <v>7.3058399875897406E-2</v>
      </c>
      <c r="ON9" s="2">
        <f>0.104557231327422*(1)</f>
        <v>0.10455723132742201</v>
      </c>
      <c r="OO9" s="2">
        <f>-1.30367025721984*(1)</f>
        <v>-1.30367025721984</v>
      </c>
      <c r="OP9" s="2">
        <f>1.06201061619123*(1)</f>
        <v>1.0620106161912299</v>
      </c>
      <c r="OQ9" s="2">
        <f>-0.0903738386698419*(1)</f>
        <v>-9.0373838669841902E-2</v>
      </c>
      <c r="OR9" s="2">
        <f>-0.574787034652882*(1)</f>
        <v>-0.57478703465288195</v>
      </c>
      <c r="OS9" s="2">
        <f>0.230086331891893*(1)</f>
        <v>0.23008633189189301</v>
      </c>
      <c r="OT9" s="2">
        <f>0.218914763069391*(1)</f>
        <v>0.21891476306939101</v>
      </c>
      <c r="OU9" s="2">
        <f>-0.437666600339502*(1)</f>
        <v>-0.437666600339502</v>
      </c>
      <c r="OV9" s="2">
        <f>0.14421743960211*(1)</f>
        <v>0.14421743960211</v>
      </c>
      <c r="OW9" s="2">
        <f>0.829261120791583*(1)</f>
        <v>0.82926112079158298</v>
      </c>
      <c r="OX9" s="2">
        <f>0.251918527223028*(1)</f>
        <v>0.25191852722302799</v>
      </c>
      <c r="OY9" s="2">
        <f>0.3381705838165*(1)</f>
        <v>0.3381705838165</v>
      </c>
      <c r="OZ9" s="2">
        <f>0.0145139887509885*(1)</f>
        <v>1.4513988750988501E-2</v>
      </c>
      <c r="PA9" s="2">
        <f>0.191541521563931*(1)</f>
        <v>0.19154152156393101</v>
      </c>
      <c r="PB9" s="2">
        <f>0.122059469167036*(1)</f>
        <v>0.122059469167036</v>
      </c>
      <c r="PC9" s="2">
        <f>-0.38117066611847*(1)</f>
        <v>-0.38117066611847</v>
      </c>
      <c r="PD9" s="2">
        <f>-0.15626992945554*(1)</f>
        <v>-0.15626992945554</v>
      </c>
      <c r="PE9" s="2">
        <f>0.866216453480969*(1)</f>
        <v>0.86621645348096898</v>
      </c>
      <c r="PF9" s="2">
        <f>-0.0762854930263609*(1)</f>
        <v>-7.6285493026360895E-2</v>
      </c>
      <c r="PG9" s="2">
        <f>-0.797515062466651*(1)</f>
        <v>-0.79751506246665105</v>
      </c>
      <c r="PH9" s="2">
        <f>-0.15520103081893*(1)</f>
        <v>-0.15520103081893</v>
      </c>
      <c r="PI9" s="2">
        <f>0.135946906512*(1)</f>
        <v>0.135946906512</v>
      </c>
      <c r="PJ9" s="2">
        <f>-0.051522878146083*(1)</f>
        <v>-5.1522878146083001E-2</v>
      </c>
      <c r="PK9" s="2">
        <f>-0.639657416161719*(1)</f>
        <v>-0.63965741616171901</v>
      </c>
      <c r="PL9" s="2">
        <f>-0.239007628528082*(1)</f>
        <v>-0.23900762852808199</v>
      </c>
      <c r="PM9" s="2">
        <f>0.0718947073112547*(1)</f>
        <v>7.1894707311254705E-2</v>
      </c>
      <c r="PN9" s="2">
        <f>-0.454850023351309*(1)</f>
        <v>-0.45485002335130897</v>
      </c>
      <c r="PO9" s="2">
        <f>-0.175559792224241*(1)</f>
        <v>-0.17555979222424101</v>
      </c>
      <c r="PP9" s="2">
        <f>0.346275343825676*(1)</f>
        <v>0.34627534382567599</v>
      </c>
      <c r="PQ9" s="2">
        <f>-0.315567527177761*(1)</f>
        <v>-0.31556752717776099</v>
      </c>
      <c r="PR9" s="2">
        <f>-0.612178377003546*(1)</f>
        <v>-0.61217837700354605</v>
      </c>
      <c r="PS9" s="2">
        <f>-0.577509214132628*(1)</f>
        <v>-0.57750921413262801</v>
      </c>
      <c r="PT9" s="2">
        <f>-0.121360799116927*(1)</f>
        <v>-0.121360799116927</v>
      </c>
      <c r="PU9" s="2">
        <f>-0.0577944732998572*(1)</f>
        <v>-5.7794473299857201E-2</v>
      </c>
      <c r="PV9" s="2">
        <f>-0.272194545053454*(1)</f>
        <v>-0.27219454505345397</v>
      </c>
      <c r="PW9" s="2">
        <f>0.515482023000437*(1)</f>
        <v>0.515482023000437</v>
      </c>
      <c r="PX9" s="2">
        <f>0.18343063657111*(1)</f>
        <v>0.18343063657111</v>
      </c>
      <c r="PY9" s="2">
        <f>-0.386088516405952*(1)</f>
        <v>-0.38608851640595199</v>
      </c>
      <c r="PZ9" s="2">
        <f>-0.479364854244305*(1)</f>
        <v>-0.47936485424430503</v>
      </c>
      <c r="QA9" s="2">
        <f>0.0298785325796129*(1)</f>
        <v>2.9878532579612899E-2</v>
      </c>
      <c r="QB9" s="2">
        <f>0.178711035934256*(1)</f>
        <v>0.178711035934256</v>
      </c>
      <c r="QC9" s="2">
        <f>-1.18858725679879*(1)</f>
        <v>-1.1885872567987901</v>
      </c>
      <c r="QD9" s="2">
        <f>-0.222973307203343*(1)</f>
        <v>-0.22297330720334299</v>
      </c>
      <c r="QE9" s="2">
        <f>0.231975295591909*(1)</f>
        <v>0.23197529559190899</v>
      </c>
      <c r="QF9" s="2">
        <f>0.642167564450699*(1)</f>
        <v>0.642167564450699</v>
      </c>
      <c r="QG9" s="2">
        <f>-0.749922547673654*(1)</f>
        <v>-0.74992254767365396</v>
      </c>
      <c r="QH9" s="2">
        <f>0.466116003346251*(1)</f>
        <v>0.46611600334625097</v>
      </c>
      <c r="QI9" s="2">
        <f>0.381238785882613*(1)</f>
        <v>0.38123878588261301</v>
      </c>
      <c r="QJ9" s="2">
        <f>0.0212116535162542*(1)</f>
        <v>2.12116535162542E-2</v>
      </c>
      <c r="QK9" s="2">
        <f>-0.09264021753587*(1)</f>
        <v>-9.2640217535869998E-2</v>
      </c>
      <c r="QL9" s="2">
        <f>0.447271357895683*(1)</f>
        <v>0.44727135789568301</v>
      </c>
      <c r="QM9" s="2">
        <f>-0.467969619462195*(1)</f>
        <v>-0.46796961946219501</v>
      </c>
      <c r="QN9" s="2">
        <f>-0.156128727900457*(1)</f>
        <v>-0.15612872790045701</v>
      </c>
      <c r="QO9" s="2">
        <f>-0.219780323588958*(1)</f>
        <v>-0.21978032358895799</v>
      </c>
      <c r="QP9" s="2">
        <f>-0.141068608910924*(1)</f>
        <v>-0.14106860891092399</v>
      </c>
      <c r="QQ9" s="2">
        <f>-0.171154698726342*(1)</f>
        <v>-0.17115469872634201</v>
      </c>
      <c r="QR9" s="2">
        <f>0.266469072941251*(1)</f>
        <v>0.266469072941251</v>
      </c>
      <c r="QS9" s="2">
        <f>0.47603700144566*(1)</f>
        <v>0.47603700144566002</v>
      </c>
      <c r="QT9" s="2">
        <f>0.0319471670098482*(1)</f>
        <v>3.1947167009848197E-2</v>
      </c>
      <c r="QU9" s="2">
        <f>-0.723283836611467*(1)</f>
        <v>-0.723283836611467</v>
      </c>
      <c r="QV9" s="2">
        <f>0.556557684848577*(1)</f>
        <v>0.55655768484857704</v>
      </c>
      <c r="QW9" s="2">
        <f>0.104376029353703*(1)</f>
        <v>0.10437602935370301</v>
      </c>
      <c r="QX9" s="2">
        <f>-0.937949381959937*(1)</f>
        <v>-0.93794938195993705</v>
      </c>
      <c r="QY9" s="2">
        <f>0.510495473486365*(1)</f>
        <v>0.51049547348636504</v>
      </c>
      <c r="QZ9" s="2">
        <f>0.950290292498719*(1)</f>
        <v>0.95029029249871899</v>
      </c>
      <c r="RA9" s="2">
        <f>-0.0610136857537868*(1)</f>
        <v>-6.1013685753786802E-2</v>
      </c>
      <c r="RB9" s="2">
        <f>0.712415007894366*(1)</f>
        <v>0.71241500789436596</v>
      </c>
      <c r="RC9" s="2">
        <f>0.433986085072811*(1)</f>
        <v>0.433986085072811</v>
      </c>
      <c r="RD9" s="2">
        <f>0.267545872592263*(1)</f>
        <v>0.26754587259226298</v>
      </c>
      <c r="RE9" s="2">
        <f>0.0702452100417425*(1)</f>
        <v>7.0245210041742501E-2</v>
      </c>
      <c r="RF9" s="2">
        <f>-0.0103145939599126*(1)</f>
        <v>-1.0314593959912599E-2</v>
      </c>
      <c r="RG9" s="2">
        <f>0.410948776097625*(1)</f>
        <v>0.41094877609762498</v>
      </c>
      <c r="RH9" s="2">
        <f>-0.416532054681187*(1)</f>
        <v>-0.41653205468118698</v>
      </c>
      <c r="RI9" s="2">
        <f>0.10707777058405*(1)</f>
        <v>0.10707777058405001</v>
      </c>
      <c r="RJ9" s="2">
        <f>-0.404194778244449*(1)</f>
        <v>-0.40419477824444899</v>
      </c>
      <c r="RK9" s="2">
        <f>-0.180178337054138*(1)</f>
        <v>-0.18017833705413799</v>
      </c>
      <c r="RL9" s="2">
        <f>0.197033297399376*(1)</f>
        <v>0.197033297399376</v>
      </c>
      <c r="RM9" s="2">
        <f>-0.42931686406204*(1)</f>
        <v>-0.42931686406204</v>
      </c>
      <c r="RN9" s="2">
        <f>-0.688594489107617*(1)</f>
        <v>-0.688594489107617</v>
      </c>
      <c r="RO9" s="2">
        <f>0.704383776133955*(1)</f>
        <v>0.70438377613395498</v>
      </c>
      <c r="RP9" s="2">
        <f>-0.480550679344554*(1)</f>
        <v>-0.48055067934455398</v>
      </c>
      <c r="RQ9" s="2">
        <f>0.314760533852195*(1)</f>
        <v>0.31476053385219499</v>
      </c>
      <c r="RR9" s="2">
        <f>0.0801405703979067*(1)</f>
        <v>8.0140570397906702E-2</v>
      </c>
      <c r="RS9" s="2">
        <f>-0.206181715472296*(1)</f>
        <v>-0.206181715472296</v>
      </c>
      <c r="RT9" s="2">
        <f>0.71457195837062*(1)</f>
        <v>0.71457195837062004</v>
      </c>
      <c r="RU9" s="2">
        <f>-0.071272605397933*(1)</f>
        <v>-7.1272605397932995E-2</v>
      </c>
      <c r="RV9" s="2">
        <f>-0.175783956840945*(1)</f>
        <v>-0.175783956840945</v>
      </c>
      <c r="RW9" s="2">
        <f>0.106016919252416*(1)</f>
        <v>0.10601691925241601</v>
      </c>
      <c r="RX9" s="2">
        <f>0.176238974073115*(1)</f>
        <v>0.17623897407311501</v>
      </c>
      <c r="RY9" s="2">
        <f>0.312060735188731*(1)</f>
        <v>0.31206073518873101</v>
      </c>
      <c r="RZ9" s="2">
        <f>-0.00643902550748864*(1)</f>
        <v>-6.4390255074886398E-3</v>
      </c>
      <c r="SA9" s="2">
        <f>1.06053034958521*(1)</f>
        <v>1.0605303495852101</v>
      </c>
      <c r="SB9" s="2">
        <f>-0.362182509475625*(1)</f>
        <v>-0.36218250947562503</v>
      </c>
      <c r="SC9" s="2">
        <f>-0.625277766982061*(1)</f>
        <v>-0.62527776698206095</v>
      </c>
      <c r="SD9" s="2">
        <f>0.519591163563773*(1)</f>
        <v>0.519591163563773</v>
      </c>
      <c r="SE9" s="2">
        <f>-0.139582502808477*(1)</f>
        <v>-0.139582502808477</v>
      </c>
      <c r="SF9" s="2">
        <f>-0.861073532611288*(1)</f>
        <v>-0.86107353261128805</v>
      </c>
      <c r="SG9" s="2">
        <f>0.0309681579059731*(1)</f>
        <v>3.0968157905973102E-2</v>
      </c>
      <c r="SH9" s="2">
        <f>0.534233859485763*(1)</f>
        <v>0.53423385948576296</v>
      </c>
      <c r="SI9" s="2">
        <f>-0.0657343274992178*(1)</f>
        <v>-6.5734327499217801E-2</v>
      </c>
      <c r="SJ9" s="2">
        <f>0.204590337618728*(1)</f>
        <v>0.204590337618728</v>
      </c>
      <c r="SK9" s="2">
        <f>1.01258669800137*(1)</f>
        <v>1.01258669800137</v>
      </c>
      <c r="SL9" s="2">
        <f>0.0113355315148527*(1)</f>
        <v>1.13355315148527E-2</v>
      </c>
      <c r="SM9" s="2">
        <f>0.141945528640737*(1)</f>
        <v>0.14194552864073701</v>
      </c>
      <c r="SN9" s="2">
        <f>-0.872695003448883*(1)</f>
        <v>-0.87269500344888296</v>
      </c>
      <c r="SO9" s="2">
        <f>0.270664784796771*(1)</f>
        <v>0.27066478479677097</v>
      </c>
      <c r="SP9" s="2">
        <f>0.0868939953425178*(1)</f>
        <v>8.6893995342517794E-2</v>
      </c>
      <c r="SQ9" s="2">
        <f>0.00426854098791733*(1)</f>
        <v>4.2685409879173299E-3</v>
      </c>
      <c r="SR9" s="2">
        <f>0.335538807478991*(1)</f>
        <v>0.33553880747899101</v>
      </c>
      <c r="SS9" s="2">
        <f>-0.0898949869010041*(1)</f>
        <v>-8.9894986901004101E-2</v>
      </c>
      <c r="ST9" s="2">
        <f>-0.666337770945417*(1)</f>
        <v>-0.66633777094541702</v>
      </c>
      <c r="SU9" s="2">
        <f>0.193237952104489*(1)</f>
        <v>0.19323795210448899</v>
      </c>
      <c r="SV9" s="2">
        <f>-0.597194992512226*(1)</f>
        <v>-0.59719499251222596</v>
      </c>
      <c r="SW9" s="2">
        <f>0.0598287621166525*(1)</f>
        <v>5.9828762116652501E-2</v>
      </c>
      <c r="SX9" s="2">
        <f>0.0883198831403677*(1)</f>
        <v>8.8319883140367705E-2</v>
      </c>
      <c r="SY9" s="2">
        <f>0.295086443341439*(1)</f>
        <v>0.29508644334143902</v>
      </c>
      <c r="SZ9" s="2">
        <f>-0.0829768379343786*(1)</f>
        <v>-8.29768379343786E-2</v>
      </c>
      <c r="TA9" s="2">
        <f>-0.247939443505327*(1)</f>
        <v>-0.24793944350532701</v>
      </c>
      <c r="TB9" s="2">
        <f>-0.547766059151734*(1)</f>
        <v>-0.54776605915173404</v>
      </c>
      <c r="TC9" s="2">
        <f>-0.123090787111518*(1)</f>
        <v>-0.123090787111518</v>
      </c>
      <c r="TD9" s="2">
        <f>0.526395824335549*(1)</f>
        <v>0.52639582433554899</v>
      </c>
      <c r="TE9" s="2">
        <f>-0.168508241289748*(1)</f>
        <v>-0.16850824128974801</v>
      </c>
      <c r="TF9" s="2">
        <f>0.052913475667275*(1)</f>
        <v>5.2913475667275001E-2</v>
      </c>
      <c r="TG9" s="2">
        <f>0.0628577689239907*(1)</f>
        <v>6.2857768923990698E-2</v>
      </c>
      <c r="TH9" s="2">
        <f>0.232915916087458*(1)</f>
        <v>0.23291591608745801</v>
      </c>
      <c r="TI9" s="2">
        <f>-0.063471177995973*(1)</f>
        <v>-6.3471177995973002E-2</v>
      </c>
      <c r="TJ9" s="2">
        <f>-0.236986396890137*(1)</f>
        <v>-0.23698639689013701</v>
      </c>
      <c r="TK9" s="2">
        <f>0.612749236373898*(1)</f>
        <v>0.612749236373898</v>
      </c>
      <c r="TL9" s="2">
        <f>0.533136670331418*(1)</f>
        <v>0.53313667033141798</v>
      </c>
      <c r="TM9" s="2">
        <f>-0.579168553484954*(1)</f>
        <v>-0.579168553484954</v>
      </c>
      <c r="TN9" s="2">
        <f>0.225273817279071*(1)</f>
        <v>0.225273817279071</v>
      </c>
      <c r="TO9" s="2">
        <f>0.464681992368135*(1)</f>
        <v>0.46468199236813501</v>
      </c>
      <c r="TP9" s="2">
        <f>-0.470919606136011*(1)</f>
        <v>-0.47091960613601103</v>
      </c>
      <c r="TQ9" s="2">
        <f>0.30404024731916*(1)</f>
        <v>0.30404024731916002</v>
      </c>
      <c r="TR9" s="2">
        <f>-0.316239032330954*(1)</f>
        <v>-0.31623903233095402</v>
      </c>
      <c r="TS9" s="2">
        <f>-0.15459681953892*(1)</f>
        <v>-0.15459681953891999</v>
      </c>
      <c r="TT9" s="2">
        <f>-0.416460720081037*(1)</f>
        <v>-0.41646072008103702</v>
      </c>
      <c r="TU9" s="2">
        <f>-0.44122961280004*(1)</f>
        <v>-0.44122961280004003</v>
      </c>
      <c r="TV9" s="2">
        <f>-0.329995428576886*(1)</f>
        <v>-0.32999542857688602</v>
      </c>
      <c r="TW9" s="2">
        <f>0.159244132964221*(1)</f>
        <v>0.15924413296422099</v>
      </c>
      <c r="TX9" s="2">
        <f>-0.423996326652808*(1)</f>
        <v>-0.42399632665280801</v>
      </c>
      <c r="TY9" s="2">
        <f>0.833193206520581*(1)</f>
        <v>0.83319320652058104</v>
      </c>
      <c r="TZ9" s="2">
        <f>-0.53266131849641*(1)</f>
        <v>-0.53266131849640996</v>
      </c>
      <c r="UA9" s="2">
        <f>0.125662803983636*(1)</f>
        <v>0.125662803983636</v>
      </c>
      <c r="UB9" s="2">
        <f>-0.216675982589363*(1)</f>
        <v>-0.21667598258936299</v>
      </c>
      <c r="UC9" s="2">
        <f>-0.331371320768743*(1)</f>
        <v>-0.33137132076874298</v>
      </c>
      <c r="UD9" s="2">
        <f>-0.139704360162119*(1)</f>
        <v>-0.13970436016211901</v>
      </c>
      <c r="UE9" s="2">
        <f>0.0952176475591451*(1)</f>
        <v>9.5217647559145094E-2</v>
      </c>
      <c r="UF9" s="2">
        <f>0.0697131843648138*(1)</f>
        <v>6.9713184364813802E-2</v>
      </c>
      <c r="UG9" s="2">
        <f>-0.258983803772206*(1)</f>
        <v>-0.25898380377220598</v>
      </c>
      <c r="UH9" s="2">
        <f>-0.76197854455874*(1)</f>
        <v>-0.76197854455874003</v>
      </c>
      <c r="UI9" s="2">
        <f>0.0385654738704637*(1)</f>
        <v>3.8565473870463697E-2</v>
      </c>
      <c r="UJ9" s="2">
        <f>-0.335526914805696*(1)</f>
        <v>-0.33552691480569602</v>
      </c>
      <c r="UK9" s="2">
        <f>0.659653511467097*(1)</f>
        <v>0.65965351146709705</v>
      </c>
      <c r="UL9" s="2">
        <f>0.328974013344367*(1)</f>
        <v>0.32897401334436699</v>
      </c>
      <c r="UM9" s="2">
        <f>-0.31752247129887*(1)</f>
        <v>-0.31752247129887001</v>
      </c>
      <c r="UN9" s="2">
        <f>-0.242593556704109*(1)</f>
        <v>-0.24259355670410901</v>
      </c>
      <c r="UO9" s="2">
        <f>-0.19791612981197*(1)</f>
        <v>-0.19791612981196999</v>
      </c>
      <c r="UP9" s="2">
        <f>-0.491759800499306*(1)</f>
        <v>-0.49175980049930601</v>
      </c>
      <c r="UQ9" s="2">
        <f>0.062966313608196*(1)</f>
        <v>6.2966313608196003E-2</v>
      </c>
      <c r="UR9" s="2">
        <f>0.245896819051359*(1)</f>
        <v>0.24589681905135899</v>
      </c>
      <c r="US9" s="2">
        <f>0.254894546098927*(1)</f>
        <v>0.25489454609892698</v>
      </c>
      <c r="UT9" s="2">
        <f>0.326862781357713*(1)</f>
        <v>0.32686278135771302</v>
      </c>
      <c r="UU9" s="2">
        <f>-0.151324077095766*(1)</f>
        <v>-0.15132407709576601</v>
      </c>
      <c r="UV9" s="2">
        <f>-0.422233420429995*(1)</f>
        <v>-0.42223342042999501</v>
      </c>
      <c r="UW9" s="2">
        <f>0.273343003161734*(1)</f>
        <v>0.27334300316173399</v>
      </c>
      <c r="UX9" s="2">
        <f>0.490369509174235*(1)</f>
        <v>0.490369509174235</v>
      </c>
      <c r="UY9" s="2">
        <f>-0.351481436968484*(1)</f>
        <v>-0.351481436968484</v>
      </c>
      <c r="UZ9" s="2">
        <f>-0.390443104353624*(1)</f>
        <v>-0.390443104353624</v>
      </c>
      <c r="VA9" s="2">
        <f>-0.524963935691566*(1)</f>
        <v>-0.52496393569156596</v>
      </c>
      <c r="VB9" s="2">
        <f>0.374901531816113*(1)</f>
        <v>0.37490153181611302</v>
      </c>
      <c r="VC9" s="2">
        <f>-0.154025505598516*(1)</f>
        <v>-0.15402550559851599</v>
      </c>
      <c r="VD9" s="2">
        <f>-0.94474579980218*(1)</f>
        <v>-0.94474579980217999</v>
      </c>
      <c r="VE9" s="2">
        <f>-0.607637268157897*(1)</f>
        <v>-0.60763726815789698</v>
      </c>
      <c r="VF9" s="2">
        <f>-0.0880031997513397*(1)</f>
        <v>-8.8003199751339703E-2</v>
      </c>
      <c r="VG9" s="2">
        <f>0.0240452756831191*(1)</f>
        <v>2.4045275683119101E-2</v>
      </c>
      <c r="VH9" s="2">
        <f>-0.706946572049766*(1)</f>
        <v>-0.70694657204976596</v>
      </c>
      <c r="VI9" s="2">
        <f>-0.326669041895741*(1)</f>
        <v>-0.32666904189574097</v>
      </c>
      <c r="VJ9" s="2">
        <f>0.305273588466719*(1)</f>
        <v>0.30527358846671898</v>
      </c>
      <c r="VK9" s="2">
        <f>0.800190885031338*(1)</f>
        <v>0.80019088503133795</v>
      </c>
      <c r="VL9" s="2">
        <f>-0.284796997508117*(1)</f>
        <v>-0.28479699750811699</v>
      </c>
      <c r="VM9" s="2">
        <f>-0.420640933049084*(1)</f>
        <v>-0.42064093304908401</v>
      </c>
      <c r="VN9" s="2">
        <f>-0.040193813861124*(1)</f>
        <v>-4.0193813861124E-2</v>
      </c>
      <c r="VO9" s="2">
        <f>-0.169992284684386*(1)</f>
        <v>-0.16999228468438601</v>
      </c>
      <c r="VP9" s="2">
        <f>0.280262626520616*(1)</f>
        <v>0.28026262652061601</v>
      </c>
      <c r="VQ9" s="2">
        <f>0.556248483882363*(1)</f>
        <v>0.55624848388236303</v>
      </c>
      <c r="VR9" s="2">
        <f>-0.0257130588001262*(1)</f>
        <v>-2.5713058800126198E-2</v>
      </c>
      <c r="VS9" s="2">
        <f>0.426283801088237*(1)</f>
        <v>0.42628380108823699</v>
      </c>
      <c r="VT9" s="2">
        <f>0.411598255474939*(1)</f>
        <v>0.411598255474939</v>
      </c>
      <c r="VU9" s="2">
        <f>0.0706263817248108*(1)</f>
        <v>7.0626381724810797E-2</v>
      </c>
      <c r="VV9" s="2">
        <f>-1.03524974877685*(1)</f>
        <v>-1.0352497487768499</v>
      </c>
      <c r="VW9" s="2">
        <f>0.177653157120923*(1)</f>
        <v>0.177653157120923</v>
      </c>
      <c r="VX9" s="2">
        <f>-0.556440965168359*(1)</f>
        <v>-0.55644096516835895</v>
      </c>
      <c r="VY9" s="2">
        <f>0.141424943737441*(1)</f>
        <v>0.14142494373744099</v>
      </c>
      <c r="VZ9" s="2">
        <f>-0.318901988025726*(1)</f>
        <v>-0.318901988025726</v>
      </c>
      <c r="WA9" s="2">
        <f>-0.0610692116419606*(1)</f>
        <v>-6.1069211641960601E-2</v>
      </c>
      <c r="WB9" s="2">
        <f>0.30529032564364*(1)</f>
        <v>0.30529032564364</v>
      </c>
      <c r="WC9" s="2">
        <f>0.0932239010202409*(1)</f>
        <v>9.3223901020240904E-2</v>
      </c>
      <c r="WD9" s="2">
        <f>-0.00355528552293942*(1)</f>
        <v>-3.5552855229394201E-3</v>
      </c>
      <c r="WE9" s="2">
        <f>-0.337202310481075*(1)</f>
        <v>-0.33720231048107502</v>
      </c>
      <c r="WF9" s="2">
        <f>-0.375788141990086*(1)</f>
        <v>-0.37578814199008598</v>
      </c>
      <c r="WG9" s="2">
        <f>-0.333235044133*(1)</f>
        <v>-0.33323504413299998</v>
      </c>
      <c r="WH9" s="2">
        <f>-0.11945860467705*(1)</f>
        <v>-0.11945860467705</v>
      </c>
      <c r="WI9" s="2">
        <f>-0.874804005793285*(1)</f>
        <v>-0.87480400579328499</v>
      </c>
      <c r="WJ9" s="2">
        <f>-0.458378409378993*(1)</f>
        <v>-0.45837840937899299</v>
      </c>
      <c r="WK9" s="2">
        <f>0.252649299888425*(1)</f>
        <v>0.25264929988842499</v>
      </c>
      <c r="WL9" s="2">
        <f>-0.412314827722251*(1)</f>
        <v>-0.41231482772225098</v>
      </c>
      <c r="WM9" s="2">
        <f>-0.512902021251861*(1)</f>
        <v>-0.51290202125186102</v>
      </c>
      <c r="WN9" s="2">
        <f>-0.775143535432914*(1)</f>
        <v>-0.77514353543291403</v>
      </c>
      <c r="WO9" s="2">
        <f>0.340122723094699*(1)</f>
        <v>0.34012272309469899</v>
      </c>
      <c r="WP9" s="2">
        <f>1.25245048139499*(1)</f>
        <v>1.2524504813949899</v>
      </c>
      <c r="WQ9" s="2">
        <f>-0.118005114199034*(1)</f>
        <v>-0.11800511419903401</v>
      </c>
      <c r="WR9" s="2">
        <f>0.0902106353942891*(1)</f>
        <v>9.0210635394289099E-2</v>
      </c>
      <c r="WS9" s="2">
        <f>-0.0293903670309105*(1)</f>
        <v>-2.93903670309105E-2</v>
      </c>
      <c r="WT9" s="2">
        <f>-0.41150330719699*(1)</f>
        <v>-0.41150330719699002</v>
      </c>
      <c r="WU9" s="2">
        <f>0.377976678747226*(1)</f>
        <v>0.37797667874722601</v>
      </c>
      <c r="WV9" s="2">
        <f>0.0628100355085479*(1)</f>
        <v>6.2810035508547898E-2</v>
      </c>
      <c r="WW9" s="2">
        <f>0.310599180223075*(1)</f>
        <v>0.31059918022307498</v>
      </c>
      <c r="WX9" s="2">
        <f>0.119907834066603*(1)</f>
        <v>0.11990783406660301</v>
      </c>
      <c r="WY9" s="2">
        <f>-0.256488331198596*(1)</f>
        <v>-0.25648833119859599</v>
      </c>
      <c r="WZ9" s="2">
        <f>0.623166827460278*(1)</f>
        <v>0.62316682746027796</v>
      </c>
      <c r="XA9" s="2">
        <f>-0.0368858940807091*(1)</f>
        <v>-3.6885894080709102E-2</v>
      </c>
      <c r="XB9" s="2">
        <f>0.397451003011983*(1)</f>
        <v>0.397451003011983</v>
      </c>
      <c r="XC9" s="2">
        <f>-0.37164136647054*(1)</f>
        <v>-0.37164136647054002</v>
      </c>
      <c r="XD9" s="2">
        <f>-0.174152948786182*(1)</f>
        <v>-0.17415294878618201</v>
      </c>
      <c r="XE9" s="2">
        <f>-0.137575663394452*(1)</f>
        <v>-0.13757566339445201</v>
      </c>
      <c r="XF9" s="2">
        <f>-0.490381563083756*(1)</f>
        <v>-0.49038156308375602</v>
      </c>
      <c r="XG9" s="2">
        <f>0.948050092672255*(1)</f>
        <v>0.94805009267225504</v>
      </c>
      <c r="XH9" s="2">
        <f>-0.199290962081235*(1)</f>
        <v>-0.19929096208123501</v>
      </c>
      <c r="XI9" s="2">
        <f>0.396959744171107*(1)</f>
        <v>0.39695974417110702</v>
      </c>
      <c r="XJ9" s="2">
        <f>-0.26240133967005*(1)</f>
        <v>-0.26240133967005003</v>
      </c>
      <c r="XK9" s="2">
        <f>0.0665832390578708*(1)</f>
        <v>6.6583239057870794E-2</v>
      </c>
      <c r="XL9" s="2">
        <f>0.361579571553023*(1)</f>
        <v>0.361579571553023</v>
      </c>
      <c r="XM9" s="2">
        <f>0.0124286634922744*(1)</f>
        <v>1.24286634922744E-2</v>
      </c>
      <c r="XN9" s="2">
        <f>-0.201762184259892*(1)</f>
        <v>-0.20176218425989201</v>
      </c>
      <c r="XO9" s="2">
        <f>-0.208364769548384*(1)</f>
        <v>-0.20836476954838401</v>
      </c>
      <c r="XP9" s="2">
        <f>-0.526448335297832*(1)</f>
        <v>-0.52644833529783197</v>
      </c>
      <c r="XQ9" s="2">
        <f>0.387659065596097*(1)</f>
        <v>0.38765906559609697</v>
      </c>
      <c r="XR9" s="2">
        <f>-0.262141693498467*(1)</f>
        <v>-0.262141693498467</v>
      </c>
      <c r="XS9" s="2">
        <f>-0.159740753377863*(1)</f>
        <v>-0.159740753377863</v>
      </c>
      <c r="XT9" s="2">
        <f>0.312949025068801*(1)</f>
        <v>0.31294902506880101</v>
      </c>
      <c r="XU9" s="2">
        <f>-0.19802331312322*(1)</f>
        <v>-0.19802331312322</v>
      </c>
      <c r="XV9" s="2">
        <f>1.18182346939965*(1)</f>
        <v>1.1818234693996501</v>
      </c>
      <c r="XW9" s="2">
        <f>0.553148031267545*(1)</f>
        <v>0.55314803126754497</v>
      </c>
      <c r="XX9" s="2">
        <f>0.175484901599764*(1)</f>
        <v>0.17548490159976399</v>
      </c>
      <c r="XY9" s="2">
        <f>-0.24316523317389*(1)</f>
        <v>-0.24316523317388999</v>
      </c>
      <c r="XZ9" s="2">
        <f>-0.108512391890425*(1)</f>
        <v>-0.108512391890425</v>
      </c>
      <c r="YA9" s="2">
        <f>1.08686881801617*(1)</f>
        <v>1.0868688180161701</v>
      </c>
      <c r="YB9" s="2">
        <f>-1.57076566315115*(1)</f>
        <v>-1.57076566315115</v>
      </c>
      <c r="YC9" s="2">
        <f>0.0483910249313044*(1)</f>
        <v>4.8391024931304399E-2</v>
      </c>
      <c r="YD9" s="2">
        <f>-1.09822499455724*(1)</f>
        <v>-1.09822499455724</v>
      </c>
      <c r="YE9" s="2">
        <f>0.322874178187932*(1)</f>
        <v>0.32287417818793201</v>
      </c>
      <c r="YF9" s="2">
        <f>0.417593356706413*(1)</f>
        <v>0.41759335670641301</v>
      </c>
      <c r="YG9" s="2">
        <f>0.337696800318656*(1)</f>
        <v>0.33769680031865601</v>
      </c>
      <c r="YH9" s="2">
        <f>0.86688832795304*(1)</f>
        <v>0.86688832795304005</v>
      </c>
      <c r="YI9" s="2">
        <f>0.0241347099737897*(1)</f>
        <v>2.4134709973789699E-2</v>
      </c>
      <c r="YJ9" s="2">
        <f>0.0166927394934248*(1)</f>
        <v>1.6692739493424799E-2</v>
      </c>
      <c r="YK9" s="2">
        <f>-0.144250253639375*(1)</f>
        <v>-0.14425025363937499</v>
      </c>
      <c r="YL9" s="2">
        <f>0.121705065794828*(1)</f>
        <v>0.121705065794828</v>
      </c>
      <c r="YM9" s="2">
        <f>0.0308906728169191*(1)</f>
        <v>3.0890672816919099E-2</v>
      </c>
      <c r="YN9" s="2">
        <f>-0.671488808727557*(1)</f>
        <v>-0.67148880872755701</v>
      </c>
      <c r="YO9" s="2">
        <f>-0.30108930263465*(1)</f>
        <v>-0.30108930263465</v>
      </c>
      <c r="YP9" s="2">
        <f>0.640002857441205*(1)</f>
        <v>0.640002857441205</v>
      </c>
      <c r="YQ9" s="2">
        <f>-0.0881174415267145*(1)</f>
        <v>-8.8117441526714496E-2</v>
      </c>
      <c r="YR9" s="2">
        <f>0.161656614313157*(1)</f>
        <v>0.161656614313157</v>
      </c>
      <c r="YS9" s="2">
        <f>0.275917445996119*(1)</f>
        <v>0.275917445996119</v>
      </c>
      <c r="YT9" s="2">
        <f>0.37910186324193*(1)</f>
        <v>0.37910186324193001</v>
      </c>
      <c r="YU9" s="2">
        <f>0.121437013021331*(1)</f>
        <v>0.121437013021331</v>
      </c>
      <c r="YV9" s="2">
        <f>-1.28341845528267*(1)</f>
        <v>-1.28341845528267</v>
      </c>
      <c r="YW9" s="2">
        <f>-0.335472152233207*(1)</f>
        <v>-0.33547215223320698</v>
      </c>
      <c r="YX9" s="2">
        <f>-0.150264163959512*(1)</f>
        <v>-0.150264163959512</v>
      </c>
      <c r="YY9" s="2">
        <f>1.21491895619038*(1)</f>
        <v>1.2149189561903799</v>
      </c>
      <c r="YZ9" s="2">
        <f>-0.282249248815762*(1)</f>
        <v>-0.28224924881576202</v>
      </c>
      <c r="ZA9" s="2">
        <f>-0.0643667199948718*(1)</f>
        <v>-6.4366719994871799E-2</v>
      </c>
      <c r="ZB9" s="2">
        <f>-0.282823730896623*(1)</f>
        <v>-0.28282373089662299</v>
      </c>
      <c r="ZC9" s="2">
        <f>-0.626811606778798*(1)</f>
        <v>-0.62681160677879799</v>
      </c>
      <c r="ZD9" s="2">
        <f>-0.461229413867938*(1)</f>
        <v>-0.46122941386793798</v>
      </c>
      <c r="ZE9" s="2">
        <f>-0.00711105796208925*(1)</f>
        <v>-7.1110579620892499E-3</v>
      </c>
      <c r="ZF9" s="2">
        <f>-0.122067829914673*(1)</f>
        <v>-0.12206782991467301</v>
      </c>
      <c r="ZG9" s="2">
        <f>0.772867646754852*(1)</f>
        <v>0.77286764675485198</v>
      </c>
      <c r="ZH9" s="2">
        <f>-0.261517442251*(1)</f>
        <v>-0.26151744225099999</v>
      </c>
      <c r="ZI9" s="2">
        <f>0.0549791758215008*(1)</f>
        <v>5.4979175821500803E-2</v>
      </c>
      <c r="ZJ9" s="2">
        <f>0.24811353455356*(1)</f>
        <v>0.24811353455356</v>
      </c>
      <c r="ZK9" s="2">
        <f>0.277601437031073*(1)</f>
        <v>0.27760143703107298</v>
      </c>
      <c r="ZL9" s="2">
        <f>-0.966055130235006*(1)</f>
        <v>-0.966055130235006</v>
      </c>
      <c r="ZM9" s="2">
        <f>-0.141513235253027*(1)</f>
        <v>-0.141513235253027</v>
      </c>
      <c r="ZN9" s="2">
        <f>0.11362071962625*(1)</f>
        <v>0.11362071962625001</v>
      </c>
      <c r="ZO9" s="2">
        <f>-0.605497150774592*(1)</f>
        <v>-0.60549715077459199</v>
      </c>
      <c r="ZP9" s="2">
        <f>1.1711971835828*(1)</f>
        <v>1.1711971835827999</v>
      </c>
      <c r="ZQ9" s="2">
        <f>0.0326338567977291*(1)</f>
        <v>3.2633856797729101E-2</v>
      </c>
      <c r="ZR9" s="2">
        <f>-0.300855964913972*(1)</f>
        <v>-0.30085596491397198</v>
      </c>
      <c r="ZS9" s="2">
        <f>0.317710783767043*(1)</f>
        <v>0.31771078376704298</v>
      </c>
      <c r="ZT9" s="2">
        <f>0.21497313657908*(1)</f>
        <v>0.21497313657907999</v>
      </c>
      <c r="ZU9" s="2">
        <f>0.317880972774345*(1)</f>
        <v>0.31788097277434502</v>
      </c>
      <c r="ZV9" s="2">
        <f>-0.169447615045813*(1)</f>
        <v>-0.16944761504581299</v>
      </c>
      <c r="ZW9" s="2">
        <f>0.375424423163873*(1)</f>
        <v>0.37542442316387298</v>
      </c>
      <c r="ZX9" s="2">
        <f>-0.370175758955325*(1)</f>
        <v>-0.37017575895532501</v>
      </c>
      <c r="ZY9" s="2">
        <f>-0.324566738583625*(1)</f>
        <v>-0.324566738583625</v>
      </c>
      <c r="ZZ9" s="2">
        <f>-0.37704563358553*(1)</f>
        <v>-0.37704563358553</v>
      </c>
      <c r="AAA9" s="2">
        <f>0.564465614905581*(1)</f>
        <v>0.564465614905581</v>
      </c>
      <c r="AAB9" s="2">
        <f>-0.214488546358345*(1)</f>
        <v>-0.21448854635834499</v>
      </c>
      <c r="AAC9" s="2">
        <f>0.76050994518536*(1)</f>
        <v>0.76050994518535997</v>
      </c>
      <c r="AAD9" s="2">
        <f>0.340524204249397*(1)</f>
        <v>0.340524204249397</v>
      </c>
      <c r="AAE9" s="2">
        <f>0.607168023417034*(1)</f>
        <v>0.60716802341703402</v>
      </c>
      <c r="AAF9" s="2">
        <f>0.437977694342013*(1)</f>
        <v>0.437977694342013</v>
      </c>
      <c r="AAG9" s="2">
        <f>-0.252149272626734*(1)</f>
        <v>-0.25214927262673398</v>
      </c>
      <c r="AAH9" s="2">
        <f>0.274744400293544*(1)</f>
        <v>0.27474440029354402</v>
      </c>
      <c r="AAI9" s="2">
        <f>0.066631815616216*(1)</f>
        <v>6.6631815616216006E-2</v>
      </c>
      <c r="AAJ9" s="2">
        <f>0.257359080423935*(1)</f>
        <v>0.25735908042393502</v>
      </c>
      <c r="AAK9" s="2">
        <f>0.27129395371888*(1)</f>
        <v>0.27129395371887999</v>
      </c>
      <c r="AAL9" s="2">
        <f>-0.648617675023455*(1)</f>
        <v>-0.64861767502345502</v>
      </c>
      <c r="AAM9" s="2">
        <f>-0.347238185927432*(1)</f>
        <v>-0.347238185927432</v>
      </c>
      <c r="AAN9" s="2">
        <f>-0.351883989368678*(1)</f>
        <v>-0.35188398936867799</v>
      </c>
      <c r="AAO9" s="2">
        <f>-0.4889107895213*(1)</f>
        <v>-0.48891078952130002</v>
      </c>
      <c r="AAP9" s="2">
        <f>0.572844414713527*(1)</f>
        <v>0.57284441471352698</v>
      </c>
      <c r="AAQ9" s="2">
        <f>-0.28508625703156*(1)</f>
        <v>-0.28508625703155999</v>
      </c>
      <c r="AAR9" s="2">
        <f>-0.175095426991577*(1)</f>
        <v>-0.17509542699157701</v>
      </c>
      <c r="AAS9" s="2">
        <f>0.0262492523580055*(1)</f>
        <v>2.6249252358005501E-2</v>
      </c>
      <c r="AAT9" s="2">
        <f>0.263711500265271*(1)</f>
        <v>0.26371150026527101</v>
      </c>
      <c r="AAU9" s="2">
        <f>-0.340283115093361*(1)</f>
        <v>-0.34028311509336101</v>
      </c>
      <c r="AAV9" s="2">
        <f>0.481062498911963*(1)</f>
        <v>0.48106249891196301</v>
      </c>
      <c r="AAW9" s="2">
        <f>0.446673585517749*(1)</f>
        <v>0.44667358551774899</v>
      </c>
      <c r="AAX9" s="2">
        <f>-0.609190945255959*(1)</f>
        <v>-0.60919094525595896</v>
      </c>
      <c r="AAY9" s="2">
        <f>-0.351165281228826*(1)</f>
        <v>-0.35116528122882601</v>
      </c>
      <c r="AAZ9" s="2">
        <f>0.0128995353184685*(1)</f>
        <v>1.28995353184685E-2</v>
      </c>
      <c r="ABA9" s="2">
        <f>0.0785699810335433*(1)</f>
        <v>7.8569981033543304E-2</v>
      </c>
      <c r="ABB9" s="2">
        <f>0.278687995439733*(1)</f>
        <v>0.27868799543973299</v>
      </c>
      <c r="ABC9" s="2">
        <f>0.61412404340216*(1)</f>
        <v>0.61412404340215998</v>
      </c>
      <c r="ABD9" s="2">
        <f>-0.154839401951365*(1)</f>
        <v>-0.154839401951365</v>
      </c>
      <c r="ABE9" s="2">
        <f>0.354116008932509*(1)</f>
        <v>0.354116008932509</v>
      </c>
      <c r="ABF9" s="2">
        <f>0.103491394879287*(1)</f>
        <v>0.103491394879287</v>
      </c>
      <c r="ABG9" s="2">
        <f>-0.849072482293637*(1)</f>
        <v>-0.84907248229363697</v>
      </c>
      <c r="ABH9" s="2">
        <f>-0.0588452390413769*(1)</f>
        <v>-5.8845239041376902E-2</v>
      </c>
      <c r="ABI9" s="2">
        <f>-0.0363964663904067*(1)</f>
        <v>-3.6396466390406702E-2</v>
      </c>
      <c r="ABJ9" s="2">
        <f>0.641870651471114*(1)</f>
        <v>0.641870651471114</v>
      </c>
      <c r="ABK9" s="2">
        <f>0.756757168130985*(1)</f>
        <v>0.75675716813098504</v>
      </c>
      <c r="ABL9" s="2">
        <f>-0.0939553438247275*(1)</f>
        <v>-9.3955343824727505E-2</v>
      </c>
      <c r="ABM9" s="2">
        <f>-0.487128009562269*(1)</f>
        <v>-0.48712800956226898</v>
      </c>
      <c r="ABN9" s="2">
        <f>0.038787491482005*(1)</f>
        <v>3.8787491482004999E-2</v>
      </c>
      <c r="ABO9" s="2">
        <f>-0.0760388577738744*(1)</f>
        <v>-7.6038857773874396E-2</v>
      </c>
      <c r="ABP9" s="2">
        <f>-0.137150969611341*(1)</f>
        <v>-0.13715096961134099</v>
      </c>
      <c r="ABQ9" s="2">
        <f>0.385923638028644*(1)</f>
        <v>0.38592363802864399</v>
      </c>
      <c r="ABR9" s="2">
        <f>-0.172494097602717*(1)</f>
        <v>-0.172494097602717</v>
      </c>
      <c r="ABS9" s="2">
        <f>0.0339986185160126*(1)</f>
        <v>3.3998618516012602E-2</v>
      </c>
      <c r="ABT9" s="2">
        <f>0.426066902106351*(1)</f>
        <v>0.42606690210635101</v>
      </c>
      <c r="ABU9" s="2">
        <f>-0.128285913495209*(1)</f>
        <v>-0.12828591349520899</v>
      </c>
      <c r="ABV9" s="2">
        <f>0.150318361628073*(1)</f>
        <v>0.15031836162807299</v>
      </c>
      <c r="ABW9" s="2">
        <f>-0.0164160231316171*(1)</f>
        <v>-1.6416023131617101E-2</v>
      </c>
      <c r="ABX9" s="2">
        <f>0.48970577763846*(1)</f>
        <v>0.48970577763846002</v>
      </c>
      <c r="ABY9" s="2">
        <f>0.782588310592753*(1)</f>
        <v>0.78258831059275302</v>
      </c>
      <c r="ABZ9" s="2">
        <f>0.392961388038778*(1)</f>
        <v>0.392961388038778</v>
      </c>
      <c r="ACA9" s="2">
        <f>-0.781309909766752*(1)</f>
        <v>-0.78130990976675196</v>
      </c>
      <c r="ACB9" s="2">
        <f>0.225772670812885*(1)</f>
        <v>0.22577267081288499</v>
      </c>
      <c r="ACC9" s="2">
        <f>0.271738009827995*(1)</f>
        <v>0.27173800982799501</v>
      </c>
      <c r="ACD9" s="2">
        <f>0.312419093193999*(1)</f>
        <v>0.31241909319399902</v>
      </c>
      <c r="ACE9" s="2">
        <f>0.197025134308608*(1)</f>
        <v>0.19702513430860799</v>
      </c>
      <c r="ACF9" s="2">
        <f>-0.131448902344737*(1)</f>
        <v>-0.131448902344737</v>
      </c>
      <c r="ACG9" s="2">
        <f>-0.288555466643295*(1)</f>
        <v>-0.28855546664329501</v>
      </c>
      <c r="ACH9" s="2">
        <f>-0.291994325106715*(1)</f>
        <v>-0.29199432510671502</v>
      </c>
      <c r="ACI9" s="2">
        <f>1.060893143083*(1)</f>
        <v>1.060893143083</v>
      </c>
      <c r="ACJ9" s="2">
        <f>-0.169101864741635*(1)</f>
        <v>-0.16910186474163499</v>
      </c>
      <c r="ACK9" s="2">
        <f>-0.363949883004868*(1)</f>
        <v>-0.36394988300486802</v>
      </c>
      <c r="ACL9" s="2">
        <f>-0.541944556438775*(1)</f>
        <v>-0.54194455643877504</v>
      </c>
      <c r="ACM9" s="2">
        <f>0.876634254818665*(1)</f>
        <v>0.87663425481866497</v>
      </c>
      <c r="ACN9" s="2">
        <f>0.923286577739603*(1)</f>
        <v>0.92328657773960299</v>
      </c>
      <c r="ACO9" s="2">
        <f>0.0517222849205041*(1)</f>
        <v>5.1722284920504097E-2</v>
      </c>
      <c r="ACP9" s="2">
        <f>-0.824476651940952*(1)</f>
        <v>-0.82447665194095199</v>
      </c>
      <c r="ACQ9" s="2">
        <f>-0.097804959338847*(1)</f>
        <v>-9.7804959338847003E-2</v>
      </c>
      <c r="ACR9" s="2">
        <f>-0.418451940791627*(1)</f>
        <v>-0.41845194079162701</v>
      </c>
      <c r="ACS9" s="2">
        <f>-0.0276039949302101*(1)</f>
        <v>-2.76039949302101E-2</v>
      </c>
      <c r="ACT9" s="2">
        <f>0.308042767452495*(1)</f>
        <v>0.30804276745249498</v>
      </c>
      <c r="ACU9" s="2">
        <f>-0.066380431291581*(1)</f>
        <v>-6.6380431291580999E-2</v>
      </c>
      <c r="ACV9" s="2">
        <f>0.00887396038234934*(1)</f>
        <v>8.8739603823493399E-3</v>
      </c>
    </row>
    <row r="10" spans="1:776" x14ac:dyDescent="0.2">
      <c r="A10" s="1" t="s">
        <v>70652</v>
      </c>
      <c r="B10" s="2">
        <f>0.0854709965948509*(1)</f>
        <v>8.5470996594850898E-2</v>
      </c>
      <c r="C10" s="2">
        <f>0.64525430569078*(1)</f>
        <v>0.64525430569078002</v>
      </c>
      <c r="D10" s="2">
        <f>0.39661494539333*(1)</f>
        <v>0.39661494539332998</v>
      </c>
      <c r="E10" s="2">
        <f>0.0625236528284922*(1)</f>
        <v>6.2523652828492204E-2</v>
      </c>
      <c r="F10" s="2">
        <f>-0.260353094990498*(1)</f>
        <v>-0.26035309499049802</v>
      </c>
      <c r="G10" s="2">
        <f>0.304712516047979*(1)</f>
        <v>0.304712516047979</v>
      </c>
      <c r="H10" s="2">
        <f>0.0392490938713987*(1)</f>
        <v>3.9249093871398702E-2</v>
      </c>
      <c r="I10" s="2">
        <f>-0.108434954734032*(1)</f>
        <v>-0.108434954734032</v>
      </c>
      <c r="J10" s="2">
        <f>0.0645027210865367*(1)</f>
        <v>6.4502721086536693E-2</v>
      </c>
      <c r="K10" s="2">
        <f>-0.587349976832071*(1)</f>
        <v>-0.58734997683207102</v>
      </c>
      <c r="L10" s="2">
        <f>-0.337445714497023*(1)</f>
        <v>-0.33744571449702299</v>
      </c>
      <c r="M10" s="2">
        <f>-0.46180434116909*(1)</f>
        <v>-0.46180434116909003</v>
      </c>
      <c r="N10" s="2">
        <f>0.459624893759581*(1)</f>
        <v>0.45962489375958099</v>
      </c>
      <c r="O10" s="2">
        <f>-0.754367202533838*(1)</f>
        <v>-0.75436720253383804</v>
      </c>
      <c r="P10" s="2">
        <f>0.70309567002787*(1)</f>
        <v>0.70309567002786999</v>
      </c>
      <c r="Q10" s="2">
        <f>0.0195269347742811*(1)</f>
        <v>1.95269347742811E-2</v>
      </c>
      <c r="R10" s="2">
        <f>-0.324749340419947*(1)</f>
        <v>-0.32474934041994702</v>
      </c>
      <c r="S10" s="2">
        <f>-0.698476512048306*(1)</f>
        <v>-0.69847651204830596</v>
      </c>
      <c r="T10" s="2">
        <f>0.85442730653983*(1)</f>
        <v>0.85442730653983001</v>
      </c>
      <c r="U10" s="2">
        <f>-0.0610466375481101*(1)</f>
        <v>-6.10466375481101E-2</v>
      </c>
      <c r="V10" s="2">
        <f>0.117897263399369*(1)</f>
        <v>0.117897263399369</v>
      </c>
      <c r="W10" s="2">
        <f>-0.658465195298121*(1)</f>
        <v>-0.65846519529812098</v>
      </c>
      <c r="X10" s="2">
        <f>-0.621631898421012*(1)</f>
        <v>-0.62163189842101196</v>
      </c>
      <c r="Y10" s="2">
        <f>-0.338397366580558*(1)</f>
        <v>-0.33839736658055802</v>
      </c>
      <c r="Z10" s="2">
        <f>-0.474254822515579*(1)</f>
        <v>-0.47425482251557899</v>
      </c>
      <c r="AA10" s="2">
        <f>0.509724933106001*(1)</f>
        <v>0.50972493310600098</v>
      </c>
      <c r="AB10" s="2">
        <f>-0.243693322215314*(1)</f>
        <v>-0.24369332221531401</v>
      </c>
      <c r="AC10" s="2">
        <f>-0.296740457534662*(1)</f>
        <v>-0.29674045753466199</v>
      </c>
      <c r="AD10" s="2">
        <f>-0.0162883182473479*(1)</f>
        <v>-1.6288318247347899E-2</v>
      </c>
      <c r="AE10" s="2">
        <f>-0.0547831220007801*(1)</f>
        <v>-5.4783122000780102E-2</v>
      </c>
      <c r="AF10" s="2">
        <f>-0.0902951482918254*(1)</f>
        <v>-9.0295148291825403E-2</v>
      </c>
      <c r="AG10" s="2">
        <f>-0.475587716144396*(1)</f>
        <v>-0.47558771614439599</v>
      </c>
      <c r="AH10" s="2">
        <f>0.319725145494915*(1)</f>
        <v>0.31972514549491499</v>
      </c>
      <c r="AI10" s="2">
        <f>0.211798346205875*(1)</f>
        <v>0.21179834620587501</v>
      </c>
      <c r="AJ10" s="2">
        <f>-0.759685406693247*(1)</f>
        <v>-0.75968540669324702</v>
      </c>
      <c r="AK10" s="2">
        <f>0.00662919845468038*(1)</f>
        <v>6.6291984546803804E-3</v>
      </c>
      <c r="AL10" s="2">
        <f>0.384489253274055*(1)</f>
        <v>0.38448925327405498</v>
      </c>
      <c r="AM10" s="2">
        <f>0.322012915035503*(1)</f>
        <v>0.322012915035503</v>
      </c>
      <c r="AN10" s="2">
        <f>-0.789918239132592*(1)</f>
        <v>-0.78991823913259196</v>
      </c>
      <c r="AO10" s="2">
        <f>0.157754094603709*(1)</f>
        <v>0.15775409460370901</v>
      </c>
      <c r="AP10" s="2">
        <f>0.395302605561243*(1)</f>
        <v>0.39530260556124303</v>
      </c>
      <c r="AQ10" s="2">
        <f>0.241142209872131*(1)</f>
        <v>0.241142209872131</v>
      </c>
      <c r="AR10" s="2">
        <f>0.850714537704168*(1)</f>
        <v>0.85071453770416805</v>
      </c>
      <c r="AS10" s="2">
        <f>-0.413956652230421*(1)</f>
        <v>-0.413956652230421</v>
      </c>
      <c r="AT10" s="2">
        <f>1.14243055611735*(1)</f>
        <v>1.14243055611735</v>
      </c>
      <c r="AU10" s="2">
        <f>0.404609092501724*(1)</f>
        <v>0.404609092501724</v>
      </c>
      <c r="AV10" s="2">
        <f>-0.155987292735704*(1)</f>
        <v>-0.155987292735704</v>
      </c>
      <c r="AW10" s="2">
        <f>0.11941306703889*(1)</f>
        <v>0.11941306703889</v>
      </c>
      <c r="AX10" s="2">
        <f>-0.639132119633535*(1)</f>
        <v>-0.639132119633535</v>
      </c>
      <c r="AY10" s="2">
        <f>-0.510886900463063*(1)</f>
        <v>-0.51088690046306295</v>
      </c>
      <c r="AZ10" s="2">
        <f>0.0421025329660658*(1)</f>
        <v>4.2102532966065802E-2</v>
      </c>
      <c r="BA10" s="2">
        <f>-0.325330615200617*(1)</f>
        <v>-0.32533061520061701</v>
      </c>
      <c r="BB10" s="2">
        <f>0.611473292624847*(1)</f>
        <v>0.61147329262484695</v>
      </c>
      <c r="BC10" s="2">
        <f>0.495232114291865*(1)</f>
        <v>0.49523211429186498</v>
      </c>
      <c r="BD10" s="2">
        <f>-0.343305595578565*(1)</f>
        <v>-0.34330559557856499</v>
      </c>
      <c r="BE10" s="2">
        <f>0.0890604587813278*(1)</f>
        <v>8.9060458781327803E-2</v>
      </c>
      <c r="BF10" s="2">
        <f>-0.267383703528397*(1)</f>
        <v>-0.26738370352839702</v>
      </c>
      <c r="BG10" s="2">
        <f>-0.637402397647719*(1)</f>
        <v>-0.637402397647719</v>
      </c>
      <c r="BH10" s="2">
        <f>0.940468095727452*(1)</f>
        <v>0.94046809572745205</v>
      </c>
      <c r="BI10" s="2">
        <f>0.237538360798219*(1)</f>
        <v>0.23753836079821899</v>
      </c>
      <c r="BJ10" s="2">
        <f>0.217807657093005*(1)</f>
        <v>0.21780765709300501</v>
      </c>
      <c r="BK10" s="2">
        <f>0.828110940135518*(1)</f>
        <v>0.828110940135518</v>
      </c>
      <c r="BL10" s="2">
        <f>-0.11801376368242*(1)</f>
        <v>-0.11801376368242</v>
      </c>
      <c r="BM10" s="2">
        <f>-1.15844613382328*(1)</f>
        <v>-1.1584461338232801</v>
      </c>
      <c r="BN10" s="2">
        <f>-0.234814831844413*(1)</f>
        <v>-0.23481483184441301</v>
      </c>
      <c r="BO10" s="2">
        <f>0.485555860109429*(1)</f>
        <v>0.48555586010942903</v>
      </c>
      <c r="BP10" s="2">
        <f>0.00105278240028641*(1)</f>
        <v>1.0527824002864101E-3</v>
      </c>
      <c r="BQ10" s="2">
        <f>-0.033166098389864*(1)</f>
        <v>-3.3166098389864E-2</v>
      </c>
      <c r="BR10" s="2">
        <f>-0.616877742797789*(1)</f>
        <v>-0.61687774279778895</v>
      </c>
      <c r="BS10" s="2">
        <f>0.576847725814821*(1)</f>
        <v>0.57684772581482102</v>
      </c>
      <c r="BT10" s="2">
        <f>0.261497598919305*(1)</f>
        <v>0.26149759891930502</v>
      </c>
      <c r="BU10" s="2">
        <f>-0.235109691775048*(1)</f>
        <v>-0.23510969177504801</v>
      </c>
      <c r="BV10" s="2">
        <f>0.331006122918398*(1)</f>
        <v>0.33100612291839798</v>
      </c>
      <c r="BW10" s="2">
        <f>-0.113631304398914*(1)</f>
        <v>-0.113631304398914</v>
      </c>
      <c r="BX10" s="2">
        <f>0.31930268372165*(1)</f>
        <v>0.31930268372164999</v>
      </c>
      <c r="BY10" s="2">
        <f>-0.0197747880413756*(1)</f>
        <v>-1.9774788041375599E-2</v>
      </c>
      <c r="BZ10" s="2">
        <f>-0.0986287589591836*(1)</f>
        <v>-9.8628758959183604E-2</v>
      </c>
      <c r="CA10" s="2">
        <f>-0.442794998371274*(1)</f>
        <v>-0.44279499837127401</v>
      </c>
      <c r="CB10" s="2">
        <f>-0.0250528770767562*(1)</f>
        <v>-2.50528770767562E-2</v>
      </c>
      <c r="CC10" s="2">
        <f>0.040474147601626*(1)</f>
        <v>4.0474147601626001E-2</v>
      </c>
      <c r="CD10" s="2">
        <f>0.543466856714244*(1)</f>
        <v>0.543466856714244</v>
      </c>
      <c r="CE10" s="2">
        <f>-0.103572646609435*(1)</f>
        <v>-0.10357264660943501</v>
      </c>
      <c r="CF10" s="2">
        <f>-0.0965788444343509*(1)</f>
        <v>-9.6578844434350899E-2</v>
      </c>
      <c r="CG10" s="2">
        <f>-0.20921182943675*(1)</f>
        <v>-0.20921182943675001</v>
      </c>
      <c r="CH10" s="2">
        <f>1.19986968317188*(1)</f>
        <v>1.19986968317188</v>
      </c>
      <c r="CI10" s="2">
        <f>0.614509293645234*(1)</f>
        <v>0.61450929364523399</v>
      </c>
      <c r="CJ10" s="2">
        <f>0.433192472032642*(1)</f>
        <v>0.433192472032642</v>
      </c>
      <c r="CK10" s="2">
        <f>0.600905463025281*(1)</f>
        <v>0.60090546302528103</v>
      </c>
      <c r="CL10" s="2">
        <f>-0.304344738176502*(1)</f>
        <v>-0.30434473817650198</v>
      </c>
      <c r="CM10" s="2">
        <f>-0.00370862231763269*(1)</f>
        <v>-3.7086223176326901E-3</v>
      </c>
      <c r="CN10" s="2">
        <f>0.733445769890012*(1)</f>
        <v>0.73344576989001198</v>
      </c>
      <c r="CO10" s="2">
        <f>0.124264658513532*(1)</f>
        <v>0.12426465851353199</v>
      </c>
      <c r="CP10" s="2">
        <f>0.0618832460780102*(1)</f>
        <v>6.1883246078010198E-2</v>
      </c>
      <c r="CQ10" s="2">
        <f>0.097925527884051*(1)</f>
        <v>9.7925527884050997E-2</v>
      </c>
      <c r="CR10" s="2">
        <f>1.32553982590671*(1)</f>
        <v>1.3255398259067099</v>
      </c>
      <c r="CS10" s="2">
        <f>0.469036041968451*(1)</f>
        <v>0.469036041968451</v>
      </c>
      <c r="CT10" s="2">
        <f>0.0163095500513236*(1)</f>
        <v>1.6309550051323601E-2</v>
      </c>
      <c r="CU10" s="2">
        <f>-0.287853871797384*(1)</f>
        <v>-0.28785387179738398</v>
      </c>
      <c r="CV10" s="2">
        <f>-0.227632837016554*(1)</f>
        <v>-0.22763283701655401</v>
      </c>
      <c r="CW10" s="2">
        <f>0.493538125269233*(1)</f>
        <v>0.49353812526923302</v>
      </c>
      <c r="CX10" s="2">
        <f>0.690482431015607*(1)</f>
        <v>0.69048243101560702</v>
      </c>
      <c r="CY10" s="2">
        <f>-0.652037345448969*(1)</f>
        <v>-0.65203734544896896</v>
      </c>
      <c r="CZ10" s="2">
        <f>0.326495649898392*(1)</f>
        <v>0.32649564989839203</v>
      </c>
      <c r="DA10" s="2">
        <f>0.401168659175483*(1)</f>
        <v>0.401168659175483</v>
      </c>
      <c r="DB10" s="2">
        <f>0.711268791722636*(1)</f>
        <v>0.71126879172263602</v>
      </c>
      <c r="DC10" s="2">
        <f>1.43944822847236*(1)</f>
        <v>1.43944822847236</v>
      </c>
      <c r="DD10" s="2">
        <f>-0.614553907422151*(1)</f>
        <v>-0.61455390742215099</v>
      </c>
      <c r="DE10" s="2">
        <f>-1.097705738417*(1)</f>
        <v>-1.0977057384169999</v>
      </c>
      <c r="DF10" s="2">
        <f>0.523312985695553*(1)</f>
        <v>0.52331298569555296</v>
      </c>
      <c r="DG10" s="2">
        <f>-0.278829213276126*(1)</f>
        <v>-0.27882921327612598</v>
      </c>
      <c r="DH10" s="2">
        <f>-0.224741456752359*(1)</f>
        <v>-0.22474145675235899</v>
      </c>
      <c r="DI10" s="2">
        <f>0.37660044867783*(1)</f>
        <v>0.37660044867782999</v>
      </c>
      <c r="DJ10" s="2">
        <f>0.293088266471666*(1)</f>
        <v>0.29308826647166603</v>
      </c>
      <c r="DK10" s="2">
        <f>-0.879696542243944*(1)</f>
        <v>-0.879696542243944</v>
      </c>
      <c r="DL10" s="2">
        <f>0.0372832189080694*(1)</f>
        <v>3.7283218908069397E-2</v>
      </c>
      <c r="DM10" s="2">
        <f>1.15410731291234*(1)</f>
        <v>1.15410731291234</v>
      </c>
      <c r="DN10" s="2">
        <f>-0.785666191658233*(1)</f>
        <v>-0.78566619165823304</v>
      </c>
      <c r="DO10" s="2">
        <f>0.175262522474882*(1)</f>
        <v>0.175262522474882</v>
      </c>
      <c r="DP10" s="2">
        <f>0.186969591822102*(1)</f>
        <v>0.18696959182210199</v>
      </c>
      <c r="DQ10" s="2">
        <f>-0.443391964109814*(1)</f>
        <v>-0.44339196410981402</v>
      </c>
      <c r="DR10" s="2">
        <f>-0.174811332014722*(1)</f>
        <v>-0.17481133201472199</v>
      </c>
      <c r="DS10" s="2">
        <f>-1.00021272581191*(1)</f>
        <v>-1.00021272581191</v>
      </c>
      <c r="DT10" s="2">
        <f>0.221683750340211*(1)</f>
        <v>0.22168375034021101</v>
      </c>
      <c r="DU10" s="2">
        <f>-0.348188619843583*(1)</f>
        <v>-0.34818861984358301</v>
      </c>
      <c r="DV10" s="2">
        <f>-0.0285728697308982*(1)</f>
        <v>-2.85728697308982E-2</v>
      </c>
      <c r="DW10" s="2">
        <f>1.14389932961155*(1)</f>
        <v>1.1438993296115501</v>
      </c>
      <c r="DX10" s="2">
        <f>1.2934767792999*(1)</f>
        <v>1.2934767792999</v>
      </c>
      <c r="DY10" s="2">
        <f>-0.120490869233302*(1)</f>
        <v>-0.120490869233302</v>
      </c>
      <c r="DZ10" s="2">
        <f>-0.36002353442919*(1)</f>
        <v>-0.36002353442919</v>
      </c>
      <c r="EA10" s="2">
        <f>-0.442575083462468*(1)</f>
        <v>-0.44257508346246799</v>
      </c>
      <c r="EB10" s="2">
        <f>-0.412867975387088*(1)</f>
        <v>-0.41286797538708803</v>
      </c>
      <c r="EC10" s="2">
        <f>-0.230211030597637*(1)</f>
        <v>-0.23021103059763701</v>
      </c>
      <c r="ED10" s="2">
        <f>0.322591938460534*(1)</f>
        <v>0.32259193846053402</v>
      </c>
      <c r="EE10" s="2">
        <f>-0.569267243423975*(1)</f>
        <v>-0.56926724342397494</v>
      </c>
      <c r="EF10" s="2">
        <f>0.503852584125236*(1)</f>
        <v>0.50385258412523604</v>
      </c>
      <c r="EG10" s="2">
        <f>0.540204734578407*(1)</f>
        <v>0.54020473457840701</v>
      </c>
      <c r="EH10" s="2">
        <f>1.64989987358494*(1)</f>
        <v>1.6498998735849399</v>
      </c>
      <c r="EI10" s="2">
        <f>-0.255073020685823*(1)</f>
        <v>-0.25507302068582299</v>
      </c>
      <c r="EJ10" s="2">
        <f>-0.373202858222057*(1)</f>
        <v>-0.37320285822205701</v>
      </c>
      <c r="EK10" s="2">
        <f>-0.0114428389365534*(1)</f>
        <v>-1.1442838936553399E-2</v>
      </c>
      <c r="EL10" s="2">
        <f>0.131389905255349*(1)</f>
        <v>0.13138990525534899</v>
      </c>
      <c r="EM10" s="2">
        <f>0.844587559623613*(1)</f>
        <v>0.84458755962361298</v>
      </c>
      <c r="EN10" s="2">
        <f>-0.134372587595231*(1)</f>
        <v>-0.13437258759523099</v>
      </c>
      <c r="EO10" s="2">
        <f>0.247378812539214*(1)</f>
        <v>0.24737881253921401</v>
      </c>
      <c r="EP10" s="2">
        <f>0.739720362511363*(1)</f>
        <v>0.73972036251136297</v>
      </c>
      <c r="EQ10" s="2">
        <f>-0.706490418317509*(1)</f>
        <v>-0.70649041831750903</v>
      </c>
      <c r="ER10" s="2">
        <f>0.351352127569494*(1)</f>
        <v>0.35135212756949402</v>
      </c>
      <c r="ES10" s="2">
        <f>0.166143086732934*(1)</f>
        <v>0.16614308673293399</v>
      </c>
      <c r="ET10" s="2">
        <f>0.279526035949938*(1)</f>
        <v>0.27952603594993802</v>
      </c>
      <c r="EU10" s="2">
        <f>-0.32560803033534*(1)</f>
        <v>-0.32560803033534003</v>
      </c>
      <c r="EV10" s="2">
        <f>-0.426932786032178*(1)</f>
        <v>-0.42693278603217799</v>
      </c>
      <c r="EW10" s="2">
        <f>0.287665160671387*(1)</f>
        <v>0.28766516067138698</v>
      </c>
      <c r="EX10" s="2">
        <f>1.47664325014966*(1)</f>
        <v>1.47664325014966</v>
      </c>
      <c r="EY10" s="2">
        <f>-0.320879246430159*(1)</f>
        <v>-0.32087924643015903</v>
      </c>
      <c r="EZ10" s="2">
        <f>-0.165281533319126*(1)</f>
        <v>-0.16528153331912601</v>
      </c>
      <c r="FA10" s="2">
        <f>-0.354879284863356*(1)</f>
        <v>-0.35487928486335601</v>
      </c>
      <c r="FB10" s="2">
        <f>-0.409743127319642*(1)</f>
        <v>-0.40974312731964202</v>
      </c>
      <c r="FC10" s="2">
        <f>-0.296492255241729*(1)</f>
        <v>-0.29649225524172901</v>
      </c>
      <c r="FD10" s="2">
        <f>0.577946495794618*(1)</f>
        <v>0.57794649579461799</v>
      </c>
      <c r="FE10" s="2">
        <f>0.0814157463401839*(1)</f>
        <v>8.1415746340183906E-2</v>
      </c>
      <c r="FF10" s="2">
        <f>-0.0877937382711542*(1)</f>
        <v>-8.7793738271154206E-2</v>
      </c>
      <c r="FG10" s="2">
        <f>0.0678408523346911*(1)</f>
        <v>6.7840852334691101E-2</v>
      </c>
      <c r="FH10" s="2">
        <f>-0.647989846539422*(1)</f>
        <v>-0.64798984653942204</v>
      </c>
      <c r="FI10" s="2">
        <f>1.32849157734855*(1)</f>
        <v>1.3284915773485499</v>
      </c>
      <c r="FJ10" s="2">
        <f>-0.748139976589418*(1)</f>
        <v>-0.748139976589418</v>
      </c>
      <c r="FK10" s="2">
        <f>-0.0295938439736861*(1)</f>
        <v>-2.9593843973686099E-2</v>
      </c>
      <c r="FL10" s="2">
        <f>0.580049292529419*(1)</f>
        <v>0.58004929252941895</v>
      </c>
      <c r="FM10" s="2">
        <f>-0.306506724524735*(1)</f>
        <v>-0.30650672452473499</v>
      </c>
      <c r="FN10" s="2">
        <f>0.912230517099687*(1)</f>
        <v>0.91223051709968705</v>
      </c>
      <c r="FO10" s="2">
        <f>-0.24591996581052*(1)</f>
        <v>-0.24591996581052</v>
      </c>
      <c r="FP10" s="2">
        <f>0.159505473943999*(1)</f>
        <v>0.159505473943999</v>
      </c>
      <c r="FQ10" s="2">
        <f>0.0205925198524122*(1)</f>
        <v>2.05925198524122E-2</v>
      </c>
      <c r="FR10" s="2">
        <f>-0.600154306063841*(1)</f>
        <v>-0.60015430606384101</v>
      </c>
      <c r="FS10" s="2">
        <f>-0.508533634079504*(1)</f>
        <v>-0.50853363407950403</v>
      </c>
      <c r="FT10" s="2">
        <f>1.43464257632236*(1)</f>
        <v>1.43464257632236</v>
      </c>
      <c r="FU10" s="2">
        <f>-0.270731548805305*(1)</f>
        <v>-0.27073154880530498</v>
      </c>
      <c r="FV10" s="2">
        <f>0.494076501624157*(1)</f>
        <v>0.49407650162415701</v>
      </c>
      <c r="FW10" s="2">
        <f>0.461744895849224*(1)</f>
        <v>0.46174489584922401</v>
      </c>
      <c r="FX10" s="2">
        <f>0.000671224931379462*(1)</f>
        <v>6.7122493137946205E-4</v>
      </c>
      <c r="FY10" s="2">
        <f>0.232098967959063*(1)</f>
        <v>0.23209896795906301</v>
      </c>
      <c r="FZ10" s="2">
        <f>-0.723471742261806*(1)</f>
        <v>-0.72347174226180599</v>
      </c>
      <c r="GA10" s="2">
        <f>-1.09081093902745*(1)</f>
        <v>-1.0908109390274501</v>
      </c>
      <c r="GB10" s="2">
        <f>-0.342375733162323*(1)</f>
        <v>-0.342375733162323</v>
      </c>
      <c r="GC10" s="2">
        <f>-0.196851871843155*(1)</f>
        <v>-0.196851871843155</v>
      </c>
      <c r="GD10" s="2">
        <f>0.439246793480234*(1)</f>
        <v>0.43924679348023399</v>
      </c>
      <c r="GE10" s="2">
        <f>0.0909515166778717*(1)</f>
        <v>9.0951516677871699E-2</v>
      </c>
      <c r="GF10" s="2">
        <f>-0.365796364469983*(1)</f>
        <v>-0.36579636446998298</v>
      </c>
      <c r="GG10" s="2">
        <f>0.419834583864999*(1)</f>
        <v>0.419834583864999</v>
      </c>
      <c r="GH10" s="2">
        <f>0.188631960405368*(1)</f>
        <v>0.188631960405368</v>
      </c>
      <c r="GI10" s="2">
        <f>-0.207925992883238*(1)</f>
        <v>-0.20792599288323799</v>
      </c>
      <c r="GJ10" s="2">
        <f>-0.125058095072151*(1)</f>
        <v>-0.12505809507215099</v>
      </c>
      <c r="GK10" s="2">
        <f>-0.157457170397487*(1)</f>
        <v>-0.157457170397487</v>
      </c>
      <c r="GL10" s="2">
        <f>0.453688806050732*(1)</f>
        <v>0.45368880605073197</v>
      </c>
      <c r="GM10" s="2">
        <f>-0.984682505889747*(1)</f>
        <v>-0.98468250588974704</v>
      </c>
      <c r="GN10" s="2">
        <f>1.44634885844607*(1)</f>
        <v>1.44634885844607</v>
      </c>
      <c r="GO10" s="2">
        <f>-0.35675526976529*(1)</f>
        <v>-0.35675526976528998</v>
      </c>
      <c r="GP10" s="2">
        <f>0.316095226028277*(1)</f>
        <v>0.316095226028277</v>
      </c>
      <c r="GQ10" s="2">
        <f>-0.625571765340437*(1)</f>
        <v>-0.62557176534043701</v>
      </c>
      <c r="GR10" s="2">
        <f>-0.0535671590587305*(1)</f>
        <v>-5.3567159058730503E-2</v>
      </c>
      <c r="GS10" s="2">
        <f>1.39613448292348*(1)</f>
        <v>1.3961344829234801</v>
      </c>
      <c r="GT10" s="2">
        <f>-0.439171175818639*(1)</f>
        <v>-0.43917117581863901</v>
      </c>
      <c r="GU10" s="2">
        <f>0.508851988717763*(1)</f>
        <v>0.50885198871776305</v>
      </c>
      <c r="GV10" s="2">
        <f>0.0548034132348835*(1)</f>
        <v>5.4803413234883497E-2</v>
      </c>
      <c r="GW10" s="2">
        <f>-0.0384463275013114*(1)</f>
        <v>-3.8446327501311398E-2</v>
      </c>
      <c r="GX10" s="2">
        <f>0.000535451217056485*(1)</f>
        <v>5.3545121705648503E-4</v>
      </c>
      <c r="GY10" s="2">
        <f>0.21466699958155*(1)</f>
        <v>0.21466699958155</v>
      </c>
      <c r="GZ10" s="2">
        <f>0.473890706596311*(1)</f>
        <v>0.473890706596311</v>
      </c>
      <c r="HA10" s="2">
        <f>0.397465192510955*(1)</f>
        <v>0.39746519251095502</v>
      </c>
      <c r="HB10" s="2">
        <f>-0.0496819674778574*(1)</f>
        <v>-4.96819674778574E-2</v>
      </c>
      <c r="HC10" s="2">
        <f>0.111386939794608*(1)</f>
        <v>0.11138693979460799</v>
      </c>
      <c r="HD10" s="2">
        <f>0.126522968533545*(1)</f>
        <v>0.126522968533545</v>
      </c>
      <c r="HE10" s="2">
        <f>0.0688366037331488*(1)</f>
        <v>6.8836603733148802E-2</v>
      </c>
      <c r="HF10" s="2">
        <f>0.172742167770848*(1)</f>
        <v>0.172742167770848</v>
      </c>
      <c r="HG10" s="2">
        <f>0.222598162627372*(1)</f>
        <v>0.222598162627372</v>
      </c>
      <c r="HH10" s="2">
        <f>0.497395741341621*(1)</f>
        <v>0.49739574134162101</v>
      </c>
      <c r="HI10" s="2">
        <f>0.478104542718373*(1)</f>
        <v>0.47810454271837299</v>
      </c>
      <c r="HJ10" s="2">
        <f>-0.105220376492126*(1)</f>
        <v>-0.105220376492126</v>
      </c>
      <c r="HK10" s="2">
        <f>0.187696390412263*(1)</f>
        <v>0.18769639041226299</v>
      </c>
      <c r="HL10" s="2">
        <f>0.448667010019407*(1)</f>
        <v>0.44866701001940701</v>
      </c>
      <c r="HM10" s="2">
        <f>-0.771481609685862*(1)</f>
        <v>-0.77148160968586199</v>
      </c>
      <c r="HN10" s="2">
        <f>0.00161717801969385*(1)</f>
        <v>1.61717801969385E-3</v>
      </c>
      <c r="HO10" s="2">
        <f>0.23610958154896*(1)</f>
        <v>0.23610958154896</v>
      </c>
      <c r="HP10" s="2">
        <f>-0.0529834658669584*(1)</f>
        <v>-5.2983465866958401E-2</v>
      </c>
      <c r="HQ10" s="2">
        <f>0.150536002566114*(1)</f>
        <v>0.15053600256611399</v>
      </c>
      <c r="HR10" s="2">
        <f>-0.140479226284471*(1)</f>
        <v>-0.14047922628447099</v>
      </c>
      <c r="HS10" s="2">
        <f>-0.223239513232338*(1)</f>
        <v>-0.22323951323233801</v>
      </c>
      <c r="HT10" s="2">
        <f>0.426011568883094*(1)</f>
        <v>0.42601156888309399</v>
      </c>
      <c r="HU10" s="2">
        <f>0.411384002987757*(1)</f>
        <v>0.41138400298775701</v>
      </c>
      <c r="HV10" s="2">
        <f>0.0723058253203485*(1)</f>
        <v>7.2305825320348502E-2</v>
      </c>
      <c r="HW10" s="2">
        <f>0.433334432769567*(1)</f>
        <v>0.43333443276956701</v>
      </c>
      <c r="HX10" s="2">
        <f>-0.0439765416893408*(1)</f>
        <v>-4.3976541689340801E-2</v>
      </c>
      <c r="HY10" s="2">
        <f>0.314936137880526*(1)</f>
        <v>0.31493613788052599</v>
      </c>
      <c r="HZ10" s="2">
        <f>-0.128986850347042*(1)</f>
        <v>-0.12898685034704199</v>
      </c>
      <c r="IA10" s="2">
        <f>0.317766421719594*(1)</f>
        <v>0.31776642171959402</v>
      </c>
      <c r="IB10" s="2">
        <f>-0.172148255063327*(1)</f>
        <v>-0.17214825506332701</v>
      </c>
      <c r="IC10" s="2">
        <f>0.245817285969688*(1)</f>
        <v>0.24581728596968799</v>
      </c>
      <c r="ID10" s="2">
        <f>-0.393610419561502*(1)</f>
        <v>-0.393610419561502</v>
      </c>
      <c r="IE10" s="2">
        <f>0.252013080592266*(1)</f>
        <v>0.25201308059226601</v>
      </c>
      <c r="IF10" s="2">
        <f>-0.62535232773083*(1)</f>
        <v>-0.62535232773083005</v>
      </c>
      <c r="IG10" s="2">
        <f>0.0843811760377613*(1)</f>
        <v>8.4381176037761296E-2</v>
      </c>
      <c r="IH10" s="2">
        <f>0.330603921699303*(1)</f>
        <v>0.33060392169930303</v>
      </c>
      <c r="II10" s="2">
        <f>-0.3631832386796*(1)</f>
        <v>-0.36318323867960001</v>
      </c>
      <c r="IJ10" s="2">
        <f>-0.367171255368964*(1)</f>
        <v>-0.367171255368964</v>
      </c>
      <c r="IK10" s="2">
        <f>-0.926167370512739*(1)</f>
        <v>-0.92616737051273901</v>
      </c>
      <c r="IL10" s="2">
        <f>0.0569550910749629*(1)</f>
        <v>5.6955091074962903E-2</v>
      </c>
      <c r="IM10" s="2">
        <f>-0.421546405927649*(1)</f>
        <v>-0.42154640592764903</v>
      </c>
      <c r="IN10" s="2">
        <f>0.413017254105832*(1)</f>
        <v>0.41301725410583201</v>
      </c>
      <c r="IO10" s="2">
        <f>-0.938822791795829*(1)</f>
        <v>-0.93882279179582895</v>
      </c>
      <c r="IP10" s="2">
        <f>-0.209166773068964*(1)</f>
        <v>-0.209166773068964</v>
      </c>
      <c r="IQ10" s="2">
        <f>-0.152190825918873*(1)</f>
        <v>-0.15219082591887301</v>
      </c>
      <c r="IR10" s="2">
        <f>-0.844781533889166*(1)</f>
        <v>-0.84478153388916599</v>
      </c>
      <c r="IS10" s="2">
        <f>0.886919068924578*(1)</f>
        <v>0.88691906892457795</v>
      </c>
      <c r="IT10" s="2">
        <f>-0.400403044432776*(1)</f>
        <v>-0.40040304443277602</v>
      </c>
      <c r="IU10" s="2">
        <f>0.197656223195343*(1)</f>
        <v>0.19765622319534301</v>
      </c>
      <c r="IV10" s="2">
        <f>-0.502638207327526*(1)</f>
        <v>-0.50263820732752595</v>
      </c>
      <c r="IW10" s="2">
        <f>1.21146610119734*(1)</f>
        <v>1.21146610119734</v>
      </c>
      <c r="IX10" s="2">
        <f>0.0385426265378188*(1)</f>
        <v>3.85426265378188E-2</v>
      </c>
      <c r="IY10" s="2">
        <f>-0.114498941229154*(1)</f>
        <v>-0.11449894122915399</v>
      </c>
      <c r="IZ10" s="2">
        <f>-0.0261774833907929*(1)</f>
        <v>-2.6177483390792899E-2</v>
      </c>
      <c r="JA10" s="2">
        <f>-0.452615332613274*(1)</f>
        <v>-0.45261533261327402</v>
      </c>
      <c r="JB10" s="2">
        <f>0.562115207846398*(1)</f>
        <v>0.56211520784639801</v>
      </c>
      <c r="JC10" s="2">
        <f>-0.134790079918445*(1)</f>
        <v>-0.13479007991844499</v>
      </c>
      <c r="JD10" s="2">
        <f>-0.355975060351676*(1)</f>
        <v>-0.35597506035167598</v>
      </c>
      <c r="JE10" s="2">
        <f>0.0556201517025719*(1)</f>
        <v>5.5620151702571903E-2</v>
      </c>
      <c r="JF10" s="2">
        <f>-0.308605010560103*(1)</f>
        <v>-0.30860501056010298</v>
      </c>
      <c r="JG10" s="2">
        <f>0.26838278085257*(1)</f>
        <v>0.26838278085257</v>
      </c>
      <c r="JH10" s="2">
        <f>0.162316188988327*(1)</f>
        <v>0.162316188988327</v>
      </c>
      <c r="JI10" s="2">
        <f>-1.10522343494678*(1)</f>
        <v>-1.10522343494678</v>
      </c>
      <c r="JJ10" s="2">
        <f>0.0276347014450143*(1)</f>
        <v>2.7634701445014301E-2</v>
      </c>
      <c r="JK10" s="2">
        <f>-0.124213336149767*(1)</f>
        <v>-0.124213336149767</v>
      </c>
      <c r="JL10" s="2">
        <f>-0.574084455093925*(1)</f>
        <v>-0.57408445509392503</v>
      </c>
      <c r="JM10" s="2">
        <f>0.0482683990607902*(1)</f>
        <v>4.8268399060790203E-2</v>
      </c>
      <c r="JN10" s="2">
        <f>0.656037087480748*(1)</f>
        <v>0.65603708748074796</v>
      </c>
      <c r="JO10" s="2">
        <f>-0.347441036772516*(1)</f>
        <v>-0.34744103677251598</v>
      </c>
      <c r="JP10" s="2">
        <f>0.27515341169983*(1)</f>
        <v>0.27515341169982999</v>
      </c>
      <c r="JQ10" s="2">
        <f>0.31623224987843*(1)</f>
        <v>0.31623224987843002</v>
      </c>
      <c r="JR10" s="2">
        <f>0.117411696252758*(1)</f>
        <v>0.117411696252758</v>
      </c>
      <c r="JS10" s="2">
        <f>0.195760847856804*(1)</f>
        <v>0.195760847856804</v>
      </c>
      <c r="JT10" s="2">
        <f>-0.760902131038815*(1)</f>
        <v>-0.76090213103881499</v>
      </c>
      <c r="JU10" s="2">
        <f>-0.00227284815399471*(1)</f>
        <v>-2.2728481539947098E-3</v>
      </c>
      <c r="JV10" s="2">
        <f>0.262313476238598*(1)</f>
        <v>0.26231347623859802</v>
      </c>
      <c r="JW10" s="2">
        <f>-0.409572466864536*(1)</f>
        <v>-0.40957246686453602</v>
      </c>
      <c r="JX10" s="2">
        <f>0.404296569888445*(1)</f>
        <v>0.40429656988844498</v>
      </c>
      <c r="JY10" s="2">
        <f>-0.0696920500975428*(1)</f>
        <v>-6.9692050097542799E-2</v>
      </c>
      <c r="JZ10" s="2">
        <f>0.038866047093593*(1)</f>
        <v>3.8866047093593002E-2</v>
      </c>
      <c r="KA10" s="2">
        <f>-0.396823630322212*(1)</f>
        <v>-0.39682363032221202</v>
      </c>
      <c r="KB10" s="2">
        <f>-0.151660975927203*(1)</f>
        <v>-0.15166097592720301</v>
      </c>
      <c r="KC10" s="2">
        <f>0.091886993349397*(1)</f>
        <v>9.1886993349396998E-2</v>
      </c>
      <c r="KD10" s="2">
        <f>-0.424680283740788*(1)</f>
        <v>-0.42468028374078798</v>
      </c>
      <c r="KE10" s="2">
        <f>0.293566938090853*(1)</f>
        <v>0.29356693809085299</v>
      </c>
      <c r="KF10" s="2">
        <f>-0.103832886463829*(1)</f>
        <v>-0.103832886463829</v>
      </c>
      <c r="KG10" s="2">
        <f>0.153681611834981*(1)</f>
        <v>0.153681611834981</v>
      </c>
      <c r="KH10" s="2">
        <f>-0.225328293697609*(1)</f>
        <v>-0.22532829369760901</v>
      </c>
      <c r="KI10" s="2">
        <f>0.16836456575527*(1)</f>
        <v>0.16836456575527001</v>
      </c>
      <c r="KJ10" s="2">
        <f>-0.256330120526547*(1)</f>
        <v>-0.25633012052654702</v>
      </c>
      <c r="KK10" s="2">
        <f>0.369750917011887*(1)</f>
        <v>0.369750917011887</v>
      </c>
      <c r="KL10" s="2">
        <f>-0.142923421403977*(1)</f>
        <v>-0.14292342140397701</v>
      </c>
      <c r="KM10" s="2">
        <f>0.417840291130478*(1)</f>
        <v>0.41784029113047799</v>
      </c>
      <c r="KN10" s="2">
        <f>-0.270717923386635*(1)</f>
        <v>-0.27071792338663497</v>
      </c>
      <c r="KO10" s="2">
        <f>-0.400412885925549*(1)</f>
        <v>-0.40041288592554902</v>
      </c>
      <c r="KP10" s="2">
        <f>0.439027583903273*(1)</f>
        <v>0.43902758390327301</v>
      </c>
      <c r="KQ10" s="2">
        <f>0.0354439270116452*(1)</f>
        <v>3.5443927011645199E-2</v>
      </c>
      <c r="KR10" s="2">
        <f>-0.0741899448849806*(1)</f>
        <v>-7.4189944884980596E-2</v>
      </c>
      <c r="KS10" s="2">
        <f>-0.80543609083548*(1)</f>
        <v>-0.80543609083547996</v>
      </c>
      <c r="KT10" s="2">
        <f>0.259940465965865*(1)</f>
        <v>0.25994046596586501</v>
      </c>
      <c r="KU10" s="2">
        <f>-0.334013571543682*(1)</f>
        <v>-0.334013571543682</v>
      </c>
      <c r="KV10" s="2">
        <f>0.381805850072964*(1)</f>
        <v>0.38180585007296403</v>
      </c>
      <c r="KW10" s="2">
        <f>0.161485277483393*(1)</f>
        <v>0.161485277483393</v>
      </c>
      <c r="KX10" s="2">
        <f>-0.298967445561778*(1)</f>
        <v>-0.29896744556177801</v>
      </c>
      <c r="KY10" s="2">
        <f>0.204954027421659*(1)</f>
        <v>0.204954027421659</v>
      </c>
      <c r="KZ10" s="2">
        <f>0.67380807183226*(1)</f>
        <v>0.67380807183225999</v>
      </c>
      <c r="LA10" s="2">
        <f>-0.425663786275681*(1)</f>
        <v>-0.42566378627568102</v>
      </c>
      <c r="LB10" s="2">
        <f>-0.402635767416061*(1)</f>
        <v>-0.402635767416061</v>
      </c>
      <c r="LC10" s="2">
        <f>-0.350539345725194*(1)</f>
        <v>-0.35053934572519402</v>
      </c>
      <c r="LD10" s="2">
        <f>-0.0651079962101593*(1)</f>
        <v>-6.5107996210159294E-2</v>
      </c>
      <c r="LE10" s="2">
        <f>-0.211686229087899*(1)</f>
        <v>-0.211686229087899</v>
      </c>
      <c r="LF10" s="2">
        <f>-0.0655438659442417*(1)</f>
        <v>-6.5543865944241705E-2</v>
      </c>
      <c r="LG10" s="2">
        <f>0.28576752869172*(1)</f>
        <v>0.28576752869172001</v>
      </c>
      <c r="LH10" s="2">
        <f>0.203421365305647*(1)</f>
        <v>0.203421365305647</v>
      </c>
      <c r="LI10" s="2">
        <f>-1.00575208817278*(1)</f>
        <v>-1.0057520881727799</v>
      </c>
      <c r="LJ10" s="2">
        <f>-0.337753123143742*(1)</f>
        <v>-0.33775312314374201</v>
      </c>
      <c r="LK10" s="2">
        <f>-0.113448941938975*(1)</f>
        <v>-0.11344894193897501</v>
      </c>
      <c r="LL10" s="2">
        <f>-0.186348429156322*(1)</f>
        <v>-0.18634842915632199</v>
      </c>
      <c r="LM10" s="2">
        <f>0.165644382781685*(1)</f>
        <v>0.165644382781685</v>
      </c>
      <c r="LN10" s="2">
        <f>0.224409295735474*(1)</f>
        <v>0.224409295735474</v>
      </c>
      <c r="LO10" s="2">
        <f>-0.541438381826138*(1)</f>
        <v>-0.54143838182613802</v>
      </c>
      <c r="LP10" s="2">
        <f>-0.290811570095244*(1)</f>
        <v>-0.290811570095244</v>
      </c>
      <c r="LQ10" s="2">
        <f>-0.615118104911634*(1)</f>
        <v>-0.61511810491163399</v>
      </c>
      <c r="LR10" s="2">
        <f>-0.102228008939762*(1)</f>
        <v>-0.102228008939762</v>
      </c>
      <c r="LS10" s="2">
        <f>-0.74783789319305*(1)</f>
        <v>-0.74783789319305005</v>
      </c>
      <c r="LT10" s="2">
        <f>-0.739986682653184*(1)</f>
        <v>-0.73998668265318401</v>
      </c>
      <c r="LU10" s="2">
        <f>-0.910460356718134*(1)</f>
        <v>-0.91046035671813397</v>
      </c>
      <c r="LV10" s="2">
        <f>-0.468464986160576*(1)</f>
        <v>-0.46846498616057602</v>
      </c>
      <c r="LW10" s="2">
        <f>-0.133785551729402*(1)</f>
        <v>-0.13378555172940201</v>
      </c>
      <c r="LX10" s="2">
        <f>0.456593621656733*(1)</f>
        <v>0.45659362165673301</v>
      </c>
      <c r="LY10" s="2">
        <f>0.255121459604275*(1)</f>
        <v>0.25512145960427501</v>
      </c>
      <c r="LZ10" s="2">
        <f>-0.0586714946672221*(1)</f>
        <v>-5.8671494667222102E-2</v>
      </c>
      <c r="MA10" s="2">
        <f>0.261319235968829*(1)</f>
        <v>0.261319235968829</v>
      </c>
      <c r="MB10" s="2">
        <f>0.961266701554307*(1)</f>
        <v>0.96126670155430705</v>
      </c>
      <c r="MC10" s="2">
        <f>-0.0145040162964827*(1)</f>
        <v>-1.4504016296482699E-2</v>
      </c>
      <c r="MD10" s="2">
        <f>-0.131343566857365*(1)</f>
        <v>-0.13134356685736501</v>
      </c>
      <c r="ME10" s="2">
        <f>-0.104912506852523*(1)</f>
        <v>-0.104912506852523</v>
      </c>
      <c r="MF10" s="2">
        <f>-0.759834995814209*(1)</f>
        <v>-0.75983499581420899</v>
      </c>
      <c r="MG10" s="2">
        <f>-0.179887265595302*(1)</f>
        <v>-0.17988726559530199</v>
      </c>
      <c r="MH10" s="2">
        <f>-0.688318386640215*(1)</f>
        <v>-0.68831838664021505</v>
      </c>
      <c r="MI10" s="2">
        <f>0.001453290582722*(1)</f>
        <v>1.4532905827220001E-3</v>
      </c>
      <c r="MJ10" s="2">
        <f>-0.427008552289692*(1)</f>
        <v>-0.42700855228969198</v>
      </c>
      <c r="MK10" s="2">
        <f>-0.790267822714543*(1)</f>
        <v>-0.79026782271454299</v>
      </c>
      <c r="ML10" s="2">
        <f>-0.612191099652714*(1)</f>
        <v>-0.61219109965271401</v>
      </c>
      <c r="MM10" s="2">
        <f>-0.467856081171301*(1)</f>
        <v>-0.46785608117130101</v>
      </c>
      <c r="MN10" s="2">
        <f>-0.0921898280957959*(1)</f>
        <v>-9.21898280957959E-2</v>
      </c>
      <c r="MO10" s="2">
        <f>0.342710449677523*(1)</f>
        <v>0.34271044967752301</v>
      </c>
      <c r="MP10" s="2">
        <f>0.545735389078952*(1)</f>
        <v>0.54573538907895203</v>
      </c>
      <c r="MQ10" s="2">
        <f>0.597840030885935*(1)</f>
        <v>0.59784003088593496</v>
      </c>
      <c r="MR10" s="2">
        <f>0.365152337781367*(1)</f>
        <v>0.36515233778136702</v>
      </c>
      <c r="MS10" s="2">
        <f>-0.65718307689651*(1)</f>
        <v>-0.65718307689651001</v>
      </c>
      <c r="MT10" s="2">
        <f>0.349017133259968*(1)</f>
        <v>0.34901713325996803</v>
      </c>
      <c r="MU10" s="2">
        <f>-0.474509607936365*(1)</f>
        <v>-0.47450960793636499</v>
      </c>
      <c r="MV10" s="2">
        <f>-0.721885872813094*(1)</f>
        <v>-0.72188587281309402</v>
      </c>
      <c r="MW10" s="2">
        <f>0.0375831239377697*(1)</f>
        <v>3.7583123937769698E-2</v>
      </c>
      <c r="MX10" s="2">
        <f>0.856936046113388*(1)</f>
        <v>0.85693604611338803</v>
      </c>
      <c r="MY10" s="2">
        <f>-0.229989496595884*(1)</f>
        <v>-0.229989496595884</v>
      </c>
      <c r="MZ10" s="2">
        <f>-0.401584849033734*(1)</f>
        <v>-0.40158484903373398</v>
      </c>
      <c r="NA10" s="2">
        <f>-0.777867909115117*(1)</f>
        <v>-0.77786790911511705</v>
      </c>
      <c r="NB10" s="2">
        <f>-0.872796890159157*(1)</f>
        <v>-0.87279689015915696</v>
      </c>
      <c r="NC10" s="2">
        <f>-0.504319235756991*(1)</f>
        <v>-0.504319235756991</v>
      </c>
      <c r="ND10" s="2">
        <f>-0.608299746898477*(1)</f>
        <v>-0.60829974689847699</v>
      </c>
      <c r="NE10" s="2">
        <f>1.15676911419814*(1)</f>
        <v>1.15676911419814</v>
      </c>
      <c r="NF10" s="2">
        <f>-0.760020630574961*(1)</f>
        <v>-0.76002063057496105</v>
      </c>
      <c r="NG10" s="2">
        <f>0.223282157969416*(1)</f>
        <v>0.223282157969416</v>
      </c>
      <c r="NH10" s="2">
        <f>-0.186120411552676*(1)</f>
        <v>-0.186120411552676</v>
      </c>
      <c r="NI10" s="2">
        <f>-0.076464379298815*(1)</f>
        <v>-7.6464379298815E-2</v>
      </c>
      <c r="NJ10" s="2">
        <f>-0.0344242508662263*(1)</f>
        <v>-3.4424250866226302E-2</v>
      </c>
      <c r="NK10" s="2">
        <f>-0.147529590130864*(1)</f>
        <v>-0.147529590130864</v>
      </c>
      <c r="NL10" s="2">
        <f>0.0479724990732809*(1)</f>
        <v>4.7972499073280897E-2</v>
      </c>
      <c r="NM10" s="2">
        <f>0.544837891407543*(1)</f>
        <v>0.54483789140754302</v>
      </c>
      <c r="NN10" s="2">
        <f>0.930155818961392*(1)</f>
        <v>0.93015581896139199</v>
      </c>
      <c r="NO10" s="2">
        <f>-0.676597697995699*(1)</f>
        <v>-0.67659769799569902</v>
      </c>
      <c r="NP10" s="2">
        <f>0.117104719804194*(1)</f>
        <v>0.117104719804194</v>
      </c>
      <c r="NQ10" s="2">
        <f>-0.546988029256278*(1)</f>
        <v>-0.54698802925627799</v>
      </c>
      <c r="NR10" s="2">
        <f>-0.125722229413029*(1)</f>
        <v>-0.12572222941302899</v>
      </c>
      <c r="NS10" s="2">
        <f>-0.877831747854787*(1)</f>
        <v>-0.87783174785478701</v>
      </c>
      <c r="NT10" s="2">
        <f>-0.03042352056401*(1)</f>
        <v>-3.0423520564010001E-2</v>
      </c>
      <c r="NU10" s="2">
        <f>-0.261570793029618*(1)</f>
        <v>-0.261570793029618</v>
      </c>
      <c r="NV10" s="2">
        <f>0.0969611739947829*(1)</f>
        <v>9.6961173994782907E-2</v>
      </c>
      <c r="NW10" s="2">
        <f>-0.258355317123442*(1)</f>
        <v>-0.25835531712344201</v>
      </c>
      <c r="NX10" s="2">
        <f>-0.337885495672241*(1)</f>
        <v>-0.33788549567224102</v>
      </c>
      <c r="NY10" s="2">
        <f>0.200935038680657*(1)</f>
        <v>0.20093503868065701</v>
      </c>
      <c r="NZ10" s="2">
        <f>-0.625201097932809*(1)</f>
        <v>-0.62520109793280898</v>
      </c>
      <c r="OA10" s="2">
        <f>-0.348673827728527*(1)</f>
        <v>-0.34867382772852701</v>
      </c>
      <c r="OB10" s="2">
        <f>0.0148676627415159*(1)</f>
        <v>1.4867662741515899E-2</v>
      </c>
      <c r="OC10" s="2">
        <f>-0.321198510372403*(1)</f>
        <v>-0.32119851037240299</v>
      </c>
      <c r="OD10" s="2">
        <f>1.10161713799121*(1)</f>
        <v>1.1016171379912101</v>
      </c>
      <c r="OE10" s="2">
        <f>-0.0675728828509838*(1)</f>
        <v>-6.7572882850983798E-2</v>
      </c>
      <c r="OF10" s="2">
        <f>0.313682679516779*(1)</f>
        <v>0.31368267951677897</v>
      </c>
      <c r="OG10" s="2">
        <f>-0.307436726317644*(1)</f>
        <v>-0.30743672631764402</v>
      </c>
      <c r="OH10" s="2">
        <f>-0.0844022302149189*(1)</f>
        <v>-8.4402230214918897E-2</v>
      </c>
      <c r="OI10" s="2">
        <f>0.579532676344756*(1)</f>
        <v>0.57953267634475603</v>
      </c>
      <c r="OJ10" s="2">
        <f>-0.736973052308535*(1)</f>
        <v>-0.73697305230853505</v>
      </c>
      <c r="OK10" s="2">
        <f>0.728895582517552*(1)</f>
        <v>0.72889558251755204</v>
      </c>
      <c r="OL10" s="2">
        <f>0.748562819995716*(1)</f>
        <v>0.74856281999571594</v>
      </c>
      <c r="OM10" s="2">
        <f>-0.203399242149272*(1)</f>
        <v>-0.20339924214927199</v>
      </c>
      <c r="ON10" s="2">
        <f>-0.4608766984267*(1)</f>
        <v>-0.46087669842669998</v>
      </c>
      <c r="OO10" s="2">
        <f>1.11066485544466*(1)</f>
        <v>1.1106648554446601</v>
      </c>
      <c r="OP10" s="2">
        <f>0.202647529792794*(1)</f>
        <v>0.20264752979279399</v>
      </c>
      <c r="OQ10" s="2">
        <f>0.184914953498443*(1)</f>
        <v>0.184914953498443</v>
      </c>
      <c r="OR10" s="2">
        <f>-0.479044161689678*(1)</f>
        <v>-0.47904416168967801</v>
      </c>
      <c r="OS10" s="2">
        <f>0.0601114214531038*(1)</f>
        <v>6.0111421453103803E-2</v>
      </c>
      <c r="OT10" s="2">
        <f>0.235423999484418*(1)</f>
        <v>0.235423999484418</v>
      </c>
      <c r="OU10" s="2">
        <f>0.206921879358415*(1)</f>
        <v>0.206921879358415</v>
      </c>
      <c r="OV10" s="2">
        <f>0.222062168782316*(1)</f>
        <v>0.22206216878231599</v>
      </c>
      <c r="OW10" s="2">
        <f>0.0186718925650088*(1)</f>
        <v>1.8671892565008799E-2</v>
      </c>
      <c r="OX10" s="2">
        <f>-0.912537483286453*(1)</f>
        <v>-0.91253748328645301</v>
      </c>
      <c r="OY10" s="2">
        <f>0.0615954175980519*(1)</f>
        <v>6.1595417598051899E-2</v>
      </c>
      <c r="OZ10" s="2">
        <f>0.695721945391077*(1)</f>
        <v>0.69572194539107701</v>
      </c>
      <c r="PA10" s="2">
        <f>-0.371616182491494*(1)</f>
        <v>-0.37161618249149397</v>
      </c>
      <c r="PB10" s="2">
        <f>-0.474799555391788*(1)</f>
        <v>-0.47479955539178798</v>
      </c>
      <c r="PC10" s="2">
        <f>-0.467066973848285*(1)</f>
        <v>-0.46706697384828499</v>
      </c>
      <c r="PD10" s="2">
        <f>1.10791234749998*(1)</f>
        <v>1.1079123474999799</v>
      </c>
      <c r="PE10" s="2">
        <f>-0.541586998283839*(1)</f>
        <v>-0.54158699828383905</v>
      </c>
      <c r="PF10" s="2">
        <f>0.153354946263053*(1)</f>
        <v>0.15335494626305299</v>
      </c>
      <c r="PG10" s="2">
        <f>1.31062321030642*(1)</f>
        <v>1.3106232103064199</v>
      </c>
      <c r="PH10" s="2">
        <f>0.398974321829883*(1)</f>
        <v>0.39897432182988302</v>
      </c>
      <c r="PI10" s="2">
        <f>-0.590599654552672*(1)</f>
        <v>-0.59059965455267205</v>
      </c>
      <c r="PJ10" s="2">
        <f>-2.50050632037903*(1)</f>
        <v>-2.5005063203790301</v>
      </c>
      <c r="PK10" s="2">
        <f>-0.375470168542963*(1)</f>
        <v>-0.375470168542963</v>
      </c>
      <c r="PL10" s="2">
        <f>-1.17100692387663*(1)</f>
        <v>-1.1710069238766301</v>
      </c>
      <c r="PM10" s="2">
        <f>0.110415405343268*(1)</f>
        <v>0.11041540534326801</v>
      </c>
      <c r="PN10" s="2">
        <f>-0.0869826781198069*(1)</f>
        <v>-8.6982678119806894E-2</v>
      </c>
      <c r="PO10" s="2">
        <f>0.055203114839226*(1)</f>
        <v>5.5203114839225999E-2</v>
      </c>
      <c r="PP10" s="2">
        <f>-0.912536844488594*(1)</f>
        <v>-0.91253684448859396</v>
      </c>
      <c r="PQ10" s="2">
        <f>1.15092357217115*(1)</f>
        <v>1.1509235721711499</v>
      </c>
      <c r="PR10" s="2">
        <f>-0.413375910477704*(1)</f>
        <v>-0.413375910477704</v>
      </c>
      <c r="PS10" s="2">
        <f>-0.143855705248568*(1)</f>
        <v>-0.143855705248568</v>
      </c>
      <c r="PT10" s="2">
        <f>1.03021542970832*(1)</f>
        <v>1.0302154297083199</v>
      </c>
      <c r="PU10" s="2">
        <f>-0.640400976857944*(1)</f>
        <v>-0.64040097685794395</v>
      </c>
      <c r="PV10" s="2">
        <f>0.237834208715366*(1)</f>
        <v>0.23783420871536601</v>
      </c>
      <c r="PW10" s="2">
        <f>-0.85471876412795*(1)</f>
        <v>-0.85471876412795</v>
      </c>
      <c r="PX10" s="2">
        <f>0.0382883360799628*(1)</f>
        <v>3.8288336079962799E-2</v>
      </c>
      <c r="PY10" s="2">
        <f>0.405483682507189*(1)</f>
        <v>0.40548368250718902</v>
      </c>
      <c r="PZ10" s="2">
        <f>-0.0880681814668133*(1)</f>
        <v>-8.8068181466813306E-2</v>
      </c>
      <c r="QA10" s="2">
        <f>0.688558658538726*(1)</f>
        <v>0.688558658538726</v>
      </c>
      <c r="QB10" s="2">
        <f>-0.0296023473932487*(1)</f>
        <v>-2.9602347393248699E-2</v>
      </c>
      <c r="QC10" s="2">
        <f>0.503116240817271*(1)</f>
        <v>0.50311624081727102</v>
      </c>
      <c r="QD10" s="2">
        <f>-0.415269931328536*(1)</f>
        <v>-0.41526993132853601</v>
      </c>
      <c r="QE10" s="2">
        <f>-0.0515781830989591*(1)</f>
        <v>-5.1578183098959098E-2</v>
      </c>
      <c r="QF10" s="2">
        <f>0.39012794061582*(1)</f>
        <v>0.39012794061582001</v>
      </c>
      <c r="QG10" s="2">
        <f>-0.178584678588118*(1)</f>
        <v>-0.178584678588118</v>
      </c>
      <c r="QH10" s="2">
        <f>-0.176447625566731*(1)</f>
        <v>-0.17644762556673099</v>
      </c>
      <c r="QI10" s="2">
        <f>-1.65396852026865*(1)</f>
        <v>-1.65396852026865</v>
      </c>
      <c r="QJ10" s="2">
        <f>-0.156607209771598*(1)</f>
        <v>-0.156607209771598</v>
      </c>
      <c r="QK10" s="2">
        <f>-0.309092794541854*(1)</f>
        <v>-0.30909279454185401</v>
      </c>
      <c r="QL10" s="2">
        <f>-0.422707417381909*(1)</f>
        <v>-0.42270741738190898</v>
      </c>
      <c r="QM10" s="2">
        <f>0.476454709498218*(1)</f>
        <v>0.476454709498218</v>
      </c>
      <c r="QN10" s="2">
        <f>-0.333153377285994*(1)</f>
        <v>-0.33315337728599398</v>
      </c>
      <c r="QO10" s="2">
        <f>-0.0945016375729839*(1)</f>
        <v>-9.4501637572983896E-2</v>
      </c>
      <c r="QP10" s="2">
        <f>-0.519287788789821*(1)</f>
        <v>-0.51928778878982096</v>
      </c>
      <c r="QQ10" s="2">
        <f>0.00581704919517145*(1)</f>
        <v>5.8170491951714497E-3</v>
      </c>
      <c r="QR10" s="2">
        <f>-0.544669165678322*(1)</f>
        <v>-0.54466916567832202</v>
      </c>
      <c r="QS10" s="2">
        <f>-0.76212124340707*(1)</f>
        <v>-0.76212124340706999</v>
      </c>
      <c r="QT10" s="2">
        <f>-1.1324432729288*(1)</f>
        <v>-1.1324432729288001</v>
      </c>
      <c r="QU10" s="2">
        <f>-0.266528102698583*(1)</f>
        <v>-0.26652810269858301</v>
      </c>
      <c r="QV10" s="2">
        <f>0.0852730467901194*(1)</f>
        <v>8.5273046790119406E-2</v>
      </c>
      <c r="QW10" s="2">
        <f>-0.711041733864236*(1)</f>
        <v>-0.71104173386423597</v>
      </c>
      <c r="QX10" s="2">
        <f>-0.0902339071667673*(1)</f>
        <v>-9.0233907166767297E-2</v>
      </c>
      <c r="QY10" s="2">
        <f>0.186730918805335*(1)</f>
        <v>0.18673091880533499</v>
      </c>
      <c r="QZ10" s="2">
        <f>-0.588714419759292*(1)</f>
        <v>-0.58871441975929195</v>
      </c>
      <c r="RA10" s="2">
        <f>0.780564681079349*(1)</f>
        <v>0.78056468107934895</v>
      </c>
      <c r="RB10" s="2">
        <f>-0.546426348063816*(1)</f>
        <v>-0.54642634806381596</v>
      </c>
      <c r="RC10" s="2">
        <f>-0.212912251053328*(1)</f>
        <v>-0.21291225105332801</v>
      </c>
      <c r="RD10" s="2">
        <f>0.503221629487723*(1)</f>
        <v>0.50322162948772298</v>
      </c>
      <c r="RE10" s="2">
        <f>-0.354387417885027*(1)</f>
        <v>-0.35438741788502698</v>
      </c>
      <c r="RF10" s="2">
        <f>-1.42083953811976*(1)</f>
        <v>-1.42083953811976</v>
      </c>
      <c r="RG10" s="2">
        <f>0.424461432090816*(1)</f>
        <v>0.42446143209081599</v>
      </c>
      <c r="RH10" s="2">
        <f>0.834086887750478*(1)</f>
        <v>0.83408688775047801</v>
      </c>
      <c r="RI10" s="2">
        <f>0.0769252151900755*(1)</f>
        <v>7.6925215190075502E-2</v>
      </c>
      <c r="RJ10" s="2">
        <f>0.49995348277223*(1)</f>
        <v>0.49995348277223001</v>
      </c>
      <c r="RK10" s="2">
        <f>-0.0877483627482226*(1)</f>
        <v>-8.7748362748222605E-2</v>
      </c>
      <c r="RL10" s="2">
        <f>0.582970497908933*(1)</f>
        <v>0.58297049790893296</v>
      </c>
      <c r="RM10" s="2">
        <f>-0.000145499188530372*(1)</f>
        <v>-1.45499188530372E-4</v>
      </c>
      <c r="RN10" s="2">
        <f>0.624217723553099*(1)</f>
        <v>0.62421772355309901</v>
      </c>
      <c r="RO10" s="2">
        <f>0.727961793194465*(1)</f>
        <v>0.72796179319446497</v>
      </c>
      <c r="RP10" s="2">
        <f>0.0435704961326998*(1)</f>
        <v>4.3570496132699803E-2</v>
      </c>
      <c r="RQ10" s="2">
        <f>-0.182654544140239*(1)</f>
        <v>-0.18265454414023899</v>
      </c>
      <c r="RR10" s="2">
        <f>0.124324125326914*(1)</f>
        <v>0.124324125326914</v>
      </c>
      <c r="RS10" s="2">
        <f>1.33397241417724*(1)</f>
        <v>1.33397241417724</v>
      </c>
      <c r="RT10" s="2">
        <f>0.620153352289686*(1)</f>
        <v>0.62015335228968604</v>
      </c>
      <c r="RU10" s="2">
        <f>-0.0191931976093172*(1)</f>
        <v>-1.91931976093172E-2</v>
      </c>
      <c r="RV10" s="2">
        <f>-0.321279245813429*(1)</f>
        <v>-0.32127924581342898</v>
      </c>
      <c r="RW10" s="2">
        <f>-0.634987136758425*(1)</f>
        <v>-0.634987136758425</v>
      </c>
      <c r="RX10" s="2">
        <f>1.36520684557413*(1)</f>
        <v>1.36520684557413</v>
      </c>
      <c r="RY10" s="2">
        <f>-0.0978388253982907*(1)</f>
        <v>-9.7838825398290696E-2</v>
      </c>
      <c r="RZ10" s="2">
        <f>0.431948284724017*(1)</f>
        <v>0.43194828472401697</v>
      </c>
      <c r="SA10" s="2">
        <f>-0.0399352641336027*(1)</f>
        <v>-3.9935264133602703E-2</v>
      </c>
      <c r="SB10" s="2">
        <f>0.473283301316171*(1)</f>
        <v>0.47328330131617102</v>
      </c>
      <c r="SC10" s="2">
        <f>0.550867906125951*(1)</f>
        <v>0.55086790612595105</v>
      </c>
      <c r="SD10" s="2">
        <f>0.316099242909763*(1)</f>
        <v>0.31609924290976299</v>
      </c>
      <c r="SE10" s="2">
        <f>0.334228061186607*(1)</f>
        <v>0.33422806118660697</v>
      </c>
      <c r="SF10" s="2">
        <f>-0.332152406529854*(1)</f>
        <v>-0.33215240652985401</v>
      </c>
      <c r="SG10" s="2">
        <f>-0.0616602163343861*(1)</f>
        <v>-6.1660216334386099E-2</v>
      </c>
      <c r="SH10" s="2">
        <f>0.16129354690925*(1)</f>
        <v>0.16129354690924999</v>
      </c>
      <c r="SI10" s="2">
        <f>0.854328936980787*(1)</f>
        <v>0.85432893698078705</v>
      </c>
      <c r="SJ10" s="2">
        <f>-0.222543901313886*(1)</f>
        <v>-0.22254390131388599</v>
      </c>
      <c r="SK10" s="2">
        <f>0.779665498246929*(1)</f>
        <v>0.77966549824692899</v>
      </c>
      <c r="SL10" s="2">
        <f>-0.549941489761512*(1)</f>
        <v>-0.54994148976151203</v>
      </c>
      <c r="SM10" s="2">
        <f>0.664185081946877*(1)</f>
        <v>0.66418508194687698</v>
      </c>
      <c r="SN10" s="2">
        <f>-0.531113631609862*(1)</f>
        <v>-0.53111363160986202</v>
      </c>
      <c r="SO10" s="2">
        <f>-0.46613628337809*(1)</f>
        <v>-0.46613628337808999</v>
      </c>
      <c r="SP10" s="2">
        <f>0.461994096692901*(1)</f>
        <v>0.46199409669290098</v>
      </c>
      <c r="SQ10" s="2">
        <f>-0.609196742540341*(1)</f>
        <v>-0.60919674254034095</v>
      </c>
      <c r="SR10" s="2">
        <f>0.758020312691901*(1)</f>
        <v>0.75802031269190095</v>
      </c>
      <c r="SS10" s="2">
        <f>0.306994992531338*(1)</f>
        <v>0.306994992531338</v>
      </c>
      <c r="ST10" s="2">
        <f>-0.544555894472672*(1)</f>
        <v>-0.54455589447267205</v>
      </c>
      <c r="SU10" s="2">
        <f>0.589983335028338*(1)</f>
        <v>0.589983335028338</v>
      </c>
      <c r="SV10" s="2">
        <f>-0.765395015574235*(1)</f>
        <v>-0.76539501557423495</v>
      </c>
      <c r="SW10" s="2">
        <f>-0.162537834643328*(1)</f>
        <v>-0.16253783464332799</v>
      </c>
      <c r="SX10" s="2">
        <f>-0.510667364900977*(1)</f>
        <v>-0.51066736490097697</v>
      </c>
      <c r="SY10" s="2">
        <f>0.398518298750901*(1)</f>
        <v>0.398518298750901</v>
      </c>
      <c r="SZ10" s="2">
        <f>0.315148245643902*(1)</f>
        <v>0.31514824564390198</v>
      </c>
      <c r="TA10" s="2">
        <f>0.0430196904481563*(1)</f>
        <v>4.3019690448156303E-2</v>
      </c>
      <c r="TB10" s="2">
        <f>0.677024939700549*(1)</f>
        <v>0.677024939700549</v>
      </c>
      <c r="TC10" s="2">
        <f>0.321024433241489*(1)</f>
        <v>0.32102443324148899</v>
      </c>
      <c r="TD10" s="2">
        <f>-1.01126560809317*(1)</f>
        <v>-1.0112656080931699</v>
      </c>
      <c r="TE10" s="2">
        <f>-0.185066181703783*(1)</f>
        <v>-0.185066181703783</v>
      </c>
      <c r="TF10" s="2">
        <f>0.153192277492786*(1)</f>
        <v>0.15319227749278599</v>
      </c>
      <c r="TG10" s="2">
        <f>-0.793641361024243*(1)</f>
        <v>-0.79364136102424299</v>
      </c>
      <c r="TH10" s="2">
        <f>0.297859643262483*(1)</f>
        <v>0.29785964326248299</v>
      </c>
      <c r="TI10" s="2">
        <f>0.690192001988006*(1)</f>
        <v>0.69019200198800601</v>
      </c>
      <c r="TJ10" s="2">
        <f>-0.404077801504757*(1)</f>
        <v>-0.40407780150475697</v>
      </c>
      <c r="TK10" s="2">
        <f>-0.753126575888431*(1)</f>
        <v>-0.75312657588843102</v>
      </c>
      <c r="TL10" s="2">
        <f>-0.119277246025022*(1)</f>
        <v>-0.119277246025022</v>
      </c>
      <c r="TM10" s="2">
        <f>-0.30733544402171*(1)</f>
        <v>-0.30733544402170998</v>
      </c>
      <c r="TN10" s="2">
        <f>0.661602626468159*(1)</f>
        <v>0.66160262646815904</v>
      </c>
      <c r="TO10" s="2">
        <f>-0.919836759610309*(1)</f>
        <v>-0.91983675961030897</v>
      </c>
      <c r="TP10" s="2">
        <f>0.147193442218119*(1)</f>
        <v>0.147193442218119</v>
      </c>
      <c r="TQ10" s="2">
        <f>0.21335569410507*(1)</f>
        <v>0.21335569410506999</v>
      </c>
      <c r="TR10" s="2">
        <f>1.33861024352236*(1)</f>
        <v>1.3386102435223599</v>
      </c>
      <c r="TS10" s="2">
        <f>-1.40958247189828*(1)</f>
        <v>-1.4095824718982799</v>
      </c>
      <c r="TT10" s="2">
        <f>-0.142235212697585*(1)</f>
        <v>-0.14223521269758499</v>
      </c>
      <c r="TU10" s="2">
        <f>-0.987327456758837*(1)</f>
        <v>-0.98732745675883704</v>
      </c>
      <c r="TV10" s="2">
        <f>-0.387715196325458*(1)</f>
        <v>-0.38771519632545798</v>
      </c>
      <c r="TW10" s="2">
        <f>-0.593148765393941*(1)</f>
        <v>-0.59314876539394101</v>
      </c>
      <c r="TX10" s="2">
        <f>0.338510040644945*(1)</f>
        <v>0.338510040644945</v>
      </c>
      <c r="TY10" s="2">
        <f>0.490566931773627*(1)</f>
        <v>0.49056693177362698</v>
      </c>
      <c r="TZ10" s="2">
        <f>0.84910812522523*(1)</f>
        <v>0.84910812522523005</v>
      </c>
      <c r="UA10" s="2">
        <f>0.260191439745411*(1)</f>
        <v>0.26019143974541098</v>
      </c>
      <c r="UB10" s="2">
        <f>1.50868862156737*(1)</f>
        <v>1.50868862156737</v>
      </c>
      <c r="UC10" s="2">
        <f>-0.0823901493106817*(1)</f>
        <v>-8.2390149310681698E-2</v>
      </c>
      <c r="UD10" s="2">
        <f>0.466063025022119*(1)</f>
        <v>0.46606302502211899</v>
      </c>
      <c r="UE10" s="2">
        <f>0.0585163254776607*(1)</f>
        <v>5.8516325477660697E-2</v>
      </c>
      <c r="UF10" s="2">
        <f>-1.09578630804616*(1)</f>
        <v>-1.0957863080461601</v>
      </c>
      <c r="UG10" s="2">
        <f>-0.29235220355274*(1)</f>
        <v>-0.29235220355274</v>
      </c>
      <c r="UH10" s="2">
        <f>-0.207408268305003*(1)</f>
        <v>-0.207408268305003</v>
      </c>
      <c r="UI10" s="2">
        <f>-0.26978718555967*(1)</f>
        <v>-0.26978718555967002</v>
      </c>
      <c r="UJ10" s="2">
        <f>0.567442476436488*(1)</f>
        <v>0.56744247643648804</v>
      </c>
      <c r="UK10" s="2">
        <f>0.689982805026053*(1)</f>
        <v>0.68998280502605303</v>
      </c>
      <c r="UL10" s="2">
        <f>-1.75014577974507*(1)</f>
        <v>-1.7501457797450699</v>
      </c>
      <c r="UM10" s="2">
        <f>1.06397946729097*(1)</f>
        <v>1.0639794672909699</v>
      </c>
      <c r="UN10" s="2">
        <f>-0.977600728951589*(1)</f>
        <v>-0.977600728951589</v>
      </c>
      <c r="UO10" s="2">
        <f>-0.127574122841631*(1)</f>
        <v>-0.127574122841631</v>
      </c>
      <c r="UP10" s="2">
        <f>0.148946032060318*(1)</f>
        <v>0.14894603206031801</v>
      </c>
      <c r="UQ10" s="2">
        <f>0.960586128652127*(1)</f>
        <v>0.960586128652127</v>
      </c>
      <c r="UR10" s="2">
        <f>-0.508298104710161*(1)</f>
        <v>-0.50829810471016101</v>
      </c>
      <c r="US10" s="2">
        <f>0.616852261234589*(1)</f>
        <v>0.61685226123458903</v>
      </c>
      <c r="UT10" s="2">
        <f>0.188847540763288*(1)</f>
        <v>0.188847540763288</v>
      </c>
      <c r="UU10" s="2">
        <f>-0.147889754188045*(1)</f>
        <v>-0.14788975418804501</v>
      </c>
      <c r="UV10" s="2">
        <f>0.698806898577299*(1)</f>
        <v>0.69880689857729905</v>
      </c>
      <c r="UW10" s="2">
        <f>0.506925730280996*(1)</f>
        <v>0.50692573028099597</v>
      </c>
      <c r="UX10" s="2">
        <f>0.0245577249416572*(1)</f>
        <v>2.45577249416572E-2</v>
      </c>
      <c r="UY10" s="2">
        <f>-1.26560187218705*(1)</f>
        <v>-1.2656018721870499</v>
      </c>
      <c r="UZ10" s="2">
        <f>-0.0642302215540777*(1)</f>
        <v>-6.4230221554077704E-2</v>
      </c>
      <c r="VA10" s="2">
        <f>1.01728061562907*(1)</f>
        <v>1.0172806156290699</v>
      </c>
      <c r="VB10" s="2">
        <f>0.808094837258446*(1)</f>
        <v>0.808094837258446</v>
      </c>
      <c r="VC10" s="2">
        <f>0.191003293454515*(1)</f>
        <v>0.191003293454515</v>
      </c>
      <c r="VD10" s="2">
        <f>0.202710481475264*(1)</f>
        <v>0.20271048147526399</v>
      </c>
      <c r="VE10" s="2">
        <f>-0.480035262774396*(1)</f>
        <v>-0.48003526277439601</v>
      </c>
      <c r="VF10" s="2">
        <f>0.0515227922575597*(1)</f>
        <v>5.1522792257559701E-2</v>
      </c>
      <c r="VG10" s="2">
        <f>0.310746950643526*(1)</f>
        <v>0.31074695064352598</v>
      </c>
      <c r="VH10" s="2">
        <f>-0.0429948501288321*(1)</f>
        <v>-4.2994850128832099E-2</v>
      </c>
      <c r="VI10" s="2">
        <f>0.472720783763944*(1)</f>
        <v>0.472720783763944</v>
      </c>
      <c r="VJ10" s="2">
        <f>1.21103293646521*(1)</f>
        <v>1.2110329364652099</v>
      </c>
      <c r="VK10" s="2">
        <f>0.536773385179107*(1)</f>
        <v>0.536773385179107</v>
      </c>
      <c r="VL10" s="2">
        <f>-0.542530534944802*(1)</f>
        <v>-0.54253053494480197</v>
      </c>
      <c r="VM10" s="2">
        <f>0.0745689777157918*(1)</f>
        <v>7.4568977715791795E-2</v>
      </c>
      <c r="VN10" s="2">
        <f>-0.696408423461004*(1)</f>
        <v>-0.69640842346100396</v>
      </c>
      <c r="VO10" s="2">
        <f>0.0330006044485304*(1)</f>
        <v>3.3000604448530403E-2</v>
      </c>
      <c r="VP10" s="2">
        <f>-0.00737632141995766*(1)</f>
        <v>-7.3763214199576597E-3</v>
      </c>
      <c r="VQ10" s="2">
        <f>0.197825483614439*(1)</f>
        <v>0.197825483614439</v>
      </c>
      <c r="VR10" s="2">
        <f>-0.549650139117181*(1)</f>
        <v>-0.54965013911718097</v>
      </c>
      <c r="VS10" s="2">
        <f>-0.977685783124863*(1)</f>
        <v>-0.97768578312486298</v>
      </c>
      <c r="VT10" s="2">
        <f>-0.0619192776651235*(1)</f>
        <v>-6.19192776651235E-2</v>
      </c>
      <c r="VU10" s="2">
        <f>-0.115456197885157*(1)</f>
        <v>-0.115456197885157</v>
      </c>
      <c r="VV10" s="2">
        <f>0.410664842308174*(1)</f>
        <v>0.41066484230817402</v>
      </c>
      <c r="VW10" s="2">
        <f>-0.936459639585829*(1)</f>
        <v>-0.93645963958582901</v>
      </c>
      <c r="VX10" s="2">
        <f>0.268856502687906*(1)</f>
        <v>0.26885650268790601</v>
      </c>
      <c r="VY10" s="2">
        <f>0.461907358839825*(1)</f>
        <v>0.46190735883982498</v>
      </c>
      <c r="VZ10" s="2">
        <f>0.250433689583629*(1)</f>
        <v>0.25043368958362899</v>
      </c>
      <c r="WA10" s="2">
        <f>-0.547361678090252*(1)</f>
        <v>-0.54736167809025205</v>
      </c>
      <c r="WB10" s="2">
        <f>-0.559822198383825*(1)</f>
        <v>-0.55982219838382496</v>
      </c>
      <c r="WC10" s="2">
        <f>-0.271754352166577*(1)</f>
        <v>-0.27175435216657701</v>
      </c>
      <c r="WD10" s="2">
        <f>-0.444411708262021*(1)</f>
        <v>-0.44441170826202098</v>
      </c>
      <c r="WE10" s="2">
        <f>-0.00726903821111516*(1)</f>
        <v>-7.2690382111151603E-3</v>
      </c>
      <c r="WF10" s="2">
        <f>-0.305240067946167*(1)</f>
        <v>-0.30524006794616698</v>
      </c>
      <c r="WG10" s="2">
        <f>0.0217447127466614*(1)</f>
        <v>2.1744712746661399E-2</v>
      </c>
      <c r="WH10" s="2">
        <f>0.553417655569016*(1)</f>
        <v>0.55341765556901601</v>
      </c>
      <c r="WI10" s="2">
        <f>-0.330441935815035*(1)</f>
        <v>-0.330441935815035</v>
      </c>
      <c r="WJ10" s="2">
        <f>-0.643937821253653*(1)</f>
        <v>-0.64393782125365295</v>
      </c>
      <c r="WK10" s="2">
        <f>0.735267890193055*(1)</f>
        <v>0.73526789019305505</v>
      </c>
      <c r="WL10" s="2">
        <f>-0.38355393126228*(1)</f>
        <v>-0.38355393126227999</v>
      </c>
      <c r="WM10" s="2">
        <f>0.437689326145968*(1)</f>
        <v>0.43768932614596801</v>
      </c>
      <c r="WN10" s="2">
        <f>-0.324814949984906*(1)</f>
        <v>-0.32481494998490601</v>
      </c>
      <c r="WO10" s="2">
        <f>0.0145685951186348*(1)</f>
        <v>1.45685951186348E-2</v>
      </c>
      <c r="WP10" s="2">
        <f>-0.473865819843592*(1)</f>
        <v>-0.473865819843592</v>
      </c>
      <c r="WQ10" s="2">
        <f>-1.23911845473032*(1)</f>
        <v>-1.23911845473032</v>
      </c>
      <c r="WR10" s="2">
        <f>-0.0471109069263803*(1)</f>
        <v>-4.71109069263803E-2</v>
      </c>
      <c r="WS10" s="2">
        <f>-0.172052574476441*(1)</f>
        <v>-0.17205257447644101</v>
      </c>
      <c r="WT10" s="2">
        <f>-0.300559503527655*(1)</f>
        <v>-0.30055950352765498</v>
      </c>
      <c r="WU10" s="2">
        <f>-0.401010874616471*(1)</f>
        <v>-0.401010874616471</v>
      </c>
      <c r="WV10" s="2">
        <f>-0.577724023252142*(1)</f>
        <v>-0.577724023252142</v>
      </c>
      <c r="WW10" s="2">
        <f>-0.0550387025315903*(1)</f>
        <v>-5.5038702531590301E-2</v>
      </c>
      <c r="WX10" s="2">
        <f>0.0887594537984854*(1)</f>
        <v>8.8759453798485405E-2</v>
      </c>
      <c r="WY10" s="2">
        <f>-0.128046137304149*(1)</f>
        <v>-0.12804613730414899</v>
      </c>
      <c r="WZ10" s="2">
        <f>-0.021131520454875*(1)</f>
        <v>-2.1131520454875E-2</v>
      </c>
      <c r="XA10" s="2">
        <f>0.776754155498308*(1)</f>
        <v>0.77675415549830795</v>
      </c>
      <c r="XB10" s="2">
        <f>-0.044120499068229*(1)</f>
        <v>-4.4120499068228999E-2</v>
      </c>
      <c r="XC10" s="2">
        <f>0.394691903382951*(1)</f>
        <v>0.39469190338295101</v>
      </c>
      <c r="XD10" s="2">
        <f>-0.377296188207256*(1)</f>
        <v>-0.37729618820725602</v>
      </c>
      <c r="XE10" s="2">
        <f>0.608744568851532*(1)</f>
        <v>0.60874456885153205</v>
      </c>
      <c r="XF10" s="2">
        <f>0.435412428426254*(1)</f>
        <v>0.43541242842625399</v>
      </c>
      <c r="XG10" s="2">
        <f>-0.552987239865244*(1)</f>
        <v>-0.55298723986524401</v>
      </c>
      <c r="XH10" s="2">
        <f>-0.529823456604472*(1)</f>
        <v>-0.52982345660447205</v>
      </c>
      <c r="XI10" s="2">
        <f>0.330376723752269*(1)</f>
        <v>0.33037672375226901</v>
      </c>
      <c r="XJ10" s="2">
        <f>-0.145730860378937*(1)</f>
        <v>-0.14573086037893701</v>
      </c>
      <c r="XK10" s="2">
        <f>-2.16165996921577*(1)</f>
        <v>-2.1616599692157701</v>
      </c>
      <c r="XL10" s="2">
        <f>0.140072036636375*(1)</f>
        <v>0.14007203663637499</v>
      </c>
      <c r="XM10" s="2">
        <f>0.595778297043089*(1)</f>
        <v>0.59577829704308904</v>
      </c>
      <c r="XN10" s="2">
        <f>0.388673453470808*(1)</f>
        <v>0.38867345347080801</v>
      </c>
      <c r="XO10" s="2">
        <f>0.880951085419288*(1)</f>
        <v>0.88095108541928802</v>
      </c>
      <c r="XP10" s="2">
        <f>0.574942193712962*(1)</f>
        <v>0.57494219371296196</v>
      </c>
      <c r="XQ10" s="2">
        <f>-0.172102318719723*(1)</f>
        <v>-0.17210231871972301</v>
      </c>
      <c r="XR10" s="2">
        <f>-0.536824003057066*(1)</f>
        <v>-0.53682400305706601</v>
      </c>
      <c r="XS10" s="2">
        <f>-0.391027198285484*(1)</f>
        <v>-0.39102719828548399</v>
      </c>
      <c r="XT10" s="2">
        <f>-1.53680484134193*(1)</f>
        <v>-1.53680484134193</v>
      </c>
      <c r="XU10" s="2">
        <f>0.0116105606175803*(1)</f>
        <v>1.16105606175803E-2</v>
      </c>
      <c r="XV10" s="2">
        <f>0.318424941132276*(1)</f>
        <v>0.31842494113227598</v>
      </c>
      <c r="XW10" s="2">
        <f>-0.282867803512566*(1)</f>
        <v>-0.28286780351256602</v>
      </c>
      <c r="XX10" s="2">
        <f>-0.24402592399011*(1)</f>
        <v>-0.24402592399011</v>
      </c>
      <c r="XY10" s="2">
        <f>0.518354950558904*(1)</f>
        <v>0.51835495055890402</v>
      </c>
      <c r="XZ10" s="2">
        <f>-0.432298806908243*(1)</f>
        <v>-0.43229880690824302</v>
      </c>
      <c r="YA10" s="2">
        <f>0.368021928756493*(1)</f>
        <v>0.36802192875649298</v>
      </c>
      <c r="YB10" s="2">
        <f>-0.463567086042508*(1)</f>
        <v>-0.46356708604250801</v>
      </c>
      <c r="YC10" s="2">
        <f>-0.420580711793012*(1)</f>
        <v>-0.42058071179301199</v>
      </c>
      <c r="YD10" s="2">
        <f>0.263208797447726*(1)</f>
        <v>0.26320879744772602</v>
      </c>
      <c r="YE10" s="2">
        <f>-0.953855551979524*(1)</f>
        <v>-0.95385555197952399</v>
      </c>
      <c r="YF10" s="2">
        <f>0.0574831426283923*(1)</f>
        <v>5.7483142628392297E-2</v>
      </c>
      <c r="YG10" s="2">
        <f>1.52982668980541*(1)</f>
        <v>1.52982668980541</v>
      </c>
      <c r="YH10" s="2">
        <f>1.12618933262595*(1)</f>
        <v>1.12618933262595</v>
      </c>
      <c r="YI10" s="2">
        <f>1.06067002712441*(1)</f>
        <v>1.0606700271244101</v>
      </c>
      <c r="YJ10" s="2">
        <f>1.37845214884255*(1)</f>
        <v>1.3784521488425501</v>
      </c>
      <c r="YK10" s="2">
        <f>-0.00810743566602092*(1)</f>
        <v>-8.1074356660209203E-3</v>
      </c>
      <c r="YL10" s="2">
        <f>0.0288175104678899*(1)</f>
        <v>2.8817510467889901E-2</v>
      </c>
      <c r="YM10" s="2">
        <f>0.0422032763007577*(1)</f>
        <v>4.2203276300757701E-2</v>
      </c>
      <c r="YN10" s="2">
        <f>-0.0964957998639562*(1)</f>
        <v>-9.6495799863956205E-2</v>
      </c>
      <c r="YO10" s="2">
        <f>-0.362680499743787*(1)</f>
        <v>-0.36268049974378702</v>
      </c>
      <c r="YP10" s="2">
        <f>1.16700072783683*(1)</f>
        <v>1.16700072783683</v>
      </c>
      <c r="YQ10" s="2">
        <f>0.356022727561795*(1)</f>
        <v>0.35602272756179498</v>
      </c>
      <c r="YR10" s="2">
        <f>0.287995051746825*(1)</f>
        <v>0.28799505174682499</v>
      </c>
      <c r="YS10" s="2">
        <f>0.123087910815093*(1)</f>
        <v>0.123087910815093</v>
      </c>
      <c r="YT10" s="2">
        <f>-0.518515977455557*(1)</f>
        <v>-0.518515977455557</v>
      </c>
      <c r="YU10" s="2">
        <f>-0.192378265186*(1)</f>
        <v>-0.19237826518600001</v>
      </c>
      <c r="YV10" s="2">
        <f>-0.225052697074166*(1)</f>
        <v>-0.225052697074166</v>
      </c>
      <c r="YW10" s="2">
        <f>-0.0885375764392043*(1)</f>
        <v>-8.8537576439204305E-2</v>
      </c>
      <c r="YX10" s="2">
        <f>0.15667683586945*(1)</f>
        <v>0.15667683586945</v>
      </c>
      <c r="YY10" s="2">
        <f>0.2966658942835*(1)</f>
        <v>0.29666589428349999</v>
      </c>
      <c r="YZ10" s="2">
        <f>-0.508649632127196*(1)</f>
        <v>-0.50864963212719605</v>
      </c>
      <c r="ZA10" s="2">
        <f>-0.476290780346759*(1)</f>
        <v>-0.47629078034675898</v>
      </c>
      <c r="ZB10" s="2">
        <f>-0.172525395163619*(1)</f>
        <v>-0.17252539516361901</v>
      </c>
      <c r="ZC10" s="2">
        <f>0.667966450167901*(1)</f>
        <v>0.66796645016790102</v>
      </c>
      <c r="ZD10" s="2">
        <f>-0.340440875682184*(1)</f>
        <v>-0.34044087568218401</v>
      </c>
      <c r="ZE10" s="2">
        <f>-0.46924070132653*(1)</f>
        <v>-0.46924070132653001</v>
      </c>
      <c r="ZF10" s="2">
        <f>0.0992970213106158*(1)</f>
        <v>9.9297021310615796E-2</v>
      </c>
      <c r="ZG10" s="2">
        <f>0.00809158319762504*(1)</f>
        <v>8.0915831976250407E-3</v>
      </c>
      <c r="ZH10" s="2">
        <f>-0.172674023495728*(1)</f>
        <v>-0.172674023495728</v>
      </c>
      <c r="ZI10" s="2">
        <f>-0.613319211610342*(1)</f>
        <v>-0.61331921161034197</v>
      </c>
      <c r="ZJ10" s="2">
        <f>-0.409587418763545*(1)</f>
        <v>-0.40958741876354499</v>
      </c>
      <c r="ZK10" s="2">
        <f>0.041189621662365*(1)</f>
        <v>4.1189621662364999E-2</v>
      </c>
      <c r="ZL10" s="2">
        <f>0.50617154759674*(1)</f>
        <v>0.50617154759673999</v>
      </c>
      <c r="ZM10" s="2">
        <f>-0.105195705882731*(1)</f>
        <v>-0.105195705882731</v>
      </c>
      <c r="ZN10" s="2">
        <f>0.128604938683423*(1)</f>
        <v>0.12860493868342299</v>
      </c>
      <c r="ZO10" s="2">
        <f>-0.331932441465058*(1)</f>
        <v>-0.33193244146505801</v>
      </c>
      <c r="ZP10" s="2">
        <f>0.300152052030856*(1)</f>
        <v>0.30015205203085599</v>
      </c>
      <c r="ZQ10" s="2">
        <f>-0.645562146990987*(1)</f>
        <v>-0.64556214699098702</v>
      </c>
      <c r="ZR10" s="2">
        <f>0.000922287085177793*(1)</f>
        <v>9.2228708517779303E-4</v>
      </c>
      <c r="ZS10" s="2">
        <f>-0.468589124568878*(1)</f>
        <v>-0.46858912456887802</v>
      </c>
      <c r="ZT10" s="2">
        <f>-0.582574104005286*(1)</f>
        <v>-0.58257410400528598</v>
      </c>
      <c r="ZU10" s="2">
        <f>0.520064769969383*(1)</f>
        <v>0.520064769969383</v>
      </c>
      <c r="ZV10" s="2">
        <f>0.429881741699619*(1)</f>
        <v>0.42988174169961901</v>
      </c>
      <c r="ZW10" s="2">
        <f>-0.403654273493875*(1)</f>
        <v>-0.403654273493875</v>
      </c>
      <c r="ZX10" s="2">
        <f>0.166853542636517*(1)</f>
        <v>0.166853542636517</v>
      </c>
      <c r="ZY10" s="2">
        <f>0.197161831090696*(1)</f>
        <v>0.19716183109069599</v>
      </c>
      <c r="ZZ10" s="2">
        <f>-0.0622902183003907*(1)</f>
        <v>-6.22902183003907E-2</v>
      </c>
      <c r="AAA10" s="2">
        <f>0.0753343173505711*(1)</f>
        <v>7.5334317350571098E-2</v>
      </c>
      <c r="AAB10" s="2">
        <f>0.241596033978087*(1)</f>
        <v>0.24159603397808699</v>
      </c>
      <c r="AAC10" s="2">
        <f>0.827211743183204*(1)</f>
        <v>0.82721174318320401</v>
      </c>
      <c r="AAD10" s="2">
        <f>-0.573562468504297*(1)</f>
        <v>-0.57356246850429704</v>
      </c>
      <c r="AAE10" s="2">
        <f>-1.07852225350956*(1)</f>
        <v>-1.07852225350956</v>
      </c>
      <c r="AAF10" s="2">
        <f>-0.0265493723472266*(1)</f>
        <v>-2.65493723472266E-2</v>
      </c>
      <c r="AAG10" s="2">
        <f>0.61916241342276*(1)</f>
        <v>0.61916241342276002</v>
      </c>
      <c r="AAH10" s="2">
        <f>-0.141714082921695*(1)</f>
        <v>-0.14171408292169499</v>
      </c>
      <c r="AAI10" s="2">
        <f>0.217921089869559*(1)</f>
        <v>0.21792108986955899</v>
      </c>
      <c r="AAJ10" s="2">
        <f>-0.290456672348691*(1)</f>
        <v>-0.29045667234869099</v>
      </c>
      <c r="AAK10" s="2">
        <f>0.199516986214067*(1)</f>
        <v>0.19951698621406699</v>
      </c>
      <c r="AAL10" s="2">
        <f>-0.400597579986346*(1)</f>
        <v>-0.40059757998634599</v>
      </c>
      <c r="AAM10" s="2">
        <f>0.502536707561173*(1)</f>
        <v>0.50253670756117297</v>
      </c>
      <c r="AAN10" s="2">
        <f>0.329249057159081*(1)</f>
        <v>0.32924905715908098</v>
      </c>
      <c r="AAO10" s="2">
        <f>-0.607648106430735*(1)</f>
        <v>-0.60764810643073497</v>
      </c>
      <c r="AAP10" s="2">
        <f>-0.133154764309271*(1)</f>
        <v>-0.13315476430927101</v>
      </c>
      <c r="AAQ10" s="2">
        <f>0.0893736409979954*(1)</f>
        <v>8.9373640997995399E-2</v>
      </c>
      <c r="AAR10" s="2">
        <f>-0.630330921237583*(1)</f>
        <v>-0.63033092123758305</v>
      </c>
      <c r="AAS10" s="2">
        <f>0.370091069867635*(1)</f>
        <v>0.37009106986763501</v>
      </c>
      <c r="AAT10" s="2">
        <f>-0.426612131729752*(1)</f>
        <v>-0.42661213172975199</v>
      </c>
      <c r="AAU10" s="2">
        <f>0.159739038089859*(1)</f>
        <v>0.15973903808985901</v>
      </c>
      <c r="AAV10" s="2">
        <f>0.588793244983722*(1)</f>
        <v>0.58879324498372199</v>
      </c>
      <c r="AAW10" s="2">
        <f>0.733115482546738*(1)</f>
        <v>0.73311548254673797</v>
      </c>
      <c r="AAX10" s="2">
        <f>-0.232579391624193*(1)</f>
        <v>-0.232579391624193</v>
      </c>
      <c r="AAY10" s="2">
        <f>0.763298566773632*(1)</f>
        <v>0.76329856677363195</v>
      </c>
      <c r="AAZ10" s="2">
        <f>-0.736860911713984*(1)</f>
        <v>-0.73686091171398405</v>
      </c>
      <c r="ABA10" s="2">
        <f>-0.981666000597781*(1)</f>
        <v>-0.98166600059778097</v>
      </c>
      <c r="ABB10" s="2">
        <f>-0.221680404668907*(1)</f>
        <v>-0.22168040466890701</v>
      </c>
      <c r="ABC10" s="2">
        <f>0.392420328304496*(1)</f>
        <v>0.39242032830449602</v>
      </c>
      <c r="ABD10" s="2">
        <f>0.366814565544173*(1)</f>
        <v>0.36681456554417302</v>
      </c>
      <c r="ABE10" s="2">
        <f>1.15974136100647*(1)</f>
        <v>1.15974136100647</v>
      </c>
      <c r="ABF10" s="2">
        <f>-0.912407183215537*(1)</f>
        <v>-0.91240718321553704</v>
      </c>
      <c r="ABG10" s="2">
        <f>-0.236964827187371*(1)</f>
        <v>-0.236964827187371</v>
      </c>
      <c r="ABH10" s="2">
        <f>0.00857991667108652*(1)</f>
        <v>8.5799166710865196E-3</v>
      </c>
      <c r="ABI10" s="2">
        <f>0.143699553603656*(1)</f>
        <v>0.14369955360365599</v>
      </c>
      <c r="ABJ10" s="2">
        <f>-1.14278372334917*(1)</f>
        <v>-1.14278372334917</v>
      </c>
      <c r="ABK10" s="2">
        <f>-0.67547438043009*(1)</f>
        <v>-0.67547438043009</v>
      </c>
      <c r="ABL10" s="2">
        <f>0.841735645171357*(1)</f>
        <v>0.84173564517135702</v>
      </c>
      <c r="ABM10" s="2">
        <f>0.0403191475601932*(1)</f>
        <v>4.0319147560193197E-2</v>
      </c>
      <c r="ABN10" s="2">
        <f>0.683252549652721*(1)</f>
        <v>0.68325254965272098</v>
      </c>
      <c r="ABO10" s="2">
        <f>-0.474161399667109*(1)</f>
        <v>-0.47416139966710902</v>
      </c>
      <c r="ABP10" s="2">
        <f>-0.726944967605656*(1)</f>
        <v>-0.72694496760565597</v>
      </c>
      <c r="ABQ10" s="2">
        <f>0.351034767457121*(1)</f>
        <v>0.35103476745712098</v>
      </c>
      <c r="ABR10" s="2">
        <f>-0.386994845175219*(1)</f>
        <v>-0.38699484517521898</v>
      </c>
      <c r="ABS10" s="2">
        <f>0.193845369986195*(1)</f>
        <v>0.193845369986195</v>
      </c>
      <c r="ABT10" s="2">
        <f>-0.389222724066274*(1)</f>
        <v>-0.38922272406627401</v>
      </c>
      <c r="ABU10" s="2">
        <f>-0.12214200050142*(1)</f>
        <v>-0.12214200050142</v>
      </c>
      <c r="ABV10" s="2">
        <f>-0.854892970097928*(1)</f>
        <v>-0.85489297009792797</v>
      </c>
      <c r="ABW10" s="2">
        <f>-0.13562662868745*(1)</f>
        <v>-0.13562662868745001</v>
      </c>
      <c r="ABX10" s="2">
        <f>0.287361741061761*(1)</f>
        <v>0.28736174106176099</v>
      </c>
      <c r="ABY10" s="2">
        <f>0.148529500573323*(1)</f>
        <v>0.14852950057332301</v>
      </c>
      <c r="ABZ10" s="2">
        <f>-0.633294081713874*(1)</f>
        <v>-0.63329408171387402</v>
      </c>
      <c r="ACA10" s="2">
        <f>0.256890758892935*(1)</f>
        <v>0.256890758892935</v>
      </c>
      <c r="ACB10" s="2">
        <f>0.234463949461146*(1)</f>
        <v>0.23446394946114599</v>
      </c>
      <c r="ACC10" s="2">
        <f>-0.247800499822584*(1)</f>
        <v>-0.24780049982258401</v>
      </c>
      <c r="ACD10" s="2">
        <f>0.63093802574916*(1)</f>
        <v>0.63093802574916003</v>
      </c>
      <c r="ACE10" s="2">
        <f>0.0321671940157352*(1)</f>
        <v>3.2167194015735201E-2</v>
      </c>
      <c r="ACF10" s="2">
        <f>-1.35145258439352*(1)</f>
        <v>-1.3514525843935199</v>
      </c>
      <c r="ACG10" s="2">
        <f>-0.233263097185907*(1)</f>
        <v>-0.23326309718590699</v>
      </c>
      <c r="ACH10" s="2">
        <f>0.397098325837077*(1)</f>
        <v>0.39709832583707699</v>
      </c>
      <c r="ACI10" s="2">
        <f>-0.269024534249157*(1)</f>
        <v>-0.26902453424915701</v>
      </c>
      <c r="ACJ10" s="2">
        <f>0.0904882960326308*(1)</f>
        <v>9.0488296032630797E-2</v>
      </c>
      <c r="ACK10" s="2">
        <f>-0.13453090031332*(1)</f>
        <v>-0.13453090031331999</v>
      </c>
      <c r="ACL10" s="2">
        <f>-0.166763462075356*(1)</f>
        <v>-0.166763462075356</v>
      </c>
      <c r="ACM10" s="2">
        <f>-0.308726433072706*(1)</f>
        <v>-0.30872643307270597</v>
      </c>
      <c r="ACN10" s="2">
        <f>0.29025145782404*(1)</f>
        <v>0.29025145782403999</v>
      </c>
      <c r="ACO10" s="2">
        <f>-0.211822154332241*(1)</f>
        <v>-0.211822154332241</v>
      </c>
      <c r="ACP10" s="2">
        <f>0.597619033952636*(1)</f>
        <v>0.59761903395263605</v>
      </c>
      <c r="ACQ10" s="2">
        <f>-1.93868106917475*(1)</f>
        <v>-1.93868106917475</v>
      </c>
      <c r="ACR10" s="2">
        <f>0.761077262378776*(1)</f>
        <v>0.76107726237877604</v>
      </c>
      <c r="ACS10" s="2">
        <f>0.276519568174727*(1)</f>
        <v>0.276519568174727</v>
      </c>
      <c r="ACT10" s="2">
        <f>-0.473126885807124*(1)</f>
        <v>-0.47312688580712398</v>
      </c>
      <c r="ACU10" s="2">
        <f>-0.0682003195205531*(1)</f>
        <v>-6.8200319520553096E-2</v>
      </c>
      <c r="ACV10" s="2">
        <f>-0.315049801924949*(1)</f>
        <v>-0.31504980192494902</v>
      </c>
    </row>
    <row r="12" spans="1:776" x14ac:dyDescent="0.2">
      <c r="A12">
        <v>100</v>
      </c>
    </row>
    <row r="13" spans="1:776" x14ac:dyDescent="0.2">
      <c r="A13" s="6" t="s">
        <v>70653</v>
      </c>
      <c r="B13">
        <f>$A$12*(1+B3/10)</f>
        <v>99.040424244370669</v>
      </c>
      <c r="C13">
        <f>B13*(1+C3/10)</f>
        <v>97.076589596535811</v>
      </c>
      <c r="D13">
        <f t="shared" ref="D13:BO13" si="0">C13*(1+D3/10)</f>
        <v>98.26184547291723</v>
      </c>
      <c r="E13">
        <f t="shared" si="0"/>
        <v>91.898724328441773</v>
      </c>
      <c r="F13">
        <f t="shared" si="0"/>
        <v>97.049787519903617</v>
      </c>
      <c r="G13">
        <f t="shared" si="0"/>
        <v>97.335612879676532</v>
      </c>
      <c r="H13">
        <f t="shared" si="0"/>
        <v>99.956675686270856</v>
      </c>
      <c r="I13">
        <f t="shared" si="0"/>
        <v>98.151477255540783</v>
      </c>
      <c r="J13">
        <f t="shared" si="0"/>
        <v>97.166269714601398</v>
      </c>
      <c r="K13">
        <f t="shared" si="0"/>
        <v>101.5017454970539</v>
      </c>
      <c r="L13">
        <f t="shared" si="0"/>
        <v>98.602103293383252</v>
      </c>
      <c r="M13">
        <f t="shared" si="0"/>
        <v>97.789060076184029</v>
      </c>
      <c r="N13">
        <f t="shared" si="0"/>
        <v>97.111846920993344</v>
      </c>
      <c r="O13">
        <f t="shared" si="0"/>
        <v>103.9948822754786</v>
      </c>
      <c r="P13">
        <f t="shared" si="0"/>
        <v>105.9495214815181</v>
      </c>
      <c r="Q13">
        <f t="shared" si="0"/>
        <v>104.30500625132487</v>
      </c>
      <c r="R13">
        <f t="shared" si="0"/>
        <v>106.27563604484632</v>
      </c>
      <c r="S13">
        <f t="shared" si="0"/>
        <v>106.75511520007827</v>
      </c>
      <c r="T13">
        <f t="shared" si="0"/>
        <v>108.7236493542551</v>
      </c>
      <c r="U13">
        <f t="shared" si="0"/>
        <v>108.03682481757183</v>
      </c>
      <c r="V13">
        <f t="shared" si="0"/>
        <v>98.386889492415449</v>
      </c>
      <c r="W13">
        <f t="shared" si="0"/>
        <v>97.518247946928213</v>
      </c>
      <c r="X13">
        <f t="shared" si="0"/>
        <v>99.014327826250934</v>
      </c>
      <c r="Y13">
        <f t="shared" si="0"/>
        <v>95.486489089368504</v>
      </c>
      <c r="Z13">
        <f t="shared" si="0"/>
        <v>91.562787484303044</v>
      </c>
      <c r="AA13">
        <f t="shared" si="0"/>
        <v>85.761739641659119</v>
      </c>
      <c r="AB13">
        <f t="shared" si="0"/>
        <v>88.748770888101205</v>
      </c>
      <c r="AC13">
        <f t="shared" si="0"/>
        <v>86.688225741680668</v>
      </c>
      <c r="AD13">
        <f t="shared" si="0"/>
        <v>83.390896349663024</v>
      </c>
      <c r="AE13">
        <f t="shared" si="0"/>
        <v>88.984341060805974</v>
      </c>
      <c r="AF13">
        <f t="shared" si="0"/>
        <v>88.469664343066796</v>
      </c>
      <c r="AG13">
        <f t="shared" si="0"/>
        <v>92.477555030689118</v>
      </c>
      <c r="AH13">
        <f t="shared" si="0"/>
        <v>92.109260152821633</v>
      </c>
      <c r="AI13">
        <f t="shared" si="0"/>
        <v>91.558783616875417</v>
      </c>
      <c r="AJ13">
        <f t="shared" si="0"/>
        <v>93.353334681424059</v>
      </c>
      <c r="AK13">
        <f t="shared" si="0"/>
        <v>94.04305051358682</v>
      </c>
      <c r="AL13">
        <f t="shared" si="0"/>
        <v>94.501661885597741</v>
      </c>
      <c r="AM13">
        <f t="shared" si="0"/>
        <v>94.097158161382097</v>
      </c>
      <c r="AN13">
        <f t="shared" si="0"/>
        <v>92.812087429323853</v>
      </c>
      <c r="AO13">
        <f t="shared" si="0"/>
        <v>95.371385119680951</v>
      </c>
      <c r="AP13">
        <f t="shared" si="0"/>
        <v>93.966830377131203</v>
      </c>
      <c r="AQ13">
        <f t="shared" si="0"/>
        <v>93.523866005499457</v>
      </c>
      <c r="AR13">
        <f t="shared" si="0"/>
        <v>87.410724199053973</v>
      </c>
      <c r="AS13">
        <f t="shared" si="0"/>
        <v>88.643315032651998</v>
      </c>
      <c r="AT13">
        <f t="shared" si="0"/>
        <v>87.879804595070112</v>
      </c>
      <c r="AU13">
        <f t="shared" si="0"/>
        <v>88.532886035765671</v>
      </c>
      <c r="AV13">
        <f t="shared" si="0"/>
        <v>90.489194413457398</v>
      </c>
      <c r="AW13">
        <f t="shared" si="0"/>
        <v>87.750154186989448</v>
      </c>
      <c r="AX13">
        <f t="shared" si="0"/>
        <v>91.834291093527554</v>
      </c>
      <c r="AY13">
        <f t="shared" si="0"/>
        <v>88.878045082356124</v>
      </c>
      <c r="AZ13">
        <f t="shared" si="0"/>
        <v>90.611777377309451</v>
      </c>
      <c r="BA13">
        <f t="shared" si="0"/>
        <v>93.693287583736449</v>
      </c>
      <c r="BB13">
        <f t="shared" si="0"/>
        <v>96.86591638420515</v>
      </c>
      <c r="BC13">
        <f t="shared" si="0"/>
        <v>100.42066157779102</v>
      </c>
      <c r="BD13">
        <f t="shared" si="0"/>
        <v>100.71123678966147</v>
      </c>
      <c r="BE13">
        <f t="shared" si="0"/>
        <v>100.4616597076942</v>
      </c>
      <c r="BF13">
        <f t="shared" si="0"/>
        <v>97.444923100048257</v>
      </c>
      <c r="BG13">
        <f t="shared" si="0"/>
        <v>100.4085021934803</v>
      </c>
      <c r="BH13">
        <f t="shared" si="0"/>
        <v>103.06637274313563</v>
      </c>
      <c r="BI13">
        <f t="shared" si="0"/>
        <v>100.6996164340828</v>
      </c>
      <c r="BJ13">
        <f t="shared" si="0"/>
        <v>97.097554362124754</v>
      </c>
      <c r="BK13">
        <f t="shared" si="0"/>
        <v>95.53996041959293</v>
      </c>
      <c r="BL13">
        <f t="shared" si="0"/>
        <v>95.436899323352151</v>
      </c>
      <c r="BM13">
        <f t="shared" si="0"/>
        <v>96.786977630944421</v>
      </c>
      <c r="BN13">
        <f t="shared" si="0"/>
        <v>98.358512488266584</v>
      </c>
      <c r="BO13">
        <f t="shared" si="0"/>
        <v>103.52060119550086</v>
      </c>
      <c r="BP13">
        <f t="shared" ref="BP13:EA13" si="1">BO13*(1+BP3/10)</f>
        <v>108.00761876136288</v>
      </c>
      <c r="BQ13">
        <f t="shared" si="1"/>
        <v>107.68528500577452</v>
      </c>
      <c r="BR13">
        <f t="shared" si="1"/>
        <v>108.5187391561731</v>
      </c>
      <c r="BS13">
        <f t="shared" si="1"/>
        <v>108.19958682980993</v>
      </c>
      <c r="BT13">
        <f t="shared" si="1"/>
        <v>113.50466006798004</v>
      </c>
      <c r="BU13">
        <f t="shared" si="1"/>
        <v>115.629156525936</v>
      </c>
      <c r="BV13">
        <f t="shared" si="1"/>
        <v>112.83852131838886</v>
      </c>
      <c r="BW13">
        <f t="shared" si="1"/>
        <v>114.4346434080819</v>
      </c>
      <c r="BX13">
        <f t="shared" si="1"/>
        <v>113.87709059776208</v>
      </c>
      <c r="BY13">
        <f t="shared" si="1"/>
        <v>112.06199216681819</v>
      </c>
      <c r="BZ13">
        <f t="shared" si="1"/>
        <v>114.83725924435824</v>
      </c>
      <c r="CA13">
        <f t="shared" si="1"/>
        <v>109.28496477269469</v>
      </c>
      <c r="CB13">
        <f t="shared" si="1"/>
        <v>103.94369511803799</v>
      </c>
      <c r="CC13">
        <f t="shared" si="1"/>
        <v>103.24156196470383</v>
      </c>
      <c r="CD13">
        <f t="shared" si="1"/>
        <v>99.674406741173769</v>
      </c>
      <c r="CE13">
        <f t="shared" si="1"/>
        <v>102.91565570083171</v>
      </c>
      <c r="CF13">
        <f t="shared" si="1"/>
        <v>103.52295605441789</v>
      </c>
      <c r="CG13">
        <f t="shared" si="1"/>
        <v>101.91636333122494</v>
      </c>
      <c r="CH13">
        <f t="shared" si="1"/>
        <v>102.54918014837912</v>
      </c>
      <c r="CI13">
        <f t="shared" si="1"/>
        <v>97.208853535468677</v>
      </c>
      <c r="CJ13">
        <f t="shared" si="1"/>
        <v>99.666194232675863</v>
      </c>
      <c r="CK13">
        <f t="shared" si="1"/>
        <v>101.78408210099694</v>
      </c>
      <c r="CL13">
        <f t="shared" si="1"/>
        <v>101.73287905145408</v>
      </c>
      <c r="CM13">
        <f t="shared" si="1"/>
        <v>98.217957647077654</v>
      </c>
      <c r="CN13">
        <f t="shared" si="1"/>
        <v>99.117290865010872</v>
      </c>
      <c r="CO13">
        <f t="shared" si="1"/>
        <v>100.43804782034449</v>
      </c>
      <c r="CP13">
        <f t="shared" si="1"/>
        <v>100.84668744079762</v>
      </c>
      <c r="CQ13">
        <f t="shared" si="1"/>
        <v>101.25251473440389</v>
      </c>
      <c r="CR13">
        <f t="shared" si="1"/>
        <v>102.53407045958684</v>
      </c>
      <c r="CS13">
        <f t="shared" si="1"/>
        <v>99.275695954121176</v>
      </c>
      <c r="CT13">
        <f t="shared" si="1"/>
        <v>101.85906942283675</v>
      </c>
      <c r="CU13">
        <f t="shared" si="1"/>
        <v>106.22805870593473</v>
      </c>
      <c r="CV13">
        <f t="shared" si="1"/>
        <v>106.53250064212742</v>
      </c>
      <c r="CW13">
        <f t="shared" si="1"/>
        <v>105.17087112035095</v>
      </c>
      <c r="CX13">
        <f t="shared" si="1"/>
        <v>106.495861874685</v>
      </c>
      <c r="CY13">
        <f t="shared" si="1"/>
        <v>109.65880796253171</v>
      </c>
      <c r="CZ13">
        <f t="shared" si="1"/>
        <v>107.97068586697293</v>
      </c>
      <c r="DA13">
        <f t="shared" si="1"/>
        <v>107.42155635465296</v>
      </c>
      <c r="DB13">
        <f t="shared" si="1"/>
        <v>107.59601453505532</v>
      </c>
      <c r="DC13">
        <f t="shared" si="1"/>
        <v>104.1549958129939</v>
      </c>
      <c r="DD13">
        <f t="shared" si="1"/>
        <v>106.16124009362163</v>
      </c>
      <c r="DE13">
        <f t="shared" si="1"/>
        <v>103.44895772935617</v>
      </c>
      <c r="DF13">
        <f t="shared" si="1"/>
        <v>107.79874126460014</v>
      </c>
      <c r="DG13">
        <f t="shared" si="1"/>
        <v>109.69778393841744</v>
      </c>
      <c r="DH13">
        <f t="shared" si="1"/>
        <v>107.7340754460793</v>
      </c>
      <c r="DI13">
        <f t="shared" si="1"/>
        <v>101.20072016115697</v>
      </c>
      <c r="DJ13">
        <f t="shared" si="1"/>
        <v>104.4714783585291</v>
      </c>
      <c r="DK13">
        <f t="shared" si="1"/>
        <v>105.80132879235627</v>
      </c>
      <c r="DL13">
        <f t="shared" si="1"/>
        <v>101.61799691684161</v>
      </c>
      <c r="DM13">
        <f t="shared" si="1"/>
        <v>102.11213906776212</v>
      </c>
      <c r="DN13">
        <f t="shared" si="1"/>
        <v>103.31164950189142</v>
      </c>
      <c r="DO13">
        <f t="shared" si="1"/>
        <v>101.42687137234643</v>
      </c>
      <c r="DP13">
        <f t="shared" si="1"/>
        <v>103.05479900449843</v>
      </c>
      <c r="DQ13">
        <f t="shared" si="1"/>
        <v>109.06209465814196</v>
      </c>
      <c r="DR13">
        <f t="shared" si="1"/>
        <v>103.10979933188634</v>
      </c>
      <c r="DS13">
        <f t="shared" si="1"/>
        <v>100.69062426862388</v>
      </c>
      <c r="DT13">
        <f t="shared" si="1"/>
        <v>99.790304050354365</v>
      </c>
      <c r="DU13">
        <f t="shared" si="1"/>
        <v>103.65812649677828</v>
      </c>
      <c r="DV13">
        <f t="shared" si="1"/>
        <v>100.53134492221699</v>
      </c>
      <c r="DW13">
        <f t="shared" si="1"/>
        <v>99.41616179318973</v>
      </c>
      <c r="DX13">
        <f t="shared" si="1"/>
        <v>101.07150565307599</v>
      </c>
      <c r="DY13">
        <f t="shared" si="1"/>
        <v>100.0141739128081</v>
      </c>
      <c r="DZ13">
        <f t="shared" si="1"/>
        <v>96.404458627391847</v>
      </c>
      <c r="EA13">
        <f t="shared" si="1"/>
        <v>86.492836037013944</v>
      </c>
      <c r="EB13">
        <f t="shared" ref="EB13:GM13" si="2">EA13*(1+EB3/10)</f>
        <v>89.632361620773025</v>
      </c>
      <c r="EC13">
        <f t="shared" si="2"/>
        <v>87.236957563055967</v>
      </c>
      <c r="ED13">
        <f t="shared" si="2"/>
        <v>91.988433354743577</v>
      </c>
      <c r="EE13">
        <f t="shared" si="2"/>
        <v>86.810197242458727</v>
      </c>
      <c r="EF13">
        <f t="shared" si="2"/>
        <v>82.483781249187004</v>
      </c>
      <c r="EG13">
        <f t="shared" si="2"/>
        <v>78.753428763335094</v>
      </c>
      <c r="EH13">
        <f t="shared" si="2"/>
        <v>78.654961553364842</v>
      </c>
      <c r="EI13">
        <f t="shared" si="2"/>
        <v>79.136605860122799</v>
      </c>
      <c r="EJ13">
        <f t="shared" si="2"/>
        <v>78.953757751208997</v>
      </c>
      <c r="EK13">
        <f t="shared" si="2"/>
        <v>77.221250809713567</v>
      </c>
      <c r="EL13">
        <f t="shared" si="2"/>
        <v>78.270891341420509</v>
      </c>
      <c r="EM13">
        <f t="shared" si="2"/>
        <v>79.603630625619743</v>
      </c>
      <c r="EN13">
        <f t="shared" si="2"/>
        <v>77.686672990546185</v>
      </c>
      <c r="EO13">
        <f t="shared" si="2"/>
        <v>76.237199961969466</v>
      </c>
      <c r="EP13">
        <f t="shared" si="2"/>
        <v>75.25434056978095</v>
      </c>
      <c r="EQ13">
        <f t="shared" si="2"/>
        <v>71.108826233374188</v>
      </c>
      <c r="ER13">
        <f t="shared" si="2"/>
        <v>69.654179275974712</v>
      </c>
      <c r="ES13">
        <f t="shared" si="2"/>
        <v>70.51119986441438</v>
      </c>
      <c r="ET13">
        <f t="shared" si="2"/>
        <v>70.795538021419603</v>
      </c>
      <c r="EU13">
        <f t="shared" si="2"/>
        <v>69.20174180035329</v>
      </c>
      <c r="EV13">
        <f t="shared" si="2"/>
        <v>72.524155106933875</v>
      </c>
      <c r="EW13">
        <f t="shared" si="2"/>
        <v>71.335251697743203</v>
      </c>
      <c r="EX13">
        <f t="shared" si="2"/>
        <v>70.004147934547561</v>
      </c>
      <c r="EY13">
        <f t="shared" si="2"/>
        <v>69.697893912394534</v>
      </c>
      <c r="EZ13">
        <f t="shared" si="2"/>
        <v>67.294261644135617</v>
      </c>
      <c r="FA13">
        <f t="shared" si="2"/>
        <v>65.966486805646753</v>
      </c>
      <c r="FB13">
        <f t="shared" si="2"/>
        <v>64.431169118148446</v>
      </c>
      <c r="FC13">
        <f t="shared" si="2"/>
        <v>67.004788135181741</v>
      </c>
      <c r="FD13">
        <f t="shared" si="2"/>
        <v>63.040034083671166</v>
      </c>
      <c r="FE13">
        <f t="shared" si="2"/>
        <v>64.328943086225777</v>
      </c>
      <c r="FF13">
        <f t="shared" si="2"/>
        <v>64.055598239399771</v>
      </c>
      <c r="FG13">
        <f t="shared" si="2"/>
        <v>66.002882146593848</v>
      </c>
      <c r="FH13">
        <f t="shared" si="2"/>
        <v>66.848225015869687</v>
      </c>
      <c r="FI13">
        <f t="shared" si="2"/>
        <v>68.822230900299616</v>
      </c>
      <c r="FJ13">
        <f t="shared" si="2"/>
        <v>70.420985190570121</v>
      </c>
      <c r="FK13">
        <f t="shared" si="2"/>
        <v>68.584350545266105</v>
      </c>
      <c r="FL13">
        <f t="shared" si="2"/>
        <v>67.891331264856063</v>
      </c>
      <c r="FM13">
        <f t="shared" si="2"/>
        <v>67.349967660234057</v>
      </c>
      <c r="FN13">
        <f t="shared" si="2"/>
        <v>67.93168923569111</v>
      </c>
      <c r="FO13">
        <f t="shared" si="2"/>
        <v>72.383292388933583</v>
      </c>
      <c r="FP13">
        <f t="shared" si="2"/>
        <v>68.19725075963575</v>
      </c>
      <c r="FQ13">
        <f t="shared" si="2"/>
        <v>64.829007404844674</v>
      </c>
      <c r="FR13">
        <f t="shared" si="2"/>
        <v>68.838489073471465</v>
      </c>
      <c r="FS13">
        <f t="shared" si="2"/>
        <v>68.339371581144263</v>
      </c>
      <c r="FT13">
        <f t="shared" si="2"/>
        <v>67.027964250346926</v>
      </c>
      <c r="FU13">
        <f t="shared" si="2"/>
        <v>65.740209563799695</v>
      </c>
      <c r="FV13">
        <f t="shared" si="2"/>
        <v>65.448267569483846</v>
      </c>
      <c r="FW13">
        <f t="shared" si="2"/>
        <v>65.843051646768004</v>
      </c>
      <c r="FX13">
        <f t="shared" si="2"/>
        <v>63.728201178959537</v>
      </c>
      <c r="FY13">
        <f t="shared" si="2"/>
        <v>61.885411477015133</v>
      </c>
      <c r="FZ13">
        <f t="shared" si="2"/>
        <v>62.06581989593554</v>
      </c>
      <c r="GA13">
        <f t="shared" si="2"/>
        <v>61.459147359096988</v>
      </c>
      <c r="GB13">
        <f t="shared" si="2"/>
        <v>62.072039838974206</v>
      </c>
      <c r="GC13">
        <f t="shared" si="2"/>
        <v>60.802789706144182</v>
      </c>
      <c r="GD13">
        <f t="shared" si="2"/>
        <v>60.344078507129296</v>
      </c>
      <c r="GE13">
        <f t="shared" si="2"/>
        <v>58.0067186384656</v>
      </c>
      <c r="GF13">
        <f t="shared" si="2"/>
        <v>58.436943416232431</v>
      </c>
      <c r="GG13">
        <f t="shared" si="2"/>
        <v>57.864557796267071</v>
      </c>
      <c r="GH13">
        <f t="shared" si="2"/>
        <v>58.135147930940988</v>
      </c>
      <c r="GI13">
        <f t="shared" si="2"/>
        <v>59.840475381951855</v>
      </c>
      <c r="GJ13">
        <f t="shared" si="2"/>
        <v>59.668503971463927</v>
      </c>
      <c r="GK13">
        <f t="shared" si="2"/>
        <v>61.593600529921758</v>
      </c>
      <c r="GL13">
        <f t="shared" si="2"/>
        <v>60.272927153794832</v>
      </c>
      <c r="GM13">
        <f t="shared" si="2"/>
        <v>61.421387034904257</v>
      </c>
      <c r="GN13">
        <f t="shared" ref="GN13:IY13" si="3">GM13*(1+GN3/10)</f>
        <v>59.698738000257741</v>
      </c>
      <c r="GO13">
        <f t="shared" si="3"/>
        <v>61.862566812325397</v>
      </c>
      <c r="GP13">
        <f t="shared" si="3"/>
        <v>63.637051297301511</v>
      </c>
      <c r="GQ13">
        <f t="shared" si="3"/>
        <v>63.112548390922704</v>
      </c>
      <c r="GR13">
        <f t="shared" si="3"/>
        <v>63.80730007537565</v>
      </c>
      <c r="GS13">
        <f t="shared" si="3"/>
        <v>63.10397139037903</v>
      </c>
      <c r="GT13">
        <f t="shared" si="3"/>
        <v>62.493608336238417</v>
      </c>
      <c r="GU13">
        <f t="shared" si="3"/>
        <v>60.058252900032869</v>
      </c>
      <c r="GV13">
        <f t="shared" si="3"/>
        <v>60.601237199582904</v>
      </c>
      <c r="GW13">
        <f t="shared" si="3"/>
        <v>60.91715104200793</v>
      </c>
      <c r="GX13">
        <f t="shared" si="3"/>
        <v>61.146920470638484</v>
      </c>
      <c r="GY13">
        <f t="shared" si="3"/>
        <v>59.819258221350481</v>
      </c>
      <c r="GZ13">
        <f t="shared" si="3"/>
        <v>61.576597967556594</v>
      </c>
      <c r="HA13">
        <f t="shared" si="3"/>
        <v>62.502839379693988</v>
      </c>
      <c r="HB13">
        <f t="shared" si="3"/>
        <v>61.124623264336456</v>
      </c>
      <c r="HC13">
        <f t="shared" si="3"/>
        <v>63.040224183361374</v>
      </c>
      <c r="HD13">
        <f t="shared" si="3"/>
        <v>63.386076897874553</v>
      </c>
      <c r="HE13">
        <f t="shared" si="3"/>
        <v>61.084358072082509</v>
      </c>
      <c r="HF13">
        <f t="shared" si="3"/>
        <v>61.712744060514716</v>
      </c>
      <c r="HG13">
        <f t="shared" si="3"/>
        <v>61.57259984435035</v>
      </c>
      <c r="HH13">
        <f t="shared" si="3"/>
        <v>61.043939002958567</v>
      </c>
      <c r="HI13">
        <f t="shared" si="3"/>
        <v>59.427529078140914</v>
      </c>
      <c r="HJ13">
        <f t="shared" si="3"/>
        <v>58.438436585399522</v>
      </c>
      <c r="HK13">
        <f t="shared" si="3"/>
        <v>58.89168047832046</v>
      </c>
      <c r="HL13">
        <f t="shared" si="3"/>
        <v>59.001217195313529</v>
      </c>
      <c r="HM13">
        <f t="shared" si="3"/>
        <v>58.269687699529115</v>
      </c>
      <c r="HN13">
        <f t="shared" si="3"/>
        <v>58.216110815734645</v>
      </c>
      <c r="HO13">
        <f t="shared" si="3"/>
        <v>57.555910896646218</v>
      </c>
      <c r="HP13">
        <f t="shared" si="3"/>
        <v>58.198327221802188</v>
      </c>
      <c r="HQ13">
        <f t="shared" si="3"/>
        <v>57.267444212965231</v>
      </c>
      <c r="HR13">
        <f t="shared" si="3"/>
        <v>59.467053327346449</v>
      </c>
      <c r="HS13">
        <f t="shared" si="3"/>
        <v>58.514070893995722</v>
      </c>
      <c r="HT13">
        <f t="shared" si="3"/>
        <v>59.740255179522414</v>
      </c>
      <c r="HU13">
        <f t="shared" si="3"/>
        <v>57.951727399132658</v>
      </c>
      <c r="HV13">
        <f t="shared" si="3"/>
        <v>58.738015622635771</v>
      </c>
      <c r="HW13">
        <f t="shared" si="3"/>
        <v>57.896834428025265</v>
      </c>
      <c r="HX13">
        <f t="shared" si="3"/>
        <v>58.265977499813602</v>
      </c>
      <c r="HY13">
        <f t="shared" si="3"/>
        <v>58.975381915517083</v>
      </c>
      <c r="HZ13">
        <f t="shared" si="3"/>
        <v>61.449155783190257</v>
      </c>
      <c r="IA13">
        <f t="shared" si="3"/>
        <v>62.166799369179294</v>
      </c>
      <c r="IB13">
        <f t="shared" si="3"/>
        <v>65.843977145522089</v>
      </c>
      <c r="IC13">
        <f t="shared" si="3"/>
        <v>68.116122924357569</v>
      </c>
      <c r="ID13">
        <f t="shared" si="3"/>
        <v>65.783641127613095</v>
      </c>
      <c r="IE13">
        <f t="shared" si="3"/>
        <v>66.820461988031667</v>
      </c>
      <c r="IF13">
        <f t="shared" si="3"/>
        <v>65.607648964765431</v>
      </c>
      <c r="IG13">
        <f t="shared" si="3"/>
        <v>62.409172887581626</v>
      </c>
      <c r="IH13">
        <f t="shared" si="3"/>
        <v>62.602863194443948</v>
      </c>
      <c r="II13">
        <f t="shared" si="3"/>
        <v>60.256498799472759</v>
      </c>
      <c r="IJ13">
        <f t="shared" si="3"/>
        <v>60.809542914328965</v>
      </c>
      <c r="IK13">
        <f t="shared" si="3"/>
        <v>60.628087340266561</v>
      </c>
      <c r="IL13">
        <f t="shared" si="3"/>
        <v>60.110984172389152</v>
      </c>
      <c r="IM13">
        <f t="shared" si="3"/>
        <v>65.31743903945106</v>
      </c>
      <c r="IN13">
        <f t="shared" si="3"/>
        <v>63.9597413416503</v>
      </c>
      <c r="IO13">
        <f t="shared" si="3"/>
        <v>62.39545190501444</v>
      </c>
      <c r="IP13">
        <f t="shared" si="3"/>
        <v>63.49134812924747</v>
      </c>
      <c r="IQ13">
        <f t="shared" si="3"/>
        <v>63.65825815975338</v>
      </c>
      <c r="IR13">
        <f t="shared" si="3"/>
        <v>63.845054452121907</v>
      </c>
      <c r="IS13">
        <f t="shared" si="3"/>
        <v>63.160870982567182</v>
      </c>
      <c r="IT13">
        <f t="shared" si="3"/>
        <v>65.196141843086707</v>
      </c>
      <c r="IU13">
        <f t="shared" si="3"/>
        <v>61.406126491376348</v>
      </c>
      <c r="IV13">
        <f t="shared" si="3"/>
        <v>64.237284777232418</v>
      </c>
      <c r="IW13">
        <f t="shared" si="3"/>
        <v>68.112596706191269</v>
      </c>
      <c r="IX13">
        <f t="shared" si="3"/>
        <v>67.858256299047113</v>
      </c>
      <c r="IY13">
        <f t="shared" si="3"/>
        <v>68.081324905904481</v>
      </c>
      <c r="IZ13">
        <f t="shared" ref="IZ13:LK13" si="4">IY13*(1+IZ3/10)</f>
        <v>65.97265084172092</v>
      </c>
      <c r="JA13">
        <f t="shared" si="4"/>
        <v>67.00053390045116</v>
      </c>
      <c r="JB13">
        <f t="shared" si="4"/>
        <v>66.872563643396518</v>
      </c>
      <c r="JC13">
        <f t="shared" si="4"/>
        <v>65.924283120742402</v>
      </c>
      <c r="JD13">
        <f t="shared" si="4"/>
        <v>66.464351591450338</v>
      </c>
      <c r="JE13">
        <f t="shared" si="4"/>
        <v>65.363511303357171</v>
      </c>
      <c r="JF13">
        <f t="shared" si="4"/>
        <v>67.449065929003979</v>
      </c>
      <c r="JG13">
        <f t="shared" si="4"/>
        <v>65.857933819717218</v>
      </c>
      <c r="JH13">
        <f t="shared" si="4"/>
        <v>66.285974626542142</v>
      </c>
      <c r="JI13">
        <f t="shared" si="4"/>
        <v>65.358813571564951</v>
      </c>
      <c r="JJ13">
        <f t="shared" si="4"/>
        <v>64.895754144227539</v>
      </c>
      <c r="JK13">
        <f t="shared" si="4"/>
        <v>64.516451848596816</v>
      </c>
      <c r="JL13">
        <f t="shared" si="4"/>
        <v>63.129724191554295</v>
      </c>
      <c r="JM13">
        <f t="shared" si="4"/>
        <v>62.331731620669473</v>
      </c>
      <c r="JN13">
        <f t="shared" si="4"/>
        <v>63.984652166677506</v>
      </c>
      <c r="JO13">
        <f t="shared" si="4"/>
        <v>62.189652360590784</v>
      </c>
      <c r="JP13">
        <f t="shared" si="4"/>
        <v>62.632822579373993</v>
      </c>
      <c r="JQ13">
        <f t="shared" si="4"/>
        <v>65.78723531446667</v>
      </c>
      <c r="JR13">
        <f t="shared" si="4"/>
        <v>66.082293556635307</v>
      </c>
      <c r="JS13">
        <f t="shared" si="4"/>
        <v>62.221306376622664</v>
      </c>
      <c r="JT13">
        <f t="shared" si="4"/>
        <v>63.714287725184938</v>
      </c>
      <c r="JU13">
        <f t="shared" si="4"/>
        <v>65.660811086621734</v>
      </c>
      <c r="JV13">
        <f t="shared" si="4"/>
        <v>67.04544180516335</v>
      </c>
      <c r="JW13">
        <f t="shared" si="4"/>
        <v>67.841063905153078</v>
      </c>
      <c r="JX13">
        <f t="shared" si="4"/>
        <v>66.873127828234615</v>
      </c>
      <c r="JY13">
        <f t="shared" si="4"/>
        <v>66.069600070180229</v>
      </c>
      <c r="JZ13">
        <f t="shared" si="4"/>
        <v>67.388860498257401</v>
      </c>
      <c r="KA13">
        <f t="shared" si="4"/>
        <v>67.986507990632262</v>
      </c>
      <c r="KB13">
        <f t="shared" si="4"/>
        <v>65.508762363911572</v>
      </c>
      <c r="KC13">
        <f t="shared" si="4"/>
        <v>64.657776023527887</v>
      </c>
      <c r="KD13">
        <f t="shared" si="4"/>
        <v>64.257144351182774</v>
      </c>
      <c r="KE13">
        <f t="shared" si="4"/>
        <v>65.198403445115247</v>
      </c>
      <c r="KF13">
        <f t="shared" si="4"/>
        <v>64.420969935669135</v>
      </c>
      <c r="KG13">
        <f t="shared" si="4"/>
        <v>63.71975575939971</v>
      </c>
      <c r="KH13">
        <f t="shared" si="4"/>
        <v>64.216332463298826</v>
      </c>
      <c r="KI13">
        <f t="shared" si="4"/>
        <v>63.273864926903222</v>
      </c>
      <c r="KJ13">
        <f t="shared" si="4"/>
        <v>64.600085336509494</v>
      </c>
      <c r="KK13">
        <f t="shared" si="4"/>
        <v>63.218243077608207</v>
      </c>
      <c r="KL13">
        <f t="shared" si="4"/>
        <v>65.575653862814093</v>
      </c>
      <c r="KM13">
        <f t="shared" si="4"/>
        <v>65.806614069245981</v>
      </c>
      <c r="KN13">
        <f t="shared" si="4"/>
        <v>67.166309666842579</v>
      </c>
      <c r="KO13">
        <f t="shared" si="4"/>
        <v>65.912096572834955</v>
      </c>
      <c r="KP13">
        <f t="shared" si="4"/>
        <v>67.91658725134954</v>
      </c>
      <c r="KQ13">
        <f t="shared" si="4"/>
        <v>69.81470627217702</v>
      </c>
      <c r="KR13">
        <f t="shared" si="4"/>
        <v>69.777675570177223</v>
      </c>
      <c r="KS13">
        <f t="shared" si="4"/>
        <v>67.555336317270203</v>
      </c>
      <c r="KT13">
        <f t="shared" si="4"/>
        <v>66.204633850966502</v>
      </c>
      <c r="KU13">
        <f t="shared" si="4"/>
        <v>69.498898729378226</v>
      </c>
      <c r="KV13">
        <f t="shared" si="4"/>
        <v>67.407909093910376</v>
      </c>
      <c r="KW13">
        <f t="shared" si="4"/>
        <v>66.674647949875251</v>
      </c>
      <c r="KX13">
        <f t="shared" si="4"/>
        <v>69.168515103374332</v>
      </c>
      <c r="KY13">
        <f t="shared" si="4"/>
        <v>69.348487315434554</v>
      </c>
      <c r="KZ13">
        <f t="shared" si="4"/>
        <v>68.765296107312921</v>
      </c>
      <c r="LA13">
        <f t="shared" si="4"/>
        <v>68.82604426446116</v>
      </c>
      <c r="LB13">
        <f t="shared" si="4"/>
        <v>69.622686833715477</v>
      </c>
      <c r="LC13">
        <f t="shared" si="4"/>
        <v>71.293416882004394</v>
      </c>
      <c r="LD13">
        <f t="shared" si="4"/>
        <v>72.392928049927036</v>
      </c>
      <c r="LE13">
        <f t="shared" si="4"/>
        <v>74.059892825064551</v>
      </c>
      <c r="LF13">
        <f t="shared" si="4"/>
        <v>71.89857095652421</v>
      </c>
      <c r="LG13">
        <f t="shared" si="4"/>
        <v>69.877093634401263</v>
      </c>
      <c r="LH13">
        <f t="shared" si="4"/>
        <v>66.073680638269792</v>
      </c>
      <c r="LI13">
        <f t="shared" si="4"/>
        <v>65.050216804870686</v>
      </c>
      <c r="LJ13">
        <f t="shared" si="4"/>
        <v>64.899106582443835</v>
      </c>
      <c r="LK13">
        <f t="shared" si="4"/>
        <v>66.46194343600618</v>
      </c>
      <c r="LL13">
        <f t="shared" ref="LL13:NW13" si="5">LK13*(1+LL3/10)</f>
        <v>63.329902788867564</v>
      </c>
      <c r="LM13">
        <f t="shared" si="5"/>
        <v>61.428529913154676</v>
      </c>
      <c r="LN13">
        <f t="shared" si="5"/>
        <v>61.461387309081218</v>
      </c>
      <c r="LO13">
        <f t="shared" si="5"/>
        <v>62.20723729608968</v>
      </c>
      <c r="LP13">
        <f t="shared" si="5"/>
        <v>60.558685102834701</v>
      </c>
      <c r="LQ13">
        <f t="shared" si="5"/>
        <v>58.909888522245879</v>
      </c>
      <c r="LR13">
        <f t="shared" si="5"/>
        <v>55.852492120807618</v>
      </c>
      <c r="LS13">
        <f t="shared" si="5"/>
        <v>58.661706616428908</v>
      </c>
      <c r="LT13">
        <f t="shared" si="5"/>
        <v>59.876986541179065</v>
      </c>
      <c r="LU13">
        <f t="shared" si="5"/>
        <v>60.222867588838106</v>
      </c>
      <c r="LV13">
        <f t="shared" si="5"/>
        <v>60.679922077691515</v>
      </c>
      <c r="LW13">
        <f t="shared" si="5"/>
        <v>58.86470322210937</v>
      </c>
      <c r="LX13">
        <f t="shared" si="5"/>
        <v>57.768826358687477</v>
      </c>
      <c r="LY13">
        <f t="shared" si="5"/>
        <v>58.304490131813722</v>
      </c>
      <c r="LZ13">
        <f t="shared" si="5"/>
        <v>56.904439793531417</v>
      </c>
      <c r="MA13">
        <f t="shared" si="5"/>
        <v>57.733052894118153</v>
      </c>
      <c r="MB13">
        <f t="shared" si="5"/>
        <v>58.759337113805238</v>
      </c>
      <c r="MC13">
        <f t="shared" si="5"/>
        <v>59.230426984612144</v>
      </c>
      <c r="MD13">
        <f t="shared" si="5"/>
        <v>59.495801200490313</v>
      </c>
      <c r="ME13">
        <f t="shared" si="5"/>
        <v>60.037406851797471</v>
      </c>
      <c r="MF13">
        <f t="shared" si="5"/>
        <v>62.387457620397178</v>
      </c>
      <c r="MG13">
        <f t="shared" si="5"/>
        <v>64.023823614563128</v>
      </c>
      <c r="MH13">
        <f t="shared" si="5"/>
        <v>63.223744267528879</v>
      </c>
      <c r="MI13">
        <f t="shared" si="5"/>
        <v>63.462331477725215</v>
      </c>
      <c r="MJ13">
        <f t="shared" si="5"/>
        <v>63.600697964620508</v>
      </c>
      <c r="MK13">
        <f t="shared" si="5"/>
        <v>65.977065755619989</v>
      </c>
      <c r="ML13">
        <f t="shared" si="5"/>
        <v>64.290791549349649</v>
      </c>
      <c r="MM13">
        <f t="shared" si="5"/>
        <v>63.276200799501943</v>
      </c>
      <c r="MN13">
        <f t="shared" si="5"/>
        <v>63.326500389649311</v>
      </c>
      <c r="MO13">
        <f t="shared" si="5"/>
        <v>63.193638605060499</v>
      </c>
      <c r="MP13">
        <f t="shared" si="5"/>
        <v>61.750501249000585</v>
      </c>
      <c r="MQ13">
        <f t="shared" si="5"/>
        <v>59.842421750382634</v>
      </c>
      <c r="MR13">
        <f t="shared" si="5"/>
        <v>58.247686616046209</v>
      </c>
      <c r="MS13">
        <f t="shared" si="5"/>
        <v>57.343952514027727</v>
      </c>
      <c r="MT13">
        <f t="shared" si="5"/>
        <v>56.135376197667135</v>
      </c>
      <c r="MU13">
        <f t="shared" si="5"/>
        <v>58.353291284305506</v>
      </c>
      <c r="MV13">
        <f t="shared" si="5"/>
        <v>59.018845859316755</v>
      </c>
      <c r="MW13">
        <f t="shared" si="5"/>
        <v>58.974354794481279</v>
      </c>
      <c r="MX13">
        <f t="shared" si="5"/>
        <v>55.614822045719848</v>
      </c>
      <c r="MY13">
        <f t="shared" si="5"/>
        <v>55.79495947379047</v>
      </c>
      <c r="MZ13">
        <f t="shared" si="5"/>
        <v>55.053496635950779</v>
      </c>
      <c r="NA13">
        <f t="shared" si="5"/>
        <v>55.456501590037512</v>
      </c>
      <c r="NB13">
        <f t="shared" si="5"/>
        <v>57.839450443865637</v>
      </c>
      <c r="NC13">
        <f t="shared" si="5"/>
        <v>57.375241468893364</v>
      </c>
      <c r="ND13">
        <f t="shared" si="5"/>
        <v>56.613361645334578</v>
      </c>
      <c r="NE13">
        <f t="shared" si="5"/>
        <v>55.726184687746013</v>
      </c>
      <c r="NF13">
        <f t="shared" si="5"/>
        <v>56.399685030671122</v>
      </c>
      <c r="NG13">
        <f t="shared" si="5"/>
        <v>57.696476448843249</v>
      </c>
      <c r="NH13">
        <f t="shared" si="5"/>
        <v>57.741192689940931</v>
      </c>
      <c r="NI13">
        <f t="shared" si="5"/>
        <v>55.434714226591744</v>
      </c>
      <c r="NJ13">
        <f t="shared" si="5"/>
        <v>54.990253786306184</v>
      </c>
      <c r="NK13">
        <f t="shared" si="5"/>
        <v>52.458635330551452</v>
      </c>
      <c r="NL13">
        <f t="shared" si="5"/>
        <v>52.25111753527181</v>
      </c>
      <c r="NM13">
        <f t="shared" si="5"/>
        <v>49.999501717148817</v>
      </c>
      <c r="NN13">
        <f t="shared" si="5"/>
        <v>52.131933336248913</v>
      </c>
      <c r="NO13">
        <f t="shared" si="5"/>
        <v>49.76498426717982</v>
      </c>
      <c r="NP13">
        <f t="shared" si="5"/>
        <v>50.250500925231094</v>
      </c>
      <c r="NQ13">
        <f t="shared" si="5"/>
        <v>46.630140045666273</v>
      </c>
      <c r="NR13">
        <f t="shared" si="5"/>
        <v>46.608715683490459</v>
      </c>
      <c r="NS13">
        <f t="shared" si="5"/>
        <v>47.574744799331526</v>
      </c>
      <c r="NT13">
        <f t="shared" si="5"/>
        <v>50.502587181809304</v>
      </c>
      <c r="NU13">
        <f t="shared" si="5"/>
        <v>53.494585290054289</v>
      </c>
      <c r="NV13">
        <f t="shared" si="5"/>
        <v>53.280696299006415</v>
      </c>
      <c r="NW13">
        <f t="shared" si="5"/>
        <v>52.442447807979768</v>
      </c>
      <c r="NX13">
        <f t="shared" ref="NX13:QI13" si="6">NW13*(1+NX3/10)</f>
        <v>52.778343877302277</v>
      </c>
      <c r="NY13">
        <f t="shared" si="6"/>
        <v>54.126448627774565</v>
      </c>
      <c r="NZ13">
        <f t="shared" si="6"/>
        <v>53.788356766663554</v>
      </c>
      <c r="OA13">
        <f t="shared" si="6"/>
        <v>54.024323381378281</v>
      </c>
      <c r="OB13">
        <f t="shared" si="6"/>
        <v>54.976430748914012</v>
      </c>
      <c r="OC13">
        <f t="shared" si="6"/>
        <v>55.387766891018266</v>
      </c>
      <c r="OD13">
        <f t="shared" si="6"/>
        <v>54.952485049436419</v>
      </c>
      <c r="OE13">
        <f t="shared" si="6"/>
        <v>56.435975994839538</v>
      </c>
      <c r="OF13">
        <f t="shared" si="6"/>
        <v>58.155591286070646</v>
      </c>
      <c r="OG13">
        <f t="shared" si="6"/>
        <v>58.816692151970685</v>
      </c>
      <c r="OH13">
        <f t="shared" si="6"/>
        <v>57.372291995398975</v>
      </c>
      <c r="OI13">
        <f t="shared" si="6"/>
        <v>58.005299699885143</v>
      </c>
      <c r="OJ13">
        <f t="shared" si="6"/>
        <v>56.370806072516871</v>
      </c>
      <c r="OK13">
        <f t="shared" si="6"/>
        <v>58.486887946444725</v>
      </c>
      <c r="OL13">
        <f t="shared" si="6"/>
        <v>58.257442818188466</v>
      </c>
      <c r="OM13">
        <f t="shared" si="6"/>
        <v>56.049078861581243</v>
      </c>
      <c r="ON13">
        <f t="shared" si="6"/>
        <v>54.384196636839093</v>
      </c>
      <c r="OO13">
        <f t="shared" si="6"/>
        <v>55.444576651430467</v>
      </c>
      <c r="OP13">
        <f t="shared" si="6"/>
        <v>54.753546650194025</v>
      </c>
      <c r="OQ13">
        <f t="shared" si="6"/>
        <v>53.753548391466758</v>
      </c>
      <c r="OR13">
        <f t="shared" si="6"/>
        <v>53.448340166544412</v>
      </c>
      <c r="OS13">
        <f t="shared" si="6"/>
        <v>52.463070666803276</v>
      </c>
      <c r="OT13">
        <f t="shared" si="6"/>
        <v>52.528052282038814</v>
      </c>
      <c r="OU13">
        <f t="shared" si="6"/>
        <v>51.456285853987623</v>
      </c>
      <c r="OV13">
        <f t="shared" si="6"/>
        <v>50.33526554116424</v>
      </c>
      <c r="OW13">
        <f t="shared" si="6"/>
        <v>50.589196625337877</v>
      </c>
      <c r="OX13">
        <f t="shared" si="6"/>
        <v>51.570933099791787</v>
      </c>
      <c r="OY13">
        <f t="shared" si="6"/>
        <v>49.111986939736092</v>
      </c>
      <c r="OZ13">
        <f t="shared" si="6"/>
        <v>48.99080347353339</v>
      </c>
      <c r="PA13">
        <f t="shared" si="6"/>
        <v>48.315117218540621</v>
      </c>
      <c r="PB13">
        <f t="shared" si="6"/>
        <v>48.120074803758868</v>
      </c>
      <c r="PC13">
        <f t="shared" si="6"/>
        <v>47.255935195014523</v>
      </c>
      <c r="PD13">
        <f t="shared" si="6"/>
        <v>47.770269456854585</v>
      </c>
      <c r="PE13">
        <f t="shared" si="6"/>
        <v>47.904272046858331</v>
      </c>
      <c r="PF13">
        <f t="shared" si="6"/>
        <v>47.599853289706779</v>
      </c>
      <c r="PG13">
        <f t="shared" si="6"/>
        <v>49.031971628127948</v>
      </c>
      <c r="PH13">
        <f t="shared" si="6"/>
        <v>49.147549904229002</v>
      </c>
      <c r="PI13">
        <f t="shared" si="6"/>
        <v>50.670761118741524</v>
      </c>
      <c r="PJ13">
        <f t="shared" si="6"/>
        <v>50.627078424093298</v>
      </c>
      <c r="PK13">
        <f t="shared" si="6"/>
        <v>50.706743909678288</v>
      </c>
      <c r="PL13">
        <f t="shared" si="6"/>
        <v>50.881258235733931</v>
      </c>
      <c r="PM13">
        <f t="shared" si="6"/>
        <v>51.759106397341974</v>
      </c>
      <c r="PN13">
        <f t="shared" si="6"/>
        <v>51.729957330008439</v>
      </c>
      <c r="PO13">
        <f t="shared" si="6"/>
        <v>50.940389259449042</v>
      </c>
      <c r="PP13">
        <f t="shared" si="6"/>
        <v>53.167669619788533</v>
      </c>
      <c r="PQ13">
        <f t="shared" si="6"/>
        <v>52.935451932651397</v>
      </c>
      <c r="PR13">
        <f t="shared" si="6"/>
        <v>54.661349669451731</v>
      </c>
      <c r="PS13">
        <f t="shared" si="6"/>
        <v>54.055291653454113</v>
      </c>
      <c r="PT13">
        <f t="shared" si="6"/>
        <v>55.849973920563926</v>
      </c>
      <c r="PU13">
        <f t="shared" si="6"/>
        <v>57.808830951436576</v>
      </c>
      <c r="PV13">
        <f t="shared" si="6"/>
        <v>56.751310175988969</v>
      </c>
      <c r="PW13">
        <f t="shared" si="6"/>
        <v>55.922489049731098</v>
      </c>
      <c r="PX13">
        <f t="shared" si="6"/>
        <v>57.660729328301976</v>
      </c>
      <c r="PY13">
        <f t="shared" si="6"/>
        <v>56.515350108794493</v>
      </c>
      <c r="PZ13">
        <f t="shared" si="6"/>
        <v>59.473971271214353</v>
      </c>
      <c r="QA13">
        <f t="shared" si="6"/>
        <v>57.96843550258982</v>
      </c>
      <c r="QB13">
        <f t="shared" si="6"/>
        <v>55.891526460477259</v>
      </c>
      <c r="QC13">
        <f t="shared" si="6"/>
        <v>56.221868286316365</v>
      </c>
      <c r="QD13">
        <f t="shared" si="6"/>
        <v>56.745632879713234</v>
      </c>
      <c r="QE13">
        <f t="shared" si="6"/>
        <v>54.775527558733458</v>
      </c>
      <c r="QF13">
        <f t="shared" si="6"/>
        <v>54.711863725757297</v>
      </c>
      <c r="QG13">
        <f t="shared" si="6"/>
        <v>56.485005121351996</v>
      </c>
      <c r="QH13">
        <f t="shared" si="6"/>
        <v>58.183187908934521</v>
      </c>
      <c r="QI13">
        <f t="shared" si="6"/>
        <v>58.785510861402997</v>
      </c>
      <c r="QJ13">
        <f t="shared" ref="QJ13:SU13" si="7">QI13*(1+QJ3/10)</f>
        <v>57.079630365201368</v>
      </c>
      <c r="QK13">
        <f t="shared" si="7"/>
        <v>56.692009153603763</v>
      </c>
      <c r="QL13">
        <f t="shared" si="7"/>
        <v>57.679267126901507</v>
      </c>
      <c r="QM13">
        <f t="shared" si="7"/>
        <v>56.11529046860003</v>
      </c>
      <c r="QN13">
        <f t="shared" si="7"/>
        <v>58.044221174055622</v>
      </c>
      <c r="QO13">
        <f t="shared" si="7"/>
        <v>59.323330953395725</v>
      </c>
      <c r="QP13">
        <f t="shared" si="7"/>
        <v>57.758769509442892</v>
      </c>
      <c r="QQ13">
        <f t="shared" si="7"/>
        <v>59.969353844310788</v>
      </c>
      <c r="QR13">
        <f t="shared" si="7"/>
        <v>61.609273893655292</v>
      </c>
      <c r="QS13">
        <f t="shared" si="7"/>
        <v>60.279333317435302</v>
      </c>
      <c r="QT13">
        <f t="shared" si="7"/>
        <v>60.363440331586723</v>
      </c>
      <c r="QU13">
        <f t="shared" si="7"/>
        <v>61.691840198473173</v>
      </c>
      <c r="QV13">
        <f t="shared" si="7"/>
        <v>60.419757997278545</v>
      </c>
      <c r="QW13">
        <f t="shared" si="7"/>
        <v>61.591563185318932</v>
      </c>
      <c r="QX13">
        <f t="shared" si="7"/>
        <v>63.288389791004441</v>
      </c>
      <c r="QY13">
        <f t="shared" si="7"/>
        <v>62.141927254560656</v>
      </c>
      <c r="QZ13">
        <f t="shared" si="7"/>
        <v>60.856211465351599</v>
      </c>
      <c r="RA13">
        <f t="shared" si="7"/>
        <v>63.964605999196507</v>
      </c>
      <c r="RB13">
        <f t="shared" si="7"/>
        <v>64.10431765452887</v>
      </c>
      <c r="RC13">
        <f t="shared" si="7"/>
        <v>60.902102749538578</v>
      </c>
      <c r="RD13">
        <f t="shared" si="7"/>
        <v>63.099534014126228</v>
      </c>
      <c r="RE13">
        <f t="shared" si="7"/>
        <v>63.972264926876328</v>
      </c>
      <c r="RF13">
        <f t="shared" si="7"/>
        <v>61.518531170816956</v>
      </c>
      <c r="RG13">
        <f t="shared" si="7"/>
        <v>59.858541897206379</v>
      </c>
      <c r="RH13">
        <f t="shared" si="7"/>
        <v>60.970638670126561</v>
      </c>
      <c r="RI13">
        <f t="shared" si="7"/>
        <v>60.707810156120388</v>
      </c>
      <c r="RJ13">
        <f t="shared" si="7"/>
        <v>60.054481844820835</v>
      </c>
      <c r="RK13">
        <f t="shared" si="7"/>
        <v>61.378317519601438</v>
      </c>
      <c r="RL13">
        <f t="shared" si="7"/>
        <v>62.551774536757804</v>
      </c>
      <c r="RM13">
        <f t="shared" si="7"/>
        <v>63.473238377622771</v>
      </c>
      <c r="RN13">
        <f t="shared" si="7"/>
        <v>62.422288285772325</v>
      </c>
      <c r="RO13">
        <f t="shared" si="7"/>
        <v>60.315065428093135</v>
      </c>
      <c r="RP13">
        <f t="shared" si="7"/>
        <v>63.865713668242066</v>
      </c>
      <c r="RQ13">
        <f t="shared" si="7"/>
        <v>63.765263370724789</v>
      </c>
      <c r="RR13">
        <f t="shared" si="7"/>
        <v>61.652755980190975</v>
      </c>
      <c r="RS13">
        <f t="shared" si="7"/>
        <v>63.00408730258259</v>
      </c>
      <c r="RT13">
        <f t="shared" si="7"/>
        <v>61.836132187563031</v>
      </c>
      <c r="RU13">
        <f t="shared" si="7"/>
        <v>62.120136944144612</v>
      </c>
      <c r="RV13">
        <f t="shared" si="7"/>
        <v>64.140938032234558</v>
      </c>
      <c r="RW13">
        <f t="shared" si="7"/>
        <v>62.127930818286913</v>
      </c>
      <c r="RX13">
        <f t="shared" si="7"/>
        <v>63.177681932779265</v>
      </c>
      <c r="RY13">
        <f t="shared" si="7"/>
        <v>62.609526086361633</v>
      </c>
      <c r="RZ13">
        <f t="shared" si="7"/>
        <v>62.196173814174728</v>
      </c>
      <c r="SA13">
        <f t="shared" si="7"/>
        <v>60.976935920311092</v>
      </c>
      <c r="SB13">
        <f t="shared" si="7"/>
        <v>61.37639569627148</v>
      </c>
      <c r="SC13">
        <f t="shared" si="7"/>
        <v>63.225878003197487</v>
      </c>
      <c r="SD13">
        <f t="shared" si="7"/>
        <v>62.302242182359279</v>
      </c>
      <c r="SE13">
        <f t="shared" si="7"/>
        <v>60.835535546939361</v>
      </c>
      <c r="SF13">
        <f t="shared" si="7"/>
        <v>61.178457319915019</v>
      </c>
      <c r="SG13">
        <f t="shared" si="7"/>
        <v>61.666144429391991</v>
      </c>
      <c r="SH13">
        <f t="shared" si="7"/>
        <v>63.045015821359698</v>
      </c>
      <c r="SI13">
        <f t="shared" si="7"/>
        <v>63.928298429393379</v>
      </c>
      <c r="SJ13">
        <f t="shared" si="7"/>
        <v>64.136727377194262</v>
      </c>
      <c r="SK13">
        <f t="shared" si="7"/>
        <v>66.834147021879687</v>
      </c>
      <c r="SL13">
        <f t="shared" si="7"/>
        <v>66.318896607228794</v>
      </c>
      <c r="SM13">
        <f t="shared" si="7"/>
        <v>63.749813514655749</v>
      </c>
      <c r="SN13">
        <f t="shared" si="7"/>
        <v>63.87499445420535</v>
      </c>
      <c r="SO13">
        <f t="shared" si="7"/>
        <v>62.976414783785074</v>
      </c>
      <c r="SP13">
        <f t="shared" si="7"/>
        <v>62.40819480183135</v>
      </c>
      <c r="SQ13">
        <f t="shared" si="7"/>
        <v>59.60249609280504</v>
      </c>
      <c r="SR13">
        <f t="shared" si="7"/>
        <v>59.79649995537774</v>
      </c>
      <c r="SS13">
        <f t="shared" si="7"/>
        <v>58.58294455114968</v>
      </c>
      <c r="ST13">
        <f t="shared" si="7"/>
        <v>56.013158594265477</v>
      </c>
      <c r="SU13">
        <f t="shared" si="7"/>
        <v>55.038489490758053</v>
      </c>
      <c r="SV13">
        <f t="shared" ref="SV13:VG13" si="8">SU13*(1+SV3/10)</f>
        <v>54.589852243167059</v>
      </c>
      <c r="SW13">
        <f t="shared" si="8"/>
        <v>54.771335780840239</v>
      </c>
      <c r="SX13">
        <f t="shared" si="8"/>
        <v>56.626981286749405</v>
      </c>
      <c r="SY13">
        <f t="shared" si="8"/>
        <v>57.005303818050869</v>
      </c>
      <c r="SZ13">
        <f t="shared" si="8"/>
        <v>55.515444556734032</v>
      </c>
      <c r="TA13">
        <f t="shared" si="8"/>
        <v>53.13494450156216</v>
      </c>
      <c r="TB13">
        <f t="shared" si="8"/>
        <v>52.941209408587397</v>
      </c>
      <c r="TC13">
        <f t="shared" si="8"/>
        <v>53.267396152174307</v>
      </c>
      <c r="TD13">
        <f t="shared" si="8"/>
        <v>55.749944255539312</v>
      </c>
      <c r="TE13">
        <f t="shared" si="8"/>
        <v>58.66639268029553</v>
      </c>
      <c r="TF13">
        <f t="shared" si="8"/>
        <v>59.783866782916796</v>
      </c>
      <c r="TG13">
        <f t="shared" si="8"/>
        <v>61.70682714525536</v>
      </c>
      <c r="TH13">
        <f t="shared" si="8"/>
        <v>61.873465811167655</v>
      </c>
      <c r="TI13">
        <f t="shared" si="8"/>
        <v>63.90566915871306</v>
      </c>
      <c r="TJ13">
        <f t="shared" si="8"/>
        <v>69.425847900042442</v>
      </c>
      <c r="TK13">
        <f t="shared" si="8"/>
        <v>70.059907122561498</v>
      </c>
      <c r="TL13">
        <f t="shared" si="8"/>
        <v>72.055265764236893</v>
      </c>
      <c r="TM13">
        <f t="shared" si="8"/>
        <v>70.956971585281522</v>
      </c>
      <c r="TN13">
        <f t="shared" si="8"/>
        <v>72.820264228112762</v>
      </c>
      <c r="TO13">
        <f t="shared" si="8"/>
        <v>73.881094997329242</v>
      </c>
      <c r="TP13">
        <f t="shared" si="8"/>
        <v>74.75276678865427</v>
      </c>
      <c r="TQ13">
        <f t="shared" si="8"/>
        <v>75.575952495769954</v>
      </c>
      <c r="TR13">
        <f t="shared" si="8"/>
        <v>75.004797274887991</v>
      </c>
      <c r="TS13">
        <f t="shared" si="8"/>
        <v>73.104615565391356</v>
      </c>
      <c r="TT13">
        <f t="shared" si="8"/>
        <v>70.701241873074835</v>
      </c>
      <c r="TU13">
        <f t="shared" si="8"/>
        <v>69.705045093906492</v>
      </c>
      <c r="TV13">
        <f t="shared" si="8"/>
        <v>67.321114473589844</v>
      </c>
      <c r="TW13">
        <f t="shared" si="8"/>
        <v>65.824219612762448</v>
      </c>
      <c r="TX13">
        <f t="shared" si="8"/>
        <v>66.249010671031812</v>
      </c>
      <c r="TY13">
        <f t="shared" si="8"/>
        <v>67.979756592961508</v>
      </c>
      <c r="TZ13">
        <f t="shared" si="8"/>
        <v>69.529040368960011</v>
      </c>
      <c r="UA13">
        <f t="shared" si="8"/>
        <v>67.563442109465555</v>
      </c>
      <c r="UB13">
        <f t="shared" si="8"/>
        <v>67.962225832265673</v>
      </c>
      <c r="UC13">
        <f t="shared" si="8"/>
        <v>72.397631114380957</v>
      </c>
      <c r="UD13">
        <f t="shared" si="8"/>
        <v>74.141813861044554</v>
      </c>
      <c r="UE13">
        <f t="shared" si="8"/>
        <v>74.138465356929402</v>
      </c>
      <c r="UF13">
        <f t="shared" si="8"/>
        <v>72.983910249574976</v>
      </c>
      <c r="UG13">
        <f t="shared" si="8"/>
        <v>73.182850786655251</v>
      </c>
      <c r="UH13">
        <f t="shared" si="8"/>
        <v>72.546634078596497</v>
      </c>
      <c r="UI13">
        <f t="shared" si="8"/>
        <v>70.254665187550358</v>
      </c>
      <c r="UJ13">
        <f t="shared" si="8"/>
        <v>71.789298110156324</v>
      </c>
      <c r="UK13">
        <f t="shared" si="8"/>
        <v>75.093219742284333</v>
      </c>
      <c r="UL13">
        <f t="shared" si="8"/>
        <v>75.184985427117837</v>
      </c>
      <c r="UM13">
        <f t="shared" si="8"/>
        <v>74.712739600250671</v>
      </c>
      <c r="UN13">
        <f t="shared" si="8"/>
        <v>72.560767475056863</v>
      </c>
      <c r="UO13">
        <f t="shared" si="8"/>
        <v>70.900888896914296</v>
      </c>
      <c r="UP13">
        <f t="shared" si="8"/>
        <v>68.812903001108111</v>
      </c>
      <c r="UQ13">
        <f t="shared" si="8"/>
        <v>66.24977474545463</v>
      </c>
      <c r="UR13">
        <f t="shared" si="8"/>
        <v>67.720166097755666</v>
      </c>
      <c r="US13">
        <f t="shared" si="8"/>
        <v>70.805161538811262</v>
      </c>
      <c r="UT13">
        <f t="shared" si="8"/>
        <v>71.423443088862228</v>
      </c>
      <c r="UU13">
        <f t="shared" si="8"/>
        <v>73.575543351350191</v>
      </c>
      <c r="UV13">
        <f t="shared" si="8"/>
        <v>76.752359788593012</v>
      </c>
      <c r="UW13">
        <f t="shared" si="8"/>
        <v>73.974760235276449</v>
      </c>
      <c r="UX13">
        <f t="shared" si="8"/>
        <v>75.940187813892379</v>
      </c>
      <c r="UY13">
        <f t="shared" si="8"/>
        <v>73.980590285041259</v>
      </c>
      <c r="UZ13">
        <f t="shared" si="8"/>
        <v>74.623613712108536</v>
      </c>
      <c r="VA13">
        <f t="shared" si="8"/>
        <v>73.508070152297933</v>
      </c>
      <c r="VB13">
        <f t="shared" si="8"/>
        <v>73.431613933571001</v>
      </c>
      <c r="VC13">
        <f t="shared" si="8"/>
        <v>74.555295596989652</v>
      </c>
      <c r="VD13">
        <f t="shared" si="8"/>
        <v>76.198065364082851</v>
      </c>
      <c r="VE13">
        <f t="shared" si="8"/>
        <v>74.966308096586175</v>
      </c>
      <c r="VF13">
        <f t="shared" si="8"/>
        <v>77.160452551172796</v>
      </c>
      <c r="VG13">
        <f t="shared" si="8"/>
        <v>77.192886793787181</v>
      </c>
      <c r="VH13">
        <f t="shared" ref="VH13:XS13" si="9">VG13*(1+VH3/10)</f>
        <v>75.367630053063749</v>
      </c>
      <c r="VI13">
        <f t="shared" si="9"/>
        <v>73.741245000498537</v>
      </c>
      <c r="VJ13">
        <f t="shared" si="9"/>
        <v>73.842815694792407</v>
      </c>
      <c r="VK13">
        <f t="shared" si="9"/>
        <v>71.676090923207624</v>
      </c>
      <c r="VL13">
        <f t="shared" si="9"/>
        <v>70.854993703366517</v>
      </c>
      <c r="VM13">
        <f t="shared" si="9"/>
        <v>67.197809147513041</v>
      </c>
      <c r="VN13">
        <f t="shared" si="9"/>
        <v>69.631792774394469</v>
      </c>
      <c r="VO13">
        <f t="shared" si="9"/>
        <v>73.582563855219433</v>
      </c>
      <c r="VP13">
        <f t="shared" si="9"/>
        <v>74.424905914761453</v>
      </c>
      <c r="VQ13">
        <f t="shared" si="9"/>
        <v>74.754841760712864</v>
      </c>
      <c r="VR13">
        <f t="shared" si="9"/>
        <v>74.074245503305889</v>
      </c>
      <c r="VS13">
        <f t="shared" si="9"/>
        <v>74.464709069444737</v>
      </c>
      <c r="VT13">
        <f t="shared" si="9"/>
        <v>69.170402584749425</v>
      </c>
      <c r="VU13">
        <f t="shared" si="9"/>
        <v>68.862734904240185</v>
      </c>
      <c r="VV13">
        <f t="shared" si="9"/>
        <v>68.061475188552734</v>
      </c>
      <c r="VW13">
        <f t="shared" si="9"/>
        <v>66.556513797268295</v>
      </c>
      <c r="VX13">
        <f t="shared" si="9"/>
        <v>65.809587451445623</v>
      </c>
      <c r="VY13">
        <f t="shared" si="9"/>
        <v>64.608897812512325</v>
      </c>
      <c r="VZ13">
        <f t="shared" si="9"/>
        <v>65.769473417020308</v>
      </c>
      <c r="WA13">
        <f t="shared" si="9"/>
        <v>64.796506041314586</v>
      </c>
      <c r="WB13">
        <f t="shared" si="9"/>
        <v>63.807636689448756</v>
      </c>
      <c r="WC13">
        <f t="shared" si="9"/>
        <v>68.038133163274082</v>
      </c>
      <c r="WD13">
        <f t="shared" si="9"/>
        <v>64.511938021535684</v>
      </c>
      <c r="WE13">
        <f t="shared" si="9"/>
        <v>63.442879595719141</v>
      </c>
      <c r="WF13">
        <f t="shared" si="9"/>
        <v>63.861826410795786</v>
      </c>
      <c r="WG13">
        <f t="shared" si="9"/>
        <v>64.540920120917889</v>
      </c>
      <c r="WH13">
        <f t="shared" si="9"/>
        <v>64.615841783684459</v>
      </c>
      <c r="WI13">
        <f t="shared" si="9"/>
        <v>66.372882999598033</v>
      </c>
      <c r="WJ13">
        <f t="shared" si="9"/>
        <v>65.696123249973724</v>
      </c>
      <c r="WK13">
        <f t="shared" si="9"/>
        <v>65.25063626952236</v>
      </c>
      <c r="WL13">
        <f t="shared" si="9"/>
        <v>66.159873339379203</v>
      </c>
      <c r="WM13">
        <f t="shared" si="9"/>
        <v>66.842932530076254</v>
      </c>
      <c r="WN13">
        <f t="shared" si="9"/>
        <v>70.287347042422127</v>
      </c>
      <c r="WO13">
        <f t="shared" si="9"/>
        <v>69.951936090187019</v>
      </c>
      <c r="WP13">
        <f t="shared" si="9"/>
        <v>69.717390435722066</v>
      </c>
      <c r="WQ13">
        <f t="shared" si="9"/>
        <v>69.035696607485647</v>
      </c>
      <c r="WR13">
        <f t="shared" si="9"/>
        <v>67.558461411353207</v>
      </c>
      <c r="WS13">
        <f t="shared" si="9"/>
        <v>68.363926543859691</v>
      </c>
      <c r="WT13">
        <f t="shared" si="9"/>
        <v>65.483282012483329</v>
      </c>
      <c r="WU13">
        <f t="shared" si="9"/>
        <v>66.48829522371679</v>
      </c>
      <c r="WV13">
        <f t="shared" si="9"/>
        <v>66.368605855035909</v>
      </c>
      <c r="WW13">
        <f t="shared" si="9"/>
        <v>66.346579734815435</v>
      </c>
      <c r="WX13">
        <f t="shared" si="9"/>
        <v>67.396348922081387</v>
      </c>
      <c r="WY13">
        <f t="shared" si="9"/>
        <v>68.597083549587751</v>
      </c>
      <c r="WZ13">
        <f t="shared" si="9"/>
        <v>65.693997347023156</v>
      </c>
      <c r="XA13">
        <f t="shared" si="9"/>
        <v>65.482990977670283</v>
      </c>
      <c r="XB13">
        <f t="shared" si="9"/>
        <v>64.136563640608898</v>
      </c>
      <c r="XC13">
        <f t="shared" si="9"/>
        <v>63.394162976550447</v>
      </c>
      <c r="XD13">
        <f t="shared" si="9"/>
        <v>60.749792054624038</v>
      </c>
      <c r="XE13">
        <f t="shared" si="9"/>
        <v>60.549716402063595</v>
      </c>
      <c r="XF13">
        <f t="shared" si="9"/>
        <v>64.170907266154529</v>
      </c>
      <c r="XG13">
        <f t="shared" si="9"/>
        <v>65.221634791199619</v>
      </c>
      <c r="XH13">
        <f t="shared" si="9"/>
        <v>67.338767101056959</v>
      </c>
      <c r="XI13">
        <f t="shared" si="9"/>
        <v>71.467070578497854</v>
      </c>
      <c r="XJ13">
        <f t="shared" si="9"/>
        <v>71.772099399305745</v>
      </c>
      <c r="XK13">
        <f t="shared" si="9"/>
        <v>69.620889864990872</v>
      </c>
      <c r="XL13">
        <f t="shared" si="9"/>
        <v>70.573340408501309</v>
      </c>
      <c r="XM13">
        <f t="shared" si="9"/>
        <v>70.714793908322463</v>
      </c>
      <c r="XN13">
        <f t="shared" si="9"/>
        <v>72.006368149325979</v>
      </c>
      <c r="XO13">
        <f t="shared" si="9"/>
        <v>69.77201941836924</v>
      </c>
      <c r="XP13">
        <f t="shared" si="9"/>
        <v>67.7940755097692</v>
      </c>
      <c r="XQ13">
        <f t="shared" si="9"/>
        <v>69.109705554232249</v>
      </c>
      <c r="XR13">
        <f t="shared" si="9"/>
        <v>68.17605046003132</v>
      </c>
      <c r="XS13">
        <f t="shared" si="9"/>
        <v>67.393022730113486</v>
      </c>
      <c r="XT13">
        <f t="shared" ref="XT13:AAE13" si="10">XS13*(1+XT3/10)</f>
        <v>67.14101040584994</v>
      </c>
      <c r="XU13">
        <f t="shared" si="10"/>
        <v>66.969438427988578</v>
      </c>
      <c r="XV13">
        <f t="shared" si="10"/>
        <v>65.245147438070987</v>
      </c>
      <c r="XW13">
        <f t="shared" si="10"/>
        <v>66.669305596759159</v>
      </c>
      <c r="XX13">
        <f t="shared" si="10"/>
        <v>63.812691262633507</v>
      </c>
      <c r="XY13">
        <f t="shared" si="10"/>
        <v>62.770824582816914</v>
      </c>
      <c r="XZ13">
        <f t="shared" si="10"/>
        <v>59.903624937462595</v>
      </c>
      <c r="YA13">
        <f t="shared" si="10"/>
        <v>60.909881515834023</v>
      </c>
      <c r="YB13">
        <f t="shared" si="10"/>
        <v>61.94794483863469</v>
      </c>
      <c r="YC13">
        <f t="shared" si="10"/>
        <v>62.948001410547818</v>
      </c>
      <c r="YD13">
        <f t="shared" si="10"/>
        <v>60.402849248577382</v>
      </c>
      <c r="YE13">
        <f t="shared" si="10"/>
        <v>59.937991494986584</v>
      </c>
      <c r="YF13">
        <f t="shared" si="10"/>
        <v>58.810881219881537</v>
      </c>
      <c r="YG13">
        <f t="shared" si="10"/>
        <v>59.108344137736538</v>
      </c>
      <c r="YH13">
        <f t="shared" si="10"/>
        <v>56.21700483875447</v>
      </c>
      <c r="YI13">
        <f t="shared" si="10"/>
        <v>54.691643283697267</v>
      </c>
      <c r="YJ13">
        <f t="shared" si="10"/>
        <v>52.592941156948179</v>
      </c>
      <c r="YK13">
        <f t="shared" si="10"/>
        <v>54.282224095471818</v>
      </c>
      <c r="YL13">
        <f t="shared" si="10"/>
        <v>55.931796040751188</v>
      </c>
      <c r="YM13">
        <f t="shared" si="10"/>
        <v>56.432483107712059</v>
      </c>
      <c r="YN13">
        <f t="shared" si="10"/>
        <v>54.920959194320957</v>
      </c>
      <c r="YO13">
        <f t="shared" si="10"/>
        <v>56.052488856508774</v>
      </c>
      <c r="YP13">
        <f t="shared" si="10"/>
        <v>56.410868637695565</v>
      </c>
      <c r="YQ13">
        <f t="shared" si="10"/>
        <v>54.730657255800978</v>
      </c>
      <c r="YR13">
        <f t="shared" si="10"/>
        <v>52.772734251438905</v>
      </c>
      <c r="YS13">
        <f t="shared" si="10"/>
        <v>50.901264164597116</v>
      </c>
      <c r="YT13">
        <f t="shared" si="10"/>
        <v>49.613809188092965</v>
      </c>
      <c r="YU13">
        <f t="shared" si="10"/>
        <v>51.162153857566459</v>
      </c>
      <c r="YV13">
        <f t="shared" si="10"/>
        <v>48.499736712594441</v>
      </c>
      <c r="YW13">
        <f t="shared" si="10"/>
        <v>50.994130124615225</v>
      </c>
      <c r="YX13">
        <f t="shared" si="10"/>
        <v>49.92389334234484</v>
      </c>
      <c r="YY13">
        <f t="shared" si="10"/>
        <v>50.784279641660859</v>
      </c>
      <c r="YZ13">
        <f t="shared" si="10"/>
        <v>50.113799587500893</v>
      </c>
      <c r="ZA13">
        <f t="shared" si="10"/>
        <v>49.090373400123561</v>
      </c>
      <c r="ZB13">
        <f t="shared" si="10"/>
        <v>50.546132070045537</v>
      </c>
      <c r="ZC13">
        <f t="shared" si="10"/>
        <v>49.578950936974735</v>
      </c>
      <c r="ZD13">
        <f t="shared" si="10"/>
        <v>52.211482259241656</v>
      </c>
      <c r="ZE13">
        <f t="shared" si="10"/>
        <v>50.548716610031583</v>
      </c>
      <c r="ZF13">
        <f t="shared" si="10"/>
        <v>47.888439474798375</v>
      </c>
      <c r="ZG13">
        <f t="shared" si="10"/>
        <v>48.174328612186237</v>
      </c>
      <c r="ZH13">
        <f t="shared" si="10"/>
        <v>48.325637440684496</v>
      </c>
      <c r="ZI13">
        <f t="shared" si="10"/>
        <v>48.833376999351863</v>
      </c>
      <c r="ZJ13">
        <f t="shared" si="10"/>
        <v>46.817802593095458</v>
      </c>
      <c r="ZK13">
        <f t="shared" si="10"/>
        <v>47.04996309775391</v>
      </c>
      <c r="ZL13">
        <f t="shared" si="10"/>
        <v>48.630222981003968</v>
      </c>
      <c r="ZM13">
        <f t="shared" si="10"/>
        <v>50.032643972545429</v>
      </c>
      <c r="ZN13">
        <f t="shared" si="10"/>
        <v>47.704028529429834</v>
      </c>
      <c r="ZO13">
        <f t="shared" si="10"/>
        <v>48.600887704098405</v>
      </c>
      <c r="ZP13">
        <f t="shared" si="10"/>
        <v>46.847367034725728</v>
      </c>
      <c r="ZQ13">
        <f t="shared" si="10"/>
        <v>49.526779201755289</v>
      </c>
      <c r="ZR13">
        <f t="shared" si="10"/>
        <v>49.432960763036526</v>
      </c>
      <c r="ZS13">
        <f t="shared" si="10"/>
        <v>51.051982573145317</v>
      </c>
      <c r="ZT13">
        <f t="shared" si="10"/>
        <v>49.06493616732363</v>
      </c>
      <c r="ZU13">
        <f t="shared" si="10"/>
        <v>49.95229814935324</v>
      </c>
      <c r="ZV13">
        <f t="shared" si="10"/>
        <v>48.464749793188084</v>
      </c>
      <c r="ZW13">
        <f t="shared" si="10"/>
        <v>48.322692815860677</v>
      </c>
      <c r="ZX13">
        <f t="shared" si="10"/>
        <v>45.878748134824335</v>
      </c>
      <c r="ZY13">
        <f t="shared" si="10"/>
        <v>46.181397171622102</v>
      </c>
      <c r="ZZ13">
        <f t="shared" si="10"/>
        <v>46.890486748887405</v>
      </c>
      <c r="AAA13">
        <f t="shared" si="10"/>
        <v>45.51886488951088</v>
      </c>
      <c r="AAB13">
        <f t="shared" si="10"/>
        <v>46.050338007608119</v>
      </c>
      <c r="AAC13">
        <f t="shared" si="10"/>
        <v>46.470789671731474</v>
      </c>
      <c r="AAD13">
        <f t="shared" si="10"/>
        <v>48.302015235041637</v>
      </c>
      <c r="AAE13">
        <f t="shared" si="10"/>
        <v>50.840776596368229</v>
      </c>
      <c r="AAF13">
        <f t="shared" ref="AAF13:ACQ13" si="11">AAE13*(1+AAF3/10)</f>
        <v>50.824087718884513</v>
      </c>
      <c r="AAG13">
        <f t="shared" si="11"/>
        <v>51.228986231132758</v>
      </c>
      <c r="AAH13">
        <f t="shared" si="11"/>
        <v>49.477448914592145</v>
      </c>
      <c r="AAI13">
        <f t="shared" si="11"/>
        <v>47.186698800514847</v>
      </c>
      <c r="AAJ13">
        <f t="shared" si="11"/>
        <v>48.570086582790196</v>
      </c>
      <c r="AAK13">
        <f t="shared" si="11"/>
        <v>47.564923448716087</v>
      </c>
      <c r="AAL13">
        <f t="shared" si="11"/>
        <v>47.817539592984467</v>
      </c>
      <c r="AAM13">
        <f t="shared" si="11"/>
        <v>46.996413924574789</v>
      </c>
      <c r="AAN13">
        <f t="shared" si="11"/>
        <v>47.630020408357908</v>
      </c>
      <c r="AAO13">
        <f t="shared" si="11"/>
        <v>47.938256162661041</v>
      </c>
      <c r="AAP13">
        <f t="shared" si="11"/>
        <v>46.283264327147819</v>
      </c>
      <c r="AAQ13">
        <f t="shared" si="11"/>
        <v>47.20050189383354</v>
      </c>
      <c r="AAR13">
        <f t="shared" si="11"/>
        <v>47.253288071981181</v>
      </c>
      <c r="AAS13">
        <f t="shared" si="11"/>
        <v>46.177584866660624</v>
      </c>
      <c r="AAT13">
        <f t="shared" si="11"/>
        <v>46.392988835526985</v>
      </c>
      <c r="AAU13">
        <f t="shared" si="11"/>
        <v>46.174091588074731</v>
      </c>
      <c r="AAV13">
        <f t="shared" si="11"/>
        <v>45.061276017014414</v>
      </c>
      <c r="AAW13">
        <f t="shared" si="11"/>
        <v>45.099598536690522</v>
      </c>
      <c r="AAX13">
        <f t="shared" si="11"/>
        <v>46.05417443882331</v>
      </c>
      <c r="AAY13">
        <f t="shared" si="11"/>
        <v>47.601607040360228</v>
      </c>
      <c r="AAZ13">
        <f t="shared" si="11"/>
        <v>47.44023551725347</v>
      </c>
      <c r="ABA13">
        <f t="shared" si="11"/>
        <v>47.514675006429798</v>
      </c>
      <c r="ABB13">
        <f t="shared" si="11"/>
        <v>48.265529856593027</v>
      </c>
      <c r="ABC13">
        <f t="shared" si="11"/>
        <v>48.886445886181143</v>
      </c>
      <c r="ABD13">
        <f t="shared" si="11"/>
        <v>48.511569645563959</v>
      </c>
      <c r="ABE13">
        <f t="shared" si="11"/>
        <v>49.291171713297054</v>
      </c>
      <c r="ABF13">
        <f t="shared" si="11"/>
        <v>48.427832194881773</v>
      </c>
      <c r="ABG13">
        <f t="shared" si="11"/>
        <v>50.531627743925284</v>
      </c>
      <c r="ABH13">
        <f t="shared" si="11"/>
        <v>49.966903516501191</v>
      </c>
      <c r="ABI13">
        <f t="shared" si="11"/>
        <v>49.577619953480671</v>
      </c>
      <c r="ABJ13">
        <f t="shared" si="11"/>
        <v>48.553516612232215</v>
      </c>
      <c r="ABK13">
        <f t="shared" si="11"/>
        <v>48.2874305717502</v>
      </c>
      <c r="ABL13">
        <f t="shared" si="11"/>
        <v>50.017456665148273</v>
      </c>
      <c r="ABM13">
        <f t="shared" si="11"/>
        <v>49.822466462090588</v>
      </c>
      <c r="ABN13">
        <f t="shared" si="11"/>
        <v>49.868249827738133</v>
      </c>
      <c r="ABO13">
        <f t="shared" si="11"/>
        <v>48.983193470688306</v>
      </c>
      <c r="ABP13">
        <f t="shared" si="11"/>
        <v>48.282084455010065</v>
      </c>
      <c r="ABQ13">
        <f t="shared" si="11"/>
        <v>48.486631096183174</v>
      </c>
      <c r="ABR13">
        <f t="shared" si="11"/>
        <v>49.987560569654889</v>
      </c>
      <c r="ABS13">
        <f t="shared" si="11"/>
        <v>50.52372470905398</v>
      </c>
      <c r="ABT13">
        <f t="shared" si="11"/>
        <v>49.682385465790546</v>
      </c>
      <c r="ABU13">
        <f t="shared" si="11"/>
        <v>52.730684684056527</v>
      </c>
      <c r="ABV13">
        <f t="shared" si="11"/>
        <v>53.005045716998993</v>
      </c>
      <c r="ABW13">
        <f t="shared" si="11"/>
        <v>51.056449992266998</v>
      </c>
      <c r="ABX13">
        <f t="shared" si="11"/>
        <v>51.386955974955193</v>
      </c>
      <c r="ABY13">
        <f t="shared" si="11"/>
        <v>51.068414668342108</v>
      </c>
      <c r="ABZ13">
        <f t="shared" si="11"/>
        <v>49.380533418151352</v>
      </c>
      <c r="ACA13">
        <f t="shared" si="11"/>
        <v>48.879996334309276</v>
      </c>
      <c r="ACB13">
        <f t="shared" si="11"/>
        <v>49.561651597230785</v>
      </c>
      <c r="ACC13">
        <f t="shared" si="11"/>
        <v>48.322128690002771</v>
      </c>
      <c r="ACD13">
        <f t="shared" si="11"/>
        <v>46.82268123276036</v>
      </c>
      <c r="ACE13">
        <f t="shared" si="11"/>
        <v>44.783636586609404</v>
      </c>
      <c r="ACF13">
        <f t="shared" si="11"/>
        <v>45.139929373187627</v>
      </c>
      <c r="ACG13">
        <f t="shared" si="11"/>
        <v>43.53537185550347</v>
      </c>
      <c r="ACH13">
        <f t="shared" si="11"/>
        <v>41.398836914159972</v>
      </c>
      <c r="ACI13">
        <f t="shared" si="11"/>
        <v>40.66889281244427</v>
      </c>
      <c r="ACJ13">
        <f t="shared" si="11"/>
        <v>40.361143695087293</v>
      </c>
      <c r="ACK13">
        <f t="shared" si="11"/>
        <v>40.055323980806719</v>
      </c>
      <c r="ACL13">
        <f t="shared" si="11"/>
        <v>40.059527713028139</v>
      </c>
      <c r="ACM13">
        <f t="shared" si="11"/>
        <v>40.258803863635379</v>
      </c>
      <c r="ACN13">
        <f t="shared" si="11"/>
        <v>40.388148134787819</v>
      </c>
      <c r="ACO13">
        <f t="shared" si="11"/>
        <v>40.8228298210582</v>
      </c>
      <c r="ACP13">
        <f t="shared" si="11"/>
        <v>40.20244660771057</v>
      </c>
      <c r="ACQ13">
        <f t="shared" si="11"/>
        <v>39.834221492328091</v>
      </c>
      <c r="ACR13">
        <f t="shared" ref="ACR13:ACV13" si="12">ACQ13*(1+ACR3/10)</f>
        <v>39.403939024416687</v>
      </c>
      <c r="ACS13">
        <f t="shared" si="12"/>
        <v>40.003513411992493</v>
      </c>
      <c r="ACT13">
        <f t="shared" si="12"/>
        <v>38.054513540299467</v>
      </c>
      <c r="ACU13">
        <f t="shared" si="12"/>
        <v>38.362797290777323</v>
      </c>
      <c r="ACV13">
        <f t="shared" si="12"/>
        <v>37.394077063040513</v>
      </c>
    </row>
    <row r="14" spans="1:776" x14ac:dyDescent="0.2">
      <c r="A14" s="7" t="s">
        <v>70654</v>
      </c>
      <c r="B14">
        <f>$A$12*(1+B4/10)</f>
        <v>104.67524809899342</v>
      </c>
      <c r="C14">
        <f>B14*(1+C4/10)</f>
        <v>104.78747671283963</v>
      </c>
      <c r="D14">
        <f t="shared" ref="D14:BO15" si="13">C14*(1+D4/10)</f>
        <v>113.22862974295587</v>
      </c>
      <c r="E14">
        <f t="shared" si="13"/>
        <v>107.0940629518368</v>
      </c>
      <c r="F14">
        <f t="shared" si="13"/>
        <v>104.27586194953915</v>
      </c>
      <c r="G14">
        <f t="shared" si="13"/>
        <v>102.60493156393892</v>
      </c>
      <c r="H14">
        <f t="shared" si="13"/>
        <v>97.531554325879455</v>
      </c>
      <c r="I14">
        <f t="shared" si="13"/>
        <v>101.62606771996735</v>
      </c>
      <c r="J14">
        <f t="shared" si="13"/>
        <v>102.24322007442672</v>
      </c>
      <c r="K14">
        <f t="shared" si="13"/>
        <v>106.52266953500214</v>
      </c>
      <c r="L14">
        <f t="shared" si="13"/>
        <v>110.69715755446883</v>
      </c>
      <c r="M14">
        <f t="shared" si="13"/>
        <v>112.40763203833274</v>
      </c>
      <c r="N14">
        <f t="shared" si="13"/>
        <v>119.69314184528201</v>
      </c>
      <c r="O14">
        <f t="shared" si="13"/>
        <v>125.70098778845394</v>
      </c>
      <c r="P14">
        <f t="shared" si="13"/>
        <v>115.63758142475825</v>
      </c>
      <c r="Q14">
        <f t="shared" si="13"/>
        <v>108.62081003574561</v>
      </c>
      <c r="R14">
        <f t="shared" si="13"/>
        <v>138.2996839639851</v>
      </c>
      <c r="S14">
        <f t="shared" si="13"/>
        <v>135.33115129399184</v>
      </c>
      <c r="T14">
        <f t="shared" si="13"/>
        <v>145.29517121116555</v>
      </c>
      <c r="U14">
        <f t="shared" si="13"/>
        <v>146.65116711800493</v>
      </c>
      <c r="V14">
        <f t="shared" si="13"/>
        <v>159.03812718669369</v>
      </c>
      <c r="W14">
        <f t="shared" si="13"/>
        <v>156.80982657683768</v>
      </c>
      <c r="X14">
        <f t="shared" si="13"/>
        <v>152.64325434805531</v>
      </c>
      <c r="Y14">
        <f t="shared" si="13"/>
        <v>143.41080928912399</v>
      </c>
      <c r="Z14">
        <f t="shared" si="13"/>
        <v>145.28702049635649</v>
      </c>
      <c r="AA14">
        <f t="shared" si="13"/>
        <v>152.74357423257334</v>
      </c>
      <c r="AB14">
        <f t="shared" si="13"/>
        <v>151.79977244436989</v>
      </c>
      <c r="AC14">
        <f t="shared" si="13"/>
        <v>150.02455702776601</v>
      </c>
      <c r="AD14">
        <f t="shared" si="13"/>
        <v>147.94897913186298</v>
      </c>
      <c r="AE14">
        <f t="shared" si="13"/>
        <v>155.46340104430627</v>
      </c>
      <c r="AF14">
        <f t="shared" si="13"/>
        <v>143.49787722710118</v>
      </c>
      <c r="AG14">
        <f t="shared" si="13"/>
        <v>134.87935478293625</v>
      </c>
      <c r="AH14">
        <f t="shared" si="13"/>
        <v>123.29420093706544</v>
      </c>
      <c r="AI14">
        <f t="shared" si="13"/>
        <v>118.48325731789633</v>
      </c>
      <c r="AJ14">
        <f t="shared" si="13"/>
        <v>119.47390863523314</v>
      </c>
      <c r="AK14">
        <f t="shared" si="13"/>
        <v>126.71503895683001</v>
      </c>
      <c r="AL14">
        <f t="shared" si="13"/>
        <v>133.42685843539732</v>
      </c>
      <c r="AM14">
        <f t="shared" si="13"/>
        <v>137.70439517776316</v>
      </c>
      <c r="AN14">
        <f t="shared" si="13"/>
        <v>128.42817046777637</v>
      </c>
      <c r="AO14">
        <f t="shared" si="13"/>
        <v>121.31363822379349</v>
      </c>
      <c r="AP14">
        <f t="shared" si="13"/>
        <v>112.19094728545907</v>
      </c>
      <c r="AQ14">
        <f t="shared" si="13"/>
        <v>106.66334637817263</v>
      </c>
      <c r="AR14">
        <f t="shared" si="13"/>
        <v>105.61663123027422</v>
      </c>
      <c r="AS14">
        <f t="shared" si="13"/>
        <v>104.53868337287356</v>
      </c>
      <c r="AT14">
        <f t="shared" si="13"/>
        <v>113.01684474926577</v>
      </c>
      <c r="AU14">
        <f t="shared" si="13"/>
        <v>105.62944390398305</v>
      </c>
      <c r="AV14">
        <f t="shared" si="13"/>
        <v>100.98595064493207</v>
      </c>
      <c r="AW14">
        <f t="shared" si="13"/>
        <v>102.18628188210532</v>
      </c>
      <c r="AX14">
        <f t="shared" si="13"/>
        <v>107.55677821291248</v>
      </c>
      <c r="AY14">
        <f t="shared" si="13"/>
        <v>115.14345367701529</v>
      </c>
      <c r="AZ14">
        <f t="shared" si="13"/>
        <v>110.45655702047513</v>
      </c>
      <c r="BA14">
        <f t="shared" si="13"/>
        <v>109.02450811478232</v>
      </c>
      <c r="BB14">
        <f t="shared" si="13"/>
        <v>99.146040908928214</v>
      </c>
      <c r="BC14">
        <f t="shared" si="13"/>
        <v>99.310497680382184</v>
      </c>
      <c r="BD14">
        <f t="shared" si="13"/>
        <v>95.95225118800245</v>
      </c>
      <c r="BE14">
        <f t="shared" si="13"/>
        <v>88.711901096321895</v>
      </c>
      <c r="BF14">
        <f t="shared" si="13"/>
        <v>80.726000629985592</v>
      </c>
      <c r="BG14">
        <f t="shared" si="13"/>
        <v>84.827305257080425</v>
      </c>
      <c r="BH14">
        <f t="shared" si="13"/>
        <v>84.873588460280743</v>
      </c>
      <c r="BI14">
        <f t="shared" si="13"/>
        <v>90.873325740563999</v>
      </c>
      <c r="BJ14">
        <f t="shared" si="13"/>
        <v>88.243514304509887</v>
      </c>
      <c r="BK14">
        <f t="shared" si="13"/>
        <v>95.496453974432555</v>
      </c>
      <c r="BL14">
        <f t="shared" si="13"/>
        <v>89.516629987890255</v>
      </c>
      <c r="BM14">
        <f t="shared" si="13"/>
        <v>101.74473340060791</v>
      </c>
      <c r="BN14">
        <f t="shared" si="13"/>
        <v>97.29528837641044</v>
      </c>
      <c r="BO14">
        <f t="shared" si="13"/>
        <v>104.21994489489271</v>
      </c>
      <c r="BP14">
        <f t="shared" ref="BP14:EA17" si="14">BO14*(1+BP4/10)</f>
        <v>106.55899082186615</v>
      </c>
      <c r="BQ14">
        <f t="shared" si="14"/>
        <v>101.63325112629133</v>
      </c>
      <c r="BR14">
        <f t="shared" si="14"/>
        <v>106.35136414606852</v>
      </c>
      <c r="BS14">
        <f t="shared" si="14"/>
        <v>102.46820155129046</v>
      </c>
      <c r="BT14">
        <f t="shared" si="14"/>
        <v>105.16014500722957</v>
      </c>
      <c r="BU14">
        <f t="shared" si="14"/>
        <v>101.30403032706919</v>
      </c>
      <c r="BV14">
        <f t="shared" si="14"/>
        <v>97.377071570941979</v>
      </c>
      <c r="BW14">
        <f t="shared" si="14"/>
        <v>105.39561227218303</v>
      </c>
      <c r="BX14">
        <f t="shared" si="14"/>
        <v>100.02863052668023</v>
      </c>
      <c r="BY14">
        <f t="shared" si="14"/>
        <v>115.71469049274471</v>
      </c>
      <c r="BZ14">
        <f t="shared" si="14"/>
        <v>121.02639712838146</v>
      </c>
      <c r="CA14">
        <f t="shared" si="14"/>
        <v>114.30750166304963</v>
      </c>
      <c r="CB14">
        <f t="shared" si="14"/>
        <v>122.61907917516351</v>
      </c>
      <c r="CC14">
        <f t="shared" si="14"/>
        <v>123.06922836404124</v>
      </c>
      <c r="CD14">
        <f t="shared" si="14"/>
        <v>135.27304552129328</v>
      </c>
      <c r="CE14">
        <f t="shared" si="14"/>
        <v>135.58756354737585</v>
      </c>
      <c r="CF14">
        <f t="shared" si="14"/>
        <v>127.87006970185287</v>
      </c>
      <c r="CG14">
        <f t="shared" si="14"/>
        <v>123.34580207866237</v>
      </c>
      <c r="CH14">
        <f t="shared" si="14"/>
        <v>136.41448782139224</v>
      </c>
      <c r="CI14">
        <f t="shared" si="14"/>
        <v>137.33947404002845</v>
      </c>
      <c r="CJ14">
        <f t="shared" si="14"/>
        <v>149.67014677308643</v>
      </c>
      <c r="CK14">
        <f t="shared" si="14"/>
        <v>160.47177482524964</v>
      </c>
      <c r="CL14">
        <f t="shared" si="14"/>
        <v>167.12375602600548</v>
      </c>
      <c r="CM14">
        <f t="shared" si="14"/>
        <v>161.87712386034482</v>
      </c>
      <c r="CN14">
        <f t="shared" si="14"/>
        <v>149.81331964605957</v>
      </c>
      <c r="CO14">
        <f t="shared" si="14"/>
        <v>154.31888276952222</v>
      </c>
      <c r="CP14">
        <f t="shared" si="14"/>
        <v>153.10754835500276</v>
      </c>
      <c r="CQ14">
        <f t="shared" si="14"/>
        <v>124.74946168716679</v>
      </c>
      <c r="CR14">
        <f t="shared" si="14"/>
        <v>121.81254416630368</v>
      </c>
      <c r="CS14">
        <f t="shared" si="14"/>
        <v>128.71859453193849</v>
      </c>
      <c r="CT14">
        <f t="shared" si="14"/>
        <v>138.27603402700572</v>
      </c>
      <c r="CU14">
        <f t="shared" si="14"/>
        <v>122.71754315706649</v>
      </c>
      <c r="CV14">
        <f t="shared" si="14"/>
        <v>117.06239144864404</v>
      </c>
      <c r="CW14">
        <f t="shared" si="14"/>
        <v>113.77057539392288</v>
      </c>
      <c r="CX14">
        <f t="shared" si="14"/>
        <v>111.65019288646454</v>
      </c>
      <c r="CY14">
        <f t="shared" si="14"/>
        <v>107.89448506772305</v>
      </c>
      <c r="CZ14">
        <f t="shared" si="14"/>
        <v>99.845368182835529</v>
      </c>
      <c r="DA14">
        <f t="shared" si="14"/>
        <v>96.423676213080668</v>
      </c>
      <c r="DB14">
        <f t="shared" si="14"/>
        <v>104.21610356565095</v>
      </c>
      <c r="DC14">
        <f t="shared" si="14"/>
        <v>97.445226745756301</v>
      </c>
      <c r="DD14">
        <f t="shared" si="14"/>
        <v>92.734461414822164</v>
      </c>
      <c r="DE14">
        <f t="shared" si="14"/>
        <v>93.877535989083654</v>
      </c>
      <c r="DF14">
        <f t="shared" si="14"/>
        <v>84.195761475149325</v>
      </c>
      <c r="DG14">
        <f t="shared" si="14"/>
        <v>83.711791845296517</v>
      </c>
      <c r="DH14">
        <f t="shared" si="14"/>
        <v>93.693581320493664</v>
      </c>
      <c r="DI14">
        <f t="shared" si="14"/>
        <v>96.465615967311138</v>
      </c>
      <c r="DJ14">
        <f t="shared" si="14"/>
        <v>88.937667028707537</v>
      </c>
      <c r="DK14">
        <f t="shared" si="14"/>
        <v>81.088230562879488</v>
      </c>
      <c r="DL14">
        <f t="shared" si="14"/>
        <v>76.548062113185992</v>
      </c>
      <c r="DM14">
        <f t="shared" si="14"/>
        <v>77.6646116605515</v>
      </c>
      <c r="DN14">
        <f t="shared" si="14"/>
        <v>79.750611955245091</v>
      </c>
      <c r="DO14">
        <f t="shared" si="14"/>
        <v>76.615542597910363</v>
      </c>
      <c r="DP14">
        <f t="shared" si="14"/>
        <v>78.050792732683476</v>
      </c>
      <c r="DQ14">
        <f t="shared" si="14"/>
        <v>80.908043396398426</v>
      </c>
      <c r="DR14">
        <f t="shared" si="14"/>
        <v>81.586218267445972</v>
      </c>
      <c r="DS14">
        <f t="shared" si="14"/>
        <v>82.024226989422175</v>
      </c>
      <c r="DT14">
        <f t="shared" si="14"/>
        <v>72.543631591670845</v>
      </c>
      <c r="DU14">
        <f t="shared" si="14"/>
        <v>73.637214586945959</v>
      </c>
      <c r="DV14">
        <f t="shared" si="14"/>
        <v>78.988512751169665</v>
      </c>
      <c r="DW14">
        <f t="shared" si="14"/>
        <v>79.763229246948356</v>
      </c>
      <c r="DX14">
        <f t="shared" si="14"/>
        <v>90.116386530707544</v>
      </c>
      <c r="DY14">
        <f t="shared" si="14"/>
        <v>90.138298819519562</v>
      </c>
      <c r="DZ14">
        <f t="shared" si="14"/>
        <v>83.525108369813807</v>
      </c>
      <c r="EA14">
        <f t="shared" si="14"/>
        <v>89.1481457046835</v>
      </c>
      <c r="EB14">
        <f t="shared" ref="EB14:GM20" si="15">EA14*(1+EB4/10)</f>
        <v>82.429967440528728</v>
      </c>
      <c r="EC14">
        <f t="shared" si="15"/>
        <v>78.629755859955097</v>
      </c>
      <c r="ED14">
        <f t="shared" si="15"/>
        <v>74.524434808890348</v>
      </c>
      <c r="EE14">
        <f t="shared" si="15"/>
        <v>82.842787807110795</v>
      </c>
      <c r="EF14">
        <f t="shared" si="15"/>
        <v>86.952597464327823</v>
      </c>
      <c r="EG14">
        <f t="shared" si="15"/>
        <v>91.623863992420837</v>
      </c>
      <c r="EH14">
        <f t="shared" si="15"/>
        <v>91.986837435755888</v>
      </c>
      <c r="EI14">
        <f t="shared" si="15"/>
        <v>92.517933236107396</v>
      </c>
      <c r="EJ14">
        <f t="shared" si="15"/>
        <v>89.038694048431054</v>
      </c>
      <c r="EK14">
        <f t="shared" si="15"/>
        <v>94.077318005089495</v>
      </c>
      <c r="EL14">
        <f t="shared" si="15"/>
        <v>94.118679960636541</v>
      </c>
      <c r="EM14">
        <f t="shared" si="15"/>
        <v>89.660434681329789</v>
      </c>
      <c r="EN14">
        <f t="shared" si="15"/>
        <v>91.652152428551972</v>
      </c>
      <c r="EO14">
        <f t="shared" si="15"/>
        <v>85.388697843441136</v>
      </c>
      <c r="EP14">
        <f t="shared" si="15"/>
        <v>89.553590475792333</v>
      </c>
      <c r="EQ14">
        <f t="shared" si="15"/>
        <v>96.757130659083032</v>
      </c>
      <c r="ER14">
        <f t="shared" si="15"/>
        <v>86.988828457434295</v>
      </c>
      <c r="ES14">
        <f t="shared" si="15"/>
        <v>82.12259092170693</v>
      </c>
      <c r="ET14">
        <f t="shared" si="15"/>
        <v>82.142851988575899</v>
      </c>
      <c r="EU14">
        <f t="shared" si="15"/>
        <v>73.957080094943692</v>
      </c>
      <c r="EV14">
        <f t="shared" si="15"/>
        <v>75.669159340899014</v>
      </c>
      <c r="EW14">
        <f t="shared" si="15"/>
        <v>75.208978789882295</v>
      </c>
      <c r="EX14">
        <f t="shared" si="15"/>
        <v>76.123199755598804</v>
      </c>
      <c r="EY14">
        <f t="shared" si="15"/>
        <v>71.968324223721112</v>
      </c>
      <c r="EZ14">
        <f t="shared" si="15"/>
        <v>76.387782784708818</v>
      </c>
      <c r="FA14">
        <f t="shared" si="15"/>
        <v>75.451939363886638</v>
      </c>
      <c r="FB14">
        <f t="shared" si="15"/>
        <v>75.835392420686759</v>
      </c>
      <c r="FC14">
        <f t="shared" si="15"/>
        <v>77.900595248682237</v>
      </c>
      <c r="FD14">
        <f t="shared" si="15"/>
        <v>72.168008591010064</v>
      </c>
      <c r="FE14">
        <f t="shared" si="15"/>
        <v>72.02807636037555</v>
      </c>
      <c r="FF14">
        <f t="shared" si="15"/>
        <v>72.239590006186617</v>
      </c>
      <c r="FG14">
        <f t="shared" si="15"/>
        <v>73.439441976784479</v>
      </c>
      <c r="FH14">
        <f t="shared" si="15"/>
        <v>87.203061840045606</v>
      </c>
      <c r="FI14">
        <f t="shared" si="15"/>
        <v>82.527330808970092</v>
      </c>
      <c r="FJ14">
        <f t="shared" si="15"/>
        <v>79.771220843735733</v>
      </c>
      <c r="FK14">
        <f t="shared" si="15"/>
        <v>77.849089570352888</v>
      </c>
      <c r="FL14">
        <f t="shared" si="15"/>
        <v>79.645520903991041</v>
      </c>
      <c r="FM14">
        <f t="shared" si="15"/>
        <v>77.967018151649469</v>
      </c>
      <c r="FN14">
        <f t="shared" si="15"/>
        <v>72.013421995451196</v>
      </c>
      <c r="FO14">
        <f t="shared" si="15"/>
        <v>71.000073805738879</v>
      </c>
      <c r="FP14">
        <f t="shared" si="15"/>
        <v>74.460032454250182</v>
      </c>
      <c r="FQ14">
        <f t="shared" si="15"/>
        <v>81.522693695480186</v>
      </c>
      <c r="FR14">
        <f t="shared" si="15"/>
        <v>80.56318801591361</v>
      </c>
      <c r="FS14">
        <f t="shared" si="15"/>
        <v>75.575666058002</v>
      </c>
      <c r="FT14">
        <f t="shared" si="15"/>
        <v>69.241979677328416</v>
      </c>
      <c r="FU14">
        <f t="shared" si="15"/>
        <v>69.900523760804333</v>
      </c>
      <c r="FV14">
        <f t="shared" si="15"/>
        <v>67.394931389022958</v>
      </c>
      <c r="FW14">
        <f t="shared" si="15"/>
        <v>66.833271488033787</v>
      </c>
      <c r="FX14">
        <f t="shared" si="15"/>
        <v>64.544059680695128</v>
      </c>
      <c r="FY14">
        <f t="shared" si="15"/>
        <v>63.987077990449848</v>
      </c>
      <c r="FZ14">
        <f t="shared" si="15"/>
        <v>63.549271926564579</v>
      </c>
      <c r="GA14">
        <f t="shared" si="15"/>
        <v>67.97998966496634</v>
      </c>
      <c r="GB14">
        <f t="shared" si="15"/>
        <v>67.12053600076672</v>
      </c>
      <c r="GC14">
        <f t="shared" si="15"/>
        <v>68.33192290261816</v>
      </c>
      <c r="GD14">
        <f t="shared" si="15"/>
        <v>68.004358443240662</v>
      </c>
      <c r="GE14">
        <f t="shared" si="15"/>
        <v>65.717673687081998</v>
      </c>
      <c r="GF14">
        <f t="shared" si="15"/>
        <v>62.552777042369506</v>
      </c>
      <c r="GG14">
        <f t="shared" si="15"/>
        <v>60.250003548222125</v>
      </c>
      <c r="GH14">
        <f t="shared" si="15"/>
        <v>58.87158522343713</v>
      </c>
      <c r="GI14">
        <f t="shared" si="15"/>
        <v>61.634158157354079</v>
      </c>
      <c r="GJ14">
        <f t="shared" si="15"/>
        <v>60.106990946337248</v>
      </c>
      <c r="GK14">
        <f t="shared" si="15"/>
        <v>59.115980607529899</v>
      </c>
      <c r="GL14">
        <f t="shared" si="15"/>
        <v>60.708327188574479</v>
      </c>
      <c r="GM14">
        <f t="shared" si="15"/>
        <v>60.309141721377699</v>
      </c>
      <c r="GN14">
        <f t="shared" ref="GN14:IY17" si="16">GM14*(1+GN4/10)</f>
        <v>59.965323933396959</v>
      </c>
      <c r="GO14">
        <f t="shared" si="16"/>
        <v>57.158867894432248</v>
      </c>
      <c r="GP14">
        <f t="shared" si="16"/>
        <v>56.708349201270345</v>
      </c>
      <c r="GQ14">
        <f t="shared" si="16"/>
        <v>49.095225495875759</v>
      </c>
      <c r="GR14">
        <f t="shared" si="16"/>
        <v>50.049165997113739</v>
      </c>
      <c r="GS14">
        <f t="shared" si="16"/>
        <v>47.115985555171036</v>
      </c>
      <c r="GT14">
        <f t="shared" si="16"/>
        <v>44.016266902829045</v>
      </c>
      <c r="GU14">
        <f t="shared" si="16"/>
        <v>40.82694393416314</v>
      </c>
      <c r="GV14">
        <f t="shared" si="16"/>
        <v>40.07897575457973</v>
      </c>
      <c r="GW14">
        <f t="shared" si="16"/>
        <v>37.63689682459011</v>
      </c>
      <c r="GX14">
        <f t="shared" si="16"/>
        <v>38.268992287114855</v>
      </c>
      <c r="GY14">
        <f t="shared" si="16"/>
        <v>34.11414198957705</v>
      </c>
      <c r="GZ14">
        <f t="shared" si="16"/>
        <v>34.873640916496122</v>
      </c>
      <c r="HA14">
        <f t="shared" si="16"/>
        <v>38.176209461745742</v>
      </c>
      <c r="HB14">
        <f t="shared" si="16"/>
        <v>36.648900365050622</v>
      </c>
      <c r="HC14">
        <f t="shared" si="16"/>
        <v>34.216463599528268</v>
      </c>
      <c r="HD14">
        <f t="shared" si="16"/>
        <v>33.758726740191427</v>
      </c>
      <c r="HE14">
        <f t="shared" si="16"/>
        <v>33.648535618420041</v>
      </c>
      <c r="HF14">
        <f t="shared" si="16"/>
        <v>34.613245171255237</v>
      </c>
      <c r="HG14">
        <f t="shared" si="16"/>
        <v>34.535522164234187</v>
      </c>
      <c r="HH14">
        <f t="shared" si="16"/>
        <v>34.993551609130755</v>
      </c>
      <c r="HI14">
        <f t="shared" si="16"/>
        <v>32.514413823314619</v>
      </c>
      <c r="HJ14">
        <f t="shared" si="16"/>
        <v>32.42221363493271</v>
      </c>
      <c r="HK14">
        <f t="shared" si="16"/>
        <v>31.996766990026085</v>
      </c>
      <c r="HL14">
        <f t="shared" si="16"/>
        <v>32.299640722599008</v>
      </c>
      <c r="HM14">
        <f t="shared" si="16"/>
        <v>31.122418866573966</v>
      </c>
      <c r="HN14">
        <f t="shared" si="16"/>
        <v>33.511722891351688</v>
      </c>
      <c r="HO14">
        <f t="shared" si="16"/>
        <v>31.039781012017215</v>
      </c>
      <c r="HP14">
        <f t="shared" si="16"/>
        <v>29.583227564299786</v>
      </c>
      <c r="HQ14">
        <f t="shared" si="16"/>
        <v>28.963673235594374</v>
      </c>
      <c r="HR14">
        <f t="shared" si="16"/>
        <v>28.32978351738873</v>
      </c>
      <c r="HS14">
        <f t="shared" si="16"/>
        <v>28.68589456435944</v>
      </c>
      <c r="HT14">
        <f t="shared" si="16"/>
        <v>27.148808970932276</v>
      </c>
      <c r="HU14">
        <f t="shared" si="16"/>
        <v>25.663866663854389</v>
      </c>
      <c r="HV14">
        <f t="shared" si="16"/>
        <v>26.98881471065248</v>
      </c>
      <c r="HW14">
        <f t="shared" si="16"/>
        <v>27.055761540170021</v>
      </c>
      <c r="HX14">
        <f t="shared" si="16"/>
        <v>26.567996573628953</v>
      </c>
      <c r="HY14">
        <f t="shared" si="16"/>
        <v>27.822974166975449</v>
      </c>
      <c r="HZ14">
        <f t="shared" si="16"/>
        <v>26.839887960101851</v>
      </c>
      <c r="IA14">
        <f t="shared" si="16"/>
        <v>26.850702643737378</v>
      </c>
      <c r="IB14">
        <f t="shared" si="16"/>
        <v>25.657447428373747</v>
      </c>
      <c r="IC14">
        <f t="shared" si="16"/>
        <v>24.560870815507734</v>
      </c>
      <c r="ID14">
        <f t="shared" si="16"/>
        <v>24.485078111811543</v>
      </c>
      <c r="IE14">
        <f t="shared" si="16"/>
        <v>21.225237176895252</v>
      </c>
      <c r="IF14">
        <f t="shared" si="16"/>
        <v>24.096544699511206</v>
      </c>
      <c r="IG14">
        <f t="shared" si="16"/>
        <v>20.955462275112936</v>
      </c>
      <c r="IH14">
        <f t="shared" si="16"/>
        <v>21.055263008929959</v>
      </c>
      <c r="II14">
        <f t="shared" si="16"/>
        <v>19.723508886709656</v>
      </c>
      <c r="IJ14">
        <f t="shared" si="16"/>
        <v>20.822781441664159</v>
      </c>
      <c r="IK14">
        <f t="shared" si="16"/>
        <v>20.57203316246467</v>
      </c>
      <c r="IL14">
        <f t="shared" si="16"/>
        <v>21.684762420755114</v>
      </c>
      <c r="IM14">
        <f t="shared" si="16"/>
        <v>19.654476374537449</v>
      </c>
      <c r="IN14">
        <f t="shared" si="16"/>
        <v>19.447012505408999</v>
      </c>
      <c r="IO14">
        <f t="shared" si="16"/>
        <v>19.356432850635553</v>
      </c>
      <c r="IP14">
        <f t="shared" si="16"/>
        <v>19.961439314436753</v>
      </c>
      <c r="IQ14">
        <f t="shared" si="16"/>
        <v>21.058440817306433</v>
      </c>
      <c r="IR14">
        <f t="shared" si="16"/>
        <v>20.821574567166351</v>
      </c>
      <c r="IS14">
        <f t="shared" si="16"/>
        <v>21.97519762697069</v>
      </c>
      <c r="IT14">
        <f t="shared" si="16"/>
        <v>22.214342344367019</v>
      </c>
      <c r="IU14">
        <f t="shared" si="16"/>
        <v>23.12415516635253</v>
      </c>
      <c r="IV14">
        <f t="shared" si="16"/>
        <v>22.21719074413345</v>
      </c>
      <c r="IW14">
        <f t="shared" si="16"/>
        <v>20.78026161100561</v>
      </c>
      <c r="IX14">
        <f t="shared" si="16"/>
        <v>19.272205294857987</v>
      </c>
      <c r="IY14">
        <f t="shared" si="16"/>
        <v>19.205155300392427</v>
      </c>
      <c r="IZ14">
        <f t="shared" ref="IZ14:LK20" si="17">IY14*(1+IZ4/10)</f>
        <v>18.764912438186858</v>
      </c>
      <c r="JA14">
        <f t="shared" si="17"/>
        <v>18.732348210578003</v>
      </c>
      <c r="JB14">
        <f t="shared" si="17"/>
        <v>18.021484374984318</v>
      </c>
      <c r="JC14">
        <f t="shared" si="17"/>
        <v>17.178002387645606</v>
      </c>
      <c r="JD14">
        <f t="shared" si="17"/>
        <v>16.713694009758154</v>
      </c>
      <c r="JE14">
        <f t="shared" si="17"/>
        <v>17.116783638817306</v>
      </c>
      <c r="JF14">
        <f t="shared" si="17"/>
        <v>17.336056713221172</v>
      </c>
      <c r="JG14">
        <f t="shared" si="17"/>
        <v>16.93446984421961</v>
      </c>
      <c r="JH14">
        <f t="shared" si="17"/>
        <v>18.55569826561187</v>
      </c>
      <c r="JI14">
        <f t="shared" si="17"/>
        <v>18.071798827030101</v>
      </c>
      <c r="JJ14">
        <f t="shared" si="17"/>
        <v>19.678639380722331</v>
      </c>
      <c r="JK14">
        <f t="shared" si="17"/>
        <v>19.303130825413554</v>
      </c>
      <c r="JL14">
        <f t="shared" si="17"/>
        <v>20.150759762663409</v>
      </c>
      <c r="JM14">
        <f t="shared" si="17"/>
        <v>20.711039609624621</v>
      </c>
      <c r="JN14">
        <f t="shared" si="17"/>
        <v>20.11254309134965</v>
      </c>
      <c r="JO14">
        <f t="shared" si="17"/>
        <v>20.193058798872379</v>
      </c>
      <c r="JP14">
        <f t="shared" si="17"/>
        <v>20.122916901445475</v>
      </c>
      <c r="JQ14">
        <f t="shared" si="17"/>
        <v>20.060752684531597</v>
      </c>
      <c r="JR14">
        <f t="shared" si="17"/>
        <v>19.923686755714638</v>
      </c>
      <c r="JS14">
        <f t="shared" si="17"/>
        <v>20.307296818566964</v>
      </c>
      <c r="JT14">
        <f t="shared" si="17"/>
        <v>19.577427330661738</v>
      </c>
      <c r="JU14">
        <f t="shared" si="17"/>
        <v>19.159694658490828</v>
      </c>
      <c r="JV14">
        <f t="shared" si="17"/>
        <v>19.188397514933154</v>
      </c>
      <c r="JW14">
        <f t="shared" si="17"/>
        <v>18.386310857602677</v>
      </c>
      <c r="JX14">
        <f t="shared" si="17"/>
        <v>18.726036545059525</v>
      </c>
      <c r="JY14">
        <f t="shared" si="17"/>
        <v>17.974709613792971</v>
      </c>
      <c r="JZ14">
        <f t="shared" si="17"/>
        <v>18.541414687581145</v>
      </c>
      <c r="KA14">
        <f t="shared" si="17"/>
        <v>18.708226073177329</v>
      </c>
      <c r="KB14">
        <f t="shared" si="17"/>
        <v>20.024496227137966</v>
      </c>
      <c r="KC14">
        <f t="shared" si="17"/>
        <v>21.039667405962533</v>
      </c>
      <c r="KD14">
        <f t="shared" si="17"/>
        <v>21.462579164987233</v>
      </c>
      <c r="KE14">
        <f t="shared" si="17"/>
        <v>21.875404169663202</v>
      </c>
      <c r="KF14">
        <f t="shared" si="17"/>
        <v>20.495705123092286</v>
      </c>
      <c r="KG14">
        <f t="shared" si="17"/>
        <v>21.660533373100591</v>
      </c>
      <c r="KH14">
        <f t="shared" si="17"/>
        <v>20.582744968406253</v>
      </c>
      <c r="KI14">
        <f t="shared" si="17"/>
        <v>21.870100110161459</v>
      </c>
      <c r="KJ14">
        <f t="shared" si="17"/>
        <v>21.033265940493973</v>
      </c>
      <c r="KK14">
        <f t="shared" si="17"/>
        <v>20.505392409193881</v>
      </c>
      <c r="KL14">
        <f t="shared" si="17"/>
        <v>18.888374908226002</v>
      </c>
      <c r="KM14">
        <f t="shared" si="17"/>
        <v>19.511867836323184</v>
      </c>
      <c r="KN14">
        <f t="shared" si="17"/>
        <v>18.83526116204547</v>
      </c>
      <c r="KO14">
        <f t="shared" si="17"/>
        <v>18.879827930560602</v>
      </c>
      <c r="KP14">
        <f t="shared" si="17"/>
        <v>19.173531495616615</v>
      </c>
      <c r="KQ14">
        <f t="shared" si="17"/>
        <v>18.680791000268236</v>
      </c>
      <c r="KR14">
        <f t="shared" si="17"/>
        <v>17.700447216944603</v>
      </c>
      <c r="KS14">
        <f t="shared" si="17"/>
        <v>17.655405221251335</v>
      </c>
      <c r="KT14">
        <f t="shared" si="17"/>
        <v>17.509360012405196</v>
      </c>
      <c r="KU14">
        <f t="shared" si="17"/>
        <v>20.459095056268836</v>
      </c>
      <c r="KV14">
        <f t="shared" si="17"/>
        <v>20.670131498702734</v>
      </c>
      <c r="KW14">
        <f t="shared" si="17"/>
        <v>21.721226146045854</v>
      </c>
      <c r="KX14">
        <f t="shared" si="17"/>
        <v>22.851037566457517</v>
      </c>
      <c r="KY14">
        <f t="shared" si="17"/>
        <v>22.394867015472499</v>
      </c>
      <c r="KZ14">
        <f t="shared" si="17"/>
        <v>23.097400511656531</v>
      </c>
      <c r="LA14">
        <f t="shared" si="17"/>
        <v>23.047429398106416</v>
      </c>
      <c r="LB14">
        <f t="shared" si="17"/>
        <v>23.051745755442504</v>
      </c>
      <c r="LC14">
        <f t="shared" si="17"/>
        <v>24.762408983930211</v>
      </c>
      <c r="LD14">
        <f t="shared" si="17"/>
        <v>26.174896640657249</v>
      </c>
      <c r="LE14">
        <f t="shared" si="17"/>
        <v>28.158491200604693</v>
      </c>
      <c r="LF14">
        <f t="shared" si="17"/>
        <v>30.15161565529419</v>
      </c>
      <c r="LG14">
        <f t="shared" si="17"/>
        <v>30.181036127511568</v>
      </c>
      <c r="LH14">
        <f t="shared" si="17"/>
        <v>32.795119151622181</v>
      </c>
      <c r="LI14">
        <f t="shared" si="17"/>
        <v>36.158940268029141</v>
      </c>
      <c r="LJ14">
        <f t="shared" si="17"/>
        <v>36.728654177326575</v>
      </c>
      <c r="LK14">
        <f t="shared" si="17"/>
        <v>35.930775288021707</v>
      </c>
      <c r="LL14">
        <f t="shared" ref="LL14:NW17" si="18">LK14*(1+LL4/10)</f>
        <v>34.878418443331107</v>
      </c>
      <c r="LM14">
        <f t="shared" si="18"/>
        <v>35.868805802658443</v>
      </c>
      <c r="LN14">
        <f t="shared" si="18"/>
        <v>33.45957948791353</v>
      </c>
      <c r="LO14">
        <f t="shared" si="18"/>
        <v>34.015840982243489</v>
      </c>
      <c r="LP14">
        <f t="shared" si="18"/>
        <v>35.024168648758312</v>
      </c>
      <c r="LQ14">
        <f t="shared" si="18"/>
        <v>36.556381622086732</v>
      </c>
      <c r="LR14">
        <f t="shared" si="18"/>
        <v>37.107126965377375</v>
      </c>
      <c r="LS14">
        <f t="shared" si="18"/>
        <v>36.69877398201951</v>
      </c>
      <c r="LT14">
        <f t="shared" si="18"/>
        <v>38.246808704527389</v>
      </c>
      <c r="LU14">
        <f t="shared" si="18"/>
        <v>39.397203671961741</v>
      </c>
      <c r="LV14">
        <f t="shared" si="18"/>
        <v>41.586134688943034</v>
      </c>
      <c r="LW14">
        <f t="shared" si="18"/>
        <v>43.011745764407884</v>
      </c>
      <c r="LX14">
        <f t="shared" si="18"/>
        <v>45.846447100863571</v>
      </c>
      <c r="LY14">
        <f t="shared" si="18"/>
        <v>45.508901719158487</v>
      </c>
      <c r="LZ14">
        <f t="shared" si="18"/>
        <v>40.411267882560509</v>
      </c>
      <c r="MA14">
        <f t="shared" si="18"/>
        <v>36.412277609244804</v>
      </c>
      <c r="MB14">
        <f t="shared" si="18"/>
        <v>37.859050278196548</v>
      </c>
      <c r="MC14">
        <f t="shared" si="18"/>
        <v>35.009334179933127</v>
      </c>
      <c r="MD14">
        <f t="shared" si="18"/>
        <v>36.477790092727638</v>
      </c>
      <c r="ME14">
        <f t="shared" si="18"/>
        <v>37.791346390191158</v>
      </c>
      <c r="MF14">
        <f t="shared" si="18"/>
        <v>37.726356967723987</v>
      </c>
      <c r="MG14">
        <f t="shared" si="18"/>
        <v>37.023599267896451</v>
      </c>
      <c r="MH14">
        <f t="shared" si="18"/>
        <v>36.636950850584917</v>
      </c>
      <c r="MI14">
        <f t="shared" si="18"/>
        <v>39.172102665423736</v>
      </c>
      <c r="MJ14">
        <f t="shared" si="18"/>
        <v>40.217270374042869</v>
      </c>
      <c r="MK14">
        <f t="shared" si="18"/>
        <v>43.002190505211559</v>
      </c>
      <c r="ML14">
        <f t="shared" si="18"/>
        <v>42.025486484826359</v>
      </c>
      <c r="MM14">
        <f t="shared" si="18"/>
        <v>39.640962432740523</v>
      </c>
      <c r="MN14">
        <f t="shared" si="18"/>
        <v>39.952216616953855</v>
      </c>
      <c r="MO14">
        <f t="shared" si="18"/>
        <v>39.049351519861702</v>
      </c>
      <c r="MP14">
        <f t="shared" si="18"/>
        <v>38.842947400603997</v>
      </c>
      <c r="MQ14">
        <f t="shared" si="18"/>
        <v>39.737486607516878</v>
      </c>
      <c r="MR14">
        <f t="shared" si="18"/>
        <v>39.833243214503099</v>
      </c>
      <c r="MS14">
        <f t="shared" si="18"/>
        <v>38.647074264214986</v>
      </c>
      <c r="MT14">
        <f t="shared" si="18"/>
        <v>39.378714547091171</v>
      </c>
      <c r="MU14">
        <f t="shared" si="18"/>
        <v>41.599487512983636</v>
      </c>
      <c r="MV14">
        <f t="shared" si="18"/>
        <v>40.038569209902931</v>
      </c>
      <c r="MW14">
        <f t="shared" si="18"/>
        <v>42.430630035048878</v>
      </c>
      <c r="MX14">
        <f t="shared" si="18"/>
        <v>37.495381672854968</v>
      </c>
      <c r="MY14">
        <f t="shared" si="18"/>
        <v>37.573289727375766</v>
      </c>
      <c r="MZ14">
        <f t="shared" si="18"/>
        <v>34.901323131875472</v>
      </c>
      <c r="NA14">
        <f t="shared" si="18"/>
        <v>35.653746422837322</v>
      </c>
      <c r="NB14">
        <f t="shared" si="18"/>
        <v>36.765393865762185</v>
      </c>
      <c r="NC14">
        <f t="shared" si="18"/>
        <v>38.13314514812528</v>
      </c>
      <c r="ND14">
        <f t="shared" si="18"/>
        <v>37.490278109079718</v>
      </c>
      <c r="NE14">
        <f t="shared" si="18"/>
        <v>36.041718418618892</v>
      </c>
      <c r="NF14">
        <f t="shared" si="18"/>
        <v>37.558167961137933</v>
      </c>
      <c r="NG14">
        <f t="shared" si="18"/>
        <v>37.341062448357739</v>
      </c>
      <c r="NH14">
        <f t="shared" si="18"/>
        <v>39.70080462913598</v>
      </c>
      <c r="NI14">
        <f t="shared" si="18"/>
        <v>39.806578832984741</v>
      </c>
      <c r="NJ14">
        <f t="shared" si="18"/>
        <v>36.121332389590222</v>
      </c>
      <c r="NK14">
        <f t="shared" si="18"/>
        <v>40.063061143138853</v>
      </c>
      <c r="NL14">
        <f t="shared" si="18"/>
        <v>42.693671186364114</v>
      </c>
      <c r="NM14">
        <f t="shared" si="18"/>
        <v>43.303006437814119</v>
      </c>
      <c r="NN14">
        <f t="shared" si="18"/>
        <v>41.117263541831257</v>
      </c>
      <c r="NO14">
        <f t="shared" si="18"/>
        <v>40.578701757065097</v>
      </c>
      <c r="NP14">
        <f t="shared" si="18"/>
        <v>43.038386035183343</v>
      </c>
      <c r="NQ14">
        <f t="shared" si="18"/>
        <v>42.72279721685814</v>
      </c>
      <c r="NR14">
        <f t="shared" si="18"/>
        <v>43.62944679982688</v>
      </c>
      <c r="NS14">
        <f t="shared" si="18"/>
        <v>43.193457890790583</v>
      </c>
      <c r="NT14">
        <f t="shared" si="18"/>
        <v>46.673553639010237</v>
      </c>
      <c r="NU14">
        <f t="shared" si="18"/>
        <v>49.3578382467743</v>
      </c>
      <c r="NV14">
        <f t="shared" si="18"/>
        <v>50.733538798460707</v>
      </c>
      <c r="NW14">
        <f t="shared" si="18"/>
        <v>50.738954608104109</v>
      </c>
      <c r="NX14">
        <f t="shared" ref="NX14:QI20" si="19">NW14*(1+NX4/10)</f>
        <v>53.22329814044349</v>
      </c>
      <c r="NY14">
        <f t="shared" si="19"/>
        <v>50.908915390069723</v>
      </c>
      <c r="NZ14">
        <f t="shared" si="19"/>
        <v>48.309848101769752</v>
      </c>
      <c r="OA14">
        <f t="shared" si="19"/>
        <v>48.358303249960713</v>
      </c>
      <c r="OB14">
        <f t="shared" si="19"/>
        <v>48.041774986863174</v>
      </c>
      <c r="OC14">
        <f t="shared" si="19"/>
        <v>55.823553183675998</v>
      </c>
      <c r="OD14">
        <f t="shared" si="19"/>
        <v>56.772754659513716</v>
      </c>
      <c r="OE14">
        <f t="shared" si="19"/>
        <v>57.575359262310933</v>
      </c>
      <c r="OF14">
        <f t="shared" si="19"/>
        <v>62.31964050187262</v>
      </c>
      <c r="OG14">
        <f t="shared" si="19"/>
        <v>59.945052226047302</v>
      </c>
      <c r="OH14">
        <f t="shared" si="19"/>
        <v>56.884387786402556</v>
      </c>
      <c r="OI14">
        <f t="shared" si="19"/>
        <v>50.589887026377774</v>
      </c>
      <c r="OJ14">
        <f t="shared" si="19"/>
        <v>50.298565273913972</v>
      </c>
      <c r="OK14">
        <f t="shared" si="19"/>
        <v>50.501204315730952</v>
      </c>
      <c r="OL14">
        <f t="shared" si="19"/>
        <v>53.856231801983995</v>
      </c>
      <c r="OM14">
        <f t="shared" si="19"/>
        <v>53.486646554277144</v>
      </c>
      <c r="ON14">
        <f t="shared" si="19"/>
        <v>53.255952424754526</v>
      </c>
      <c r="OO14">
        <f t="shared" si="19"/>
        <v>54.582568864954048</v>
      </c>
      <c r="OP14">
        <f t="shared" si="19"/>
        <v>52.449378256070709</v>
      </c>
      <c r="OQ14">
        <f t="shared" si="19"/>
        <v>55.068394903589315</v>
      </c>
      <c r="OR14">
        <f t="shared" si="19"/>
        <v>55.076303451922719</v>
      </c>
      <c r="OS14">
        <f t="shared" si="19"/>
        <v>52.138324410959534</v>
      </c>
      <c r="OT14">
        <f t="shared" si="19"/>
        <v>48.284848273286819</v>
      </c>
      <c r="OU14">
        <f t="shared" si="19"/>
        <v>45.131410814093798</v>
      </c>
      <c r="OV14">
        <f t="shared" si="19"/>
        <v>43.747784430029562</v>
      </c>
      <c r="OW14">
        <f t="shared" si="19"/>
        <v>44.604578717809787</v>
      </c>
      <c r="OX14">
        <f t="shared" si="19"/>
        <v>47.355896335044385</v>
      </c>
      <c r="OY14">
        <f t="shared" si="19"/>
        <v>44.147021986112684</v>
      </c>
      <c r="OZ14">
        <f t="shared" si="19"/>
        <v>42.519062115458148</v>
      </c>
      <c r="PA14">
        <f t="shared" si="19"/>
        <v>45.948798539076137</v>
      </c>
      <c r="PB14">
        <f t="shared" si="19"/>
        <v>42.44677337290144</v>
      </c>
      <c r="PC14">
        <f t="shared" si="19"/>
        <v>40.893386597010199</v>
      </c>
      <c r="PD14">
        <f t="shared" si="19"/>
        <v>44.505615591090574</v>
      </c>
      <c r="PE14">
        <f t="shared" si="19"/>
        <v>42.9142052345968</v>
      </c>
      <c r="PF14">
        <f t="shared" si="19"/>
        <v>41.793181541441655</v>
      </c>
      <c r="PG14">
        <f t="shared" si="19"/>
        <v>42.286718566274715</v>
      </c>
      <c r="PH14">
        <f t="shared" si="19"/>
        <v>44.335674413943664</v>
      </c>
      <c r="PI14">
        <f t="shared" si="19"/>
        <v>42.394132389692579</v>
      </c>
      <c r="PJ14">
        <f t="shared" si="19"/>
        <v>40.739895407730572</v>
      </c>
      <c r="PK14">
        <f t="shared" si="19"/>
        <v>41.272803128408704</v>
      </c>
      <c r="PL14">
        <f t="shared" si="19"/>
        <v>43.364960864285379</v>
      </c>
      <c r="PM14">
        <f t="shared" si="19"/>
        <v>43.271177791627082</v>
      </c>
      <c r="PN14">
        <f t="shared" si="19"/>
        <v>45.664212181261298</v>
      </c>
      <c r="PO14">
        <f t="shared" si="19"/>
        <v>46.932918142568653</v>
      </c>
      <c r="PP14">
        <f t="shared" si="19"/>
        <v>44.995666987059131</v>
      </c>
      <c r="PQ14">
        <f t="shared" si="19"/>
        <v>44.554354319567558</v>
      </c>
      <c r="PR14">
        <f t="shared" si="19"/>
        <v>44.280983730460918</v>
      </c>
      <c r="PS14">
        <f t="shared" si="19"/>
        <v>45.507718640782898</v>
      </c>
      <c r="PT14">
        <f t="shared" si="19"/>
        <v>43.518750795101248</v>
      </c>
      <c r="PU14">
        <f t="shared" si="19"/>
        <v>45.450832596853289</v>
      </c>
      <c r="PV14">
        <f t="shared" si="19"/>
        <v>43.30109469203196</v>
      </c>
      <c r="PW14">
        <f t="shared" si="19"/>
        <v>45.408836012019968</v>
      </c>
      <c r="PX14">
        <f t="shared" si="19"/>
        <v>42.4831241043536</v>
      </c>
      <c r="PY14">
        <f t="shared" si="19"/>
        <v>41.599491930848345</v>
      </c>
      <c r="PZ14">
        <f t="shared" si="19"/>
        <v>44.367555873414041</v>
      </c>
      <c r="QA14">
        <f t="shared" si="19"/>
        <v>46.358318015928191</v>
      </c>
      <c r="QB14">
        <f t="shared" si="19"/>
        <v>46.504445550161925</v>
      </c>
      <c r="QC14">
        <f t="shared" si="19"/>
        <v>46.300889051251687</v>
      </c>
      <c r="QD14">
        <f t="shared" si="19"/>
        <v>44.690696426081267</v>
      </c>
      <c r="QE14">
        <f t="shared" si="19"/>
        <v>45.709920688960501</v>
      </c>
      <c r="QF14">
        <f t="shared" si="19"/>
        <v>40.896496098185892</v>
      </c>
      <c r="QG14">
        <f t="shared" si="19"/>
        <v>40.179935353588775</v>
      </c>
      <c r="QH14">
        <f t="shared" si="19"/>
        <v>43.93834375578615</v>
      </c>
      <c r="QI14">
        <f t="shared" si="19"/>
        <v>42.218569561458956</v>
      </c>
      <c r="QJ14">
        <f t="shared" ref="QJ14:SU17" si="20">QI14*(1+QJ4/10)</f>
        <v>42.193408286129241</v>
      </c>
      <c r="QK14">
        <f t="shared" si="20"/>
        <v>41.873228026686299</v>
      </c>
      <c r="QL14">
        <f t="shared" si="20"/>
        <v>41.447861027538018</v>
      </c>
      <c r="QM14">
        <f t="shared" si="20"/>
        <v>43.059796947797473</v>
      </c>
      <c r="QN14">
        <f t="shared" si="20"/>
        <v>41.21927640905789</v>
      </c>
      <c r="QO14">
        <f t="shared" si="20"/>
        <v>40.815263936193226</v>
      </c>
      <c r="QP14">
        <f t="shared" si="20"/>
        <v>42.639812807852067</v>
      </c>
      <c r="QQ14">
        <f t="shared" si="20"/>
        <v>44.354749369754273</v>
      </c>
      <c r="QR14">
        <f t="shared" si="20"/>
        <v>42.976097242858359</v>
      </c>
      <c r="QS14">
        <f t="shared" si="20"/>
        <v>41.973989885319817</v>
      </c>
      <c r="QT14">
        <f t="shared" si="20"/>
        <v>43.484165018585912</v>
      </c>
      <c r="QU14">
        <f t="shared" si="20"/>
        <v>44.251355824057235</v>
      </c>
      <c r="QV14">
        <f t="shared" si="20"/>
        <v>42.986022254836755</v>
      </c>
      <c r="QW14">
        <f t="shared" si="20"/>
        <v>38.316669895454289</v>
      </c>
      <c r="QX14">
        <f t="shared" si="20"/>
        <v>38.33840227682844</v>
      </c>
      <c r="QY14">
        <f t="shared" si="20"/>
        <v>39.78543908465975</v>
      </c>
      <c r="QZ14">
        <f t="shared" si="20"/>
        <v>43.932819517963161</v>
      </c>
      <c r="RA14">
        <f t="shared" si="20"/>
        <v>44.662664941287069</v>
      </c>
      <c r="RB14">
        <f t="shared" si="20"/>
        <v>43.76984938804334</v>
      </c>
      <c r="RC14">
        <f t="shared" si="20"/>
        <v>43.564843060691658</v>
      </c>
      <c r="RD14">
        <f t="shared" si="20"/>
        <v>44.20328094562403</v>
      </c>
      <c r="RE14">
        <f t="shared" si="20"/>
        <v>43.594407690273684</v>
      </c>
      <c r="RF14">
        <f t="shared" si="20"/>
        <v>45.083419527279197</v>
      </c>
      <c r="RG14">
        <f t="shared" si="20"/>
        <v>44.914912753392642</v>
      </c>
      <c r="RH14">
        <f t="shared" si="20"/>
        <v>41.473248165948604</v>
      </c>
      <c r="RI14">
        <f t="shared" si="20"/>
        <v>47.56545460147116</v>
      </c>
      <c r="RJ14">
        <f t="shared" si="20"/>
        <v>50.129695099266478</v>
      </c>
      <c r="RK14">
        <f t="shared" si="20"/>
        <v>47.682805529864417</v>
      </c>
      <c r="RL14">
        <f t="shared" si="20"/>
        <v>54.754567614088508</v>
      </c>
      <c r="RM14">
        <f t="shared" si="20"/>
        <v>54.775769738363373</v>
      </c>
      <c r="RN14">
        <f t="shared" si="20"/>
        <v>55.823146672943729</v>
      </c>
      <c r="RO14">
        <f t="shared" si="20"/>
        <v>59.263142412414091</v>
      </c>
      <c r="RP14">
        <f t="shared" si="20"/>
        <v>59.537145039535453</v>
      </c>
      <c r="RQ14">
        <f t="shared" si="20"/>
        <v>58.484821176924093</v>
      </c>
      <c r="RR14">
        <f t="shared" si="20"/>
        <v>59.171586485956858</v>
      </c>
      <c r="RS14">
        <f t="shared" si="20"/>
        <v>60.029923223549986</v>
      </c>
      <c r="RT14">
        <f t="shared" si="20"/>
        <v>57.237921202597029</v>
      </c>
      <c r="RU14">
        <f t="shared" si="20"/>
        <v>54.220648130589176</v>
      </c>
      <c r="RV14">
        <f t="shared" si="20"/>
        <v>52.117253352723068</v>
      </c>
      <c r="RW14">
        <f t="shared" si="20"/>
        <v>53.403695092683151</v>
      </c>
      <c r="RX14">
        <f t="shared" si="20"/>
        <v>54.666765861892614</v>
      </c>
      <c r="RY14">
        <f t="shared" si="20"/>
        <v>57.250861046770098</v>
      </c>
      <c r="RZ14">
        <f t="shared" si="20"/>
        <v>54.416885484874037</v>
      </c>
      <c r="SA14">
        <f t="shared" si="20"/>
        <v>55.278742870654483</v>
      </c>
      <c r="SB14">
        <f t="shared" si="20"/>
        <v>57.468991826826283</v>
      </c>
      <c r="SC14">
        <f t="shared" si="20"/>
        <v>54.167040951540123</v>
      </c>
      <c r="SD14">
        <f t="shared" si="20"/>
        <v>52.80546880157079</v>
      </c>
      <c r="SE14">
        <f t="shared" si="20"/>
        <v>60.100612771196694</v>
      </c>
      <c r="SF14">
        <f t="shared" si="20"/>
        <v>57.224091730956168</v>
      </c>
      <c r="SG14">
        <f t="shared" si="20"/>
        <v>50.158072814976627</v>
      </c>
      <c r="SH14">
        <f t="shared" si="20"/>
        <v>50.078205419261366</v>
      </c>
      <c r="SI14">
        <f t="shared" si="20"/>
        <v>49.427660102662607</v>
      </c>
      <c r="SJ14">
        <f t="shared" si="20"/>
        <v>52.040187254220413</v>
      </c>
      <c r="SK14">
        <f t="shared" si="20"/>
        <v>53.560355287539551</v>
      </c>
      <c r="SL14">
        <f t="shared" si="20"/>
        <v>51.248747506661282</v>
      </c>
      <c r="SM14">
        <f t="shared" si="20"/>
        <v>49.480120305341309</v>
      </c>
      <c r="SN14">
        <f t="shared" si="20"/>
        <v>48.867313010203937</v>
      </c>
      <c r="SO14">
        <f t="shared" si="20"/>
        <v>47.525630413977176</v>
      </c>
      <c r="SP14">
        <f t="shared" si="20"/>
        <v>49.59627071703347</v>
      </c>
      <c r="SQ14">
        <f t="shared" si="20"/>
        <v>49.804691361324267</v>
      </c>
      <c r="SR14">
        <f t="shared" si="20"/>
        <v>47.699170311220016</v>
      </c>
      <c r="SS14">
        <f t="shared" si="20"/>
        <v>48.223650308078497</v>
      </c>
      <c r="ST14">
        <f t="shared" si="20"/>
        <v>49.351559328947317</v>
      </c>
      <c r="SU14">
        <f t="shared" si="20"/>
        <v>50.502368029914685</v>
      </c>
      <c r="SV14">
        <f t="shared" ref="SV14:VG20" si="21">SU14*(1+SV4/10)</f>
        <v>49.129909441728401</v>
      </c>
      <c r="SW14">
        <f t="shared" si="21"/>
        <v>47.843632763211772</v>
      </c>
      <c r="SX14">
        <f t="shared" si="21"/>
        <v>45.410418211528103</v>
      </c>
      <c r="SY14">
        <f t="shared" si="21"/>
        <v>47.242214934342996</v>
      </c>
      <c r="SZ14">
        <f t="shared" si="21"/>
        <v>43.569794650955309</v>
      </c>
      <c r="TA14">
        <f t="shared" si="21"/>
        <v>43.554462497220335</v>
      </c>
      <c r="TB14">
        <f t="shared" si="21"/>
        <v>45.232034468480293</v>
      </c>
      <c r="TC14">
        <f t="shared" si="21"/>
        <v>47.557882747856119</v>
      </c>
      <c r="TD14">
        <f t="shared" si="21"/>
        <v>47.872454857841859</v>
      </c>
      <c r="TE14">
        <f t="shared" si="21"/>
        <v>51.834370436305164</v>
      </c>
      <c r="TF14">
        <f t="shared" si="21"/>
        <v>48.107099733903866</v>
      </c>
      <c r="TG14">
        <f t="shared" si="21"/>
        <v>51.571855397554209</v>
      </c>
      <c r="TH14">
        <f t="shared" si="21"/>
        <v>47.236401107123655</v>
      </c>
      <c r="TI14">
        <f t="shared" si="21"/>
        <v>49.826880553565374</v>
      </c>
      <c r="TJ14">
        <f t="shared" si="21"/>
        <v>48.640066536503276</v>
      </c>
      <c r="TK14">
        <f t="shared" si="21"/>
        <v>47.481455539663877</v>
      </c>
      <c r="TL14">
        <f t="shared" si="21"/>
        <v>45.467743339305777</v>
      </c>
      <c r="TM14">
        <f t="shared" si="21"/>
        <v>48.350791880860498</v>
      </c>
      <c r="TN14">
        <f t="shared" si="21"/>
        <v>44.880481381885964</v>
      </c>
      <c r="TO14">
        <f t="shared" si="21"/>
        <v>43.117496365089032</v>
      </c>
      <c r="TP14">
        <f t="shared" si="21"/>
        <v>42.369418714974188</v>
      </c>
      <c r="TQ14">
        <f t="shared" si="21"/>
        <v>39.236147284220245</v>
      </c>
      <c r="TR14">
        <f t="shared" si="21"/>
        <v>37.937560419860503</v>
      </c>
      <c r="TS14">
        <f t="shared" si="21"/>
        <v>38.418809312203244</v>
      </c>
      <c r="TT14">
        <f t="shared" si="21"/>
        <v>44.416479621722203</v>
      </c>
      <c r="TU14">
        <f t="shared" si="21"/>
        <v>43.555155567325748</v>
      </c>
      <c r="TV14">
        <f t="shared" si="21"/>
        <v>45.502008752616156</v>
      </c>
      <c r="TW14">
        <f t="shared" si="21"/>
        <v>46.261965334098292</v>
      </c>
      <c r="TX14">
        <f t="shared" si="21"/>
        <v>40.837145932765274</v>
      </c>
      <c r="TY14">
        <f t="shared" si="21"/>
        <v>44.429391821879236</v>
      </c>
      <c r="TZ14">
        <f t="shared" si="21"/>
        <v>42.474993220808742</v>
      </c>
      <c r="UA14">
        <f t="shared" si="21"/>
        <v>40.062218431687612</v>
      </c>
      <c r="UB14">
        <f t="shared" si="21"/>
        <v>40.893029875587636</v>
      </c>
      <c r="UC14">
        <f t="shared" si="21"/>
        <v>38.5904806075959</v>
      </c>
      <c r="UD14">
        <f t="shared" si="21"/>
        <v>38.96702601723382</v>
      </c>
      <c r="UE14">
        <f t="shared" si="21"/>
        <v>39.173832698078598</v>
      </c>
      <c r="UF14">
        <f t="shared" si="21"/>
        <v>38.024006940347128</v>
      </c>
      <c r="UG14">
        <f t="shared" si="21"/>
        <v>38.436653471620367</v>
      </c>
      <c r="UH14">
        <f t="shared" si="21"/>
        <v>39.621672097082758</v>
      </c>
      <c r="UI14">
        <f t="shared" si="21"/>
        <v>41.422436015039622</v>
      </c>
      <c r="UJ14">
        <f t="shared" si="21"/>
        <v>38.677569611757427</v>
      </c>
      <c r="UK14">
        <f t="shared" si="21"/>
        <v>35.080366227980633</v>
      </c>
      <c r="UL14">
        <f t="shared" si="21"/>
        <v>35.823163265567565</v>
      </c>
      <c r="UM14">
        <f t="shared" si="21"/>
        <v>36.712369555968657</v>
      </c>
      <c r="UN14">
        <f t="shared" si="21"/>
        <v>39.324130145173122</v>
      </c>
      <c r="UO14">
        <f t="shared" si="21"/>
        <v>38.815110492641061</v>
      </c>
      <c r="UP14">
        <f t="shared" si="21"/>
        <v>42.214172767747712</v>
      </c>
      <c r="UQ14">
        <f t="shared" si="21"/>
        <v>37.065952346366011</v>
      </c>
      <c r="UR14">
        <f t="shared" si="21"/>
        <v>39.247521966450513</v>
      </c>
      <c r="US14">
        <f t="shared" si="21"/>
        <v>36.494764298775912</v>
      </c>
      <c r="UT14">
        <f t="shared" si="21"/>
        <v>39.999073961793343</v>
      </c>
      <c r="UU14">
        <f t="shared" si="21"/>
        <v>46.026622938066588</v>
      </c>
      <c r="UV14">
        <f t="shared" si="21"/>
        <v>45.017000602055987</v>
      </c>
      <c r="UW14">
        <f t="shared" si="21"/>
        <v>42.170020026990692</v>
      </c>
      <c r="UX14">
        <f t="shared" si="21"/>
        <v>40.862368710808127</v>
      </c>
      <c r="UY14">
        <f t="shared" si="21"/>
        <v>41.494472577460797</v>
      </c>
      <c r="UZ14">
        <f t="shared" si="21"/>
        <v>40.248354419913113</v>
      </c>
      <c r="VA14">
        <f t="shared" si="21"/>
        <v>37.696260608832787</v>
      </c>
      <c r="VB14">
        <f t="shared" si="21"/>
        <v>37.274898155655144</v>
      </c>
      <c r="VC14">
        <f t="shared" si="21"/>
        <v>40.938723315600903</v>
      </c>
      <c r="VD14">
        <f t="shared" si="21"/>
        <v>42.455312801371072</v>
      </c>
      <c r="VE14">
        <f t="shared" si="21"/>
        <v>40.073589170408781</v>
      </c>
      <c r="VF14">
        <f t="shared" si="21"/>
        <v>37.51663118703469</v>
      </c>
      <c r="VG14">
        <f t="shared" si="21"/>
        <v>39.381746815119619</v>
      </c>
      <c r="VH14">
        <f t="shared" ref="VH14:XS17" si="22">VG14*(1+VH4/10)</f>
        <v>38.521915844175375</v>
      </c>
      <c r="VI14">
        <f t="shared" si="22"/>
        <v>37.238668579069028</v>
      </c>
      <c r="VJ14">
        <f t="shared" si="22"/>
        <v>34.318447433639761</v>
      </c>
      <c r="VK14">
        <f t="shared" si="22"/>
        <v>34.025364029318276</v>
      </c>
      <c r="VL14">
        <f t="shared" si="22"/>
        <v>34.880231139798013</v>
      </c>
      <c r="VM14">
        <f t="shared" si="22"/>
        <v>38.157771261312767</v>
      </c>
      <c r="VN14">
        <f t="shared" si="22"/>
        <v>36.56796575773604</v>
      </c>
      <c r="VO14">
        <f t="shared" si="22"/>
        <v>36.391668347389015</v>
      </c>
      <c r="VP14">
        <f t="shared" si="22"/>
        <v>35.349267942207881</v>
      </c>
      <c r="VQ14">
        <f t="shared" si="22"/>
        <v>34.319112462427185</v>
      </c>
      <c r="VR14">
        <f t="shared" si="22"/>
        <v>35.117966518794823</v>
      </c>
      <c r="VS14">
        <f t="shared" si="22"/>
        <v>36.055201313025613</v>
      </c>
      <c r="VT14">
        <f t="shared" si="22"/>
        <v>34.964806274434252</v>
      </c>
      <c r="VU14">
        <f t="shared" si="22"/>
        <v>37.459693806091408</v>
      </c>
      <c r="VV14">
        <f t="shared" si="22"/>
        <v>36.766849910053608</v>
      </c>
      <c r="VW14">
        <f t="shared" si="22"/>
        <v>36.165033654837508</v>
      </c>
      <c r="VX14">
        <f t="shared" si="22"/>
        <v>36.822450031754201</v>
      </c>
      <c r="VY14">
        <f t="shared" si="22"/>
        <v>37.986735444762282</v>
      </c>
      <c r="VZ14">
        <f t="shared" si="22"/>
        <v>34.047254434763211</v>
      </c>
      <c r="WA14">
        <f t="shared" si="22"/>
        <v>33.64381995494378</v>
      </c>
      <c r="WB14">
        <f t="shared" si="22"/>
        <v>34.062849630603552</v>
      </c>
      <c r="WC14">
        <f t="shared" si="22"/>
        <v>32.855594377511814</v>
      </c>
      <c r="WD14">
        <f t="shared" si="22"/>
        <v>32.143251226174684</v>
      </c>
      <c r="WE14">
        <f t="shared" si="22"/>
        <v>32.128240720378109</v>
      </c>
      <c r="WF14">
        <f t="shared" si="22"/>
        <v>35.925529014338608</v>
      </c>
      <c r="WG14">
        <f t="shared" si="22"/>
        <v>34.463032422989116</v>
      </c>
      <c r="WH14">
        <f t="shared" si="22"/>
        <v>27.998523936416312</v>
      </c>
      <c r="WI14">
        <f t="shared" si="22"/>
        <v>26.486771984904816</v>
      </c>
      <c r="WJ14">
        <f t="shared" si="22"/>
        <v>26.485159235540156</v>
      </c>
      <c r="WK14">
        <f t="shared" si="22"/>
        <v>26.069293112999649</v>
      </c>
      <c r="WL14">
        <f t="shared" si="22"/>
        <v>26.085284770425432</v>
      </c>
      <c r="WM14">
        <f t="shared" si="22"/>
        <v>26.981672660045529</v>
      </c>
      <c r="WN14">
        <f t="shared" si="22"/>
        <v>26.779189231398068</v>
      </c>
      <c r="WO14">
        <f t="shared" si="22"/>
        <v>25.980063725675695</v>
      </c>
      <c r="WP14">
        <f t="shared" si="22"/>
        <v>26.395532516419124</v>
      </c>
      <c r="WQ14">
        <f t="shared" si="22"/>
        <v>25.454247661550873</v>
      </c>
      <c r="WR14">
        <f t="shared" si="22"/>
        <v>26.277047949138012</v>
      </c>
      <c r="WS14">
        <f t="shared" si="22"/>
        <v>25.173239448173661</v>
      </c>
      <c r="WT14">
        <f t="shared" si="22"/>
        <v>27.002133412525875</v>
      </c>
      <c r="WU14">
        <f t="shared" si="22"/>
        <v>23.836951703465051</v>
      </c>
      <c r="WV14">
        <f t="shared" si="22"/>
        <v>24.952879373766002</v>
      </c>
      <c r="WW14">
        <f t="shared" si="22"/>
        <v>25.80151666478508</v>
      </c>
      <c r="WX14">
        <f t="shared" si="22"/>
        <v>26.578768854901142</v>
      </c>
      <c r="WY14">
        <f t="shared" si="22"/>
        <v>27.719795600733516</v>
      </c>
      <c r="WZ14">
        <f t="shared" si="22"/>
        <v>26.716549882979471</v>
      </c>
      <c r="XA14">
        <f t="shared" si="22"/>
        <v>28.326834880252612</v>
      </c>
      <c r="XB14">
        <f t="shared" si="22"/>
        <v>29.215349526880306</v>
      </c>
      <c r="XC14">
        <f t="shared" si="22"/>
        <v>30.087658654927534</v>
      </c>
      <c r="XD14">
        <f t="shared" si="22"/>
        <v>27.37614253506964</v>
      </c>
      <c r="XE14">
        <f t="shared" si="22"/>
        <v>27.416279755244187</v>
      </c>
      <c r="XF14">
        <f t="shared" si="22"/>
        <v>27.860125733808154</v>
      </c>
      <c r="XG14">
        <f t="shared" si="22"/>
        <v>26.765870277110384</v>
      </c>
      <c r="XH14">
        <f t="shared" si="22"/>
        <v>26.868241476717103</v>
      </c>
      <c r="XI14">
        <f t="shared" si="22"/>
        <v>26.732446491680513</v>
      </c>
      <c r="XJ14">
        <f t="shared" si="22"/>
        <v>25.248052328978929</v>
      </c>
      <c r="XK14">
        <f t="shared" si="22"/>
        <v>23.91987209378857</v>
      </c>
      <c r="XL14">
        <f t="shared" si="22"/>
        <v>25.535748917521268</v>
      </c>
      <c r="XM14">
        <f t="shared" si="22"/>
        <v>27.216755971563458</v>
      </c>
      <c r="XN14">
        <f t="shared" si="22"/>
        <v>28.095780879103611</v>
      </c>
      <c r="XO14">
        <f t="shared" si="22"/>
        <v>28.175957328641921</v>
      </c>
      <c r="XP14">
        <f t="shared" si="22"/>
        <v>29.121457134627349</v>
      </c>
      <c r="XQ14">
        <f t="shared" si="22"/>
        <v>29.579001582773358</v>
      </c>
      <c r="XR14">
        <f t="shared" si="22"/>
        <v>29.366847622994328</v>
      </c>
      <c r="XS14">
        <f t="shared" si="22"/>
        <v>29.18962157116416</v>
      </c>
      <c r="XT14">
        <f t="shared" ref="XT14:AAE20" si="23">XS14*(1+XT4/10)</f>
        <v>30.607778615448307</v>
      </c>
      <c r="XU14">
        <f t="shared" si="23"/>
        <v>28.980406775468975</v>
      </c>
      <c r="XV14">
        <f t="shared" si="23"/>
        <v>27.566952561290023</v>
      </c>
      <c r="XW14">
        <f t="shared" si="23"/>
        <v>29.266753853119866</v>
      </c>
      <c r="XX14">
        <f t="shared" si="23"/>
        <v>27.47544277488791</v>
      </c>
      <c r="XY14">
        <f t="shared" si="23"/>
        <v>26.87604454248013</v>
      </c>
      <c r="XZ14">
        <f t="shared" si="23"/>
        <v>26.598945337908699</v>
      </c>
      <c r="YA14">
        <f t="shared" si="23"/>
        <v>27.747315625582782</v>
      </c>
      <c r="YB14">
        <f t="shared" si="23"/>
        <v>26.70234974965927</v>
      </c>
      <c r="YC14">
        <f t="shared" si="23"/>
        <v>27.487115510387589</v>
      </c>
      <c r="YD14">
        <f t="shared" si="23"/>
        <v>28.201907925596231</v>
      </c>
      <c r="YE14">
        <f t="shared" si="23"/>
        <v>30.860960401009418</v>
      </c>
      <c r="YF14">
        <f t="shared" si="23"/>
        <v>33.667709090464747</v>
      </c>
      <c r="YG14">
        <f t="shared" si="23"/>
        <v>31.141208739523478</v>
      </c>
      <c r="YH14">
        <f t="shared" si="23"/>
        <v>33.17953558345706</v>
      </c>
      <c r="YI14">
        <f t="shared" si="23"/>
        <v>32.742585786588428</v>
      </c>
      <c r="YJ14">
        <f t="shared" si="23"/>
        <v>39.629771644947276</v>
      </c>
      <c r="YK14">
        <f t="shared" si="23"/>
        <v>38.536969917779217</v>
      </c>
      <c r="YL14">
        <f t="shared" si="23"/>
        <v>37.403533752788817</v>
      </c>
      <c r="YM14">
        <f t="shared" si="23"/>
        <v>39.391414734492656</v>
      </c>
      <c r="YN14">
        <f t="shared" si="23"/>
        <v>38.287056472509164</v>
      </c>
      <c r="YO14">
        <f t="shared" si="23"/>
        <v>37.268011750725385</v>
      </c>
      <c r="YP14">
        <f t="shared" si="23"/>
        <v>36.569134270387195</v>
      </c>
      <c r="YQ14">
        <f t="shared" si="23"/>
        <v>39.580869956866117</v>
      </c>
      <c r="YR14">
        <f t="shared" si="23"/>
        <v>39.326725573077105</v>
      </c>
      <c r="YS14">
        <f t="shared" si="23"/>
        <v>40.148326786601785</v>
      </c>
      <c r="YT14">
        <f t="shared" si="23"/>
        <v>41.077277772459844</v>
      </c>
      <c r="YU14">
        <f t="shared" si="23"/>
        <v>36.86539025828101</v>
      </c>
      <c r="YV14">
        <f t="shared" si="23"/>
        <v>38.605500873665648</v>
      </c>
      <c r="YW14">
        <f t="shared" si="23"/>
        <v>38.465126148417767</v>
      </c>
      <c r="YX14">
        <f t="shared" si="23"/>
        <v>41.233126353272084</v>
      </c>
      <c r="YY14">
        <f t="shared" si="23"/>
        <v>41.20306170301177</v>
      </c>
      <c r="YZ14">
        <f t="shared" si="23"/>
        <v>38.648823797668427</v>
      </c>
      <c r="ZA14">
        <f t="shared" si="23"/>
        <v>45.173025072033852</v>
      </c>
      <c r="ZB14">
        <f t="shared" si="23"/>
        <v>41.214344263620077</v>
      </c>
      <c r="ZC14">
        <f t="shared" si="23"/>
        <v>40.350975472189717</v>
      </c>
      <c r="ZD14">
        <f t="shared" si="23"/>
        <v>38.953257623761012</v>
      </c>
      <c r="ZE14">
        <f t="shared" si="23"/>
        <v>40.541034865032998</v>
      </c>
      <c r="ZF14">
        <f t="shared" si="23"/>
        <v>42.895162154631628</v>
      </c>
      <c r="ZG14">
        <f t="shared" si="23"/>
        <v>43.279469262018438</v>
      </c>
      <c r="ZH14">
        <f t="shared" si="23"/>
        <v>44.076206758742295</v>
      </c>
      <c r="ZI14">
        <f t="shared" si="23"/>
        <v>43.606437351531866</v>
      </c>
      <c r="ZJ14">
        <f t="shared" si="23"/>
        <v>41.406100928249423</v>
      </c>
      <c r="ZK14">
        <f t="shared" si="23"/>
        <v>42.097774389368638</v>
      </c>
      <c r="ZL14">
        <f t="shared" si="23"/>
        <v>44.619661472535896</v>
      </c>
      <c r="ZM14">
        <f t="shared" si="23"/>
        <v>46.55021434474007</v>
      </c>
      <c r="ZN14">
        <f t="shared" si="23"/>
        <v>45.720254845901287</v>
      </c>
      <c r="ZO14">
        <f t="shared" si="23"/>
        <v>45.676778297930056</v>
      </c>
      <c r="ZP14">
        <f t="shared" si="23"/>
        <v>45.560971956771297</v>
      </c>
      <c r="ZQ14">
        <f t="shared" si="23"/>
        <v>42.9822272654309</v>
      </c>
      <c r="ZR14">
        <f t="shared" si="23"/>
        <v>42.65616384347171</v>
      </c>
      <c r="ZS14">
        <f t="shared" si="23"/>
        <v>39.559240155628721</v>
      </c>
      <c r="ZT14">
        <f t="shared" si="23"/>
        <v>42.918363553696828</v>
      </c>
      <c r="ZU14">
        <f t="shared" si="23"/>
        <v>38.226603857172236</v>
      </c>
      <c r="ZV14">
        <f t="shared" si="23"/>
        <v>37.158151558219785</v>
      </c>
      <c r="ZW14">
        <f t="shared" si="23"/>
        <v>35.386541821322218</v>
      </c>
      <c r="ZX14">
        <f t="shared" si="23"/>
        <v>35.323246555996114</v>
      </c>
      <c r="ZY14">
        <f t="shared" si="23"/>
        <v>36.033671429358392</v>
      </c>
      <c r="ZZ14">
        <f t="shared" si="23"/>
        <v>34.171171612015009</v>
      </c>
      <c r="AAA14">
        <f t="shared" si="23"/>
        <v>34.405958312475633</v>
      </c>
      <c r="AAB14">
        <f t="shared" si="23"/>
        <v>36.403984197292431</v>
      </c>
      <c r="AAC14">
        <f t="shared" si="23"/>
        <v>34.493473958248693</v>
      </c>
      <c r="AAD14">
        <f t="shared" si="23"/>
        <v>34.809790055632405</v>
      </c>
      <c r="AAE14">
        <f t="shared" si="23"/>
        <v>33.860155354731369</v>
      </c>
      <c r="AAF14">
        <f t="shared" ref="AAF14:ACQ17" si="24">AAE14*(1+AAF4/10)</f>
        <v>34.544388169025979</v>
      </c>
      <c r="AAG14">
        <f t="shared" si="24"/>
        <v>31.629785153899199</v>
      </c>
      <c r="AAH14">
        <f t="shared" si="24"/>
        <v>31.780735862661022</v>
      </c>
      <c r="AAI14">
        <f t="shared" si="24"/>
        <v>32.172109087055055</v>
      </c>
      <c r="AAJ14">
        <f t="shared" si="24"/>
        <v>33.633715694942751</v>
      </c>
      <c r="AAK14">
        <f t="shared" si="24"/>
        <v>31.898451698186875</v>
      </c>
      <c r="AAL14">
        <f t="shared" si="24"/>
        <v>32.262521048338947</v>
      </c>
      <c r="AAM14">
        <f t="shared" si="24"/>
        <v>30.757490014724304</v>
      </c>
      <c r="AAN14">
        <f t="shared" si="24"/>
        <v>32.572655174478136</v>
      </c>
      <c r="AAO14">
        <f t="shared" si="24"/>
        <v>34.763110459155754</v>
      </c>
      <c r="AAP14">
        <f t="shared" si="24"/>
        <v>40.830170700943398</v>
      </c>
      <c r="AAQ14">
        <f t="shared" si="24"/>
        <v>40.922158800936749</v>
      </c>
      <c r="AAR14">
        <f t="shared" si="24"/>
        <v>40.937095160170905</v>
      </c>
      <c r="AAS14">
        <f t="shared" si="24"/>
        <v>40.681391859850656</v>
      </c>
      <c r="AAT14">
        <f t="shared" si="24"/>
        <v>40.781829919116355</v>
      </c>
      <c r="AAU14">
        <f t="shared" si="24"/>
        <v>41.781436922887615</v>
      </c>
      <c r="AAV14">
        <f t="shared" si="24"/>
        <v>43.46805580189374</v>
      </c>
      <c r="AAW14">
        <f t="shared" si="24"/>
        <v>43.300723860098941</v>
      </c>
      <c r="AAX14">
        <f t="shared" si="24"/>
        <v>42.26666123368711</v>
      </c>
      <c r="AAY14">
        <f t="shared" si="24"/>
        <v>43.669192109109154</v>
      </c>
      <c r="AAZ14">
        <f t="shared" si="24"/>
        <v>41.95194115859411</v>
      </c>
      <c r="ABA14">
        <f t="shared" si="24"/>
        <v>45.33304161137675</v>
      </c>
      <c r="ABB14">
        <f t="shared" si="24"/>
        <v>42.743832577986467</v>
      </c>
      <c r="ABC14">
        <f t="shared" si="24"/>
        <v>42.564324236887664</v>
      </c>
      <c r="ABD14">
        <f t="shared" si="24"/>
        <v>45.227639973685825</v>
      </c>
      <c r="ABE14">
        <f t="shared" si="24"/>
        <v>43.898919956937917</v>
      </c>
      <c r="ABF14">
        <f t="shared" si="24"/>
        <v>45.583978023077378</v>
      </c>
      <c r="ABG14">
        <f t="shared" si="24"/>
        <v>44.994595358627144</v>
      </c>
      <c r="ABH14">
        <f t="shared" si="24"/>
        <v>44.230774675670169</v>
      </c>
      <c r="ABI14">
        <f t="shared" si="24"/>
        <v>45.59172854484774</v>
      </c>
      <c r="ABJ14">
        <f t="shared" si="24"/>
        <v>45.680644749625614</v>
      </c>
      <c r="ABK14">
        <f t="shared" si="24"/>
        <v>39.444081748462864</v>
      </c>
      <c r="ABL14">
        <f t="shared" si="24"/>
        <v>40.695350303710548</v>
      </c>
      <c r="ABM14">
        <f t="shared" si="24"/>
        <v>41.154516509381097</v>
      </c>
      <c r="ABN14">
        <f t="shared" si="24"/>
        <v>38.891156664716881</v>
      </c>
      <c r="ABO14">
        <f t="shared" si="24"/>
        <v>36.185850301697549</v>
      </c>
      <c r="ABP14">
        <f t="shared" si="24"/>
        <v>38.357473046038749</v>
      </c>
      <c r="ABQ14">
        <f t="shared" si="24"/>
        <v>38.167432068892118</v>
      </c>
      <c r="ABR14">
        <f t="shared" si="24"/>
        <v>37.934253304060199</v>
      </c>
      <c r="ABS14">
        <f t="shared" si="24"/>
        <v>37.786458276582259</v>
      </c>
      <c r="ABT14">
        <f t="shared" si="24"/>
        <v>38.174173467418392</v>
      </c>
      <c r="ABU14">
        <f t="shared" si="24"/>
        <v>38.027988950466387</v>
      </c>
      <c r="ABV14">
        <f t="shared" si="24"/>
        <v>34.413857624001913</v>
      </c>
      <c r="ABW14">
        <f t="shared" si="24"/>
        <v>36.116158781612114</v>
      </c>
      <c r="ABX14">
        <f t="shared" si="24"/>
        <v>44.988530237574686</v>
      </c>
      <c r="ABY14">
        <f t="shared" si="24"/>
        <v>44.33392368284899</v>
      </c>
      <c r="ABZ14">
        <f t="shared" si="24"/>
        <v>44.477813509797585</v>
      </c>
      <c r="ACA14">
        <f t="shared" si="24"/>
        <v>41.693494249263956</v>
      </c>
      <c r="ACB14">
        <f t="shared" si="24"/>
        <v>41.009031572799742</v>
      </c>
      <c r="ACC14">
        <f t="shared" si="24"/>
        <v>41.17387101320309</v>
      </c>
      <c r="ACD14">
        <f t="shared" si="24"/>
        <v>43.114434619523081</v>
      </c>
      <c r="ACE14">
        <f t="shared" si="24"/>
        <v>41.684148797579383</v>
      </c>
      <c r="ACF14">
        <f t="shared" si="24"/>
        <v>42.57684577787105</v>
      </c>
      <c r="ACG14">
        <f t="shared" si="24"/>
        <v>40.856758852710669</v>
      </c>
      <c r="ACH14">
        <f t="shared" si="24"/>
        <v>39.192674513467935</v>
      </c>
      <c r="ACI14">
        <f t="shared" si="24"/>
        <v>36.802303612190215</v>
      </c>
      <c r="ACJ14">
        <f t="shared" si="24"/>
        <v>35.747212639591602</v>
      </c>
      <c r="ACK14">
        <f t="shared" si="24"/>
        <v>41.367888913112267</v>
      </c>
      <c r="ACL14">
        <f t="shared" si="24"/>
        <v>41.02224453975159</v>
      </c>
      <c r="ACM14">
        <f t="shared" si="24"/>
        <v>41.060728236981298</v>
      </c>
      <c r="ACN14">
        <f t="shared" si="24"/>
        <v>40.567414217905181</v>
      </c>
      <c r="ACO14">
        <f t="shared" si="24"/>
        <v>40.820379036986061</v>
      </c>
      <c r="ACP14">
        <f t="shared" si="24"/>
        <v>38.279003323933701</v>
      </c>
      <c r="ACQ14">
        <f t="shared" si="24"/>
        <v>39.500122869223048</v>
      </c>
      <c r="ACR14">
        <f t="shared" ref="ACR14:ACV16" si="25">ACQ14*(1+ACR4/10)</f>
        <v>38.020649052466212</v>
      </c>
      <c r="ACS14">
        <f t="shared" si="25"/>
        <v>36.562609029238551</v>
      </c>
      <c r="ACT14">
        <f t="shared" si="25"/>
        <v>35.803902387998392</v>
      </c>
      <c r="ACU14">
        <f t="shared" si="25"/>
        <v>35.076970560907448</v>
      </c>
      <c r="ACV14">
        <f t="shared" si="25"/>
        <v>33.643325467244281</v>
      </c>
    </row>
    <row r="15" spans="1:776" x14ac:dyDescent="0.2">
      <c r="A15" s="6" t="s">
        <v>70655</v>
      </c>
      <c r="B15">
        <f t="shared" ref="B15:B20" si="26">$A$12*(1+B5/10)</f>
        <v>97.323977125361196</v>
      </c>
      <c r="C15">
        <f t="shared" ref="C15:R20" si="27">B15*(1+C5/10)</f>
        <v>93.732215647778347</v>
      </c>
      <c r="D15">
        <f t="shared" si="27"/>
        <v>90.151184621367278</v>
      </c>
      <c r="E15">
        <f t="shared" si="27"/>
        <v>92.094832271122968</v>
      </c>
      <c r="F15">
        <f t="shared" si="27"/>
        <v>98.933497498846663</v>
      </c>
      <c r="G15">
        <f t="shared" si="27"/>
        <v>95.176826097357477</v>
      </c>
      <c r="H15">
        <f t="shared" si="27"/>
        <v>94.278693537041491</v>
      </c>
      <c r="I15">
        <f t="shared" si="27"/>
        <v>89.991433485206898</v>
      </c>
      <c r="J15">
        <f t="shared" si="27"/>
        <v>90.520724873191739</v>
      </c>
      <c r="K15">
        <f t="shared" si="27"/>
        <v>90.70228681843345</v>
      </c>
      <c r="L15">
        <f t="shared" si="27"/>
        <v>87.56776689708893</v>
      </c>
      <c r="M15">
        <f t="shared" si="27"/>
        <v>103.14674355765611</v>
      </c>
      <c r="N15">
        <f t="shared" si="27"/>
        <v>111.13001348653734</v>
      </c>
      <c r="O15">
        <f t="shared" si="27"/>
        <v>103.26824360193655</v>
      </c>
      <c r="P15">
        <f t="shared" si="27"/>
        <v>102.51926333426313</v>
      </c>
      <c r="Q15">
        <f t="shared" si="27"/>
        <v>99.463976881031812</v>
      </c>
      <c r="R15">
        <f t="shared" si="27"/>
        <v>95.279586199109715</v>
      </c>
      <c r="S15">
        <f t="shared" si="13"/>
        <v>99.882882345287157</v>
      </c>
      <c r="T15">
        <f t="shared" si="13"/>
        <v>99.832808744007735</v>
      </c>
      <c r="U15">
        <f t="shared" si="13"/>
        <v>98.920468494125302</v>
      </c>
      <c r="V15">
        <f t="shared" si="13"/>
        <v>96.443886962376425</v>
      </c>
      <c r="W15">
        <f t="shared" si="13"/>
        <v>96.600636780833469</v>
      </c>
      <c r="X15">
        <f t="shared" si="13"/>
        <v>91.287482963950865</v>
      </c>
      <c r="Y15">
        <f t="shared" si="13"/>
        <v>95.626688663228563</v>
      </c>
      <c r="Z15">
        <f t="shared" si="13"/>
        <v>100.9439008158796</v>
      </c>
      <c r="AA15">
        <f t="shared" si="13"/>
        <v>96.294462289697449</v>
      </c>
      <c r="AB15">
        <f t="shared" si="13"/>
        <v>97.372447391641614</v>
      </c>
      <c r="AC15">
        <f t="shared" si="13"/>
        <v>101.75551094423929</v>
      </c>
      <c r="AD15">
        <f t="shared" si="13"/>
        <v>104.65636453500608</v>
      </c>
      <c r="AE15">
        <f t="shared" si="13"/>
        <v>97.832233530325567</v>
      </c>
      <c r="AF15">
        <f t="shared" si="13"/>
        <v>102.69355331725765</v>
      </c>
      <c r="AG15">
        <f t="shared" si="13"/>
        <v>100.7335176854218</v>
      </c>
      <c r="AH15">
        <f t="shared" si="13"/>
        <v>105.53333255230029</v>
      </c>
      <c r="AI15">
        <f t="shared" si="13"/>
        <v>101.21893257493136</v>
      </c>
      <c r="AJ15">
        <f t="shared" si="13"/>
        <v>102.1099784661933</v>
      </c>
      <c r="AK15">
        <f t="shared" si="13"/>
        <v>99.610999920451846</v>
      </c>
      <c r="AL15">
        <f t="shared" si="13"/>
        <v>91.387301789977286</v>
      </c>
      <c r="AM15">
        <f t="shared" si="13"/>
        <v>86.190403691086729</v>
      </c>
      <c r="AN15">
        <f t="shared" si="13"/>
        <v>91.65243742197039</v>
      </c>
      <c r="AO15">
        <f t="shared" si="13"/>
        <v>86.645512251497109</v>
      </c>
      <c r="AP15">
        <f t="shared" si="13"/>
        <v>85.643319870687449</v>
      </c>
      <c r="AQ15">
        <f t="shared" si="13"/>
        <v>88.75007695113311</v>
      </c>
      <c r="AR15">
        <f t="shared" si="13"/>
        <v>85.891116482205149</v>
      </c>
      <c r="AS15">
        <f t="shared" si="13"/>
        <v>80.917471039512975</v>
      </c>
      <c r="AT15">
        <f t="shared" si="13"/>
        <v>79.86710020355126</v>
      </c>
      <c r="AU15">
        <f t="shared" si="13"/>
        <v>74.313830689742687</v>
      </c>
      <c r="AV15">
        <f t="shared" si="13"/>
        <v>66.519319764469998</v>
      </c>
      <c r="AW15">
        <f t="shared" si="13"/>
        <v>73.160162430563418</v>
      </c>
      <c r="AX15">
        <f t="shared" si="13"/>
        <v>72.240524560068991</v>
      </c>
      <c r="AY15">
        <f t="shared" si="13"/>
        <v>71.675262060018156</v>
      </c>
      <c r="AZ15">
        <f t="shared" si="13"/>
        <v>71.186818189092719</v>
      </c>
      <c r="BA15">
        <f t="shared" si="13"/>
        <v>63.433034149835095</v>
      </c>
      <c r="BB15">
        <f t="shared" si="13"/>
        <v>59.551297421702635</v>
      </c>
      <c r="BC15">
        <f t="shared" si="13"/>
        <v>59.053302261938846</v>
      </c>
      <c r="BD15">
        <f t="shared" si="13"/>
        <v>58.661317153639892</v>
      </c>
      <c r="BE15">
        <f t="shared" si="13"/>
        <v>59.517879559794174</v>
      </c>
      <c r="BF15">
        <f t="shared" si="13"/>
        <v>59.658457047475707</v>
      </c>
      <c r="BG15">
        <f t="shared" si="13"/>
        <v>61.398252463240489</v>
      </c>
      <c r="BH15">
        <f t="shared" si="13"/>
        <v>54.919982584477516</v>
      </c>
      <c r="BI15">
        <f t="shared" si="13"/>
        <v>52.299236862664962</v>
      </c>
      <c r="BJ15">
        <f t="shared" si="13"/>
        <v>53.803947065980331</v>
      </c>
      <c r="BK15">
        <f t="shared" si="13"/>
        <v>51.615366684058685</v>
      </c>
      <c r="BL15">
        <f t="shared" si="13"/>
        <v>53.115143220985978</v>
      </c>
      <c r="BM15">
        <f t="shared" si="13"/>
        <v>51.176606363847483</v>
      </c>
      <c r="BN15">
        <f t="shared" si="13"/>
        <v>48.015166213212339</v>
      </c>
      <c r="BO15">
        <f t="shared" si="13"/>
        <v>46.4033105063085</v>
      </c>
      <c r="BP15">
        <f t="shared" si="14"/>
        <v>46.074463285883446</v>
      </c>
      <c r="BQ15">
        <f t="shared" si="14"/>
        <v>48.66995433525323</v>
      </c>
      <c r="BR15">
        <f t="shared" si="14"/>
        <v>46.347084402221547</v>
      </c>
      <c r="BS15">
        <f t="shared" si="14"/>
        <v>43.65797785801643</v>
      </c>
      <c r="BT15">
        <f t="shared" si="14"/>
        <v>38.942436352870899</v>
      </c>
      <c r="BU15">
        <f t="shared" si="14"/>
        <v>38.812925851474311</v>
      </c>
      <c r="BV15">
        <f t="shared" si="14"/>
        <v>40.279700210586832</v>
      </c>
      <c r="BW15">
        <f t="shared" si="14"/>
        <v>41.75722130192846</v>
      </c>
      <c r="BX15">
        <f t="shared" si="14"/>
        <v>41.207961223178771</v>
      </c>
      <c r="BY15">
        <f t="shared" si="14"/>
        <v>40.759347988355628</v>
      </c>
      <c r="BZ15">
        <f t="shared" si="14"/>
        <v>43.107209147337301</v>
      </c>
      <c r="CA15">
        <f t="shared" si="14"/>
        <v>42.401463728617109</v>
      </c>
      <c r="CB15">
        <f t="shared" si="14"/>
        <v>41.448909685523752</v>
      </c>
      <c r="CC15">
        <f t="shared" si="14"/>
        <v>43.657030109946206</v>
      </c>
      <c r="CD15">
        <f t="shared" si="14"/>
        <v>41.72376089844775</v>
      </c>
      <c r="CE15">
        <f t="shared" si="14"/>
        <v>39.055604444369358</v>
      </c>
      <c r="CF15">
        <f t="shared" si="14"/>
        <v>41.18310571123758</v>
      </c>
      <c r="CG15">
        <f t="shared" si="14"/>
        <v>39.227637622561041</v>
      </c>
      <c r="CH15">
        <f t="shared" si="14"/>
        <v>37.657880090081186</v>
      </c>
      <c r="CI15">
        <f t="shared" si="14"/>
        <v>39.273311813446774</v>
      </c>
      <c r="CJ15">
        <f t="shared" si="14"/>
        <v>40.233618091964374</v>
      </c>
      <c r="CK15">
        <f t="shared" si="14"/>
        <v>40.862019948674629</v>
      </c>
      <c r="CL15">
        <f t="shared" si="14"/>
        <v>42.440166276214363</v>
      </c>
      <c r="CM15">
        <f t="shared" si="14"/>
        <v>46.019676594482831</v>
      </c>
      <c r="CN15">
        <f t="shared" si="14"/>
        <v>44.534134945974934</v>
      </c>
      <c r="CO15">
        <f t="shared" si="14"/>
        <v>44.130228892820831</v>
      </c>
      <c r="CP15">
        <f t="shared" si="14"/>
        <v>44.186022887373824</v>
      </c>
      <c r="CQ15">
        <f t="shared" si="14"/>
        <v>43.065548890752545</v>
      </c>
      <c r="CR15">
        <f t="shared" si="14"/>
        <v>46.592458635291052</v>
      </c>
      <c r="CS15">
        <f t="shared" si="14"/>
        <v>42.982147048382359</v>
      </c>
      <c r="CT15">
        <f t="shared" si="14"/>
        <v>38.6651214188959</v>
      </c>
      <c r="CU15">
        <f t="shared" si="14"/>
        <v>39.045954426886759</v>
      </c>
      <c r="CV15">
        <f t="shared" si="14"/>
        <v>39.376754162418173</v>
      </c>
      <c r="CW15">
        <f t="shared" si="14"/>
        <v>37.649384244008687</v>
      </c>
      <c r="CX15">
        <f t="shared" si="14"/>
        <v>37.48715971040469</v>
      </c>
      <c r="CY15">
        <f t="shared" si="14"/>
        <v>35.858136085589877</v>
      </c>
      <c r="CZ15">
        <f t="shared" si="14"/>
        <v>37.34918820910935</v>
      </c>
      <c r="DA15">
        <f t="shared" si="14"/>
        <v>36.927155578377452</v>
      </c>
      <c r="DB15">
        <f t="shared" si="14"/>
        <v>35.434051823024483</v>
      </c>
      <c r="DC15">
        <f t="shared" si="14"/>
        <v>35.484848836736063</v>
      </c>
      <c r="DD15">
        <f t="shared" si="14"/>
        <v>34.678376057140056</v>
      </c>
      <c r="DE15">
        <f t="shared" si="14"/>
        <v>37.116945064857141</v>
      </c>
      <c r="DF15">
        <f t="shared" si="14"/>
        <v>34.555982226131611</v>
      </c>
      <c r="DG15">
        <f t="shared" si="14"/>
        <v>34.4134812962021</v>
      </c>
      <c r="DH15">
        <f t="shared" si="14"/>
        <v>33.345520145280119</v>
      </c>
      <c r="DI15">
        <f t="shared" si="14"/>
        <v>35.284112481213157</v>
      </c>
      <c r="DJ15">
        <f t="shared" si="14"/>
        <v>34.916774164925805</v>
      </c>
      <c r="DK15">
        <f t="shared" si="14"/>
        <v>36.75940726132373</v>
      </c>
      <c r="DL15">
        <f t="shared" si="14"/>
        <v>38.425743420511012</v>
      </c>
      <c r="DM15">
        <f t="shared" si="14"/>
        <v>39.213214563209952</v>
      </c>
      <c r="DN15">
        <f t="shared" si="14"/>
        <v>37.861667665715252</v>
      </c>
      <c r="DO15">
        <f t="shared" si="14"/>
        <v>38.646469833664682</v>
      </c>
      <c r="DP15">
        <f t="shared" si="14"/>
        <v>38.855699506351144</v>
      </c>
      <c r="DQ15">
        <f t="shared" si="14"/>
        <v>37.339910075826047</v>
      </c>
      <c r="DR15">
        <f t="shared" si="14"/>
        <v>38.344925079768096</v>
      </c>
      <c r="DS15">
        <f t="shared" si="14"/>
        <v>38.5806477669828</v>
      </c>
      <c r="DT15">
        <f t="shared" si="14"/>
        <v>40.049428734723172</v>
      </c>
      <c r="DU15">
        <f t="shared" si="14"/>
        <v>39.076090293581622</v>
      </c>
      <c r="DV15">
        <f t="shared" si="14"/>
        <v>38.496226580140444</v>
      </c>
      <c r="DW15">
        <f t="shared" si="14"/>
        <v>35.980658176008824</v>
      </c>
      <c r="DX15">
        <f t="shared" si="14"/>
        <v>36.144903574707349</v>
      </c>
      <c r="DY15">
        <f t="shared" si="14"/>
        <v>35.914292400298763</v>
      </c>
      <c r="DZ15">
        <f t="shared" si="14"/>
        <v>35.486925284264451</v>
      </c>
      <c r="EA15">
        <f t="shared" si="14"/>
        <v>37.139067917521338</v>
      </c>
      <c r="EB15">
        <f t="shared" si="15"/>
        <v>39.046846719264543</v>
      </c>
      <c r="EC15">
        <f t="shared" si="15"/>
        <v>40.688198436844061</v>
      </c>
      <c r="ED15">
        <f t="shared" si="15"/>
        <v>41.417368250349647</v>
      </c>
      <c r="EE15">
        <f t="shared" si="15"/>
        <v>42.15748952186631</v>
      </c>
      <c r="EF15">
        <f t="shared" si="15"/>
        <v>42.798819472112974</v>
      </c>
      <c r="EG15">
        <f t="shared" si="15"/>
        <v>41.651735266341177</v>
      </c>
      <c r="EH15">
        <f t="shared" si="15"/>
        <v>43.246756833839463</v>
      </c>
      <c r="EI15">
        <f t="shared" si="15"/>
        <v>44.271033274161702</v>
      </c>
      <c r="EJ15">
        <f t="shared" si="15"/>
        <v>44.138840977502511</v>
      </c>
      <c r="EK15">
        <f t="shared" si="15"/>
        <v>44.676275573637554</v>
      </c>
      <c r="EL15">
        <f t="shared" si="15"/>
        <v>43.59026735885535</v>
      </c>
      <c r="EM15">
        <f t="shared" si="15"/>
        <v>41.596371348782029</v>
      </c>
      <c r="EN15">
        <f t="shared" si="15"/>
        <v>42.520175450992099</v>
      </c>
      <c r="EO15">
        <f t="shared" si="15"/>
        <v>39.908075093678541</v>
      </c>
      <c r="EP15">
        <f t="shared" si="15"/>
        <v>40.153080932127807</v>
      </c>
      <c r="EQ15">
        <f t="shared" si="15"/>
        <v>44.260775771749941</v>
      </c>
      <c r="ER15">
        <f t="shared" si="15"/>
        <v>47.457072391799741</v>
      </c>
      <c r="ES15">
        <f t="shared" si="15"/>
        <v>49.461526856088497</v>
      </c>
      <c r="ET15">
        <f t="shared" si="15"/>
        <v>49.222321550248211</v>
      </c>
      <c r="EU15">
        <f t="shared" si="15"/>
        <v>49.414576322135673</v>
      </c>
      <c r="EV15">
        <f t="shared" si="15"/>
        <v>48.708000709470696</v>
      </c>
      <c r="EW15">
        <f t="shared" si="15"/>
        <v>50.004039470667799</v>
      </c>
      <c r="EX15">
        <f t="shared" si="15"/>
        <v>47.975511596329127</v>
      </c>
      <c r="EY15">
        <f t="shared" si="15"/>
        <v>49.723206093984892</v>
      </c>
      <c r="EZ15">
        <f t="shared" si="15"/>
        <v>49.527583000429537</v>
      </c>
      <c r="FA15">
        <f t="shared" si="15"/>
        <v>49.214840089551203</v>
      </c>
      <c r="FB15">
        <f t="shared" si="15"/>
        <v>49.785870409570158</v>
      </c>
      <c r="FC15">
        <f t="shared" si="15"/>
        <v>48.704558450514249</v>
      </c>
      <c r="FD15">
        <f t="shared" si="15"/>
        <v>49.511435989885157</v>
      </c>
      <c r="FE15">
        <f t="shared" si="15"/>
        <v>48.026531606374448</v>
      </c>
      <c r="FF15">
        <f t="shared" si="15"/>
        <v>47.898694225797854</v>
      </c>
      <c r="FG15">
        <f t="shared" si="15"/>
        <v>45.656650929951084</v>
      </c>
      <c r="FH15">
        <f t="shared" si="15"/>
        <v>45.958127411236653</v>
      </c>
      <c r="FI15">
        <f t="shared" si="15"/>
        <v>44.277500414960635</v>
      </c>
      <c r="FJ15">
        <f t="shared" si="15"/>
        <v>43.372448521025582</v>
      </c>
      <c r="FK15">
        <f t="shared" si="15"/>
        <v>44.40051166763557</v>
      </c>
      <c r="FL15">
        <f t="shared" si="15"/>
        <v>45.788786645476975</v>
      </c>
      <c r="FM15">
        <f t="shared" si="15"/>
        <v>44.22741892798625</v>
      </c>
      <c r="FN15">
        <f t="shared" si="15"/>
        <v>43.40840187221589</v>
      </c>
      <c r="FO15">
        <f t="shared" si="15"/>
        <v>42.495617289120197</v>
      </c>
      <c r="FP15">
        <f t="shared" si="15"/>
        <v>41.639593272217205</v>
      </c>
      <c r="FQ15">
        <f t="shared" si="15"/>
        <v>40.889008482912018</v>
      </c>
      <c r="FR15">
        <f t="shared" si="15"/>
        <v>40.632543731808155</v>
      </c>
      <c r="FS15">
        <f t="shared" si="15"/>
        <v>42.954413778252309</v>
      </c>
      <c r="FT15">
        <f t="shared" si="15"/>
        <v>42.445579210121807</v>
      </c>
      <c r="FU15">
        <f t="shared" si="15"/>
        <v>43.650470963153417</v>
      </c>
      <c r="FV15">
        <f t="shared" si="15"/>
        <v>43.617553020556215</v>
      </c>
      <c r="FW15">
        <f t="shared" si="15"/>
        <v>42.36037530400683</v>
      </c>
      <c r="FX15">
        <f t="shared" si="15"/>
        <v>42.659264270912196</v>
      </c>
      <c r="FY15">
        <f t="shared" si="15"/>
        <v>43.499026252424294</v>
      </c>
      <c r="FZ15">
        <f t="shared" si="15"/>
        <v>43.647455937673897</v>
      </c>
      <c r="GA15">
        <f t="shared" si="15"/>
        <v>44.011721991068704</v>
      </c>
      <c r="GB15">
        <f t="shared" si="15"/>
        <v>42.554021127143677</v>
      </c>
      <c r="GC15">
        <f t="shared" si="15"/>
        <v>47.411850502575007</v>
      </c>
      <c r="GD15">
        <f t="shared" si="15"/>
        <v>46.134217490411793</v>
      </c>
      <c r="GE15">
        <f t="shared" si="15"/>
        <v>50.147196517619015</v>
      </c>
      <c r="GF15">
        <f t="shared" si="15"/>
        <v>53.31808755288499</v>
      </c>
      <c r="GG15">
        <f t="shared" si="15"/>
        <v>52.403974978747002</v>
      </c>
      <c r="GH15">
        <f t="shared" si="15"/>
        <v>54.339720645921204</v>
      </c>
      <c r="GI15">
        <f t="shared" si="15"/>
        <v>53.332281714591623</v>
      </c>
      <c r="GJ15">
        <f t="shared" si="15"/>
        <v>48.718548081419883</v>
      </c>
      <c r="GK15">
        <f t="shared" si="15"/>
        <v>47.53237452957633</v>
      </c>
      <c r="GL15">
        <f t="shared" si="15"/>
        <v>44.494032851663462</v>
      </c>
      <c r="GM15">
        <f t="shared" si="15"/>
        <v>44.220793849387981</v>
      </c>
      <c r="GN15">
        <f t="shared" si="16"/>
        <v>43.379636656593277</v>
      </c>
      <c r="GO15">
        <f t="shared" si="16"/>
        <v>42.679666697093019</v>
      </c>
      <c r="GP15">
        <f t="shared" si="16"/>
        <v>38.042516023377104</v>
      </c>
      <c r="GQ15">
        <f t="shared" si="16"/>
        <v>37.738961574141847</v>
      </c>
      <c r="GR15">
        <f t="shared" si="16"/>
        <v>39.577576583752354</v>
      </c>
      <c r="GS15">
        <f t="shared" si="16"/>
        <v>41.202663840171233</v>
      </c>
      <c r="GT15">
        <f t="shared" si="16"/>
        <v>41.013533292499851</v>
      </c>
      <c r="GU15">
        <f t="shared" si="16"/>
        <v>39.758766902491914</v>
      </c>
      <c r="GV15">
        <f t="shared" si="16"/>
        <v>40.225499570629594</v>
      </c>
      <c r="GW15">
        <f t="shared" si="16"/>
        <v>39.983649643626748</v>
      </c>
      <c r="GX15">
        <f t="shared" si="16"/>
        <v>40.337488182287679</v>
      </c>
      <c r="GY15">
        <f t="shared" si="16"/>
        <v>42.22590555551011</v>
      </c>
      <c r="GZ15">
        <f t="shared" si="16"/>
        <v>40.464809667807174</v>
      </c>
      <c r="HA15">
        <f t="shared" si="16"/>
        <v>39.641247696299267</v>
      </c>
      <c r="HB15">
        <f t="shared" si="16"/>
        <v>39.222164157088294</v>
      </c>
      <c r="HC15">
        <f t="shared" si="16"/>
        <v>42.359670577318248</v>
      </c>
      <c r="HD15">
        <f t="shared" si="16"/>
        <v>42.187488238555744</v>
      </c>
      <c r="HE15">
        <f t="shared" si="16"/>
        <v>40.084268221160542</v>
      </c>
      <c r="HF15">
        <f t="shared" si="16"/>
        <v>39.669056955765129</v>
      </c>
      <c r="HG15">
        <f t="shared" si="16"/>
        <v>38.170307061473437</v>
      </c>
      <c r="HH15">
        <f t="shared" si="16"/>
        <v>38.252482165199233</v>
      </c>
      <c r="HI15">
        <f t="shared" si="16"/>
        <v>37.441229606831023</v>
      </c>
      <c r="HJ15">
        <f t="shared" si="16"/>
        <v>36.255758108285846</v>
      </c>
      <c r="HK15">
        <f t="shared" si="16"/>
        <v>36.468763071510402</v>
      </c>
      <c r="HL15">
        <f t="shared" si="16"/>
        <v>35.448715501443765</v>
      </c>
      <c r="HM15">
        <f t="shared" si="16"/>
        <v>35.060403835818398</v>
      </c>
      <c r="HN15">
        <f t="shared" si="16"/>
        <v>33.326944050321842</v>
      </c>
      <c r="HO15">
        <f t="shared" si="16"/>
        <v>35.396727110335199</v>
      </c>
      <c r="HP15">
        <f t="shared" si="16"/>
        <v>35.122460491826963</v>
      </c>
      <c r="HQ15">
        <f t="shared" si="16"/>
        <v>33.473974052956741</v>
      </c>
      <c r="HR15">
        <f t="shared" si="16"/>
        <v>35.868510388009959</v>
      </c>
      <c r="HS15">
        <f t="shared" si="16"/>
        <v>34.193261983437999</v>
      </c>
      <c r="HT15">
        <f t="shared" si="16"/>
        <v>31.228294077829716</v>
      </c>
      <c r="HU15">
        <f t="shared" si="16"/>
        <v>31.879718592908926</v>
      </c>
      <c r="HV15">
        <f t="shared" si="16"/>
        <v>30.572892953913851</v>
      </c>
      <c r="HW15">
        <f t="shared" si="16"/>
        <v>30.197018498139624</v>
      </c>
      <c r="HX15">
        <f t="shared" si="16"/>
        <v>30.436277076872734</v>
      </c>
      <c r="HY15">
        <f t="shared" si="16"/>
        <v>33.200799105373463</v>
      </c>
      <c r="HZ15">
        <f t="shared" si="16"/>
        <v>34.209388060145251</v>
      </c>
      <c r="IA15">
        <f t="shared" si="16"/>
        <v>32.571162764186504</v>
      </c>
      <c r="IB15">
        <f t="shared" si="16"/>
        <v>33.194109952599028</v>
      </c>
      <c r="IC15">
        <f t="shared" si="16"/>
        <v>33.089252970418045</v>
      </c>
      <c r="ID15">
        <f t="shared" si="16"/>
        <v>31.92068805366636</v>
      </c>
      <c r="IE15">
        <f t="shared" si="16"/>
        <v>30.600133848938121</v>
      </c>
      <c r="IF15">
        <f t="shared" si="16"/>
        <v>30.520795906823867</v>
      </c>
      <c r="IG15">
        <f t="shared" si="16"/>
        <v>30.834761478689785</v>
      </c>
      <c r="IH15">
        <f t="shared" si="16"/>
        <v>30.887418216781466</v>
      </c>
      <c r="II15">
        <f t="shared" si="16"/>
        <v>33.288195076240825</v>
      </c>
      <c r="IJ15">
        <f t="shared" si="16"/>
        <v>31.946170986165804</v>
      </c>
      <c r="IK15">
        <f t="shared" si="16"/>
        <v>33.613387816218996</v>
      </c>
      <c r="IL15">
        <f t="shared" si="16"/>
        <v>35.858245798134419</v>
      </c>
      <c r="IM15">
        <f t="shared" si="16"/>
        <v>36.187703018442257</v>
      </c>
      <c r="IN15">
        <f t="shared" si="16"/>
        <v>33.410804892159462</v>
      </c>
      <c r="IO15">
        <f t="shared" si="16"/>
        <v>33.578920815042586</v>
      </c>
      <c r="IP15">
        <f t="shared" si="16"/>
        <v>33.294065057406193</v>
      </c>
      <c r="IQ15">
        <f t="shared" si="16"/>
        <v>34.156692747125817</v>
      </c>
      <c r="IR15">
        <f t="shared" si="16"/>
        <v>34.804960771938767</v>
      </c>
      <c r="IS15">
        <f t="shared" si="16"/>
        <v>33.842914659710232</v>
      </c>
      <c r="IT15">
        <f t="shared" si="16"/>
        <v>34.574989405701004</v>
      </c>
      <c r="IU15">
        <f t="shared" si="16"/>
        <v>36.068000198333038</v>
      </c>
      <c r="IV15">
        <f t="shared" si="16"/>
        <v>36.734959677525389</v>
      </c>
      <c r="IW15">
        <f t="shared" si="16"/>
        <v>36.031295941241133</v>
      </c>
      <c r="IX15">
        <f t="shared" si="16"/>
        <v>35.472891337193055</v>
      </c>
      <c r="IY15">
        <f t="shared" si="16"/>
        <v>35.310026916953753</v>
      </c>
      <c r="IZ15">
        <f t="shared" si="17"/>
        <v>34.977217090938936</v>
      </c>
      <c r="JA15">
        <f t="shared" si="17"/>
        <v>34.425987100708866</v>
      </c>
      <c r="JB15">
        <f t="shared" si="17"/>
        <v>35.709214627622082</v>
      </c>
      <c r="JC15">
        <f t="shared" si="17"/>
        <v>34.760706588238278</v>
      </c>
      <c r="JD15">
        <f t="shared" si="17"/>
        <v>36.102071947794343</v>
      </c>
      <c r="JE15">
        <f t="shared" si="17"/>
        <v>38.980351353462872</v>
      </c>
      <c r="JF15">
        <f t="shared" si="17"/>
        <v>39.504637610366146</v>
      </c>
      <c r="JG15">
        <f t="shared" si="17"/>
        <v>38.769086828573769</v>
      </c>
      <c r="JH15">
        <f t="shared" si="17"/>
        <v>39.005140431869158</v>
      </c>
      <c r="JI15">
        <f t="shared" si="17"/>
        <v>40.005416656543815</v>
      </c>
      <c r="JJ15">
        <f t="shared" si="17"/>
        <v>41.22075995557158</v>
      </c>
      <c r="JK15">
        <f t="shared" si="17"/>
        <v>42.821271007457746</v>
      </c>
      <c r="JL15">
        <f t="shared" si="17"/>
        <v>44.341868513270477</v>
      </c>
      <c r="JM15">
        <f t="shared" si="17"/>
        <v>43.224631473500779</v>
      </c>
      <c r="JN15">
        <f t="shared" si="17"/>
        <v>44.623385144542731</v>
      </c>
      <c r="JO15">
        <f t="shared" si="17"/>
        <v>47.687359556232302</v>
      </c>
      <c r="JP15">
        <f t="shared" si="17"/>
        <v>45.6905109690057</v>
      </c>
      <c r="JQ15">
        <f t="shared" si="17"/>
        <v>44.272394853165792</v>
      </c>
      <c r="JR15">
        <f t="shared" si="17"/>
        <v>44.218482995574391</v>
      </c>
      <c r="JS15">
        <f t="shared" si="17"/>
        <v>44.263848684792471</v>
      </c>
      <c r="JT15">
        <f t="shared" si="17"/>
        <v>43.633475736485572</v>
      </c>
      <c r="JU15">
        <f t="shared" si="17"/>
        <v>45.541927363893386</v>
      </c>
      <c r="JV15">
        <f t="shared" si="17"/>
        <v>46.642004522696411</v>
      </c>
      <c r="JW15">
        <f t="shared" si="17"/>
        <v>43.597092177720313</v>
      </c>
      <c r="JX15">
        <f t="shared" si="17"/>
        <v>43.814393475103344</v>
      </c>
      <c r="JY15">
        <f t="shared" si="17"/>
        <v>44.930385505538268</v>
      </c>
      <c r="JZ15">
        <f t="shared" si="17"/>
        <v>45.164707263803187</v>
      </c>
      <c r="KA15">
        <f t="shared" si="17"/>
        <v>43.740701713425814</v>
      </c>
      <c r="KB15">
        <f t="shared" si="17"/>
        <v>41.166240686696973</v>
      </c>
      <c r="KC15">
        <f t="shared" si="17"/>
        <v>39.545958353295077</v>
      </c>
      <c r="KD15">
        <f t="shared" si="17"/>
        <v>39.555682518230647</v>
      </c>
      <c r="KE15">
        <f t="shared" si="17"/>
        <v>37.819492548565144</v>
      </c>
      <c r="KF15">
        <f t="shared" si="17"/>
        <v>39.686185867737599</v>
      </c>
      <c r="KG15">
        <f t="shared" si="17"/>
        <v>38.916829336493308</v>
      </c>
      <c r="KH15">
        <f t="shared" si="17"/>
        <v>38.714127883184602</v>
      </c>
      <c r="KI15">
        <f t="shared" si="17"/>
        <v>36.478141756711302</v>
      </c>
      <c r="KJ15">
        <f t="shared" si="17"/>
        <v>36.226894221215375</v>
      </c>
      <c r="KK15">
        <f t="shared" si="17"/>
        <v>37.880438413721137</v>
      </c>
      <c r="KL15">
        <f t="shared" si="17"/>
        <v>37.685852808905437</v>
      </c>
      <c r="KM15">
        <f t="shared" si="17"/>
        <v>36.939773372871343</v>
      </c>
      <c r="KN15">
        <f t="shared" si="17"/>
        <v>36.315788909900796</v>
      </c>
      <c r="KO15">
        <f t="shared" si="17"/>
        <v>35.600859744407323</v>
      </c>
      <c r="KP15">
        <f t="shared" si="17"/>
        <v>31.879109524534837</v>
      </c>
      <c r="KQ15">
        <f t="shared" si="17"/>
        <v>31.740041694743873</v>
      </c>
      <c r="KR15">
        <f t="shared" si="17"/>
        <v>33.921543505960855</v>
      </c>
      <c r="KS15">
        <f t="shared" si="17"/>
        <v>35.076030442912248</v>
      </c>
      <c r="KT15">
        <f t="shared" si="17"/>
        <v>35.419327801916204</v>
      </c>
      <c r="KU15">
        <f t="shared" si="17"/>
        <v>34.777906946185134</v>
      </c>
      <c r="KV15">
        <f t="shared" si="17"/>
        <v>34.634743922817279</v>
      </c>
      <c r="KW15">
        <f t="shared" si="17"/>
        <v>34.381143339135818</v>
      </c>
      <c r="KX15">
        <f t="shared" si="17"/>
        <v>33.995304574123416</v>
      </c>
      <c r="KY15">
        <f t="shared" si="17"/>
        <v>32.864573317719433</v>
      </c>
      <c r="KZ15">
        <f t="shared" si="17"/>
        <v>32.376517994442025</v>
      </c>
      <c r="LA15">
        <f t="shared" si="17"/>
        <v>32.161289299866283</v>
      </c>
      <c r="LB15">
        <f t="shared" si="17"/>
        <v>33.63619750037634</v>
      </c>
      <c r="LC15">
        <f t="shared" si="17"/>
        <v>32.947297135237505</v>
      </c>
      <c r="LD15">
        <f t="shared" si="17"/>
        <v>33.52339287123489</v>
      </c>
      <c r="LE15">
        <f t="shared" si="17"/>
        <v>31.624470157994281</v>
      </c>
      <c r="LF15">
        <f t="shared" si="17"/>
        <v>33.352578047050656</v>
      </c>
      <c r="LG15">
        <f t="shared" si="17"/>
        <v>35.503084992862568</v>
      </c>
      <c r="LH15">
        <f t="shared" si="17"/>
        <v>36.564574730448442</v>
      </c>
      <c r="LI15">
        <f t="shared" si="17"/>
        <v>35.582153656741141</v>
      </c>
      <c r="LJ15">
        <f t="shared" si="17"/>
        <v>37.080088000971088</v>
      </c>
      <c r="LK15">
        <f t="shared" si="17"/>
        <v>35.262574841587181</v>
      </c>
      <c r="LL15">
        <f t="shared" si="18"/>
        <v>36.044458423004421</v>
      </c>
      <c r="LM15">
        <f t="shared" si="18"/>
        <v>35.224923622278538</v>
      </c>
      <c r="LN15">
        <f t="shared" si="18"/>
        <v>35.978486007078061</v>
      </c>
      <c r="LO15">
        <f t="shared" si="18"/>
        <v>36.253561974384063</v>
      </c>
      <c r="LP15">
        <f t="shared" si="18"/>
        <v>35.125218861726779</v>
      </c>
      <c r="LQ15">
        <f t="shared" si="18"/>
        <v>33.684768797417078</v>
      </c>
      <c r="LR15">
        <f t="shared" si="18"/>
        <v>33.631560270851196</v>
      </c>
      <c r="LS15">
        <f t="shared" si="18"/>
        <v>34.541484156505994</v>
      </c>
      <c r="LT15">
        <f t="shared" si="18"/>
        <v>32.791674833927814</v>
      </c>
      <c r="LU15">
        <f t="shared" si="18"/>
        <v>32.583398812418423</v>
      </c>
      <c r="LV15">
        <f t="shared" si="18"/>
        <v>32.241527699943781</v>
      </c>
      <c r="LW15">
        <f t="shared" si="18"/>
        <v>33.598465595381818</v>
      </c>
      <c r="LX15">
        <f t="shared" si="18"/>
        <v>34.48670454116229</v>
      </c>
      <c r="LY15">
        <f t="shared" si="18"/>
        <v>34.416548711419011</v>
      </c>
      <c r="LZ15">
        <f t="shared" si="18"/>
        <v>35.531936157405696</v>
      </c>
      <c r="MA15">
        <f t="shared" si="18"/>
        <v>34.643315075005368</v>
      </c>
      <c r="MB15">
        <f t="shared" si="18"/>
        <v>34.812971287410129</v>
      </c>
      <c r="MC15">
        <f t="shared" si="18"/>
        <v>34.725500120889677</v>
      </c>
      <c r="MD15">
        <f t="shared" si="18"/>
        <v>38.277965819724422</v>
      </c>
      <c r="ME15">
        <f t="shared" si="18"/>
        <v>37.138339203616411</v>
      </c>
      <c r="MF15">
        <f t="shared" si="18"/>
        <v>36.383965802258032</v>
      </c>
      <c r="MG15">
        <f t="shared" si="18"/>
        <v>36.400938002420141</v>
      </c>
      <c r="MH15">
        <f t="shared" si="18"/>
        <v>35.52056605377205</v>
      </c>
      <c r="MI15">
        <f t="shared" si="18"/>
        <v>36.125478272691716</v>
      </c>
      <c r="MJ15">
        <f t="shared" si="18"/>
        <v>35.401939928259921</v>
      </c>
      <c r="MK15">
        <f t="shared" si="18"/>
        <v>35.772109304764946</v>
      </c>
      <c r="ML15">
        <f t="shared" si="18"/>
        <v>36.64564057866329</v>
      </c>
      <c r="MM15">
        <f t="shared" si="18"/>
        <v>38.805121021265336</v>
      </c>
      <c r="MN15">
        <f t="shared" si="18"/>
        <v>38.339105122123421</v>
      </c>
      <c r="MO15">
        <f t="shared" si="18"/>
        <v>39.346799414498363</v>
      </c>
      <c r="MP15">
        <f t="shared" si="18"/>
        <v>39.380313895496904</v>
      </c>
      <c r="MQ15">
        <f t="shared" si="18"/>
        <v>41.592977912434712</v>
      </c>
      <c r="MR15">
        <f t="shared" si="18"/>
        <v>39.809483833557849</v>
      </c>
      <c r="MS15">
        <f t="shared" si="18"/>
        <v>41.168256692483361</v>
      </c>
      <c r="MT15">
        <f t="shared" si="18"/>
        <v>40.647070992452186</v>
      </c>
      <c r="MU15">
        <f t="shared" si="18"/>
        <v>40.305216473785954</v>
      </c>
      <c r="MV15">
        <f t="shared" si="18"/>
        <v>42.384298873621702</v>
      </c>
      <c r="MW15">
        <f t="shared" si="18"/>
        <v>41.444944522171795</v>
      </c>
      <c r="MX15">
        <f t="shared" si="18"/>
        <v>43.891995738164809</v>
      </c>
      <c r="MY15">
        <f t="shared" si="18"/>
        <v>43.245922489218813</v>
      </c>
      <c r="MZ15">
        <f t="shared" si="18"/>
        <v>41.388859227032178</v>
      </c>
      <c r="NA15">
        <f t="shared" si="18"/>
        <v>40.709231882436207</v>
      </c>
      <c r="NB15">
        <f t="shared" si="18"/>
        <v>39.659122165130654</v>
      </c>
      <c r="NC15">
        <f t="shared" si="18"/>
        <v>38.650542234369212</v>
      </c>
      <c r="ND15">
        <f t="shared" si="18"/>
        <v>37.354931796104012</v>
      </c>
      <c r="NE15">
        <f t="shared" si="18"/>
        <v>36.214129678214753</v>
      </c>
      <c r="NF15">
        <f t="shared" si="18"/>
        <v>38.010088367421481</v>
      </c>
      <c r="NG15">
        <f t="shared" si="18"/>
        <v>38.361432594269942</v>
      </c>
      <c r="NH15">
        <f t="shared" si="18"/>
        <v>37.544681864857495</v>
      </c>
      <c r="NI15">
        <f t="shared" si="18"/>
        <v>38.951169121300495</v>
      </c>
      <c r="NJ15">
        <f t="shared" si="18"/>
        <v>39.401458768698049</v>
      </c>
      <c r="NK15">
        <f t="shared" si="18"/>
        <v>38.745520633060373</v>
      </c>
      <c r="NL15">
        <f t="shared" si="18"/>
        <v>39.080729612825856</v>
      </c>
      <c r="NM15">
        <f t="shared" si="18"/>
        <v>39.94368135497956</v>
      </c>
      <c r="NN15">
        <f t="shared" si="18"/>
        <v>38.179621322080877</v>
      </c>
      <c r="NO15">
        <f t="shared" si="18"/>
        <v>38.869223989075302</v>
      </c>
      <c r="NP15">
        <f t="shared" si="18"/>
        <v>40.422881505327695</v>
      </c>
      <c r="NQ15">
        <f t="shared" si="18"/>
        <v>40.617307114481065</v>
      </c>
      <c r="NR15">
        <f t="shared" si="18"/>
        <v>42.837045493456145</v>
      </c>
      <c r="NS15">
        <f t="shared" si="18"/>
        <v>43.617150787706763</v>
      </c>
      <c r="NT15">
        <f t="shared" si="18"/>
        <v>41.392196429218174</v>
      </c>
      <c r="NU15">
        <f t="shared" si="18"/>
        <v>38.932558236227834</v>
      </c>
      <c r="NV15">
        <f t="shared" si="18"/>
        <v>36.640359380084952</v>
      </c>
      <c r="NW15">
        <f t="shared" si="18"/>
        <v>36.410452872838668</v>
      </c>
      <c r="NX15">
        <f t="shared" si="19"/>
        <v>33.972002912078089</v>
      </c>
      <c r="NY15">
        <f t="shared" si="19"/>
        <v>33.569552174739592</v>
      </c>
      <c r="NZ15">
        <f t="shared" si="19"/>
        <v>35.481074459875259</v>
      </c>
      <c r="OA15">
        <f t="shared" si="19"/>
        <v>36.743800258472106</v>
      </c>
      <c r="OB15">
        <f t="shared" si="19"/>
        <v>38.254130705333189</v>
      </c>
      <c r="OC15">
        <f t="shared" si="19"/>
        <v>36.649162460412384</v>
      </c>
      <c r="OD15">
        <f t="shared" si="19"/>
        <v>37.276440974306212</v>
      </c>
      <c r="OE15">
        <f t="shared" si="19"/>
        <v>35.256593572502894</v>
      </c>
      <c r="OF15">
        <f t="shared" si="19"/>
        <v>35.595096783125655</v>
      </c>
      <c r="OG15">
        <f t="shared" si="19"/>
        <v>36.179002741701559</v>
      </c>
      <c r="OH15">
        <f t="shared" si="19"/>
        <v>34.837351986606279</v>
      </c>
      <c r="OI15">
        <f t="shared" si="19"/>
        <v>36.537906970294955</v>
      </c>
      <c r="OJ15">
        <f t="shared" si="19"/>
        <v>37.524855551586064</v>
      </c>
      <c r="OK15">
        <f t="shared" si="19"/>
        <v>36.849410928252603</v>
      </c>
      <c r="OL15">
        <f t="shared" si="19"/>
        <v>33.121244629070745</v>
      </c>
      <c r="OM15">
        <f t="shared" si="19"/>
        <v>32.333326668477625</v>
      </c>
      <c r="ON15">
        <f t="shared" si="19"/>
        <v>33.523013201279987</v>
      </c>
      <c r="OO15">
        <f t="shared" si="19"/>
        <v>32.31521198883668</v>
      </c>
      <c r="OP15">
        <f t="shared" si="19"/>
        <v>33.00167180267831</v>
      </c>
      <c r="OQ15">
        <f t="shared" si="19"/>
        <v>34.968927748423695</v>
      </c>
      <c r="OR15">
        <f t="shared" si="19"/>
        <v>33.129357309745629</v>
      </c>
      <c r="OS15">
        <f t="shared" si="19"/>
        <v>35.824477781822864</v>
      </c>
      <c r="OT15">
        <f t="shared" si="19"/>
        <v>34.760323396469637</v>
      </c>
      <c r="OU15">
        <f t="shared" si="19"/>
        <v>32.773430631675772</v>
      </c>
      <c r="OV15">
        <f t="shared" si="19"/>
        <v>33.025984337441749</v>
      </c>
      <c r="OW15">
        <f t="shared" si="19"/>
        <v>34.814863426457237</v>
      </c>
      <c r="OX15">
        <f t="shared" si="19"/>
        <v>35.017785223464337</v>
      </c>
      <c r="OY15">
        <f t="shared" si="19"/>
        <v>35.773630524264618</v>
      </c>
      <c r="OZ15">
        <f t="shared" si="19"/>
        <v>33.59432095613726</v>
      </c>
      <c r="PA15">
        <f t="shared" si="19"/>
        <v>35.286790959215672</v>
      </c>
      <c r="PB15">
        <f t="shared" si="19"/>
        <v>36.447838112226862</v>
      </c>
      <c r="PC15">
        <f t="shared" si="19"/>
        <v>35.148687384816292</v>
      </c>
      <c r="PD15">
        <f t="shared" si="19"/>
        <v>35.297956107201294</v>
      </c>
      <c r="PE15">
        <f t="shared" si="19"/>
        <v>35.489239669722934</v>
      </c>
      <c r="PF15">
        <f t="shared" si="19"/>
        <v>34.395157213613452</v>
      </c>
      <c r="PG15">
        <f t="shared" si="19"/>
        <v>35.335277422645042</v>
      </c>
      <c r="PH15">
        <f t="shared" si="19"/>
        <v>33.700082150866109</v>
      </c>
      <c r="PI15">
        <f t="shared" si="19"/>
        <v>32.485913276686851</v>
      </c>
      <c r="PJ15">
        <f t="shared" si="19"/>
        <v>32.480674102431479</v>
      </c>
      <c r="PK15">
        <f t="shared" si="19"/>
        <v>32.518443188459059</v>
      </c>
      <c r="PL15">
        <f t="shared" si="19"/>
        <v>31.861573132076646</v>
      </c>
      <c r="PM15">
        <f t="shared" si="19"/>
        <v>31.22359118274392</v>
      </c>
      <c r="PN15">
        <f t="shared" si="19"/>
        <v>31.868692861684437</v>
      </c>
      <c r="PO15">
        <f t="shared" si="19"/>
        <v>32.518947326994592</v>
      </c>
      <c r="PP15">
        <f t="shared" si="19"/>
        <v>31.74254974273903</v>
      </c>
      <c r="PQ15">
        <f t="shared" si="19"/>
        <v>32.024017825346817</v>
      </c>
      <c r="PR15">
        <f t="shared" si="19"/>
        <v>30.785098498637218</v>
      </c>
      <c r="PS15">
        <f t="shared" si="19"/>
        <v>32.209348721386689</v>
      </c>
      <c r="PT15">
        <f t="shared" si="19"/>
        <v>33.02973411744162</v>
      </c>
      <c r="PU15">
        <f t="shared" si="19"/>
        <v>33.439975715684248</v>
      </c>
      <c r="PV15">
        <f t="shared" si="19"/>
        <v>34.100656642193371</v>
      </c>
      <c r="PW15">
        <f t="shared" si="19"/>
        <v>34.071387784101994</v>
      </c>
      <c r="PX15">
        <f t="shared" si="19"/>
        <v>34.226724229387109</v>
      </c>
      <c r="PY15">
        <f t="shared" si="19"/>
        <v>32.641425133094103</v>
      </c>
      <c r="PZ15">
        <f t="shared" si="19"/>
        <v>32.109240856017344</v>
      </c>
      <c r="QA15">
        <f t="shared" si="19"/>
        <v>32.892424062239293</v>
      </c>
      <c r="QB15">
        <f t="shared" si="19"/>
        <v>33.844923699318343</v>
      </c>
      <c r="QC15">
        <f t="shared" si="19"/>
        <v>33.279761757849876</v>
      </c>
      <c r="QD15">
        <f t="shared" si="19"/>
        <v>31.74470707299395</v>
      </c>
      <c r="QE15">
        <f t="shared" si="19"/>
        <v>33.602980627363557</v>
      </c>
      <c r="QF15">
        <f t="shared" si="19"/>
        <v>34.19275496550258</v>
      </c>
      <c r="QG15">
        <f t="shared" si="19"/>
        <v>32.526736899102005</v>
      </c>
      <c r="QH15">
        <f t="shared" si="19"/>
        <v>33.205832908826672</v>
      </c>
      <c r="QI15">
        <f t="shared" si="19"/>
        <v>33.76565901465694</v>
      </c>
      <c r="QJ15">
        <f t="shared" si="20"/>
        <v>33.697296516795952</v>
      </c>
      <c r="QK15">
        <f t="shared" si="20"/>
        <v>34.136362138235981</v>
      </c>
      <c r="QL15">
        <f t="shared" si="20"/>
        <v>34.148185503211799</v>
      </c>
      <c r="QM15">
        <f t="shared" si="20"/>
        <v>34.760233148139115</v>
      </c>
      <c r="QN15">
        <f t="shared" si="20"/>
        <v>33.454107316480304</v>
      </c>
      <c r="QO15">
        <f t="shared" si="20"/>
        <v>32.451194277182083</v>
      </c>
      <c r="QP15">
        <f t="shared" si="20"/>
        <v>32.456740813463426</v>
      </c>
      <c r="QQ15">
        <f t="shared" si="20"/>
        <v>32.381999505249333</v>
      </c>
      <c r="QR15">
        <f t="shared" si="20"/>
        <v>30.722716127378593</v>
      </c>
      <c r="QS15">
        <f t="shared" si="20"/>
        <v>31.316297517586651</v>
      </c>
      <c r="QT15">
        <f t="shared" si="20"/>
        <v>33.222133586823553</v>
      </c>
      <c r="QU15">
        <f t="shared" si="20"/>
        <v>32.829148209080813</v>
      </c>
      <c r="QV15">
        <f t="shared" si="20"/>
        <v>32.539829549409781</v>
      </c>
      <c r="QW15">
        <f t="shared" si="20"/>
        <v>32.578799810622336</v>
      </c>
      <c r="QX15">
        <f t="shared" si="20"/>
        <v>29.744869802773263</v>
      </c>
      <c r="QY15">
        <f t="shared" si="20"/>
        <v>31.55148101986617</v>
      </c>
      <c r="QZ15">
        <f t="shared" si="20"/>
        <v>32.459544873127079</v>
      </c>
      <c r="RA15">
        <f t="shared" si="20"/>
        <v>33.162571844048642</v>
      </c>
      <c r="RB15">
        <f t="shared" si="20"/>
        <v>32.505933747188358</v>
      </c>
      <c r="RC15">
        <f t="shared" si="20"/>
        <v>34.043248846569881</v>
      </c>
      <c r="RD15">
        <f t="shared" si="20"/>
        <v>33.637640064185263</v>
      </c>
      <c r="RE15">
        <f t="shared" si="20"/>
        <v>34.506123621888221</v>
      </c>
      <c r="RF15">
        <f t="shared" si="20"/>
        <v>33.876375778526949</v>
      </c>
      <c r="RG15">
        <f t="shared" si="20"/>
        <v>36.853571146942713</v>
      </c>
      <c r="RH15">
        <f t="shared" si="20"/>
        <v>35.397935239604969</v>
      </c>
      <c r="RI15">
        <f t="shared" si="20"/>
        <v>36.29864650208841</v>
      </c>
      <c r="RJ15">
        <f t="shared" si="20"/>
        <v>34.699942583319398</v>
      </c>
      <c r="RK15">
        <f t="shared" si="20"/>
        <v>33.903513612666949</v>
      </c>
      <c r="RL15">
        <f t="shared" si="20"/>
        <v>33.375546108122037</v>
      </c>
      <c r="RM15">
        <f t="shared" si="20"/>
        <v>33.066348073528353</v>
      </c>
      <c r="RN15">
        <f t="shared" si="20"/>
        <v>32.101483213070608</v>
      </c>
      <c r="RO15">
        <f t="shared" si="20"/>
        <v>32.135659841134064</v>
      </c>
      <c r="RP15">
        <f t="shared" si="20"/>
        <v>30.060547247672385</v>
      </c>
      <c r="RQ15">
        <f t="shared" si="20"/>
        <v>29.950863603994428</v>
      </c>
      <c r="RR15">
        <f t="shared" si="20"/>
        <v>30.429669979335156</v>
      </c>
      <c r="RS15">
        <f t="shared" si="20"/>
        <v>29.083048966715765</v>
      </c>
      <c r="RT15">
        <f t="shared" si="20"/>
        <v>31.392191374998326</v>
      </c>
      <c r="RU15">
        <f t="shared" si="20"/>
        <v>30.382780341142155</v>
      </c>
      <c r="RV15">
        <f t="shared" si="20"/>
        <v>28.467983810336165</v>
      </c>
      <c r="RW15">
        <f t="shared" si="20"/>
        <v>29.538835601320521</v>
      </c>
      <c r="RX15">
        <f t="shared" si="20"/>
        <v>32.239009827013803</v>
      </c>
      <c r="RY15">
        <f t="shared" si="20"/>
        <v>32.085059308932422</v>
      </c>
      <c r="RZ15">
        <f t="shared" si="20"/>
        <v>31.166598800430396</v>
      </c>
      <c r="SA15">
        <f t="shared" si="20"/>
        <v>33.611963273926989</v>
      </c>
      <c r="SB15">
        <f t="shared" si="20"/>
        <v>31.624261677480828</v>
      </c>
      <c r="SC15">
        <f t="shared" si="20"/>
        <v>32.026135474066415</v>
      </c>
      <c r="SD15">
        <f t="shared" si="20"/>
        <v>33.302327681342533</v>
      </c>
      <c r="SE15">
        <f t="shared" si="20"/>
        <v>34.839257009424195</v>
      </c>
      <c r="SF15">
        <f t="shared" si="20"/>
        <v>35.022918587487318</v>
      </c>
      <c r="SG15">
        <f t="shared" si="20"/>
        <v>35.080166993359981</v>
      </c>
      <c r="SH15">
        <f t="shared" si="20"/>
        <v>35.63721239896649</v>
      </c>
      <c r="SI15">
        <f t="shared" si="20"/>
        <v>36.710547712848523</v>
      </c>
      <c r="SJ15">
        <f t="shared" si="20"/>
        <v>37.532253668567222</v>
      </c>
      <c r="SK15">
        <f t="shared" si="20"/>
        <v>37.758460762874854</v>
      </c>
      <c r="SL15">
        <f t="shared" si="20"/>
        <v>37.134114106862341</v>
      </c>
      <c r="SM15">
        <f t="shared" si="20"/>
        <v>37.802622664150967</v>
      </c>
      <c r="SN15">
        <f t="shared" si="20"/>
        <v>36.676546365281517</v>
      </c>
      <c r="SO15">
        <f t="shared" si="20"/>
        <v>37.867303120038514</v>
      </c>
      <c r="SP15">
        <f t="shared" si="20"/>
        <v>38.608111218439028</v>
      </c>
      <c r="SQ15">
        <f t="shared" si="20"/>
        <v>38.155300222019534</v>
      </c>
      <c r="SR15">
        <f t="shared" si="20"/>
        <v>38.686913993064032</v>
      </c>
      <c r="SS15">
        <f t="shared" si="20"/>
        <v>40.30796502298606</v>
      </c>
      <c r="ST15">
        <f t="shared" si="20"/>
        <v>37.313271634433228</v>
      </c>
      <c r="SU15">
        <f t="shared" si="20"/>
        <v>39.081494502370333</v>
      </c>
      <c r="SV15">
        <f t="shared" si="21"/>
        <v>37.452934777554674</v>
      </c>
      <c r="SW15">
        <f t="shared" si="21"/>
        <v>37.641858836489384</v>
      </c>
      <c r="SX15">
        <f t="shared" si="21"/>
        <v>35.925744719555148</v>
      </c>
      <c r="SY15">
        <f t="shared" si="21"/>
        <v>36.514478300243184</v>
      </c>
      <c r="SZ15">
        <f t="shared" si="21"/>
        <v>37.884149345863079</v>
      </c>
      <c r="TA15">
        <f t="shared" si="21"/>
        <v>36.880674712692169</v>
      </c>
      <c r="TB15">
        <f t="shared" si="21"/>
        <v>34.705051585829423</v>
      </c>
      <c r="TC15">
        <f t="shared" si="21"/>
        <v>35.828477073571712</v>
      </c>
      <c r="TD15">
        <f t="shared" si="21"/>
        <v>36.354620129093512</v>
      </c>
      <c r="TE15">
        <f t="shared" si="21"/>
        <v>33.70253521924009</v>
      </c>
      <c r="TF15">
        <f t="shared" si="21"/>
        <v>32.858066550559712</v>
      </c>
      <c r="TG15">
        <f t="shared" si="21"/>
        <v>34.02065810988146</v>
      </c>
      <c r="TH15">
        <f t="shared" si="21"/>
        <v>34.744280915559663</v>
      </c>
      <c r="TI15">
        <f t="shared" si="21"/>
        <v>33.233899498841346</v>
      </c>
      <c r="TJ15">
        <f t="shared" si="21"/>
        <v>31.442114224254691</v>
      </c>
      <c r="TK15">
        <f t="shared" si="21"/>
        <v>32.956814676688687</v>
      </c>
      <c r="TL15">
        <f t="shared" si="21"/>
        <v>34.963538878963504</v>
      </c>
      <c r="TM15">
        <f t="shared" si="21"/>
        <v>33.087364383665303</v>
      </c>
      <c r="TN15">
        <f t="shared" si="21"/>
        <v>33.216278281249366</v>
      </c>
      <c r="TO15">
        <f t="shared" si="21"/>
        <v>33.042600236646571</v>
      </c>
      <c r="TP15">
        <f t="shared" si="21"/>
        <v>33.210990329203476</v>
      </c>
      <c r="TQ15">
        <f t="shared" si="21"/>
        <v>36.621174752300078</v>
      </c>
      <c r="TR15">
        <f t="shared" si="21"/>
        <v>36.987566987962282</v>
      </c>
      <c r="TS15">
        <f t="shared" si="21"/>
        <v>36.741907925574807</v>
      </c>
      <c r="TT15">
        <f t="shared" si="21"/>
        <v>36.631020449849792</v>
      </c>
      <c r="TU15">
        <f t="shared" si="21"/>
        <v>36.814266713816416</v>
      </c>
      <c r="TV15">
        <f t="shared" si="21"/>
        <v>36.536581726007519</v>
      </c>
      <c r="TW15">
        <f t="shared" si="21"/>
        <v>35.249235159921852</v>
      </c>
      <c r="TX15">
        <f t="shared" si="21"/>
        <v>31.575561530158915</v>
      </c>
      <c r="TY15">
        <f t="shared" si="21"/>
        <v>32.623230006360302</v>
      </c>
      <c r="TZ15">
        <f t="shared" si="21"/>
        <v>34.452873925443484</v>
      </c>
      <c r="UA15">
        <f t="shared" si="21"/>
        <v>34.36152029276127</v>
      </c>
      <c r="UB15">
        <f t="shared" si="21"/>
        <v>35.149697808713043</v>
      </c>
      <c r="UC15">
        <f t="shared" si="21"/>
        <v>37.938905958970267</v>
      </c>
      <c r="UD15">
        <f t="shared" si="21"/>
        <v>37.558008591526644</v>
      </c>
      <c r="UE15">
        <f t="shared" si="21"/>
        <v>35.646702448961427</v>
      </c>
      <c r="UF15">
        <f t="shared" si="21"/>
        <v>36.524308157691713</v>
      </c>
      <c r="UG15">
        <f t="shared" si="21"/>
        <v>39.043679002571103</v>
      </c>
      <c r="UH15">
        <f t="shared" si="21"/>
        <v>38.106720490134812</v>
      </c>
      <c r="UI15">
        <f t="shared" si="21"/>
        <v>37.298196535092906</v>
      </c>
      <c r="UJ15">
        <f t="shared" si="21"/>
        <v>37.016536046373488</v>
      </c>
      <c r="UK15">
        <f t="shared" si="21"/>
        <v>38.137070446477985</v>
      </c>
      <c r="UL15">
        <f t="shared" si="21"/>
        <v>37.150383905297524</v>
      </c>
      <c r="UM15">
        <f t="shared" si="21"/>
        <v>38.063409181703896</v>
      </c>
      <c r="UN15">
        <f t="shared" si="21"/>
        <v>38.391285465926813</v>
      </c>
      <c r="UO15">
        <f t="shared" si="21"/>
        <v>38.096988205357889</v>
      </c>
      <c r="UP15">
        <f t="shared" si="21"/>
        <v>37.355495451812644</v>
      </c>
      <c r="UQ15">
        <f t="shared" si="21"/>
        <v>37.862794666359335</v>
      </c>
      <c r="UR15">
        <f t="shared" si="21"/>
        <v>38.022938657867776</v>
      </c>
      <c r="US15">
        <f t="shared" si="21"/>
        <v>34.899874039535973</v>
      </c>
      <c r="UT15">
        <f t="shared" si="21"/>
        <v>35.912016129957699</v>
      </c>
      <c r="UU15">
        <f t="shared" si="21"/>
        <v>34.095279028264287</v>
      </c>
      <c r="UV15">
        <f t="shared" si="21"/>
        <v>33.421906245704271</v>
      </c>
      <c r="UW15">
        <f t="shared" si="21"/>
        <v>32.565009315109698</v>
      </c>
      <c r="UX15">
        <f t="shared" si="21"/>
        <v>33.52443663333684</v>
      </c>
      <c r="UY15">
        <f t="shared" si="21"/>
        <v>32.944147911455993</v>
      </c>
      <c r="UZ15">
        <f t="shared" si="21"/>
        <v>33.035720820313493</v>
      </c>
      <c r="VA15">
        <f t="shared" si="21"/>
        <v>28.123505105867768</v>
      </c>
      <c r="VB15">
        <f t="shared" si="21"/>
        <v>31.550825205226541</v>
      </c>
      <c r="VC15">
        <f t="shared" si="21"/>
        <v>31.661977623946754</v>
      </c>
      <c r="VD15">
        <f t="shared" si="21"/>
        <v>28.877832540520497</v>
      </c>
      <c r="VE15">
        <f t="shared" si="21"/>
        <v>29.198168184343473</v>
      </c>
      <c r="VF15">
        <f t="shared" si="21"/>
        <v>30.439689190508766</v>
      </c>
      <c r="VG15">
        <f t="shared" si="21"/>
        <v>28.879469231850631</v>
      </c>
      <c r="VH15">
        <f t="shared" si="22"/>
        <v>29.336961243423239</v>
      </c>
      <c r="VI15">
        <f t="shared" si="22"/>
        <v>29.974258096474671</v>
      </c>
      <c r="VJ15">
        <f t="shared" si="22"/>
        <v>29.906043639558202</v>
      </c>
      <c r="VK15">
        <f t="shared" si="22"/>
        <v>29.661167632851253</v>
      </c>
      <c r="VL15">
        <f t="shared" si="22"/>
        <v>28.929296207230625</v>
      </c>
      <c r="VM15">
        <f t="shared" si="22"/>
        <v>28.583348419918725</v>
      </c>
      <c r="VN15">
        <f t="shared" si="22"/>
        <v>29.57104304182235</v>
      </c>
      <c r="VO15">
        <f t="shared" si="22"/>
        <v>29.1299331467368</v>
      </c>
      <c r="VP15">
        <f t="shared" si="22"/>
        <v>32.331572631002793</v>
      </c>
      <c r="VQ15">
        <f t="shared" si="22"/>
        <v>32.535199255227283</v>
      </c>
      <c r="VR15">
        <f t="shared" si="22"/>
        <v>32.309634780482909</v>
      </c>
      <c r="VS15">
        <f t="shared" si="22"/>
        <v>32.586747438792244</v>
      </c>
      <c r="VT15">
        <f t="shared" si="22"/>
        <v>34.618797399462011</v>
      </c>
      <c r="VU15">
        <f t="shared" si="22"/>
        <v>33.681895396555298</v>
      </c>
      <c r="VV15">
        <f t="shared" si="22"/>
        <v>33.091495289037255</v>
      </c>
      <c r="VW15">
        <f t="shared" si="22"/>
        <v>32.912411370689469</v>
      </c>
      <c r="VX15">
        <f t="shared" si="22"/>
        <v>29.429010252719102</v>
      </c>
      <c r="VY15">
        <f t="shared" si="22"/>
        <v>32.944037971708539</v>
      </c>
      <c r="VZ15">
        <f t="shared" si="22"/>
        <v>32.486944715994369</v>
      </c>
      <c r="WA15">
        <f t="shared" si="22"/>
        <v>30.127228118093608</v>
      </c>
      <c r="WB15">
        <f t="shared" si="22"/>
        <v>31.457675902822544</v>
      </c>
      <c r="WC15">
        <f t="shared" si="22"/>
        <v>30.822091295170008</v>
      </c>
      <c r="WD15">
        <f t="shared" si="22"/>
        <v>29.219226430568597</v>
      </c>
      <c r="WE15">
        <f t="shared" si="22"/>
        <v>28.433101991030767</v>
      </c>
      <c r="WF15">
        <f t="shared" si="22"/>
        <v>26.659594728219638</v>
      </c>
      <c r="WG15">
        <f t="shared" si="22"/>
        <v>24.934145176649086</v>
      </c>
      <c r="WH15">
        <f t="shared" si="22"/>
        <v>23.636049741952871</v>
      </c>
      <c r="WI15">
        <f t="shared" si="22"/>
        <v>22.185014519274166</v>
      </c>
      <c r="WJ15">
        <f t="shared" si="22"/>
        <v>22.148893171493643</v>
      </c>
      <c r="WK15">
        <f t="shared" si="22"/>
        <v>23.359282748116488</v>
      </c>
      <c r="WL15">
        <f t="shared" si="22"/>
        <v>20.299700855383673</v>
      </c>
      <c r="WM15">
        <f t="shared" si="22"/>
        <v>20.752695508025848</v>
      </c>
      <c r="WN15">
        <f t="shared" si="22"/>
        <v>19.573606026906795</v>
      </c>
      <c r="WO15">
        <f t="shared" si="22"/>
        <v>20.425272615428668</v>
      </c>
      <c r="WP15">
        <f t="shared" si="22"/>
        <v>20.603500848425888</v>
      </c>
      <c r="WQ15">
        <f t="shared" si="22"/>
        <v>21.228453550364716</v>
      </c>
      <c r="WR15">
        <f t="shared" si="22"/>
        <v>21.07372455734161</v>
      </c>
      <c r="WS15">
        <f t="shared" si="22"/>
        <v>21.349271160930307</v>
      </c>
      <c r="WT15">
        <f t="shared" si="22"/>
        <v>21.353189129042871</v>
      </c>
      <c r="WU15">
        <f t="shared" si="22"/>
        <v>19.953913802594961</v>
      </c>
      <c r="WV15">
        <f t="shared" si="22"/>
        <v>20.720907625423955</v>
      </c>
      <c r="WW15">
        <f t="shared" si="22"/>
        <v>22.86370127587082</v>
      </c>
      <c r="WX15">
        <f t="shared" si="22"/>
        <v>23.281258358651932</v>
      </c>
      <c r="WY15">
        <f t="shared" si="22"/>
        <v>23.260921472432482</v>
      </c>
      <c r="WZ15">
        <f t="shared" si="22"/>
        <v>28.160743032833917</v>
      </c>
      <c r="XA15">
        <f t="shared" si="22"/>
        <v>28.358329715757801</v>
      </c>
      <c r="XB15">
        <f t="shared" si="22"/>
        <v>28.939612803387931</v>
      </c>
      <c r="XC15">
        <f t="shared" si="22"/>
        <v>29.337637362492174</v>
      </c>
      <c r="XD15">
        <f t="shared" si="22"/>
        <v>27.948345757956872</v>
      </c>
      <c r="XE15">
        <f t="shared" si="22"/>
        <v>30.029159180104671</v>
      </c>
      <c r="XF15">
        <f t="shared" si="22"/>
        <v>26.897098005392746</v>
      </c>
      <c r="XG15">
        <f t="shared" si="22"/>
        <v>27.609614098355319</v>
      </c>
      <c r="XH15">
        <f t="shared" si="22"/>
        <v>27.160572165876626</v>
      </c>
      <c r="XI15">
        <f t="shared" si="22"/>
        <v>27.695590245198439</v>
      </c>
      <c r="XJ15">
        <f t="shared" si="22"/>
        <v>27.547736071207883</v>
      </c>
      <c r="XK15">
        <f t="shared" si="22"/>
        <v>28.684090121181352</v>
      </c>
      <c r="XL15">
        <f t="shared" si="22"/>
        <v>28.402301059595928</v>
      </c>
      <c r="XM15">
        <f t="shared" si="22"/>
        <v>28.852944059481736</v>
      </c>
      <c r="XN15">
        <f t="shared" si="22"/>
        <v>27.678992992229905</v>
      </c>
      <c r="XO15">
        <f t="shared" si="22"/>
        <v>25.861913198697952</v>
      </c>
      <c r="XP15">
        <f t="shared" si="22"/>
        <v>25.26927454793131</v>
      </c>
      <c r="XQ15">
        <f t="shared" si="22"/>
        <v>20.770977044326589</v>
      </c>
      <c r="XR15">
        <f t="shared" si="22"/>
        <v>23.405101142223202</v>
      </c>
      <c r="XS15">
        <f t="shared" si="22"/>
        <v>25.457901699902173</v>
      </c>
      <c r="XT15">
        <f t="shared" si="23"/>
        <v>25.837695525201426</v>
      </c>
      <c r="XU15">
        <f t="shared" si="23"/>
        <v>23.959089887481397</v>
      </c>
      <c r="XV15">
        <f t="shared" si="23"/>
        <v>26.41241723371412</v>
      </c>
      <c r="XW15">
        <f t="shared" si="23"/>
        <v>27.27392761597282</v>
      </c>
      <c r="XX15">
        <f t="shared" si="23"/>
        <v>28.847622744098885</v>
      </c>
      <c r="XY15">
        <f t="shared" si="23"/>
        <v>25.557380919654822</v>
      </c>
      <c r="XZ15">
        <f t="shared" si="23"/>
        <v>27.060965997989218</v>
      </c>
      <c r="YA15">
        <f t="shared" si="23"/>
        <v>27.57699642456333</v>
      </c>
      <c r="YB15">
        <f t="shared" si="23"/>
        <v>28.591167988863479</v>
      </c>
      <c r="YC15">
        <f t="shared" si="23"/>
        <v>29.261489618660754</v>
      </c>
      <c r="YD15">
        <f t="shared" si="23"/>
        <v>30.378868522153237</v>
      </c>
      <c r="YE15">
        <f t="shared" si="23"/>
        <v>29.965828966499931</v>
      </c>
      <c r="YF15">
        <f t="shared" si="23"/>
        <v>31.63995029121768</v>
      </c>
      <c r="YG15">
        <f t="shared" si="23"/>
        <v>30.439140212241615</v>
      </c>
      <c r="YH15">
        <f t="shared" si="23"/>
        <v>30.1039714047111</v>
      </c>
      <c r="YI15">
        <f t="shared" si="23"/>
        <v>30.67732430473481</v>
      </c>
      <c r="YJ15">
        <f t="shared" si="23"/>
        <v>30.378329362038524</v>
      </c>
      <c r="YK15">
        <f t="shared" si="23"/>
        <v>30.791192564426691</v>
      </c>
      <c r="YL15">
        <f t="shared" si="23"/>
        <v>33.964915049861958</v>
      </c>
      <c r="YM15">
        <f t="shared" si="23"/>
        <v>32.545809137859713</v>
      </c>
      <c r="YN15">
        <f t="shared" si="23"/>
        <v>32.118274346244803</v>
      </c>
      <c r="YO15">
        <f t="shared" si="23"/>
        <v>30.201700587876722</v>
      </c>
      <c r="YP15">
        <f t="shared" si="23"/>
        <v>30.815504509398853</v>
      </c>
      <c r="YQ15">
        <f t="shared" si="23"/>
        <v>29.808241002674269</v>
      </c>
      <c r="YR15">
        <f t="shared" si="23"/>
        <v>30.877299314085363</v>
      </c>
      <c r="YS15">
        <f t="shared" si="23"/>
        <v>31.695018096240716</v>
      </c>
      <c r="YT15">
        <f t="shared" si="23"/>
        <v>35.749179417269275</v>
      </c>
      <c r="YU15">
        <f t="shared" si="23"/>
        <v>35.473632255203448</v>
      </c>
      <c r="YV15">
        <f t="shared" si="23"/>
        <v>38.233528742552991</v>
      </c>
      <c r="YW15">
        <f t="shared" si="23"/>
        <v>35.966360985587286</v>
      </c>
      <c r="YX15">
        <f t="shared" si="23"/>
        <v>37.908048929408757</v>
      </c>
      <c r="YY15">
        <f t="shared" si="23"/>
        <v>35.542583846494345</v>
      </c>
      <c r="YZ15">
        <f t="shared" si="23"/>
        <v>40.153816428766504</v>
      </c>
      <c r="ZA15">
        <f t="shared" si="23"/>
        <v>38.700027029374631</v>
      </c>
      <c r="ZB15">
        <f t="shared" si="23"/>
        <v>38.630026616477458</v>
      </c>
      <c r="ZC15">
        <f t="shared" si="23"/>
        <v>36.829696746026812</v>
      </c>
      <c r="ZD15">
        <f t="shared" si="23"/>
        <v>36.615489879983443</v>
      </c>
      <c r="ZE15">
        <f t="shared" si="23"/>
        <v>37.528683129747748</v>
      </c>
      <c r="ZF15">
        <f t="shared" si="23"/>
        <v>36.227672965789772</v>
      </c>
      <c r="ZG15">
        <f t="shared" si="23"/>
        <v>37.438663703556522</v>
      </c>
      <c r="ZH15">
        <f t="shared" si="23"/>
        <v>35.25410263858128</v>
      </c>
      <c r="ZI15">
        <f t="shared" si="23"/>
        <v>37.915922673593265</v>
      </c>
      <c r="ZJ15">
        <f t="shared" si="23"/>
        <v>37.359544300405148</v>
      </c>
      <c r="ZK15">
        <f t="shared" si="23"/>
        <v>36.166493504261993</v>
      </c>
      <c r="ZL15">
        <f t="shared" si="23"/>
        <v>34.075784078007516</v>
      </c>
      <c r="ZM15">
        <f t="shared" si="23"/>
        <v>33.237316725242295</v>
      </c>
      <c r="ZN15">
        <f t="shared" si="23"/>
        <v>35.4733386471774</v>
      </c>
      <c r="ZO15">
        <f t="shared" si="23"/>
        <v>34.159338390314808</v>
      </c>
      <c r="ZP15">
        <f t="shared" si="23"/>
        <v>34.455812148624332</v>
      </c>
      <c r="ZQ15">
        <f t="shared" si="23"/>
        <v>33.658790645156124</v>
      </c>
      <c r="ZR15">
        <f t="shared" si="23"/>
        <v>35.507715001132823</v>
      </c>
      <c r="ZS15">
        <f t="shared" si="23"/>
        <v>36.115770496496083</v>
      </c>
      <c r="ZT15">
        <f t="shared" si="23"/>
        <v>37.585780003043674</v>
      </c>
      <c r="ZU15">
        <f t="shared" si="23"/>
        <v>35.85096527322942</v>
      </c>
      <c r="ZV15">
        <f t="shared" si="23"/>
        <v>38.188096322166693</v>
      </c>
      <c r="ZW15">
        <f t="shared" si="23"/>
        <v>36.185026751125982</v>
      </c>
      <c r="ZX15">
        <f t="shared" si="23"/>
        <v>36.432171744226046</v>
      </c>
      <c r="ZY15">
        <f t="shared" si="23"/>
        <v>32.11590855872447</v>
      </c>
      <c r="ZZ15">
        <f t="shared" si="23"/>
        <v>35.380169288381943</v>
      </c>
      <c r="AAA15">
        <f t="shared" si="23"/>
        <v>35.644678277944067</v>
      </c>
      <c r="AAB15">
        <f t="shared" si="23"/>
        <v>34.979387964790298</v>
      </c>
      <c r="AAC15">
        <f t="shared" si="23"/>
        <v>35.906448462934115</v>
      </c>
      <c r="AAD15">
        <f t="shared" si="23"/>
        <v>39.247040744942957</v>
      </c>
      <c r="AAE15">
        <f t="shared" si="23"/>
        <v>39.04213344272047</v>
      </c>
      <c r="AAF15">
        <f t="shared" si="24"/>
        <v>42.436371433154207</v>
      </c>
      <c r="AAG15">
        <f t="shared" si="24"/>
        <v>39.118397538784066</v>
      </c>
      <c r="AAH15">
        <f t="shared" si="24"/>
        <v>39.048032441156529</v>
      </c>
      <c r="AAI15">
        <f t="shared" si="24"/>
        <v>38.33264022765924</v>
      </c>
      <c r="AAJ15">
        <f t="shared" si="24"/>
        <v>35.229032879285249</v>
      </c>
      <c r="AAK15">
        <f t="shared" si="24"/>
        <v>36.207350310980061</v>
      </c>
      <c r="AAL15">
        <f t="shared" si="24"/>
        <v>36.194867343571943</v>
      </c>
      <c r="AAM15">
        <f t="shared" si="24"/>
        <v>36.200908703070823</v>
      </c>
      <c r="AAN15">
        <f t="shared" si="24"/>
        <v>34.241894965336819</v>
      </c>
      <c r="AAO15">
        <f t="shared" si="24"/>
        <v>34.481428516449419</v>
      </c>
      <c r="AAP15">
        <f t="shared" si="24"/>
        <v>34.288602786725278</v>
      </c>
      <c r="AAQ15">
        <f t="shared" si="24"/>
        <v>36.080072364660467</v>
      </c>
      <c r="AAR15">
        <f t="shared" si="24"/>
        <v>36.351228735906716</v>
      </c>
      <c r="AAS15">
        <f t="shared" si="24"/>
        <v>35.560978170420668</v>
      </c>
      <c r="AAT15">
        <f t="shared" si="24"/>
        <v>38.933518055746291</v>
      </c>
      <c r="AAU15">
        <f t="shared" si="24"/>
        <v>40.328565072529777</v>
      </c>
      <c r="AAV15">
        <f t="shared" si="24"/>
        <v>41.717301843846144</v>
      </c>
      <c r="AAW15">
        <f t="shared" si="24"/>
        <v>43.831818930948444</v>
      </c>
      <c r="AAX15">
        <f t="shared" si="24"/>
        <v>42.466751750063779</v>
      </c>
      <c r="AAY15">
        <f t="shared" si="24"/>
        <v>38.532313159347183</v>
      </c>
      <c r="AAZ15">
        <f t="shared" si="24"/>
        <v>35.325486900138074</v>
      </c>
      <c r="ABA15">
        <f t="shared" si="24"/>
        <v>34.514274897455955</v>
      </c>
      <c r="ABB15">
        <f t="shared" si="24"/>
        <v>33.253069575832534</v>
      </c>
      <c r="ABC15">
        <f t="shared" si="24"/>
        <v>34.390074685245814</v>
      </c>
      <c r="ABD15">
        <f t="shared" si="24"/>
        <v>32.484468176821871</v>
      </c>
      <c r="ABE15">
        <f t="shared" si="24"/>
        <v>33.452159072628895</v>
      </c>
      <c r="ABF15">
        <f t="shared" si="24"/>
        <v>35.010810558393899</v>
      </c>
      <c r="ABG15">
        <f t="shared" si="24"/>
        <v>33.547497967485121</v>
      </c>
      <c r="ABH15">
        <f t="shared" si="24"/>
        <v>34.04681196077555</v>
      </c>
      <c r="ABI15">
        <f t="shared" si="24"/>
        <v>34.26176166792591</v>
      </c>
      <c r="ABJ15">
        <f t="shared" si="24"/>
        <v>33.960351590343905</v>
      </c>
      <c r="ABK15">
        <f t="shared" si="24"/>
        <v>32.664519940914872</v>
      </c>
      <c r="ABL15">
        <f t="shared" si="24"/>
        <v>33.654096691073462</v>
      </c>
      <c r="ABM15">
        <f t="shared" si="24"/>
        <v>35.502920372828051</v>
      </c>
      <c r="ABN15">
        <f t="shared" si="24"/>
        <v>35.098244052259929</v>
      </c>
      <c r="ABO15">
        <f t="shared" si="24"/>
        <v>35.360912203336724</v>
      </c>
      <c r="ABP15">
        <f t="shared" si="24"/>
        <v>35.874724968836794</v>
      </c>
      <c r="ABQ15">
        <f t="shared" si="24"/>
        <v>36.757808988656635</v>
      </c>
      <c r="ABR15">
        <f t="shared" si="24"/>
        <v>37.857325500936362</v>
      </c>
      <c r="ABS15">
        <f t="shared" si="24"/>
        <v>37.257626662647411</v>
      </c>
      <c r="ABT15">
        <f t="shared" si="24"/>
        <v>39.292931744414275</v>
      </c>
      <c r="ABU15">
        <f t="shared" si="24"/>
        <v>38.019952885138302</v>
      </c>
      <c r="ABV15">
        <f t="shared" si="24"/>
        <v>42.852713675660901</v>
      </c>
      <c r="ABW15">
        <f t="shared" si="24"/>
        <v>45.64296589418975</v>
      </c>
      <c r="ABX15">
        <f t="shared" si="24"/>
        <v>44.948284694150907</v>
      </c>
      <c r="ABY15">
        <f t="shared" si="24"/>
        <v>44.055382652740114</v>
      </c>
      <c r="ABZ15">
        <f t="shared" si="24"/>
        <v>46.647734869348106</v>
      </c>
      <c r="ACA15">
        <f t="shared" si="24"/>
        <v>46.775552938824021</v>
      </c>
      <c r="ACB15">
        <f t="shared" si="24"/>
        <v>45.442432691474849</v>
      </c>
      <c r="ACC15">
        <f t="shared" si="24"/>
        <v>42.762426040911386</v>
      </c>
      <c r="ACD15">
        <f t="shared" si="24"/>
        <v>44.360743456635788</v>
      </c>
      <c r="ACE15">
        <f t="shared" si="24"/>
        <v>46.552024923152835</v>
      </c>
      <c r="ACF15">
        <f t="shared" si="24"/>
        <v>51.512455287948377</v>
      </c>
      <c r="ACG15">
        <f t="shared" si="24"/>
        <v>54.79692812365564</v>
      </c>
      <c r="ACH15">
        <f t="shared" si="24"/>
        <v>58.496608576569123</v>
      </c>
      <c r="ACI15">
        <f t="shared" si="24"/>
        <v>53.989150864593419</v>
      </c>
      <c r="ACJ15">
        <f t="shared" si="24"/>
        <v>55.003162835482684</v>
      </c>
      <c r="ACK15">
        <f t="shared" si="24"/>
        <v>52.434562386459476</v>
      </c>
      <c r="ACL15">
        <f t="shared" si="24"/>
        <v>55.44825504024714</v>
      </c>
      <c r="ACM15">
        <f t="shared" si="24"/>
        <v>58.055475636578883</v>
      </c>
      <c r="ACN15">
        <f t="shared" si="24"/>
        <v>61.671511553428509</v>
      </c>
      <c r="ACO15">
        <f t="shared" si="24"/>
        <v>58.673156520666758</v>
      </c>
      <c r="ACP15">
        <f t="shared" si="24"/>
        <v>54.974637246112842</v>
      </c>
      <c r="ACQ15">
        <f t="shared" si="24"/>
        <v>58.231660640440261</v>
      </c>
      <c r="ACR15">
        <f t="shared" si="25"/>
        <v>58.630923425139194</v>
      </c>
      <c r="ACS15">
        <f t="shared" si="25"/>
        <v>61.932596794891012</v>
      </c>
      <c r="ACT15">
        <f t="shared" si="25"/>
        <v>66.00659343768352</v>
      </c>
      <c r="ACU15">
        <f t="shared" si="25"/>
        <v>64.527527629970749</v>
      </c>
      <c r="ACV15">
        <f t="shared" si="25"/>
        <v>64.969179127747907</v>
      </c>
    </row>
    <row r="16" spans="1:776" x14ac:dyDescent="0.2">
      <c r="A16" s="7" t="s">
        <v>70656</v>
      </c>
      <c r="B16">
        <f t="shared" si="26"/>
        <v>99.259281533079573</v>
      </c>
      <c r="C16">
        <f t="shared" si="27"/>
        <v>103.10897445801288</v>
      </c>
      <c r="D16">
        <f t="shared" ref="D16:BO19" si="28">C16*(1+D6/10)</f>
        <v>103.68294967803376</v>
      </c>
      <c r="E16">
        <f t="shared" si="28"/>
        <v>106.67955746459306</v>
      </c>
      <c r="F16">
        <f t="shared" si="28"/>
        <v>110.5138992798334</v>
      </c>
      <c r="G16">
        <f t="shared" si="28"/>
        <v>120.30994443997669</v>
      </c>
      <c r="H16">
        <f t="shared" si="28"/>
        <v>114.73362139737722</v>
      </c>
      <c r="I16">
        <f t="shared" si="28"/>
        <v>126.55660179868485</v>
      </c>
      <c r="J16">
        <f t="shared" si="28"/>
        <v>134.63004847159974</v>
      </c>
      <c r="K16">
        <f t="shared" si="28"/>
        <v>140.76226564071743</v>
      </c>
      <c r="L16">
        <f t="shared" si="28"/>
        <v>132.93165386322426</v>
      </c>
      <c r="M16">
        <f t="shared" si="28"/>
        <v>127.20041991082721</v>
      </c>
      <c r="N16">
        <f t="shared" si="28"/>
        <v>123.98227902833347</v>
      </c>
      <c r="O16">
        <f t="shared" si="28"/>
        <v>130.66189118097847</v>
      </c>
      <c r="P16">
        <f t="shared" si="28"/>
        <v>122.80055546052907</v>
      </c>
      <c r="Q16">
        <f t="shared" si="28"/>
        <v>123.02783727012294</v>
      </c>
      <c r="R16">
        <f t="shared" si="28"/>
        <v>121.14171588891342</v>
      </c>
      <c r="S16">
        <f t="shared" si="28"/>
        <v>120.05748396291612</v>
      </c>
      <c r="T16">
        <f t="shared" si="28"/>
        <v>127.70604751867234</v>
      </c>
      <c r="U16">
        <f t="shared" si="28"/>
        <v>120.41583481522076</v>
      </c>
      <c r="V16">
        <f t="shared" si="28"/>
        <v>126.93729751112735</v>
      </c>
      <c r="W16">
        <f t="shared" si="28"/>
        <v>126.84773599724292</v>
      </c>
      <c r="X16">
        <f t="shared" si="28"/>
        <v>143.84549062903324</v>
      </c>
      <c r="Y16">
        <f t="shared" si="28"/>
        <v>129.11943282711465</v>
      </c>
      <c r="Z16">
        <f t="shared" si="28"/>
        <v>124.91882410536101</v>
      </c>
      <c r="AA16">
        <f t="shared" si="28"/>
        <v>122.64610533218244</v>
      </c>
      <c r="AB16">
        <f t="shared" si="28"/>
        <v>119.1033918901325</v>
      </c>
      <c r="AC16">
        <f t="shared" si="28"/>
        <v>120.73841885379287</v>
      </c>
      <c r="AD16">
        <f t="shared" si="28"/>
        <v>109.64368841368953</v>
      </c>
      <c r="AE16">
        <f t="shared" si="28"/>
        <v>106.57407014239772</v>
      </c>
      <c r="AF16">
        <f t="shared" si="28"/>
        <v>101.98475184135536</v>
      </c>
      <c r="AG16">
        <f t="shared" si="28"/>
        <v>106.31385218854348</v>
      </c>
      <c r="AH16">
        <f t="shared" si="28"/>
        <v>117.53742814850486</v>
      </c>
      <c r="AI16">
        <f t="shared" si="28"/>
        <v>115.3952034765427</v>
      </c>
      <c r="AJ16">
        <f t="shared" si="28"/>
        <v>117.34406026082964</v>
      </c>
      <c r="AK16">
        <f t="shared" si="28"/>
        <v>126.90476289970076</v>
      </c>
      <c r="AL16">
        <f t="shared" si="28"/>
        <v>122.5725897869936</v>
      </c>
      <c r="AM16">
        <f t="shared" si="28"/>
        <v>124.72976584084216</v>
      </c>
      <c r="AN16">
        <f t="shared" si="28"/>
        <v>127.20253787431807</v>
      </c>
      <c r="AO16">
        <f t="shared" si="28"/>
        <v>132.60174058620109</v>
      </c>
      <c r="AP16">
        <f t="shared" si="28"/>
        <v>129.35029035956401</v>
      </c>
      <c r="AQ16">
        <f t="shared" si="28"/>
        <v>130.10656975543833</v>
      </c>
      <c r="AR16">
        <f t="shared" si="28"/>
        <v>128.8661416591635</v>
      </c>
      <c r="AS16">
        <f t="shared" si="28"/>
        <v>117.5341056582425</v>
      </c>
      <c r="AT16">
        <f t="shared" si="28"/>
        <v>127.5791789439135</v>
      </c>
      <c r="AU16">
        <f t="shared" si="28"/>
        <v>121.19268499777917</v>
      </c>
      <c r="AV16">
        <f t="shared" si="28"/>
        <v>106.93623108923967</v>
      </c>
      <c r="AW16">
        <f t="shared" si="28"/>
        <v>106.90784933762801</v>
      </c>
      <c r="AX16">
        <f t="shared" si="28"/>
        <v>109.42388927516873</v>
      </c>
      <c r="AY16">
        <f t="shared" si="28"/>
        <v>101.10865610838241</v>
      </c>
      <c r="AZ16">
        <f t="shared" si="28"/>
        <v>112.41742619728335</v>
      </c>
      <c r="BA16">
        <f t="shared" si="28"/>
        <v>117.07360699463524</v>
      </c>
      <c r="BB16">
        <f t="shared" si="28"/>
        <v>113.93299631160676</v>
      </c>
      <c r="BC16">
        <f t="shared" si="28"/>
        <v>106.99982924530985</v>
      </c>
      <c r="BD16">
        <f t="shared" si="28"/>
        <v>104.81801735968574</v>
      </c>
      <c r="BE16">
        <f t="shared" si="28"/>
        <v>109.18906034703235</v>
      </c>
      <c r="BF16">
        <f t="shared" si="28"/>
        <v>114.92822228388393</v>
      </c>
      <c r="BG16">
        <f t="shared" si="28"/>
        <v>112.72027587135447</v>
      </c>
      <c r="BH16">
        <f t="shared" si="28"/>
        <v>115.39407096097591</v>
      </c>
      <c r="BI16">
        <f t="shared" si="28"/>
        <v>118.58334026083885</v>
      </c>
      <c r="BJ16">
        <f t="shared" si="28"/>
        <v>110.10899661196295</v>
      </c>
      <c r="BK16">
        <f t="shared" si="28"/>
        <v>117.47489492901633</v>
      </c>
      <c r="BL16">
        <f t="shared" si="28"/>
        <v>114.61561353704059</v>
      </c>
      <c r="BM16">
        <f t="shared" si="28"/>
        <v>109.65014650132424</v>
      </c>
      <c r="BN16">
        <f t="shared" si="28"/>
        <v>104.03539749592909</v>
      </c>
      <c r="BO16">
        <f t="shared" si="28"/>
        <v>102.48384820867523</v>
      </c>
      <c r="BP16">
        <f t="shared" si="14"/>
        <v>103.05207875921579</v>
      </c>
      <c r="BQ16">
        <f t="shared" si="14"/>
        <v>97.725126790382859</v>
      </c>
      <c r="BR16">
        <f t="shared" si="14"/>
        <v>103.02491879566398</v>
      </c>
      <c r="BS16">
        <f t="shared" si="14"/>
        <v>100.90196225180937</v>
      </c>
      <c r="BT16">
        <f t="shared" si="14"/>
        <v>102.88132694062362</v>
      </c>
      <c r="BU16">
        <f t="shared" si="14"/>
        <v>105.08192243141346</v>
      </c>
      <c r="BV16">
        <f t="shared" si="14"/>
        <v>98.073515521620251</v>
      </c>
      <c r="BW16">
        <f t="shared" si="14"/>
        <v>94.279419166205571</v>
      </c>
      <c r="BX16">
        <f t="shared" si="14"/>
        <v>100.70006067201983</v>
      </c>
      <c r="BY16">
        <f t="shared" si="14"/>
        <v>86.928144892670829</v>
      </c>
      <c r="BZ16">
        <f t="shared" si="14"/>
        <v>83.337317821589153</v>
      </c>
      <c r="CA16">
        <f t="shared" si="14"/>
        <v>81.258149287067297</v>
      </c>
      <c r="CB16">
        <f t="shared" si="14"/>
        <v>86.595946825755234</v>
      </c>
      <c r="CC16">
        <f t="shared" si="14"/>
        <v>89.786687909573345</v>
      </c>
      <c r="CD16">
        <f t="shared" si="14"/>
        <v>88.324923572179273</v>
      </c>
      <c r="CE16">
        <f t="shared" si="14"/>
        <v>84.271991217507988</v>
      </c>
      <c r="CF16">
        <f t="shared" si="14"/>
        <v>76.790635281402814</v>
      </c>
      <c r="CG16">
        <f t="shared" si="14"/>
        <v>72.284643497801653</v>
      </c>
      <c r="CH16">
        <f t="shared" si="14"/>
        <v>79.27638424943521</v>
      </c>
      <c r="CI16">
        <f t="shared" si="14"/>
        <v>77.430295949561994</v>
      </c>
      <c r="CJ16">
        <f t="shared" si="14"/>
        <v>78.985289173481178</v>
      </c>
      <c r="CK16">
        <f t="shared" si="14"/>
        <v>74.539504265569391</v>
      </c>
      <c r="CL16">
        <f t="shared" si="14"/>
        <v>68.242427461618135</v>
      </c>
      <c r="CM16">
        <f t="shared" si="14"/>
        <v>68.221973952651453</v>
      </c>
      <c r="CN16">
        <f t="shared" si="14"/>
        <v>63.40359890613675</v>
      </c>
      <c r="CO16">
        <f t="shared" si="14"/>
        <v>68.304454726027075</v>
      </c>
      <c r="CP16">
        <f t="shared" si="14"/>
        <v>65.500173423781831</v>
      </c>
      <c r="CQ16">
        <f t="shared" si="14"/>
        <v>67.263006138771317</v>
      </c>
      <c r="CR16">
        <f t="shared" si="14"/>
        <v>64.873788921537752</v>
      </c>
      <c r="CS16">
        <f t="shared" si="14"/>
        <v>65.709916026469273</v>
      </c>
      <c r="CT16">
        <f t="shared" si="14"/>
        <v>54.321369743979375</v>
      </c>
      <c r="CU16">
        <f t="shared" si="14"/>
        <v>45.452361831039468</v>
      </c>
      <c r="CV16">
        <f t="shared" si="14"/>
        <v>42.29881037313347</v>
      </c>
      <c r="CW16">
        <f t="shared" si="14"/>
        <v>41.729908180105959</v>
      </c>
      <c r="CX16">
        <f t="shared" si="14"/>
        <v>42.56714402033721</v>
      </c>
      <c r="CY16">
        <f t="shared" si="14"/>
        <v>41.392861244174952</v>
      </c>
      <c r="CZ16">
        <f t="shared" si="14"/>
        <v>40.903262337356516</v>
      </c>
      <c r="DA16">
        <f t="shared" si="14"/>
        <v>36.360779243633367</v>
      </c>
      <c r="DB16">
        <f t="shared" si="14"/>
        <v>34.842952260107666</v>
      </c>
      <c r="DC16">
        <f t="shared" si="14"/>
        <v>39.976639766658316</v>
      </c>
      <c r="DD16">
        <f t="shared" si="14"/>
        <v>41.360321924557425</v>
      </c>
      <c r="DE16">
        <f t="shared" si="14"/>
        <v>42.242673326260324</v>
      </c>
      <c r="DF16">
        <f t="shared" si="14"/>
        <v>48.831048871075055</v>
      </c>
      <c r="DG16">
        <f t="shared" si="14"/>
        <v>48.96781325458992</v>
      </c>
      <c r="DH16">
        <f t="shared" si="14"/>
        <v>46.897431198527244</v>
      </c>
      <c r="DI16">
        <f t="shared" si="14"/>
        <v>49.055157265116449</v>
      </c>
      <c r="DJ16">
        <f t="shared" si="14"/>
        <v>44.167485324584867</v>
      </c>
      <c r="DK16">
        <f t="shared" si="14"/>
        <v>41.827568607687859</v>
      </c>
      <c r="DL16">
        <f t="shared" si="14"/>
        <v>41.04558999621149</v>
      </c>
      <c r="DM16">
        <f t="shared" si="14"/>
        <v>41.629807622608368</v>
      </c>
      <c r="DN16">
        <f t="shared" si="14"/>
        <v>42.445955219189059</v>
      </c>
      <c r="DO16">
        <f t="shared" si="14"/>
        <v>42.460899726773931</v>
      </c>
      <c r="DP16">
        <f t="shared" si="14"/>
        <v>46.208951323205397</v>
      </c>
      <c r="DQ16">
        <f t="shared" si="14"/>
        <v>42.523805441784731</v>
      </c>
      <c r="DR16">
        <f t="shared" si="14"/>
        <v>42.901185637533075</v>
      </c>
      <c r="DS16">
        <f t="shared" si="14"/>
        <v>42.609424566909802</v>
      </c>
      <c r="DT16">
        <f t="shared" si="14"/>
        <v>42.233141411335275</v>
      </c>
      <c r="DU16">
        <f t="shared" si="14"/>
        <v>41.196282440386959</v>
      </c>
      <c r="DV16">
        <f t="shared" si="14"/>
        <v>42.635504696513614</v>
      </c>
      <c r="DW16">
        <f t="shared" si="14"/>
        <v>46.957390989540329</v>
      </c>
      <c r="DX16">
        <f t="shared" si="14"/>
        <v>45.676049478625323</v>
      </c>
      <c r="DY16">
        <f t="shared" si="14"/>
        <v>47.258461395492056</v>
      </c>
      <c r="DZ16">
        <f t="shared" si="14"/>
        <v>45.000998995382801</v>
      </c>
      <c r="EA16">
        <f t="shared" si="14"/>
        <v>46.964390606793557</v>
      </c>
      <c r="EB16">
        <f t="shared" si="15"/>
        <v>43.312392819185575</v>
      </c>
      <c r="EC16">
        <f t="shared" si="15"/>
        <v>42.816349592280481</v>
      </c>
      <c r="ED16">
        <f t="shared" si="15"/>
        <v>41.130231468696643</v>
      </c>
      <c r="EE16">
        <f t="shared" si="15"/>
        <v>37.859923923091358</v>
      </c>
      <c r="EF16">
        <f t="shared" si="15"/>
        <v>37.992701997557631</v>
      </c>
      <c r="EG16">
        <f t="shared" si="15"/>
        <v>36.745884487988775</v>
      </c>
      <c r="EH16">
        <f t="shared" si="15"/>
        <v>32.765401097068477</v>
      </c>
      <c r="EI16">
        <f t="shared" si="15"/>
        <v>28.044308830922358</v>
      </c>
      <c r="EJ16">
        <f t="shared" si="15"/>
        <v>28.299863808519746</v>
      </c>
      <c r="EK16">
        <f t="shared" si="15"/>
        <v>28.473788606079506</v>
      </c>
      <c r="EL16">
        <f t="shared" si="15"/>
        <v>28.68056859744593</v>
      </c>
      <c r="EM16">
        <f t="shared" si="15"/>
        <v>26.409530162574111</v>
      </c>
      <c r="EN16">
        <f t="shared" si="15"/>
        <v>25.280614577747073</v>
      </c>
      <c r="EO16">
        <f t="shared" si="15"/>
        <v>23.171675227073376</v>
      </c>
      <c r="EP16">
        <f t="shared" si="15"/>
        <v>23.522046122792712</v>
      </c>
      <c r="EQ16">
        <f t="shared" si="15"/>
        <v>23.482225842424008</v>
      </c>
      <c r="ER16">
        <f t="shared" si="15"/>
        <v>23.59725592728033</v>
      </c>
      <c r="ES16">
        <f t="shared" si="15"/>
        <v>22.265050137401527</v>
      </c>
      <c r="ET16">
        <f t="shared" si="15"/>
        <v>24.183446594419902</v>
      </c>
      <c r="EU16">
        <f t="shared" si="15"/>
        <v>26.413381567037096</v>
      </c>
      <c r="EV16">
        <f t="shared" si="15"/>
        <v>28.267872590884703</v>
      </c>
      <c r="EW16">
        <f t="shared" si="15"/>
        <v>29.571098762876677</v>
      </c>
      <c r="EX16">
        <f t="shared" si="15"/>
        <v>28.517488667224779</v>
      </c>
      <c r="EY16">
        <f t="shared" si="15"/>
        <v>29.526220804684687</v>
      </c>
      <c r="EZ16">
        <f t="shared" si="15"/>
        <v>31.414342652274282</v>
      </c>
      <c r="FA16">
        <f t="shared" si="15"/>
        <v>32.666867046994568</v>
      </c>
      <c r="FB16">
        <f t="shared" si="15"/>
        <v>32.812576001140911</v>
      </c>
      <c r="FC16">
        <f t="shared" si="15"/>
        <v>36.237051689284193</v>
      </c>
      <c r="FD16">
        <f t="shared" si="15"/>
        <v>41.787632816728006</v>
      </c>
      <c r="FE16">
        <f t="shared" si="15"/>
        <v>40.25441788840461</v>
      </c>
      <c r="FF16">
        <f t="shared" si="15"/>
        <v>41.636878112402073</v>
      </c>
      <c r="FG16">
        <f t="shared" si="15"/>
        <v>43.652103130624965</v>
      </c>
      <c r="FH16">
        <f t="shared" si="15"/>
        <v>37.284675251490512</v>
      </c>
      <c r="FI16">
        <f t="shared" si="15"/>
        <v>35.836252707007958</v>
      </c>
      <c r="FJ16">
        <f t="shared" si="15"/>
        <v>36.68453963216573</v>
      </c>
      <c r="FK16">
        <f t="shared" si="15"/>
        <v>39.288027420738871</v>
      </c>
      <c r="FL16">
        <f t="shared" si="15"/>
        <v>38.769457665078349</v>
      </c>
      <c r="FM16">
        <f t="shared" si="15"/>
        <v>44.876609819107287</v>
      </c>
      <c r="FN16">
        <f t="shared" si="15"/>
        <v>42.377987265691786</v>
      </c>
      <c r="FO16">
        <f t="shared" si="15"/>
        <v>38.915081779615953</v>
      </c>
      <c r="FP16">
        <f t="shared" si="15"/>
        <v>38.895862523000432</v>
      </c>
      <c r="FQ16">
        <f t="shared" si="15"/>
        <v>39.369986197359665</v>
      </c>
      <c r="FR16">
        <f t="shared" si="15"/>
        <v>42.715896327165879</v>
      </c>
      <c r="FS16">
        <f t="shared" si="15"/>
        <v>41.977664080531476</v>
      </c>
      <c r="FT16">
        <f t="shared" si="15"/>
        <v>41.143045768709882</v>
      </c>
      <c r="FU16">
        <f t="shared" si="15"/>
        <v>42.96711226277165</v>
      </c>
      <c r="FV16">
        <f t="shared" si="15"/>
        <v>44.636701692377308</v>
      </c>
      <c r="FW16">
        <f t="shared" si="15"/>
        <v>44.074358096915837</v>
      </c>
      <c r="FX16">
        <f t="shared" si="15"/>
        <v>45.989152615881075</v>
      </c>
      <c r="FY16">
        <f t="shared" si="15"/>
        <v>48.169475917941689</v>
      </c>
      <c r="FZ16">
        <f t="shared" si="15"/>
        <v>56.268940721078181</v>
      </c>
      <c r="GA16">
        <f t="shared" si="15"/>
        <v>55.770962671568583</v>
      </c>
      <c r="GB16">
        <f t="shared" si="15"/>
        <v>54.570470056228835</v>
      </c>
      <c r="GC16">
        <f t="shared" si="15"/>
        <v>50.52915090084042</v>
      </c>
      <c r="GD16">
        <f t="shared" si="15"/>
        <v>48.633313910163125</v>
      </c>
      <c r="GE16">
        <f t="shared" si="15"/>
        <v>46.564340594048545</v>
      </c>
      <c r="GF16">
        <f t="shared" si="15"/>
        <v>48.486275170726685</v>
      </c>
      <c r="GG16">
        <f t="shared" si="15"/>
        <v>50.413953705075237</v>
      </c>
      <c r="GH16">
        <f t="shared" si="15"/>
        <v>55.315455414514396</v>
      </c>
      <c r="GI16">
        <f t="shared" si="15"/>
        <v>52.813525452331071</v>
      </c>
      <c r="GJ16">
        <f t="shared" si="15"/>
        <v>56.490084139355282</v>
      </c>
      <c r="GK16">
        <f t="shared" si="15"/>
        <v>53.681672870945</v>
      </c>
      <c r="GL16">
        <f t="shared" si="15"/>
        <v>55.376343333566197</v>
      </c>
      <c r="GM16">
        <f t="shared" si="15"/>
        <v>59.296185285016037</v>
      </c>
      <c r="GN16">
        <f t="shared" si="16"/>
        <v>56.332039697247545</v>
      </c>
      <c r="GO16">
        <f t="shared" si="16"/>
        <v>48.840666843788284</v>
      </c>
      <c r="GP16">
        <f t="shared" si="16"/>
        <v>53.728727277382127</v>
      </c>
      <c r="GQ16">
        <f t="shared" si="16"/>
        <v>57.837423644927348</v>
      </c>
      <c r="GR16">
        <f t="shared" si="16"/>
        <v>56.808955176686503</v>
      </c>
      <c r="GS16">
        <f t="shared" si="16"/>
        <v>50.841679084002209</v>
      </c>
      <c r="GT16">
        <f t="shared" si="16"/>
        <v>55.756128384479652</v>
      </c>
      <c r="GU16">
        <f t="shared" si="16"/>
        <v>55.14794415877455</v>
      </c>
      <c r="GV16">
        <f t="shared" si="16"/>
        <v>55.611276979732182</v>
      </c>
      <c r="GW16">
        <f t="shared" si="16"/>
        <v>60.039708399667539</v>
      </c>
      <c r="GX16">
        <f t="shared" si="16"/>
        <v>60.051075654514058</v>
      </c>
      <c r="GY16">
        <f t="shared" si="16"/>
        <v>62.116356371304981</v>
      </c>
      <c r="GZ16">
        <f t="shared" si="16"/>
        <v>54.891979771011869</v>
      </c>
      <c r="HA16">
        <f t="shared" si="16"/>
        <v>52.523781948816662</v>
      </c>
      <c r="HB16">
        <f t="shared" si="16"/>
        <v>52.876244748767412</v>
      </c>
      <c r="HC16">
        <f t="shared" si="16"/>
        <v>53.672709927633719</v>
      </c>
      <c r="HD16">
        <f t="shared" si="16"/>
        <v>61.983895905848541</v>
      </c>
      <c r="HE16">
        <f t="shared" si="16"/>
        <v>62.419594012933246</v>
      </c>
      <c r="HF16">
        <f t="shared" si="16"/>
        <v>65.527997632936192</v>
      </c>
      <c r="HG16">
        <f t="shared" si="16"/>
        <v>70.001684455558902</v>
      </c>
      <c r="HH16">
        <f t="shared" si="16"/>
        <v>75.060639253204656</v>
      </c>
      <c r="HI16">
        <f t="shared" si="16"/>
        <v>71.496235787121776</v>
      </c>
      <c r="HJ16">
        <f t="shared" si="16"/>
        <v>68.420605238993645</v>
      </c>
      <c r="HK16">
        <f t="shared" si="16"/>
        <v>69.340238127019632</v>
      </c>
      <c r="HL16">
        <f t="shared" si="16"/>
        <v>81.236512186256803</v>
      </c>
      <c r="HM16">
        <f t="shared" si="16"/>
        <v>83.808740506688835</v>
      </c>
      <c r="HN16">
        <f t="shared" si="16"/>
        <v>73.178476766118806</v>
      </c>
      <c r="HO16">
        <f t="shared" si="16"/>
        <v>74.391666917919224</v>
      </c>
      <c r="HP16">
        <f t="shared" si="16"/>
        <v>73.010537096976137</v>
      </c>
      <c r="HQ16">
        <f t="shared" si="16"/>
        <v>72.454370324499365</v>
      </c>
      <c r="HR16">
        <f t="shared" si="16"/>
        <v>69.076962774592928</v>
      </c>
      <c r="HS16">
        <f t="shared" si="16"/>
        <v>68.402927930466376</v>
      </c>
      <c r="HT16">
        <f t="shared" si="16"/>
        <v>70.695803574143952</v>
      </c>
      <c r="HU16">
        <f t="shared" si="16"/>
        <v>71.067026619163784</v>
      </c>
      <c r="HV16">
        <f t="shared" si="16"/>
        <v>68.741593202260688</v>
      </c>
      <c r="HW16">
        <f t="shared" si="16"/>
        <v>66.954021840557942</v>
      </c>
      <c r="HX16">
        <f t="shared" si="16"/>
        <v>65.384307079381657</v>
      </c>
      <c r="HY16">
        <f t="shared" si="16"/>
        <v>64.231403092739455</v>
      </c>
      <c r="HZ16">
        <f t="shared" si="16"/>
        <v>62.736952226856033</v>
      </c>
      <c r="IA16">
        <f t="shared" si="16"/>
        <v>64.216100265987265</v>
      </c>
      <c r="IB16">
        <f t="shared" si="16"/>
        <v>57.514126946364016</v>
      </c>
      <c r="IC16">
        <f t="shared" si="16"/>
        <v>56.648398623946051</v>
      </c>
      <c r="ID16">
        <f t="shared" si="16"/>
        <v>60.538000621384235</v>
      </c>
      <c r="IE16">
        <f t="shared" si="16"/>
        <v>57.150970736935882</v>
      </c>
      <c r="IF16">
        <f t="shared" si="16"/>
        <v>60.237151358390662</v>
      </c>
      <c r="IG16">
        <f t="shared" si="16"/>
        <v>60.466188339323878</v>
      </c>
      <c r="IH16">
        <f t="shared" si="16"/>
        <v>59.17598834192259</v>
      </c>
      <c r="II16">
        <f t="shared" si="16"/>
        <v>59.771509967182958</v>
      </c>
      <c r="IJ16">
        <f t="shared" si="16"/>
        <v>60.761529523540247</v>
      </c>
      <c r="IK16">
        <f t="shared" si="16"/>
        <v>59.759181917967858</v>
      </c>
      <c r="IL16">
        <f t="shared" si="16"/>
        <v>62.903986926300007</v>
      </c>
      <c r="IM16">
        <f t="shared" si="16"/>
        <v>58.646380530813936</v>
      </c>
      <c r="IN16">
        <f t="shared" si="16"/>
        <v>61.057229283158982</v>
      </c>
      <c r="IO16">
        <f t="shared" si="16"/>
        <v>62.360590277593722</v>
      </c>
      <c r="IP16">
        <f t="shared" si="16"/>
        <v>63.461539520766735</v>
      </c>
      <c r="IQ16">
        <f t="shared" si="16"/>
        <v>62.12858521802071</v>
      </c>
      <c r="IR16">
        <f t="shared" si="16"/>
        <v>59.732273521244039</v>
      </c>
      <c r="IS16">
        <f t="shared" si="16"/>
        <v>55.297539037427036</v>
      </c>
      <c r="IT16">
        <f t="shared" si="16"/>
        <v>55.321149602503667</v>
      </c>
      <c r="IU16">
        <f t="shared" si="16"/>
        <v>54.798485375313668</v>
      </c>
      <c r="IV16">
        <f t="shared" si="16"/>
        <v>51.430566160383663</v>
      </c>
      <c r="IW16">
        <f t="shared" si="16"/>
        <v>52.882789661784535</v>
      </c>
      <c r="IX16">
        <f t="shared" si="16"/>
        <v>55.35449507134642</v>
      </c>
      <c r="IY16">
        <f t="shared" si="16"/>
        <v>57.208632328186717</v>
      </c>
      <c r="IZ16">
        <f t="shared" si="17"/>
        <v>55.801540033215339</v>
      </c>
      <c r="JA16">
        <f t="shared" si="17"/>
        <v>52.058181998334256</v>
      </c>
      <c r="JB16">
        <f t="shared" si="17"/>
        <v>53.436502836063298</v>
      </c>
      <c r="JC16">
        <f t="shared" si="17"/>
        <v>57.594162539159555</v>
      </c>
      <c r="JD16">
        <f t="shared" si="17"/>
        <v>59.23034793343291</v>
      </c>
      <c r="JE16">
        <f t="shared" si="17"/>
        <v>59.68230101339423</v>
      </c>
      <c r="JF16">
        <f t="shared" si="17"/>
        <v>59.680235658757304</v>
      </c>
      <c r="JG16">
        <f t="shared" si="17"/>
        <v>60.188583225263741</v>
      </c>
      <c r="JH16">
        <f t="shared" si="17"/>
        <v>58.44503188511186</v>
      </c>
      <c r="JI16">
        <f t="shared" si="17"/>
        <v>59.380886698318811</v>
      </c>
      <c r="JJ16">
        <f t="shared" si="17"/>
        <v>62.642770624978589</v>
      </c>
      <c r="JK16">
        <f t="shared" si="17"/>
        <v>66.221776046547092</v>
      </c>
      <c r="JL16">
        <f t="shared" si="17"/>
        <v>64.664707541648255</v>
      </c>
      <c r="JM16">
        <f t="shared" si="17"/>
        <v>65.610561731925429</v>
      </c>
      <c r="JN16">
        <f t="shared" si="17"/>
        <v>66.515819158402493</v>
      </c>
      <c r="JO16">
        <f t="shared" si="17"/>
        <v>68.547899480798065</v>
      </c>
      <c r="JP16">
        <f t="shared" si="17"/>
        <v>64.030013073957363</v>
      </c>
      <c r="JQ16">
        <f t="shared" si="17"/>
        <v>59.210186691591218</v>
      </c>
      <c r="JR16">
        <f t="shared" si="17"/>
        <v>60.722473683977675</v>
      </c>
      <c r="JS16">
        <f t="shared" si="17"/>
        <v>61.25707139344658</v>
      </c>
      <c r="JT16">
        <f t="shared" si="17"/>
        <v>63.180923741534578</v>
      </c>
      <c r="JU16">
        <f t="shared" si="17"/>
        <v>62.935892211417176</v>
      </c>
      <c r="JV16">
        <f t="shared" si="17"/>
        <v>64.434989474956737</v>
      </c>
      <c r="JW16">
        <f t="shared" si="17"/>
        <v>65.653544847839029</v>
      </c>
      <c r="JX16">
        <f t="shared" si="17"/>
        <v>66.717031839837034</v>
      </c>
      <c r="JY16">
        <f t="shared" si="17"/>
        <v>65.891069142674411</v>
      </c>
      <c r="JZ16">
        <f t="shared" si="17"/>
        <v>66.320119636638481</v>
      </c>
      <c r="KA16">
        <f t="shared" si="17"/>
        <v>67.829942066217114</v>
      </c>
      <c r="KB16">
        <f t="shared" si="17"/>
        <v>67.315144208005719</v>
      </c>
      <c r="KC16">
        <f t="shared" si="17"/>
        <v>67.926673776910192</v>
      </c>
      <c r="KD16">
        <f t="shared" si="17"/>
        <v>65.415935882879282</v>
      </c>
      <c r="KE16">
        <f t="shared" si="17"/>
        <v>64.846918588456631</v>
      </c>
      <c r="KF16">
        <f t="shared" si="17"/>
        <v>58.893108736467696</v>
      </c>
      <c r="KG16">
        <f t="shared" si="17"/>
        <v>62.961655216255494</v>
      </c>
      <c r="KH16">
        <f t="shared" si="17"/>
        <v>61.906881160878974</v>
      </c>
      <c r="KI16">
        <f t="shared" si="17"/>
        <v>66.137991274305719</v>
      </c>
      <c r="KJ16">
        <f t="shared" si="17"/>
        <v>63.7386855243344</v>
      </c>
      <c r="KK16">
        <f t="shared" si="17"/>
        <v>64.714215942020459</v>
      </c>
      <c r="KL16">
        <f t="shared" si="17"/>
        <v>64.390244145131177</v>
      </c>
      <c r="KM16">
        <f t="shared" si="17"/>
        <v>67.957152125489245</v>
      </c>
      <c r="KN16">
        <f t="shared" si="17"/>
        <v>68.164571343439036</v>
      </c>
      <c r="KO16">
        <f t="shared" si="17"/>
        <v>67.579336656900992</v>
      </c>
      <c r="KP16">
        <f t="shared" si="17"/>
        <v>66.327491153423367</v>
      </c>
      <c r="KQ16">
        <f t="shared" si="17"/>
        <v>68.028184629368496</v>
      </c>
      <c r="KR16">
        <f t="shared" si="17"/>
        <v>68.418153962576355</v>
      </c>
      <c r="KS16">
        <f t="shared" si="17"/>
        <v>64.638870016932842</v>
      </c>
      <c r="KT16">
        <f t="shared" si="17"/>
        <v>62.674137417577846</v>
      </c>
      <c r="KU16">
        <f t="shared" si="17"/>
        <v>62.386602796338451</v>
      </c>
      <c r="KV16">
        <f t="shared" si="17"/>
        <v>73.956030797640381</v>
      </c>
      <c r="KW16">
        <f t="shared" si="17"/>
        <v>74.294694949650307</v>
      </c>
      <c r="KX16">
        <f t="shared" si="17"/>
        <v>79.864232180182839</v>
      </c>
      <c r="KY16">
        <f t="shared" si="17"/>
        <v>79.573061771364053</v>
      </c>
      <c r="KZ16">
        <f t="shared" si="17"/>
        <v>83.455689638103578</v>
      </c>
      <c r="LA16">
        <f t="shared" si="17"/>
        <v>78.723193001745116</v>
      </c>
      <c r="LB16">
        <f t="shared" si="17"/>
        <v>71.335898156364337</v>
      </c>
      <c r="LC16">
        <f t="shared" si="17"/>
        <v>67.182678950957097</v>
      </c>
      <c r="LD16">
        <f t="shared" si="17"/>
        <v>59.07963750866557</v>
      </c>
      <c r="LE16">
        <f t="shared" si="17"/>
        <v>56.577795507517315</v>
      </c>
      <c r="LF16">
        <f t="shared" si="17"/>
        <v>56.352539167358188</v>
      </c>
      <c r="LG16">
        <f t="shared" si="17"/>
        <v>57.062414720502538</v>
      </c>
      <c r="LH16">
        <f t="shared" si="17"/>
        <v>57.488527137693609</v>
      </c>
      <c r="LI16">
        <f t="shared" si="17"/>
        <v>55.60617061969306</v>
      </c>
      <c r="LJ16">
        <f t="shared" si="17"/>
        <v>62.121808751619554</v>
      </c>
      <c r="LK16">
        <f t="shared" si="17"/>
        <v>57.77104405249014</v>
      </c>
      <c r="LL16">
        <f t="shared" si="18"/>
        <v>54.339034621101966</v>
      </c>
      <c r="LM16">
        <f t="shared" si="18"/>
        <v>54.052564768153331</v>
      </c>
      <c r="LN16">
        <f t="shared" si="18"/>
        <v>54.038168114504316</v>
      </c>
      <c r="LO16">
        <f t="shared" si="18"/>
        <v>49.883122266576457</v>
      </c>
      <c r="LP16">
        <f t="shared" si="18"/>
        <v>53.974097292014719</v>
      </c>
      <c r="LQ16">
        <f t="shared" si="18"/>
        <v>55.986004962432077</v>
      </c>
      <c r="LR16">
        <f t="shared" si="18"/>
        <v>55.131567092487309</v>
      </c>
      <c r="LS16">
        <f t="shared" si="18"/>
        <v>56.573405913167562</v>
      </c>
      <c r="LT16">
        <f t="shared" si="18"/>
        <v>56.238359482608026</v>
      </c>
      <c r="LU16">
        <f t="shared" si="18"/>
        <v>57.829633757432852</v>
      </c>
      <c r="LV16">
        <f t="shared" si="18"/>
        <v>56.200644712449247</v>
      </c>
      <c r="LW16">
        <f t="shared" si="18"/>
        <v>57.04012926159583</v>
      </c>
      <c r="LX16">
        <f t="shared" si="18"/>
        <v>54.505470823628016</v>
      </c>
      <c r="LY16">
        <f t="shared" si="18"/>
        <v>58.017428789745075</v>
      </c>
      <c r="LZ16">
        <f t="shared" si="18"/>
        <v>61.074318120943381</v>
      </c>
      <c r="MA16">
        <f t="shared" si="18"/>
        <v>57.08517295635788</v>
      </c>
      <c r="MB16">
        <f t="shared" si="18"/>
        <v>55.507026890881065</v>
      </c>
      <c r="MC16">
        <f t="shared" si="18"/>
        <v>55.010364364930986</v>
      </c>
      <c r="MD16">
        <f t="shared" si="18"/>
        <v>53.678354552228804</v>
      </c>
      <c r="ME16">
        <f t="shared" si="18"/>
        <v>50.776806431670693</v>
      </c>
      <c r="MF16">
        <f t="shared" si="18"/>
        <v>48.816196412124498</v>
      </c>
      <c r="MG16">
        <f t="shared" si="18"/>
        <v>46.984653600872271</v>
      </c>
      <c r="MH16">
        <f t="shared" si="18"/>
        <v>49.293981612624201</v>
      </c>
      <c r="MI16">
        <f t="shared" si="18"/>
        <v>49.068186673366434</v>
      </c>
      <c r="MJ16">
        <f t="shared" si="18"/>
        <v>49.680331671541154</v>
      </c>
      <c r="MK16">
        <f t="shared" si="18"/>
        <v>51.296942641945051</v>
      </c>
      <c r="ML16">
        <f t="shared" si="18"/>
        <v>53.148557998855303</v>
      </c>
      <c r="MM16">
        <f t="shared" si="18"/>
        <v>51.152540907482361</v>
      </c>
      <c r="MN16">
        <f t="shared" si="18"/>
        <v>49.569252987653648</v>
      </c>
      <c r="MO16">
        <f t="shared" si="18"/>
        <v>47.806036898077387</v>
      </c>
      <c r="MP16">
        <f t="shared" si="18"/>
        <v>49.725293076626194</v>
      </c>
      <c r="MQ16">
        <f t="shared" si="18"/>
        <v>48.945626314475234</v>
      </c>
      <c r="MR16">
        <f t="shared" si="18"/>
        <v>50.868158276719427</v>
      </c>
      <c r="MS16">
        <f t="shared" si="18"/>
        <v>49.182583425704351</v>
      </c>
      <c r="MT16">
        <f t="shared" si="18"/>
        <v>50.817021955501211</v>
      </c>
      <c r="MU16">
        <f t="shared" si="18"/>
        <v>49.07989160241538</v>
      </c>
      <c r="MV16">
        <f t="shared" si="18"/>
        <v>46.781634208646977</v>
      </c>
      <c r="MW16">
        <f t="shared" si="18"/>
        <v>46.172296024713944</v>
      </c>
      <c r="MX16">
        <f t="shared" si="18"/>
        <v>45.334950871459164</v>
      </c>
      <c r="MY16">
        <f t="shared" si="18"/>
        <v>45.23534800219403</v>
      </c>
      <c r="MZ16">
        <f t="shared" si="18"/>
        <v>46.731847103631871</v>
      </c>
      <c r="NA16">
        <f t="shared" si="18"/>
        <v>48.183290637777951</v>
      </c>
      <c r="NB16">
        <f t="shared" si="18"/>
        <v>50.983307431710244</v>
      </c>
      <c r="NC16">
        <f t="shared" si="18"/>
        <v>49.762472700139753</v>
      </c>
      <c r="ND16">
        <f t="shared" si="18"/>
        <v>45.644569485071258</v>
      </c>
      <c r="NE16">
        <f t="shared" si="18"/>
        <v>49.148448614562383</v>
      </c>
      <c r="NF16">
        <f t="shared" si="18"/>
        <v>53.083843694732721</v>
      </c>
      <c r="NG16">
        <f t="shared" si="18"/>
        <v>52.052854184028178</v>
      </c>
      <c r="NH16">
        <f t="shared" si="18"/>
        <v>52.919906081930932</v>
      </c>
      <c r="NI16">
        <f t="shared" si="18"/>
        <v>47.706994247287227</v>
      </c>
      <c r="NJ16">
        <f t="shared" si="18"/>
        <v>47.664346972005774</v>
      </c>
      <c r="NK16">
        <f t="shared" si="18"/>
        <v>46.600578561413364</v>
      </c>
      <c r="NL16">
        <f t="shared" si="18"/>
        <v>46.467636189856833</v>
      </c>
      <c r="NM16">
        <f t="shared" si="18"/>
        <v>39.686568743701891</v>
      </c>
      <c r="NN16">
        <f t="shared" si="18"/>
        <v>38.045021415770876</v>
      </c>
      <c r="NO16">
        <f t="shared" si="18"/>
        <v>37.216853570200172</v>
      </c>
      <c r="NP16">
        <f t="shared" si="18"/>
        <v>36.027430760250425</v>
      </c>
      <c r="NQ16">
        <f t="shared" si="18"/>
        <v>36.596890524884735</v>
      </c>
      <c r="NR16">
        <f t="shared" si="18"/>
        <v>33.696540947948399</v>
      </c>
      <c r="NS16">
        <f t="shared" si="18"/>
        <v>33.248820904869817</v>
      </c>
      <c r="NT16">
        <f t="shared" si="18"/>
        <v>29.758040141446795</v>
      </c>
      <c r="NU16">
        <f t="shared" si="18"/>
        <v>30.068682107931181</v>
      </c>
      <c r="NV16">
        <f t="shared" si="18"/>
        <v>29.201293657657686</v>
      </c>
      <c r="NW16">
        <f t="shared" si="18"/>
        <v>26.545031610126639</v>
      </c>
      <c r="NX16">
        <f t="shared" si="19"/>
        <v>26.628237972408112</v>
      </c>
      <c r="NY16">
        <f t="shared" si="19"/>
        <v>28.265349344960718</v>
      </c>
      <c r="NZ16">
        <f t="shared" si="19"/>
        <v>27.26675509324031</v>
      </c>
      <c r="OA16">
        <f t="shared" si="19"/>
        <v>26.265962037218351</v>
      </c>
      <c r="OB16">
        <f t="shared" si="19"/>
        <v>25.815410179933458</v>
      </c>
      <c r="OC16">
        <f t="shared" si="19"/>
        <v>28.040420525744441</v>
      </c>
      <c r="OD16">
        <f t="shared" si="19"/>
        <v>28.423002905893291</v>
      </c>
      <c r="OE16">
        <f t="shared" si="19"/>
        <v>25.75451916800148</v>
      </c>
      <c r="OF16">
        <f t="shared" si="19"/>
        <v>26.178913259377406</v>
      </c>
      <c r="OG16">
        <f t="shared" si="19"/>
        <v>27.604370032400308</v>
      </c>
      <c r="OH16">
        <f t="shared" si="19"/>
        <v>27.220518743237001</v>
      </c>
      <c r="OI16">
        <f t="shared" si="19"/>
        <v>28.226860282426511</v>
      </c>
      <c r="OJ16">
        <f t="shared" si="19"/>
        <v>27.004043578249117</v>
      </c>
      <c r="OK16">
        <f t="shared" si="19"/>
        <v>26.806706086917341</v>
      </c>
      <c r="OL16">
        <f t="shared" si="19"/>
        <v>29.153635096367971</v>
      </c>
      <c r="OM16">
        <f t="shared" si="19"/>
        <v>28.661002255689475</v>
      </c>
      <c r="ON16">
        <f t="shared" si="19"/>
        <v>28.958230041179654</v>
      </c>
      <c r="OO16">
        <f t="shared" si="19"/>
        <v>27.319622227122217</v>
      </c>
      <c r="OP16">
        <f t="shared" si="19"/>
        <v>28.549643422993885</v>
      </c>
      <c r="OQ16">
        <f t="shared" si="19"/>
        <v>28.556309266203115</v>
      </c>
      <c r="OR16">
        <f t="shared" si="19"/>
        <v>28.917253151524356</v>
      </c>
      <c r="OS16">
        <f t="shared" si="19"/>
        <v>27.17846572894851</v>
      </c>
      <c r="OT16">
        <f t="shared" si="19"/>
        <v>27.689712495938373</v>
      </c>
      <c r="OU16">
        <f t="shared" si="19"/>
        <v>28.13890770543993</v>
      </c>
      <c r="OV16">
        <f t="shared" si="19"/>
        <v>27.192156189956851</v>
      </c>
      <c r="OW16">
        <f t="shared" si="19"/>
        <v>25.135761783307291</v>
      </c>
      <c r="OX16">
        <f t="shared" si="19"/>
        <v>22.909235274835073</v>
      </c>
      <c r="OY16">
        <f t="shared" si="19"/>
        <v>23.171168995132945</v>
      </c>
      <c r="OZ16">
        <f t="shared" si="19"/>
        <v>22.816956504337707</v>
      </c>
      <c r="PA16">
        <f t="shared" si="19"/>
        <v>20.690878868159693</v>
      </c>
      <c r="PB16">
        <f t="shared" si="19"/>
        <v>21.765744842065857</v>
      </c>
      <c r="PC16">
        <f t="shared" si="19"/>
        <v>21.60901993828341</v>
      </c>
      <c r="PD16">
        <f t="shared" si="19"/>
        <v>21.915888215018928</v>
      </c>
      <c r="PE16">
        <f t="shared" si="19"/>
        <v>20.430005061320184</v>
      </c>
      <c r="PF16">
        <f t="shared" si="19"/>
        <v>19.389868593081079</v>
      </c>
      <c r="PG16">
        <f t="shared" si="19"/>
        <v>18.233389895357089</v>
      </c>
      <c r="PH16">
        <f t="shared" si="19"/>
        <v>15.520971959869348</v>
      </c>
      <c r="PI16">
        <f t="shared" si="19"/>
        <v>13.26430583709535</v>
      </c>
      <c r="PJ16">
        <f t="shared" si="19"/>
        <v>12.955148700996956</v>
      </c>
      <c r="PK16">
        <f t="shared" si="19"/>
        <v>13.016140274179048</v>
      </c>
      <c r="PL16">
        <f t="shared" si="19"/>
        <v>14.061632712755291</v>
      </c>
      <c r="PM16">
        <f t="shared" si="19"/>
        <v>14.166426755481757</v>
      </c>
      <c r="PN16">
        <f t="shared" si="19"/>
        <v>14.793129620793975</v>
      </c>
      <c r="PO16">
        <f t="shared" si="19"/>
        <v>13.943053802285254</v>
      </c>
      <c r="PP16">
        <f t="shared" si="19"/>
        <v>14.693275242147816</v>
      </c>
      <c r="PQ16">
        <f t="shared" si="19"/>
        <v>14.537720436838066</v>
      </c>
      <c r="PR16">
        <f t="shared" si="19"/>
        <v>14.621181972661555</v>
      </c>
      <c r="PS16">
        <f t="shared" si="19"/>
        <v>15.297722068701544</v>
      </c>
      <c r="PT16">
        <f t="shared" si="19"/>
        <v>15.988668622562853</v>
      </c>
      <c r="PU16">
        <f t="shared" si="19"/>
        <v>16.273022328524203</v>
      </c>
      <c r="PV16">
        <f t="shared" si="19"/>
        <v>17.590956023822077</v>
      </c>
      <c r="PW16">
        <f t="shared" si="19"/>
        <v>17.407084530982488</v>
      </c>
      <c r="PX16">
        <f t="shared" si="19"/>
        <v>17.026687209961644</v>
      </c>
      <c r="PY16">
        <f t="shared" si="19"/>
        <v>18.962487977513149</v>
      </c>
      <c r="PZ16">
        <f t="shared" si="19"/>
        <v>18.378721998918941</v>
      </c>
      <c r="QA16">
        <f t="shared" si="19"/>
        <v>18.28766087002905</v>
      </c>
      <c r="QB16">
        <f t="shared" si="19"/>
        <v>17.556562945585732</v>
      </c>
      <c r="QC16">
        <f t="shared" si="19"/>
        <v>15.177521512063509</v>
      </c>
      <c r="QD16">
        <f t="shared" si="19"/>
        <v>15.283233232452913</v>
      </c>
      <c r="QE16">
        <f t="shared" si="19"/>
        <v>14.940063796017501</v>
      </c>
      <c r="QF16">
        <f t="shared" si="19"/>
        <v>15.963488047891751</v>
      </c>
      <c r="QG16">
        <f t="shared" si="19"/>
        <v>17.293664912115293</v>
      </c>
      <c r="QH16">
        <f t="shared" si="19"/>
        <v>13.715708568967635</v>
      </c>
      <c r="QI16">
        <f t="shared" si="19"/>
        <v>15.008588291669968</v>
      </c>
      <c r="QJ16">
        <f t="shared" si="20"/>
        <v>15.162636826344773</v>
      </c>
      <c r="QK16">
        <f t="shared" si="20"/>
        <v>16.087655663303792</v>
      </c>
      <c r="QL16">
        <f t="shared" si="20"/>
        <v>15.443425950672372</v>
      </c>
      <c r="QM16">
        <f t="shared" si="20"/>
        <v>14.152649426599696</v>
      </c>
      <c r="QN16">
        <f t="shared" si="20"/>
        <v>15.424159712140895</v>
      </c>
      <c r="QO16">
        <f t="shared" si="20"/>
        <v>17.708572977458321</v>
      </c>
      <c r="QP16">
        <f t="shared" si="20"/>
        <v>20.280571933934944</v>
      </c>
      <c r="QQ16">
        <f t="shared" si="20"/>
        <v>20.399656028986051</v>
      </c>
      <c r="QR16">
        <f t="shared" si="20"/>
        <v>18.390025590651007</v>
      </c>
      <c r="QS16">
        <f t="shared" si="20"/>
        <v>20.199603673227728</v>
      </c>
      <c r="QT16">
        <f t="shared" si="20"/>
        <v>21.210931616527883</v>
      </c>
      <c r="QU16">
        <f t="shared" si="20"/>
        <v>20.178027347836959</v>
      </c>
      <c r="QV16">
        <f t="shared" si="20"/>
        <v>23.274762415707187</v>
      </c>
      <c r="QW16">
        <f t="shared" si="20"/>
        <v>23.274780262210061</v>
      </c>
      <c r="QX16">
        <f t="shared" si="20"/>
        <v>23.68762529333549</v>
      </c>
      <c r="QY16">
        <f t="shared" si="20"/>
        <v>23.027127225224568</v>
      </c>
      <c r="QZ16">
        <f t="shared" si="20"/>
        <v>21.798638415517757</v>
      </c>
      <c r="RA16">
        <f t="shared" si="20"/>
        <v>18.31902155022637</v>
      </c>
      <c r="RB16">
        <f t="shared" si="20"/>
        <v>19.243876129385672</v>
      </c>
      <c r="RC16">
        <f t="shared" si="20"/>
        <v>18.908610511606422</v>
      </c>
      <c r="RD16">
        <f t="shared" si="20"/>
        <v>22.343888348460364</v>
      </c>
      <c r="RE16">
        <f t="shared" si="20"/>
        <v>23.136296943334738</v>
      </c>
      <c r="RF16">
        <f t="shared" si="20"/>
        <v>21.356029884574781</v>
      </c>
      <c r="RG16">
        <f t="shared" si="20"/>
        <v>18.962066609725486</v>
      </c>
      <c r="RH16">
        <f t="shared" si="20"/>
        <v>18.505639026931149</v>
      </c>
      <c r="RI16">
        <f t="shared" si="20"/>
        <v>18.651254531421905</v>
      </c>
      <c r="RJ16">
        <f t="shared" si="20"/>
        <v>17.287827978864318</v>
      </c>
      <c r="RK16">
        <f t="shared" si="20"/>
        <v>17.988898062250531</v>
      </c>
      <c r="RL16">
        <f t="shared" si="20"/>
        <v>17.063937619957603</v>
      </c>
      <c r="RM16">
        <f t="shared" si="20"/>
        <v>17.214533532978002</v>
      </c>
      <c r="RN16">
        <f t="shared" si="20"/>
        <v>14.860480025590652</v>
      </c>
      <c r="RO16">
        <f t="shared" si="20"/>
        <v>15.096247651019889</v>
      </c>
      <c r="RP16">
        <f t="shared" si="20"/>
        <v>14.929147339742121</v>
      </c>
      <c r="RQ16">
        <f t="shared" si="20"/>
        <v>15.729588825837633</v>
      </c>
      <c r="RR16">
        <f t="shared" si="20"/>
        <v>14.553606876020789</v>
      </c>
      <c r="RS16">
        <f t="shared" si="20"/>
        <v>12.545870288691491</v>
      </c>
      <c r="RT16">
        <f t="shared" si="20"/>
        <v>11.992193598430632</v>
      </c>
      <c r="RU16">
        <f t="shared" si="20"/>
        <v>13.087976390959597</v>
      </c>
      <c r="RV16">
        <f t="shared" si="20"/>
        <v>11.293430373206256</v>
      </c>
      <c r="RW16">
        <f t="shared" si="20"/>
        <v>10.124050250218792</v>
      </c>
      <c r="RX16">
        <f t="shared" si="20"/>
        <v>8.8201976604289101</v>
      </c>
      <c r="RY16">
        <f t="shared" si="20"/>
        <v>8.0486761268363818</v>
      </c>
      <c r="RZ16">
        <f t="shared" si="20"/>
        <v>8.1013896470387046</v>
      </c>
      <c r="SA16">
        <f t="shared" si="20"/>
        <v>8.8210748444691909</v>
      </c>
      <c r="SB16">
        <f t="shared" si="20"/>
        <v>9.5010407327910649</v>
      </c>
      <c r="SC16">
        <f t="shared" si="20"/>
        <v>9.7965788335770103</v>
      </c>
      <c r="SD16">
        <f t="shared" si="20"/>
        <v>9.1817063087527497</v>
      </c>
      <c r="SE16">
        <f t="shared" si="20"/>
        <v>9.2669344270280103</v>
      </c>
      <c r="SF16">
        <f t="shared" si="20"/>
        <v>9.2371367483294744</v>
      </c>
      <c r="SG16">
        <f t="shared" si="20"/>
        <v>9.7352740668620097</v>
      </c>
      <c r="SH16">
        <f t="shared" si="20"/>
        <v>9.2983596201057654</v>
      </c>
      <c r="SI16">
        <f t="shared" si="20"/>
        <v>10.145858204088668</v>
      </c>
      <c r="SJ16">
        <f t="shared" si="20"/>
        <v>8.9698497434109985</v>
      </c>
      <c r="SK16">
        <f t="shared" si="20"/>
        <v>9.1419755543724097</v>
      </c>
      <c r="SL16">
        <f t="shared" si="20"/>
        <v>9.2646846456480603</v>
      </c>
      <c r="SM16">
        <f t="shared" si="20"/>
        <v>10.097545902993867</v>
      </c>
      <c r="SN16">
        <f t="shared" si="20"/>
        <v>9.9574901845480568</v>
      </c>
      <c r="SO16">
        <f t="shared" si="20"/>
        <v>10.103287892233567</v>
      </c>
      <c r="SP16">
        <f t="shared" si="20"/>
        <v>9.7833388446505349</v>
      </c>
      <c r="SQ16">
        <f t="shared" si="20"/>
        <v>10.171857693898271</v>
      </c>
      <c r="SR16">
        <f t="shared" si="20"/>
        <v>10.550370481373701</v>
      </c>
      <c r="SS16">
        <f t="shared" si="20"/>
        <v>11.56824385755603</v>
      </c>
      <c r="ST16">
        <f t="shared" si="20"/>
        <v>11.603735543024611</v>
      </c>
      <c r="SU16">
        <f t="shared" si="20"/>
        <v>11.295907927549095</v>
      </c>
      <c r="SV16">
        <f t="shared" si="21"/>
        <v>11.01745699820397</v>
      </c>
      <c r="SW16">
        <f t="shared" si="21"/>
        <v>11.385096453064866</v>
      </c>
      <c r="SX16">
        <f t="shared" si="21"/>
        <v>12.541314204035917</v>
      </c>
      <c r="SY16">
        <f t="shared" si="21"/>
        <v>12.939732495754098</v>
      </c>
      <c r="SZ16">
        <f t="shared" si="21"/>
        <v>14.125888288870785</v>
      </c>
      <c r="TA16">
        <f t="shared" si="21"/>
        <v>14.20234949378211</v>
      </c>
      <c r="TB16">
        <f t="shared" si="21"/>
        <v>15.032740901015949</v>
      </c>
      <c r="TC16">
        <f t="shared" si="21"/>
        <v>15.302562655764708</v>
      </c>
      <c r="TD16">
        <f t="shared" si="21"/>
        <v>14.55305880667173</v>
      </c>
      <c r="TE16">
        <f t="shared" si="21"/>
        <v>14.236333162165119</v>
      </c>
      <c r="TF16">
        <f t="shared" si="21"/>
        <v>15.597546941748703</v>
      </c>
      <c r="TG16">
        <f t="shared" si="21"/>
        <v>14.582582600111005</v>
      </c>
      <c r="TH16">
        <f t="shared" si="21"/>
        <v>14.807780200586933</v>
      </c>
      <c r="TI16">
        <f t="shared" si="21"/>
        <v>14.536219096300442</v>
      </c>
      <c r="TJ16">
        <f t="shared" si="21"/>
        <v>13.767694008701721</v>
      </c>
      <c r="TK16">
        <f t="shared" si="21"/>
        <v>14.042742053331649</v>
      </c>
      <c r="TL16">
        <f t="shared" si="21"/>
        <v>14.902269278690159</v>
      </c>
      <c r="TM16">
        <f t="shared" si="21"/>
        <v>14.391069673168495</v>
      </c>
      <c r="TN16">
        <f t="shared" si="21"/>
        <v>14.411312648005778</v>
      </c>
      <c r="TO16">
        <f t="shared" si="21"/>
        <v>15.207107928285199</v>
      </c>
      <c r="TP16">
        <f t="shared" si="21"/>
        <v>14.388922030983096</v>
      </c>
      <c r="TQ16">
        <f t="shared" si="21"/>
        <v>15.602069870656413</v>
      </c>
      <c r="TR16">
        <f t="shared" si="21"/>
        <v>15.928199403101813</v>
      </c>
      <c r="TS16">
        <f t="shared" si="21"/>
        <v>15.757438017973803</v>
      </c>
      <c r="TT16">
        <f t="shared" si="21"/>
        <v>15.856469004978692</v>
      </c>
      <c r="TU16">
        <f t="shared" si="21"/>
        <v>14.450260482046252</v>
      </c>
      <c r="TV16">
        <f t="shared" si="21"/>
        <v>14.570278817910339</v>
      </c>
      <c r="TW16">
        <f t="shared" si="21"/>
        <v>13.383046797777117</v>
      </c>
      <c r="TX16">
        <f t="shared" si="21"/>
        <v>13.257428678718449</v>
      </c>
      <c r="TY16">
        <f t="shared" si="21"/>
        <v>12.400435681555185</v>
      </c>
      <c r="TZ16">
        <f t="shared" si="21"/>
        <v>12.249016080851213</v>
      </c>
      <c r="UA16">
        <f t="shared" si="21"/>
        <v>12.868845329120415</v>
      </c>
      <c r="UB16">
        <f t="shared" si="21"/>
        <v>12.240442366705269</v>
      </c>
      <c r="UC16">
        <f t="shared" si="21"/>
        <v>13.273535057472177</v>
      </c>
      <c r="UD16">
        <f t="shared" si="21"/>
        <v>13.21310817326764</v>
      </c>
      <c r="UE16">
        <f t="shared" si="21"/>
        <v>13.692659017215371</v>
      </c>
      <c r="UF16">
        <f t="shared" si="21"/>
        <v>15.113036077583113</v>
      </c>
      <c r="UG16">
        <f t="shared" si="21"/>
        <v>15.123056377155914</v>
      </c>
      <c r="UH16">
        <f t="shared" si="21"/>
        <v>14.541306921190634</v>
      </c>
      <c r="UI16">
        <f t="shared" si="21"/>
        <v>14.243715418212997</v>
      </c>
      <c r="UJ16">
        <f t="shared" si="21"/>
        <v>14.864782219073843</v>
      </c>
      <c r="UK16">
        <f t="shared" si="21"/>
        <v>15.314567675585529</v>
      </c>
      <c r="UL16">
        <f t="shared" si="21"/>
        <v>14.453725420631059</v>
      </c>
      <c r="UM16">
        <f t="shared" si="21"/>
        <v>13.107830869218001</v>
      </c>
      <c r="UN16">
        <f t="shared" si="21"/>
        <v>13.748374011273338</v>
      </c>
      <c r="UO16">
        <f t="shared" si="21"/>
        <v>13.006552103083411</v>
      </c>
      <c r="UP16">
        <f t="shared" si="21"/>
        <v>12.525536155586</v>
      </c>
      <c r="UQ16">
        <f t="shared" si="21"/>
        <v>12.055947179448387</v>
      </c>
      <c r="UR16">
        <f t="shared" si="21"/>
        <v>12.079425816913432</v>
      </c>
      <c r="US16">
        <f t="shared" si="21"/>
        <v>12.450680896638756</v>
      </c>
      <c r="UT16">
        <f t="shared" si="21"/>
        <v>12.658561710077439</v>
      </c>
      <c r="UU16">
        <f t="shared" si="21"/>
        <v>13.665459606799006</v>
      </c>
      <c r="UV16">
        <f t="shared" si="21"/>
        <v>13.172044263581819</v>
      </c>
      <c r="UW16">
        <f t="shared" si="21"/>
        <v>13.360999957616819</v>
      </c>
      <c r="UX16">
        <f t="shared" si="21"/>
        <v>12.678783803781556</v>
      </c>
      <c r="UY16">
        <f t="shared" si="21"/>
        <v>12.714182569779682</v>
      </c>
      <c r="UZ16">
        <f t="shared" si="21"/>
        <v>13.921715781244211</v>
      </c>
      <c r="VA16">
        <f t="shared" si="21"/>
        <v>14.612095695293343</v>
      </c>
      <c r="VB16">
        <f t="shared" si="21"/>
        <v>14.90044489924899</v>
      </c>
      <c r="VC16">
        <f t="shared" si="21"/>
        <v>13.558706233611662</v>
      </c>
      <c r="VD16">
        <f t="shared" si="21"/>
        <v>12.792893647745133</v>
      </c>
      <c r="VE16">
        <f t="shared" si="21"/>
        <v>13.671060281716732</v>
      </c>
      <c r="VF16">
        <f t="shared" si="21"/>
        <v>13.273126524735188</v>
      </c>
      <c r="VG16">
        <f t="shared" si="21"/>
        <v>14.743096118756158</v>
      </c>
      <c r="VH16">
        <f t="shared" si="22"/>
        <v>13.692726253350092</v>
      </c>
      <c r="VI16">
        <f t="shared" si="22"/>
        <v>14.093983626730877</v>
      </c>
      <c r="VJ16">
        <f t="shared" si="22"/>
        <v>13.028057375376882</v>
      </c>
      <c r="VK16">
        <f t="shared" si="22"/>
        <v>12.988665883767306</v>
      </c>
      <c r="VL16">
        <f t="shared" si="22"/>
        <v>14.84199434697411</v>
      </c>
      <c r="VM16">
        <f t="shared" si="22"/>
        <v>14.491232749646141</v>
      </c>
      <c r="VN16">
        <f t="shared" si="22"/>
        <v>14.546079440817588</v>
      </c>
      <c r="VO16">
        <f t="shared" si="22"/>
        <v>14.433904105461462</v>
      </c>
      <c r="VP16">
        <f t="shared" si="22"/>
        <v>13.61522381430078</v>
      </c>
      <c r="VQ16">
        <f t="shared" si="22"/>
        <v>13.886457383680041</v>
      </c>
      <c r="VR16">
        <f t="shared" si="22"/>
        <v>15.977756467241241</v>
      </c>
      <c r="VS16">
        <f t="shared" si="22"/>
        <v>14.695192350098914</v>
      </c>
      <c r="VT16">
        <f t="shared" si="22"/>
        <v>13.88884137930655</v>
      </c>
      <c r="VU16">
        <f t="shared" si="22"/>
        <v>14.799651637034772</v>
      </c>
      <c r="VV16">
        <f t="shared" si="22"/>
        <v>15.16355481760325</v>
      </c>
      <c r="VW16">
        <f t="shared" si="22"/>
        <v>13.862734005739933</v>
      </c>
      <c r="VX16">
        <f t="shared" si="22"/>
        <v>14.75200122353251</v>
      </c>
      <c r="VY16">
        <f t="shared" si="22"/>
        <v>14.736430755545305</v>
      </c>
      <c r="VZ16">
        <f t="shared" si="22"/>
        <v>13.949519805039225</v>
      </c>
      <c r="WA16">
        <f t="shared" si="22"/>
        <v>13.370229689862555</v>
      </c>
      <c r="WB16">
        <f t="shared" si="22"/>
        <v>12.425100802769808</v>
      </c>
      <c r="WC16">
        <f t="shared" si="22"/>
        <v>12.572053118169334</v>
      </c>
      <c r="WD16">
        <f t="shared" si="22"/>
        <v>13.33785913918004</v>
      </c>
      <c r="WE16">
        <f t="shared" si="22"/>
        <v>13.826700180457092</v>
      </c>
      <c r="WF16">
        <f t="shared" si="22"/>
        <v>12.479560277426916</v>
      </c>
      <c r="WG16">
        <f t="shared" si="22"/>
        <v>12.979433945235327</v>
      </c>
      <c r="WH16">
        <f t="shared" si="22"/>
        <v>13.734687531386305</v>
      </c>
      <c r="WI16">
        <f t="shared" si="22"/>
        <v>14.504040329868589</v>
      </c>
      <c r="WJ16">
        <f t="shared" si="22"/>
        <v>16.054184870920256</v>
      </c>
      <c r="WK16">
        <f t="shared" si="22"/>
        <v>14.433697349232704</v>
      </c>
      <c r="WL16">
        <f t="shared" si="22"/>
        <v>13.711420540687374</v>
      </c>
      <c r="WM16">
        <f t="shared" si="22"/>
        <v>13.566476188486432</v>
      </c>
      <c r="WN16">
        <f t="shared" si="22"/>
        <v>12.418945349405734</v>
      </c>
      <c r="WO16">
        <f t="shared" si="22"/>
        <v>12.077706746123665</v>
      </c>
      <c r="WP16">
        <f t="shared" si="22"/>
        <v>11.835488323639503</v>
      </c>
      <c r="WQ16">
        <f t="shared" si="22"/>
        <v>12.280325902637644</v>
      </c>
      <c r="WR16">
        <f t="shared" si="22"/>
        <v>12.594904465428831</v>
      </c>
      <c r="WS16">
        <f t="shared" si="22"/>
        <v>11.939291026087011</v>
      </c>
      <c r="WT16">
        <f t="shared" si="22"/>
        <v>11.415033631323613</v>
      </c>
      <c r="WU16">
        <f t="shared" si="22"/>
        <v>12.278509183392732</v>
      </c>
      <c r="WV16">
        <f t="shared" si="22"/>
        <v>12.507237937817537</v>
      </c>
      <c r="WW16">
        <f t="shared" si="22"/>
        <v>11.473780050793023</v>
      </c>
      <c r="WX16">
        <f t="shared" si="22"/>
        <v>11.270200867827544</v>
      </c>
      <c r="WY16">
        <f t="shared" si="22"/>
        <v>11.64869568432618</v>
      </c>
      <c r="WZ16">
        <f t="shared" si="22"/>
        <v>12.036320444120721</v>
      </c>
      <c r="XA16">
        <f t="shared" si="22"/>
        <v>12.404896632990082</v>
      </c>
      <c r="XB16">
        <f t="shared" si="22"/>
        <v>13.562906462551005</v>
      </c>
      <c r="XC16">
        <f t="shared" si="22"/>
        <v>12.12362237065355</v>
      </c>
      <c r="XD16">
        <f t="shared" si="22"/>
        <v>12.166349102968066</v>
      </c>
      <c r="XE16">
        <f t="shared" si="22"/>
        <v>12.039324371946572</v>
      </c>
      <c r="XF16">
        <f t="shared" si="22"/>
        <v>12.374811682056453</v>
      </c>
      <c r="XG16">
        <f t="shared" si="22"/>
        <v>11.415335063771808</v>
      </c>
      <c r="XH16">
        <f t="shared" si="22"/>
        <v>10.992790985769687</v>
      </c>
      <c r="XI16">
        <f t="shared" si="22"/>
        <v>10.473774489670639</v>
      </c>
      <c r="XJ16">
        <f t="shared" si="22"/>
        <v>10.730341802037538</v>
      </c>
      <c r="XK16">
        <f t="shared" si="22"/>
        <v>11.111800329647554</v>
      </c>
      <c r="XL16">
        <f t="shared" si="22"/>
        <v>11.194419693453051</v>
      </c>
      <c r="XM16">
        <f t="shared" si="22"/>
        <v>10.636668318716829</v>
      </c>
      <c r="XN16">
        <f t="shared" si="22"/>
        <v>10.113507739072851</v>
      </c>
      <c r="XO16">
        <f t="shared" si="22"/>
        <v>9.4513755403202424</v>
      </c>
      <c r="XP16">
        <f t="shared" si="22"/>
        <v>7.9124745242950469</v>
      </c>
      <c r="XQ16">
        <f t="shared" si="22"/>
        <v>8.0652825845477434</v>
      </c>
      <c r="XR16">
        <f t="shared" si="22"/>
        <v>8.135827434270384</v>
      </c>
      <c r="XS16">
        <f t="shared" si="22"/>
        <v>7.8494789767562061</v>
      </c>
      <c r="XT16">
        <f t="shared" si="23"/>
        <v>7.5497089473857795</v>
      </c>
      <c r="XU16">
        <f t="shared" si="23"/>
        <v>7.4034102839219953</v>
      </c>
      <c r="XV16">
        <f t="shared" si="23"/>
        <v>7.2555444991660014</v>
      </c>
      <c r="XW16">
        <f t="shared" si="23"/>
        <v>7.0504295176210094</v>
      </c>
      <c r="XX16">
        <f t="shared" si="23"/>
        <v>6.2186273490213981</v>
      </c>
      <c r="XY16">
        <f t="shared" si="23"/>
        <v>6.6554714595818094</v>
      </c>
      <c r="XZ16">
        <f t="shared" si="23"/>
        <v>6.7809224071503209</v>
      </c>
      <c r="YA16">
        <f t="shared" si="23"/>
        <v>6.695050313506453</v>
      </c>
      <c r="YB16">
        <f t="shared" si="23"/>
        <v>7.1287230139089779</v>
      </c>
      <c r="YC16">
        <f t="shared" si="23"/>
        <v>6.4086939525750726</v>
      </c>
      <c r="YD16">
        <f t="shared" si="23"/>
        <v>6.7458803884209626</v>
      </c>
      <c r="YE16">
        <f t="shared" si="23"/>
        <v>6.8662913759610875</v>
      </c>
      <c r="YF16">
        <f t="shared" si="23"/>
        <v>7.232226770536041</v>
      </c>
      <c r="YG16">
        <f t="shared" si="23"/>
        <v>7.5180827024851835</v>
      </c>
      <c r="YH16">
        <f t="shared" si="23"/>
        <v>7.355640258524379</v>
      </c>
      <c r="YI16">
        <f t="shared" si="23"/>
        <v>6.9423417198931805</v>
      </c>
      <c r="YJ16">
        <f t="shared" si="23"/>
        <v>7.0201899485221348</v>
      </c>
      <c r="YK16">
        <f t="shared" si="23"/>
        <v>6.9553346879724591</v>
      </c>
      <c r="YL16">
        <f t="shared" si="23"/>
        <v>6.6888386980157319</v>
      </c>
      <c r="YM16">
        <f t="shared" si="23"/>
        <v>6.6681826051961259</v>
      </c>
      <c r="YN16">
        <f t="shared" si="23"/>
        <v>7.039068324575255</v>
      </c>
      <c r="YO16">
        <f t="shared" si="23"/>
        <v>6.6685541452299226</v>
      </c>
      <c r="YP16">
        <f t="shared" si="23"/>
        <v>6.7015616916885987</v>
      </c>
      <c r="YQ16">
        <f t="shared" si="23"/>
        <v>6.5739438164291455</v>
      </c>
      <c r="YR16">
        <f t="shared" si="23"/>
        <v>6.0164918338532924</v>
      </c>
      <c r="YS16">
        <f t="shared" si="23"/>
        <v>5.6683908169555801</v>
      </c>
      <c r="YT16">
        <f t="shared" si="23"/>
        <v>4.7243691175591094</v>
      </c>
      <c r="YU16">
        <f t="shared" si="23"/>
        <v>4.8493811934414088</v>
      </c>
      <c r="YV16">
        <f t="shared" si="23"/>
        <v>5.3448670153923681</v>
      </c>
      <c r="YW16">
        <f t="shared" si="23"/>
        <v>5.4938076899578308</v>
      </c>
      <c r="YX16">
        <f t="shared" si="23"/>
        <v>5.9243781879355959</v>
      </c>
      <c r="YY16">
        <f t="shared" si="23"/>
        <v>5.7571980024515241</v>
      </c>
      <c r="YZ16">
        <f t="shared" si="23"/>
        <v>5.5261942818441119</v>
      </c>
      <c r="ZA16">
        <f t="shared" si="23"/>
        <v>4.8852910819817899</v>
      </c>
      <c r="ZB16">
        <f t="shared" si="23"/>
        <v>4.7998633294531476</v>
      </c>
      <c r="ZC16">
        <f t="shared" si="23"/>
        <v>4.8971199970127994</v>
      </c>
      <c r="ZD16">
        <f t="shared" si="23"/>
        <v>4.5598566774306546</v>
      </c>
      <c r="ZE16">
        <f t="shared" si="23"/>
        <v>4.3243558196145866</v>
      </c>
      <c r="ZF16">
        <f t="shared" si="23"/>
        <v>4.3152826683685994</v>
      </c>
      <c r="ZG16">
        <f t="shared" si="23"/>
        <v>4.2434528591246874</v>
      </c>
      <c r="ZH16">
        <f t="shared" si="23"/>
        <v>4.08544925929536</v>
      </c>
      <c r="ZI16">
        <f t="shared" si="23"/>
        <v>3.4197671399944878</v>
      </c>
      <c r="ZJ16">
        <f t="shared" si="23"/>
        <v>3.4298912138860391</v>
      </c>
      <c r="ZK16">
        <f t="shared" si="23"/>
        <v>3.2445839037307973</v>
      </c>
      <c r="ZL16">
        <f t="shared" si="23"/>
        <v>3.0836246851161007</v>
      </c>
      <c r="ZM16">
        <f t="shared" si="23"/>
        <v>3.069452848802293</v>
      </c>
      <c r="ZN16">
        <f t="shared" si="23"/>
        <v>3.1150434560569584</v>
      </c>
      <c r="ZO16">
        <f t="shared" si="23"/>
        <v>3.0676422776513075</v>
      </c>
      <c r="ZP16">
        <f t="shared" si="23"/>
        <v>3.3099693340566625</v>
      </c>
      <c r="ZQ16">
        <f t="shared" si="23"/>
        <v>3.259382359372669</v>
      </c>
      <c r="ZR16">
        <f t="shared" si="23"/>
        <v>3.0422486548708711</v>
      </c>
      <c r="ZS16">
        <f t="shared" si="23"/>
        <v>2.9896805137055007</v>
      </c>
      <c r="ZT16">
        <f t="shared" si="23"/>
        <v>2.8742219998420571</v>
      </c>
      <c r="ZU16">
        <f t="shared" si="23"/>
        <v>3.2721309781362122</v>
      </c>
      <c r="ZV16">
        <f t="shared" si="23"/>
        <v>3.268742230910513</v>
      </c>
      <c r="ZW16">
        <f t="shared" si="23"/>
        <v>3.3623457072032834</v>
      </c>
      <c r="ZX16">
        <f t="shared" si="23"/>
        <v>3.7934512591074019</v>
      </c>
      <c r="ZY16">
        <f t="shared" si="23"/>
        <v>3.7294212139769338</v>
      </c>
      <c r="ZZ16">
        <f t="shared" si="23"/>
        <v>3.579515225356007</v>
      </c>
      <c r="AAA16">
        <f t="shared" si="23"/>
        <v>3.5656762569702001</v>
      </c>
      <c r="AAB16">
        <f t="shared" si="23"/>
        <v>3.733374268493864</v>
      </c>
      <c r="AAC16">
        <f t="shared" si="23"/>
        <v>3.6291413693572929</v>
      </c>
      <c r="AAD16">
        <f t="shared" si="23"/>
        <v>3.1871298268411672</v>
      </c>
      <c r="AAE16">
        <f t="shared" si="23"/>
        <v>2.6747616402869911</v>
      </c>
      <c r="AAF16">
        <f t="shared" si="24"/>
        <v>2.578956665043322</v>
      </c>
      <c r="AAG16">
        <f t="shared" si="24"/>
        <v>2.6881052098450628</v>
      </c>
      <c r="AAH16">
        <f t="shared" si="24"/>
        <v>2.4575596289784425</v>
      </c>
      <c r="AAI16">
        <f t="shared" si="24"/>
        <v>2.7201744414511335</v>
      </c>
      <c r="AAJ16">
        <f t="shared" si="24"/>
        <v>2.5903749410514698</v>
      </c>
      <c r="AAK16">
        <f t="shared" si="24"/>
        <v>2.804460497391378</v>
      </c>
      <c r="AAL16">
        <f t="shared" si="24"/>
        <v>3.1479388491431046</v>
      </c>
      <c r="AAM16">
        <f t="shared" si="24"/>
        <v>3.7304513417074014</v>
      </c>
      <c r="AAN16">
        <f t="shared" si="24"/>
        <v>3.6544974331554712</v>
      </c>
      <c r="AAO16">
        <f t="shared" si="24"/>
        <v>3.3245397406534147</v>
      </c>
      <c r="AAP16">
        <f t="shared" si="24"/>
        <v>3.0381865114685076</v>
      </c>
      <c r="AAQ16">
        <f t="shared" si="24"/>
        <v>3.1171442428097991</v>
      </c>
      <c r="AAR16">
        <f t="shared" si="24"/>
        <v>3.1351582653906624</v>
      </c>
      <c r="AAS16">
        <f t="shared" si="24"/>
        <v>3.0602520989454738</v>
      </c>
      <c r="AAT16">
        <f t="shared" si="24"/>
        <v>2.8197011061580146</v>
      </c>
      <c r="AAU16">
        <f t="shared" si="24"/>
        <v>2.8211166176657736</v>
      </c>
      <c r="AAV16">
        <f t="shared" si="24"/>
        <v>2.7250567410322128</v>
      </c>
      <c r="AAW16">
        <f t="shared" si="24"/>
        <v>2.5663396298735437</v>
      </c>
      <c r="AAX16">
        <f t="shared" si="24"/>
        <v>2.5037285882898153</v>
      </c>
      <c r="AAY16">
        <f t="shared" si="24"/>
        <v>2.3572555775156689</v>
      </c>
      <c r="AAZ16">
        <f t="shared" si="24"/>
        <v>2.4047113002363902</v>
      </c>
      <c r="ABA16">
        <f t="shared" si="24"/>
        <v>2.2246345095505662</v>
      </c>
      <c r="ABB16">
        <f t="shared" si="24"/>
        <v>2.336609854849669</v>
      </c>
      <c r="ABC16">
        <f t="shared" si="24"/>
        <v>2.0668839293317345</v>
      </c>
      <c r="ABD16">
        <f t="shared" si="24"/>
        <v>2.1698059118137514</v>
      </c>
      <c r="ABE16">
        <f t="shared" si="24"/>
        <v>2.1120158364287867</v>
      </c>
      <c r="ABF16">
        <f t="shared" si="24"/>
        <v>2.3774688661497372</v>
      </c>
      <c r="ABG16">
        <f t="shared" si="24"/>
        <v>2.4192763076686785</v>
      </c>
      <c r="ABH16">
        <f t="shared" si="24"/>
        <v>2.9729864913292836</v>
      </c>
      <c r="ABI16">
        <f t="shared" si="24"/>
        <v>2.7484828354125583</v>
      </c>
      <c r="ABJ16">
        <f t="shared" si="24"/>
        <v>2.7959532976087615</v>
      </c>
      <c r="ABK16">
        <f t="shared" si="24"/>
        <v>2.8009559684611265</v>
      </c>
      <c r="ABL16">
        <f t="shared" si="24"/>
        <v>2.6182527140637819</v>
      </c>
      <c r="ABM16">
        <f t="shared" si="24"/>
        <v>2.5821418944366292</v>
      </c>
      <c r="ABN16">
        <f t="shared" si="24"/>
        <v>2.3645561186239892</v>
      </c>
      <c r="ABO16">
        <f t="shared" si="24"/>
        <v>2.5943622936962907</v>
      </c>
      <c r="ABP16">
        <f t="shared" si="24"/>
        <v>2.7144364568774191</v>
      </c>
      <c r="ABQ16">
        <f t="shared" si="24"/>
        <v>2.7153858763337846</v>
      </c>
      <c r="ABR16">
        <f t="shared" si="24"/>
        <v>2.6335865419552054</v>
      </c>
      <c r="ABS16">
        <f t="shared" si="24"/>
        <v>2.4086673339072906</v>
      </c>
      <c r="ABT16">
        <f t="shared" si="24"/>
        <v>2.4358656233094629</v>
      </c>
      <c r="ABU16">
        <f t="shared" si="24"/>
        <v>2.3910260245855657</v>
      </c>
      <c r="ABV16">
        <f t="shared" si="24"/>
        <v>2.5678328144645253</v>
      </c>
      <c r="ABW16">
        <f t="shared" si="24"/>
        <v>2.7920069638468208</v>
      </c>
      <c r="ABX16">
        <f t="shared" si="24"/>
        <v>2.8653769332793546</v>
      </c>
      <c r="ABY16">
        <f t="shared" si="24"/>
        <v>2.5738872523248486</v>
      </c>
      <c r="ABZ16">
        <f t="shared" si="24"/>
        <v>3.0976619155661673</v>
      </c>
      <c r="ACA16">
        <f t="shared" si="24"/>
        <v>2.9848457163722362</v>
      </c>
      <c r="ACB16">
        <f t="shared" si="24"/>
        <v>2.9679691365779757</v>
      </c>
      <c r="ACC16">
        <f t="shared" si="24"/>
        <v>3.2856563982085576</v>
      </c>
      <c r="ACD16">
        <f t="shared" si="24"/>
        <v>3.8784800123723961</v>
      </c>
      <c r="ACE16">
        <f t="shared" si="24"/>
        <v>4.1229766031492456</v>
      </c>
      <c r="ACF16">
        <f t="shared" si="24"/>
        <v>4.3297296965171688</v>
      </c>
      <c r="ACG16">
        <f t="shared" si="24"/>
        <v>4.4580626362578251</v>
      </c>
      <c r="ACH16">
        <f t="shared" si="24"/>
        <v>4.7446878224013682</v>
      </c>
      <c r="ACI16">
        <f t="shared" si="24"/>
        <v>5.063056297632559</v>
      </c>
      <c r="ACJ16">
        <f t="shared" si="24"/>
        <v>4.9606602052594821</v>
      </c>
      <c r="ACK16">
        <f t="shared" si="24"/>
        <v>5.0343714214924793</v>
      </c>
      <c r="ACL16">
        <f t="shared" si="24"/>
        <v>5.2459695103580213</v>
      </c>
      <c r="ACM16">
        <f t="shared" si="24"/>
        <v>5.9225312379778972</v>
      </c>
      <c r="ACN16">
        <f t="shared" si="24"/>
        <v>5.7841776166054144</v>
      </c>
      <c r="ACO16">
        <f t="shared" si="24"/>
        <v>5.7364817211077677</v>
      </c>
      <c r="ACP16">
        <f t="shared" si="24"/>
        <v>5.9778515106470183</v>
      </c>
      <c r="ACQ16">
        <f t="shared" si="24"/>
        <v>6.2981871353926451</v>
      </c>
      <c r="ACR16">
        <f t="shared" si="25"/>
        <v>6.5651663108280616</v>
      </c>
      <c r="ACS16">
        <f t="shared" si="25"/>
        <v>6.3399468917833941</v>
      </c>
      <c r="ACT16">
        <f t="shared" si="25"/>
        <v>6.6340311078447076</v>
      </c>
      <c r="ACU16">
        <f t="shared" si="25"/>
        <v>6.9445421871957711</v>
      </c>
      <c r="ACV16">
        <f t="shared" si="25"/>
        <v>7.2533581787190178</v>
      </c>
    </row>
    <row r="17" spans="1:776" x14ac:dyDescent="0.2">
      <c r="A17" s="6" t="s">
        <v>70657</v>
      </c>
      <c r="B17">
        <f t="shared" si="26"/>
        <v>101.93997172071055</v>
      </c>
      <c r="C17">
        <f t="shared" si="27"/>
        <v>102.65094893206224</v>
      </c>
      <c r="D17">
        <f t="shared" si="28"/>
        <v>103.71299585720139</v>
      </c>
      <c r="E17">
        <f t="shared" si="28"/>
        <v>106.89986418296434</v>
      </c>
      <c r="F17">
        <f t="shared" si="28"/>
        <v>103.2760980537068</v>
      </c>
      <c r="G17">
        <f t="shared" si="28"/>
        <v>99.712995067859282</v>
      </c>
      <c r="H17">
        <f t="shared" si="28"/>
        <v>100.64325440606133</v>
      </c>
      <c r="I17">
        <f t="shared" si="28"/>
        <v>99.987015386661398</v>
      </c>
      <c r="J17">
        <f t="shared" si="28"/>
        <v>101.12230701865124</v>
      </c>
      <c r="K17">
        <f t="shared" si="28"/>
        <v>97.624291228033954</v>
      </c>
      <c r="L17">
        <f t="shared" si="28"/>
        <v>99.1858277744237</v>
      </c>
      <c r="M17">
        <f t="shared" si="28"/>
        <v>95.654833945832252</v>
      </c>
      <c r="N17">
        <f t="shared" si="28"/>
        <v>93.155666290475736</v>
      </c>
      <c r="O17">
        <f t="shared" si="28"/>
        <v>91.94992996233961</v>
      </c>
      <c r="P17">
        <f t="shared" si="28"/>
        <v>91.132523879390192</v>
      </c>
      <c r="Q17">
        <f t="shared" si="28"/>
        <v>92.504019568748532</v>
      </c>
      <c r="R17">
        <f t="shared" si="28"/>
        <v>90.73293172639795</v>
      </c>
      <c r="S17">
        <f t="shared" si="28"/>
        <v>91.886820161932746</v>
      </c>
      <c r="T17">
        <f t="shared" si="28"/>
        <v>88.15112055040413</v>
      </c>
      <c r="U17">
        <f t="shared" si="28"/>
        <v>89.91177233543624</v>
      </c>
      <c r="V17">
        <f t="shared" si="28"/>
        <v>94.765418321913913</v>
      </c>
      <c r="W17">
        <f t="shared" si="28"/>
        <v>92.545411598095157</v>
      </c>
      <c r="X17">
        <f t="shared" si="28"/>
        <v>93.454810085034623</v>
      </c>
      <c r="Y17">
        <f t="shared" si="28"/>
        <v>95.755598317290193</v>
      </c>
      <c r="Z17">
        <f t="shared" si="28"/>
        <v>94.061661300770496</v>
      </c>
      <c r="AA17">
        <f t="shared" si="28"/>
        <v>95.930902669511042</v>
      </c>
      <c r="AB17">
        <f t="shared" si="28"/>
        <v>93.832029748269292</v>
      </c>
      <c r="AC17">
        <f t="shared" si="28"/>
        <v>92.383411872417341</v>
      </c>
      <c r="AD17">
        <f t="shared" si="28"/>
        <v>92.139716058031411</v>
      </c>
      <c r="AE17">
        <f t="shared" si="28"/>
        <v>91.195645142654328</v>
      </c>
      <c r="AF17">
        <f t="shared" si="28"/>
        <v>92.937478273219298</v>
      </c>
      <c r="AG17">
        <f t="shared" si="28"/>
        <v>89.945821712573931</v>
      </c>
      <c r="AH17">
        <f t="shared" si="28"/>
        <v>90.920898111737245</v>
      </c>
      <c r="AI17">
        <f t="shared" si="28"/>
        <v>93.256889406591853</v>
      </c>
      <c r="AJ17">
        <f t="shared" si="28"/>
        <v>92.202638755894498</v>
      </c>
      <c r="AK17">
        <f t="shared" si="28"/>
        <v>92.24775969963089</v>
      </c>
      <c r="AL17">
        <f t="shared" si="28"/>
        <v>91.807266577663256</v>
      </c>
      <c r="AM17">
        <f t="shared" si="28"/>
        <v>93.278496729219626</v>
      </c>
      <c r="AN17">
        <f t="shared" si="28"/>
        <v>92.17122235178978</v>
      </c>
      <c r="AO17">
        <f t="shared" si="28"/>
        <v>92.188465650590274</v>
      </c>
      <c r="AP17">
        <f t="shared" si="28"/>
        <v>93.308879536892789</v>
      </c>
      <c r="AQ17">
        <f t="shared" si="28"/>
        <v>92.091169674340264</v>
      </c>
      <c r="AR17">
        <f t="shared" si="28"/>
        <v>97.425732646740812</v>
      </c>
      <c r="AS17">
        <f t="shared" si="28"/>
        <v>99.754977915109947</v>
      </c>
      <c r="AT17">
        <f t="shared" si="28"/>
        <v>99.268514746047941</v>
      </c>
      <c r="AU17">
        <f t="shared" si="28"/>
        <v>100.18379244204604</v>
      </c>
      <c r="AV17">
        <f t="shared" si="28"/>
        <v>102.87109552609439</v>
      </c>
      <c r="AW17">
        <f t="shared" si="28"/>
        <v>100.46169195807488</v>
      </c>
      <c r="AX17">
        <f t="shared" si="28"/>
        <v>94.889261172526645</v>
      </c>
      <c r="AY17">
        <f t="shared" si="28"/>
        <v>96.802046943974986</v>
      </c>
      <c r="AZ17">
        <f t="shared" si="28"/>
        <v>96.265452246955476</v>
      </c>
      <c r="BA17">
        <f t="shared" si="28"/>
        <v>97.391521842219376</v>
      </c>
      <c r="BB17">
        <f t="shared" si="28"/>
        <v>97.749674791206644</v>
      </c>
      <c r="BC17">
        <f t="shared" si="28"/>
        <v>100.31235126653638</v>
      </c>
      <c r="BD17">
        <f t="shared" si="28"/>
        <v>101.24776600414687</v>
      </c>
      <c r="BE17">
        <f t="shared" si="28"/>
        <v>101.05324665790162</v>
      </c>
      <c r="BF17">
        <f t="shared" si="28"/>
        <v>102.96636978057897</v>
      </c>
      <c r="BG17">
        <f t="shared" si="28"/>
        <v>101.05945676640737</v>
      </c>
      <c r="BH17">
        <f t="shared" si="28"/>
        <v>100.82857404362571</v>
      </c>
      <c r="BI17">
        <f t="shared" si="28"/>
        <v>100.31105803002234</v>
      </c>
      <c r="BJ17">
        <f t="shared" si="28"/>
        <v>103.56360074323958</v>
      </c>
      <c r="BK17">
        <f t="shared" si="28"/>
        <v>105.48877397594877</v>
      </c>
      <c r="BL17">
        <f t="shared" si="28"/>
        <v>103.96743734325821</v>
      </c>
      <c r="BM17">
        <f t="shared" si="28"/>
        <v>101.12743340783013</v>
      </c>
      <c r="BN17">
        <f t="shared" si="28"/>
        <v>104.82199162346087</v>
      </c>
      <c r="BO17">
        <f t="shared" si="28"/>
        <v>101.98408830312756</v>
      </c>
      <c r="BP17">
        <f t="shared" si="14"/>
        <v>101.43727760516329</v>
      </c>
      <c r="BQ17">
        <f t="shared" si="14"/>
        <v>100.4449772859649</v>
      </c>
      <c r="BR17">
        <f t="shared" si="14"/>
        <v>99.617677265726073</v>
      </c>
      <c r="BS17">
        <f t="shared" si="14"/>
        <v>102.85159593873578</v>
      </c>
      <c r="BT17">
        <f t="shared" si="14"/>
        <v>101.43858718886239</v>
      </c>
      <c r="BU17">
        <f t="shared" si="14"/>
        <v>99.500586567160113</v>
      </c>
      <c r="BV17">
        <f t="shared" si="14"/>
        <v>101.70915318822621</v>
      </c>
      <c r="BW17">
        <f t="shared" si="14"/>
        <v>99.296197127669373</v>
      </c>
      <c r="BX17">
        <f t="shared" si="14"/>
        <v>97.622698167709288</v>
      </c>
      <c r="BY17">
        <f t="shared" si="14"/>
        <v>98.473152814874297</v>
      </c>
      <c r="BZ17">
        <f t="shared" si="14"/>
        <v>98.326376960997962</v>
      </c>
      <c r="CA17">
        <f t="shared" si="14"/>
        <v>100.54453811733808</v>
      </c>
      <c r="CB17">
        <f t="shared" si="14"/>
        <v>101.54241530930261</v>
      </c>
      <c r="CC17">
        <f t="shared" si="14"/>
        <v>100.32405980206866</v>
      </c>
      <c r="CD17">
        <f t="shared" si="14"/>
        <v>102.75855726384326</v>
      </c>
      <c r="CE17">
        <f t="shared" si="14"/>
        <v>103.58774895582094</v>
      </c>
      <c r="CF17">
        <f t="shared" si="14"/>
        <v>104.27380922617539</v>
      </c>
      <c r="CG17">
        <f t="shared" si="14"/>
        <v>104.27784340484541</v>
      </c>
      <c r="CH17">
        <f t="shared" si="14"/>
        <v>102.06877567404047</v>
      </c>
      <c r="CI17">
        <f t="shared" si="14"/>
        <v>102.59984175229739</v>
      </c>
      <c r="CJ17">
        <f t="shared" si="14"/>
        <v>102.91513071342614</v>
      </c>
      <c r="CK17">
        <f t="shared" si="14"/>
        <v>100.60721412579042</v>
      </c>
      <c r="CL17">
        <f t="shared" si="14"/>
        <v>99.271078360261384</v>
      </c>
      <c r="CM17">
        <f t="shared" si="14"/>
        <v>98.740462428394366</v>
      </c>
      <c r="CN17">
        <f t="shared" si="14"/>
        <v>98.129137836124585</v>
      </c>
      <c r="CO17">
        <f t="shared" si="14"/>
        <v>97.309927882984283</v>
      </c>
      <c r="CP17">
        <f t="shared" si="14"/>
        <v>100.56273271255789</v>
      </c>
      <c r="CQ17">
        <f t="shared" si="14"/>
        <v>103.64989309422491</v>
      </c>
      <c r="CR17">
        <f t="shared" si="14"/>
        <v>101.39273142083837</v>
      </c>
      <c r="CS17">
        <f t="shared" si="14"/>
        <v>105.83552761115133</v>
      </c>
      <c r="CT17">
        <f t="shared" si="14"/>
        <v>107.91651702459055</v>
      </c>
      <c r="CU17">
        <f t="shared" si="14"/>
        <v>106.05035578038564</v>
      </c>
      <c r="CV17">
        <f t="shared" si="14"/>
        <v>108.96713572876577</v>
      </c>
      <c r="CW17">
        <f t="shared" si="14"/>
        <v>111.75469921205944</v>
      </c>
      <c r="CX17">
        <f t="shared" si="14"/>
        <v>110.77807584724388</v>
      </c>
      <c r="CY17">
        <f t="shared" si="14"/>
        <v>111.02335767719461</v>
      </c>
      <c r="CZ17">
        <f t="shared" si="14"/>
        <v>114.35843459430217</v>
      </c>
      <c r="DA17">
        <f t="shared" si="14"/>
        <v>114.61792114028495</v>
      </c>
      <c r="DB17">
        <f t="shared" si="14"/>
        <v>117.34601596004967</v>
      </c>
      <c r="DC17">
        <f t="shared" si="14"/>
        <v>117.9340301029809</v>
      </c>
      <c r="DD17">
        <f t="shared" si="14"/>
        <v>115.36974440465829</v>
      </c>
      <c r="DE17">
        <f t="shared" si="14"/>
        <v>116.80694513256461</v>
      </c>
      <c r="DF17">
        <f t="shared" si="14"/>
        <v>114.68938686895223</v>
      </c>
      <c r="DG17">
        <f t="shared" si="14"/>
        <v>114.56234089667134</v>
      </c>
      <c r="DH17">
        <f t="shared" si="14"/>
        <v>114.49170007645746</v>
      </c>
      <c r="DI17">
        <f t="shared" si="14"/>
        <v>112.35364985817243</v>
      </c>
      <c r="DJ17">
        <f t="shared" si="14"/>
        <v>113.77335709417257</v>
      </c>
      <c r="DK17">
        <f t="shared" si="14"/>
        <v>115.06358737435917</v>
      </c>
      <c r="DL17">
        <f t="shared" si="14"/>
        <v>114.69654479370858</v>
      </c>
      <c r="DM17">
        <f t="shared" si="14"/>
        <v>112.80233919463167</v>
      </c>
      <c r="DN17">
        <f t="shared" si="14"/>
        <v>110.59230831700604</v>
      </c>
      <c r="DO17">
        <f t="shared" si="14"/>
        <v>110.04301193352369</v>
      </c>
      <c r="DP17">
        <f t="shared" si="14"/>
        <v>106.32361018379864</v>
      </c>
      <c r="DQ17">
        <f t="shared" si="14"/>
        <v>105.06756094504611</v>
      </c>
      <c r="DR17">
        <f t="shared" si="14"/>
        <v>107.83742331463702</v>
      </c>
      <c r="DS17">
        <f t="shared" si="14"/>
        <v>107.10626367601324</v>
      </c>
      <c r="DT17">
        <f t="shared" si="14"/>
        <v>106.69070043470334</v>
      </c>
      <c r="DU17">
        <f t="shared" si="14"/>
        <v>104.7387770550221</v>
      </c>
      <c r="DV17">
        <f t="shared" si="14"/>
        <v>107.44108410282617</v>
      </c>
      <c r="DW17">
        <f t="shared" si="14"/>
        <v>107.01091358073283</v>
      </c>
      <c r="DX17">
        <f t="shared" si="14"/>
        <v>105.28282662443188</v>
      </c>
      <c r="DY17">
        <f t="shared" si="14"/>
        <v>101.91938314223221</v>
      </c>
      <c r="DZ17">
        <f t="shared" si="14"/>
        <v>106.34935622954922</v>
      </c>
      <c r="EA17">
        <f t="shared" ref="EA17:GL20" si="29">DZ17*(1+EA7/10)</f>
        <v>110.72233627748304</v>
      </c>
      <c r="EB17">
        <f t="shared" si="29"/>
        <v>108.79369667022689</v>
      </c>
      <c r="EC17">
        <f t="shared" si="29"/>
        <v>106.86201413897057</v>
      </c>
      <c r="ED17">
        <f t="shared" si="29"/>
        <v>105.00215523131824</v>
      </c>
      <c r="EE17">
        <f t="shared" si="29"/>
        <v>106.55113173706235</v>
      </c>
      <c r="EF17">
        <f t="shared" si="29"/>
        <v>107.75434648962252</v>
      </c>
      <c r="EG17">
        <f t="shared" si="29"/>
        <v>109.84298012747534</v>
      </c>
      <c r="EH17">
        <f t="shared" si="29"/>
        <v>109.69504274211573</v>
      </c>
      <c r="EI17">
        <f t="shared" si="29"/>
        <v>111.13871430848339</v>
      </c>
      <c r="EJ17">
        <f t="shared" si="29"/>
        <v>113.36307401891771</v>
      </c>
      <c r="EK17">
        <f t="shared" si="29"/>
        <v>113.08281149521676</v>
      </c>
      <c r="EL17">
        <f t="shared" si="29"/>
        <v>114.06048583793378</v>
      </c>
      <c r="EM17">
        <f t="shared" si="29"/>
        <v>113.07880324739953</v>
      </c>
      <c r="EN17">
        <f t="shared" si="29"/>
        <v>113.48185098116224</v>
      </c>
      <c r="EO17">
        <f t="shared" si="29"/>
        <v>117.55453093228201</v>
      </c>
      <c r="EP17">
        <f t="shared" si="29"/>
        <v>116.82872649315959</v>
      </c>
      <c r="EQ17">
        <f t="shared" si="29"/>
        <v>117.28473667301773</v>
      </c>
      <c r="ER17">
        <f t="shared" si="29"/>
        <v>115.87994886478614</v>
      </c>
      <c r="ES17">
        <f t="shared" si="29"/>
        <v>115.13387842230138</v>
      </c>
      <c r="ET17">
        <f t="shared" si="29"/>
        <v>111.68083549064744</v>
      </c>
      <c r="EU17">
        <f t="shared" si="29"/>
        <v>115.0998693912652</v>
      </c>
      <c r="EV17">
        <f t="shared" si="29"/>
        <v>111.904100524556</v>
      </c>
      <c r="EW17">
        <f t="shared" si="29"/>
        <v>109.83131255989406</v>
      </c>
      <c r="EX17">
        <f t="shared" si="29"/>
        <v>111.34331167283949</v>
      </c>
      <c r="EY17">
        <f t="shared" si="29"/>
        <v>112.53417337637974</v>
      </c>
      <c r="EZ17">
        <f t="shared" si="29"/>
        <v>111.41454614644272</v>
      </c>
      <c r="FA17">
        <f t="shared" si="29"/>
        <v>113.91629297939917</v>
      </c>
      <c r="FB17">
        <f t="shared" si="29"/>
        <v>114.68994469446353</v>
      </c>
      <c r="FC17">
        <f t="shared" si="29"/>
        <v>109.18696538782731</v>
      </c>
      <c r="FD17">
        <f t="shared" si="29"/>
        <v>110.06419358258348</v>
      </c>
      <c r="FE17">
        <f t="shared" si="29"/>
        <v>110.81179132829661</v>
      </c>
      <c r="FF17">
        <f t="shared" si="29"/>
        <v>107.37173139522055</v>
      </c>
      <c r="FG17">
        <f t="shared" si="29"/>
        <v>105.80614252672805</v>
      </c>
      <c r="FH17">
        <f t="shared" si="29"/>
        <v>104.8322944499172</v>
      </c>
      <c r="FI17">
        <f t="shared" si="29"/>
        <v>103.34915172261339</v>
      </c>
      <c r="FJ17">
        <f t="shared" si="29"/>
        <v>102.55990016971086</v>
      </c>
      <c r="FK17">
        <f t="shared" si="29"/>
        <v>103.21970215852691</v>
      </c>
      <c r="FL17">
        <f t="shared" si="29"/>
        <v>102.52322335748674</v>
      </c>
      <c r="FM17">
        <f t="shared" si="29"/>
        <v>102.91488457897628</v>
      </c>
      <c r="FN17">
        <f t="shared" si="29"/>
        <v>105.28810955906678</v>
      </c>
      <c r="FO17">
        <f t="shared" si="29"/>
        <v>105.7779511846831</v>
      </c>
      <c r="FP17">
        <f t="shared" si="29"/>
        <v>107.32812335745251</v>
      </c>
      <c r="FQ17">
        <f t="shared" si="29"/>
        <v>107.5727337201471</v>
      </c>
      <c r="FR17">
        <f t="shared" si="29"/>
        <v>104.96867892715426</v>
      </c>
      <c r="FS17">
        <f t="shared" si="29"/>
        <v>105.70028420505922</v>
      </c>
      <c r="FT17">
        <f t="shared" si="29"/>
        <v>105.59858131098133</v>
      </c>
      <c r="FU17">
        <f t="shared" si="29"/>
        <v>105.73830038521474</v>
      </c>
      <c r="FV17">
        <f t="shared" si="29"/>
        <v>106.10949841065097</v>
      </c>
      <c r="FW17">
        <f t="shared" si="29"/>
        <v>105.55677854257628</v>
      </c>
      <c r="FX17">
        <f t="shared" si="29"/>
        <v>106.14549450843303</v>
      </c>
      <c r="FY17">
        <f t="shared" si="29"/>
        <v>106.49908580857741</v>
      </c>
      <c r="FZ17">
        <f t="shared" si="29"/>
        <v>104.77935454773761</v>
      </c>
      <c r="GA17">
        <f t="shared" si="29"/>
        <v>104.19804408656719</v>
      </c>
      <c r="GB17">
        <f t="shared" si="29"/>
        <v>104.0564738970719</v>
      </c>
      <c r="GC17">
        <f t="shared" si="29"/>
        <v>103.94460102450242</v>
      </c>
      <c r="GD17">
        <f t="shared" si="29"/>
        <v>104.91375972167157</v>
      </c>
      <c r="GE17">
        <f t="shared" si="29"/>
        <v>107.69099998133765</v>
      </c>
      <c r="GF17">
        <f t="shared" si="29"/>
        <v>104.86112437722007</v>
      </c>
      <c r="GG17">
        <f t="shared" si="29"/>
        <v>107.35893485159815</v>
      </c>
      <c r="GH17">
        <f t="shared" si="29"/>
        <v>105.02737780343293</v>
      </c>
      <c r="GI17">
        <f t="shared" si="29"/>
        <v>107.35673863721694</v>
      </c>
      <c r="GJ17">
        <f t="shared" si="29"/>
        <v>108.18206920987662</v>
      </c>
      <c r="GK17">
        <f t="shared" si="29"/>
        <v>106.86891851440414</v>
      </c>
      <c r="GL17">
        <f t="shared" si="29"/>
        <v>108.66158343266949</v>
      </c>
      <c r="GM17">
        <f t="shared" si="15"/>
        <v>109.81484653693956</v>
      </c>
      <c r="GN17">
        <f t="shared" si="16"/>
        <v>111.49294989661846</v>
      </c>
      <c r="GO17">
        <f t="shared" si="16"/>
        <v>114.19217338482375</v>
      </c>
      <c r="GP17">
        <f t="shared" si="16"/>
        <v>113.33479581841509</v>
      </c>
      <c r="GQ17">
        <f t="shared" si="16"/>
        <v>113.95788316608535</v>
      </c>
      <c r="GR17">
        <f t="shared" si="16"/>
        <v>110.85355816656453</v>
      </c>
      <c r="GS17">
        <f t="shared" si="16"/>
        <v>109.39615142634979</v>
      </c>
      <c r="GT17">
        <f t="shared" si="16"/>
        <v>108.9256541006707</v>
      </c>
      <c r="GU17">
        <f t="shared" si="16"/>
        <v>111.57081372888659</v>
      </c>
      <c r="GV17">
        <f t="shared" si="16"/>
        <v>111.30605365980689</v>
      </c>
      <c r="GW17">
        <f t="shared" si="16"/>
        <v>111.24244899475212</v>
      </c>
      <c r="GX17">
        <f t="shared" si="16"/>
        <v>111.17330827313542</v>
      </c>
      <c r="GY17">
        <f t="shared" si="16"/>
        <v>110.39694685880879</v>
      </c>
      <c r="GZ17">
        <f t="shared" si="16"/>
        <v>110.87290858087084</v>
      </c>
      <c r="HA17">
        <f t="shared" si="16"/>
        <v>109.15944785623854</v>
      </c>
      <c r="HB17">
        <f t="shared" si="16"/>
        <v>109.91683064878231</v>
      </c>
      <c r="HC17">
        <f t="shared" si="16"/>
        <v>108.82049291354437</v>
      </c>
      <c r="HD17">
        <f t="shared" si="16"/>
        <v>108.11073600360285</v>
      </c>
      <c r="HE17">
        <f t="shared" si="16"/>
        <v>112.00145865672813</v>
      </c>
      <c r="HF17">
        <f t="shared" si="16"/>
        <v>111.07857701471463</v>
      </c>
      <c r="HG17">
        <f t="shared" si="16"/>
        <v>111.59616613097951</v>
      </c>
      <c r="HH17">
        <f t="shared" si="16"/>
        <v>110.77601458574391</v>
      </c>
      <c r="HI17">
        <f t="shared" si="16"/>
        <v>111.32189953000854</v>
      </c>
      <c r="HJ17">
        <f t="shared" si="16"/>
        <v>113.95604548427839</v>
      </c>
      <c r="HK17">
        <f t="shared" si="16"/>
        <v>114.34871477497077</v>
      </c>
      <c r="HL17">
        <f t="shared" si="16"/>
        <v>112.69572926795539</v>
      </c>
      <c r="HM17">
        <f t="shared" si="16"/>
        <v>116.61289884501672</v>
      </c>
      <c r="HN17">
        <f t="shared" si="16"/>
        <v>116.91065170618499</v>
      </c>
      <c r="HO17">
        <f t="shared" si="16"/>
        <v>118.94831996069325</v>
      </c>
      <c r="HP17">
        <f t="shared" si="16"/>
        <v>120.3012668396358</v>
      </c>
      <c r="HQ17">
        <f t="shared" si="16"/>
        <v>120.24081609432589</v>
      </c>
      <c r="HR17">
        <f t="shared" si="16"/>
        <v>118.86304689028294</v>
      </c>
      <c r="HS17">
        <f t="shared" si="16"/>
        <v>122.16532871728161</v>
      </c>
      <c r="HT17">
        <f t="shared" si="16"/>
        <v>123.77306205282689</v>
      </c>
      <c r="HU17">
        <f t="shared" si="16"/>
        <v>127.17263422870232</v>
      </c>
      <c r="HV17">
        <f t="shared" si="16"/>
        <v>129.39459738368578</v>
      </c>
      <c r="HW17">
        <f t="shared" si="16"/>
        <v>129.61103381515886</v>
      </c>
      <c r="HX17">
        <f t="shared" si="16"/>
        <v>128.89079995235096</v>
      </c>
      <c r="HY17">
        <f t="shared" si="16"/>
        <v>127.59735299380441</v>
      </c>
      <c r="HZ17">
        <f t="shared" si="16"/>
        <v>128.89981422801469</v>
      </c>
      <c r="IA17">
        <f t="shared" si="16"/>
        <v>131.74634740078193</v>
      </c>
      <c r="IB17">
        <f t="shared" si="16"/>
        <v>130.83499055441038</v>
      </c>
      <c r="IC17">
        <f t="shared" si="16"/>
        <v>128.63953138730591</v>
      </c>
      <c r="ID17">
        <f t="shared" si="16"/>
        <v>129.53644138188608</v>
      </c>
      <c r="IE17">
        <f t="shared" si="16"/>
        <v>130.37644434204938</v>
      </c>
      <c r="IF17">
        <f t="shared" si="16"/>
        <v>129.93892762969773</v>
      </c>
      <c r="IG17">
        <f t="shared" si="16"/>
        <v>133.48396119103111</v>
      </c>
      <c r="IH17">
        <f t="shared" si="16"/>
        <v>133.17382914508929</v>
      </c>
      <c r="II17">
        <f t="shared" si="16"/>
        <v>135.95842090209172</v>
      </c>
      <c r="IJ17">
        <f t="shared" si="16"/>
        <v>137.72645618776366</v>
      </c>
      <c r="IK17">
        <f t="shared" si="16"/>
        <v>141.69712446968785</v>
      </c>
      <c r="IL17">
        <f t="shared" si="16"/>
        <v>143.86950251596059</v>
      </c>
      <c r="IM17">
        <f t="shared" si="16"/>
        <v>140.44709972780564</v>
      </c>
      <c r="IN17">
        <f t="shared" si="16"/>
        <v>140.49670349083613</v>
      </c>
      <c r="IO17">
        <f t="shared" si="16"/>
        <v>137.92739767503991</v>
      </c>
      <c r="IP17">
        <f t="shared" si="16"/>
        <v>137.28133431824335</v>
      </c>
      <c r="IQ17">
        <f t="shared" si="16"/>
        <v>132.69011377126699</v>
      </c>
      <c r="IR17">
        <f t="shared" si="16"/>
        <v>134.96247121655219</v>
      </c>
      <c r="IS17">
        <f t="shared" si="16"/>
        <v>136.28829621432411</v>
      </c>
      <c r="IT17">
        <f t="shared" si="16"/>
        <v>132.46685848248862</v>
      </c>
      <c r="IU17">
        <f t="shared" si="16"/>
        <v>132.36677054200834</v>
      </c>
      <c r="IV17">
        <f t="shared" si="16"/>
        <v>131.19960880050087</v>
      </c>
      <c r="IW17">
        <f t="shared" si="16"/>
        <v>129.68081559779367</v>
      </c>
      <c r="IX17">
        <f t="shared" si="16"/>
        <v>130.23075972103118</v>
      </c>
      <c r="IY17">
        <f t="shared" ref="IY17:LJ20" si="30">IX17*(1+IY7/10)</f>
        <v>132.19897939027851</v>
      </c>
      <c r="IZ17">
        <f t="shared" si="30"/>
        <v>137.36194352191001</v>
      </c>
      <c r="JA17">
        <f t="shared" si="30"/>
        <v>136.37469456055612</v>
      </c>
      <c r="JB17">
        <f t="shared" si="30"/>
        <v>136.88034683214772</v>
      </c>
      <c r="JC17">
        <f t="shared" si="30"/>
        <v>135.57616258913453</v>
      </c>
      <c r="JD17">
        <f t="shared" si="30"/>
        <v>136.87734154532035</v>
      </c>
      <c r="JE17">
        <f t="shared" si="30"/>
        <v>135.95672026887911</v>
      </c>
      <c r="JF17">
        <f t="shared" si="30"/>
        <v>136.16801633944647</v>
      </c>
      <c r="JG17">
        <f t="shared" si="30"/>
        <v>135.98754144414653</v>
      </c>
      <c r="JH17">
        <f t="shared" si="30"/>
        <v>135.04485187035866</v>
      </c>
      <c r="JI17">
        <f t="shared" si="30"/>
        <v>133.24845524687399</v>
      </c>
      <c r="JJ17">
        <f t="shared" si="30"/>
        <v>134.66903615529606</v>
      </c>
      <c r="JK17">
        <f t="shared" si="30"/>
        <v>134.64500608620344</v>
      </c>
      <c r="JL17">
        <f t="shared" si="30"/>
        <v>136.6289101231182</v>
      </c>
      <c r="JM17">
        <f t="shared" si="30"/>
        <v>132.27736392269071</v>
      </c>
      <c r="JN17">
        <f t="shared" si="30"/>
        <v>134.67674098459989</v>
      </c>
      <c r="JO17">
        <f t="shared" si="30"/>
        <v>134.23699702454496</v>
      </c>
      <c r="JP17">
        <f t="shared" si="30"/>
        <v>136.1481688856654</v>
      </c>
      <c r="JQ17">
        <f t="shared" si="30"/>
        <v>132.4617080845569</v>
      </c>
      <c r="JR17">
        <f t="shared" si="30"/>
        <v>134.32390111298778</v>
      </c>
      <c r="JS17">
        <f t="shared" si="30"/>
        <v>139.20652698761791</v>
      </c>
      <c r="JT17">
        <f t="shared" si="30"/>
        <v>138.92148045892546</v>
      </c>
      <c r="JU17">
        <f t="shared" si="30"/>
        <v>137.34257340633749</v>
      </c>
      <c r="JV17">
        <f t="shared" si="30"/>
        <v>133.48408369139062</v>
      </c>
      <c r="JW17">
        <f t="shared" si="30"/>
        <v>137.54598061679499</v>
      </c>
      <c r="JX17">
        <f t="shared" si="30"/>
        <v>136.74452505903849</v>
      </c>
      <c r="JY17">
        <f t="shared" si="30"/>
        <v>136.64458213770047</v>
      </c>
      <c r="JZ17">
        <f t="shared" si="30"/>
        <v>137.46883131274862</v>
      </c>
      <c r="KA17">
        <f t="shared" si="30"/>
        <v>139.38564415684877</v>
      </c>
      <c r="KB17">
        <f t="shared" si="30"/>
        <v>139.93367717101617</v>
      </c>
      <c r="KC17">
        <f t="shared" si="30"/>
        <v>142.80904595487399</v>
      </c>
      <c r="KD17">
        <f t="shared" si="30"/>
        <v>141.80919488714983</v>
      </c>
      <c r="KE17">
        <f t="shared" si="30"/>
        <v>144.36170399843238</v>
      </c>
      <c r="KF17">
        <f t="shared" si="30"/>
        <v>144.6287083990573</v>
      </c>
      <c r="KG17">
        <f t="shared" si="30"/>
        <v>144.35390604297214</v>
      </c>
      <c r="KH17">
        <f t="shared" si="30"/>
        <v>143.40682213718756</v>
      </c>
      <c r="KI17">
        <f t="shared" si="30"/>
        <v>141.87534203863692</v>
      </c>
      <c r="KJ17">
        <f t="shared" si="30"/>
        <v>144.32661650999353</v>
      </c>
      <c r="KK17">
        <f t="shared" si="30"/>
        <v>143.96758611099244</v>
      </c>
      <c r="KL17">
        <f t="shared" si="30"/>
        <v>145.02139764624661</v>
      </c>
      <c r="KM17">
        <f t="shared" si="30"/>
        <v>145.19766665776615</v>
      </c>
      <c r="KN17">
        <f t="shared" si="30"/>
        <v>142.29345296385233</v>
      </c>
      <c r="KO17">
        <f t="shared" si="30"/>
        <v>141.86772718774657</v>
      </c>
      <c r="KP17">
        <f t="shared" si="30"/>
        <v>143.14613560254571</v>
      </c>
      <c r="KQ17">
        <f t="shared" si="30"/>
        <v>141.76534512039822</v>
      </c>
      <c r="KR17">
        <f t="shared" si="30"/>
        <v>140.92262416559277</v>
      </c>
      <c r="KS17">
        <f t="shared" si="30"/>
        <v>142.19932964795186</v>
      </c>
      <c r="KT17">
        <f t="shared" si="30"/>
        <v>143.30676168888175</v>
      </c>
      <c r="KU17">
        <f t="shared" si="30"/>
        <v>141.75150111456404</v>
      </c>
      <c r="KV17">
        <f t="shared" si="30"/>
        <v>141.35083876555916</v>
      </c>
      <c r="KW17">
        <f t="shared" si="30"/>
        <v>139.26788452633062</v>
      </c>
      <c r="KX17">
        <f t="shared" si="30"/>
        <v>138.03928700360527</v>
      </c>
      <c r="KY17">
        <f t="shared" si="30"/>
        <v>137.04008000603307</v>
      </c>
      <c r="KZ17">
        <f t="shared" si="30"/>
        <v>135.73676414359664</v>
      </c>
      <c r="LA17">
        <f t="shared" si="30"/>
        <v>134.82377193309185</v>
      </c>
      <c r="LB17">
        <f t="shared" si="30"/>
        <v>137.29766582039443</v>
      </c>
      <c r="LC17">
        <f t="shared" si="30"/>
        <v>137.77547114927367</v>
      </c>
      <c r="LD17">
        <f t="shared" si="30"/>
        <v>138.31811453385311</v>
      </c>
      <c r="LE17">
        <f t="shared" si="30"/>
        <v>138.42962978219174</v>
      </c>
      <c r="LF17">
        <f t="shared" si="30"/>
        <v>137.47936341931049</v>
      </c>
      <c r="LG17">
        <f t="shared" si="30"/>
        <v>132.96939911836199</v>
      </c>
      <c r="LH17">
        <f t="shared" si="30"/>
        <v>132.23907573756557</v>
      </c>
      <c r="LI17">
        <f t="shared" si="30"/>
        <v>134.32997787925362</v>
      </c>
      <c r="LJ17">
        <f t="shared" si="30"/>
        <v>130.51612876936164</v>
      </c>
      <c r="LK17">
        <f t="shared" si="17"/>
        <v>131.55659136968444</v>
      </c>
      <c r="LL17">
        <f t="shared" si="18"/>
        <v>132.39722537792053</v>
      </c>
      <c r="LM17">
        <f t="shared" si="18"/>
        <v>131.85504678171776</v>
      </c>
      <c r="LN17">
        <f t="shared" si="18"/>
        <v>128.29229928338606</v>
      </c>
      <c r="LO17">
        <f t="shared" si="18"/>
        <v>132.15752726156143</v>
      </c>
      <c r="LP17">
        <f t="shared" si="18"/>
        <v>131.54327758163268</v>
      </c>
      <c r="LQ17">
        <f t="shared" si="18"/>
        <v>136.25225224778842</v>
      </c>
      <c r="LR17">
        <f t="shared" si="18"/>
        <v>134.34784534097631</v>
      </c>
      <c r="LS17">
        <f t="shared" si="18"/>
        <v>134.42463844918598</v>
      </c>
      <c r="LT17">
        <f t="shared" si="18"/>
        <v>129.81028463322573</v>
      </c>
      <c r="LU17">
        <f t="shared" si="18"/>
        <v>132.15505220051259</v>
      </c>
      <c r="LV17">
        <f t="shared" si="18"/>
        <v>129.98319823298186</v>
      </c>
      <c r="LW17">
        <f t="shared" si="18"/>
        <v>130.70942820859312</v>
      </c>
      <c r="LX17">
        <f t="shared" si="18"/>
        <v>131.23026749203379</v>
      </c>
      <c r="LY17">
        <f t="shared" si="18"/>
        <v>133.62005206772892</v>
      </c>
      <c r="LZ17">
        <f t="shared" si="18"/>
        <v>136.17794130411735</v>
      </c>
      <c r="MA17">
        <f t="shared" si="18"/>
        <v>133.41358462018042</v>
      </c>
      <c r="MB17">
        <f t="shared" si="18"/>
        <v>130.59200364950055</v>
      </c>
      <c r="MC17">
        <f t="shared" si="18"/>
        <v>127.63799151675128</v>
      </c>
      <c r="MD17">
        <f t="shared" si="18"/>
        <v>128.78265932000247</v>
      </c>
      <c r="ME17">
        <f t="shared" si="18"/>
        <v>129.94733661573665</v>
      </c>
      <c r="MF17">
        <f t="shared" si="18"/>
        <v>131.49615116925867</v>
      </c>
      <c r="MG17">
        <f t="shared" si="18"/>
        <v>131.08670012885881</v>
      </c>
      <c r="MH17">
        <f t="shared" si="18"/>
        <v>128.60340613001566</v>
      </c>
      <c r="MI17">
        <f t="shared" si="18"/>
        <v>128.6391116113619</v>
      </c>
      <c r="MJ17">
        <f t="shared" si="18"/>
        <v>127.89699194738955</v>
      </c>
      <c r="MK17">
        <f t="shared" si="18"/>
        <v>127.57234197109317</v>
      </c>
      <c r="ML17">
        <f t="shared" si="18"/>
        <v>125.86531990811253</v>
      </c>
      <c r="MM17">
        <f t="shared" si="18"/>
        <v>125.7669530338119</v>
      </c>
      <c r="MN17">
        <f t="shared" si="18"/>
        <v>130.51112226272571</v>
      </c>
      <c r="MO17">
        <f t="shared" si="18"/>
        <v>130.11035419303386</v>
      </c>
      <c r="MP17">
        <f t="shared" si="18"/>
        <v>128.12118680379868</v>
      </c>
      <c r="MQ17">
        <f t="shared" si="18"/>
        <v>128.79837345286219</v>
      </c>
      <c r="MR17">
        <f t="shared" si="18"/>
        <v>133.75492623954921</v>
      </c>
      <c r="MS17">
        <f t="shared" si="18"/>
        <v>134.13229074163243</v>
      </c>
      <c r="MT17">
        <f t="shared" si="18"/>
        <v>137.52752397332929</v>
      </c>
      <c r="MU17">
        <f t="shared" si="18"/>
        <v>135.1208132094236</v>
      </c>
      <c r="MV17">
        <f t="shared" si="18"/>
        <v>135.39252369955841</v>
      </c>
      <c r="MW17">
        <f t="shared" si="18"/>
        <v>138.06618441971736</v>
      </c>
      <c r="MX17">
        <f t="shared" si="18"/>
        <v>140.56093716389904</v>
      </c>
      <c r="MY17">
        <f t="shared" si="18"/>
        <v>138.2195298799694</v>
      </c>
      <c r="MZ17">
        <f t="shared" si="18"/>
        <v>138.35720446296068</v>
      </c>
      <c r="NA17">
        <f t="shared" si="18"/>
        <v>140.26152421262452</v>
      </c>
      <c r="NB17">
        <f t="shared" si="18"/>
        <v>136.90956936887014</v>
      </c>
      <c r="NC17">
        <f t="shared" si="18"/>
        <v>136.21103627634238</v>
      </c>
      <c r="ND17">
        <f t="shared" si="18"/>
        <v>138.20648987659609</v>
      </c>
      <c r="NE17">
        <f t="shared" si="18"/>
        <v>140.47911702251486</v>
      </c>
      <c r="NF17">
        <f t="shared" si="18"/>
        <v>140.96929979616249</v>
      </c>
      <c r="NG17">
        <f t="shared" si="18"/>
        <v>136.25741348825179</v>
      </c>
      <c r="NH17">
        <f t="shared" si="18"/>
        <v>137.40726758284708</v>
      </c>
      <c r="NI17">
        <f t="shared" si="18"/>
        <v>139.70550401777285</v>
      </c>
      <c r="NJ17">
        <f t="shared" si="18"/>
        <v>139.29103047344583</v>
      </c>
      <c r="NK17">
        <f t="shared" si="18"/>
        <v>141.26402266647804</v>
      </c>
      <c r="NL17">
        <f t="shared" si="18"/>
        <v>135.31661997773733</v>
      </c>
      <c r="NM17">
        <f t="shared" si="18"/>
        <v>136.10978855870914</v>
      </c>
      <c r="NN17">
        <f t="shared" si="18"/>
        <v>136.61052978823005</v>
      </c>
      <c r="NO17">
        <f t="shared" si="18"/>
        <v>139.81342176227363</v>
      </c>
      <c r="NP17">
        <f t="shared" si="18"/>
        <v>135.14791306216298</v>
      </c>
      <c r="NQ17">
        <f t="shared" si="18"/>
        <v>139.72072356638631</v>
      </c>
      <c r="NR17">
        <f t="shared" si="18"/>
        <v>140.55127417373743</v>
      </c>
      <c r="NS17">
        <f t="shared" si="18"/>
        <v>141.43988175233824</v>
      </c>
      <c r="NT17">
        <f t="shared" si="18"/>
        <v>136.96294112950528</v>
      </c>
      <c r="NU17">
        <f t="shared" si="18"/>
        <v>136.59488147150225</v>
      </c>
      <c r="NV17">
        <f t="shared" si="18"/>
        <v>136.40268116401299</v>
      </c>
      <c r="NW17">
        <f t="shared" ref="NW17:QH20" si="31">NV17*(1+NW7/10)</f>
        <v>139.48423044154808</v>
      </c>
      <c r="NX17">
        <f t="shared" si="31"/>
        <v>142.72880812118132</v>
      </c>
      <c r="NY17">
        <f t="shared" si="31"/>
        <v>143.55182819243316</v>
      </c>
      <c r="NZ17">
        <f t="shared" si="31"/>
        <v>141.56252365529286</v>
      </c>
      <c r="OA17">
        <f t="shared" si="31"/>
        <v>137.35638746293517</v>
      </c>
      <c r="OB17">
        <f t="shared" si="31"/>
        <v>137.41263442408422</v>
      </c>
      <c r="OC17">
        <f t="shared" si="31"/>
        <v>138.70222838849239</v>
      </c>
      <c r="OD17">
        <f t="shared" si="31"/>
        <v>133.35654820231326</v>
      </c>
      <c r="OE17">
        <f t="shared" si="31"/>
        <v>137.90057208749695</v>
      </c>
      <c r="OF17">
        <f t="shared" si="31"/>
        <v>134.83328347529795</v>
      </c>
      <c r="OG17">
        <f t="shared" si="31"/>
        <v>133.66857288067149</v>
      </c>
      <c r="OH17">
        <f t="shared" si="31"/>
        <v>137.65999721290817</v>
      </c>
      <c r="OI17">
        <f t="shared" si="31"/>
        <v>137.54956241650021</v>
      </c>
      <c r="OJ17">
        <f t="shared" si="31"/>
        <v>139.25765717950358</v>
      </c>
      <c r="OK17">
        <f t="shared" si="31"/>
        <v>137.74925337658115</v>
      </c>
      <c r="OL17">
        <f t="shared" si="31"/>
        <v>134.39336507213329</v>
      </c>
      <c r="OM17">
        <f t="shared" si="31"/>
        <v>138.55145289322704</v>
      </c>
      <c r="ON17">
        <f t="shared" si="31"/>
        <v>138.41660133895243</v>
      </c>
      <c r="OO17">
        <f t="shared" si="31"/>
        <v>138.14563363186502</v>
      </c>
      <c r="OP17">
        <f t="shared" si="31"/>
        <v>135.23101112450729</v>
      </c>
      <c r="OQ17">
        <f t="shared" si="31"/>
        <v>134.43990761133784</v>
      </c>
      <c r="OR17">
        <f t="shared" si="31"/>
        <v>135.22148029433941</v>
      </c>
      <c r="OS17">
        <f t="shared" si="31"/>
        <v>131.87282674947153</v>
      </c>
      <c r="OT17">
        <f t="shared" si="31"/>
        <v>134.20919614456045</v>
      </c>
      <c r="OU17">
        <f t="shared" si="31"/>
        <v>136.60125088181132</v>
      </c>
      <c r="OV17">
        <f t="shared" si="31"/>
        <v>135.28842573435603</v>
      </c>
      <c r="OW17">
        <f t="shared" si="31"/>
        <v>132.5829631930072</v>
      </c>
      <c r="OX17">
        <f t="shared" si="31"/>
        <v>134.24697873763299</v>
      </c>
      <c r="OY17">
        <f t="shared" si="31"/>
        <v>134.54987844042876</v>
      </c>
      <c r="OZ17">
        <f t="shared" si="31"/>
        <v>137.72729365930533</v>
      </c>
      <c r="PA17">
        <f t="shared" si="31"/>
        <v>137.45689425572814</v>
      </c>
      <c r="PB17">
        <f t="shared" si="31"/>
        <v>138.63304270794615</v>
      </c>
      <c r="PC17">
        <f t="shared" si="31"/>
        <v>141.5408656909764</v>
      </c>
      <c r="PD17">
        <f t="shared" si="31"/>
        <v>138.44488703214387</v>
      </c>
      <c r="PE17">
        <f t="shared" si="31"/>
        <v>136.13084600203661</v>
      </c>
      <c r="PF17">
        <f t="shared" si="31"/>
        <v>137.54479270913859</v>
      </c>
      <c r="PG17">
        <f t="shared" si="31"/>
        <v>135.75472897598223</v>
      </c>
      <c r="PH17">
        <f t="shared" si="31"/>
        <v>138.27301287429663</v>
      </c>
      <c r="PI17">
        <f t="shared" si="31"/>
        <v>140.74575135035164</v>
      </c>
      <c r="PJ17">
        <f t="shared" si="31"/>
        <v>142.39566615582353</v>
      </c>
      <c r="PK17">
        <f t="shared" si="31"/>
        <v>144.56818041480668</v>
      </c>
      <c r="PL17">
        <f t="shared" si="31"/>
        <v>143.72946979520228</v>
      </c>
      <c r="PM17">
        <f t="shared" si="31"/>
        <v>142.02912613935928</v>
      </c>
      <c r="PN17">
        <f t="shared" si="31"/>
        <v>145.27648090656223</v>
      </c>
      <c r="PO17">
        <f t="shared" si="31"/>
        <v>149.49158934290659</v>
      </c>
      <c r="PP17">
        <f t="shared" si="31"/>
        <v>148.38413139664843</v>
      </c>
      <c r="PQ17">
        <f t="shared" si="31"/>
        <v>147.20431692162612</v>
      </c>
      <c r="PR17">
        <f t="shared" si="31"/>
        <v>148.42942116089148</v>
      </c>
      <c r="PS17">
        <f t="shared" si="31"/>
        <v>149.82148373525794</v>
      </c>
      <c r="PT17">
        <f t="shared" si="31"/>
        <v>149.86726548138341</v>
      </c>
      <c r="PU17">
        <f t="shared" si="31"/>
        <v>147.97123042541395</v>
      </c>
      <c r="PV17">
        <f t="shared" si="31"/>
        <v>148.21957387833871</v>
      </c>
      <c r="PW17">
        <f t="shared" si="31"/>
        <v>146.8619532934508</v>
      </c>
      <c r="PX17">
        <f t="shared" si="31"/>
        <v>145.20208112313338</v>
      </c>
      <c r="PY17">
        <f t="shared" si="31"/>
        <v>145.59916128715128</v>
      </c>
      <c r="PZ17">
        <f t="shared" si="31"/>
        <v>145.94272319804153</v>
      </c>
      <c r="QA17">
        <f t="shared" si="31"/>
        <v>142.72878177388236</v>
      </c>
      <c r="QB17">
        <f t="shared" si="31"/>
        <v>145.8062863354468</v>
      </c>
      <c r="QC17">
        <f t="shared" si="31"/>
        <v>150.55301516850443</v>
      </c>
      <c r="QD17">
        <f t="shared" si="31"/>
        <v>152.46134699672913</v>
      </c>
      <c r="QE17">
        <f t="shared" si="31"/>
        <v>155.35148150826177</v>
      </c>
      <c r="QF17">
        <f t="shared" si="31"/>
        <v>150.03865641758142</v>
      </c>
      <c r="QG17">
        <f t="shared" si="31"/>
        <v>151.62503598353283</v>
      </c>
      <c r="QH17">
        <f t="shared" si="31"/>
        <v>151.77130927999502</v>
      </c>
      <c r="QI17">
        <f t="shared" si="19"/>
        <v>149.50761592583484</v>
      </c>
      <c r="QJ17">
        <f t="shared" si="20"/>
        <v>150.04462092601102</v>
      </c>
      <c r="QK17">
        <f t="shared" si="20"/>
        <v>150.18140149802366</v>
      </c>
      <c r="QL17">
        <f t="shared" si="20"/>
        <v>148.17704245893287</v>
      </c>
      <c r="QM17">
        <f t="shared" si="20"/>
        <v>151.43275227938324</v>
      </c>
      <c r="QN17">
        <f t="shared" si="20"/>
        <v>149.02067697846539</v>
      </c>
      <c r="QO17">
        <f t="shared" si="20"/>
        <v>149.65497936933951</v>
      </c>
      <c r="QP17">
        <f t="shared" si="20"/>
        <v>147.73893990743625</v>
      </c>
      <c r="QQ17">
        <f t="shared" si="20"/>
        <v>143.95746250502836</v>
      </c>
      <c r="QR17">
        <f t="shared" si="20"/>
        <v>147.52213914189602</v>
      </c>
      <c r="QS17">
        <f t="shared" si="20"/>
        <v>147.16003030222814</v>
      </c>
      <c r="QT17">
        <f t="shared" si="20"/>
        <v>147.69337499098779</v>
      </c>
      <c r="QU17">
        <f t="shared" si="20"/>
        <v>152.40276740346229</v>
      </c>
      <c r="QV17">
        <f t="shared" si="20"/>
        <v>151.22923731201243</v>
      </c>
      <c r="QW17">
        <f t="shared" si="20"/>
        <v>153.08439202788676</v>
      </c>
      <c r="QX17">
        <f t="shared" si="20"/>
        <v>157.29181479170236</v>
      </c>
      <c r="QY17">
        <f t="shared" si="20"/>
        <v>157.56094538579814</v>
      </c>
      <c r="QZ17">
        <f t="shared" si="20"/>
        <v>159.72633651698251</v>
      </c>
      <c r="RA17">
        <f t="shared" si="20"/>
        <v>158.88106735614284</v>
      </c>
      <c r="RB17">
        <f t="shared" si="20"/>
        <v>156.67739765093566</v>
      </c>
      <c r="RC17">
        <f t="shared" si="20"/>
        <v>157.60197085356566</v>
      </c>
      <c r="RD17">
        <f t="shared" si="20"/>
        <v>154.2767726912727</v>
      </c>
      <c r="RE17">
        <f t="shared" si="20"/>
        <v>154.02285479306616</v>
      </c>
      <c r="RF17">
        <f t="shared" si="20"/>
        <v>159.75232591735053</v>
      </c>
      <c r="RG17">
        <f t="shared" si="20"/>
        <v>163.12331620426144</v>
      </c>
      <c r="RH17">
        <f t="shared" si="20"/>
        <v>161.05498480846234</v>
      </c>
      <c r="RI17">
        <f t="shared" si="20"/>
        <v>159.09433746106771</v>
      </c>
      <c r="RJ17">
        <f t="shared" si="20"/>
        <v>160.0587407064607</v>
      </c>
      <c r="RK17">
        <f t="shared" si="20"/>
        <v>162.14209388821385</v>
      </c>
      <c r="RL17">
        <f t="shared" si="20"/>
        <v>161.74969911072887</v>
      </c>
      <c r="RM17">
        <f t="shared" si="20"/>
        <v>163.14788896383911</v>
      </c>
      <c r="RN17">
        <f t="shared" si="20"/>
        <v>165.63110453664072</v>
      </c>
      <c r="RO17">
        <f t="shared" si="20"/>
        <v>168.60246645886883</v>
      </c>
      <c r="RP17">
        <f t="shared" si="20"/>
        <v>166.59124390013673</v>
      </c>
      <c r="RQ17">
        <f t="shared" si="20"/>
        <v>164.09771275116438</v>
      </c>
      <c r="RR17">
        <f t="shared" si="20"/>
        <v>165.06136176667428</v>
      </c>
      <c r="RS17">
        <f t="shared" si="20"/>
        <v>167.1993224930892</v>
      </c>
      <c r="RT17">
        <f t="shared" si="20"/>
        <v>164.26571303209295</v>
      </c>
      <c r="RU17">
        <f t="shared" si="20"/>
        <v>162.22479703024115</v>
      </c>
      <c r="RV17">
        <f t="shared" si="20"/>
        <v>165.83690484531405</v>
      </c>
      <c r="RW17">
        <f t="shared" si="20"/>
        <v>166.18446287075622</v>
      </c>
      <c r="RX17">
        <f t="shared" si="20"/>
        <v>162.80478492772784</v>
      </c>
      <c r="RY17">
        <f t="shared" si="20"/>
        <v>166.62881633863398</v>
      </c>
      <c r="RZ17">
        <f t="shared" si="20"/>
        <v>169.76266502058689</v>
      </c>
      <c r="SA17">
        <f t="shared" si="20"/>
        <v>163.58262057613925</v>
      </c>
      <c r="SB17">
        <f t="shared" si="20"/>
        <v>162.99320007447062</v>
      </c>
      <c r="SC17">
        <f t="shared" si="20"/>
        <v>164.2008546170174</v>
      </c>
      <c r="SD17">
        <f t="shared" si="20"/>
        <v>166.13185311588802</v>
      </c>
      <c r="SE17">
        <f t="shared" si="20"/>
        <v>164.91067866170417</v>
      </c>
      <c r="SF17">
        <f t="shared" si="20"/>
        <v>167.72704424597248</v>
      </c>
      <c r="SG17">
        <f t="shared" si="20"/>
        <v>170.1825338509986</v>
      </c>
      <c r="SH17">
        <f t="shared" si="20"/>
        <v>168.3233619719729</v>
      </c>
      <c r="SI17">
        <f t="shared" si="20"/>
        <v>166.67990730930413</v>
      </c>
      <c r="SJ17">
        <f t="shared" si="20"/>
        <v>168.83488568134317</v>
      </c>
      <c r="SK17">
        <f t="shared" si="20"/>
        <v>159.13155710581401</v>
      </c>
      <c r="SL17">
        <f t="shared" si="20"/>
        <v>161.88188098040652</v>
      </c>
      <c r="SM17">
        <f t="shared" si="20"/>
        <v>160.17696567542757</v>
      </c>
      <c r="SN17">
        <f t="shared" si="20"/>
        <v>162.67398438530537</v>
      </c>
      <c r="SO17">
        <f t="shared" si="20"/>
        <v>164.16169980719997</v>
      </c>
      <c r="SP17">
        <f t="shared" si="20"/>
        <v>164.66073241821366</v>
      </c>
      <c r="SQ17">
        <f t="shared" si="20"/>
        <v>167.15845769459469</v>
      </c>
      <c r="SR17">
        <f t="shared" si="20"/>
        <v>163.42009252404461</v>
      </c>
      <c r="SS17">
        <f t="shared" si="20"/>
        <v>163.98862275418452</v>
      </c>
      <c r="ST17">
        <f t="shared" si="20"/>
        <v>171.5414225914418</v>
      </c>
      <c r="SU17">
        <f t="shared" ref="SU17:VF20" si="32">ST17*(1+SU7/10)</f>
        <v>167.67865159201966</v>
      </c>
      <c r="SV17">
        <f t="shared" si="32"/>
        <v>171.37776229194563</v>
      </c>
      <c r="SW17">
        <f t="shared" si="32"/>
        <v>171.36203299154846</v>
      </c>
      <c r="SX17">
        <f t="shared" si="32"/>
        <v>170.10159092524555</v>
      </c>
      <c r="SY17">
        <f t="shared" si="32"/>
        <v>165.95674658731764</v>
      </c>
      <c r="SZ17">
        <f t="shared" si="32"/>
        <v>168.43387473702683</v>
      </c>
      <c r="TA17">
        <f t="shared" si="32"/>
        <v>174.76053075607192</v>
      </c>
      <c r="TB17">
        <f t="shared" si="32"/>
        <v>172.62167832784638</v>
      </c>
      <c r="TC17">
        <f t="shared" si="32"/>
        <v>169.01067708752001</v>
      </c>
      <c r="TD17">
        <f t="shared" si="32"/>
        <v>165.22508899301241</v>
      </c>
      <c r="TE17">
        <f t="shared" si="32"/>
        <v>159.14104342693952</v>
      </c>
      <c r="TF17">
        <f t="shared" si="32"/>
        <v>157.20259345394331</v>
      </c>
      <c r="TG17">
        <f t="shared" si="32"/>
        <v>156.13400696705813</v>
      </c>
      <c r="TH17">
        <f t="shared" si="32"/>
        <v>157.06822310585068</v>
      </c>
      <c r="TI17">
        <f t="shared" si="32"/>
        <v>152.5266751663182</v>
      </c>
      <c r="TJ17">
        <f t="shared" si="32"/>
        <v>148.04092119370429</v>
      </c>
      <c r="TK17">
        <f t="shared" si="32"/>
        <v>143.84740763891244</v>
      </c>
      <c r="TL17">
        <f t="shared" si="32"/>
        <v>137.8715307167559</v>
      </c>
      <c r="TM17">
        <f t="shared" si="32"/>
        <v>142.25878345074014</v>
      </c>
      <c r="TN17">
        <f t="shared" si="32"/>
        <v>139.05351508920629</v>
      </c>
      <c r="TO17">
        <f t="shared" si="32"/>
        <v>137.55873677435372</v>
      </c>
      <c r="TP17">
        <f t="shared" si="32"/>
        <v>138.84327833170931</v>
      </c>
      <c r="TQ17">
        <f t="shared" si="32"/>
        <v>136.20924669906859</v>
      </c>
      <c r="TR17">
        <f t="shared" si="32"/>
        <v>135.8284207352032</v>
      </c>
      <c r="TS17">
        <f t="shared" si="32"/>
        <v>139.13762929285323</v>
      </c>
      <c r="TT17">
        <f t="shared" si="32"/>
        <v>139.8160201418502</v>
      </c>
      <c r="TU17">
        <f t="shared" si="32"/>
        <v>140.55646772211119</v>
      </c>
      <c r="TV17">
        <f t="shared" si="32"/>
        <v>142.93405896209657</v>
      </c>
      <c r="TW17">
        <f t="shared" si="32"/>
        <v>145.04038266629408</v>
      </c>
      <c r="TX17">
        <f t="shared" si="32"/>
        <v>152.59558623807897</v>
      </c>
      <c r="TY17">
        <f t="shared" si="32"/>
        <v>146.74517256946899</v>
      </c>
      <c r="TZ17">
        <f t="shared" si="32"/>
        <v>143.9224410522985</v>
      </c>
      <c r="UA17">
        <f t="shared" si="32"/>
        <v>139.76823493472236</v>
      </c>
      <c r="UB17">
        <f t="shared" si="32"/>
        <v>136.85946198476478</v>
      </c>
      <c r="UC17">
        <f t="shared" si="32"/>
        <v>129.0992536311004</v>
      </c>
      <c r="UD17">
        <f t="shared" si="32"/>
        <v>131.20615823645355</v>
      </c>
      <c r="UE17">
        <f t="shared" si="32"/>
        <v>131.62302024422758</v>
      </c>
      <c r="UF17">
        <f t="shared" si="32"/>
        <v>131.20791327821499</v>
      </c>
      <c r="UG17">
        <f t="shared" si="32"/>
        <v>126.27295649957888</v>
      </c>
      <c r="UH17">
        <f t="shared" si="32"/>
        <v>129.97094523970983</v>
      </c>
      <c r="UI17">
        <f t="shared" si="32"/>
        <v>133.10688877749647</v>
      </c>
      <c r="UJ17">
        <f t="shared" si="32"/>
        <v>131.45643365184736</v>
      </c>
      <c r="UK17">
        <f t="shared" si="32"/>
        <v>127.74894298679978</v>
      </c>
      <c r="UL17">
        <f t="shared" si="32"/>
        <v>127.73543639741482</v>
      </c>
      <c r="UM17">
        <f t="shared" si="32"/>
        <v>129.57294224861104</v>
      </c>
      <c r="UN17">
        <f t="shared" si="32"/>
        <v>132.3781750498041</v>
      </c>
      <c r="UO17">
        <f t="shared" si="32"/>
        <v>135.00975522536746</v>
      </c>
      <c r="UP17">
        <f t="shared" si="32"/>
        <v>138.22611487576327</v>
      </c>
      <c r="UQ17">
        <f t="shared" si="32"/>
        <v>142.23209496618651</v>
      </c>
      <c r="UR17">
        <f t="shared" si="32"/>
        <v>139.74200324024275</v>
      </c>
      <c r="US17">
        <f t="shared" si="32"/>
        <v>137.77407985825147</v>
      </c>
      <c r="UT17">
        <f t="shared" si="32"/>
        <v>137.39979528597777</v>
      </c>
      <c r="UU17">
        <f t="shared" si="32"/>
        <v>134.09106640275513</v>
      </c>
      <c r="UV17">
        <f t="shared" si="32"/>
        <v>129.92417934427408</v>
      </c>
      <c r="UW17">
        <f t="shared" si="32"/>
        <v>133.04719370849602</v>
      </c>
      <c r="UX17">
        <f t="shared" si="32"/>
        <v>130.73782330874502</v>
      </c>
      <c r="UY17">
        <f t="shared" si="32"/>
        <v>129.25634877748885</v>
      </c>
      <c r="UZ17">
        <f t="shared" si="32"/>
        <v>128.15040716627541</v>
      </c>
      <c r="VA17">
        <f t="shared" si="32"/>
        <v>130.15063632684806</v>
      </c>
      <c r="VB17">
        <f t="shared" si="32"/>
        <v>127.09885677611014</v>
      </c>
      <c r="VC17">
        <f t="shared" si="32"/>
        <v>124.1971605744361</v>
      </c>
      <c r="VD17">
        <f t="shared" si="32"/>
        <v>125.0314169570088</v>
      </c>
      <c r="VE17">
        <f t="shared" si="32"/>
        <v>127.71961735097378</v>
      </c>
      <c r="VF17">
        <f t="shared" si="32"/>
        <v>123.90990292034104</v>
      </c>
      <c r="VG17">
        <f t="shared" si="21"/>
        <v>124.89303881669773</v>
      </c>
      <c r="VH17">
        <f t="shared" si="22"/>
        <v>126.20663772001667</v>
      </c>
      <c r="VI17">
        <f t="shared" si="22"/>
        <v>125.52556748561854</v>
      </c>
      <c r="VJ17">
        <f t="shared" si="22"/>
        <v>123.09966083951326</v>
      </c>
      <c r="VK17">
        <f t="shared" si="22"/>
        <v>125.35028036669289</v>
      </c>
      <c r="VL17">
        <f t="shared" si="22"/>
        <v>126.18642731843835</v>
      </c>
      <c r="VM17">
        <f t="shared" si="22"/>
        <v>127.62084418478241</v>
      </c>
      <c r="VN17">
        <f t="shared" si="22"/>
        <v>125.88820702823264</v>
      </c>
      <c r="VO17">
        <f t="shared" si="22"/>
        <v>122.64592805087845</v>
      </c>
      <c r="VP17">
        <f t="shared" si="22"/>
        <v>124.32365283662564</v>
      </c>
      <c r="VQ17">
        <f t="shared" si="22"/>
        <v>121.96294819371896</v>
      </c>
      <c r="VR17">
        <f t="shared" si="22"/>
        <v>123.39072569311628</v>
      </c>
      <c r="VS17">
        <f t="shared" si="22"/>
        <v>125.35895365200911</v>
      </c>
      <c r="VT17">
        <f t="shared" si="22"/>
        <v>130.49005849010132</v>
      </c>
      <c r="VU17">
        <f t="shared" si="22"/>
        <v>126.58086561498865</v>
      </c>
      <c r="VV17">
        <f t="shared" si="22"/>
        <v>128.89650186109239</v>
      </c>
      <c r="VW17">
        <f t="shared" si="22"/>
        <v>130.932020620023</v>
      </c>
      <c r="VX17">
        <f t="shared" si="22"/>
        <v>134.95679508188576</v>
      </c>
      <c r="VY17">
        <f t="shared" si="22"/>
        <v>133.37463797478816</v>
      </c>
      <c r="VZ17">
        <f t="shared" si="22"/>
        <v>135.20835233377707</v>
      </c>
      <c r="WA17">
        <f t="shared" si="22"/>
        <v>138.04054684488366</v>
      </c>
      <c r="WB17">
        <f t="shared" si="22"/>
        <v>137.34075733851654</v>
      </c>
      <c r="WC17">
        <f t="shared" si="22"/>
        <v>133.55178585108305</v>
      </c>
      <c r="WD17">
        <f t="shared" si="22"/>
        <v>137.00430784532787</v>
      </c>
      <c r="WE17">
        <f t="shared" si="22"/>
        <v>137.49920463516082</v>
      </c>
      <c r="WF17">
        <f t="shared" si="22"/>
        <v>135.72067676621617</v>
      </c>
      <c r="WG17">
        <f t="shared" si="22"/>
        <v>137.79421138989537</v>
      </c>
      <c r="WH17">
        <f t="shared" si="22"/>
        <v>138.60434491063992</v>
      </c>
      <c r="WI17">
        <f t="shared" si="22"/>
        <v>138.89691097013713</v>
      </c>
      <c r="WJ17">
        <f t="shared" si="22"/>
        <v>139.9424908601066</v>
      </c>
      <c r="WK17">
        <f t="shared" si="22"/>
        <v>140.37497934721384</v>
      </c>
      <c r="WL17">
        <f t="shared" si="22"/>
        <v>142.27826001311607</v>
      </c>
      <c r="WM17">
        <f t="shared" si="22"/>
        <v>139.48839621800192</v>
      </c>
      <c r="WN17">
        <f t="shared" si="22"/>
        <v>138.3629184721045</v>
      </c>
      <c r="WO17">
        <f t="shared" si="22"/>
        <v>135.6042580664558</v>
      </c>
      <c r="WP17">
        <f t="shared" si="22"/>
        <v>135.69495498776044</v>
      </c>
      <c r="WQ17">
        <f t="shared" si="22"/>
        <v>133.37041400645731</v>
      </c>
      <c r="WR17">
        <f t="shared" si="22"/>
        <v>131.96115818822474</v>
      </c>
      <c r="WS17">
        <f t="shared" si="22"/>
        <v>131.80709332750382</v>
      </c>
      <c r="WT17">
        <f t="shared" si="22"/>
        <v>133.02605958813851</v>
      </c>
      <c r="WU17">
        <f t="shared" si="22"/>
        <v>134.160195162224</v>
      </c>
      <c r="WV17">
        <f t="shared" si="22"/>
        <v>130.80392877355555</v>
      </c>
      <c r="WW17">
        <f t="shared" si="22"/>
        <v>128.78719341060045</v>
      </c>
      <c r="WX17">
        <f t="shared" si="22"/>
        <v>129.28109225451843</v>
      </c>
      <c r="WY17">
        <f t="shared" si="22"/>
        <v>129.00654737931066</v>
      </c>
      <c r="WZ17">
        <f t="shared" si="22"/>
        <v>126.55439386303217</v>
      </c>
      <c r="XA17">
        <f t="shared" si="22"/>
        <v>124.05322235575332</v>
      </c>
      <c r="XB17">
        <f t="shared" si="22"/>
        <v>124.03296291997208</v>
      </c>
      <c r="XC17">
        <f t="shared" si="22"/>
        <v>126.7107614131363</v>
      </c>
      <c r="XD17">
        <f t="shared" si="22"/>
        <v>129.5126192153466</v>
      </c>
      <c r="XE17">
        <f t="shared" si="22"/>
        <v>132.37153617897187</v>
      </c>
      <c r="XF17">
        <f t="shared" si="22"/>
        <v>129.43094188383125</v>
      </c>
      <c r="XG17">
        <f t="shared" si="22"/>
        <v>125.45310976157097</v>
      </c>
      <c r="XH17">
        <f t="shared" si="22"/>
        <v>123.63613165382741</v>
      </c>
      <c r="XI17">
        <f t="shared" si="22"/>
        <v>118.4554897878657</v>
      </c>
      <c r="XJ17">
        <f t="shared" si="22"/>
        <v>117.54870371260533</v>
      </c>
      <c r="XK17">
        <f t="shared" si="22"/>
        <v>119.19827926775</v>
      </c>
      <c r="XL17">
        <f t="shared" si="22"/>
        <v>118.13942767493428</v>
      </c>
      <c r="XM17">
        <f t="shared" si="22"/>
        <v>116.23297128170705</v>
      </c>
      <c r="XN17">
        <f t="shared" si="22"/>
        <v>117.43596394866185</v>
      </c>
      <c r="XO17">
        <f t="shared" si="22"/>
        <v>120.23984077542039</v>
      </c>
      <c r="XP17">
        <f t="shared" si="22"/>
        <v>123.55768613654669</v>
      </c>
      <c r="XQ17">
        <f t="shared" si="22"/>
        <v>127.11636678848336</v>
      </c>
      <c r="XR17">
        <f t="shared" si="22"/>
        <v>124.97330661177763</v>
      </c>
      <c r="XS17">
        <f t="shared" ref="XS17:AAD20" si="33">XR17*(1+XS7/10)</f>
        <v>128.10612641174188</v>
      </c>
      <c r="XT17">
        <f t="shared" si="33"/>
        <v>129.49341016396156</v>
      </c>
      <c r="XU17">
        <f t="shared" si="33"/>
        <v>132.57261512217636</v>
      </c>
      <c r="XV17">
        <f t="shared" si="33"/>
        <v>128.48266549157887</v>
      </c>
      <c r="XW17">
        <f t="shared" si="33"/>
        <v>125.76914250992523</v>
      </c>
      <c r="XX17">
        <f t="shared" si="33"/>
        <v>131.57582855973919</v>
      </c>
      <c r="XY17">
        <f t="shared" si="33"/>
        <v>135.62756356709843</v>
      </c>
      <c r="XZ17">
        <f t="shared" si="33"/>
        <v>137.51645452125416</v>
      </c>
      <c r="YA17">
        <f t="shared" si="33"/>
        <v>133.94945203855747</v>
      </c>
      <c r="YB17">
        <f t="shared" si="33"/>
        <v>136.13314698311819</v>
      </c>
      <c r="YC17">
        <f t="shared" si="33"/>
        <v>133.6306735597606</v>
      </c>
      <c r="YD17">
        <f t="shared" si="33"/>
        <v>135.40211439796281</v>
      </c>
      <c r="YE17">
        <f t="shared" si="33"/>
        <v>135.86081392862059</v>
      </c>
      <c r="YF17">
        <f t="shared" si="33"/>
        <v>135.55251524331004</v>
      </c>
      <c r="YG17">
        <f t="shared" si="33"/>
        <v>133.84438378689205</v>
      </c>
      <c r="YH17">
        <f t="shared" si="33"/>
        <v>135.7092963303952</v>
      </c>
      <c r="YI17">
        <f t="shared" si="33"/>
        <v>135.48880816662574</v>
      </c>
      <c r="YJ17">
        <f t="shared" si="33"/>
        <v>136.25136786836399</v>
      </c>
      <c r="YK17">
        <f t="shared" si="33"/>
        <v>136.85927642074361</v>
      </c>
      <c r="YL17">
        <f t="shared" si="33"/>
        <v>134.48833159696429</v>
      </c>
      <c r="YM17">
        <f t="shared" si="33"/>
        <v>132.76755794901374</v>
      </c>
      <c r="YN17">
        <f t="shared" si="33"/>
        <v>138.3799434490281</v>
      </c>
      <c r="YO17">
        <f t="shared" si="33"/>
        <v>139.92950584386037</v>
      </c>
      <c r="YP17">
        <f t="shared" si="33"/>
        <v>137.1174968329243</v>
      </c>
      <c r="YQ17">
        <f t="shared" si="33"/>
        <v>142.0188192399562</v>
      </c>
      <c r="YR17">
        <f t="shared" si="33"/>
        <v>145.48776437202798</v>
      </c>
      <c r="YS17">
        <f t="shared" si="33"/>
        <v>143.62034802234732</v>
      </c>
      <c r="YT17">
        <f t="shared" si="33"/>
        <v>143.69991677435061</v>
      </c>
      <c r="YU17">
        <f t="shared" si="33"/>
        <v>143.28497751716631</v>
      </c>
      <c r="YV17">
        <f t="shared" si="33"/>
        <v>146.39054266332167</v>
      </c>
      <c r="YW17">
        <f t="shared" si="33"/>
        <v>145.04784883972016</v>
      </c>
      <c r="YX17">
        <f t="shared" si="33"/>
        <v>141.10745729925355</v>
      </c>
      <c r="YY17">
        <f t="shared" si="33"/>
        <v>141.7983440349399</v>
      </c>
      <c r="YZ17">
        <f t="shared" si="33"/>
        <v>141.52280279940078</v>
      </c>
      <c r="ZA17">
        <f t="shared" si="33"/>
        <v>143.73283990388813</v>
      </c>
      <c r="ZB17">
        <f t="shared" si="33"/>
        <v>143.83916831358073</v>
      </c>
      <c r="ZC17">
        <f t="shared" si="33"/>
        <v>149.72399136111252</v>
      </c>
      <c r="ZD17">
        <f t="shared" si="33"/>
        <v>148.35233119498028</v>
      </c>
      <c r="ZE17">
        <f t="shared" si="33"/>
        <v>151.80488761232778</v>
      </c>
      <c r="ZF17">
        <f t="shared" si="33"/>
        <v>155.18622820809705</v>
      </c>
      <c r="ZG17">
        <f t="shared" si="33"/>
        <v>152.55759554614241</v>
      </c>
      <c r="ZH17">
        <f t="shared" si="33"/>
        <v>156.37417985396627</v>
      </c>
      <c r="ZI17">
        <f t="shared" si="33"/>
        <v>153.98771621204298</v>
      </c>
      <c r="ZJ17">
        <f t="shared" si="33"/>
        <v>159.61556108282372</v>
      </c>
      <c r="ZK17">
        <f t="shared" si="33"/>
        <v>157.02947797397539</v>
      </c>
      <c r="ZL17">
        <f t="shared" si="33"/>
        <v>157.68381150646377</v>
      </c>
      <c r="ZM17">
        <f t="shared" si="33"/>
        <v>151.46591090628488</v>
      </c>
      <c r="ZN17">
        <f t="shared" si="33"/>
        <v>153.93566060420176</v>
      </c>
      <c r="ZO17">
        <f t="shared" si="33"/>
        <v>155.02650005739076</v>
      </c>
      <c r="ZP17">
        <f t="shared" si="33"/>
        <v>154.60174513381401</v>
      </c>
      <c r="ZQ17">
        <f t="shared" si="33"/>
        <v>149.76703246709553</v>
      </c>
      <c r="ZR17">
        <f t="shared" si="33"/>
        <v>153.50933585699062</v>
      </c>
      <c r="ZS17">
        <f t="shared" si="33"/>
        <v>151.65376384028315</v>
      </c>
      <c r="ZT17">
        <f t="shared" si="33"/>
        <v>154.99491859939997</v>
      </c>
      <c r="ZU17">
        <f t="shared" si="33"/>
        <v>151.20463471463415</v>
      </c>
      <c r="ZV17">
        <f t="shared" si="33"/>
        <v>153.42031652497874</v>
      </c>
      <c r="ZW17">
        <f t="shared" si="33"/>
        <v>156.3906068134186</v>
      </c>
      <c r="ZX17">
        <f t="shared" si="33"/>
        <v>161.50926063689695</v>
      </c>
      <c r="ZY17">
        <f t="shared" si="33"/>
        <v>162.54966577897866</v>
      </c>
      <c r="ZZ17">
        <f t="shared" si="33"/>
        <v>159.91949418423843</v>
      </c>
      <c r="AAA17">
        <f t="shared" si="33"/>
        <v>160.172090979719</v>
      </c>
      <c r="AAB17">
        <f t="shared" si="33"/>
        <v>160.17317515269752</v>
      </c>
      <c r="AAC17">
        <f t="shared" si="33"/>
        <v>159.57065485822974</v>
      </c>
      <c r="AAD17">
        <f t="shared" si="33"/>
        <v>156.81899396126252</v>
      </c>
      <c r="AAE17">
        <f t="shared" si="23"/>
        <v>157.60746466752494</v>
      </c>
      <c r="AAF17">
        <f t="shared" si="24"/>
        <v>156.75799695100866</v>
      </c>
      <c r="AAG17">
        <f t="shared" si="24"/>
        <v>155.73002283554712</v>
      </c>
      <c r="AAH17">
        <f t="shared" si="24"/>
        <v>160.29623778883487</v>
      </c>
      <c r="AAI17">
        <f t="shared" si="24"/>
        <v>162.74685500794399</v>
      </c>
      <c r="AAJ17">
        <f t="shared" si="24"/>
        <v>163.34997255507832</v>
      </c>
      <c r="AAK17">
        <f t="shared" si="24"/>
        <v>164.36739940690833</v>
      </c>
      <c r="AAL17">
        <f t="shared" si="24"/>
        <v>161.11171500122711</v>
      </c>
      <c r="AAM17">
        <f t="shared" si="24"/>
        <v>161.48590526058373</v>
      </c>
      <c r="AAN17">
        <f t="shared" si="24"/>
        <v>158.18216014215074</v>
      </c>
      <c r="AAO17">
        <f t="shared" si="24"/>
        <v>158.56799579017522</v>
      </c>
      <c r="AAP17">
        <f t="shared" si="24"/>
        <v>158.5917020590027</v>
      </c>
      <c r="AAQ17">
        <f t="shared" si="24"/>
        <v>158.01476892388004</v>
      </c>
      <c r="AAR17">
        <f t="shared" si="24"/>
        <v>157.78485928662158</v>
      </c>
      <c r="AAS17">
        <f t="shared" si="24"/>
        <v>159.47722062051716</v>
      </c>
      <c r="AAT17">
        <f t="shared" si="24"/>
        <v>158.08154714293258</v>
      </c>
      <c r="AAU17">
        <f t="shared" si="24"/>
        <v>156.99865534233987</v>
      </c>
      <c r="AAV17">
        <f t="shared" si="24"/>
        <v>156.85004541418385</v>
      </c>
      <c r="AAW17">
        <f t="shared" si="24"/>
        <v>157.03901754214837</v>
      </c>
      <c r="AAX17">
        <f t="shared" si="24"/>
        <v>160.4003146883168</v>
      </c>
      <c r="AAY17">
        <f t="shared" si="24"/>
        <v>161.74467723324793</v>
      </c>
      <c r="AAZ17">
        <f t="shared" si="24"/>
        <v>163.31715061287511</v>
      </c>
      <c r="ABA17">
        <f t="shared" si="24"/>
        <v>163.77835727986462</v>
      </c>
      <c r="ABB17">
        <f t="shared" si="24"/>
        <v>164.73059859043576</v>
      </c>
      <c r="ABC17">
        <f t="shared" si="24"/>
        <v>166.04830903296164</v>
      </c>
      <c r="ABD17">
        <f t="shared" si="24"/>
        <v>165.86109376264136</v>
      </c>
      <c r="ABE17">
        <f t="shared" si="24"/>
        <v>167.88499697992114</v>
      </c>
      <c r="ABF17">
        <f t="shared" si="24"/>
        <v>167.68207175310033</v>
      </c>
      <c r="ABG17">
        <f t="shared" si="24"/>
        <v>171.82652731344581</v>
      </c>
      <c r="ABH17">
        <f t="shared" si="24"/>
        <v>165.86786680226962</v>
      </c>
      <c r="ABI17">
        <f t="shared" si="24"/>
        <v>169.2589606846787</v>
      </c>
      <c r="ABJ17">
        <f t="shared" si="24"/>
        <v>173.97112734715895</v>
      </c>
      <c r="ABK17">
        <f t="shared" si="24"/>
        <v>176.58434749837267</v>
      </c>
      <c r="ABL17">
        <f t="shared" si="24"/>
        <v>174.72634542908216</v>
      </c>
      <c r="ABM17">
        <f t="shared" si="24"/>
        <v>171.42867880847442</v>
      </c>
      <c r="ABN17">
        <f t="shared" si="24"/>
        <v>169.88984104465206</v>
      </c>
      <c r="ABO17">
        <f t="shared" si="24"/>
        <v>173.32265029491342</v>
      </c>
      <c r="ABP17">
        <f t="shared" si="24"/>
        <v>177.10173231407023</v>
      </c>
      <c r="ABQ17">
        <f t="shared" si="24"/>
        <v>174.96700086868984</v>
      </c>
      <c r="ABR17">
        <f t="shared" si="24"/>
        <v>172.36788949812549</v>
      </c>
      <c r="ABS17">
        <f t="shared" si="24"/>
        <v>171.59185223409418</v>
      </c>
      <c r="ABT17">
        <f t="shared" si="24"/>
        <v>170.86729117025692</v>
      </c>
      <c r="ABU17">
        <f t="shared" si="24"/>
        <v>166.92095033626217</v>
      </c>
      <c r="ABV17">
        <f t="shared" si="24"/>
        <v>164.1506782052727</v>
      </c>
      <c r="ABW17">
        <f t="shared" si="24"/>
        <v>164.89948219073295</v>
      </c>
      <c r="ABX17">
        <f t="shared" si="24"/>
        <v>161.02671424815952</v>
      </c>
      <c r="ABY17">
        <f t="shared" si="24"/>
        <v>162.4597510640105</v>
      </c>
      <c r="ABZ17">
        <f t="shared" si="24"/>
        <v>158.5878303029132</v>
      </c>
      <c r="ACA17">
        <f t="shared" si="24"/>
        <v>160.91453585463978</v>
      </c>
      <c r="ACB17">
        <f t="shared" si="24"/>
        <v>160.0946900146821</v>
      </c>
      <c r="ACC17">
        <f t="shared" si="24"/>
        <v>159.93287004966876</v>
      </c>
      <c r="ACD17">
        <f t="shared" si="24"/>
        <v>157.883073133171</v>
      </c>
      <c r="ACE17">
        <f t="shared" si="24"/>
        <v>159.56612337115217</v>
      </c>
      <c r="ACF17">
        <f t="shared" si="24"/>
        <v>160.11973355510187</v>
      </c>
      <c r="ACG17">
        <f t="shared" si="24"/>
        <v>162.47058118405616</v>
      </c>
      <c r="ACH17">
        <f t="shared" si="24"/>
        <v>164.9633710438969</v>
      </c>
      <c r="ACI17">
        <f t="shared" si="24"/>
        <v>167.44912957956029</v>
      </c>
      <c r="ACJ17">
        <f t="shared" si="24"/>
        <v>169.16636671083992</v>
      </c>
      <c r="ACK17">
        <f t="shared" si="24"/>
        <v>171.97540022382125</v>
      </c>
      <c r="ACL17">
        <f t="shared" si="24"/>
        <v>174.51187660581195</v>
      </c>
      <c r="ACM17">
        <f t="shared" si="24"/>
        <v>173.14510917618679</v>
      </c>
      <c r="ACN17">
        <f t="shared" si="24"/>
        <v>172.4113653022406</v>
      </c>
      <c r="ACO17">
        <f t="shared" si="24"/>
        <v>172.90297138817078</v>
      </c>
      <c r="ACP17">
        <f t="shared" si="24"/>
        <v>180.24811986867624</v>
      </c>
      <c r="ACQ17">
        <f t="shared" ref="ACQ17:ACV20" si="34">ACP17*(1+ACQ7/10)</f>
        <v>180.22002338455343</v>
      </c>
      <c r="ACR17">
        <f t="shared" si="34"/>
        <v>184.47663756128344</v>
      </c>
      <c r="ACS17">
        <f t="shared" si="34"/>
        <v>185.96373378323082</v>
      </c>
      <c r="ACT17">
        <f t="shared" si="34"/>
        <v>185.19108435715947</v>
      </c>
      <c r="ACU17">
        <f t="shared" si="34"/>
        <v>184.34731719503139</v>
      </c>
      <c r="ACV17">
        <f t="shared" si="34"/>
        <v>186.45188490375341</v>
      </c>
    </row>
    <row r="18" spans="1:776" x14ac:dyDescent="0.2">
      <c r="A18" s="7" t="s">
        <v>70658</v>
      </c>
      <c r="B18">
        <f t="shared" si="26"/>
        <v>100.56032898014597</v>
      </c>
      <c r="C18">
        <f t="shared" si="27"/>
        <v>100.93031046774344</v>
      </c>
      <c r="D18">
        <f t="shared" si="28"/>
        <v>99.014044486631832</v>
      </c>
      <c r="E18">
        <f t="shared" si="28"/>
        <v>97.862309888434609</v>
      </c>
      <c r="F18">
        <f t="shared" si="28"/>
        <v>94.771818247815304</v>
      </c>
      <c r="G18">
        <f t="shared" si="28"/>
        <v>97.961905677049018</v>
      </c>
      <c r="H18">
        <f t="shared" si="28"/>
        <v>95.02193218715</v>
      </c>
      <c r="I18">
        <f t="shared" si="28"/>
        <v>95.7658589982168</v>
      </c>
      <c r="J18">
        <f t="shared" si="28"/>
        <v>93.802952377286275</v>
      </c>
      <c r="K18">
        <f t="shared" si="28"/>
        <v>94.243737662896677</v>
      </c>
      <c r="L18">
        <f t="shared" si="28"/>
        <v>96.142905699628272</v>
      </c>
      <c r="M18">
        <f t="shared" si="28"/>
        <v>97.662111449701641</v>
      </c>
      <c r="N18">
        <f t="shared" si="28"/>
        <v>97.692257756364626</v>
      </c>
      <c r="O18">
        <f t="shared" si="28"/>
        <v>95.765239687936699</v>
      </c>
      <c r="P18">
        <f t="shared" si="28"/>
        <v>95.530171598315491</v>
      </c>
      <c r="Q18">
        <f t="shared" si="28"/>
        <v>96.83859603790863</v>
      </c>
      <c r="R18">
        <f t="shared" si="28"/>
        <v>95.741562995140711</v>
      </c>
      <c r="S18">
        <f t="shared" si="28"/>
        <v>93.560660800190135</v>
      </c>
      <c r="T18">
        <f t="shared" si="28"/>
        <v>93.87716117577699</v>
      </c>
      <c r="U18">
        <f t="shared" si="28"/>
        <v>92.996696085143512</v>
      </c>
      <c r="V18">
        <f t="shared" si="28"/>
        <v>92.15174922359148</v>
      </c>
      <c r="W18">
        <f t="shared" si="28"/>
        <v>96.442961621924297</v>
      </c>
      <c r="X18">
        <f t="shared" si="28"/>
        <v>97.686566356640554</v>
      </c>
      <c r="Y18">
        <f t="shared" si="28"/>
        <v>99.312949186006023</v>
      </c>
      <c r="Z18">
        <f t="shared" si="28"/>
        <v>103.43198659068958</v>
      </c>
      <c r="AA18">
        <f t="shared" si="28"/>
        <v>104.41194644144034</v>
      </c>
      <c r="AB18">
        <f t="shared" si="28"/>
        <v>103.45349480355915</v>
      </c>
      <c r="AC18">
        <f t="shared" si="28"/>
        <v>106.54724868446995</v>
      </c>
      <c r="AD18">
        <f t="shared" si="28"/>
        <v>107.92538760274603</v>
      </c>
      <c r="AE18">
        <f t="shared" si="28"/>
        <v>105.79366668582804</v>
      </c>
      <c r="AF18">
        <f t="shared" si="28"/>
        <v>104.69266297678404</v>
      </c>
      <c r="AG18">
        <f t="shared" si="28"/>
        <v>106.16424577705293</v>
      </c>
      <c r="AH18">
        <f t="shared" si="28"/>
        <v>102.40834993322876</v>
      </c>
      <c r="AI18">
        <f t="shared" si="28"/>
        <v>102.67075644901483</v>
      </c>
      <c r="AJ18">
        <f t="shared" si="28"/>
        <v>102.2718933716335</v>
      </c>
      <c r="AK18">
        <f t="shared" si="28"/>
        <v>104.10416412605842</v>
      </c>
      <c r="AL18">
        <f t="shared" si="28"/>
        <v>104.72228870984031</v>
      </c>
      <c r="AM18">
        <f t="shared" si="28"/>
        <v>102.02977911554004</v>
      </c>
      <c r="AN18">
        <f t="shared" si="28"/>
        <v>101.27405420412451</v>
      </c>
      <c r="AO18">
        <f t="shared" si="28"/>
        <v>101.09493475158568</v>
      </c>
      <c r="AP18">
        <f t="shared" si="28"/>
        <v>101.33986696626522</v>
      </c>
      <c r="AQ18">
        <f t="shared" si="28"/>
        <v>102.04192595372365</v>
      </c>
      <c r="AR18">
        <f t="shared" si="28"/>
        <v>100.75846985455327</v>
      </c>
      <c r="AS18">
        <f t="shared" si="28"/>
        <v>102.81205492939768</v>
      </c>
      <c r="AT18">
        <f t="shared" si="28"/>
        <v>99.573334587428576</v>
      </c>
      <c r="AU18">
        <f t="shared" si="28"/>
        <v>102.466911300015</v>
      </c>
      <c r="AV18">
        <f t="shared" si="28"/>
        <v>103.41142910874277</v>
      </c>
      <c r="AW18">
        <f t="shared" si="28"/>
        <v>103.19831344317632</v>
      </c>
      <c r="AX18">
        <f t="shared" si="28"/>
        <v>106.61279638540155</v>
      </c>
      <c r="AY18">
        <f t="shared" si="28"/>
        <v>106.68616065016363</v>
      </c>
      <c r="AZ18">
        <f t="shared" si="28"/>
        <v>105.29185702354364</v>
      </c>
      <c r="BA18">
        <f t="shared" si="28"/>
        <v>105.10708561988505</v>
      </c>
      <c r="BB18">
        <f t="shared" si="28"/>
        <v>104.30212962212319</v>
      </c>
      <c r="BC18">
        <f t="shared" si="28"/>
        <v>99.337723251608949</v>
      </c>
      <c r="BD18">
        <f t="shared" si="28"/>
        <v>99.157374510244878</v>
      </c>
      <c r="BE18">
        <f t="shared" si="28"/>
        <v>96.696307396172188</v>
      </c>
      <c r="BF18">
        <f t="shared" si="28"/>
        <v>98.078751245569578</v>
      </c>
      <c r="BG18">
        <f t="shared" si="28"/>
        <v>99.220108932648614</v>
      </c>
      <c r="BH18">
        <f t="shared" si="28"/>
        <v>97.636436529998321</v>
      </c>
      <c r="BI18">
        <f t="shared" si="28"/>
        <v>98.003517455555894</v>
      </c>
      <c r="BJ18">
        <f t="shared" si="28"/>
        <v>96.574533555338135</v>
      </c>
      <c r="BK18">
        <f t="shared" si="28"/>
        <v>94.071716040638862</v>
      </c>
      <c r="BL18">
        <f t="shared" si="28"/>
        <v>96.777302440740101</v>
      </c>
      <c r="BM18">
        <f t="shared" si="28"/>
        <v>98.981094577931088</v>
      </c>
      <c r="BN18">
        <f t="shared" si="28"/>
        <v>95.591871151823284</v>
      </c>
      <c r="BO18">
        <f t="shared" si="28"/>
        <v>95.838254190934336</v>
      </c>
      <c r="BP18">
        <f t="shared" ref="BP18:EA20" si="35">BO18*(1+BP8/10)</f>
        <v>95.281007060995648</v>
      </c>
      <c r="BQ18">
        <f t="shared" si="35"/>
        <v>94.181051001368573</v>
      </c>
      <c r="BR18">
        <f t="shared" si="35"/>
        <v>95.902445106657908</v>
      </c>
      <c r="BS18">
        <f t="shared" si="35"/>
        <v>94.828300885747424</v>
      </c>
      <c r="BT18">
        <f t="shared" si="35"/>
        <v>94.849225426616869</v>
      </c>
      <c r="BU18">
        <f t="shared" si="35"/>
        <v>96.341895169933878</v>
      </c>
      <c r="BV18">
        <f t="shared" si="35"/>
        <v>95.654671577735783</v>
      </c>
      <c r="BW18">
        <f t="shared" si="35"/>
        <v>95.357785589108701</v>
      </c>
      <c r="BX18">
        <f t="shared" si="35"/>
        <v>96.830711892846736</v>
      </c>
      <c r="BY18">
        <f t="shared" si="35"/>
        <v>98.958716025955354</v>
      </c>
      <c r="BZ18">
        <f t="shared" si="35"/>
        <v>98.153417116729074</v>
      </c>
      <c r="CA18">
        <f t="shared" si="35"/>
        <v>101.49077587074119</v>
      </c>
      <c r="CB18">
        <f t="shared" si="35"/>
        <v>102.62669793555493</v>
      </c>
      <c r="CC18">
        <f t="shared" si="35"/>
        <v>102.13975419180686</v>
      </c>
      <c r="CD18">
        <f t="shared" si="35"/>
        <v>100.96421252857085</v>
      </c>
      <c r="CE18">
        <f t="shared" si="35"/>
        <v>100.96779549785789</v>
      </c>
      <c r="CF18">
        <f t="shared" si="35"/>
        <v>102.4892230575156</v>
      </c>
      <c r="CG18">
        <f t="shared" si="35"/>
        <v>105.78758013741884</v>
      </c>
      <c r="CH18">
        <f t="shared" si="35"/>
        <v>103.88182517786186</v>
      </c>
      <c r="CI18">
        <f t="shared" si="35"/>
        <v>104.30829805230918</v>
      </c>
      <c r="CJ18">
        <f t="shared" si="35"/>
        <v>100.62064980549124</v>
      </c>
      <c r="CK18">
        <f t="shared" si="35"/>
        <v>100.56052223200297</v>
      </c>
      <c r="CL18">
        <f t="shared" si="35"/>
        <v>100.85810676493648</v>
      </c>
      <c r="CM18">
        <f t="shared" si="35"/>
        <v>100.92635101458347</v>
      </c>
      <c r="CN18">
        <f t="shared" si="35"/>
        <v>102.67556508521824</v>
      </c>
      <c r="CO18">
        <f t="shared" si="35"/>
        <v>101.56584975880835</v>
      </c>
      <c r="CP18">
        <f t="shared" si="35"/>
        <v>100.04999075582703</v>
      </c>
      <c r="CQ18">
        <f t="shared" si="35"/>
        <v>98.692993248029296</v>
      </c>
      <c r="CR18">
        <f t="shared" si="35"/>
        <v>96.654855889753449</v>
      </c>
      <c r="CS18">
        <f t="shared" si="35"/>
        <v>95.957723492629256</v>
      </c>
      <c r="CT18">
        <f t="shared" si="35"/>
        <v>97.643044032452252</v>
      </c>
      <c r="CU18">
        <f t="shared" si="35"/>
        <v>99.536829282823007</v>
      </c>
      <c r="CV18">
        <f t="shared" si="35"/>
        <v>100.26485331546021</v>
      </c>
      <c r="CW18">
        <f t="shared" si="35"/>
        <v>99.989573180280885</v>
      </c>
      <c r="CX18">
        <f t="shared" si="35"/>
        <v>99.226967130534234</v>
      </c>
      <c r="CY18">
        <f t="shared" si="35"/>
        <v>99.704315334339412</v>
      </c>
      <c r="CZ18">
        <f t="shared" si="35"/>
        <v>97.095154893684892</v>
      </c>
      <c r="DA18">
        <f t="shared" si="35"/>
        <v>98.13187997203994</v>
      </c>
      <c r="DB18">
        <f t="shared" si="35"/>
        <v>93.134706219950829</v>
      </c>
      <c r="DC18">
        <f t="shared" si="35"/>
        <v>92.158231733154466</v>
      </c>
      <c r="DD18">
        <f t="shared" si="35"/>
        <v>94.455168367061248</v>
      </c>
      <c r="DE18">
        <f t="shared" si="35"/>
        <v>94.865951050100406</v>
      </c>
      <c r="DF18">
        <f t="shared" si="35"/>
        <v>93.630238526192798</v>
      </c>
      <c r="DG18">
        <f t="shared" si="35"/>
        <v>92.98675167650832</v>
      </c>
      <c r="DH18">
        <f t="shared" si="35"/>
        <v>94.744326402606859</v>
      </c>
      <c r="DI18">
        <f t="shared" si="35"/>
        <v>97.662203777954034</v>
      </c>
      <c r="DJ18">
        <f t="shared" si="35"/>
        <v>95.269533757185116</v>
      </c>
      <c r="DK18">
        <f t="shared" si="35"/>
        <v>94.466746654740419</v>
      </c>
      <c r="DL18">
        <f t="shared" si="35"/>
        <v>94.914992542604281</v>
      </c>
      <c r="DM18">
        <f t="shared" si="35"/>
        <v>96.702529769724379</v>
      </c>
      <c r="DN18">
        <f t="shared" si="35"/>
        <v>99.591382120881946</v>
      </c>
      <c r="DO18">
        <f t="shared" si="35"/>
        <v>98.861719200839389</v>
      </c>
      <c r="DP18">
        <f t="shared" si="35"/>
        <v>99.460585532933209</v>
      </c>
      <c r="DQ18">
        <f t="shared" si="35"/>
        <v>97.093463944723496</v>
      </c>
      <c r="DR18">
        <f t="shared" si="35"/>
        <v>95.347917291385386</v>
      </c>
      <c r="DS18">
        <f t="shared" si="35"/>
        <v>95.248562520965933</v>
      </c>
      <c r="DT18">
        <f t="shared" si="35"/>
        <v>95.43366532407174</v>
      </c>
      <c r="DU18">
        <f t="shared" si="35"/>
        <v>96.948288838534111</v>
      </c>
      <c r="DV18">
        <f t="shared" si="35"/>
        <v>95.615993675525033</v>
      </c>
      <c r="DW18">
        <f t="shared" si="35"/>
        <v>96.513717864084953</v>
      </c>
      <c r="DX18">
        <f t="shared" si="35"/>
        <v>95.329288022293994</v>
      </c>
      <c r="DY18">
        <f t="shared" si="35"/>
        <v>99.105194616740917</v>
      </c>
      <c r="DZ18">
        <f t="shared" si="35"/>
        <v>99.102906909985279</v>
      </c>
      <c r="EA18">
        <f t="shared" si="35"/>
        <v>98.046930599960959</v>
      </c>
      <c r="EB18">
        <f t="shared" si="29"/>
        <v>97.830541967872207</v>
      </c>
      <c r="EC18">
        <f t="shared" si="29"/>
        <v>101.46254429746877</v>
      </c>
      <c r="ED18">
        <f t="shared" si="29"/>
        <v>99.473525949553689</v>
      </c>
      <c r="EE18">
        <f t="shared" si="29"/>
        <v>102.43420553547543</v>
      </c>
      <c r="EF18">
        <f t="shared" si="29"/>
        <v>103.33456255278962</v>
      </c>
      <c r="EG18">
        <f t="shared" si="29"/>
        <v>103.00453473477542</v>
      </c>
      <c r="EH18">
        <f t="shared" si="29"/>
        <v>102.50207718246189</v>
      </c>
      <c r="EI18">
        <f t="shared" si="29"/>
        <v>101.56131522130283</v>
      </c>
      <c r="EJ18">
        <f t="shared" si="29"/>
        <v>100.75880012911327</v>
      </c>
      <c r="EK18">
        <f t="shared" si="29"/>
        <v>99.984331620759292</v>
      </c>
      <c r="EL18">
        <f t="shared" si="29"/>
        <v>97.385680895886054</v>
      </c>
      <c r="EM18">
        <f t="shared" si="29"/>
        <v>99.266000399396475</v>
      </c>
      <c r="EN18">
        <f t="shared" si="29"/>
        <v>102.187553193742</v>
      </c>
      <c r="EO18">
        <f t="shared" si="29"/>
        <v>101.37160631635039</v>
      </c>
      <c r="EP18">
        <f t="shared" si="29"/>
        <v>101.63254449409963</v>
      </c>
      <c r="EQ18">
        <f t="shared" si="29"/>
        <v>99.878085187883471</v>
      </c>
      <c r="ER18">
        <f t="shared" si="29"/>
        <v>100.79813510393149</v>
      </c>
      <c r="ES18">
        <f t="shared" si="29"/>
        <v>101.29260848279731</v>
      </c>
      <c r="ET18">
        <f t="shared" si="29"/>
        <v>102.14958262211535</v>
      </c>
      <c r="EU18">
        <f t="shared" si="29"/>
        <v>99.542167760819325</v>
      </c>
      <c r="EV18">
        <f t="shared" si="29"/>
        <v>98.340554467516284</v>
      </c>
      <c r="EW18">
        <f t="shared" si="29"/>
        <v>98.646684103551422</v>
      </c>
      <c r="EX18">
        <f t="shared" si="29"/>
        <v>98.611401212909087</v>
      </c>
      <c r="EY18">
        <f t="shared" si="29"/>
        <v>96.693526717631315</v>
      </c>
      <c r="EZ18">
        <f t="shared" si="29"/>
        <v>99.824989770106384</v>
      </c>
      <c r="FA18">
        <f t="shared" si="29"/>
        <v>98.225923256109567</v>
      </c>
      <c r="FB18">
        <f t="shared" si="29"/>
        <v>99.161102139681432</v>
      </c>
      <c r="FC18">
        <f t="shared" si="29"/>
        <v>100.94359642762748</v>
      </c>
      <c r="FD18">
        <f t="shared" si="29"/>
        <v>102.68489176349803</v>
      </c>
      <c r="FE18">
        <f t="shared" si="29"/>
        <v>102.33464460305166</v>
      </c>
      <c r="FF18">
        <f t="shared" si="29"/>
        <v>105.51715843216574</v>
      </c>
      <c r="FG18">
        <f t="shared" si="29"/>
        <v>105.01996732686182</v>
      </c>
      <c r="FH18">
        <f t="shared" si="29"/>
        <v>106.714135274054</v>
      </c>
      <c r="FI18">
        <f t="shared" si="29"/>
        <v>108.24633556809533</v>
      </c>
      <c r="FJ18">
        <f t="shared" si="29"/>
        <v>106.53819270648616</v>
      </c>
      <c r="FK18">
        <f t="shared" si="29"/>
        <v>104.80531116015538</v>
      </c>
      <c r="FL18">
        <f t="shared" si="29"/>
        <v>105.3672740935279</v>
      </c>
      <c r="FM18">
        <f t="shared" si="29"/>
        <v>105.69598465705396</v>
      </c>
      <c r="FN18">
        <f t="shared" si="29"/>
        <v>103.60133910976921</v>
      </c>
      <c r="FO18">
        <f t="shared" si="29"/>
        <v>100.80871794052915</v>
      </c>
      <c r="FP18">
        <f t="shared" si="29"/>
        <v>102.58168969052257</v>
      </c>
      <c r="FQ18">
        <f t="shared" si="29"/>
        <v>103.32306993080007</v>
      </c>
      <c r="FR18">
        <f t="shared" si="29"/>
        <v>100.8768778911037</v>
      </c>
      <c r="FS18">
        <f t="shared" si="29"/>
        <v>100.99317648357275</v>
      </c>
      <c r="FT18">
        <f t="shared" si="29"/>
        <v>102.79305387290177</v>
      </c>
      <c r="FU18">
        <f t="shared" si="29"/>
        <v>105.19677416322695</v>
      </c>
      <c r="FV18">
        <f t="shared" si="29"/>
        <v>103.81674572079523</v>
      </c>
      <c r="FW18">
        <f t="shared" si="29"/>
        <v>105.34255770141604</v>
      </c>
      <c r="FX18">
        <f t="shared" si="29"/>
        <v>107.20248133415019</v>
      </c>
      <c r="FY18">
        <f t="shared" si="29"/>
        <v>106.61742251452699</v>
      </c>
      <c r="FZ18">
        <f t="shared" si="29"/>
        <v>106.41585922989313</v>
      </c>
      <c r="GA18">
        <f t="shared" si="29"/>
        <v>109.62809175686527</v>
      </c>
      <c r="GB18">
        <f t="shared" si="29"/>
        <v>108.24081962637749</v>
      </c>
      <c r="GC18">
        <f t="shared" si="29"/>
        <v>106.78453404659564</v>
      </c>
      <c r="GD18">
        <f t="shared" si="29"/>
        <v>107.92011592463705</v>
      </c>
      <c r="GE18">
        <f t="shared" si="29"/>
        <v>105.9555761464038</v>
      </c>
      <c r="GF18">
        <f t="shared" si="29"/>
        <v>106.10009303937265</v>
      </c>
      <c r="GG18">
        <f t="shared" si="29"/>
        <v>104.2964880239294</v>
      </c>
      <c r="GH18">
        <f t="shared" si="29"/>
        <v>103.84588006740803</v>
      </c>
      <c r="GI18">
        <f t="shared" si="29"/>
        <v>98.021690551194823</v>
      </c>
      <c r="GJ18">
        <f t="shared" si="29"/>
        <v>98.648704626818414</v>
      </c>
      <c r="GK18">
        <f t="shared" si="29"/>
        <v>100.79999594828489</v>
      </c>
      <c r="GL18">
        <f t="shared" si="29"/>
        <v>101.3851027806251</v>
      </c>
      <c r="GM18">
        <f t="shared" si="15"/>
        <v>98.466487723460531</v>
      </c>
      <c r="GN18">
        <f t="shared" ref="GN18:IY20" si="36">GM18*(1+GN8/10)</f>
        <v>97.804491328201706</v>
      </c>
      <c r="GO18">
        <f t="shared" si="36"/>
        <v>97.102464437273014</v>
      </c>
      <c r="GP18">
        <f t="shared" si="36"/>
        <v>97.263665858911438</v>
      </c>
      <c r="GQ18">
        <f t="shared" si="36"/>
        <v>99.050254195934102</v>
      </c>
      <c r="GR18">
        <f t="shared" si="36"/>
        <v>97.987525274525936</v>
      </c>
      <c r="GS18">
        <f t="shared" si="36"/>
        <v>99.297246841688946</v>
      </c>
      <c r="GT18">
        <f t="shared" si="36"/>
        <v>99.451931249508462</v>
      </c>
      <c r="GU18">
        <f t="shared" si="36"/>
        <v>102.07429944083984</v>
      </c>
      <c r="GV18">
        <f t="shared" si="36"/>
        <v>100.41691687746247</v>
      </c>
      <c r="GW18">
        <f t="shared" si="36"/>
        <v>100.47070673945287</v>
      </c>
      <c r="GX18">
        <f t="shared" si="36"/>
        <v>99.655828101966634</v>
      </c>
      <c r="GY18">
        <f t="shared" si="36"/>
        <v>101.22524199456565</v>
      </c>
      <c r="GZ18">
        <f t="shared" si="36"/>
        <v>100.10900467456409</v>
      </c>
      <c r="HA18">
        <f t="shared" si="36"/>
        <v>101.70794621940757</v>
      </c>
      <c r="HB18">
        <f t="shared" si="36"/>
        <v>105.17536195870872</v>
      </c>
      <c r="HC18">
        <f t="shared" si="36"/>
        <v>102.56055048527416</v>
      </c>
      <c r="HD18">
        <f t="shared" si="36"/>
        <v>101.40239277475067</v>
      </c>
      <c r="HE18">
        <f t="shared" si="36"/>
        <v>100.54313449427924</v>
      </c>
      <c r="HF18">
        <f t="shared" si="36"/>
        <v>99.761057429203234</v>
      </c>
      <c r="HG18">
        <f t="shared" si="36"/>
        <v>98.59552826288872</v>
      </c>
      <c r="HH18">
        <f t="shared" si="36"/>
        <v>98.34291307381288</v>
      </c>
      <c r="HI18">
        <f t="shared" si="36"/>
        <v>99.541147130209524</v>
      </c>
      <c r="HJ18">
        <f t="shared" si="36"/>
        <v>100.15107251534131</v>
      </c>
      <c r="HK18">
        <f t="shared" si="36"/>
        <v>96.954491827736121</v>
      </c>
      <c r="HL18">
        <f t="shared" si="36"/>
        <v>96.481838561365691</v>
      </c>
      <c r="HM18">
        <f t="shared" si="36"/>
        <v>94.240966926368884</v>
      </c>
      <c r="HN18">
        <f t="shared" si="36"/>
        <v>97.099078526377326</v>
      </c>
      <c r="HO18">
        <f t="shared" si="36"/>
        <v>94.692862050859532</v>
      </c>
      <c r="HP18">
        <f t="shared" si="36"/>
        <v>94.250128642639368</v>
      </c>
      <c r="HQ18">
        <f t="shared" si="36"/>
        <v>95.741092798962143</v>
      </c>
      <c r="HR18">
        <f t="shared" si="36"/>
        <v>93.058782662522532</v>
      </c>
      <c r="HS18">
        <f t="shared" si="36"/>
        <v>91.930596518027301</v>
      </c>
      <c r="HT18">
        <f t="shared" si="36"/>
        <v>90.127864655973127</v>
      </c>
      <c r="HU18">
        <f t="shared" si="36"/>
        <v>88.204902075332711</v>
      </c>
      <c r="HV18">
        <f t="shared" si="36"/>
        <v>85.509969003123985</v>
      </c>
      <c r="HW18">
        <f t="shared" si="36"/>
        <v>86.933099056165474</v>
      </c>
      <c r="HX18">
        <f t="shared" si="36"/>
        <v>87.378711060494339</v>
      </c>
      <c r="HY18">
        <f t="shared" si="36"/>
        <v>85.794339657644102</v>
      </c>
      <c r="HZ18">
        <f t="shared" si="36"/>
        <v>82.522849668776857</v>
      </c>
      <c r="IA18">
        <f t="shared" si="36"/>
        <v>80.073493571297305</v>
      </c>
      <c r="IB18">
        <f t="shared" si="36"/>
        <v>79.110449672996964</v>
      </c>
      <c r="IC18">
        <f t="shared" si="36"/>
        <v>79.103429326228309</v>
      </c>
      <c r="ID18">
        <f t="shared" si="36"/>
        <v>81.95306952776663</v>
      </c>
      <c r="IE18">
        <f t="shared" si="36"/>
        <v>84.350798159532431</v>
      </c>
      <c r="IF18">
        <f t="shared" si="36"/>
        <v>84.803482505087743</v>
      </c>
      <c r="IG18">
        <f t="shared" si="36"/>
        <v>85.930866029163838</v>
      </c>
      <c r="IH18">
        <f t="shared" si="36"/>
        <v>85.171740990502329</v>
      </c>
      <c r="II18">
        <f t="shared" si="36"/>
        <v>84.566190215002763</v>
      </c>
      <c r="IJ18">
        <f t="shared" si="36"/>
        <v>85.045019732590887</v>
      </c>
      <c r="IK18">
        <f t="shared" si="36"/>
        <v>82.71145284437543</v>
      </c>
      <c r="IL18">
        <f t="shared" si="36"/>
        <v>78.867948298170546</v>
      </c>
      <c r="IM18">
        <f t="shared" si="36"/>
        <v>78.136040731139587</v>
      </c>
      <c r="IN18">
        <f t="shared" si="36"/>
        <v>78.909588787945964</v>
      </c>
      <c r="IO18">
        <f t="shared" si="36"/>
        <v>82.330420713493609</v>
      </c>
      <c r="IP18">
        <f t="shared" si="36"/>
        <v>81.597883052167333</v>
      </c>
      <c r="IQ18">
        <f t="shared" si="36"/>
        <v>84.007002241145457</v>
      </c>
      <c r="IR18">
        <f t="shared" si="36"/>
        <v>82.955767457039144</v>
      </c>
      <c r="IS18">
        <f t="shared" si="36"/>
        <v>83.245033162553554</v>
      </c>
      <c r="IT18">
        <f t="shared" si="36"/>
        <v>83.026999447812187</v>
      </c>
      <c r="IU18">
        <f t="shared" si="36"/>
        <v>84.752058790438909</v>
      </c>
      <c r="IV18">
        <f t="shared" si="36"/>
        <v>85.212609479172784</v>
      </c>
      <c r="IW18">
        <f t="shared" si="36"/>
        <v>81.46967156614086</v>
      </c>
      <c r="IX18">
        <f t="shared" si="36"/>
        <v>82.180656751251391</v>
      </c>
      <c r="IY18">
        <f t="shared" si="36"/>
        <v>79.596496550849864</v>
      </c>
      <c r="IZ18">
        <f t="shared" si="30"/>
        <v>78.134268318504922</v>
      </c>
      <c r="JA18">
        <f t="shared" si="30"/>
        <v>79.266250653143643</v>
      </c>
      <c r="JB18">
        <f t="shared" si="30"/>
        <v>77.145357124735995</v>
      </c>
      <c r="JC18">
        <f t="shared" si="30"/>
        <v>78.892724174093388</v>
      </c>
      <c r="JD18">
        <f t="shared" si="30"/>
        <v>76.75807831230496</v>
      </c>
      <c r="JE18">
        <f t="shared" si="30"/>
        <v>75.106401386075859</v>
      </c>
      <c r="JF18">
        <f t="shared" si="30"/>
        <v>73.032327858266413</v>
      </c>
      <c r="JG18">
        <f t="shared" si="30"/>
        <v>74.215836702395379</v>
      </c>
      <c r="JH18">
        <f t="shared" si="30"/>
        <v>72.902824306961435</v>
      </c>
      <c r="JI18">
        <f t="shared" si="30"/>
        <v>75.644546679527181</v>
      </c>
      <c r="JJ18">
        <f t="shared" si="30"/>
        <v>72.15816161250774</v>
      </c>
      <c r="JK18">
        <f t="shared" si="30"/>
        <v>69.643602077681592</v>
      </c>
      <c r="JL18">
        <f t="shared" si="30"/>
        <v>68.221582033609167</v>
      </c>
      <c r="JM18">
        <f t="shared" si="30"/>
        <v>71.389580782249908</v>
      </c>
      <c r="JN18">
        <f t="shared" si="30"/>
        <v>66.986424804452085</v>
      </c>
      <c r="JO18">
        <f t="shared" si="30"/>
        <v>67.029386971010695</v>
      </c>
      <c r="JP18">
        <f t="shared" si="30"/>
        <v>66.252602004515126</v>
      </c>
      <c r="JQ18">
        <f t="shared" si="30"/>
        <v>67.107702891682777</v>
      </c>
      <c r="JR18">
        <f t="shared" si="30"/>
        <v>64.939741674066283</v>
      </c>
      <c r="JS18">
        <f t="shared" si="30"/>
        <v>64.535435541397575</v>
      </c>
      <c r="JT18">
        <f t="shared" si="30"/>
        <v>64.292222719149734</v>
      </c>
      <c r="JU18">
        <f t="shared" si="30"/>
        <v>62.368910759225308</v>
      </c>
      <c r="JV18">
        <f t="shared" si="30"/>
        <v>61.720119247716475</v>
      </c>
      <c r="JW18">
        <f t="shared" si="30"/>
        <v>60.782847398163867</v>
      </c>
      <c r="JX18">
        <f t="shared" si="30"/>
        <v>62.232961227385928</v>
      </c>
      <c r="JY18">
        <f t="shared" si="30"/>
        <v>62.593639545775765</v>
      </c>
      <c r="JZ18">
        <f t="shared" si="30"/>
        <v>60.229986085284828</v>
      </c>
      <c r="KA18">
        <f t="shared" si="30"/>
        <v>59.273134483426389</v>
      </c>
      <c r="KB18">
        <f t="shared" si="30"/>
        <v>61.417531592696761</v>
      </c>
      <c r="KC18">
        <f t="shared" si="30"/>
        <v>61.754348009997315</v>
      </c>
      <c r="KD18">
        <f t="shared" si="30"/>
        <v>63.569629054103544</v>
      </c>
      <c r="KE18">
        <f t="shared" si="30"/>
        <v>62.492566994848623</v>
      </c>
      <c r="KF18">
        <f t="shared" si="30"/>
        <v>64.800555867247439</v>
      </c>
      <c r="KG18">
        <f t="shared" si="30"/>
        <v>64.676576811066667</v>
      </c>
      <c r="KH18">
        <f t="shared" si="30"/>
        <v>66.487288515149984</v>
      </c>
      <c r="KI18">
        <f t="shared" si="30"/>
        <v>67.777576420543454</v>
      </c>
      <c r="KJ18">
        <f t="shared" si="30"/>
        <v>66.765497993988248</v>
      </c>
      <c r="KK18">
        <f t="shared" si="30"/>
        <v>65.524133244130198</v>
      </c>
      <c r="KL18">
        <f t="shared" si="30"/>
        <v>64.644024371664187</v>
      </c>
      <c r="KM18">
        <f t="shared" si="30"/>
        <v>62.9755157649221</v>
      </c>
      <c r="KN18">
        <f t="shared" si="30"/>
        <v>65.527567013399221</v>
      </c>
      <c r="KO18">
        <f t="shared" si="30"/>
        <v>68.177911294889398</v>
      </c>
      <c r="KP18">
        <f t="shared" si="30"/>
        <v>67.377289357778295</v>
      </c>
      <c r="KQ18">
        <f t="shared" si="30"/>
        <v>65.452303495746108</v>
      </c>
      <c r="KR18">
        <f t="shared" si="30"/>
        <v>64.239642907668809</v>
      </c>
      <c r="KS18">
        <f t="shared" si="30"/>
        <v>66.48864196976146</v>
      </c>
      <c r="KT18">
        <f t="shared" si="30"/>
        <v>66.762421895864023</v>
      </c>
      <c r="KU18">
        <f t="shared" si="30"/>
        <v>64.64173309088082</v>
      </c>
      <c r="KV18">
        <f t="shared" si="30"/>
        <v>63.939435309601919</v>
      </c>
      <c r="KW18">
        <f t="shared" si="30"/>
        <v>65.481206953590032</v>
      </c>
      <c r="KX18">
        <f t="shared" si="30"/>
        <v>63.657818382804201</v>
      </c>
      <c r="KY18">
        <f t="shared" si="30"/>
        <v>65.32621875274063</v>
      </c>
      <c r="KZ18">
        <f t="shared" si="30"/>
        <v>65.466898531969349</v>
      </c>
      <c r="LA18">
        <f t="shared" si="30"/>
        <v>68.511779462479666</v>
      </c>
      <c r="LB18">
        <f t="shared" si="30"/>
        <v>67.337986685075307</v>
      </c>
      <c r="LC18">
        <f t="shared" si="30"/>
        <v>67.342553294503446</v>
      </c>
      <c r="LD18">
        <f t="shared" si="30"/>
        <v>68.000925730256199</v>
      </c>
      <c r="LE18">
        <f t="shared" si="30"/>
        <v>68.501087909431405</v>
      </c>
      <c r="LF18">
        <f t="shared" si="30"/>
        <v>68.939954645623644</v>
      </c>
      <c r="LG18">
        <f t="shared" si="30"/>
        <v>69.994407099809052</v>
      </c>
      <c r="LH18">
        <f t="shared" si="30"/>
        <v>70.905926976762913</v>
      </c>
      <c r="LI18">
        <f t="shared" si="30"/>
        <v>71.762791650886257</v>
      </c>
      <c r="LJ18">
        <f t="shared" si="30"/>
        <v>72.70028394388909</v>
      </c>
      <c r="LK18">
        <f t="shared" si="17"/>
        <v>73.134789243588045</v>
      </c>
      <c r="LL18">
        <f t="shared" ref="LL18:NW20" si="37">LK18*(1+LL8/10)</f>
        <v>75.526984058962725</v>
      </c>
      <c r="LM18">
        <f t="shared" si="37"/>
        <v>77.990271327508125</v>
      </c>
      <c r="LN18">
        <f t="shared" si="37"/>
        <v>78.937512231827114</v>
      </c>
      <c r="LO18">
        <f t="shared" si="37"/>
        <v>78.100596908068042</v>
      </c>
      <c r="LP18">
        <f t="shared" si="37"/>
        <v>79.558471775260742</v>
      </c>
      <c r="LQ18">
        <f t="shared" si="37"/>
        <v>79.187596287312743</v>
      </c>
      <c r="LR18">
        <f t="shared" si="37"/>
        <v>83.911979490389456</v>
      </c>
      <c r="LS18">
        <f t="shared" si="37"/>
        <v>82.320228219927671</v>
      </c>
      <c r="LT18">
        <f t="shared" si="37"/>
        <v>85.667385404628519</v>
      </c>
      <c r="LU18">
        <f t="shared" si="37"/>
        <v>83.691918779157831</v>
      </c>
      <c r="LV18">
        <f t="shared" si="37"/>
        <v>86.866087423954355</v>
      </c>
      <c r="LW18">
        <f t="shared" si="37"/>
        <v>86.049164924050601</v>
      </c>
      <c r="LX18">
        <f t="shared" si="37"/>
        <v>84.296336434601045</v>
      </c>
      <c r="LY18">
        <f t="shared" si="37"/>
        <v>81.639500593394033</v>
      </c>
      <c r="LZ18">
        <f t="shared" si="37"/>
        <v>81.219157566065363</v>
      </c>
      <c r="MA18">
        <f t="shared" si="37"/>
        <v>84.49685545096024</v>
      </c>
      <c r="MB18">
        <f t="shared" si="37"/>
        <v>82.824659202133049</v>
      </c>
      <c r="MC18">
        <f t="shared" si="37"/>
        <v>85.92068257560291</v>
      </c>
      <c r="MD18">
        <f t="shared" si="37"/>
        <v>82.493191628363633</v>
      </c>
      <c r="ME18">
        <f t="shared" si="37"/>
        <v>82.287094285419329</v>
      </c>
      <c r="MF18">
        <f t="shared" si="37"/>
        <v>81.336361941942215</v>
      </c>
      <c r="MG18">
        <f t="shared" si="37"/>
        <v>80.344081978636112</v>
      </c>
      <c r="MH18">
        <f t="shared" si="37"/>
        <v>83.551794791493251</v>
      </c>
      <c r="MI18">
        <f t="shared" si="37"/>
        <v>82.078508271703825</v>
      </c>
      <c r="MJ18">
        <f t="shared" si="37"/>
        <v>83.710645545412561</v>
      </c>
      <c r="MK18">
        <f t="shared" si="37"/>
        <v>80.514627811496467</v>
      </c>
      <c r="ML18">
        <f t="shared" si="37"/>
        <v>82.056402132715462</v>
      </c>
      <c r="MM18">
        <f t="shared" si="37"/>
        <v>83.07005433660558</v>
      </c>
      <c r="MN18">
        <f t="shared" si="37"/>
        <v>80.072997443862974</v>
      </c>
      <c r="MO18">
        <f t="shared" si="37"/>
        <v>80.220520693942888</v>
      </c>
      <c r="MP18">
        <f t="shared" si="37"/>
        <v>81.422596374238879</v>
      </c>
      <c r="MQ18">
        <f t="shared" si="37"/>
        <v>78.382376837924966</v>
      </c>
      <c r="MR18">
        <f t="shared" si="37"/>
        <v>77.198311460624296</v>
      </c>
      <c r="MS18">
        <f t="shared" si="37"/>
        <v>78.406968879873247</v>
      </c>
      <c r="MT18">
        <f t="shared" si="37"/>
        <v>76.708251862095807</v>
      </c>
      <c r="MU18">
        <f t="shared" si="37"/>
        <v>76.100064933802656</v>
      </c>
      <c r="MV18">
        <f t="shared" si="37"/>
        <v>76.854559546984731</v>
      </c>
      <c r="MW18">
        <f t="shared" si="37"/>
        <v>74.811076758507667</v>
      </c>
      <c r="MX18">
        <f t="shared" si="37"/>
        <v>74.314861763329759</v>
      </c>
      <c r="MY18">
        <f t="shared" si="37"/>
        <v>76.920831382564771</v>
      </c>
      <c r="MZ18">
        <f t="shared" si="37"/>
        <v>79.127864888478513</v>
      </c>
      <c r="NA18">
        <f t="shared" si="37"/>
        <v>79.295194848231404</v>
      </c>
      <c r="NB18">
        <f t="shared" si="37"/>
        <v>79.639261171766393</v>
      </c>
      <c r="NC18">
        <f t="shared" si="37"/>
        <v>81.786254018363451</v>
      </c>
      <c r="ND18">
        <f t="shared" si="37"/>
        <v>82.95937421265954</v>
      </c>
      <c r="NE18">
        <f t="shared" si="37"/>
        <v>81.525832141881793</v>
      </c>
      <c r="NF18">
        <f t="shared" si="37"/>
        <v>80.8751376170041</v>
      </c>
      <c r="NG18">
        <f t="shared" si="37"/>
        <v>83.05008053434581</v>
      </c>
      <c r="NH18">
        <f t="shared" si="37"/>
        <v>82.97174068827556</v>
      </c>
      <c r="NI18">
        <f t="shared" si="37"/>
        <v>83.856061826194178</v>
      </c>
      <c r="NJ18">
        <f t="shared" si="37"/>
        <v>84.405205253901769</v>
      </c>
      <c r="NK18">
        <f t="shared" si="37"/>
        <v>86.194619841874299</v>
      </c>
      <c r="NL18">
        <f t="shared" si="37"/>
        <v>88.014651410081655</v>
      </c>
      <c r="NM18">
        <f t="shared" si="37"/>
        <v>91.706839137558333</v>
      </c>
      <c r="NN18">
        <f t="shared" si="37"/>
        <v>90.189070224603284</v>
      </c>
      <c r="NO18">
        <f t="shared" si="37"/>
        <v>91.410436823783172</v>
      </c>
      <c r="NP18">
        <f t="shared" si="37"/>
        <v>92.273810422865367</v>
      </c>
      <c r="NQ18">
        <f t="shared" si="37"/>
        <v>93.867024895852339</v>
      </c>
      <c r="NR18">
        <f t="shared" si="37"/>
        <v>93.265558563765509</v>
      </c>
      <c r="NS18">
        <f t="shared" si="37"/>
        <v>92.171805875402029</v>
      </c>
      <c r="NT18">
        <f t="shared" si="37"/>
        <v>94.007180710103782</v>
      </c>
      <c r="NU18">
        <f t="shared" si="37"/>
        <v>92.557004976358684</v>
      </c>
      <c r="NV18">
        <f t="shared" si="37"/>
        <v>94.023980412986589</v>
      </c>
      <c r="NW18">
        <f t="shared" si="37"/>
        <v>95.092904861926272</v>
      </c>
      <c r="NX18">
        <f t="shared" si="31"/>
        <v>95.573252007872824</v>
      </c>
      <c r="NY18">
        <f t="shared" si="31"/>
        <v>94.066372351315295</v>
      </c>
      <c r="NZ18">
        <f t="shared" si="31"/>
        <v>95.910765955634105</v>
      </c>
      <c r="OA18">
        <f t="shared" si="31"/>
        <v>97.384836706314573</v>
      </c>
      <c r="OB18">
        <f t="shared" si="31"/>
        <v>95.99320522357678</v>
      </c>
      <c r="OC18">
        <f t="shared" si="31"/>
        <v>93.314509125918335</v>
      </c>
      <c r="OD18">
        <f t="shared" si="31"/>
        <v>94.562706954401662</v>
      </c>
      <c r="OE18">
        <f t="shared" si="31"/>
        <v>93.318527125769833</v>
      </c>
      <c r="OF18">
        <f t="shared" si="31"/>
        <v>92.549164348895204</v>
      </c>
      <c r="OG18">
        <f t="shared" si="31"/>
        <v>92.787301680375535</v>
      </c>
      <c r="OH18">
        <f t="shared" si="31"/>
        <v>91.846026083880034</v>
      </c>
      <c r="OI18">
        <f t="shared" si="31"/>
        <v>91.535574814568633</v>
      </c>
      <c r="OJ18">
        <f t="shared" si="31"/>
        <v>92.956595644141771</v>
      </c>
      <c r="OK18">
        <f t="shared" si="31"/>
        <v>91.042153736620151</v>
      </c>
      <c r="OL18">
        <f t="shared" si="31"/>
        <v>91.200600298996193</v>
      </c>
      <c r="OM18">
        <f t="shared" si="31"/>
        <v>91.180035495871948</v>
      </c>
      <c r="ON18">
        <f t="shared" si="31"/>
        <v>92.740574234896513</v>
      </c>
      <c r="OO18">
        <f t="shared" si="31"/>
        <v>95.134575611152826</v>
      </c>
      <c r="OP18">
        <f t="shared" si="31"/>
        <v>94.842022221025275</v>
      </c>
      <c r="OQ18">
        <f t="shared" si="31"/>
        <v>94.708704369711896</v>
      </c>
      <c r="OR18">
        <f t="shared" si="31"/>
        <v>97.780705779635667</v>
      </c>
      <c r="OS18">
        <f t="shared" si="31"/>
        <v>101.44933402327779</v>
      </c>
      <c r="OT18">
        <f t="shared" si="31"/>
        <v>99.45846536708143</v>
      </c>
      <c r="OU18">
        <f t="shared" si="31"/>
        <v>101.84786369378639</v>
      </c>
      <c r="OV18">
        <f t="shared" si="31"/>
        <v>105.12755268211208</v>
      </c>
      <c r="OW18">
        <f t="shared" si="31"/>
        <v>104.67582164836594</v>
      </c>
      <c r="OX18">
        <f t="shared" si="31"/>
        <v>102.49775144545855</v>
      </c>
      <c r="OY18">
        <f t="shared" si="31"/>
        <v>105.1910109053938</v>
      </c>
      <c r="OZ18">
        <f t="shared" si="31"/>
        <v>103.57294517523665</v>
      </c>
      <c r="PA18">
        <f t="shared" si="31"/>
        <v>104.14709334682435</v>
      </c>
      <c r="PB18">
        <f t="shared" si="31"/>
        <v>102.72437611487329</v>
      </c>
      <c r="PC18">
        <f t="shared" si="31"/>
        <v>104.77049608599266</v>
      </c>
      <c r="PD18">
        <f t="shared" si="31"/>
        <v>104.08901594498163</v>
      </c>
      <c r="PE18">
        <f t="shared" si="31"/>
        <v>106.19922441203819</v>
      </c>
      <c r="PF18">
        <f t="shared" si="31"/>
        <v>107.58269290217845</v>
      </c>
      <c r="PG18">
        <f t="shared" si="31"/>
        <v>107.53359726971095</v>
      </c>
      <c r="PH18">
        <f t="shared" si="31"/>
        <v>108.16210840213566</v>
      </c>
      <c r="PI18">
        <f t="shared" si="31"/>
        <v>108.05526449616752</v>
      </c>
      <c r="PJ18">
        <f t="shared" si="31"/>
        <v>111.48742214319499</v>
      </c>
      <c r="PK18">
        <f t="shared" si="31"/>
        <v>111.28666176682718</v>
      </c>
      <c r="PL18">
        <f t="shared" si="31"/>
        <v>112.62357253973751</v>
      </c>
      <c r="PM18">
        <f t="shared" si="31"/>
        <v>113.00077470165797</v>
      </c>
      <c r="PN18">
        <f t="shared" si="31"/>
        <v>108.58133722445207</v>
      </c>
      <c r="PO18">
        <f t="shared" si="31"/>
        <v>106.15591392859982</v>
      </c>
      <c r="PP18">
        <f t="shared" si="31"/>
        <v>104.08028798598725</v>
      </c>
      <c r="PQ18">
        <f t="shared" si="31"/>
        <v>104.91026606261757</v>
      </c>
      <c r="PR18">
        <f t="shared" si="31"/>
        <v>104.52693977346522</v>
      </c>
      <c r="PS18">
        <f t="shared" si="31"/>
        <v>103.33428301442117</v>
      </c>
      <c r="PT18">
        <f t="shared" si="31"/>
        <v>98.355071456105648</v>
      </c>
      <c r="PU18">
        <f t="shared" si="31"/>
        <v>97.037054298639305</v>
      </c>
      <c r="PV18">
        <f t="shared" si="31"/>
        <v>97.285093091147914</v>
      </c>
      <c r="PW18">
        <f t="shared" si="31"/>
        <v>98.96191368627791</v>
      </c>
      <c r="PX18">
        <f t="shared" si="31"/>
        <v>98.637496625155137</v>
      </c>
      <c r="PY18">
        <f t="shared" si="31"/>
        <v>99.830202885080951</v>
      </c>
      <c r="PZ18">
        <f t="shared" si="31"/>
        <v>96.868523352276611</v>
      </c>
      <c r="QA18">
        <f t="shared" si="31"/>
        <v>99.559369606490662</v>
      </c>
      <c r="QB18">
        <f t="shared" si="31"/>
        <v>98.905812537426399</v>
      </c>
      <c r="QC18">
        <f t="shared" si="31"/>
        <v>99.72059069458615</v>
      </c>
      <c r="QD18">
        <f t="shared" si="31"/>
        <v>100.12720476109074</v>
      </c>
      <c r="QE18">
        <f t="shared" si="31"/>
        <v>98.157691831540362</v>
      </c>
      <c r="QF18">
        <f t="shared" si="31"/>
        <v>100.24134017933838</v>
      </c>
      <c r="QG18">
        <f t="shared" si="31"/>
        <v>98.606760220547812</v>
      </c>
      <c r="QH18">
        <f t="shared" si="31"/>
        <v>96.990944521664431</v>
      </c>
      <c r="QI18">
        <f t="shared" si="19"/>
        <v>97.74477329166055</v>
      </c>
      <c r="QJ18">
        <f t="shared" ref="QJ18:SU20" si="38">QI18*(1+QJ8/10)</f>
        <v>99.589310763852495</v>
      </c>
      <c r="QK18">
        <f t="shared" si="38"/>
        <v>99.294724533322835</v>
      </c>
      <c r="QL18">
        <f t="shared" si="38"/>
        <v>99.947340774690247</v>
      </c>
      <c r="QM18">
        <f t="shared" si="38"/>
        <v>100.28874432691809</v>
      </c>
      <c r="QN18">
        <f t="shared" si="38"/>
        <v>100.60151181681321</v>
      </c>
      <c r="QO18">
        <f t="shared" si="38"/>
        <v>97.147563424213999</v>
      </c>
      <c r="QP18">
        <f t="shared" si="38"/>
        <v>98.73879403910081</v>
      </c>
      <c r="QQ18">
        <f t="shared" si="38"/>
        <v>99.031522808283171</v>
      </c>
      <c r="QR18">
        <f t="shared" si="38"/>
        <v>97.217284135355769</v>
      </c>
      <c r="QS18">
        <f t="shared" si="38"/>
        <v>96.94693400893145</v>
      </c>
      <c r="QT18">
        <f t="shared" si="38"/>
        <v>94.7235821313012</v>
      </c>
      <c r="QU18">
        <f t="shared" si="38"/>
        <v>92.143244459281505</v>
      </c>
      <c r="QV18">
        <f t="shared" si="38"/>
        <v>90.99849720104946</v>
      </c>
      <c r="QW18">
        <f t="shared" si="38"/>
        <v>90.062166190838425</v>
      </c>
      <c r="QX18">
        <f t="shared" si="38"/>
        <v>89.091718339893944</v>
      </c>
      <c r="QY18">
        <f t="shared" si="38"/>
        <v>87.097331386059523</v>
      </c>
      <c r="QZ18">
        <f t="shared" si="38"/>
        <v>84.142668175418322</v>
      </c>
      <c r="RA18">
        <f t="shared" si="38"/>
        <v>82.324776659737594</v>
      </c>
      <c r="RB18">
        <f t="shared" si="38"/>
        <v>82.632143933907017</v>
      </c>
      <c r="RC18">
        <f t="shared" si="38"/>
        <v>83.739935051718518</v>
      </c>
      <c r="RD18">
        <f t="shared" si="38"/>
        <v>79.703653632179012</v>
      </c>
      <c r="RE18">
        <f t="shared" si="38"/>
        <v>78.266426588540426</v>
      </c>
      <c r="RF18">
        <f t="shared" si="38"/>
        <v>79.461113302787183</v>
      </c>
      <c r="RG18">
        <f t="shared" si="38"/>
        <v>77.21036979767257</v>
      </c>
      <c r="RH18">
        <f t="shared" si="38"/>
        <v>79.470463526710233</v>
      </c>
      <c r="RI18">
        <f t="shared" si="38"/>
        <v>78.388782107719294</v>
      </c>
      <c r="RJ18">
        <f t="shared" si="38"/>
        <v>80.235109066486089</v>
      </c>
      <c r="RK18">
        <f t="shared" si="38"/>
        <v>78.340603036218781</v>
      </c>
      <c r="RL18">
        <f t="shared" si="38"/>
        <v>75.752534460525652</v>
      </c>
      <c r="RM18">
        <f t="shared" si="38"/>
        <v>74.943225128681206</v>
      </c>
      <c r="RN18">
        <f t="shared" si="38"/>
        <v>77.550802108950975</v>
      </c>
      <c r="RO18">
        <f t="shared" si="38"/>
        <v>74.440981940931735</v>
      </c>
      <c r="RP18">
        <f t="shared" si="38"/>
        <v>74.576672707445866</v>
      </c>
      <c r="RQ18">
        <f t="shared" si="38"/>
        <v>75.24148045409332</v>
      </c>
      <c r="RR18">
        <f t="shared" si="38"/>
        <v>76.944884436080486</v>
      </c>
      <c r="RS18">
        <f t="shared" si="38"/>
        <v>76.025586863813402</v>
      </c>
      <c r="RT18">
        <f t="shared" si="38"/>
        <v>76.202417573124507</v>
      </c>
      <c r="RU18">
        <f t="shared" si="38"/>
        <v>77.350268767863085</v>
      </c>
      <c r="RV18">
        <f t="shared" si="38"/>
        <v>77.520033798142308</v>
      </c>
      <c r="RW18">
        <f t="shared" si="38"/>
        <v>80.155981668698203</v>
      </c>
      <c r="RX18">
        <f t="shared" si="38"/>
        <v>78.945828977823979</v>
      </c>
      <c r="RY18">
        <f t="shared" si="38"/>
        <v>77.256243169541179</v>
      </c>
      <c r="RZ18">
        <f t="shared" si="38"/>
        <v>76.281935283822008</v>
      </c>
      <c r="SA18">
        <f t="shared" si="38"/>
        <v>75.886039941688722</v>
      </c>
      <c r="SB18">
        <f t="shared" si="38"/>
        <v>75.871831100911876</v>
      </c>
      <c r="SC18">
        <f t="shared" si="38"/>
        <v>73.900856282030574</v>
      </c>
      <c r="SD18">
        <f t="shared" si="38"/>
        <v>72.451328629259166</v>
      </c>
      <c r="SE18">
        <f t="shared" si="38"/>
        <v>71.997202739484067</v>
      </c>
      <c r="SF18">
        <f t="shared" si="38"/>
        <v>72.511518272675232</v>
      </c>
      <c r="SG18">
        <f t="shared" si="38"/>
        <v>71.077750924292289</v>
      </c>
      <c r="SH18">
        <f t="shared" si="38"/>
        <v>69.916068130559708</v>
      </c>
      <c r="SI18">
        <f t="shared" si="38"/>
        <v>67.658092777740293</v>
      </c>
      <c r="SJ18">
        <f t="shared" si="38"/>
        <v>66.641353781137511</v>
      </c>
      <c r="SK18">
        <f t="shared" si="38"/>
        <v>66.354848227245043</v>
      </c>
      <c r="SL18">
        <f t="shared" si="38"/>
        <v>66.238007162671551</v>
      </c>
      <c r="SM18">
        <f t="shared" si="38"/>
        <v>67.233102594607814</v>
      </c>
      <c r="SN18">
        <f t="shared" si="38"/>
        <v>68.734163279808129</v>
      </c>
      <c r="SO18">
        <f t="shared" si="38"/>
        <v>68.015330049480355</v>
      </c>
      <c r="SP18">
        <f t="shared" si="38"/>
        <v>67.215600159612919</v>
      </c>
      <c r="SQ18">
        <f t="shared" si="38"/>
        <v>68.507055260387759</v>
      </c>
      <c r="SR18">
        <f t="shared" si="38"/>
        <v>68.699136988808391</v>
      </c>
      <c r="SS18">
        <f t="shared" si="38"/>
        <v>67.180075833647606</v>
      </c>
      <c r="ST18">
        <f t="shared" si="38"/>
        <v>68.256784529822141</v>
      </c>
      <c r="SU18">
        <f t="shared" si="38"/>
        <v>69.582014943233048</v>
      </c>
      <c r="SV18">
        <f t="shared" si="32"/>
        <v>71.294738144345189</v>
      </c>
      <c r="SW18">
        <f t="shared" si="32"/>
        <v>70.866330444637327</v>
      </c>
      <c r="SX18">
        <f t="shared" si="32"/>
        <v>70.047834595609245</v>
      </c>
      <c r="SY18">
        <f t="shared" si="32"/>
        <v>69.881189948908684</v>
      </c>
      <c r="SZ18">
        <f t="shared" si="32"/>
        <v>68.577257311328324</v>
      </c>
      <c r="TA18">
        <f t="shared" si="32"/>
        <v>68.295963663912588</v>
      </c>
      <c r="TB18">
        <f t="shared" si="32"/>
        <v>70.074848338627348</v>
      </c>
      <c r="TC18">
        <f t="shared" si="32"/>
        <v>70.272269617615606</v>
      </c>
      <c r="TD18">
        <f t="shared" si="32"/>
        <v>70.047296062113546</v>
      </c>
      <c r="TE18">
        <f t="shared" si="32"/>
        <v>72.087476238735761</v>
      </c>
      <c r="TF18">
        <f t="shared" si="32"/>
        <v>71.865442943285402</v>
      </c>
      <c r="TG18">
        <f t="shared" si="32"/>
        <v>70.779339810845229</v>
      </c>
      <c r="TH18">
        <f t="shared" si="32"/>
        <v>69.479263175571802</v>
      </c>
      <c r="TI18">
        <f t="shared" si="32"/>
        <v>70.408469260291099</v>
      </c>
      <c r="TJ18">
        <f t="shared" si="32"/>
        <v>71.260928014916288</v>
      </c>
      <c r="TK18">
        <f t="shared" si="32"/>
        <v>72.031250533944558</v>
      </c>
      <c r="TL18">
        <f t="shared" si="32"/>
        <v>71.871900275902348</v>
      </c>
      <c r="TM18">
        <f t="shared" si="32"/>
        <v>72.025766308434584</v>
      </c>
      <c r="TN18">
        <f t="shared" si="32"/>
        <v>72.230413584061708</v>
      </c>
      <c r="TO18">
        <f t="shared" si="32"/>
        <v>72.194526503344846</v>
      </c>
      <c r="TP18">
        <f t="shared" si="32"/>
        <v>72.207248159410369</v>
      </c>
      <c r="TQ18">
        <f t="shared" si="32"/>
        <v>70.092758947468738</v>
      </c>
      <c r="TR18">
        <f t="shared" si="32"/>
        <v>69.937103059579869</v>
      </c>
      <c r="TS18">
        <f t="shared" si="32"/>
        <v>70.884446498259194</v>
      </c>
      <c r="TT18">
        <f t="shared" si="32"/>
        <v>71.67656892169633</v>
      </c>
      <c r="TU18">
        <f t="shared" si="32"/>
        <v>75.191400321797474</v>
      </c>
      <c r="TV18">
        <f t="shared" si="32"/>
        <v>76.205066368275723</v>
      </c>
      <c r="TW18">
        <f t="shared" si="32"/>
        <v>78.093052295998305</v>
      </c>
      <c r="TX18">
        <f t="shared" si="32"/>
        <v>76.409109650481113</v>
      </c>
      <c r="TY18">
        <f t="shared" si="32"/>
        <v>75.740450954568374</v>
      </c>
      <c r="TZ18">
        <f t="shared" si="32"/>
        <v>76.02742037294145</v>
      </c>
      <c r="UA18">
        <f t="shared" si="32"/>
        <v>80.183996252242864</v>
      </c>
      <c r="UB18">
        <f t="shared" si="32"/>
        <v>80.856297279390475</v>
      </c>
      <c r="UC18">
        <f t="shared" si="32"/>
        <v>81.293835422047152</v>
      </c>
      <c r="UD18">
        <f t="shared" si="32"/>
        <v>77.849839214119854</v>
      </c>
      <c r="UE18">
        <f t="shared" si="32"/>
        <v>77.768970214281467</v>
      </c>
      <c r="UF18">
        <f t="shared" si="32"/>
        <v>78.39302760916469</v>
      </c>
      <c r="UG18">
        <f t="shared" si="32"/>
        <v>81.522853964799879</v>
      </c>
      <c r="UH18">
        <f t="shared" si="32"/>
        <v>81.613230528006838</v>
      </c>
      <c r="UI18">
        <f t="shared" si="32"/>
        <v>81.488804712042992</v>
      </c>
      <c r="UJ18">
        <f t="shared" si="32"/>
        <v>81.834224824513441</v>
      </c>
      <c r="UK18">
        <f t="shared" si="32"/>
        <v>79.531476325936694</v>
      </c>
      <c r="UL18">
        <f t="shared" si="32"/>
        <v>81.904180345190767</v>
      </c>
      <c r="UM18">
        <f t="shared" si="32"/>
        <v>80.778860967028379</v>
      </c>
      <c r="UN18">
        <f t="shared" si="32"/>
        <v>80.163675760125457</v>
      </c>
      <c r="UO18">
        <f t="shared" si="32"/>
        <v>81.194601963126019</v>
      </c>
      <c r="UP18">
        <f t="shared" si="32"/>
        <v>81.43485193733008</v>
      </c>
      <c r="UQ18">
        <f t="shared" si="32"/>
        <v>81.051495627352381</v>
      </c>
      <c r="UR18">
        <f t="shared" si="32"/>
        <v>80.764401206610898</v>
      </c>
      <c r="US18">
        <f t="shared" si="32"/>
        <v>80.288509581235346</v>
      </c>
      <c r="UT18">
        <f t="shared" si="32"/>
        <v>77.033783292375674</v>
      </c>
      <c r="UU18">
        <f t="shared" si="32"/>
        <v>76.50026208581798</v>
      </c>
      <c r="UV18">
        <f t="shared" si="32"/>
        <v>78.465908490977455</v>
      </c>
      <c r="UW18">
        <f t="shared" si="32"/>
        <v>78.048287635480946</v>
      </c>
      <c r="UX18">
        <f t="shared" si="32"/>
        <v>77.5673792458538</v>
      </c>
      <c r="UY18">
        <f t="shared" si="32"/>
        <v>82.753847332866471</v>
      </c>
      <c r="UZ18">
        <f t="shared" si="32"/>
        <v>82.940704876937403</v>
      </c>
      <c r="VA18">
        <f t="shared" si="32"/>
        <v>85.686874821678771</v>
      </c>
      <c r="VB18">
        <f t="shared" si="32"/>
        <v>83.457811225809508</v>
      </c>
      <c r="VC18">
        <f t="shared" si="32"/>
        <v>85.370280713208004</v>
      </c>
      <c r="VD18">
        <f t="shared" si="32"/>
        <v>87.724235260659967</v>
      </c>
      <c r="VE18">
        <f t="shared" si="32"/>
        <v>87.670172133793429</v>
      </c>
      <c r="VF18">
        <f t="shared" si="32"/>
        <v>89.580309137551509</v>
      </c>
      <c r="VG18">
        <f t="shared" si="21"/>
        <v>86.895079783401982</v>
      </c>
      <c r="VH18">
        <f t="shared" ref="VH18:XS20" si="39">VG18*(1+VH8/10)</f>
        <v>90.161725950004794</v>
      </c>
      <c r="VI18">
        <f t="shared" si="39"/>
        <v>92.007510613507733</v>
      </c>
      <c r="VJ18">
        <f t="shared" si="39"/>
        <v>94.38216071036382</v>
      </c>
      <c r="VK18">
        <f t="shared" si="39"/>
        <v>91.749858375391341</v>
      </c>
      <c r="VL18">
        <f t="shared" si="39"/>
        <v>91.037094213103217</v>
      </c>
      <c r="VM18">
        <f t="shared" si="39"/>
        <v>93.907796874018544</v>
      </c>
      <c r="VN18">
        <f t="shared" si="39"/>
        <v>93.521071379235636</v>
      </c>
      <c r="VO18">
        <f t="shared" si="39"/>
        <v>93.562318532588421</v>
      </c>
      <c r="VP18">
        <f t="shared" si="39"/>
        <v>88.644053594708197</v>
      </c>
      <c r="VQ18">
        <f t="shared" si="39"/>
        <v>88.864210390459206</v>
      </c>
      <c r="VR18">
        <f t="shared" si="39"/>
        <v>86.1770022136633</v>
      </c>
      <c r="VS18">
        <f t="shared" si="39"/>
        <v>84.842908999482717</v>
      </c>
      <c r="VT18">
        <f t="shared" si="39"/>
        <v>83.749419693873207</v>
      </c>
      <c r="VU18">
        <f t="shared" si="39"/>
        <v>86.232612000624968</v>
      </c>
      <c r="VV18">
        <f t="shared" si="39"/>
        <v>87.166972745310488</v>
      </c>
      <c r="VW18">
        <f t="shared" si="39"/>
        <v>89.312948470330838</v>
      </c>
      <c r="VX18">
        <f t="shared" si="39"/>
        <v>88.787491366625019</v>
      </c>
      <c r="VY18">
        <f t="shared" si="39"/>
        <v>87.178474161749477</v>
      </c>
      <c r="VZ18">
        <f t="shared" si="39"/>
        <v>87.26189372061495</v>
      </c>
      <c r="WA18">
        <f t="shared" si="39"/>
        <v>89.266235669468401</v>
      </c>
      <c r="WB18">
        <f t="shared" si="39"/>
        <v>90.846043162824259</v>
      </c>
      <c r="WC18">
        <f t="shared" si="39"/>
        <v>90.321636908974043</v>
      </c>
      <c r="WD18">
        <f t="shared" si="39"/>
        <v>92.043031399612772</v>
      </c>
      <c r="WE18">
        <f t="shared" si="39"/>
        <v>93.7860895379401</v>
      </c>
      <c r="WF18">
        <f t="shared" si="39"/>
        <v>98.204261622345285</v>
      </c>
      <c r="WG18">
        <f t="shared" si="39"/>
        <v>97.829295482174473</v>
      </c>
      <c r="WH18">
        <f t="shared" si="39"/>
        <v>99.495942582357941</v>
      </c>
      <c r="WI18">
        <f t="shared" si="39"/>
        <v>101.42332678997836</v>
      </c>
      <c r="WJ18">
        <f t="shared" si="39"/>
        <v>101.45079001283025</v>
      </c>
      <c r="WK18">
        <f t="shared" si="39"/>
        <v>100.37085456674349</v>
      </c>
      <c r="WL18">
        <f t="shared" si="39"/>
        <v>103.79574514642719</v>
      </c>
      <c r="WM18">
        <f t="shared" si="39"/>
        <v>105.64858680940428</v>
      </c>
      <c r="WN18">
        <f t="shared" si="39"/>
        <v>108.77912843823758</v>
      </c>
      <c r="WO18">
        <f t="shared" si="39"/>
        <v>110.79539999187932</v>
      </c>
      <c r="WP18">
        <f t="shared" si="39"/>
        <v>107.67298914608021</v>
      </c>
      <c r="WQ18">
        <f t="shared" si="39"/>
        <v>112.18602707498337</v>
      </c>
      <c r="WR18">
        <f t="shared" si="39"/>
        <v>114.72087437714548</v>
      </c>
      <c r="WS18">
        <f t="shared" si="39"/>
        <v>115.57422375928655</v>
      </c>
      <c r="WT18">
        <f t="shared" si="39"/>
        <v>119.65666395626255</v>
      </c>
      <c r="WU18">
        <f t="shared" si="39"/>
        <v>118.67449761147687</v>
      </c>
      <c r="WV18">
        <f t="shared" si="39"/>
        <v>121.19567790898016</v>
      </c>
      <c r="WW18">
        <f t="shared" si="39"/>
        <v>120.56620789667149</v>
      </c>
      <c r="WX18">
        <f t="shared" si="39"/>
        <v>117.0769741145207</v>
      </c>
      <c r="WY18">
        <f t="shared" si="39"/>
        <v>115.36617933129402</v>
      </c>
      <c r="WZ18">
        <f t="shared" si="39"/>
        <v>113.24959901857427</v>
      </c>
      <c r="XA18">
        <f t="shared" si="39"/>
        <v>113.63490699467341</v>
      </c>
      <c r="XB18">
        <f t="shared" si="39"/>
        <v>111.13794957459737</v>
      </c>
      <c r="XC18">
        <f t="shared" si="39"/>
        <v>110.75503054069149</v>
      </c>
      <c r="XD18">
        <f t="shared" si="39"/>
        <v>115.11110934713997</v>
      </c>
      <c r="XE18">
        <f t="shared" si="39"/>
        <v>109.11658106250594</v>
      </c>
      <c r="XF18">
        <f t="shared" si="39"/>
        <v>110.45151886646939</v>
      </c>
      <c r="XG18">
        <f t="shared" si="39"/>
        <v>112.97086580744943</v>
      </c>
      <c r="XH18">
        <f t="shared" si="39"/>
        <v>115.01983327555024</v>
      </c>
      <c r="XI18">
        <f t="shared" si="39"/>
        <v>114.58986552751226</v>
      </c>
      <c r="XJ18">
        <f t="shared" si="39"/>
        <v>117.05207228969054</v>
      </c>
      <c r="XK18">
        <f t="shared" si="39"/>
        <v>119.7233135191122</v>
      </c>
      <c r="XL18">
        <f t="shared" si="39"/>
        <v>117.4007543930331</v>
      </c>
      <c r="XM18">
        <f t="shared" si="39"/>
        <v>118.26352316846719</v>
      </c>
      <c r="XN18">
        <f t="shared" si="39"/>
        <v>116.78682714490296</v>
      </c>
      <c r="XO18">
        <f t="shared" si="39"/>
        <v>118.69463853047775</v>
      </c>
      <c r="XP18">
        <f t="shared" si="39"/>
        <v>121.59539085287572</v>
      </c>
      <c r="XQ18">
        <f t="shared" si="39"/>
        <v>119.2652775384171</v>
      </c>
      <c r="XR18">
        <f t="shared" si="39"/>
        <v>120.75629498929088</v>
      </c>
      <c r="XS18">
        <f t="shared" si="39"/>
        <v>116.81204278902075</v>
      </c>
      <c r="XT18">
        <f t="shared" si="33"/>
        <v>116.47991701545975</v>
      </c>
      <c r="XU18">
        <f t="shared" si="33"/>
        <v>117.27004671599002</v>
      </c>
      <c r="XV18">
        <f t="shared" si="33"/>
        <v>118.0495185357333</v>
      </c>
      <c r="XW18">
        <f t="shared" si="33"/>
        <v>116.51354843281062</v>
      </c>
      <c r="XX18">
        <f t="shared" si="33"/>
        <v>114.66458440077291</v>
      </c>
      <c r="XY18">
        <f t="shared" si="33"/>
        <v>113.81125795246061</v>
      </c>
      <c r="XZ18">
        <f t="shared" si="33"/>
        <v>114.73242214399413</v>
      </c>
      <c r="YA18">
        <f t="shared" si="33"/>
        <v>112.05997674270343</v>
      </c>
      <c r="YB18">
        <f t="shared" si="33"/>
        <v>111.8052263352517</v>
      </c>
      <c r="YC18">
        <f t="shared" si="33"/>
        <v>114.63214733102691</v>
      </c>
      <c r="YD18">
        <f t="shared" si="33"/>
        <v>116.62625663044908</v>
      </c>
      <c r="YE18">
        <f t="shared" si="33"/>
        <v>115.80621442747085</v>
      </c>
      <c r="YF18">
        <f t="shared" si="33"/>
        <v>111.92646513648864</v>
      </c>
      <c r="YG18">
        <f t="shared" si="33"/>
        <v>111.46076848873452</v>
      </c>
      <c r="YH18">
        <f t="shared" si="33"/>
        <v>108.94304212248856</v>
      </c>
      <c r="YI18">
        <f t="shared" si="33"/>
        <v>110.63263769964288</v>
      </c>
      <c r="YJ18">
        <f t="shared" si="33"/>
        <v>107.7254864988022</v>
      </c>
      <c r="YK18">
        <f t="shared" si="33"/>
        <v>104.91277311351088</v>
      </c>
      <c r="YL18">
        <f t="shared" si="33"/>
        <v>102.55063077230324</v>
      </c>
      <c r="YM18">
        <f t="shared" si="33"/>
        <v>103.97305728231761</v>
      </c>
      <c r="YN18">
        <f t="shared" si="33"/>
        <v>102.00118017864035</v>
      </c>
      <c r="YO18">
        <f t="shared" si="33"/>
        <v>103.2781354559432</v>
      </c>
      <c r="YP18">
        <f t="shared" si="33"/>
        <v>101.57899121496882</v>
      </c>
      <c r="YQ18">
        <f t="shared" si="33"/>
        <v>98.875138029128124</v>
      </c>
      <c r="YR18">
        <f t="shared" si="33"/>
        <v>98.214433548319249</v>
      </c>
      <c r="YS18">
        <f t="shared" si="33"/>
        <v>101.87400331099779</v>
      </c>
      <c r="YT18">
        <f t="shared" si="33"/>
        <v>102.70497036831175</v>
      </c>
      <c r="YU18">
        <f t="shared" si="33"/>
        <v>101.65867264616524</v>
      </c>
      <c r="YV18">
        <f t="shared" si="33"/>
        <v>102.02931824868111</v>
      </c>
      <c r="YW18">
        <f t="shared" si="33"/>
        <v>101.42071636075725</v>
      </c>
      <c r="YX18">
        <f t="shared" si="33"/>
        <v>103.03603007811772</v>
      </c>
      <c r="YY18">
        <f t="shared" si="33"/>
        <v>99.290162436422293</v>
      </c>
      <c r="YZ18">
        <f t="shared" si="33"/>
        <v>100.09763676705263</v>
      </c>
      <c r="ZA18">
        <f t="shared" si="33"/>
        <v>101.29179154249975</v>
      </c>
      <c r="ZB18">
        <f t="shared" si="33"/>
        <v>101.48265535272994</v>
      </c>
      <c r="ZC18">
        <f t="shared" si="33"/>
        <v>99.433402731291508</v>
      </c>
      <c r="ZD18">
        <f t="shared" si="33"/>
        <v>100.17289020735276</v>
      </c>
      <c r="ZE18">
        <f t="shared" si="33"/>
        <v>99.916200415448685</v>
      </c>
      <c r="ZF18">
        <f t="shared" si="33"/>
        <v>101.50708435833255</v>
      </c>
      <c r="ZG18">
        <f t="shared" si="33"/>
        <v>100.36016509780734</v>
      </c>
      <c r="ZH18">
        <f t="shared" si="33"/>
        <v>99.756231504983774</v>
      </c>
      <c r="ZI18">
        <f t="shared" si="33"/>
        <v>102.82341184594178</v>
      </c>
      <c r="ZJ18">
        <f t="shared" si="33"/>
        <v>102.05654820408607</v>
      </c>
      <c r="ZK18">
        <f t="shared" si="33"/>
        <v>104.79865989968042</v>
      </c>
      <c r="ZL18">
        <f t="shared" si="33"/>
        <v>105.30533220943897</v>
      </c>
      <c r="ZM18">
        <f t="shared" si="33"/>
        <v>109.34695061553518</v>
      </c>
      <c r="ZN18">
        <f t="shared" si="33"/>
        <v>108.31609180020202</v>
      </c>
      <c r="ZO18">
        <f t="shared" si="33"/>
        <v>109.47011039520515</v>
      </c>
      <c r="ZP18">
        <f t="shared" si="33"/>
        <v>107.07013941744736</v>
      </c>
      <c r="ZQ18">
        <f t="shared" si="33"/>
        <v>109.50926658758542</v>
      </c>
      <c r="ZR18">
        <f t="shared" si="33"/>
        <v>106.62783978579027</v>
      </c>
      <c r="ZS18">
        <f t="shared" si="33"/>
        <v>106.26168594760875</v>
      </c>
      <c r="ZT18">
        <f t="shared" si="33"/>
        <v>104.86545191218201</v>
      </c>
      <c r="ZU18">
        <f t="shared" si="33"/>
        <v>105.39527970185321</v>
      </c>
      <c r="ZV18">
        <f t="shared" si="33"/>
        <v>104.14485999309115</v>
      </c>
      <c r="ZW18">
        <f t="shared" si="33"/>
        <v>102.79307202747721</v>
      </c>
      <c r="ZX18">
        <f t="shared" si="33"/>
        <v>100.51296497887527</v>
      </c>
      <c r="ZY18">
        <f t="shared" si="33"/>
        <v>103.16775092339215</v>
      </c>
      <c r="ZZ18">
        <f t="shared" si="33"/>
        <v>103.94954313490862</v>
      </c>
      <c r="AAA18">
        <f t="shared" si="33"/>
        <v>104.14846356540905</v>
      </c>
      <c r="AAB18">
        <f t="shared" si="33"/>
        <v>102.20026209701756</v>
      </c>
      <c r="AAC18">
        <f t="shared" si="33"/>
        <v>99.08318214276305</v>
      </c>
      <c r="AAD18">
        <f t="shared" si="33"/>
        <v>97.664815348554711</v>
      </c>
      <c r="AAE18">
        <f t="shared" si="23"/>
        <v>96.158630340141187</v>
      </c>
      <c r="AAF18">
        <f t="shared" ref="AAF18:ACQ20" si="40">AAE18*(1+AAF8/10)</f>
        <v>93.722999298955486</v>
      </c>
      <c r="AAG18">
        <f t="shared" si="40"/>
        <v>96.281326923864384</v>
      </c>
      <c r="AAH18">
        <f t="shared" si="40"/>
        <v>96.043466823495066</v>
      </c>
      <c r="AAI18">
        <f t="shared" si="40"/>
        <v>95.512540838104329</v>
      </c>
      <c r="AAJ18">
        <f t="shared" si="40"/>
        <v>94.908649612287576</v>
      </c>
      <c r="AAK18">
        <f t="shared" si="40"/>
        <v>93.128570625976096</v>
      </c>
      <c r="AAL18">
        <f t="shared" si="40"/>
        <v>95.219095307603226</v>
      </c>
      <c r="AAM18">
        <f t="shared" si="40"/>
        <v>93.772296827315458</v>
      </c>
      <c r="AAN18">
        <f t="shared" si="40"/>
        <v>96.922784643914994</v>
      </c>
      <c r="AAO18">
        <f t="shared" si="40"/>
        <v>98.825818755056005</v>
      </c>
      <c r="AAP18">
        <f t="shared" si="40"/>
        <v>99.45317635859395</v>
      </c>
      <c r="AAQ18">
        <f t="shared" si="40"/>
        <v>97.031441956007257</v>
      </c>
      <c r="AAR18">
        <f t="shared" si="40"/>
        <v>98.177503185043989</v>
      </c>
      <c r="AAS18">
        <f t="shared" si="40"/>
        <v>99.084096210640013</v>
      </c>
      <c r="AAT18">
        <f t="shared" si="40"/>
        <v>98.528451274071102</v>
      </c>
      <c r="AAU18">
        <f t="shared" si="40"/>
        <v>99.206821517788683</v>
      </c>
      <c r="AAV18">
        <f t="shared" si="40"/>
        <v>98.16924674242189</v>
      </c>
      <c r="AAW18">
        <f t="shared" si="40"/>
        <v>95.37874651249831</v>
      </c>
      <c r="AAX18">
        <f t="shared" si="40"/>
        <v>94.519591290112515</v>
      </c>
      <c r="AAY18">
        <f t="shared" si="40"/>
        <v>93.879520637215364</v>
      </c>
      <c r="AAZ18">
        <f t="shared" si="40"/>
        <v>96.230102901582612</v>
      </c>
      <c r="ABA18">
        <f t="shared" si="40"/>
        <v>97.762116543494756</v>
      </c>
      <c r="ABB18">
        <f t="shared" si="40"/>
        <v>96.138769168769812</v>
      </c>
      <c r="ABC18">
        <f t="shared" si="40"/>
        <v>93.082051060555969</v>
      </c>
      <c r="ABD18">
        <f t="shared" si="40"/>
        <v>93.487573443564969</v>
      </c>
      <c r="ABE18">
        <f t="shared" si="40"/>
        <v>88.272193158315218</v>
      </c>
      <c r="ABF18">
        <f t="shared" si="40"/>
        <v>86.788265847746402</v>
      </c>
      <c r="ABG18">
        <f t="shared" si="40"/>
        <v>84.079142339538876</v>
      </c>
      <c r="ABH18">
        <f t="shared" si="40"/>
        <v>85.178253106551708</v>
      </c>
      <c r="ABI18">
        <f t="shared" si="40"/>
        <v>83.921467962207174</v>
      </c>
      <c r="ABJ18">
        <f t="shared" si="40"/>
        <v>81.840861286794507</v>
      </c>
      <c r="ABK18">
        <f t="shared" si="40"/>
        <v>81.987027102369481</v>
      </c>
      <c r="ABL18">
        <f t="shared" si="40"/>
        <v>79.972074710403419</v>
      </c>
      <c r="ABM18">
        <f t="shared" si="40"/>
        <v>82.201708767090722</v>
      </c>
      <c r="ABN18">
        <f t="shared" si="40"/>
        <v>84.499021657204196</v>
      </c>
      <c r="ABO18">
        <f t="shared" si="40"/>
        <v>83.205936977804328</v>
      </c>
      <c r="ABP18">
        <f t="shared" si="40"/>
        <v>81.062543234706865</v>
      </c>
      <c r="ABQ18">
        <f t="shared" si="40"/>
        <v>80.315386291593356</v>
      </c>
      <c r="ABR18">
        <f t="shared" si="40"/>
        <v>80.63470825276201</v>
      </c>
      <c r="ABS18">
        <f t="shared" si="40"/>
        <v>81.855829746657605</v>
      </c>
      <c r="ABT18">
        <f t="shared" si="40"/>
        <v>81.32164261848105</v>
      </c>
      <c r="ABU18">
        <f t="shared" si="40"/>
        <v>81.398520081100827</v>
      </c>
      <c r="ABV18">
        <f t="shared" si="40"/>
        <v>80.56818932619943</v>
      </c>
      <c r="ABW18">
        <f t="shared" si="40"/>
        <v>79.244317402068503</v>
      </c>
      <c r="ABX18">
        <f t="shared" si="40"/>
        <v>77.131977643086358</v>
      </c>
      <c r="ABY18">
        <f t="shared" si="40"/>
        <v>76.77548914298238</v>
      </c>
      <c r="ABZ18">
        <f t="shared" si="40"/>
        <v>76.886878004638334</v>
      </c>
      <c r="ACA18">
        <f t="shared" si="40"/>
        <v>78.554975090334821</v>
      </c>
      <c r="ACB18">
        <f t="shared" si="40"/>
        <v>78.359502727093755</v>
      </c>
      <c r="ACC18">
        <f t="shared" si="40"/>
        <v>79.40212094949878</v>
      </c>
      <c r="ACD18">
        <f t="shared" si="40"/>
        <v>77.266200051474925</v>
      </c>
      <c r="ACE18">
        <f t="shared" si="40"/>
        <v>76.730104186910495</v>
      </c>
      <c r="ACF18">
        <f t="shared" si="40"/>
        <v>74.334177268709368</v>
      </c>
      <c r="ACG18">
        <f t="shared" si="40"/>
        <v>74.481788288177782</v>
      </c>
      <c r="ACH18">
        <f t="shared" si="40"/>
        <v>74.146003101792658</v>
      </c>
      <c r="ACI18">
        <f t="shared" si="40"/>
        <v>73.029676618475747</v>
      </c>
      <c r="ACJ18">
        <f t="shared" si="40"/>
        <v>72.889763178838194</v>
      </c>
      <c r="ACK18">
        <f t="shared" si="40"/>
        <v>71.692449735521947</v>
      </c>
      <c r="ACL18">
        <f t="shared" si="40"/>
        <v>69.841351711946487</v>
      </c>
      <c r="ACM18">
        <f t="shared" si="40"/>
        <v>66.210887009044427</v>
      </c>
      <c r="ACN18">
        <f t="shared" si="40"/>
        <v>63.634964697268991</v>
      </c>
      <c r="ACO18">
        <f t="shared" si="40"/>
        <v>63.855703205035731</v>
      </c>
      <c r="ACP18">
        <f t="shared" si="40"/>
        <v>63.060466739068715</v>
      </c>
      <c r="ACQ18">
        <f t="shared" si="40"/>
        <v>63.465825179568569</v>
      </c>
      <c r="ACR18">
        <f t="shared" si="34"/>
        <v>61.722313598835314</v>
      </c>
      <c r="ACS18">
        <f t="shared" si="34"/>
        <v>59.828169874430387</v>
      </c>
      <c r="ACT18">
        <f t="shared" si="34"/>
        <v>60.933216507631727</v>
      </c>
      <c r="ACU18">
        <f t="shared" si="34"/>
        <v>61.115530432165237</v>
      </c>
      <c r="ACV18">
        <f t="shared" si="34"/>
        <v>61.380556793642604</v>
      </c>
    </row>
    <row r="19" spans="1:776" x14ac:dyDescent="0.2">
      <c r="A19" s="6" t="s">
        <v>70659</v>
      </c>
      <c r="B19">
        <f t="shared" si="26"/>
        <v>91.785972713785966</v>
      </c>
      <c r="C19">
        <f t="shared" si="27"/>
        <v>90.670242580859636</v>
      </c>
      <c r="D19">
        <f t="shared" si="28"/>
        <v>86.702193530184445</v>
      </c>
      <c r="E19">
        <f t="shared" si="28"/>
        <v>91.800943899435495</v>
      </c>
      <c r="F19">
        <f t="shared" si="28"/>
        <v>95.79591859374456</v>
      </c>
      <c r="G19">
        <f t="shared" si="28"/>
        <v>96.969493404505812</v>
      </c>
      <c r="H19">
        <f t="shared" si="28"/>
        <v>101.50265252261291</v>
      </c>
      <c r="I19">
        <f t="shared" si="28"/>
        <v>103.17649887116755</v>
      </c>
      <c r="J19">
        <f t="shared" si="28"/>
        <v>102.20950526372282</v>
      </c>
      <c r="K19">
        <f t="shared" si="28"/>
        <v>102.24986955388765</v>
      </c>
      <c r="L19">
        <f t="shared" si="28"/>
        <v>102.45663783982214</v>
      </c>
      <c r="M19">
        <f t="shared" si="28"/>
        <v>103.10441370472333</v>
      </c>
      <c r="N19">
        <f t="shared" si="28"/>
        <v>106.08441397748693</v>
      </c>
      <c r="O19">
        <f t="shared" si="28"/>
        <v>103.77463063867789</v>
      </c>
      <c r="P19">
        <f t="shared" si="28"/>
        <v>109.01955189149484</v>
      </c>
      <c r="Q19">
        <f t="shared" si="28"/>
        <v>106.9735588188053</v>
      </c>
      <c r="R19">
        <f t="shared" si="28"/>
        <v>108.10421213450532</v>
      </c>
      <c r="S19">
        <f t="shared" si="28"/>
        <v>109.05395117588478</v>
      </c>
      <c r="T19">
        <f t="shared" si="28"/>
        <v>110.24376646070075</v>
      </c>
      <c r="U19">
        <f t="shared" si="28"/>
        <v>110.21841302152703</v>
      </c>
      <c r="V19">
        <f t="shared" si="28"/>
        <v>106.33481326719794</v>
      </c>
      <c r="W19">
        <f t="shared" si="28"/>
        <v>107.82694687731245</v>
      </c>
      <c r="X19">
        <f t="shared" si="28"/>
        <v>94.23429149484727</v>
      </c>
      <c r="Y19">
        <f t="shared" si="28"/>
        <v>93.439302205102706</v>
      </c>
      <c r="Z19">
        <f t="shared" si="28"/>
        <v>97.178883736115026</v>
      </c>
      <c r="AA19">
        <f t="shared" si="28"/>
        <v>102.75097586578751</v>
      </c>
      <c r="AB19">
        <f t="shared" si="28"/>
        <v>109.17600568577896</v>
      </c>
      <c r="AC19">
        <f t="shared" si="28"/>
        <v>109.42218190611695</v>
      </c>
      <c r="AD19">
        <f t="shared" si="28"/>
        <v>122.08600341409587</v>
      </c>
      <c r="AE19">
        <f t="shared" si="28"/>
        <v>120.84333280866747</v>
      </c>
      <c r="AF19">
        <f t="shared" si="28"/>
        <v>118.73002579119455</v>
      </c>
      <c r="AG19">
        <f t="shared" si="28"/>
        <v>121.41665970826152</v>
      </c>
      <c r="AH19">
        <f t="shared" si="28"/>
        <v>120.40185595592705</v>
      </c>
      <c r="AI19">
        <f t="shared" si="28"/>
        <v>113.8684362003935</v>
      </c>
      <c r="AJ19">
        <f t="shared" si="28"/>
        <v>116.87970667133935</v>
      </c>
      <c r="AK19">
        <f t="shared" si="28"/>
        <v>99.758819162766571</v>
      </c>
      <c r="AL19">
        <f t="shared" si="28"/>
        <v>104.55612763809124</v>
      </c>
      <c r="AM19">
        <f t="shared" si="28"/>
        <v>108.49420658471972</v>
      </c>
      <c r="AN19">
        <f t="shared" si="28"/>
        <v>121.35971477605162</v>
      </c>
      <c r="AO19">
        <f t="shared" si="28"/>
        <v>118.11940055117226</v>
      </c>
      <c r="AP19">
        <f t="shared" si="28"/>
        <v>120.51171338311075</v>
      </c>
      <c r="AQ19">
        <f t="shared" si="28"/>
        <v>123.47510885647299</v>
      </c>
      <c r="AR19">
        <f t="shared" si="28"/>
        <v>117.32377701440645</v>
      </c>
      <c r="AS19">
        <f t="shared" si="28"/>
        <v>107.40864364851872</v>
      </c>
      <c r="AT19">
        <f t="shared" si="28"/>
        <v>109.18747487842498</v>
      </c>
      <c r="AU19">
        <f t="shared" si="28"/>
        <v>103.51265498017086</v>
      </c>
      <c r="AV19">
        <f t="shared" si="28"/>
        <v>102.32956775209479</v>
      </c>
      <c r="AW19">
        <f t="shared" si="28"/>
        <v>112.01097821054424</v>
      </c>
      <c r="AX19">
        <f t="shared" si="28"/>
        <v>114.58510764455558</v>
      </c>
      <c r="AY19">
        <f t="shared" si="28"/>
        <v>119.18345228239541</v>
      </c>
      <c r="AZ19">
        <f t="shared" si="28"/>
        <v>115.34119553831933</v>
      </c>
      <c r="BA19">
        <f t="shared" si="28"/>
        <v>110.41686720782567</v>
      </c>
      <c r="BB19">
        <f t="shared" si="28"/>
        <v>111.17837523741619</v>
      </c>
      <c r="BC19">
        <f t="shared" si="28"/>
        <v>106.6464015903874</v>
      </c>
      <c r="BD19">
        <f t="shared" si="28"/>
        <v>107.43448176484813</v>
      </c>
      <c r="BE19">
        <f t="shared" si="28"/>
        <v>117.5386819995466</v>
      </c>
      <c r="BF19">
        <f t="shared" si="28"/>
        <v>113.36786095224826</v>
      </c>
      <c r="BG19">
        <f t="shared" si="28"/>
        <v>108.00839078739916</v>
      </c>
      <c r="BH19">
        <f t="shared" si="28"/>
        <v>111.71404247440077</v>
      </c>
      <c r="BI19">
        <f t="shared" si="28"/>
        <v>118.28101915338846</v>
      </c>
      <c r="BJ19">
        <f t="shared" si="28"/>
        <v>120.42358050930673</v>
      </c>
      <c r="BK19">
        <f t="shared" si="28"/>
        <v>115.59292577833774</v>
      </c>
      <c r="BL19">
        <f t="shared" si="28"/>
        <v>115.1858018095857</v>
      </c>
      <c r="BM19">
        <f t="shared" si="28"/>
        <v>122.93165357239288</v>
      </c>
      <c r="BN19">
        <f t="shared" si="28"/>
        <v>126.22356340971533</v>
      </c>
      <c r="BO19">
        <f t="shared" ref="BO19:DZ20" si="41">BN19*(1+BO9/10)</f>
        <v>120.76855257220467</v>
      </c>
      <c r="BP19">
        <f t="shared" si="41"/>
        <v>110.57243080397305</v>
      </c>
      <c r="BQ19">
        <f t="shared" si="41"/>
        <v>121.52377039673549</v>
      </c>
      <c r="BR19">
        <f t="shared" si="41"/>
        <v>118.25642839546364</v>
      </c>
      <c r="BS19">
        <f t="shared" si="41"/>
        <v>112.55654393350636</v>
      </c>
      <c r="BT19">
        <f t="shared" si="41"/>
        <v>112.04247903752761</v>
      </c>
      <c r="BU19">
        <f t="shared" si="41"/>
        <v>112.42171543655061</v>
      </c>
      <c r="BV19">
        <f t="shared" si="41"/>
        <v>111.92341871312129</v>
      </c>
      <c r="BW19">
        <f t="shared" si="41"/>
        <v>116.29622539906204</v>
      </c>
      <c r="BX19">
        <f t="shared" si="41"/>
        <v>118.44186851306829</v>
      </c>
      <c r="BY19">
        <f t="shared" si="41"/>
        <v>112.61198680658175</v>
      </c>
      <c r="BZ19">
        <f t="shared" si="41"/>
        <v>103.31392390144113</v>
      </c>
      <c r="CA19">
        <f t="shared" si="41"/>
        <v>102.47197798690853</v>
      </c>
      <c r="CB19">
        <f t="shared" si="41"/>
        <v>101.94979413540295</v>
      </c>
      <c r="CC19">
        <f t="shared" si="41"/>
        <v>103.1774455537445</v>
      </c>
      <c r="CD19">
        <f t="shared" si="41"/>
        <v>103.10243915124049</v>
      </c>
      <c r="CE19">
        <f t="shared" si="41"/>
        <v>99.730372684055467</v>
      </c>
      <c r="CF19">
        <f t="shared" si="41"/>
        <v>93.400378509801058</v>
      </c>
      <c r="CG19">
        <f t="shared" si="41"/>
        <v>97.687308552269855</v>
      </c>
      <c r="CH19">
        <f t="shared" si="41"/>
        <v>98.704715802813936</v>
      </c>
      <c r="CI19">
        <f t="shared" si="41"/>
        <v>103.29866730351397</v>
      </c>
      <c r="CJ19">
        <f t="shared" si="41"/>
        <v>96.36413456762503</v>
      </c>
      <c r="CK19">
        <f t="shared" si="41"/>
        <v>96.946999824986364</v>
      </c>
      <c r="CL19">
        <f t="shared" si="41"/>
        <v>103.48582499960247</v>
      </c>
      <c r="CM19">
        <f t="shared" si="41"/>
        <v>108.98083671746592</v>
      </c>
      <c r="CN19">
        <f t="shared" si="41"/>
        <v>111.51748040093453</v>
      </c>
      <c r="CO19">
        <f t="shared" si="41"/>
        <v>108.92041260933678</v>
      </c>
      <c r="CP19">
        <f t="shared" si="41"/>
        <v>98.690725808035722</v>
      </c>
      <c r="CQ19">
        <f t="shared" si="41"/>
        <v>96.995164843760776</v>
      </c>
      <c r="CR19">
        <f t="shared" si="41"/>
        <v>99.803243726354651</v>
      </c>
      <c r="CS19">
        <f t="shared" si="41"/>
        <v>91.878202258659627</v>
      </c>
      <c r="CT19">
        <f t="shared" si="41"/>
        <v>87.082573877686883</v>
      </c>
      <c r="CU19">
        <f t="shared" si="41"/>
        <v>92.640013568831932</v>
      </c>
      <c r="CV19">
        <f t="shared" si="41"/>
        <v>83.890257728101517</v>
      </c>
      <c r="CW19">
        <f t="shared" si="41"/>
        <v>80.9034037451042</v>
      </c>
      <c r="CX19">
        <f t="shared" si="41"/>
        <v>80.819646924824966</v>
      </c>
      <c r="CY19">
        <f t="shared" si="41"/>
        <v>80.785528094389477</v>
      </c>
      <c r="CZ19">
        <f t="shared" si="41"/>
        <v>78.951507569237123</v>
      </c>
      <c r="DA19">
        <f t="shared" si="41"/>
        <v>82.779421621182593</v>
      </c>
      <c r="DB19">
        <f t="shared" si="41"/>
        <v>86.991238164195821</v>
      </c>
      <c r="DC19">
        <f t="shared" si="41"/>
        <v>83.854548473395596</v>
      </c>
      <c r="DD19">
        <f t="shared" si="41"/>
        <v>85.350103893154241</v>
      </c>
      <c r="DE19">
        <f t="shared" si="41"/>
        <v>82.033096724521457</v>
      </c>
      <c r="DF19">
        <f t="shared" si="41"/>
        <v>82.402125347321856</v>
      </c>
      <c r="DG19">
        <f t="shared" si="41"/>
        <v>82.284031578970328</v>
      </c>
      <c r="DH19">
        <f t="shared" si="41"/>
        <v>82.150946422267012</v>
      </c>
      <c r="DI19">
        <f t="shared" si="41"/>
        <v>84.768144390773898</v>
      </c>
      <c r="DJ19">
        <f t="shared" si="41"/>
        <v>87.67579937609878</v>
      </c>
      <c r="DK19">
        <f t="shared" si="41"/>
        <v>88.488989568562985</v>
      </c>
      <c r="DL19">
        <f t="shared" si="41"/>
        <v>97.700930144868494</v>
      </c>
      <c r="DM19">
        <f t="shared" si="41"/>
        <v>88.433805875651359</v>
      </c>
      <c r="DN19">
        <f t="shared" si="41"/>
        <v>88.796801721723511</v>
      </c>
      <c r="DO19">
        <f t="shared" si="41"/>
        <v>96.901212818460408</v>
      </c>
      <c r="DP19">
        <f t="shared" si="41"/>
        <v>98.229814670102982</v>
      </c>
      <c r="DQ19">
        <f t="shared" si="41"/>
        <v>105.23149215413012</v>
      </c>
      <c r="DR19">
        <f t="shared" si="41"/>
        <v>111.74073813853977</v>
      </c>
      <c r="DS19">
        <f t="shared" si="41"/>
        <v>128.3461728276425</v>
      </c>
      <c r="DT19">
        <f t="shared" si="41"/>
        <v>134.99571301581699</v>
      </c>
      <c r="DU19">
        <f t="shared" si="41"/>
        <v>131.43214193473781</v>
      </c>
      <c r="DV19">
        <f t="shared" si="41"/>
        <v>126.89821235477436</v>
      </c>
      <c r="DW19">
        <f t="shared" si="41"/>
        <v>121.00868252240684</v>
      </c>
      <c r="DX19">
        <f t="shared" si="41"/>
        <v>115.91194919294576</v>
      </c>
      <c r="DY19">
        <f t="shared" si="41"/>
        <v>119.92303196075302</v>
      </c>
      <c r="DZ19">
        <f t="shared" si="41"/>
        <v>118.80636974024452</v>
      </c>
      <c r="EA19">
        <f t="shared" si="35"/>
        <v>123.8770342651836</v>
      </c>
      <c r="EB19">
        <f t="shared" si="29"/>
        <v>129.80648958434594</v>
      </c>
      <c r="EC19">
        <f t="shared" si="29"/>
        <v>133.92921835256411</v>
      </c>
      <c r="ED19">
        <f t="shared" si="29"/>
        <v>136.16852793279708</v>
      </c>
      <c r="EE19">
        <f t="shared" si="29"/>
        <v>135.05374168986455</v>
      </c>
      <c r="EF19">
        <f t="shared" si="29"/>
        <v>133.47563312933232</v>
      </c>
      <c r="EG19">
        <f t="shared" si="29"/>
        <v>138.87330392542449</v>
      </c>
      <c r="EH19">
        <f t="shared" si="29"/>
        <v>135.6197231819159</v>
      </c>
      <c r="EI19">
        <f t="shared" si="29"/>
        <v>140.14988996439112</v>
      </c>
      <c r="EJ19">
        <f t="shared" si="29"/>
        <v>136.20344837602991</v>
      </c>
      <c r="EK19">
        <f t="shared" si="29"/>
        <v>143.97093967614887</v>
      </c>
      <c r="EL19">
        <f t="shared" si="29"/>
        <v>147.33192669394251</v>
      </c>
      <c r="EM19">
        <f t="shared" si="29"/>
        <v>148.18099727200376</v>
      </c>
      <c r="EN19">
        <f t="shared" si="29"/>
        <v>140.75607865826643</v>
      </c>
      <c r="EO19">
        <f t="shared" si="29"/>
        <v>147.25863795429279</v>
      </c>
      <c r="EP19">
        <f t="shared" si="29"/>
        <v>144.27912454438939</v>
      </c>
      <c r="EQ19">
        <f t="shared" si="29"/>
        <v>157.49021128295348</v>
      </c>
      <c r="ER19">
        <f t="shared" si="29"/>
        <v>163.95377798963065</v>
      </c>
      <c r="ES19">
        <f t="shared" si="29"/>
        <v>162.9948457197367</v>
      </c>
      <c r="ET19">
        <f t="shared" si="29"/>
        <v>169.06113111748132</v>
      </c>
      <c r="EU19">
        <f t="shared" si="29"/>
        <v>170.0558799233641</v>
      </c>
      <c r="EV19">
        <f t="shared" si="29"/>
        <v>173.0628593567144</v>
      </c>
      <c r="EW19">
        <f t="shared" si="29"/>
        <v>182.82246222015755</v>
      </c>
      <c r="EX19">
        <f t="shared" si="29"/>
        <v>177.70222625254567</v>
      </c>
      <c r="EY19">
        <f t="shared" si="29"/>
        <v>179.85163910055127</v>
      </c>
      <c r="EZ19">
        <f t="shared" si="29"/>
        <v>174.69223723593893</v>
      </c>
      <c r="FA19">
        <f t="shared" si="29"/>
        <v>175.92265746702654</v>
      </c>
      <c r="FB19">
        <f t="shared" si="29"/>
        <v>176.47957732114276</v>
      </c>
      <c r="FC19">
        <f t="shared" si="29"/>
        <v>178.09825259810827</v>
      </c>
      <c r="FD19">
        <f t="shared" si="29"/>
        <v>170.55725815917731</v>
      </c>
      <c r="FE19">
        <f t="shared" si="29"/>
        <v>165.87180540271643</v>
      </c>
      <c r="FF19">
        <f t="shared" si="29"/>
        <v>171.83111248862329</v>
      </c>
      <c r="FG19">
        <f t="shared" si="29"/>
        <v>172.46315980011371</v>
      </c>
      <c r="FH19">
        <f t="shared" si="29"/>
        <v>169.19854141981449</v>
      </c>
      <c r="FI19">
        <f t="shared" si="29"/>
        <v>161.97587527140746</v>
      </c>
      <c r="FJ19">
        <f t="shared" si="29"/>
        <v>175.75797674380695</v>
      </c>
      <c r="FK19">
        <f t="shared" si="29"/>
        <v>183.18218868507432</v>
      </c>
      <c r="FL19">
        <f t="shared" si="29"/>
        <v>179.42108562966257</v>
      </c>
      <c r="FM19">
        <f t="shared" si="29"/>
        <v>170.11902906664659</v>
      </c>
      <c r="FN19">
        <f t="shared" si="29"/>
        <v>166.99527062570516</v>
      </c>
      <c r="FO19">
        <f t="shared" si="29"/>
        <v>163.82631551994942</v>
      </c>
      <c r="FP19">
        <f t="shared" si="29"/>
        <v>167.03724418272324</v>
      </c>
      <c r="FQ19">
        <f t="shared" si="29"/>
        <v>177.90645441767001</v>
      </c>
      <c r="FR19">
        <f t="shared" si="29"/>
        <v>179.71034107249383</v>
      </c>
      <c r="FS19">
        <f t="shared" si="29"/>
        <v>178.55665772655081</v>
      </c>
      <c r="FT19">
        <f t="shared" si="29"/>
        <v>177.11332398503134</v>
      </c>
      <c r="FU19">
        <f t="shared" si="29"/>
        <v>162.4188002040699</v>
      </c>
      <c r="FV19">
        <f t="shared" si="29"/>
        <v>163.97763796257757</v>
      </c>
      <c r="FW19">
        <f t="shared" si="29"/>
        <v>159.86952727148284</v>
      </c>
      <c r="FX19">
        <f t="shared" si="29"/>
        <v>157.20397309232888</v>
      </c>
      <c r="FY19">
        <f t="shared" si="29"/>
        <v>161.34604797347185</v>
      </c>
      <c r="FZ19">
        <f t="shared" si="29"/>
        <v>161.42521381084299</v>
      </c>
      <c r="GA19">
        <f t="shared" si="29"/>
        <v>155.95202056059037</v>
      </c>
      <c r="GB19">
        <f t="shared" si="29"/>
        <v>170.53560293925864</v>
      </c>
      <c r="GC19">
        <f t="shared" si="29"/>
        <v>178.42372848859284</v>
      </c>
      <c r="GD19">
        <f t="shared" si="29"/>
        <v>173.33603976408548</v>
      </c>
      <c r="GE19">
        <f t="shared" si="29"/>
        <v>173.18945035636668</v>
      </c>
      <c r="GF19">
        <f t="shared" si="29"/>
        <v>182.34114002237112</v>
      </c>
      <c r="GG19">
        <f t="shared" si="29"/>
        <v>175.07901826397944</v>
      </c>
      <c r="GH19">
        <f t="shared" si="29"/>
        <v>176.32059308166566</v>
      </c>
      <c r="GI19">
        <f t="shared" si="29"/>
        <v>183.65814509706587</v>
      </c>
      <c r="GJ19">
        <f t="shared" si="29"/>
        <v>185.00591833759282</v>
      </c>
      <c r="GK19">
        <f t="shared" si="29"/>
        <v>178.44507690199549</v>
      </c>
      <c r="GL19">
        <f t="shared" si="29"/>
        <v>172.39260014739662</v>
      </c>
      <c r="GM19">
        <f t="shared" si="15"/>
        <v>173.58959270169163</v>
      </c>
      <c r="GN19">
        <f t="shared" si="36"/>
        <v>175.67562119591904</v>
      </c>
      <c r="GO19">
        <f t="shared" si="36"/>
        <v>167.14545106785394</v>
      </c>
      <c r="GP19">
        <f t="shared" si="36"/>
        <v>163.68088374588226</v>
      </c>
      <c r="GQ19">
        <f t="shared" si="36"/>
        <v>161.69916156402272</v>
      </c>
      <c r="GR19">
        <f t="shared" si="36"/>
        <v>176.91922055959321</v>
      </c>
      <c r="GS19">
        <f t="shared" si="36"/>
        <v>183.3690962421166</v>
      </c>
      <c r="GT19">
        <f t="shared" si="36"/>
        <v>190.28987177792422</v>
      </c>
      <c r="GU19">
        <f t="shared" si="36"/>
        <v>180.66206835704781</v>
      </c>
      <c r="GV19">
        <f t="shared" si="36"/>
        <v>186.40043455948859</v>
      </c>
      <c r="GW19">
        <f t="shared" si="36"/>
        <v>181.07489123848708</v>
      </c>
      <c r="GX19">
        <f t="shared" si="36"/>
        <v>181.67324963763878</v>
      </c>
      <c r="GY19">
        <f t="shared" si="36"/>
        <v>184.20955603367301</v>
      </c>
      <c r="GZ19">
        <f t="shared" si="36"/>
        <v>187.69795769769965</v>
      </c>
      <c r="HA19">
        <f t="shared" si="36"/>
        <v>179.82685842138858</v>
      </c>
      <c r="HB19">
        <f t="shared" si="36"/>
        <v>168.71449751228027</v>
      </c>
      <c r="HC19">
        <f t="shared" si="36"/>
        <v>166.01685038021097</v>
      </c>
      <c r="HD19">
        <f t="shared" si="36"/>
        <v>158.8279986625391</v>
      </c>
      <c r="HE19">
        <f t="shared" si="36"/>
        <v>159.13910336396927</v>
      </c>
      <c r="HF19">
        <f t="shared" si="36"/>
        <v>157.88051595333647</v>
      </c>
      <c r="HG19">
        <f t="shared" si="36"/>
        <v>158.99573101704019</v>
      </c>
      <c r="HH19">
        <f t="shared" si="36"/>
        <v>156.92602754828727</v>
      </c>
      <c r="HI19">
        <f t="shared" si="36"/>
        <v>168.37312399044777</v>
      </c>
      <c r="HJ19">
        <f t="shared" si="36"/>
        <v>164.72997951743389</v>
      </c>
      <c r="HK19">
        <f t="shared" si="36"/>
        <v>173.85969968524364</v>
      </c>
      <c r="HL19">
        <f t="shared" si="36"/>
        <v>168.31182676394414</v>
      </c>
      <c r="HM19">
        <f t="shared" si="36"/>
        <v>167.48061610869297</v>
      </c>
      <c r="HN19">
        <f t="shared" si="36"/>
        <v>164.07278847803255</v>
      </c>
      <c r="HO19">
        <f t="shared" si="36"/>
        <v>161.86471273404831</v>
      </c>
      <c r="HP19">
        <f t="shared" si="36"/>
        <v>157.98018875820796</v>
      </c>
      <c r="HQ19">
        <f t="shared" si="36"/>
        <v>165.45881604312703</v>
      </c>
      <c r="HR19">
        <f t="shared" si="36"/>
        <v>169.11899387675152</v>
      </c>
      <c r="HS19">
        <f t="shared" si="36"/>
        <v>171.08813535209777</v>
      </c>
      <c r="HT19">
        <f t="shared" si="36"/>
        <v>173.7414773741969</v>
      </c>
      <c r="HU19">
        <f t="shared" si="36"/>
        <v>175.33405483550979</v>
      </c>
      <c r="HV19">
        <f t="shared" si="36"/>
        <v>178.38892987947131</v>
      </c>
      <c r="HW19">
        <f t="shared" si="36"/>
        <v>174.99325468346623</v>
      </c>
      <c r="HX19">
        <f t="shared" si="36"/>
        <v>176.70329041080245</v>
      </c>
      <c r="HY19">
        <f t="shared" si="36"/>
        <v>169.46376400149973</v>
      </c>
      <c r="HZ19">
        <f t="shared" si="36"/>
        <v>165.1469603128582</v>
      </c>
      <c r="IA19">
        <f t="shared" si="36"/>
        <v>161.86685004975874</v>
      </c>
      <c r="IB19">
        <f t="shared" si="36"/>
        <v>160.12129466428974</v>
      </c>
      <c r="IC19">
        <f t="shared" si="36"/>
        <v>161.06849501029367</v>
      </c>
      <c r="ID19">
        <f t="shared" si="36"/>
        <v>152.69312158817905</v>
      </c>
      <c r="IE19">
        <f t="shared" si="36"/>
        <v>145.70536879313778</v>
      </c>
      <c r="IF19">
        <f t="shared" si="36"/>
        <v>142.65768071942634</v>
      </c>
      <c r="IG19">
        <f t="shared" si="36"/>
        <v>143.78067127381303</v>
      </c>
      <c r="IH19">
        <f t="shared" si="36"/>
        <v>147.65721990775901</v>
      </c>
      <c r="II19">
        <f t="shared" si="36"/>
        <v>146.97270922673107</v>
      </c>
      <c r="IJ19">
        <f t="shared" si="36"/>
        <v>133.90511420450767</v>
      </c>
      <c r="IK19">
        <f t="shared" si="36"/>
        <v>130.72955552677658</v>
      </c>
      <c r="IL19">
        <f t="shared" si="36"/>
        <v>128.23863629414501</v>
      </c>
      <c r="IM19">
        <f t="shared" si="36"/>
        <v>128.99225249022851</v>
      </c>
      <c r="IN19">
        <f t="shared" si="36"/>
        <v>136.27958571211857</v>
      </c>
      <c r="IO19">
        <f t="shared" si="36"/>
        <v>141.18051811382247</v>
      </c>
      <c r="IP19">
        <f t="shared" si="36"/>
        <v>140.55381504522362</v>
      </c>
      <c r="IQ19">
        <f t="shared" si="36"/>
        <v>143.23655217862932</v>
      </c>
      <c r="IR19">
        <f t="shared" si="36"/>
        <v>144.28344476144352</v>
      </c>
      <c r="IS19">
        <f t="shared" si="36"/>
        <v>140.78682509928123</v>
      </c>
      <c r="IT19">
        <f t="shared" si="36"/>
        <v>147.27051506564442</v>
      </c>
      <c r="IU19">
        <f t="shared" si="36"/>
        <v>151.4525201074747</v>
      </c>
      <c r="IV19">
        <f t="shared" si="36"/>
        <v>145.42340755394576</v>
      </c>
      <c r="IW19">
        <f t="shared" si="36"/>
        <v>147.00186353027763</v>
      </c>
      <c r="IX19">
        <f t="shared" si="36"/>
        <v>143.80243240816478</v>
      </c>
      <c r="IY19">
        <f t="shared" si="36"/>
        <v>146.30756423121957</v>
      </c>
      <c r="IZ19">
        <f t="shared" si="30"/>
        <v>146.58304501880718</v>
      </c>
      <c r="JA19">
        <f t="shared" si="30"/>
        <v>150.08157457747737</v>
      </c>
      <c r="JB19">
        <f t="shared" si="30"/>
        <v>152.64512050381666</v>
      </c>
      <c r="JC19">
        <f t="shared" si="30"/>
        <v>154.44427487745267</v>
      </c>
      <c r="JD19">
        <f t="shared" si="30"/>
        <v>154.27257236295472</v>
      </c>
      <c r="JE19">
        <f t="shared" si="30"/>
        <v>162.7724719862567</v>
      </c>
      <c r="JF19">
        <f t="shared" si="30"/>
        <v>161.85055774391023</v>
      </c>
      <c r="JG19">
        <f t="shared" si="30"/>
        <v>166.3225408130254</v>
      </c>
      <c r="JH19">
        <f t="shared" si="30"/>
        <v>172.01935270448544</v>
      </c>
      <c r="JI19">
        <f t="shared" si="30"/>
        <v>172.75517752729451</v>
      </c>
      <c r="JJ19">
        <f t="shared" si="30"/>
        <v>175.69499925010513</v>
      </c>
      <c r="JK19">
        <f t="shared" si="30"/>
        <v>189.43876732110999</v>
      </c>
      <c r="JL19">
        <f t="shared" si="30"/>
        <v>198.54367279769954</v>
      </c>
      <c r="JM19">
        <f t="shared" si="30"/>
        <v>203.77595927514375</v>
      </c>
      <c r="JN19">
        <f t="shared" si="30"/>
        <v>202.38101524909564</v>
      </c>
      <c r="JO19">
        <f t="shared" si="30"/>
        <v>206.29966213390858</v>
      </c>
      <c r="JP19">
        <f t="shared" si="30"/>
        <v>211.52897175154749</v>
      </c>
      <c r="JQ19">
        <f t="shared" si="30"/>
        <v>213.63466015122285</v>
      </c>
      <c r="JR19">
        <f t="shared" si="30"/>
        <v>216.6575338843009</v>
      </c>
      <c r="JS19">
        <f t="shared" si="30"/>
        <v>213.47989486492855</v>
      </c>
      <c r="JT19">
        <f t="shared" si="30"/>
        <v>214.42387639147699</v>
      </c>
      <c r="JU19">
        <f t="shared" si="30"/>
        <v>223.58087319046876</v>
      </c>
      <c r="JV19">
        <f t="shared" si="30"/>
        <v>236.67109445633722</v>
      </c>
      <c r="JW19">
        <f t="shared" si="30"/>
        <v>228.74356258600272</v>
      </c>
      <c r="JX19">
        <f t="shared" si="30"/>
        <v>214.98485352371546</v>
      </c>
      <c r="JY19">
        <f t="shared" si="30"/>
        <v>220.06290641262487</v>
      </c>
      <c r="JZ19">
        <f t="shared" si="30"/>
        <v>224.28213941974863</v>
      </c>
      <c r="KA19">
        <f t="shared" si="30"/>
        <v>223.1105187916651</v>
      </c>
      <c r="KB19">
        <f t="shared" si="30"/>
        <v>221.76151713716982</v>
      </c>
      <c r="KC19">
        <f t="shared" si="30"/>
        <v>204.38801689884133</v>
      </c>
      <c r="KD19">
        <f t="shared" si="30"/>
        <v>201.13657069499732</v>
      </c>
      <c r="KE19">
        <f t="shared" si="30"/>
        <v>192.32569411284081</v>
      </c>
      <c r="KF19">
        <f t="shared" si="30"/>
        <v>181.58636112808415</v>
      </c>
      <c r="KG19">
        <f t="shared" si="30"/>
        <v>178.67194036831597</v>
      </c>
      <c r="KH19">
        <f t="shared" si="30"/>
        <v>172.26928408102106</v>
      </c>
      <c r="KI19">
        <f t="shared" si="30"/>
        <v>171.88650963767088</v>
      </c>
      <c r="KJ19">
        <f t="shared" si="30"/>
        <v>167.14050517963557</v>
      </c>
      <c r="KK19">
        <f t="shared" si="30"/>
        <v>179.82967576457824</v>
      </c>
      <c r="KL19">
        <f t="shared" si="30"/>
        <v>172.82115234929543</v>
      </c>
      <c r="KM19">
        <f t="shared" si="30"/>
        <v>176.26965356592797</v>
      </c>
      <c r="KN19">
        <f t="shared" si="30"/>
        <v>166.05106392854927</v>
      </c>
      <c r="KO19">
        <f t="shared" si="30"/>
        <v>161.07853517118161</v>
      </c>
      <c r="KP19">
        <f t="shared" si="30"/>
        <v>160.84354437469244</v>
      </c>
      <c r="KQ19">
        <f t="shared" si="30"/>
        <v>171.42361084752744</v>
      </c>
      <c r="KR19">
        <f t="shared" si="30"/>
        <v>180.41945764568072</v>
      </c>
      <c r="KS19">
        <f t="shared" si="30"/>
        <v>174.69157449352036</v>
      </c>
      <c r="KT19">
        <f t="shared" si="30"/>
        <v>175.776715595197</v>
      </c>
      <c r="KU19">
        <f t="shared" si="30"/>
        <v>171.60784382604092</v>
      </c>
      <c r="KV19">
        <f t="shared" si="30"/>
        <v>170.43572245344154</v>
      </c>
      <c r="KW19">
        <f t="shared" si="30"/>
        <v>168.46195480204048</v>
      </c>
      <c r="KX19">
        <f t="shared" si="30"/>
        <v>165.81875581124115</v>
      </c>
      <c r="KY19">
        <f t="shared" si="30"/>
        <v>161.06121729569864</v>
      </c>
      <c r="KZ19">
        <f t="shared" si="30"/>
        <v>160.28865336426242</v>
      </c>
      <c r="LA19">
        <f t="shared" si="30"/>
        <v>149.71572564309315</v>
      </c>
      <c r="LB19">
        <f t="shared" si="30"/>
        <v>146.00574285980699</v>
      </c>
      <c r="LC19">
        <f t="shared" si="30"/>
        <v>139.38698312012826</v>
      </c>
      <c r="LD19">
        <f t="shared" si="30"/>
        <v>131.12222679829392</v>
      </c>
      <c r="LE19">
        <f t="shared" si="30"/>
        <v>126.22966444719839</v>
      </c>
      <c r="LF19">
        <f t="shared" si="30"/>
        <v>127.40833248631796</v>
      </c>
      <c r="LG19">
        <f t="shared" si="30"/>
        <v>139.7709417052013</v>
      </c>
      <c r="LH19">
        <f t="shared" si="30"/>
        <v>146.31653639398561</v>
      </c>
      <c r="LI19">
        <f t="shared" si="30"/>
        <v>142.34674070714937</v>
      </c>
      <c r="LJ19">
        <f t="shared" si="30"/>
        <v>140.4791831603421</v>
      </c>
      <c r="LK19">
        <f t="shared" si="17"/>
        <v>138.31047008240455</v>
      </c>
      <c r="LL19">
        <f t="shared" si="37"/>
        <v>142.39720098497185</v>
      </c>
      <c r="LM19">
        <f t="shared" si="37"/>
        <v>141.61103765415683</v>
      </c>
      <c r="LN19">
        <f t="shared" si="37"/>
        <v>154.03321774529061</v>
      </c>
      <c r="LO19">
        <f t="shared" si="37"/>
        <v>141.63032402985169</v>
      </c>
      <c r="LP19">
        <f t="shared" si="37"/>
        <v>142.81806232133522</v>
      </c>
      <c r="LQ19">
        <f t="shared" si="37"/>
        <v>135.03092422116845</v>
      </c>
      <c r="LR19">
        <f t="shared" si="37"/>
        <v>137.07325024739714</v>
      </c>
      <c r="LS19">
        <f t="shared" si="37"/>
        <v>126.04228361528021</v>
      </c>
      <c r="LT19">
        <f t="shared" si="37"/>
        <v>130.50655700365485</v>
      </c>
      <c r="LU19">
        <f t="shared" si="37"/>
        <v>129.85526642395024</v>
      </c>
      <c r="LV19">
        <f t="shared" si="37"/>
        <v>123.37533789809885</v>
      </c>
      <c r="LW19">
        <f t="shared" si="37"/>
        <v>126.85121370145758</v>
      </c>
      <c r="LX19">
        <f t="shared" si="37"/>
        <v>133.47141636705314</v>
      </c>
      <c r="LY19">
        <f t="shared" si="37"/>
        <v>126.26745560879489</v>
      </c>
      <c r="LZ19">
        <f t="shared" si="37"/>
        <v>124.36564870553664</v>
      </c>
      <c r="MA19">
        <f t="shared" si="37"/>
        <v>126.92463830386741</v>
      </c>
      <c r="MB19">
        <f t="shared" si="37"/>
        <v>135.39339769418402</v>
      </c>
      <c r="MC19">
        <f t="shared" si="37"/>
        <v>135.74845314850131</v>
      </c>
      <c r="MD19">
        <f t="shared" si="37"/>
        <v>133.44284493218777</v>
      </c>
      <c r="ME19">
        <f t="shared" si="37"/>
        <v>132.41395019951423</v>
      </c>
      <c r="MF19">
        <f t="shared" si="37"/>
        <v>126.69779571815533</v>
      </c>
      <c r="MG19">
        <f t="shared" si="37"/>
        <v>130.02839647666363</v>
      </c>
      <c r="MH19">
        <f t="shared" si="37"/>
        <v>132.40643944103857</v>
      </c>
      <c r="MI19">
        <f t="shared" si="37"/>
        <v>132.54348312190254</v>
      </c>
      <c r="MJ19">
        <f t="shared" si="37"/>
        <v>128.80967030846102</v>
      </c>
      <c r="MK19">
        <f t="shared" si="37"/>
        <v>130.45488970985892</v>
      </c>
      <c r="ML19">
        <f t="shared" si="37"/>
        <v>138.74540613900803</v>
      </c>
      <c r="MM19">
        <f t="shared" si="37"/>
        <v>141.95404685981237</v>
      </c>
      <c r="MN19">
        <f t="shared" si="37"/>
        <v>138.40918143786163</v>
      </c>
      <c r="MO19">
        <f t="shared" si="37"/>
        <v>139.23023954612319</v>
      </c>
      <c r="MP19">
        <f t="shared" si="37"/>
        <v>143.94892134925317</v>
      </c>
      <c r="MQ19">
        <f t="shared" si="37"/>
        <v>159.14238883526011</v>
      </c>
      <c r="MR19">
        <f t="shared" si="37"/>
        <v>149.53131596559217</v>
      </c>
      <c r="MS19">
        <f t="shared" si="37"/>
        <v>151.21103501797083</v>
      </c>
      <c r="MT19">
        <f t="shared" si="37"/>
        <v>147.70120105805375</v>
      </c>
      <c r="MU19">
        <f t="shared" si="37"/>
        <v>151.7060881828219</v>
      </c>
      <c r="MV19">
        <f t="shared" si="37"/>
        <v>145.29713579021919</v>
      </c>
      <c r="MW19">
        <f t="shared" si="37"/>
        <v>145.12949661174585</v>
      </c>
      <c r="MX19">
        <f t="shared" si="37"/>
        <v>154.65589984228234</v>
      </c>
      <c r="MY19">
        <f t="shared" si="37"/>
        <v>150.82758999740361</v>
      </c>
      <c r="MZ19">
        <f t="shared" si="37"/>
        <v>152.17568791563943</v>
      </c>
      <c r="NA19">
        <f t="shared" si="37"/>
        <v>141.39580532300147</v>
      </c>
      <c r="NB19">
        <f t="shared" si="37"/>
        <v>140.501739564524</v>
      </c>
      <c r="NC19">
        <f t="shared" si="37"/>
        <v>140.64979487527012</v>
      </c>
      <c r="ND19">
        <f t="shared" si="37"/>
        <v>146.85896509293246</v>
      </c>
      <c r="NE19">
        <f t="shared" si="37"/>
        <v>141.90200443409671</v>
      </c>
      <c r="NF19">
        <f t="shared" si="37"/>
        <v>126.40861276864419</v>
      </c>
      <c r="NG19">
        <f t="shared" si="37"/>
        <v>126.11961290895422</v>
      </c>
      <c r="NH19">
        <f t="shared" si="37"/>
        <v>119.58824659465252</v>
      </c>
      <c r="NI19">
        <f t="shared" si="37"/>
        <v>122.66564700037422</v>
      </c>
      <c r="NJ19">
        <f t="shared" si="37"/>
        <v>128.94394937174712</v>
      </c>
      <c r="NK19">
        <f t="shared" si="37"/>
        <v>125.34863355251024</v>
      </c>
      <c r="NL19">
        <f t="shared" si="37"/>
        <v>137.73495435017469</v>
      </c>
      <c r="NM19">
        <f t="shared" si="37"/>
        <v>136.05014333502189</v>
      </c>
      <c r="NN19">
        <f t="shared" si="37"/>
        <v>131.93789961629099</v>
      </c>
      <c r="NO19">
        <f t="shared" si="37"/>
        <v>132.56505376955326</v>
      </c>
      <c r="NP19">
        <f t="shared" si="37"/>
        <v>138.63095390257425</v>
      </c>
      <c r="NQ19">
        <f t="shared" si="37"/>
        <v>138.05275838067232</v>
      </c>
      <c r="NR19">
        <f t="shared" si="37"/>
        <v>136.51441263817935</v>
      </c>
      <c r="NS19">
        <f t="shared" si="37"/>
        <v>135.32646680953212</v>
      </c>
      <c r="NT19">
        <f t="shared" si="37"/>
        <v>134.13087216096233</v>
      </c>
      <c r="NU19">
        <f t="shared" si="37"/>
        <v>125.53404159000122</v>
      </c>
      <c r="NV19">
        <f t="shared" si="37"/>
        <v>128.29326411375624</v>
      </c>
      <c r="NW19">
        <f t="shared" si="37"/>
        <v>125.13401888882647</v>
      </c>
      <c r="NX19">
        <f t="shared" si="31"/>
        <v>113.7515042354284</v>
      </c>
      <c r="NY19">
        <f t="shared" si="31"/>
        <v>106.64169979881314</v>
      </c>
      <c r="NZ19">
        <f t="shared" si="31"/>
        <v>110.8485730614297</v>
      </c>
      <c r="OA19">
        <f t="shared" si="31"/>
        <v>120.07115875961044</v>
      </c>
      <c r="OB19">
        <f t="shared" si="31"/>
        <v>116.58461816243174</v>
      </c>
      <c r="OC19">
        <f t="shared" si="31"/>
        <v>110.83405101473556</v>
      </c>
      <c r="OD19">
        <f t="shared" si="31"/>
        <v>118.80694137921989</v>
      </c>
      <c r="OE19">
        <f t="shared" si="31"/>
        <v>109.05943960275036</v>
      </c>
      <c r="OF19">
        <f t="shared" si="31"/>
        <v>106.06669550984857</v>
      </c>
      <c r="OG19">
        <f t="shared" si="31"/>
        <v>104.18459868495812</v>
      </c>
      <c r="OH19">
        <f t="shared" si="31"/>
        <v>108.02508734730959</v>
      </c>
      <c r="OI19">
        <f t="shared" si="31"/>
        <v>101.25585767934865</v>
      </c>
      <c r="OJ19">
        <f t="shared" si="31"/>
        <v>101.97277604420965</v>
      </c>
      <c r="OK19">
        <f t="shared" si="31"/>
        <v>102.22660262870612</v>
      </c>
      <c r="OL19">
        <f t="shared" si="31"/>
        <v>111.93157848405374</v>
      </c>
      <c r="OM19">
        <f t="shared" si="31"/>
        <v>112.74933268601659</v>
      </c>
      <c r="ON19">
        <f t="shared" si="31"/>
        <v>113.92820849198301</v>
      </c>
      <c r="OO19">
        <f t="shared" si="31"/>
        <v>99.075726805049115</v>
      </c>
      <c r="OP19">
        <f t="shared" si="31"/>
        <v>109.59767417243152</v>
      </c>
      <c r="OQ19">
        <f t="shared" si="31"/>
        <v>108.6071979200066</v>
      </c>
      <c r="OR19">
        <f t="shared" si="31"/>
        <v>102.36459699656668</v>
      </c>
      <c r="OS19">
        <f t="shared" si="31"/>
        <v>104.71986646041985</v>
      </c>
      <c r="OT19">
        <f t="shared" si="31"/>
        <v>107.01233893590395</v>
      </c>
      <c r="OU19">
        <f t="shared" si="31"/>
        <v>102.32876627825839</v>
      </c>
      <c r="OV19">
        <f t="shared" si="31"/>
        <v>103.8045255452877</v>
      </c>
      <c r="OW19">
        <f t="shared" si="31"/>
        <v>112.41263126498008</v>
      </c>
      <c r="OX19">
        <f t="shared" si="31"/>
        <v>115.24451371593398</v>
      </c>
      <c r="OY19">
        <f t="shared" si="31"/>
        <v>119.14174416443058</v>
      </c>
      <c r="OZ19">
        <f t="shared" si="31"/>
        <v>119.31466635788814</v>
      </c>
      <c r="PA19">
        <f t="shared" si="31"/>
        <v>121.60003763179641</v>
      </c>
      <c r="PB19">
        <f t="shared" si="31"/>
        <v>123.08428123619927</v>
      </c>
      <c r="PC19">
        <f t="shared" si="31"/>
        <v>118.39266948944775</v>
      </c>
      <c r="PD19">
        <f t="shared" si="31"/>
        <v>116.54254807853084</v>
      </c>
      <c r="PE19">
        <f t="shared" si="31"/>
        <v>126.63765534615285</v>
      </c>
      <c r="PF19">
        <f t="shared" si="31"/>
        <v>125.67159374877448</v>
      </c>
      <c r="PG19">
        <f t="shared" si="31"/>
        <v>115.64909485489073</v>
      </c>
      <c r="PH19">
        <f t="shared" si="31"/>
        <v>113.85420898141521</v>
      </c>
      <c r="PI19">
        <f t="shared" si="31"/>
        <v>115.40202173185462</v>
      </c>
      <c r="PJ19">
        <f t="shared" si="31"/>
        <v>114.80743730150442</v>
      </c>
      <c r="PK19">
        <f t="shared" si="31"/>
        <v>107.46369443146153</v>
      </c>
      <c r="PL19">
        <f t="shared" si="31"/>
        <v>104.89523015556853</v>
      </c>
      <c r="PM19">
        <f t="shared" si="31"/>
        <v>105.64937134260666</v>
      </c>
      <c r="PN19">
        <f t="shared" si="31"/>
        <v>100.84390944038309</v>
      </c>
      <c r="PO19">
        <f t="shared" si="31"/>
        <v>99.073495861539698</v>
      </c>
      <c r="PP19">
        <f t="shared" si="31"/>
        <v>102.50416674588632</v>
      </c>
      <c r="PQ19">
        <f t="shared" si="31"/>
        <v>99.269468103344693</v>
      </c>
      <c r="PR19">
        <f t="shared" si="31"/>
        <v>93.192405916393611</v>
      </c>
      <c r="PS19">
        <f t="shared" si="31"/>
        <v>87.810458606003081</v>
      </c>
      <c r="PT19">
        <f t="shared" si="31"/>
        <v>86.744783863278244</v>
      </c>
      <c r="PU19">
        <f t="shared" si="31"/>
        <v>86.24344695378943</v>
      </c>
      <c r="PV19">
        <f t="shared" si="31"/>
        <v>83.895947373046596</v>
      </c>
      <c r="PW19">
        <f t="shared" si="31"/>
        <v>88.220632640386228</v>
      </c>
      <c r="PX19">
        <f t="shared" si="31"/>
        <v>89.838869320779423</v>
      </c>
      <c r="PY19">
        <f t="shared" si="31"/>
        <v>86.370293743614624</v>
      </c>
      <c r="PZ19">
        <f t="shared" si="31"/>
        <v>82.230005416470064</v>
      </c>
      <c r="QA19">
        <f t="shared" si="31"/>
        <v>82.475696606055834</v>
      </c>
      <c r="QB19">
        <f t="shared" si="31"/>
        <v>83.949628324042592</v>
      </c>
      <c r="QC19">
        <f t="shared" si="31"/>
        <v>73.971482480147415</v>
      </c>
      <c r="QD19">
        <f t="shared" si="31"/>
        <v>72.322115871414155</v>
      </c>
      <c r="QE19">
        <f t="shared" si="31"/>
        <v>73.999810292124508</v>
      </c>
      <c r="QF19">
        <f t="shared" si="31"/>
        <v>78.751838086635246</v>
      </c>
      <c r="QG19">
        <f t="shared" si="31"/>
        <v>72.846060181443988</v>
      </c>
      <c r="QH19">
        <f t="shared" si="31"/>
        <v>76.241531624573497</v>
      </c>
      <c r="QI19">
        <f t="shared" si="19"/>
        <v>79.148154519611822</v>
      </c>
      <c r="QJ19">
        <f t="shared" si="38"/>
        <v>79.316040842623906</v>
      </c>
      <c r="QK19">
        <f t="shared" si="38"/>
        <v>78.581255314849443</v>
      </c>
      <c r="QL19">
        <f t="shared" si="38"/>
        <v>82.09596979183145</v>
      </c>
      <c r="QM19">
        <f t="shared" si="38"/>
        <v>78.254127817545125</v>
      </c>
      <c r="QN19">
        <f t="shared" si="38"/>
        <v>77.03235607463381</v>
      </c>
      <c r="QO19">
        <f t="shared" si="38"/>
        <v>75.339336460143528</v>
      </c>
      <c r="QP19">
        <f t="shared" si="38"/>
        <v>74.276534921073079</v>
      </c>
      <c r="QQ19">
        <f t="shared" si="38"/>
        <v>73.005257125387786</v>
      </c>
      <c r="QR19">
        <f t="shared" si="38"/>
        <v>74.950621443991764</v>
      </c>
      <c r="QS19">
        <f t="shared" si="38"/>
        <v>78.518548352860421</v>
      </c>
      <c r="QT19">
        <f t="shared" si="38"/>
        <v>78.769392870620393</v>
      </c>
      <c r="QU19">
        <f t="shared" si="38"/>
        <v>73.072130002318573</v>
      </c>
      <c r="QV19">
        <f t="shared" si="38"/>
        <v>77.139015552423047</v>
      </c>
      <c r="QW19">
        <f t="shared" si="38"/>
        <v>77.944161967584591</v>
      </c>
      <c r="QX19">
        <f t="shared" si="38"/>
        <v>70.633394113096472</v>
      </c>
      <c r="QY19">
        <f t="shared" si="38"/>
        <v>74.239196910267893</v>
      </c>
      <c r="QZ19">
        <f t="shared" si="38"/>
        <v>81.29407572494074</v>
      </c>
      <c r="RA19">
        <f t="shared" si="38"/>
        <v>80.798070605948126</v>
      </c>
      <c r="RB19">
        <f t="shared" si="38"/>
        <v>86.554246416806748</v>
      </c>
      <c r="RC19">
        <f t="shared" si="38"/>
        <v>90.310580271692473</v>
      </c>
      <c r="RD19">
        <f t="shared" si="38"/>
        <v>92.726802572002825</v>
      </c>
      <c r="RE19">
        <f t="shared" si="38"/>
        <v>93.378163944319766</v>
      </c>
      <c r="RF19">
        <f t="shared" si="38"/>
        <v>93.281848159738985</v>
      </c>
      <c r="RG19">
        <f t="shared" si="38"/>
        <v>97.115254293075921</v>
      </c>
      <c r="RH19">
        <f t="shared" si="38"/>
        <v>93.070092651917832</v>
      </c>
      <c r="RI19">
        <f t="shared" si="38"/>
        <v>94.066666454839662</v>
      </c>
      <c r="RJ19">
        <f t="shared" si="38"/>
        <v>90.264540916048816</v>
      </c>
      <c r="RK19">
        <f t="shared" si="38"/>
        <v>88.638169428327927</v>
      </c>
      <c r="RL19">
        <f t="shared" si="38"/>
        <v>90.384636508118732</v>
      </c>
      <c r="RM19">
        <f t="shared" si="38"/>
        <v>86.504271637613442</v>
      </c>
      <c r="RN19">
        <f t="shared" si="38"/>
        <v>80.547635164220551</v>
      </c>
      <c r="RO19">
        <f t="shared" si="38"/>
        <v>86.221279905783931</v>
      </c>
      <c r="RP19">
        <f t="shared" si="38"/>
        <v>82.077910442515787</v>
      </c>
      <c r="RQ19">
        <f t="shared" si="38"/>
        <v>84.661399133351665</v>
      </c>
      <c r="RR19">
        <f t="shared" si="38"/>
        <v>85.33988041507483</v>
      </c>
      <c r="RS19">
        <f t="shared" si="38"/>
        <v>83.580328120856763</v>
      </c>
      <c r="RT19">
        <f t="shared" si="38"/>
        <v>89.552743995514732</v>
      </c>
      <c r="RU19">
        <f t="shared" si="38"/>
        <v>88.914478257005285</v>
      </c>
      <c r="RV19">
        <f t="shared" si="38"/>
        <v>87.351504376158829</v>
      </c>
      <c r="RW19">
        <f t="shared" si="38"/>
        <v>88.277578114761255</v>
      </c>
      <c r="RX19">
        <f t="shared" si="38"/>
        <v>89.833373094821738</v>
      </c>
      <c r="RY19">
        <f t="shared" si="38"/>
        <v>92.636719940067096</v>
      </c>
      <c r="RZ19">
        <f t="shared" si="38"/>
        <v>92.577070919804683</v>
      </c>
      <c r="SA19">
        <f t="shared" si="38"/>
        <v>102.3951502584202</v>
      </c>
      <c r="SB19">
        <f t="shared" si="38"/>
        <v>98.686577010547367</v>
      </c>
      <c r="SC19">
        <f t="shared" si="38"/>
        <v>92.51592476012155</v>
      </c>
      <c r="SD19">
        <f t="shared" si="38"/>
        <v>97.322970459550547</v>
      </c>
      <c r="SE19">
        <f t="shared" si="38"/>
        <v>95.964512079800585</v>
      </c>
      <c r="SF19">
        <f t="shared" si="38"/>
        <v>87.701261937613324</v>
      </c>
      <c r="SG19">
        <f t="shared" si="38"/>
        <v>87.972856590437033</v>
      </c>
      <c r="SH19">
        <f t="shared" si="38"/>
        <v>92.672664461066702</v>
      </c>
      <c r="SI19">
        <f t="shared" si="38"/>
        <v>92.063486933475815</v>
      </c>
      <c r="SJ19">
        <f t="shared" si="38"/>
        <v>93.947016920883542</v>
      </c>
      <c r="SK19">
        <f t="shared" si="38"/>
        <v>103.45996688598316</v>
      </c>
      <c r="SL19">
        <f t="shared" si="38"/>
        <v>103.57724425749934</v>
      </c>
      <c r="SM19">
        <f t="shared" si="38"/>
        <v>105.0474769266275</v>
      </c>
      <c r="SN19">
        <f t="shared" si="38"/>
        <v>95.880036102749528</v>
      </c>
      <c r="SO19">
        <f t="shared" si="38"/>
        <v>98.475171036555253</v>
      </c>
      <c r="SP19">
        <f t="shared" si="38"/>
        <v>99.330861141895667</v>
      </c>
      <c r="SQ19">
        <f t="shared" si="38"/>
        <v>99.373260927110593</v>
      </c>
      <c r="SR19">
        <f t="shared" si="38"/>
        <v>102.70761947378871</v>
      </c>
      <c r="SS19">
        <f t="shared" si="38"/>
        <v>101.78432946306575</v>
      </c>
      <c r="ST19">
        <f t="shared" si="38"/>
        <v>95.002055141906439</v>
      </c>
      <c r="SU19">
        <f t="shared" si="38"/>
        <v>96.837855400040397</v>
      </c>
      <c r="SV19">
        <f t="shared" si="32"/>
        <v>91.054747166987681</v>
      </c>
      <c r="SW19">
        <f t="shared" si="32"/>
        <v>91.599516447772231</v>
      </c>
      <c r="SX19">
        <f t="shared" si="32"/>
        <v>92.408522306610379</v>
      </c>
      <c r="SY19">
        <f t="shared" si="32"/>
        <v>95.135372524799948</v>
      </c>
      <c r="SZ19">
        <f t="shared" si="32"/>
        <v>94.345969286018246</v>
      </c>
      <c r="TA19">
        <f t="shared" si="32"/>
        <v>92.006760573843636</v>
      </c>
      <c r="TB19">
        <f t="shared" si="32"/>
        <v>86.966942508358485</v>
      </c>
      <c r="TC19">
        <f t="shared" si="32"/>
        <v>85.896459567754889</v>
      </c>
      <c r="TD19">
        <f t="shared" si="32"/>
        <v>90.418013331922225</v>
      </c>
      <c r="TE19">
        <f t="shared" si="32"/>
        <v>88.894395291174703</v>
      </c>
      <c r="TF19">
        <f t="shared" si="32"/>
        <v>89.364766433394379</v>
      </c>
      <c r="TG19">
        <f t="shared" si="32"/>
        <v>89.92649341723606</v>
      </c>
      <c r="TH19">
        <f t="shared" si="32"/>
        <v>92.021024576716883</v>
      </c>
      <c r="TI19">
        <f t="shared" si="32"/>
        <v>91.436956293688823</v>
      </c>
      <c r="TJ19">
        <f t="shared" si="32"/>
        <v>89.270024812224591</v>
      </c>
      <c r="TK19">
        <f t="shared" si="32"/>
        <v>94.740038765701541</v>
      </c>
      <c r="TL19">
        <f t="shared" si="32"/>
        <v>99.790977647163103</v>
      </c>
      <c r="TM19">
        <f t="shared" si="32"/>
        <v>94.011398029687413</v>
      </c>
      <c r="TN19">
        <f t="shared" si="32"/>
        <v>96.129228679876391</v>
      </c>
      <c r="TO19">
        <f t="shared" si="32"/>
        <v>100.59618083065409</v>
      </c>
      <c r="TP19">
        <f t="shared" si="32"/>
        <v>95.858909445098234</v>
      </c>
      <c r="TQ19">
        <f t="shared" si="32"/>
        <v>98.773406098641487</v>
      </c>
      <c r="TR19">
        <f t="shared" si="32"/>
        <v>95.649805462174811</v>
      </c>
      <c r="TS19">
        <f t="shared" si="32"/>
        <v>94.171089890777949</v>
      </c>
      <c r="TT19">
        <f t="shared" si="32"/>
        <v>90.249233900105011</v>
      </c>
      <c r="TU19">
        <f t="shared" si="32"/>
        <v>86.267170447180646</v>
      </c>
      <c r="TV19">
        <f t="shared" si="32"/>
        <v>83.42039325879739</v>
      </c>
      <c r="TW19">
        <f t="shared" si="32"/>
        <v>84.748814078400542</v>
      </c>
      <c r="TX19">
        <f t="shared" si="32"/>
        <v>81.155495492658176</v>
      </c>
      <c r="TY19">
        <f t="shared" si="32"/>
        <v>87.917316244287619</v>
      </c>
      <c r="TZ19">
        <f t="shared" si="32"/>
        <v>83.234300885352809</v>
      </c>
      <c r="UA19">
        <f t="shared" si="32"/>
        <v>84.280246449039907</v>
      </c>
      <c r="UB19">
        <f t="shared" si="32"/>
        <v>82.454095927817974</v>
      </c>
      <c r="UC19">
        <f t="shared" si="32"/>
        <v>79.721803660778605</v>
      </c>
      <c r="UD19">
        <f t="shared" si="32"/>
        <v>78.608055303638679</v>
      </c>
      <c r="UE19">
        <f t="shared" si="32"/>
        <v>79.356542714159843</v>
      </c>
      <c r="UF19">
        <f t="shared" si="32"/>
        <v>79.909762443438495</v>
      </c>
      <c r="UG19">
        <f t="shared" si="32"/>
        <v>77.840229019824989</v>
      </c>
      <c r="UH19">
        <f t="shared" si="32"/>
        <v>71.908970578160464</v>
      </c>
      <c r="UI19">
        <f t="shared" si="32"/>
        <v>72.186290930748868</v>
      </c>
      <c r="UJ19">
        <f t="shared" si="32"/>
        <v>69.764246582022807</v>
      </c>
      <c r="UK19">
        <f t="shared" si="32"/>
        <v>74.366269605291592</v>
      </c>
      <c r="UL19">
        <f t="shared" si="32"/>
        <v>76.812726622241797</v>
      </c>
      <c r="UM19">
        <f t="shared" si="32"/>
        <v>74.37374994381193</v>
      </c>
      <c r="UN19">
        <f t="shared" si="32"/>
        <v>72.569490691382796</v>
      </c>
      <c r="UO19">
        <f t="shared" si="32"/>
        <v>71.133223417376371</v>
      </c>
      <c r="UP19">
        <f t="shared" si="32"/>
        <v>67.635177441716209</v>
      </c>
      <c r="UQ19">
        <f t="shared" si="32"/>
        <v>68.061051221090324</v>
      </c>
      <c r="UR19">
        <f t="shared" si="32"/>
        <v>69.734650820746097</v>
      </c>
      <c r="US19">
        <f t="shared" si="32"/>
        <v>71.512149037578226</v>
      </c>
      <c r="UT19">
        <f t="shared" si="32"/>
        <v>73.849615031107234</v>
      </c>
      <c r="UU19">
        <f t="shared" si="32"/>
        <v>72.732092547261246</v>
      </c>
      <c r="UV19">
        <f t="shared" si="32"/>
        <v>69.661100526135144</v>
      </c>
      <c r="UW19">
        <f t="shared" si="32"/>
        <v>71.565237968271674</v>
      </c>
      <c r="UX19">
        <f t="shared" si="32"/>
        <v>75.074579029915554</v>
      </c>
      <c r="UY19">
        <f t="shared" si="32"/>
        <v>72.435846938191688</v>
      </c>
      <c r="UZ19">
        <f t="shared" si="32"/>
        <v>69.607639243688538</v>
      </c>
      <c r="VA19">
        <f t="shared" si="32"/>
        <v>65.953489218531999</v>
      </c>
      <c r="VB19">
        <f t="shared" si="32"/>
        <v>68.426095632196507</v>
      </c>
      <c r="VC19">
        <f t="shared" si="32"/>
        <v>67.372159234608361</v>
      </c>
      <c r="VD19">
        <f t="shared" si="32"/>
        <v>61.007202788558367</v>
      </c>
      <c r="VE19">
        <f t="shared" si="32"/>
        <v>57.300177784518922</v>
      </c>
      <c r="VF19">
        <f t="shared" si="32"/>
        <v>56.795917885383091</v>
      </c>
      <c r="VG19">
        <f t="shared" si="21"/>
        <v>56.932485235706082</v>
      </c>
      <c r="VH19">
        <f t="shared" si="39"/>
        <v>52.90766270814045</v>
      </c>
      <c r="VI19">
        <f t="shared" si="39"/>
        <v>51.179333159559327</v>
      </c>
      <c r="VJ19">
        <f t="shared" si="39"/>
        <v>52.741703028454566</v>
      </c>
      <c r="VK19">
        <f t="shared" si="39"/>
        <v>56.96204603089447</v>
      </c>
      <c r="VL19">
        <f t="shared" si="39"/>
        <v>55.33978406274268</v>
      </c>
      <c r="VM19">
        <f t="shared" si="39"/>
        <v>53.011966222453992</v>
      </c>
      <c r="VN19">
        <f t="shared" si="39"/>
        <v>52.798890912178244</v>
      </c>
      <c r="VO19">
        <f t="shared" si="39"/>
        <v>51.901350502681957</v>
      </c>
      <c r="VP19">
        <f t="shared" si="39"/>
        <v>53.355951383866831</v>
      </c>
      <c r="VQ19">
        <f t="shared" si="39"/>
        <v>56.323868090204527</v>
      </c>
      <c r="VR19">
        <f t="shared" si="39"/>
        <v>56.179042196999127</v>
      </c>
      <c r="VS19">
        <f t="shared" si="39"/>
        <v>58.573863761922446</v>
      </c>
      <c r="VT19">
        <f t="shared" si="39"/>
        <v>60.984753776005846</v>
      </c>
      <c r="VU19">
        <f t="shared" si="39"/>
        <v>61.415467025963622</v>
      </c>
      <c r="VV19">
        <f t="shared" si="39"/>
        <v>55.057432344999448</v>
      </c>
      <c r="VW19">
        <f t="shared" si="39"/>
        <v>56.035545012905523</v>
      </c>
      <c r="VX19">
        <f t="shared" si="39"/>
        <v>52.917497737833905</v>
      </c>
      <c r="VY19">
        <f t="shared" si="39"/>
        <v>53.665883151863831</v>
      </c>
      <c r="VZ19">
        <f t="shared" si="39"/>
        <v>51.954467469235261</v>
      </c>
      <c r="WA19">
        <f t="shared" si="39"/>
        <v>51.637185632272853</v>
      </c>
      <c r="WB19">
        <f t="shared" si="39"/>
        <v>53.213618953972613</v>
      </c>
      <c r="WC19">
        <f t="shared" si="39"/>
        <v>53.709697068602011</v>
      </c>
      <c r="WD19">
        <f t="shared" si="39"/>
        <v>53.690601737759067</v>
      </c>
      <c r="WE19">
        <f t="shared" si="39"/>
        <v>51.880142242049907</v>
      </c>
      <c r="WF19">
        <f t="shared" si="39"/>
        <v>49.930548016117775</v>
      </c>
      <c r="WG19">
        <f t="shared" si="39"/>
        <v>48.266687178944188</v>
      </c>
      <c r="WH19">
        <f t="shared" si="39"/>
        <v>47.690100068666155</v>
      </c>
      <c r="WI19">
        <f t="shared" si="39"/>
        <v>43.518151010990977</v>
      </c>
      <c r="WJ19">
        <f t="shared" si="39"/>
        <v>41.523372927037691</v>
      </c>
      <c r="WK19">
        <f t="shared" si="39"/>
        <v>42.572458036939899</v>
      </c>
      <c r="WL19">
        <f t="shared" si="39"/>
        <v>40.817132466818535</v>
      </c>
      <c r="WM19">
        <f t="shared" si="39"/>
        <v>38.723613492424917</v>
      </c>
      <c r="WN19">
        <f t="shared" si="39"/>
        <v>35.721977625699324</v>
      </c>
      <c r="WO19">
        <f t="shared" si="39"/>
        <v>36.936963256137396</v>
      </c>
      <c r="WP19">
        <f t="shared" si="39"/>
        <v>41.563134997279235</v>
      </c>
      <c r="WQ19">
        <f t="shared" si="39"/>
        <v>41.072668748096859</v>
      </c>
      <c r="WR19">
        <f t="shared" si="39"/>
        <v>41.443187902607363</v>
      </c>
      <c r="WS19">
        <f t="shared" si="39"/>
        <v>41.321384852268501</v>
      </c>
      <c r="WT19">
        <f t="shared" si="39"/>
        <v>39.620996199801695</v>
      </c>
      <c r="WU19">
        <f t="shared" si="39"/>
        <v>41.118577455027442</v>
      </c>
      <c r="WV19">
        <f t="shared" si="39"/>
        <v>41.376843386028561</v>
      </c>
      <c r="WW19">
        <f t="shared" si="39"/>
        <v>42.662004749620465</v>
      </c>
      <c r="WX19">
        <f t="shared" si="39"/>
        <v>43.17355560826708</v>
      </c>
      <c r="WY19">
        <f t="shared" si="39"/>
        <v>42.06620428527966</v>
      </c>
      <c r="WZ19">
        <f t="shared" si="39"/>
        <v>44.687630592055029</v>
      </c>
      <c r="XA19">
        <f t="shared" si="39"/>
        <v>44.522796271181392</v>
      </c>
      <c r="XB19">
        <f t="shared" si="39"/>
        <v>46.292359274669316</v>
      </c>
      <c r="XC19">
        <f t="shared" si="39"/>
        <v>44.57194370887099</v>
      </c>
      <c r="XD19">
        <f t="shared" si="39"/>
        <v>43.795710165867831</v>
      </c>
      <c r="XE19">
        <f t="shared" si="39"/>
        <v>43.193187777877789</v>
      </c>
      <c r="XF19">
        <f t="shared" si="39"/>
        <v>41.075073484169202</v>
      </c>
      <c r="XG19">
        <f t="shared" si="39"/>
        <v>44.96919620648783</v>
      </c>
      <c r="XH19">
        <f t="shared" si="39"/>
        <v>44.07300076888675</v>
      </c>
      <c r="XI19">
        <f t="shared" si="39"/>
        <v>45.822521479893773</v>
      </c>
      <c r="XJ19">
        <f t="shared" si="39"/>
        <v>44.6201323775554</v>
      </c>
      <c r="XK19">
        <f t="shared" si="39"/>
        <v>44.917227671644262</v>
      </c>
      <c r="XL19">
        <f t="shared" si="39"/>
        <v>46.541342865330535</v>
      </c>
      <c r="XM19">
        <f t="shared" si="39"/>
        <v>46.599187534225713</v>
      </c>
      <c r="XN19">
        <f t="shared" si="39"/>
        <v>45.658992148061543</v>
      </c>
      <c r="XO19">
        <f t="shared" si="39"/>
        <v>44.707619610387312</v>
      </c>
      <c r="XP19">
        <f t="shared" si="39"/>
        <v>42.353994418485598</v>
      </c>
      <c r="XQ19">
        <f t="shared" si="39"/>
        <v>43.995885408538847</v>
      </c>
      <c r="XR19">
        <f t="shared" si="39"/>
        <v>42.842569817742962</v>
      </c>
      <c r="XS19">
        <f t="shared" si="39"/>
        <v>42.158199379809965</v>
      </c>
      <c r="XT19">
        <f t="shared" si="33"/>
        <v>43.47753611926673</v>
      </c>
      <c r="XU19">
        <f t="shared" si="33"/>
        <v>42.616579544389566</v>
      </c>
      <c r="XV19">
        <f t="shared" si="33"/>
        <v>47.653106933499231</v>
      </c>
      <c r="XW19">
        <f t="shared" si="33"/>
        <v>50.289029161903919</v>
      </c>
      <c r="XX19">
        <f t="shared" si="33"/>
        <v>51.171525695306364</v>
      </c>
      <c r="XY19">
        <f t="shared" si="33"/>
        <v>49.927212097550075</v>
      </c>
      <c r="XZ19">
        <f t="shared" si="33"/>
        <v>49.3854399770375</v>
      </c>
      <c r="YA19">
        <f t="shared" si="33"/>
        <v>54.752989454542629</v>
      </c>
      <c r="YB19">
        <f t="shared" si="33"/>
        <v>46.152577875535371</v>
      </c>
      <c r="YC19">
        <f t="shared" si="33"/>
        <v>46.375914930197276</v>
      </c>
      <c r="YD19">
        <f t="shared" si="33"/>
        <v>41.282796038016983</v>
      </c>
      <c r="YE19">
        <f t="shared" si="33"/>
        <v>42.615710922424462</v>
      </c>
      <c r="YF19">
        <f t="shared" si="33"/>
        <v>44.395314699677002</v>
      </c>
      <c r="YG19">
        <f t="shared" si="33"/>
        <v>45.894530271999074</v>
      </c>
      <c r="YH19">
        <f t="shared" si="33"/>
        <v>49.873073532967418</v>
      </c>
      <c r="YI19">
        <f t="shared" si="33"/>
        <v>49.99344074948938</v>
      </c>
      <c r="YJ19">
        <f t="shared" si="33"/>
        <v>50.076893497770499</v>
      </c>
      <c r="YK19">
        <f t="shared" si="33"/>
        <v>49.354533038917964</v>
      </c>
      <c r="YL19">
        <f t="shared" si="33"/>
        <v>49.955202707995419</v>
      </c>
      <c r="YM19">
        <f t="shared" si="33"/>
        <v>50.109517690230973</v>
      </c>
      <c r="YN19">
        <f t="shared" si="33"/>
        <v>46.744719656258411</v>
      </c>
      <c r="YO19">
        <f t="shared" si="33"/>
        <v>45.337286151942905</v>
      </c>
      <c r="YP19">
        <f t="shared" si="33"/>
        <v>48.238885420530202</v>
      </c>
      <c r="YQ19">
        <f t="shared" si="33"/>
        <v>47.813816703994455</v>
      </c>
      <c r="YR19">
        <f t="shared" si="33"/>
        <v>48.58675867657022</v>
      </c>
      <c r="YS19">
        <f t="shared" si="33"/>
        <v>49.927352112897125</v>
      </c>
      <c r="YT19">
        <f t="shared" si="33"/>
        <v>51.82010733417065</v>
      </c>
      <c r="YU19">
        <f t="shared" si="33"/>
        <v>52.449395239081291</v>
      </c>
      <c r="YV19">
        <f t="shared" si="33"/>
        <v>45.7179430572561</v>
      </c>
      <c r="YW19">
        <f t="shared" si="33"/>
        <v>44.184233381946811</v>
      </c>
      <c r="YX19">
        <f t="shared" si="33"/>
        <v>43.520302693013797</v>
      </c>
      <c r="YY19">
        <f t="shared" si="33"/>
        <v>48.807666765102368</v>
      </c>
      <c r="YZ19">
        <f t="shared" si="33"/>
        <v>47.430074037012346</v>
      </c>
      <c r="ZA19">
        <f t="shared" si="33"/>
        <v>47.124782207524703</v>
      </c>
      <c r="ZB19">
        <f t="shared" si="33"/>
        <v>45.79198153536241</v>
      </c>
      <c r="ZC19">
        <f t="shared" si="33"/>
        <v>42.921686982985854</v>
      </c>
      <c r="ZD19">
        <f t="shared" si="33"/>
        <v>40.942012530047286</v>
      </c>
      <c r="ZE19">
        <f t="shared" si="33"/>
        <v>40.912898427628711</v>
      </c>
      <c r="ZF19">
        <f t="shared" si="33"/>
        <v>40.413483554970703</v>
      </c>
      <c r="ZG19">
        <f t="shared" si="33"/>
        <v>43.536910948200315</v>
      </c>
      <c r="ZH19">
        <f t="shared" si="33"/>
        <v>42.398344788732025</v>
      </c>
      <c r="ZI19">
        <f t="shared" si="33"/>
        <v>42.631447394000055</v>
      </c>
      <c r="ZJ19">
        <f t="shared" si="33"/>
        <v>43.689191303606009</v>
      </c>
      <c r="ZK19">
        <f t="shared" si="33"/>
        <v>44.90200953246665</v>
      </c>
      <c r="ZL19">
        <f t="shared" si="33"/>
        <v>40.564227865796596</v>
      </c>
      <c r="ZM19">
        <f t="shared" si="33"/>
        <v>39.990190353713608</v>
      </c>
      <c r="ZN19">
        <f t="shared" si="33"/>
        <v>40.444561774311573</v>
      </c>
      <c r="ZO19">
        <f t="shared" si="33"/>
        <v>37.995655082444308</v>
      </c>
      <c r="ZP19">
        <f t="shared" si="33"/>
        <v>42.445695504538534</v>
      </c>
      <c r="ZQ19">
        <f t="shared" si="33"/>
        <v>42.584212179416042</v>
      </c>
      <c r="ZR19">
        <f t="shared" si="33"/>
        <v>41.30304075488209</v>
      </c>
      <c r="ZS19">
        <f t="shared" si="33"/>
        <v>42.615282899901658</v>
      </c>
      <c r="ZT19">
        <f t="shared" si="33"/>
        <v>43.531397003021326</v>
      </c>
      <c r="ZU19">
        <f t="shared" si="33"/>
        <v>44.915177285575986</v>
      </c>
      <c r="ZV19">
        <f t="shared" si="33"/>
        <v>44.15410031853591</v>
      </c>
      <c r="ZW19">
        <f t="shared" si="33"/>
        <v>45.811753082776519</v>
      </c>
      <c r="ZX19">
        <f t="shared" si="33"/>
        <v>44.115913036127445</v>
      </c>
      <c r="ZY19">
        <f t="shared" si="33"/>
        <v>42.684057234749972</v>
      </c>
      <c r="ZZ19">
        <f t="shared" si="33"/>
        <v>41.074673494342242</v>
      </c>
      <c r="AAA19">
        <f t="shared" si="33"/>
        <v>43.393197577445228</v>
      </c>
      <c r="AAB19">
        <f t="shared" si="33"/>
        <v>42.462463190422561</v>
      </c>
      <c r="AAC19">
        <f t="shared" si="33"/>
        <v>45.691775745760921</v>
      </c>
      <c r="AAD19">
        <f t="shared" si="33"/>
        <v>47.247691303417639</v>
      </c>
      <c r="AAE19">
        <f t="shared" si="23"/>
        <v>50.116420037389069</v>
      </c>
      <c r="AAF19">
        <f t="shared" si="40"/>
        <v>52.311407447054222</v>
      </c>
      <c r="AAG19">
        <f t="shared" si="40"/>
        <v>50.992379113268676</v>
      </c>
      <c r="AAH19">
        <f t="shared" si="40"/>
        <v>52.393366175170286</v>
      </c>
      <c r="AAI19">
        <f t="shared" si="40"/>
        <v>52.742472686619969</v>
      </c>
      <c r="AAJ19">
        <f t="shared" si="40"/>
        <v>54.099848113611273</v>
      </c>
      <c r="AAK19">
        <f t="shared" si="40"/>
        <v>55.567544282644526</v>
      </c>
      <c r="AAL19">
        <f t="shared" si="40"/>
        <v>51.963335144707351</v>
      </c>
      <c r="AAM19">
        <f t="shared" si="40"/>
        <v>50.158969721668612</v>
      </c>
      <c r="AAN19">
        <f t="shared" si="40"/>
        <v>48.393955884840267</v>
      </c>
      <c r="AAO19">
        <f t="shared" si="40"/>
        <v>46.027923166868646</v>
      </c>
      <c r="AAP19">
        <f t="shared" si="40"/>
        <v>48.664607037569056</v>
      </c>
      <c r="AAQ19">
        <f t="shared" si="40"/>
        <v>47.277245970543824</v>
      </c>
      <c r="AAR19">
        <f t="shared" si="40"/>
        <v>46.449443013524004</v>
      </c>
      <c r="AAS19">
        <f t="shared" si="40"/>
        <v>46.571369328679083</v>
      </c>
      <c r="AAT19">
        <f t="shared" si="40"/>
        <v>47.799509896186485</v>
      </c>
      <c r="AAU19">
        <f t="shared" si="40"/>
        <v>46.172973283445458</v>
      </c>
      <c r="AAV19">
        <f t="shared" si="40"/>
        <v>48.394181874438416</v>
      </c>
      <c r="AAW19">
        <f t="shared" si="40"/>
        <v>50.555822148043767</v>
      </c>
      <c r="AAX19">
        <f t="shared" si="40"/>
        <v>47.476007239787876</v>
      </c>
      <c r="AAY19">
        <f t="shared" si="40"/>
        <v>45.808814696389689</v>
      </c>
      <c r="AAZ19">
        <f t="shared" si="40"/>
        <v>45.867905938697021</v>
      </c>
      <c r="ABA19">
        <f t="shared" si="40"/>
        <v>46.228289988662198</v>
      </c>
      <c r="ABB19">
        <f t="shared" si="40"/>
        <v>47.516616935616888</v>
      </c>
      <c r="ABC19">
        <f t="shared" si="40"/>
        <v>50.434726627746144</v>
      </c>
      <c r="ABD19">
        <f t="shared" si="40"/>
        <v>49.653798336884066</v>
      </c>
      <c r="ABE19">
        <f t="shared" si="40"/>
        <v>51.412118826423765</v>
      </c>
      <c r="ABF19">
        <f t="shared" si="40"/>
        <v>51.944190015528392</v>
      </c>
      <c r="ABG19">
        <f t="shared" si="40"/>
        <v>47.533751779806686</v>
      </c>
      <c r="ABH19">
        <f t="shared" si="40"/>
        <v>47.254038281205062</v>
      </c>
      <c r="ABI19">
        <f t="shared" si="40"/>
        <v>47.082050279593773</v>
      </c>
      <c r="ABJ19">
        <f t="shared" si="40"/>
        <v>50.104108908149634</v>
      </c>
      <c r="ABK19">
        <f t="shared" si="40"/>
        <v>53.895773265055418</v>
      </c>
      <c r="ABL19">
        <f t="shared" si="40"/>
        <v>53.389393674273634</v>
      </c>
      <c r="ABM19">
        <f t="shared" si="40"/>
        <v>50.788646767045101</v>
      </c>
      <c r="ABN19">
        <f t="shared" si="40"/>
        <v>50.98564318743103</v>
      </c>
      <c r="ABO19">
        <f t="shared" si="40"/>
        <v>50.597954180347173</v>
      </c>
      <c r="ABP19">
        <f t="shared" si="40"/>
        <v>49.90399833272869</v>
      </c>
      <c r="ABQ19">
        <f t="shared" si="40"/>
        <v>51.829911591602901</v>
      </c>
      <c r="ABR19">
        <f t="shared" si="40"/>
        <v>50.935876208720686</v>
      </c>
      <c r="ABS19">
        <f t="shared" si="40"/>
        <v>51.109051151120603</v>
      </c>
      <c r="ABT19">
        <f t="shared" si="40"/>
        <v>53.286638660475894</v>
      </c>
      <c r="ABU19">
        <f t="shared" si="40"/>
        <v>52.603046148711073</v>
      </c>
      <c r="ABV19">
        <f t="shared" si="40"/>
        <v>53.393766520083084</v>
      </c>
      <c r="ABW19">
        <f t="shared" si="40"/>
        <v>53.306115189455298</v>
      </c>
      <c r="ABX19">
        <f t="shared" si="40"/>
        <v>55.916546448629056</v>
      </c>
      <c r="ABY19">
        <f t="shared" si="40"/>
        <v>60.292510010570439</v>
      </c>
      <c r="ABZ19">
        <f t="shared" si="40"/>
        <v>62.661772852780004</v>
      </c>
      <c r="ACA19">
        <f t="shared" si="40"/>
        <v>57.765946443436981</v>
      </c>
      <c r="ACB19">
        <f t="shared" si="40"/>
        <v>59.070143644493868</v>
      </c>
      <c r="ACC19">
        <f t="shared" si="40"/>
        <v>60.675303971914722</v>
      </c>
      <c r="ACD19">
        <f t="shared" si="40"/>
        <v>62.570916316532305</v>
      </c>
      <c r="ACE19">
        <f t="shared" si="40"/>
        <v>63.803720635640055</v>
      </c>
      <c r="ACF19">
        <f t="shared" si="40"/>
        <v>62.965027731333542</v>
      </c>
      <c r="ACG19">
        <f t="shared" si="40"/>
        <v>61.148137435411243</v>
      </c>
      <c r="ACH19">
        <f t="shared" si="40"/>
        <v>59.362646523212689</v>
      </c>
      <c r="ACI19">
        <f t="shared" si="40"/>
        <v>65.660388988386302</v>
      </c>
      <c r="ACJ19">
        <f t="shared" si="40"/>
        <v>64.550059566626572</v>
      </c>
      <c r="ACK19">
        <f t="shared" si="40"/>
        <v>62.200760903903472</v>
      </c>
      <c r="ACL19">
        <f t="shared" si="40"/>
        <v>58.829824526081445</v>
      </c>
      <c r="ACM19">
        <f t="shared" si="40"/>
        <v>63.987048464534865</v>
      </c>
      <c r="ACN19">
        <f t="shared" si="40"/>
        <v>69.894886764182715</v>
      </c>
      <c r="ACO19">
        <f t="shared" si="40"/>
        <v>70.25639908895306</v>
      </c>
      <c r="ACP19">
        <f t="shared" si="40"/>
        <v>64.463923019124323</v>
      </c>
      <c r="ACQ19">
        <f t="shared" si="40"/>
        <v>63.833433882153521</v>
      </c>
      <c r="ACR19">
        <f t="shared" si="34"/>
        <v>61.162311452615413</v>
      </c>
      <c r="ACS19">
        <f t="shared" si="34"/>
        <v>60.993479039089621</v>
      </c>
      <c r="ACT19">
        <f t="shared" si="34"/>
        <v>62.87233904706531</v>
      </c>
      <c r="ACU19">
        <f t="shared" si="34"/>
        <v>62.454989748839843</v>
      </c>
      <c r="ACV19">
        <f t="shared" si="34"/>
        <v>62.510412059310966</v>
      </c>
    </row>
    <row r="20" spans="1:776" x14ac:dyDescent="0.2">
      <c r="A20" s="7" t="s">
        <v>70660</v>
      </c>
      <c r="B20">
        <f t="shared" si="26"/>
        <v>100.85470996594852</v>
      </c>
      <c r="C20">
        <f t="shared" si="27"/>
        <v>107.36240355142081</v>
      </c>
      <c r="D20">
        <f t="shared" ref="D20:BO20" si="42">C20*(1+D10/10)</f>
        <v>111.62055693360516</v>
      </c>
      <c r="E20">
        <f t="shared" si="42"/>
        <v>112.31844942862912</v>
      </c>
      <c r="F20">
        <f t="shared" si="42"/>
        <v>109.3942038353014</v>
      </c>
      <c r="G20">
        <f t="shared" si="42"/>
        <v>112.7275821444734</v>
      </c>
      <c r="H20">
        <f t="shared" si="42"/>
        <v>113.17002768982182</v>
      </c>
      <c r="I20">
        <f t="shared" si="42"/>
        <v>111.94286900684232</v>
      </c>
      <c r="J20">
        <f t="shared" si="42"/>
        <v>112.66493097255982</v>
      </c>
      <c r="K20">
        <f t="shared" si="42"/>
        <v>106.04755651290783</v>
      </c>
      <c r="L20">
        <f t="shared" si="42"/>
        <v>102.46902716509167</v>
      </c>
      <c r="M20">
        <f t="shared" si="42"/>
        <v>97.736963007070401</v>
      </c>
      <c r="N20">
        <f t="shared" si="42"/>
        <v>102.22919713092128</v>
      </c>
      <c r="O20">
        <f t="shared" si="42"/>
        <v>94.517361785227948</v>
      </c>
      <c r="P20">
        <f t="shared" si="42"/>
        <v>101.16283656659309</v>
      </c>
      <c r="Q20">
        <f t="shared" si="42"/>
        <v>101.3603765777148</v>
      </c>
      <c r="R20">
        <f t="shared" si="42"/>
        <v>98.06870503388177</v>
      </c>
      <c r="S20">
        <f t="shared" si="42"/>
        <v>91.218836330565779</v>
      </c>
      <c r="T20">
        <f t="shared" si="42"/>
        <v>99.012822793728077</v>
      </c>
      <c r="U20">
        <f t="shared" si="42"/>
        <v>98.408382803157679</v>
      </c>
      <c r="V20">
        <f t="shared" si="42"/>
        <v>99.568590705962663</v>
      </c>
      <c r="W20">
        <f t="shared" si="42"/>
        <v>93.012345553486625</v>
      </c>
      <c r="X20">
        <f t="shared" si="42"/>
        <v>87.230401459186112</v>
      </c>
      <c r="Y20">
        <f t="shared" si="42"/>
        <v>84.278547645230759</v>
      </c>
      <c r="Z20">
        <f t="shared" si="42"/>
        <v>80.281596879694789</v>
      </c>
      <c r="AA20">
        <f t="shared" si="42"/>
        <v>84.373750039609334</v>
      </c>
      <c r="AB20">
        <f t="shared" si="42"/>
        <v>82.317618094117648</v>
      </c>
      <c r="AC20">
        <f t="shared" si="42"/>
        <v>79.874921328476447</v>
      </c>
      <c r="AD20">
        <f t="shared" si="42"/>
        <v>79.74481851461843</v>
      </c>
      <c r="AE20">
        <f t="shared" si="42"/>
        <v>79.307951502456788</v>
      </c>
      <c r="AF20">
        <f t="shared" si="42"/>
        <v>78.591839178293256</v>
      </c>
      <c r="AG20">
        <f t="shared" si="42"/>
        <v>74.854107848054042</v>
      </c>
      <c r="AH20">
        <f t="shared" si="42"/>
        <v>77.247381900315162</v>
      </c>
      <c r="AI20">
        <f t="shared" si="42"/>
        <v>78.883468673837214</v>
      </c>
      <c r="AJ20">
        <f t="shared" si="42"/>
        <v>72.890806675751406</v>
      </c>
      <c r="AK20">
        <f t="shared" si="42"/>
        <v>72.939127438048928</v>
      </c>
      <c r="AL20">
        <f t="shared" si="42"/>
        <v>75.743558502360571</v>
      </c>
      <c r="AM20">
        <f t="shared" si="42"/>
        <v>78.182598909211308</v>
      </c>
      <c r="AN20">
        <f t="shared" si="42"/>
        <v>72.006812823093924</v>
      </c>
      <c r="AO20">
        <f t="shared" si="42"/>
        <v>73.142749779314514</v>
      </c>
      <c r="AP20">
        <f t="shared" si="42"/>
        <v>76.034101735882217</v>
      </c>
      <c r="AQ20">
        <f t="shared" si="42"/>
        <v>77.867604867705523</v>
      </c>
      <c r="AR20">
        <f t="shared" si="42"/>
        <v>84.491915215421628</v>
      </c>
      <c r="AS20">
        <f t="shared" si="42"/>
        <v>80.994316179110385</v>
      </c>
      <c r="AT20">
        <f t="shared" si="42"/>
        <v>90.247354346594946</v>
      </c>
      <c r="AU20">
        <f t="shared" si="42"/>
        <v>93.898844360880673</v>
      </c>
      <c r="AV20">
        <f t="shared" si="42"/>
        <v>92.434141708594169</v>
      </c>
      <c r="AW20">
        <f t="shared" si="42"/>
        <v>93.53792614464723</v>
      </c>
      <c r="AX20">
        <f t="shared" si="42"/>
        <v>87.559616844351879</v>
      </c>
      <c r="AY20">
        <f t="shared" si="42"/>
        <v>83.086310718817444</v>
      </c>
      <c r="AZ20">
        <f t="shared" si="42"/>
        <v>83.436125132424223</v>
      </c>
      <c r="BA20">
        <f t="shared" si="42"/>
        <v>80.721692540495496</v>
      </c>
      <c r="BB20">
        <f t="shared" si="42"/>
        <v>85.657608452894223</v>
      </c>
      <c r="BC20">
        <f t="shared" si="42"/>
        <v>89.899648306825384</v>
      </c>
      <c r="BD20">
        <f t="shared" si="42"/>
        <v>86.813343076397558</v>
      </c>
      <c r="BE20">
        <f t="shared" si="42"/>
        <v>87.586506692670028</v>
      </c>
      <c r="BF20">
        <f t="shared" si="42"/>
        <v>85.244586238809944</v>
      </c>
      <c r="BG20">
        <f t="shared" si="42"/>
        <v>79.811075873299416</v>
      </c>
      <c r="BH20">
        <f t="shared" si="42"/>
        <v>87.317052927751519</v>
      </c>
      <c r="BI20">
        <f t="shared" si="42"/>
        <v>89.391167889970461</v>
      </c>
      <c r="BJ20">
        <f t="shared" si="42"/>
        <v>91.338175974262654</v>
      </c>
      <c r="BK20">
        <f t="shared" si="42"/>
        <v>98.90199025189365</v>
      </c>
      <c r="BL20">
        <f t="shared" si="42"/>
        <v>97.734810641362856</v>
      </c>
      <c r="BM20">
        <f t="shared" si="42"/>
        <v>86.412759288619142</v>
      </c>
      <c r="BN20">
        <f t="shared" si="42"/>
        <v>84.383659534462254</v>
      </c>
      <c r="BO20">
        <f t="shared" si="42"/>
        <v>88.480957572905965</v>
      </c>
      <c r="BP20">
        <f t="shared" si="41"/>
        <v>88.49027269239528</v>
      </c>
      <c r="BQ20">
        <f t="shared" si="41"/>
        <v>88.196784983329096</v>
      </c>
      <c r="BR20">
        <f t="shared" si="41"/>
        <v>82.756121619075302</v>
      </c>
      <c r="BS20">
        <f t="shared" si="41"/>
        <v>87.52988967439714</v>
      </c>
      <c r="BT20">
        <f t="shared" si="41"/>
        <v>89.818775272749789</v>
      </c>
      <c r="BU20">
        <f t="shared" si="41"/>
        <v>87.707048815750937</v>
      </c>
      <c r="BV20">
        <f t="shared" si="41"/>
        <v>90.61020583386258</v>
      </c>
      <c r="BW20">
        <f t="shared" si="41"/>
        <v>89.580590245786993</v>
      </c>
      <c r="BX20">
        <f t="shared" si="41"/>
        <v>92.440922533271916</v>
      </c>
      <c r="BY20">
        <f t="shared" si="41"/>
        <v>92.258122568327451</v>
      </c>
      <c r="BZ20">
        <f t="shared" si="41"/>
        <v>91.348192155045609</v>
      </c>
      <c r="CA20">
        <f t="shared" si="41"/>
        <v>87.303339895394387</v>
      </c>
      <c r="CB20">
        <f t="shared" si="41"/>
        <v>87.084619911115425</v>
      </c>
      <c r="CC20">
        <f t="shared" si="41"/>
        <v>87.437087487126817</v>
      </c>
      <c r="CD20">
        <f t="shared" si="41"/>
        <v>92.189003396814527</v>
      </c>
      <c r="CE20">
        <f t="shared" si="41"/>
        <v>91.234177489805091</v>
      </c>
      <c r="CF20">
        <f t="shared" si="41"/>
        <v>90.353048346316712</v>
      </c>
      <c r="CG20">
        <f t="shared" si="41"/>
        <v>88.462755692344714</v>
      </c>
      <c r="CH20">
        <f t="shared" si="41"/>
        <v>99.077133556853212</v>
      </c>
      <c r="CI20">
        <f t="shared" si="41"/>
        <v>105.16551549269485</v>
      </c>
      <c r="CJ20">
        <f t="shared" si="41"/>
        <v>109.72120645558161</v>
      </c>
      <c r="CK20">
        <f t="shared" si="41"/>
        <v>116.31441369246998</v>
      </c>
      <c r="CL20">
        <f t="shared" si="41"/>
        <v>112.77444571433118</v>
      </c>
      <c r="CM20">
        <f t="shared" si="41"/>
        <v>112.7326219317077</v>
      </c>
      <c r="CN20">
        <f t="shared" si="41"/>
        <v>121.00094840014978</v>
      </c>
      <c r="CO20">
        <f t="shared" si="41"/>
        <v>122.50456255342559</v>
      </c>
      <c r="CP20">
        <f t="shared" si="41"/>
        <v>123.26266055244284</v>
      </c>
      <c r="CQ20">
        <f t="shared" si="41"/>
        <v>124.46971666274189</v>
      </c>
      <c r="CR20">
        <f t="shared" si="41"/>
        <v>140.96867331832073</v>
      </c>
      <c r="CS20">
        <f t="shared" si="41"/>
        <v>147.5806121757976</v>
      </c>
      <c r="CT20">
        <f t="shared" si="41"/>
        <v>147.82130951388621</v>
      </c>
      <c r="CU20">
        <f t="shared" si="41"/>
        <v>143.56621588611304</v>
      </c>
      <c r="CV20">
        <f t="shared" si="41"/>
        <v>140.29817738392435</v>
      </c>
      <c r="CW20">
        <f t="shared" si="41"/>
        <v>147.22242732839959</v>
      </c>
      <c r="CX20">
        <f t="shared" si="41"/>
        <v>157.38787728057278</v>
      </c>
      <c r="CY20">
        <f t="shared" si="41"/>
        <v>147.12559990978551</v>
      </c>
      <c r="CZ20">
        <f t="shared" si="41"/>
        <v>151.92918674570913</v>
      </c>
      <c r="DA20">
        <f t="shared" si="41"/>
        <v>158.02410955934891</v>
      </c>
      <c r="DB20">
        <f t="shared" si="41"/>
        <v>169.26387130628129</v>
      </c>
      <c r="DC20">
        <f t="shared" si="41"/>
        <v>193.62852927590129</v>
      </c>
      <c r="DD20">
        <f t="shared" si="41"/>
        <v>181.72901235041036</v>
      </c>
      <c r="DE20">
        <f t="shared" si="41"/>
        <v>161.78051438102042</v>
      </c>
      <c r="DF20">
        <f t="shared" si="41"/>
        <v>170.24669878182982</v>
      </c>
      <c r="DG20">
        <f t="shared" si="41"/>
        <v>165.49972347341028</v>
      </c>
      <c r="DH20">
        <f t="shared" si="41"/>
        <v>161.7802585788576</v>
      </c>
      <c r="DI20">
        <f t="shared" si="41"/>
        <v>167.87291037565893</v>
      </c>
      <c r="DJ20">
        <f t="shared" si="41"/>
        <v>172.79306840461444</v>
      </c>
      <c r="DK20">
        <f t="shared" si="41"/>
        <v>157.59252192468838</v>
      </c>
      <c r="DL20">
        <f t="shared" si="41"/>
        <v>158.18007757400767</v>
      </c>
      <c r="DM20">
        <f t="shared" si="41"/>
        <v>176.43575600252802</v>
      </c>
      <c r="DN20">
        <f t="shared" si="41"/>
        <v>162.57379515344329</v>
      </c>
      <c r="DO20">
        <f t="shared" si="41"/>
        <v>165.42310449613399</v>
      </c>
      <c r="DP20">
        <f t="shared" si="41"/>
        <v>168.5160135286927</v>
      </c>
      <c r="DQ20">
        <f t="shared" si="41"/>
        <v>161.04414890644838</v>
      </c>
      <c r="DR20">
        <f t="shared" si="41"/>
        <v>158.22891468809703</v>
      </c>
      <c r="DS20">
        <f t="shared" si="41"/>
        <v>142.40265728185287</v>
      </c>
      <c r="DT20">
        <f t="shared" si="41"/>
        <v>145.55949279431817</v>
      </c>
      <c r="DU20">
        <f t="shared" si="41"/>
        <v>140.49127690419959</v>
      </c>
      <c r="DV20">
        <f t="shared" si="41"/>
        <v>140.08985300886846</v>
      </c>
      <c r="DW20">
        <f t="shared" si="41"/>
        <v>156.11472190309098</v>
      </c>
      <c r="DX20">
        <f t="shared" si="41"/>
        <v>176.30779867194195</v>
      </c>
      <c r="DY20">
        <f t="shared" si="41"/>
        <v>174.18345068048274</v>
      </c>
      <c r="DZ20">
        <f t="shared" si="41"/>
        <v>167.91243652517673</v>
      </c>
      <c r="EA20">
        <f t="shared" si="35"/>
        <v>160.48105046422509</v>
      </c>
      <c r="EB20">
        <f t="shared" si="29"/>
        <v>153.85530182490933</v>
      </c>
      <c r="EC20">
        <f t="shared" si="29"/>
        <v>150.31338306530705</v>
      </c>
      <c r="ED20">
        <f t="shared" si="29"/>
        <v>155.16237162726688</v>
      </c>
      <c r="EE20">
        <f t="shared" si="29"/>
        <v>146.32948606932882</v>
      </c>
      <c r="EF20">
        <f t="shared" si="29"/>
        <v>153.70233503830372</v>
      </c>
      <c r="EG20">
        <f t="shared" si="29"/>
        <v>162.00540794864853</v>
      </c>
      <c r="EH20">
        <f t="shared" si="29"/>
        <v>188.73467815810369</v>
      </c>
      <c r="EI20">
        <f t="shared" si="29"/>
        <v>183.92056571150829</v>
      </c>
      <c r="EJ20">
        <f t="shared" si="29"/>
        <v>177.05659763057304</v>
      </c>
      <c r="EK20">
        <f t="shared" si="29"/>
        <v>176.85399461763896</v>
      </c>
      <c r="EL20">
        <f t="shared" si="29"/>
        <v>179.1776775773231</v>
      </c>
      <c r="EM20">
        <f t="shared" si="29"/>
        <v>194.31080132172889</v>
      </c>
      <c r="EN20">
        <f t="shared" si="29"/>
        <v>191.69979680459855</v>
      </c>
      <c r="EO20">
        <f t="shared" si="29"/>
        <v>196.44204361435158</v>
      </c>
      <c r="EP20">
        <f t="shared" si="29"/>
        <v>210.97326158583968</v>
      </c>
      <c r="EQ20">
        <f t="shared" si="29"/>
        <v>196.06820280268076</v>
      </c>
      <c r="ER20">
        <f t="shared" si="29"/>
        <v>202.95710082302563</v>
      </c>
      <c r="ES20">
        <f t="shared" si="29"/>
        <v>206.32909274353614</v>
      </c>
      <c r="ET20">
        <f t="shared" si="29"/>
        <v>212.09652808311091</v>
      </c>
      <c r="EU20">
        <f t="shared" si="29"/>
        <v>205.19049480810031</v>
      </c>
      <c r="EV20">
        <f t="shared" si="29"/>
        <v>196.43023984652598</v>
      </c>
      <c r="EW20">
        <f t="shared" si="29"/>
        <v>202.08085349714295</v>
      </c>
      <c r="EX20">
        <f t="shared" si="29"/>
        <v>231.92098632724682</v>
      </c>
      <c r="EY20">
        <f t="shared" si="29"/>
        <v>224.47912319484419</v>
      </c>
      <c r="EZ20">
        <f t="shared" si="29"/>
        <v>220.76889782686652</v>
      </c>
      <c r="FA20">
        <f t="shared" si="29"/>
        <v>212.93426696877955</v>
      </c>
      <c r="FB20">
        <f t="shared" si="29"/>
        <v>204.20943172264924</v>
      </c>
      <c r="FC20">
        <f t="shared" si="29"/>
        <v>198.15478022734123</v>
      </c>
      <c r="FD20">
        <f t="shared" si="29"/>
        <v>209.60706631307571</v>
      </c>
      <c r="FE20">
        <f t="shared" si="29"/>
        <v>211.31359788728125</v>
      </c>
      <c r="FF20">
        <f t="shared" si="29"/>
        <v>209.45839681667604</v>
      </c>
      <c r="FG20">
        <f t="shared" si="29"/>
        <v>210.87938043354617</v>
      </c>
      <c r="FH20">
        <f t="shared" si="29"/>
        <v>197.21461069699998</v>
      </c>
      <c r="FI20">
        <f t="shared" si="29"/>
        <v>223.41440562110375</v>
      </c>
      <c r="FJ20">
        <f t="shared" si="29"/>
        <v>206.69988080199263</v>
      </c>
      <c r="FK20">
        <f t="shared" si="29"/>
        <v>206.08817639980927</v>
      </c>
      <c r="FL20">
        <f t="shared" si="29"/>
        <v>218.04230649174801</v>
      </c>
      <c r="FM20">
        <f t="shared" si="29"/>
        <v>211.35916317468758</v>
      </c>
      <c r="FN20">
        <f t="shared" si="29"/>
        <v>230.63999104634783</v>
      </c>
      <c r="FO20">
        <f t="shared" si="29"/>
        <v>224.96809317508217</v>
      </c>
      <c r="FP20">
        <f t="shared" si="29"/>
        <v>228.5564574074991</v>
      </c>
      <c r="FQ20">
        <f t="shared" si="29"/>
        <v>229.02711274615518</v>
      </c>
      <c r="FR20">
        <f t="shared" si="29"/>
        <v>215.28195195415779</v>
      </c>
      <c r="FS20">
        <f t="shared" si="29"/>
        <v>204.33414061626007</v>
      </c>
      <c r="FT20">
        <f t="shared" si="29"/>
        <v>233.64878640869276</v>
      </c>
      <c r="FU20">
        <f t="shared" si="29"/>
        <v>227.32317662660222</v>
      </c>
      <c r="FV20">
        <f t="shared" si="29"/>
        <v>238.55468061117841</v>
      </c>
      <c r="FW20">
        <f t="shared" si="29"/>
        <v>249.56982122649373</v>
      </c>
      <c r="FX20">
        <f t="shared" si="29"/>
        <v>249.58657297510644</v>
      </c>
      <c r="FY20">
        <f t="shared" si="29"/>
        <v>255.37945157550257</v>
      </c>
      <c r="FZ20">
        <f t="shared" si="29"/>
        <v>236.90346989858321</v>
      </c>
      <c r="GA20">
        <f t="shared" si="29"/>
        <v>211.06178025268974</v>
      </c>
      <c r="GB20">
        <f t="shared" si="29"/>
        <v>203.83553707703376</v>
      </c>
      <c r="GC20">
        <f t="shared" si="29"/>
        <v>199.82299637485687</v>
      </c>
      <c r="GD20">
        <f t="shared" si="29"/>
        <v>208.60015741698371</v>
      </c>
      <c r="GE20">
        <f t="shared" si="29"/>
        <v>210.49740748661543</v>
      </c>
      <c r="GF20">
        <f t="shared" si="29"/>
        <v>202.79748884771936</v>
      </c>
      <c r="GG20">
        <f t="shared" si="29"/>
        <v>211.31162878164429</v>
      </c>
      <c r="GH20">
        <f t="shared" si="29"/>
        <v>215.29764146099757</v>
      </c>
      <c r="GI20">
        <f t="shared" si="29"/>
        <v>210.82104387437784</v>
      </c>
      <c r="GJ20">
        <f t="shared" si="29"/>
        <v>208.18455605957263</v>
      </c>
      <c r="GK20">
        <f t="shared" si="29"/>
        <v>204.90654094781289</v>
      </c>
      <c r="GL20">
        <f t="shared" si="29"/>
        <v>214.20292133927273</v>
      </c>
      <c r="GM20">
        <f t="shared" si="15"/>
        <v>193.11073440394679</v>
      </c>
      <c r="GN20">
        <f t="shared" si="36"/>
        <v>221.04128342982983</v>
      </c>
      <c r="GO20">
        <f t="shared" si="36"/>
        <v>213.15551915990235</v>
      </c>
      <c r="GP20">
        <f t="shared" si="36"/>
        <v>219.89326336070476</v>
      </c>
      <c r="GQ20">
        <f t="shared" si="36"/>
        <v>206.13736166600219</v>
      </c>
      <c r="GR20">
        <f t="shared" si="36"/>
        <v>205.0331423819712</v>
      </c>
      <c r="GS20">
        <f t="shared" si="36"/>
        <v>233.65852640413414</v>
      </c>
      <c r="GT20">
        <f t="shared" si="36"/>
        <v>223.39691742603873</v>
      </c>
      <c r="GU20">
        <f t="shared" si="36"/>
        <v>234.76451399660448</v>
      </c>
      <c r="GV20">
        <f t="shared" si="36"/>
        <v>236.05110366394871</v>
      </c>
      <c r="GW20">
        <f t="shared" si="36"/>
        <v>235.14357386009769</v>
      </c>
      <c r="GX20">
        <f t="shared" si="36"/>
        <v>235.15616465137833</v>
      </c>
      <c r="GY20">
        <f t="shared" si="36"/>
        <v>240.20419148125995</v>
      </c>
      <c r="GZ20">
        <f t="shared" si="36"/>
        <v>251.58724488410496</v>
      </c>
      <c r="HA20">
        <f t="shared" si="36"/>
        <v>261.58696215622115</v>
      </c>
      <c r="HB20">
        <f t="shared" si="36"/>
        <v>260.28734666157345</v>
      </c>
      <c r="HC20">
        <f t="shared" si="36"/>
        <v>263.18660776276255</v>
      </c>
      <c r="HD20">
        <f t="shared" si="36"/>
        <v>266.51652285200436</v>
      </c>
      <c r="HE20">
        <f t="shared" si="36"/>
        <v>268.35113207919437</v>
      </c>
      <c r="HF20">
        <f t="shared" si="36"/>
        <v>272.98668770710646</v>
      </c>
      <c r="HG20">
        <f t="shared" si="36"/>
        <v>279.06332121763984</v>
      </c>
      <c r="HH20">
        <f t="shared" si="36"/>
        <v>292.94381197147015</v>
      </c>
      <c r="HI20">
        <f t="shared" si="36"/>
        <v>306.94958869794988</v>
      </c>
      <c r="HJ20">
        <f t="shared" si="36"/>
        <v>303.71985356925973</v>
      </c>
      <c r="HK20">
        <f t="shared" si="36"/>
        <v>309.42056559040878</v>
      </c>
      <c r="HL20">
        <f t="shared" si="36"/>
        <v>323.30324559060506</v>
      </c>
      <c r="HM20">
        <f t="shared" si="36"/>
        <v>298.36099475811471</v>
      </c>
      <c r="HN20">
        <f t="shared" si="36"/>
        <v>298.40924504238035</v>
      </c>
      <c r="HO20">
        <f t="shared" si="36"/>
        <v>305.45497324011012</v>
      </c>
      <c r="HP20">
        <f t="shared" si="36"/>
        <v>303.83656692525415</v>
      </c>
      <c r="HQ20">
        <f t="shared" si="36"/>
        <v>308.41040114708812</v>
      </c>
      <c r="HR20">
        <f t="shared" si="36"/>
        <v>304.0778756939655</v>
      </c>
      <c r="HS20">
        <f t="shared" si="36"/>
        <v>297.28965599850108</v>
      </c>
      <c r="HT20">
        <f t="shared" si="36"/>
        <v>309.95453927496476</v>
      </c>
      <c r="HU20">
        <f t="shared" si="36"/>
        <v>322.70557318608087</v>
      </c>
      <c r="HV20">
        <f t="shared" si="36"/>
        <v>325.03892246655045</v>
      </c>
      <c r="HW20">
        <f t="shared" si="36"/>
        <v>339.12397817605785</v>
      </c>
      <c r="HX20">
        <f t="shared" si="36"/>
        <v>337.63262819964638</v>
      </c>
      <c r="HY20">
        <f t="shared" si="36"/>
        <v>348.26589979441121</v>
      </c>
      <c r="HZ20">
        <f t="shared" si="36"/>
        <v>343.77372764463524</v>
      </c>
      <c r="IA20">
        <f t="shared" si="36"/>
        <v>354.69770237611942</v>
      </c>
      <c r="IB20">
        <f t="shared" si="36"/>
        <v>348.59164332221741</v>
      </c>
      <c r="IC20">
        <f t="shared" si="36"/>
        <v>357.1606284895355</v>
      </c>
      <c r="ID20">
        <f t="shared" si="36"/>
        <v>343.10241400647391</v>
      </c>
      <c r="IE20">
        <f t="shared" si="36"/>
        <v>351.74904363771537</v>
      </c>
      <c r="IF20">
        <f t="shared" si="36"/>
        <v>329.7523353161215</v>
      </c>
      <c r="IG20">
        <f t="shared" si="36"/>
        <v>332.53482430163876</v>
      </c>
      <c r="IH20">
        <f t="shared" si="36"/>
        <v>343.52855600320981</v>
      </c>
      <c r="II20">
        <f t="shared" si="36"/>
        <v>331.05217464839262</v>
      </c>
      <c r="IJ20">
        <f t="shared" si="36"/>
        <v>318.89689039256501</v>
      </c>
      <c r="IK20">
        <f t="shared" si="36"/>
        <v>289.3617009486079</v>
      </c>
      <c r="IL20">
        <f t="shared" si="36"/>
        <v>291.00976315172136</v>
      </c>
      <c r="IM20">
        <f t="shared" si="36"/>
        <v>278.74235117707491</v>
      </c>
      <c r="IN20">
        <f t="shared" si="36"/>
        <v>290.25489122569081</v>
      </c>
      <c r="IO20">
        <f t="shared" si="36"/>
        <v>263.00510049440106</v>
      </c>
      <c r="IP20">
        <f t="shared" si="36"/>
        <v>257.50390767729181</v>
      </c>
      <c r="IQ20">
        <f t="shared" si="36"/>
        <v>253.58493443861738</v>
      </c>
      <c r="IR20">
        <f t="shared" si="36"/>
        <v>232.1625474499935</v>
      </c>
      <c r="IS20">
        <f t="shared" si="36"/>
        <v>252.75348649234417</v>
      </c>
      <c r="IT20">
        <f t="shared" si="36"/>
        <v>242.63315994409086</v>
      </c>
      <c r="IU20">
        <f t="shared" si="36"/>
        <v>247.42895534574095</v>
      </c>
      <c r="IV20">
        <f t="shared" si="36"/>
        <v>234.99223069015036</v>
      </c>
      <c r="IW20">
        <f t="shared" si="36"/>
        <v>263.46074284273664</v>
      </c>
      <c r="IX20">
        <f t="shared" si="36"/>
        <v>264.47618974461301</v>
      </c>
      <c r="IY20">
        <f t="shared" si="36"/>
        <v>261.44796537400509</v>
      </c>
      <c r="IZ20">
        <f t="shared" si="30"/>
        <v>260.76356039689165</v>
      </c>
      <c r="JA20">
        <f t="shared" si="30"/>
        <v>248.96100183464557</v>
      </c>
      <c r="JB20">
        <f t="shared" si="30"/>
        <v>262.95547836383849</v>
      </c>
      <c r="JC20">
        <f t="shared" si="30"/>
        <v>259.41109936947299</v>
      </c>
      <c r="JD20">
        <f t="shared" si="30"/>
        <v>250.17671119407871</v>
      </c>
      <c r="JE20">
        <f t="shared" si="30"/>
        <v>251.56819785698519</v>
      </c>
      <c r="JF20">
        <f t="shared" si="30"/>
        <v>243.80467722136109</v>
      </c>
      <c r="JG20">
        <f t="shared" si="30"/>
        <v>250.3479749471143</v>
      </c>
      <c r="JH20">
        <f t="shared" si="30"/>
        <v>254.41152786855037</v>
      </c>
      <c r="JI20">
        <f t="shared" si="30"/>
        <v>226.29336959645659</v>
      </c>
      <c r="JJ20">
        <f t="shared" si="30"/>
        <v>226.91872456723502</v>
      </c>
      <c r="JK20">
        <f t="shared" si="30"/>
        <v>224.10009138590038</v>
      </c>
      <c r="JL20">
        <f t="shared" si="30"/>
        <v>211.23485350092304</v>
      </c>
      <c r="JM20">
        <f t="shared" si="30"/>
        <v>212.25445032135607</v>
      </c>
      <c r="JN20">
        <f t="shared" si="30"/>
        <v>226.17912946072101</v>
      </c>
      <c r="JO20">
        <f t="shared" si="30"/>
        <v>218.32073833710723</v>
      </c>
      <c r="JP20">
        <f t="shared" si="30"/>
        <v>224.32790793693533</v>
      </c>
      <c r="JQ20">
        <f t="shared" si="30"/>
        <v>231.42187984067718</v>
      </c>
      <c r="JR20">
        <f t="shared" si="30"/>
        <v>234.13904338688678</v>
      </c>
      <c r="JS20">
        <f t="shared" si="30"/>
        <v>238.72256915186657</v>
      </c>
      <c r="JT20">
        <f t="shared" si="30"/>
        <v>220.55811799239495</v>
      </c>
      <c r="JU20">
        <f t="shared" si="30"/>
        <v>220.5079884812622</v>
      </c>
      <c r="JV20">
        <f t="shared" si="30"/>
        <v>226.29221018095225</v>
      </c>
      <c r="JW20">
        <f t="shared" si="30"/>
        <v>217.02390430534817</v>
      </c>
      <c r="JX20">
        <f t="shared" si="30"/>
        <v>225.79810631479322</v>
      </c>
      <c r="JY20">
        <f t="shared" si="30"/>
        <v>224.22447302107113</v>
      </c>
      <c r="JZ20">
        <f t="shared" si="30"/>
        <v>225.09594491386844</v>
      </c>
      <c r="KA20">
        <f t="shared" si="30"/>
        <v>216.16360591071546</v>
      </c>
      <c r="KB20">
        <f t="shared" si="30"/>
        <v>212.88524756747924</v>
      </c>
      <c r="KC20">
        <f t="shared" si="30"/>
        <v>214.841386100221</v>
      </c>
      <c r="KD20">
        <f t="shared" si="30"/>
        <v>205.71749601939038</v>
      </c>
      <c r="KE20">
        <f t="shared" si="30"/>
        <v>211.75668156120332</v>
      </c>
      <c r="KF20">
        <f t="shared" si="30"/>
        <v>209.55795081375317</v>
      </c>
      <c r="KG20">
        <f t="shared" si="30"/>
        <v>212.77847117914251</v>
      </c>
      <c r="KH20">
        <f t="shared" si="30"/>
        <v>207.98397019450431</v>
      </c>
      <c r="KI20">
        <f t="shared" si="30"/>
        <v>211.48568327708978</v>
      </c>
      <c r="KJ20">
        <f t="shared" si="30"/>
        <v>206.06466820868422</v>
      </c>
      <c r="KK20">
        <f t="shared" si="30"/>
        <v>213.68392821207533</v>
      </c>
      <c r="KL20">
        <f t="shared" si="30"/>
        <v>210.62988440016417</v>
      </c>
      <c r="KM20">
        <f t="shared" si="30"/>
        <v>219.43084962201851</v>
      </c>
      <c r="KN20">
        <f t="shared" si="30"/>
        <v>213.49046322835471</v>
      </c>
      <c r="KO20">
        <f t="shared" si="30"/>
        <v>204.94202997846992</v>
      </c>
      <c r="KP20">
        <f t="shared" si="30"/>
        <v>213.93955040463791</v>
      </c>
      <c r="KQ20">
        <f t="shared" si="30"/>
        <v>214.69783618558253</v>
      </c>
      <c r="KR20">
        <f t="shared" si="30"/>
        <v>213.10499412222924</v>
      </c>
      <c r="KS20">
        <f t="shared" si="30"/>
        <v>195.94074878189662</v>
      </c>
      <c r="KT20">
        <f t="shared" si="30"/>
        <v>201.03404173590329</v>
      </c>
      <c r="KU20">
        <f t="shared" si="30"/>
        <v>194.31923190769621</v>
      </c>
      <c r="KV20">
        <f t="shared" si="30"/>
        <v>201.73845386010055</v>
      </c>
      <c r="KW20">
        <f t="shared" si="30"/>
        <v>204.99623288016744</v>
      </c>
      <c r="KX20">
        <f t="shared" si="30"/>
        <v>198.86751287077035</v>
      </c>
      <c r="KY20">
        <f t="shared" si="30"/>
        <v>202.94338263938968</v>
      </c>
      <c r="KZ20">
        <f t="shared" si="30"/>
        <v>216.61787157412607</v>
      </c>
      <c r="LA20">
        <f t="shared" si="30"/>
        <v>207.39723323520391</v>
      </c>
      <c r="LB20">
        <f t="shared" si="30"/>
        <v>199.04667881884151</v>
      </c>
      <c r="LC20">
        <f t="shared" si="30"/>
        <v>192.06930956264856</v>
      </c>
      <c r="LD20">
        <f t="shared" si="30"/>
        <v>190.81878477473927</v>
      </c>
      <c r="LE20">
        <f t="shared" si="30"/>
        <v>186.77941387592929</v>
      </c>
      <c r="LF20">
        <f t="shared" si="30"/>
        <v>185.55518938950649</v>
      </c>
      <c r="LG20">
        <f t="shared" si="30"/>
        <v>190.85775418028283</v>
      </c>
      <c r="LH20">
        <f t="shared" si="30"/>
        <v>194.74020867373508</v>
      </c>
      <c r="LI20">
        <f t="shared" si="30"/>
        <v>175.15417152125389</v>
      </c>
      <c r="LJ20">
        <f t="shared" si="30"/>
        <v>169.23828467495807</v>
      </c>
      <c r="LK20">
        <f t="shared" si="17"/>
        <v>167.31829424176397</v>
      </c>
      <c r="LL20">
        <f t="shared" si="37"/>
        <v>164.20034411165716</v>
      </c>
      <c r="LM20">
        <f t="shared" si="37"/>
        <v>166.92023057694871</v>
      </c>
      <c r="LN20">
        <f t="shared" si="37"/>
        <v>170.66607571572632</v>
      </c>
      <c r="LO20">
        <f t="shared" si="37"/>
        <v>161.42555932891233</v>
      </c>
      <c r="LP20">
        <f t="shared" si="37"/>
        <v>156.73111729271793</v>
      </c>
      <c r="LQ20">
        <f t="shared" si="37"/>
        <v>147.09030250773995</v>
      </c>
      <c r="LR20">
        <f t="shared" si="37"/>
        <v>145.58662763176861</v>
      </c>
      <c r="LS20">
        <f t="shared" si="37"/>
        <v>134.69910794324633</v>
      </c>
      <c r="LT20">
        <f t="shared" si="37"/>
        <v>124.73155333891972</v>
      </c>
      <c r="LU20">
        <f t="shared" si="37"/>
        <v>113.37523988422375</v>
      </c>
      <c r="LV20">
        <f t="shared" si="37"/>
        <v>108.06400686589225</v>
      </c>
      <c r="LW20">
        <f t="shared" si="37"/>
        <v>106.61826658782793</v>
      </c>
      <c r="LX20">
        <f t="shared" si="37"/>
        <v>111.48638863543788</v>
      </c>
      <c r="LY20">
        <f t="shared" si="37"/>
        <v>114.33064565490611</v>
      </c>
      <c r="LZ20">
        <f t="shared" si="37"/>
        <v>113.65985066822192</v>
      </c>
      <c r="MA20">
        <f t="shared" si="37"/>
        <v>116.63000120191701</v>
      </c>
      <c r="MB20">
        <f t="shared" si="37"/>
        <v>127.84125485768116</v>
      </c>
      <c r="MC20">
        <f t="shared" si="37"/>
        <v>127.6558336932993</v>
      </c>
      <c r="MD20">
        <f t="shared" si="37"/>
        <v>125.97915644055645</v>
      </c>
      <c r="ME20">
        <f t="shared" si="37"/>
        <v>124.65747752922196</v>
      </c>
      <c r="MF20">
        <f t="shared" si="37"/>
        <v>115.18556613755933</v>
      </c>
      <c r="MG20">
        <f t="shared" si="37"/>
        <v>113.11352448470609</v>
      </c>
      <c r="MH20">
        <f t="shared" si="37"/>
        <v>105.32771261665594</v>
      </c>
      <c r="MI20">
        <f t="shared" si="37"/>
        <v>105.3430197939405</v>
      </c>
      <c r="MJ20">
        <f t="shared" si="37"/>
        <v>100.84478275633701</v>
      </c>
      <c r="MK20">
        <f t="shared" si="37"/>
        <v>92.875344066239862</v>
      </c>
      <c r="ML20">
        <f t="shared" si="37"/>
        <v>87.189598164786318</v>
      </c>
      <c r="MM20">
        <f t="shared" si="37"/>
        <v>83.110379793158586</v>
      </c>
      <c r="MN20">
        <f t="shared" si="37"/>
        <v>82.344186630547824</v>
      </c>
      <c r="MO20">
        <f t="shared" si="37"/>
        <v>85.166207953396324</v>
      </c>
      <c r="MP20">
        <f t="shared" si="37"/>
        <v>89.814029316778885</v>
      </c>
      <c r="MQ20">
        <f t="shared" si="37"/>
        <v>95.183471522852216</v>
      </c>
      <c r="MR20">
        <f t="shared" si="37"/>
        <v>98.659118237323781</v>
      </c>
      <c r="MS20">
        <f t="shared" si="37"/>
        <v>92.175407948613682</v>
      </c>
      <c r="MT20">
        <f t="shared" si="37"/>
        <v>95.392487612543007</v>
      </c>
      <c r="MU20">
        <f t="shared" si="37"/>
        <v>90.866022422832771</v>
      </c>
      <c r="MV20">
        <f t="shared" si="37"/>
        <v>84.30653263225669</v>
      </c>
      <c r="MW20">
        <f t="shared" si="37"/>
        <v>84.623382918724872</v>
      </c>
      <c r="MX20">
        <f t="shared" si="37"/>
        <v>91.875065635436002</v>
      </c>
      <c r="MY20">
        <f t="shared" si="37"/>
        <v>89.762035625915232</v>
      </c>
      <c r="MZ20">
        <f t="shared" si="37"/>
        <v>86.15732827333585</v>
      </c>
      <c r="NA20">
        <f t="shared" si="37"/>
        <v>79.455426193443401</v>
      </c>
      <c r="NB20">
        <f t="shared" si="37"/>
        <v>72.520581304652623</v>
      </c>
      <c r="NC20">
        <f t="shared" si="37"/>
        <v>68.863228890631106</v>
      </c>
      <c r="ND20">
        <f t="shared" si="37"/>
        <v>64.674280420152826</v>
      </c>
      <c r="NE20">
        <f t="shared" si="37"/>
        <v>72.155601427455053</v>
      </c>
      <c r="NF20">
        <f t="shared" si="37"/>
        <v>66.671626857814061</v>
      </c>
      <c r="NG20">
        <f t="shared" si="37"/>
        <v>68.160285329828497</v>
      </c>
      <c r="NH20">
        <f t="shared" si="37"/>
        <v>66.891683294114941</v>
      </c>
      <c r="NI20">
        <f t="shared" si="37"/>
        <v>66.380200189781192</v>
      </c>
      <c r="NJ20">
        <f t="shared" si="37"/>
        <v>66.151691323392853</v>
      </c>
      <c r="NK20">
        <f t="shared" si="37"/>
        <v>65.17575813265249</v>
      </c>
      <c r="NL20">
        <f t="shared" si="37"/>
        <v>65.488422532314402</v>
      </c>
      <c r="NM20">
        <f t="shared" si="37"/>
        <v>69.056479936725651</v>
      </c>
      <c r="NN20">
        <f t="shared" si="37"/>
        <v>75.479808601739251</v>
      </c>
      <c r="NO20">
        <f t="shared" si="37"/>
        <v>70.372862127229979</v>
      </c>
      <c r="NP20">
        <f t="shared" si="37"/>
        <v>71.196961557352822</v>
      </c>
      <c r="NQ20">
        <f t="shared" si="37"/>
        <v>67.302572988223687</v>
      </c>
      <c r="NR20">
        <f t="shared" si="37"/>
        <v>66.456430036092428</v>
      </c>
      <c r="NS20">
        <f t="shared" si="37"/>
        <v>60.622673622615189</v>
      </c>
      <c r="NT20">
        <f t="shared" si="37"/>
        <v>60.438238106854897</v>
      </c>
      <c r="NU20">
        <f t="shared" si="37"/>
        <v>58.857350319762602</v>
      </c>
      <c r="NV20">
        <f t="shared" si="37"/>
        <v>59.428038098285242</v>
      </c>
      <c r="NW20">
        <f t="shared" si="37"/>
        <v>57.892683135394591</v>
      </c>
      <c r="NX20">
        <f t="shared" si="31"/>
        <v>55.936573341694711</v>
      </c>
      <c r="NY20">
        <f t="shared" si="31"/>
        <v>57.060535094502391</v>
      </c>
      <c r="NZ20">
        <f t="shared" si="31"/>
        <v>53.493104175530739</v>
      </c>
      <c r="OA20">
        <f t="shared" si="31"/>
        <v>51.627939636534421</v>
      </c>
      <c r="OB20">
        <f t="shared" si="31"/>
        <v>51.704698315989951</v>
      </c>
      <c r="OC20">
        <f t="shared" si="31"/>
        <v>50.043951108154907</v>
      </c>
      <c r="OD20">
        <f t="shared" si="31"/>
        <v>55.55687852750868</v>
      </c>
      <c r="OE20">
        <f t="shared" si="31"/>
        <v>55.181464683078111</v>
      </c>
      <c r="OF20">
        <f t="shared" si="31"/>
        <v>56.912411653222954</v>
      </c>
      <c r="OG20">
        <f t="shared" si="31"/>
        <v>55.162715100672052</v>
      </c>
      <c r="OH20">
        <f t="shared" si="31"/>
        <v>54.697129482751357</v>
      </c>
      <c r="OI20">
        <f t="shared" si="31"/>
        <v>57.867006866502813</v>
      </c>
      <c r="OJ20">
        <f t="shared" si="31"/>
        <v>53.602364398666261</v>
      </c>
      <c r="OK20">
        <f t="shared" si="31"/>
        <v>57.509417060934659</v>
      </c>
      <c r="OL20">
        <f t="shared" si="31"/>
        <v>61.814358202078949</v>
      </c>
      <c r="OM20">
        <f t="shared" si="31"/>
        <v>60.557058840854296</v>
      </c>
      <c r="ON20">
        <f t="shared" si="31"/>
        <v>57.766125106353861</v>
      </c>
      <c r="OO20">
        <f t="shared" si="31"/>
        <v>64.182005605438533</v>
      </c>
      <c r="OP20">
        <f t="shared" si="31"/>
        <v>65.482638094747472</v>
      </c>
      <c r="OQ20">
        <f t="shared" si="31"/>
        <v>66.693509992572032</v>
      </c>
      <c r="OR20">
        <f t="shared" si="31"/>
        <v>63.498596334118652</v>
      </c>
      <c r="OS20">
        <f t="shared" si="31"/>
        <v>63.880295422710724</v>
      </c>
      <c r="OT20">
        <f t="shared" si="31"/>
        <v>65.3841908863768</v>
      </c>
      <c r="OU20">
        <f t="shared" si="31"/>
        <v>66.737132852230644</v>
      </c>
      <c r="OV20">
        <f t="shared" si="31"/>
        <v>68.219112098178627</v>
      </c>
      <c r="OW20">
        <f t="shared" si="31"/>
        <v>68.346490091376381</v>
      </c>
      <c r="OX20">
        <f t="shared" si="31"/>
        <v>62.109616685431668</v>
      </c>
      <c r="OY20">
        <f t="shared" si="31"/>
        <v>62.492183463091081</v>
      </c>
      <c r="OZ20">
        <f t="shared" si="31"/>
        <v>66.839901808158857</v>
      </c>
      <c r="PA20">
        <f t="shared" si="31"/>
        <v>64.356022893353426</v>
      </c>
      <c r="PB20">
        <f t="shared" si="31"/>
        <v>61.300401787698632</v>
      </c>
      <c r="PC20">
        <f t="shared" si="31"/>
        <v>58.437262471832192</v>
      </c>
      <c r="PD20">
        <f t="shared" si="31"/>
        <v>64.911598936496205</v>
      </c>
      <c r="PE20">
        <f t="shared" si="31"/>
        <v>61.396071134314063</v>
      </c>
      <c r="PF20">
        <f t="shared" si="31"/>
        <v>62.337610253270597</v>
      </c>
      <c r="PG20">
        <f t="shared" si="31"/>
        <v>70.507722140567793</v>
      </c>
      <c r="PH20">
        <f t="shared" si="31"/>
        <v>73.320799203048082</v>
      </c>
      <c r="PI20">
        <f t="shared" si="31"/>
        <v>68.990475334963477</v>
      </c>
      <c r="PJ20">
        <f t="shared" si="31"/>
        <v>51.739363372860502</v>
      </c>
      <c r="PK20">
        <f t="shared" si="31"/>
        <v>49.796704624269147</v>
      </c>
      <c r="PL20">
        <f t="shared" si="31"/>
        <v>43.965476034143293</v>
      </c>
      <c r="PM20">
        <f t="shared" si="31"/>
        <v>44.450922619885255</v>
      </c>
      <c r="PN20">
        <f t="shared" si="31"/>
        <v>44.064276590447861</v>
      </c>
      <c r="PO20">
        <f t="shared" si="31"/>
        <v>44.307525122540852</v>
      </c>
      <c r="PP20">
        <f t="shared" si="31"/>
        <v>40.2643002062986</v>
      </c>
      <c r="PQ20">
        <f t="shared" si="31"/>
        <v>44.898413428739076</v>
      </c>
      <c r="PR20">
        <f t="shared" si="31"/>
        <v>43.042421175728137</v>
      </c>
      <c r="PS20">
        <f t="shared" si="31"/>
        <v>42.423231390344114</v>
      </c>
      <c r="PT20">
        <f t="shared" si="31"/>
        <v>46.793738145985991</v>
      </c>
      <c r="PU20">
        <f t="shared" si="31"/>
        <v>43.797062584033561</v>
      </c>
      <c r="PV20">
        <f t="shared" si="31"/>
        <v>44.838706556406663</v>
      </c>
      <c r="PW20">
        <f t="shared" si="31"/>
        <v>41.006258171107895</v>
      </c>
      <c r="PX20">
        <f t="shared" si="31"/>
        <v>41.163264310531609</v>
      </c>
      <c r="PY20">
        <f t="shared" si="31"/>
        <v>42.832367510196718</v>
      </c>
      <c r="PZ20">
        <f t="shared" si="31"/>
        <v>42.455150638742595</v>
      </c>
      <c r="QA20">
        <f t="shared" si="31"/>
        <v>45.378436795929815</v>
      </c>
      <c r="QB20">
        <f t="shared" si="31"/>
        <v>45.244105970910248</v>
      </c>
      <c r="QC20">
        <f t="shared" si="31"/>
        <v>47.520410422432512</v>
      </c>
      <c r="QD20">
        <f t="shared" si="31"/>
        <v>45.547030665149776</v>
      </c>
      <c r="QE20">
        <f t="shared" si="31"/>
        <v>45.312107356423674</v>
      </c>
      <c r="QF20">
        <f t="shared" si="31"/>
        <v>47.079859269216129</v>
      </c>
      <c r="QG20">
        <f t="shared" si="31"/>
        <v>46.239085115659449</v>
      </c>
      <c r="QH20">
        <f t="shared" si="31"/>
        <v>45.423207437955838</v>
      </c>
      <c r="QI20">
        <f t="shared" si="19"/>
        <v>37.910351918754664</v>
      </c>
      <c r="QJ20">
        <f t="shared" si="38"/>
        <v>37.316648475209114</v>
      </c>
      <c r="QK20">
        <f t="shared" si="38"/>
        <v>36.16321775919527</v>
      </c>
      <c r="QL20">
        <f t="shared" si="38"/>
        <v>34.634571720874369</v>
      </c>
      <c r="QM20">
        <f t="shared" si="38"/>
        <v>36.284752201660808</v>
      </c>
      <c r="QN20">
        <f t="shared" si="38"/>
        <v>35.075913427663934</v>
      </c>
      <c r="QO20">
        <f t="shared" si="38"/>
        <v>34.744440301835688</v>
      </c>
      <c r="QP20">
        <f t="shared" si="38"/>
        <v>32.940203944127667</v>
      </c>
      <c r="QQ20">
        <f t="shared" si="38"/>
        <v>32.959365422811864</v>
      </c>
      <c r="QR20">
        <f t="shared" si="38"/>
        <v>31.164170416198875</v>
      </c>
      <c r="QS20">
        <f t="shared" si="38"/>
        <v>28.789082785464544</v>
      </c>
      <c r="QT20">
        <f t="shared" si="38"/>
        <v>25.528882472045577</v>
      </c>
      <c r="QU20">
        <f t="shared" si="38"/>
        <v>24.848466011116635</v>
      </c>
      <c r="QV20">
        <f t="shared" si="38"/>
        <v>25.0603564515995</v>
      </c>
      <c r="QW20">
        <f t="shared" si="38"/>
        <v>23.27846052133939</v>
      </c>
      <c r="QX20">
        <f t="shared" si="38"/>
        <v>23.068409876772613</v>
      </c>
      <c r="QY20">
        <f t="shared" si="38"/>
        <v>23.499168413939394</v>
      </c>
      <c r="QZ20">
        <f t="shared" si="38"/>
        <v>22.115738484175573</v>
      </c>
      <c r="RA20">
        <f t="shared" si="38"/>
        <v>23.842014919849053</v>
      </c>
      <c r="RB20">
        <f t="shared" si="38"/>
        <v>22.539224405535442</v>
      </c>
      <c r="RC20">
        <f t="shared" si="38"/>
        <v>22.059336705017579</v>
      </c>
      <c r="RD20">
        <f t="shared" si="38"/>
        <v>23.169410241229304</v>
      </c>
      <c r="RE20">
        <f t="shared" si="38"/>
        <v>22.34831549429849</v>
      </c>
      <c r="RF20">
        <f t="shared" si="38"/>
        <v>19.172978467831115</v>
      </c>
      <c r="RG20">
        <f t="shared" si="38"/>
        <v>19.986797457621314</v>
      </c>
      <c r="RH20">
        <f t="shared" si="38"/>
        <v>21.653870026373966</v>
      </c>
      <c r="RI20">
        <f t="shared" si="38"/>
        <v>21.82044288752164</v>
      </c>
      <c r="RJ20">
        <f t="shared" si="38"/>
        <v>22.91136352924654</v>
      </c>
      <c r="RK20">
        <f t="shared" si="38"/>
        <v>22.710320065444467</v>
      </c>
      <c r="RL20">
        <f t="shared" si="38"/>
        <v>24.034264725066805</v>
      </c>
      <c r="RM20">
        <f t="shared" si="38"/>
        <v>24.033915028465362</v>
      </c>
      <c r="RN20">
        <f t="shared" si="38"/>
        <v>25.53415460117909</v>
      </c>
      <c r="RO20">
        <f t="shared" si="38"/>
        <v>27.392943498296994</v>
      </c>
      <c r="RP20">
        <f t="shared" si="38"/>
        <v>27.512295912172572</v>
      </c>
      <c r="RQ20">
        <f t="shared" si="38"/>
        <v>27.009771325363648</v>
      </c>
      <c r="RR20">
        <f t="shared" si="38"/>
        <v>27.345567944894228</v>
      </c>
      <c r="RS20">
        <f t="shared" si="38"/>
        <v>30.993391273744059</v>
      </c>
      <c r="RT20">
        <f t="shared" si="38"/>
        <v>32.915456823467885</v>
      </c>
      <c r="RU20">
        <f t="shared" si="38"/>
        <v>32.85228153674651</v>
      </c>
      <c r="RV20">
        <f t="shared" si="38"/>
        <v>31.796805913208871</v>
      </c>
      <c r="RW20">
        <f t="shared" si="38"/>
        <v>29.777749638719687</v>
      </c>
      <c r="RX20">
        <f t="shared" si="38"/>
        <v>33.843028403976952</v>
      </c>
      <c r="RY20">
        <f t="shared" si="38"/>
        <v>33.511912189280345</v>
      </c>
      <c r="RZ20">
        <f t="shared" si="38"/>
        <v>34.959453488078502</v>
      </c>
      <c r="SA20">
        <f t="shared" si="38"/>
        <v>34.81984198717722</v>
      </c>
      <c r="SB20">
        <f t="shared" si="38"/>
        <v>36.467806963877088</v>
      </c>
      <c r="SC20">
        <f t="shared" si="38"/>
        <v>38.476701410196725</v>
      </c>
      <c r="SD20">
        <f t="shared" si="38"/>
        <v>39.692947028739539</v>
      </c>
      <c r="SE20">
        <f t="shared" si="38"/>
        <v>41.019596701559372</v>
      </c>
      <c r="SF20">
        <f t="shared" si="38"/>
        <v>39.657120925628668</v>
      </c>
      <c r="SG20">
        <f t="shared" si="38"/>
        <v>39.412594260081349</v>
      </c>
      <c r="SH20">
        <f t="shared" si="38"/>
        <v>40.048293972191715</v>
      </c>
      <c r="SI20">
        <f t="shared" si="38"/>
        <v>43.469735613907375</v>
      </c>
      <c r="SJ20">
        <f t="shared" si="38"/>
        <v>42.502343158647165</v>
      </c>
      <c r="SK20">
        <f t="shared" si="38"/>
        <v>45.816104214192023</v>
      </c>
      <c r="SL20">
        <f t="shared" si="38"/>
        <v>43.296486553529881</v>
      </c>
      <c r="SM20">
        <f t="shared" si="38"/>
        <v>46.172174600486692</v>
      </c>
      <c r="SN20">
        <f t="shared" si="38"/>
        <v>43.719907467347781</v>
      </c>
      <c r="SO20">
        <f t="shared" si="38"/>
        <v>41.681963949701434</v>
      </c>
      <c r="SP20">
        <f t="shared" si="38"/>
        <v>43.607646078034271</v>
      </c>
      <c r="SQ20">
        <f t="shared" si="38"/>
        <v>40.951082483975213</v>
      </c>
      <c r="SR20">
        <f t="shared" si="38"/>
        <v>44.055257718932687</v>
      </c>
      <c r="SS20">
        <f t="shared" si="38"/>
        <v>45.407732070371679</v>
      </c>
      <c r="ST20">
        <f t="shared" si="38"/>
        <v>42.93502725501601</v>
      </c>
      <c r="SU20">
        <f t="shared" si="38"/>
        <v>45.468122311960705</v>
      </c>
      <c r="SV20">
        <f t="shared" si="32"/>
        <v>41.988014893451265</v>
      </c>
      <c r="SW20">
        <f t="shared" si="32"/>
        <v>41.305550791275927</v>
      </c>
      <c r="SX20">
        <f t="shared" si="32"/>
        <v>39.196211113439489</v>
      </c>
      <c r="SY20">
        <f t="shared" si="32"/>
        <v>40.758251850480391</v>
      </c>
      <c r="SZ20">
        <f t="shared" si="32"/>
        <v>42.042741007099508</v>
      </c>
      <c r="TA20">
        <f t="shared" si="32"/>
        <v>42.223607577471249</v>
      </c>
      <c r="TB20">
        <f t="shared" si="32"/>
        <v>45.082251114878957</v>
      </c>
      <c r="TC20">
        <f t="shared" si="32"/>
        <v>46.529501526219406</v>
      </c>
      <c r="TD20">
        <f t="shared" si="32"/>
        <v>41.824133060700966</v>
      </c>
      <c r="TE20">
        <f t="shared" si="32"/>
        <v>41.050109799839475</v>
      </c>
      <c r="TF20">
        <f t="shared" si="32"/>
        <v>41.678965780996108</v>
      </c>
      <c r="TG20">
        <f t="shared" si="32"/>
        <v>38.37115066814485</v>
      </c>
      <c r="TH20">
        <f t="shared" si="32"/>
        <v>39.514072393103312</v>
      </c>
      <c r="TI20">
        <f t="shared" si="32"/>
        <v>42.241302066272809</v>
      </c>
      <c r="TJ20">
        <f t="shared" si="32"/>
        <v>40.53442481910902</v>
      </c>
      <c r="TK20">
        <f t="shared" si="32"/>
        <v>37.481669562146763</v>
      </c>
      <c r="TL20">
        <f t="shared" si="32"/>
        <v>37.034598529967482</v>
      </c>
      <c r="TM20">
        <f t="shared" si="32"/>
        <v>35.896394051630146</v>
      </c>
      <c r="TN20">
        <f t="shared" si="32"/>
        <v>38.271308910159597</v>
      </c>
      <c r="TO20">
        <f t="shared" si="32"/>
        <v>34.750973232762966</v>
      </c>
      <c r="TP20">
        <f t="shared" si="32"/>
        <v>35.262484769818975</v>
      </c>
      <c r="TQ20">
        <f t="shared" si="32"/>
        <v>36.014829961212399</v>
      </c>
      <c r="TR20">
        <f t="shared" si="32"/>
        <v>40.835811991691891</v>
      </c>
      <c r="TS20">
        <f t="shared" si="32"/>
        <v>35.079667510769646</v>
      </c>
      <c r="TT20">
        <f t="shared" si="32"/>
        <v>34.580711113794159</v>
      </c>
      <c r="TU20">
        <f t="shared" si="32"/>
        <v>31.166462558104712</v>
      </c>
      <c r="TV20">
        <f t="shared" si="32"/>
        <v>29.958091443156153</v>
      </c>
      <c r="TW20">
        <f t="shared" si="32"/>
        <v>28.181130947849468</v>
      </c>
      <c r="TX20">
        <f t="shared" si="32"/>
        <v>29.135090526107174</v>
      </c>
      <c r="TY20">
        <f t="shared" si="32"/>
        <v>30.564361722741097</v>
      </c>
      <c r="TZ20">
        <f t="shared" si="32"/>
        <v>33.159606510851347</v>
      </c>
      <c r="UA20">
        <f t="shared" si="32"/>
        <v>34.022391086796318</v>
      </c>
      <c r="UB20">
        <f t="shared" si="32"/>
        <v>39.155310517912795</v>
      </c>
      <c r="UC20">
        <f t="shared" si="32"/>
        <v>38.832709329925102</v>
      </c>
      <c r="UD20">
        <f t="shared" si="32"/>
        <v>40.642558327936058</v>
      </c>
      <c r="UE20">
        <f t="shared" si="32"/>
        <v>40.880383645072286</v>
      </c>
      <c r="UF20">
        <f t="shared" si="32"/>
        <v>36.400767178477842</v>
      </c>
      <c r="UG20">
        <f t="shared" si="32"/>
        <v>35.336582728914017</v>
      </c>
      <c r="UH20">
        <f t="shared" si="32"/>
        <v>34.603672785751968</v>
      </c>
      <c r="UI20">
        <f t="shared" si="32"/>
        <v>33.670110036662393</v>
      </c>
      <c r="UJ20">
        <f t="shared" si="32"/>
        <v>35.58069509877167</v>
      </c>
      <c r="UK20">
        <f t="shared" si="32"/>
        <v>38.035701879674392</v>
      </c>
      <c r="UL20">
        <f t="shared" si="32"/>
        <v>31.378899567239017</v>
      </c>
      <c r="UM20">
        <f t="shared" si="32"/>
        <v>34.717550051811799</v>
      </c>
      <c r="UN20">
        <f t="shared" si="32"/>
        <v>31.323559828005351</v>
      </c>
      <c r="UO20">
        <f t="shared" si="32"/>
        <v>30.92395226107184</v>
      </c>
      <c r="UP20">
        <f t="shared" si="32"/>
        <v>31.384552259562774</v>
      </c>
      <c r="UQ20">
        <f t="shared" si="32"/>
        <v>34.399308815012155</v>
      </c>
      <c r="UR20">
        <f t="shared" si="32"/>
        <v>32.650798467611132</v>
      </c>
      <c r="US20">
        <f t="shared" si="32"/>
        <v>34.664870354197205</v>
      </c>
      <c r="UT20">
        <f t="shared" si="32"/>
        <v>35.319507905924041</v>
      </c>
      <c r="UU20">
        <f t="shared" si="32"/>
        <v>34.797168571699061</v>
      </c>
      <c r="UV20">
        <f t="shared" si="32"/>
        <v>37.22881871658511</v>
      </c>
      <c r="UW20">
        <f t="shared" si="32"/>
        <v>39.116043328125478</v>
      </c>
      <c r="UX20">
        <f t="shared" si="32"/>
        <v>39.212103431411279</v>
      </c>
      <c r="UY20">
        <f t="shared" si="32"/>
        <v>34.249412279892645</v>
      </c>
      <c r="UZ20">
        <f t="shared" si="32"/>
        <v>34.029427546009202</v>
      </c>
      <c r="VA20">
        <f t="shared" si="32"/>
        <v>37.491175246360108</v>
      </c>
      <c r="VB20">
        <f t="shared" si="32"/>
        <v>40.520817762293632</v>
      </c>
      <c r="VC20">
        <f t="shared" si="32"/>
        <v>41.294778726900461</v>
      </c>
      <c r="VD20">
        <f t="shared" si="32"/>
        <v>42.131867174714905</v>
      </c>
      <c r="VE20">
        <f t="shared" si="32"/>
        <v>40.109388981675885</v>
      </c>
      <c r="VF20">
        <f t="shared" si="32"/>
        <v>40.316043753283935</v>
      </c>
      <c r="VG20">
        <f t="shared" si="21"/>
        <v>41.56885251911833</v>
      </c>
      <c r="VH20">
        <f t="shared" si="39"/>
        <v>41.390127860709626</v>
      </c>
      <c r="VI20">
        <f t="shared" si="39"/>
        <v>43.346725228950078</v>
      </c>
      <c r="VJ20">
        <f t="shared" si="39"/>
        <v>48.596156422966679</v>
      </c>
      <c r="VK20">
        <f t="shared" si="39"/>
        <v>51.204668761951609</v>
      </c>
      <c r="VL20">
        <f t="shared" si="39"/>
        <v>48.42665912844231</v>
      </c>
      <c r="VM20">
        <f t="shared" si="39"/>
        <v>48.787771774982218</v>
      </c>
      <c r="VN20">
        <f t="shared" si="39"/>
        <v>45.390150252383158</v>
      </c>
      <c r="VO20">
        <f t="shared" si="39"/>
        <v>45.539940491816978</v>
      </c>
      <c r="VP20">
        <f t="shared" si="39"/>
        <v>45.50634876796564</v>
      </c>
      <c r="VQ20">
        <f t="shared" si="39"/>
        <v>46.406580313220658</v>
      </c>
      <c r="VR20">
        <f t="shared" si="39"/>
        <v>43.855841980709222</v>
      </c>
      <c r="VS20">
        <f t="shared" si="39"/>
        <v>39.56811865955823</v>
      </c>
      <c r="VT20">
        <f t="shared" si="39"/>
        <v>39.323115726961454</v>
      </c>
      <c r="VU20">
        <f t="shared" si="39"/>
        <v>38.869105983878157</v>
      </c>
      <c r="VV20">
        <f t="shared" si="39"/>
        <v>40.465323511831066</v>
      </c>
      <c r="VW20">
        <f t="shared" si="39"/>
        <v>36.675909284669736</v>
      </c>
      <c r="VX20">
        <f t="shared" si="39"/>
        <v>37.661964954987255</v>
      </c>
      <c r="VY20">
        <f t="shared" si="39"/>
        <v>39.40159883109488</v>
      </c>
      <c r="VZ20">
        <f t="shared" si="39"/>
        <v>40.388347608171387</v>
      </c>
      <c r="WA20">
        <f t="shared" si="39"/>
        <v>38.177644235961274</v>
      </c>
      <c r="WB20">
        <f t="shared" si="39"/>
        <v>36.040374963432136</v>
      </c>
      <c r="WC20">
        <f t="shared" si="39"/>
        <v>35.060962088429335</v>
      </c>
      <c r="WD20">
        <f t="shared" si="39"/>
        <v>33.502811882926451</v>
      </c>
      <c r="WE20">
        <f t="shared" si="39"/>
        <v>33.47845856095077</v>
      </c>
      <c r="WF20">
        <f t="shared" si="39"/>
        <v>32.456561864363017</v>
      </c>
      <c r="WG20">
        <f t="shared" si="39"/>
        <v>32.5271377258115</v>
      </c>
      <c r="WH20">
        <f t="shared" si="39"/>
        <v>34.327246956070404</v>
      </c>
      <c r="WI20">
        <f t="shared" si="39"/>
        <v>33.19293076253394</v>
      </c>
      <c r="WJ20">
        <f t="shared" si="39"/>
        <v>31.055512410908996</v>
      </c>
      <c r="WK20">
        <f t="shared" si="39"/>
        <v>33.338924519832325</v>
      </c>
      <c r="WL20">
        <f t="shared" si="39"/>
        <v>32.060196963468513</v>
      </c>
      <c r="WM20">
        <f t="shared" si="39"/>
        <v>33.463437563973265</v>
      </c>
      <c r="WN20">
        <f t="shared" si="39"/>
        <v>32.376495084106764</v>
      </c>
      <c r="WO20">
        <f t="shared" si="39"/>
        <v>32.423663088930851</v>
      </c>
      <c r="WP20">
        <f t="shared" si="39"/>
        <v>30.88721651973399</v>
      </c>
      <c r="WQ20">
        <f t="shared" si="39"/>
        <v>27.059924519248629</v>
      </c>
      <c r="WR20">
        <f t="shared" si="39"/>
        <v>26.932442760702511</v>
      </c>
      <c r="WS20">
        <f t="shared" si="39"/>
        <v>26.469063149310685</v>
      </c>
      <c r="WT20">
        <f t="shared" si="39"/>
        <v>25.673510301410786</v>
      </c>
      <c r="WU20">
        <f t="shared" si="39"/>
        <v>24.643974619366414</v>
      </c>
      <c r="WV20">
        <f t="shared" si="39"/>
        <v>23.220233002764012</v>
      </c>
      <c r="WW20">
        <f t="shared" si="39"/>
        <v>23.092431853068678</v>
      </c>
      <c r="WX20">
        <f t="shared" si="39"/>
        <v>23.297399016884391</v>
      </c>
      <c r="WY20">
        <f t="shared" si="39"/>
        <v>22.99908482154984</v>
      </c>
      <c r="WZ20">
        <f t="shared" si="39"/>
        <v>22.950484258414843</v>
      </c>
      <c r="XA20">
        <f t="shared" si="39"/>
        <v>24.733172660257065</v>
      </c>
      <c r="XB20">
        <f t="shared" si="39"/>
        <v>24.624048668125944</v>
      </c>
      <c r="XC20">
        <f t="shared" si="39"/>
        <v>25.595939931907647</v>
      </c>
      <c r="XD20">
        <f t="shared" si="39"/>
        <v>24.630214874918583</v>
      </c>
      <c r="XE20">
        <f t="shared" si="39"/>
        <v>26.129565828393872</v>
      </c>
      <c r="XF20">
        <f t="shared" si="39"/>
        <v>27.267279599500334</v>
      </c>
      <c r="XG20">
        <f t="shared" si="39"/>
        <v>25.759433831064179</v>
      </c>
      <c r="XH20">
        <f t="shared" si="39"/>
        <v>24.394638603809319</v>
      </c>
      <c r="XI20">
        <f t="shared" si="39"/>
        <v>25.200580681714033</v>
      </c>
      <c r="XJ20">
        <f t="shared" si="39"/>
        <v>24.833330451234534</v>
      </c>
      <c r="XK20">
        <f t="shared" si="39"/>
        <v>19.465208817360466</v>
      </c>
      <c r="XL20">
        <f t="shared" si="39"/>
        <v>19.737861961620464</v>
      </c>
      <c r="XM20">
        <f t="shared" si="39"/>
        <v>20.913800940297044</v>
      </c>
      <c r="XN20">
        <f t="shared" si="39"/>
        <v>21.72666486396367</v>
      </c>
      <c r="XO20">
        <f t="shared" si="39"/>
        <v>23.640677763408661</v>
      </c>
      <c r="XP20">
        <f t="shared" si="39"/>
        <v>24.999880076824201</v>
      </c>
      <c r="XQ20">
        <f t="shared" si="39"/>
        <v>24.569626343930555</v>
      </c>
      <c r="XR20">
        <f t="shared" si="39"/>
        <v>23.25066982717404</v>
      </c>
      <c r="XS20">
        <f t="shared" si="39"/>
        <v>22.341505399095968</v>
      </c>
      <c r="XT20">
        <f t="shared" si="33"/>
        <v>18.908052033076213</v>
      </c>
      <c r="XU20">
        <f t="shared" si="33"/>
        <v>18.930005341505254</v>
      </c>
      <c r="XV20">
        <f t="shared" si="33"/>
        <v>19.532783925155503</v>
      </c>
      <c r="XW20">
        <f t="shared" si="33"/>
        <v>18.980264356616072</v>
      </c>
      <c r="XX20">
        <f t="shared" si="33"/>
        <v>18.517096701896094</v>
      </c>
      <c r="XY20">
        <f t="shared" si="33"/>
        <v>19.476939576436671</v>
      </c>
      <c r="XZ20">
        <f t="shared" si="33"/>
        <v>18.634953802324919</v>
      </c>
      <c r="YA20">
        <f t="shared" si="33"/>
        <v>19.320760966386892</v>
      </c>
      <c r="YB20">
        <f t="shared" si="33"/>
        <v>18.425114080255714</v>
      </c>
      <c r="YC20">
        <f t="shared" si="33"/>
        <v>17.650189320781575</v>
      </c>
      <c r="YD20">
        <f t="shared" si="33"/>
        <v>18.114757831366337</v>
      </c>
      <c r="YE20">
        <f t="shared" si="33"/>
        <v>16.386871598345003</v>
      </c>
      <c r="YF20">
        <f t="shared" si="33"/>
        <v>16.481068486077085</v>
      </c>
      <c r="YG20">
        <f t="shared" si="33"/>
        <v>19.002386330728239</v>
      </c>
      <c r="YH20">
        <f t="shared" si="33"/>
        <v>21.142414808738572</v>
      </c>
      <c r="YI20">
        <f t="shared" si="33"/>
        <v>23.384927377604601</v>
      </c>
      <c r="YJ20">
        <f t="shared" si="33"/>
        <v>26.608427717023208</v>
      </c>
      <c r="YK20">
        <f t="shared" si="33"/>
        <v>26.586855105434235</v>
      </c>
      <c r="YL20">
        <f t="shared" si="33"/>
        <v>26.663471802965145</v>
      </c>
      <c r="YM20">
        <f t="shared" si="33"/>
        <v>26.776000389728946</v>
      </c>
      <c r="YN20">
        <f t="shared" si="33"/>
        <v>26.517623232252497</v>
      </c>
      <c r="YO20">
        <f t="shared" si="33"/>
        <v>25.555880747663416</v>
      </c>
      <c r="YP20">
        <f t="shared" si="33"/>
        <v>28.538253890966857</v>
      </c>
      <c r="YQ20">
        <f t="shared" si="33"/>
        <v>29.554280589978163</v>
      </c>
      <c r="YR20">
        <f t="shared" si="33"/>
        <v>30.405429246763259</v>
      </c>
      <c r="YS20">
        <f t="shared" si="33"/>
        <v>30.779683323105282</v>
      </c>
      <c r="YT20">
        <f t="shared" si="33"/>
        <v>29.183707564700036</v>
      </c>
      <c r="YU20">
        <f t="shared" si="33"/>
        <v>28.622276461400784</v>
      </c>
      <c r="YV20">
        <f t="shared" si="33"/>
        <v>27.978124409996717</v>
      </c>
      <c r="YW20">
        <f t="shared" si="33"/>
        <v>27.730412877139152</v>
      </c>
      <c r="YX20">
        <f t="shared" si="33"/>
        <v>28.16488421183351</v>
      </c>
      <c r="YY20">
        <f t="shared" si="33"/>
        <v>29.000440268042993</v>
      </c>
      <c r="YZ20">
        <f t="shared" si="33"/>
        <v>27.525333940656314</v>
      </c>
      <c r="ZA20">
        <f t="shared" si="33"/>
        <v>26.214327662466282</v>
      </c>
      <c r="ZB20">
        <f t="shared" si="33"/>
        <v>25.762063938574723</v>
      </c>
      <c r="ZC20">
        <f t="shared" si="33"/>
        <v>27.482883378379547</v>
      </c>
      <c r="ZD20">
        <f t="shared" si="33"/>
        <v>26.547253690018859</v>
      </c>
      <c r="ZE20">
        <f t="shared" si="33"/>
        <v>25.301548496039082</v>
      </c>
      <c r="ZF20">
        <f t="shared" si="33"/>
        <v>25.552785336059358</v>
      </c>
      <c r="ZG20">
        <f t="shared" si="33"/>
        <v>25.573461584907136</v>
      </c>
      <c r="ZH20">
        <f t="shared" si="33"/>
        <v>25.131874334249201</v>
      </c>
      <c r="ZI20">
        <f t="shared" si="33"/>
        <v>23.590488198952013</v>
      </c>
      <c r="ZJ20">
        <f t="shared" si="33"/>
        <v>22.624251482073952</v>
      </c>
      <c r="ZK20">
        <f t="shared" si="33"/>
        <v>22.717439917968036</v>
      </c>
      <c r="ZL20">
        <f t="shared" si="33"/>
        <v>23.867332090039422</v>
      </c>
      <c r="ZM20">
        <f t="shared" si="33"/>
        <v>23.616258005364497</v>
      </c>
      <c r="ZN20">
        <f t="shared" si="33"/>
        <v>23.919974746635678</v>
      </c>
      <c r="ZO20">
        <f t="shared" si="33"/>
        <v>23.125993184892344</v>
      </c>
      <c r="ZP20">
        <f t="shared" si="33"/>
        <v>23.820124615862046</v>
      </c>
      <c r="ZQ20">
        <f t="shared" si="33"/>
        <v>22.282387537001171</v>
      </c>
      <c r="ZR20">
        <f t="shared" si="33"/>
        <v>22.284442612826403</v>
      </c>
      <c r="ZS20">
        <f t="shared" si="33"/>
        <v>21.24021786728143</v>
      </c>
      <c r="ZT20">
        <f t="shared" si="33"/>
        <v>20.002817777990575</v>
      </c>
      <c r="ZU20">
        <f t="shared" si="33"/>
        <v>21.043093860635594</v>
      </c>
      <c r="ZV20">
        <f t="shared" si="33"/>
        <v>21.947698044591451</v>
      </c>
      <c r="ZW20">
        <f t="shared" si="33"/>
        <v>21.061769833686199</v>
      </c>
      <c r="ZX20">
        <f t="shared" si="33"/>
        <v>21.413192924780748</v>
      </c>
      <c r="ZY20">
        <f t="shared" si="33"/>
        <v>21.835379357435556</v>
      </c>
      <c r="ZZ20">
        <f t="shared" si="33"/>
        <v>21.699366302750906</v>
      </c>
      <c r="AAA20">
        <f t="shared" si="33"/>
        <v>21.862836997486678</v>
      </c>
      <c r="AAB20">
        <f t="shared" si="33"/>
        <v>22.391034468496894</v>
      </c>
      <c r="AAC20">
        <f t="shared" si="33"/>
        <v>24.243247133932947</v>
      </c>
      <c r="AAD20">
        <f t="shared" si="33"/>
        <v>22.852745466863116</v>
      </c>
      <c r="AAE20">
        <f t="shared" si="23"/>
        <v>20.388026012882957</v>
      </c>
      <c r="AAF20">
        <f t="shared" si="40"/>
        <v>20.33389708347886</v>
      </c>
      <c r="AAG20">
        <f t="shared" si="40"/>
        <v>21.59289556272854</v>
      </c>
      <c r="AAH20">
        <f t="shared" si="40"/>
        <v>21.286893823498939</v>
      </c>
      <c r="AAI20">
        <f t="shared" si="40"/>
        <v>21.750780133694388</v>
      </c>
      <c r="AAJ20">
        <f t="shared" si="40"/>
        <v>21.119014211832297</v>
      </c>
      <c r="AAK20">
        <f t="shared" si="40"/>
        <v>21.540374418567982</v>
      </c>
      <c r="AAL20">
        <f t="shared" si="40"/>
        <v>20.67747223216017</v>
      </c>
      <c r="AAM20">
        <f t="shared" si="40"/>
        <v>21.716591113783903</v>
      </c>
      <c r="AAN20">
        <f t="shared" si="40"/>
        <v>22.431607828676164</v>
      </c>
      <c r="AAO20">
        <f t="shared" si="40"/>
        <v>21.068555426546972</v>
      </c>
      <c r="AAP20">
        <f t="shared" si="40"/>
        <v>20.788017573331103</v>
      </c>
      <c r="AAQ20">
        <f t="shared" si="40"/>
        <v>20.973807655296998</v>
      </c>
      <c r="AAR20">
        <f t="shared" si="40"/>
        <v>19.651763705174677</v>
      </c>
      <c r="AAS20">
        <f t="shared" si="40"/>
        <v>20.379057930618082</v>
      </c>
      <c r="AAT20">
        <f t="shared" si="40"/>
        <v>19.509662595975573</v>
      </c>
      <c r="AAU20">
        <f t="shared" si="40"/>
        <v>19.821308069629456</v>
      </c>
      <c r="AAV20">
        <f t="shared" si="40"/>
        <v>20.988373299443374</v>
      </c>
      <c r="AAW20">
        <f t="shared" si="40"/>
        <v>22.527063441372626</v>
      </c>
      <c r="AAX20">
        <f t="shared" si="40"/>
        <v>22.003130370345222</v>
      </c>
      <c r="AAY20">
        <f t="shared" si="40"/>
        <v>23.682626157967007</v>
      </c>
      <c r="AAZ20">
        <f t="shared" si="40"/>
        <v>21.937546007712907</v>
      </c>
      <c r="ABA20">
        <f t="shared" si="40"/>
        <v>19.784011702480772</v>
      </c>
      <c r="ABB20">
        <f t="shared" si="40"/>
        <v>19.345438930462738</v>
      </c>
      <c r="ABC20">
        <f t="shared" si="40"/>
        <v>20.104593280091414</v>
      </c>
      <c r="ABD20">
        <f t="shared" si="40"/>
        <v>20.842059045039317</v>
      </c>
      <c r="ABE20">
        <f t="shared" si="40"/>
        <v>23.259198837346428</v>
      </c>
      <c r="ABF20">
        <f t="shared" si="40"/>
        <v>21.137012827843094</v>
      </c>
      <c r="ABG20">
        <f t="shared" si="40"/>
        <v>20.636139968642386</v>
      </c>
      <c r="ABH20">
        <f t="shared" si="40"/>
        <v>20.65384560477677</v>
      </c>
      <c r="ABI20">
        <f t="shared" si="40"/>
        <v>20.950640444137296</v>
      </c>
      <c r="ABJ20">
        <f t="shared" si="40"/>
        <v>18.556435354807203</v>
      </c>
      <c r="ABK20">
        <f t="shared" si="40"/>
        <v>17.302995687379262</v>
      </c>
      <c r="ABL20">
        <f t="shared" si="40"/>
        <v>18.759450511210602</v>
      </c>
      <c r="ABM20">
        <f t="shared" si="40"/>
        <v>18.835087016541564</v>
      </c>
      <c r="ABN20">
        <f t="shared" si="40"/>
        <v>20.121999139239854</v>
      </c>
      <c r="ABO20">
        <f t="shared" si="40"/>
        <v>19.167891611643622</v>
      </c>
      <c r="ABP20">
        <f t="shared" si="40"/>
        <v>17.774491376974122</v>
      </c>
      <c r="ABQ20">
        <f t="shared" si="40"/>
        <v>18.398437821692593</v>
      </c>
      <c r="ABR20">
        <f t="shared" si="40"/>
        <v>17.68642776206541</v>
      </c>
      <c r="ABS20">
        <f t="shared" si="40"/>
        <v>18.029270975392578</v>
      </c>
      <c r="ABT20">
        <f t="shared" si="40"/>
        <v>17.327530779195449</v>
      </c>
      <c r="ABU20">
        <f t="shared" si="40"/>
        <v>17.115888851883362</v>
      </c>
      <c r="ABV20">
        <f t="shared" si="40"/>
        <v>15.652663546238104</v>
      </c>
      <c r="ABW20">
        <f t="shared" si="40"/>
        <v>15.440371747562583</v>
      </c>
      <c r="ABX20">
        <f t="shared" si="40"/>
        <v>15.884068958364622</v>
      </c>
      <c r="ABY20">
        <f t="shared" si="40"/>
        <v>16.119994241310433</v>
      </c>
      <c r="ABZ20">
        <f t="shared" si="40"/>
        <v>15.09912454628207</v>
      </c>
      <c r="ACA20">
        <f t="shared" si="40"/>
        <v>15.487007102613406</v>
      </c>
      <c r="ACB20">
        <f t="shared" si="40"/>
        <v>15.850121587674561</v>
      </c>
      <c r="ACC20">
        <f t="shared" si="40"/>
        <v>15.457354782507114</v>
      </c>
      <c r="ACD20">
        <f t="shared" si="40"/>
        <v>16.432618073485049</v>
      </c>
      <c r="ACE20">
        <f t="shared" si="40"/>
        <v>16.485477194860675</v>
      </c>
      <c r="ACF20">
        <f t="shared" si="40"/>
        <v>14.257543118865184</v>
      </c>
      <c r="ACG20">
        <f t="shared" si="40"/>
        <v>13.924967252248374</v>
      </c>
      <c r="ACH20">
        <f t="shared" si="40"/>
        <v>14.477925370568769</v>
      </c>
      <c r="ACI20">
        <f t="shared" si="40"/>
        <v>14.088433657597637</v>
      </c>
      <c r="ACJ20">
        <f t="shared" si="40"/>
        <v>14.215917493142115</v>
      </c>
      <c r="ACK20">
        <f t="shared" si="40"/>
        <v>14.024669475228887</v>
      </c>
      <c r="ACL20">
        <f t="shared" si="40"/>
        <v>13.790789231613713</v>
      </c>
      <c r="ACM20">
        <f t="shared" si="40"/>
        <v>13.365031114740354</v>
      </c>
      <c r="ACN20">
        <f t="shared" si="40"/>
        <v>13.752953091232058</v>
      </c>
      <c r="ACO20">
        <f t="shared" si="40"/>
        <v>13.461635076010555</v>
      </c>
      <c r="ACP20">
        <f t="shared" si="40"/>
        <v>14.266128010965391</v>
      </c>
      <c r="ACQ20">
        <f t="shared" si="40"/>
        <v>11.500380780437167</v>
      </c>
      <c r="ACR20">
        <f t="shared" si="34"/>
        <v>12.375648612506028</v>
      </c>
      <c r="ACS20">
        <f t="shared" si="34"/>
        <v>12.717859513527261</v>
      </c>
      <c r="ACT20">
        <f t="shared" si="34"/>
        <v>12.116143386950496</v>
      </c>
      <c r="ACU20">
        <f t="shared" si="34"/>
        <v>12.033510901915809</v>
      </c>
      <c r="ACV20">
        <f t="shared" si="34"/>
        <v>11.654395379304781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54AA-6632-0144-B5BD-A58E0556AB77}">
  <dimension ref="A1:E5"/>
  <sheetViews>
    <sheetView workbookViewId="0">
      <selection activeCell="D7" sqref="D7"/>
    </sheetView>
  </sheetViews>
  <sheetFormatPr baseColWidth="10" defaultRowHeight="16" x14ac:dyDescent="0.2"/>
  <cols>
    <col min="1" max="1" width="17.83203125" customWidth="1"/>
    <col min="2" max="2" width="27.33203125" customWidth="1"/>
    <col min="3" max="3" width="19.1640625" customWidth="1"/>
    <col min="5" max="5" width="17.5" customWidth="1"/>
  </cols>
  <sheetData>
    <row r="1" spans="1:5" x14ac:dyDescent="0.2">
      <c r="A1" s="5"/>
      <c r="B1" s="5" t="s">
        <v>70638</v>
      </c>
      <c r="C1" s="5" t="s">
        <v>70639</v>
      </c>
      <c r="D1" s="5" t="s">
        <v>70643</v>
      </c>
      <c r="E1" s="5" t="s">
        <v>70650</v>
      </c>
    </row>
    <row r="2" spans="1:5" x14ac:dyDescent="0.2">
      <c r="A2" s="3" t="s">
        <v>70638</v>
      </c>
      <c r="B2" s="3">
        <v>1</v>
      </c>
      <c r="C2" s="3"/>
      <c r="D2" s="3"/>
      <c r="E2" s="3"/>
    </row>
    <row r="3" spans="1:5" x14ac:dyDescent="0.2">
      <c r="A3" s="3" t="s">
        <v>70639</v>
      </c>
      <c r="B3" s="3">
        <v>-0.64388418063980435</v>
      </c>
      <c r="C3" s="3">
        <v>1</v>
      </c>
      <c r="D3" s="3"/>
      <c r="E3" s="3"/>
    </row>
    <row r="4" spans="1:5" x14ac:dyDescent="0.2">
      <c r="A4" s="3" t="s">
        <v>70643</v>
      </c>
      <c r="B4" s="3">
        <v>-2.3401311274401339E-2</v>
      </c>
      <c r="C4" s="3">
        <v>-0.58350357890632498</v>
      </c>
      <c r="D4" s="3">
        <v>1</v>
      </c>
      <c r="E4" s="3"/>
    </row>
    <row r="5" spans="1:5" ht="17" thickBot="1" x14ac:dyDescent="0.25">
      <c r="A5" s="4" t="s">
        <v>70650</v>
      </c>
      <c r="B5" s="4">
        <v>0.79183677146940046</v>
      </c>
      <c r="C5" s="4">
        <v>-0.65503775420941068</v>
      </c>
      <c r="D5" s="4">
        <v>0.19996722832676081</v>
      </c>
      <c r="E5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C5F2-C428-FB49-B128-09BFA64CD27B}">
  <dimension ref="A1"/>
  <sheetViews>
    <sheetView workbookViewId="0">
      <selection activeCell="A5" sqref="A5:XFD5"/>
    </sheetView>
  </sheetViews>
  <sheetFormatPr baseColWidth="10" defaultRowHeight="16" x14ac:dyDescent="0.2"/>
  <cols>
    <col min="1" max="1" width="23.1640625" customWidth="1"/>
  </cols>
  <sheetData>
    <row r="1" spans="1:1" x14ac:dyDescent="0.2">
      <c r="A1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F94659-EAC5-0D48-B219-2B9949FD6B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Returns_and_Sectors </vt:lpstr>
      <vt:lpstr>Sheet21</vt:lpstr>
      <vt:lpstr>cluster_average_return_Cluster</vt:lpstr>
      <vt:lpstr>Sheet20</vt:lpstr>
      <vt:lpstr>cluster_average_return_Sector</vt:lpstr>
      <vt:lpstr>Sheet19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Joosub</dc:creator>
  <cp:lastModifiedBy>Muhammed Joosub</cp:lastModifiedBy>
  <dcterms:created xsi:type="dcterms:W3CDTF">2025-07-11T14:26:08Z</dcterms:created>
  <dcterms:modified xsi:type="dcterms:W3CDTF">2025-07-12T18:11:11Z</dcterms:modified>
</cp:coreProperties>
</file>